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801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csulb-my.sharepoint.com/personal/tess_monzon_csulb_edu/Documents/Desktop/"/>
    </mc:Choice>
  </mc:AlternateContent>
  <xr:revisionPtr revIDLastSave="26" documentId="8_{8F6F91E7-1877-42F1-A3E3-87840D104B57}" xr6:coauthVersionLast="46" xr6:coauthVersionMax="46" xr10:uidLastSave="{FDE69949-D40D-4F90-BE49-9D98FE78D836}"/>
  <bookViews>
    <workbookView xWindow="-120" yWindow="-120" windowWidth="29040" windowHeight="17640" tabRatio="821" firstSheet="2" activeTab="2" xr2:uid="{00000000-000D-0000-FFFF-FFFF00000000}"/>
  </bookViews>
  <sheets>
    <sheet name="Interface" sheetId="1" state="hidden" r:id="rId1"/>
    <sheet name="DataSetting" sheetId="2" state="hidden" r:id="rId2"/>
    <sheet name="Summary" sheetId="3" r:id="rId3"/>
    <sheet name="OSR_Summary_18VAVWG" sheetId="4" state="hidden" r:id="rId4"/>
    <sheet name="OSR_Current ...69b7dd8c_1IEQKFK" sheetId="5" state="hidden" r:id="rId5"/>
    <sheet name="Div 1" sheetId="6" r:id="rId6"/>
    <sheet name="OSR_Div 1_7H47HR" sheetId="7" state="hidden" r:id="rId7"/>
    <sheet name="OSR_Div 3 (2)...4cb81c06_PBSMLS" sheetId="8" state="hidden" r:id="rId8"/>
    <sheet name="OSR_Div 2_1PQ800A" sheetId="10" state="hidden" r:id="rId9"/>
    <sheet name="OSR_Div 1 (2)...789fe994_2NV3KA" sheetId="11" state="hidden" r:id="rId10"/>
    <sheet name="OSR_Div 3_18723PH" sheetId="13" state="hidden" r:id="rId11"/>
    <sheet name="OSR_300 (2)_7...54cb56fc_UFX0O2" sheetId="14" state="hidden" r:id="rId12"/>
    <sheet name="OSR_300_IYZXI6" sheetId="16" state="hidden" r:id="rId13"/>
    <sheet name="OSR_Div 3 (2)...b7db256a_40ITCB" sheetId="17" state="hidden" r:id="rId14"/>
    <sheet name="OSR_300 &amp; 317_1C00ID4" sheetId="19" state="hidden" r:id="rId15"/>
    <sheet name="OSR_300 (2)_c...79cd3046_1TJM0H" sheetId="20" state="hidden" r:id="rId16"/>
    <sheet name="OSR_310_1CMTOSB" sheetId="22" state="hidden" r:id="rId17"/>
    <sheet name="OSR_300 (2)_e...5d0da5bf_6BPGAO" sheetId="23" state="hidden" r:id="rId18"/>
    <sheet name="OSR_330_10VFP5Y" sheetId="25" state="hidden" r:id="rId19"/>
    <sheet name="OSR_310 (2)_...6e684f08_1FLCNJG" sheetId="26" state="hidden" r:id="rId20"/>
    <sheet name="OSR_308_UAWDAG" sheetId="28" state="hidden" r:id="rId21"/>
    <sheet name="OSR_330 (2)_...8a14c83e_1NSH7XI" sheetId="29" state="hidden" r:id="rId22"/>
    <sheet name="OSR_331_10VKQAJ" sheetId="31" state="hidden" r:id="rId23"/>
    <sheet name="OSR_308 (2)_...47685838_1YQW4QY" sheetId="32" state="hidden" r:id="rId24"/>
    <sheet name="OSR_332_6NDVBW" sheetId="34" state="hidden" r:id="rId25"/>
    <sheet name="OSR_331 (2)_...7280af70_1P5SPLT" sheetId="35" state="hidden" r:id="rId26"/>
    <sheet name="OSR_Div 4_1740TMT" sheetId="37" state="hidden" r:id="rId27"/>
    <sheet name="OSR_310 (2)_...8cac1423_1JTU33X" sheetId="38" state="hidden" r:id="rId28"/>
    <sheet name="OSR_310 &amp; 491_1NGRCS9" sheetId="40" state="hidden" r:id="rId29"/>
    <sheet name="OSR_491 (2)_0...c51cc666_QIOT67" sheetId="41" state="hidden" r:id="rId30"/>
    <sheet name="OSR_491_9Z9JH5" sheetId="43" state="hidden" r:id="rId31"/>
    <sheet name="OSR_Div 4 (2...2533da42_174R6QX" sheetId="44" state="hidden" r:id="rId32"/>
    <sheet name="OSR_492_943FP1" sheetId="46" state="hidden" r:id="rId33"/>
    <sheet name="OSR_Div 4 (2)...1a9a4454_CQFRNE" sheetId="47" state="hidden" r:id="rId34"/>
    <sheet name="OSR_Div 5_16NAZO2" sheetId="49" state="hidden" r:id="rId35"/>
    <sheet name="OSR_492 (2)_...cd97c6a6_13HYXEV" sheetId="50" state="hidden" r:id="rId36"/>
    <sheet name="OSR_Div 6_P37YY7" sheetId="52" state="hidden" r:id="rId37"/>
    <sheet name="OSR_Div 5 (2...09141158_1BG9FGV" sheetId="53" state="hidden" r:id="rId38"/>
    <sheet name="100" sheetId="54" r:id="rId39"/>
    <sheet name="Div 2" sheetId="9" r:id="rId40"/>
    <sheet name="200" sheetId="55" r:id="rId41"/>
    <sheet name="201" sheetId="56" r:id="rId42"/>
    <sheet name="202" sheetId="57" r:id="rId43"/>
    <sheet name="203" sheetId="58" r:id="rId44"/>
    <sheet name="204" sheetId="59" r:id="rId45"/>
    <sheet name="205" sheetId="60" r:id="rId46"/>
    <sheet name="206" sheetId="61" r:id="rId47"/>
    <sheet name="Div 3" sheetId="12" r:id="rId48"/>
    <sheet name="300" sheetId="15" r:id="rId49"/>
    <sheet name="300 &amp; 317" sheetId="18" r:id="rId50"/>
    <sheet name="301" sheetId="62" r:id="rId51"/>
    <sheet name="306" sheetId="63" r:id="rId52"/>
    <sheet name="330" sheetId="24" r:id="rId53"/>
    <sheet name="307" sheetId="64" r:id="rId54"/>
    <sheet name="314" sheetId="68" r:id="rId55"/>
    <sheet name="308" sheetId="27" r:id="rId56"/>
    <sheet name="311" sheetId="66" r:id="rId57"/>
    <sheet name="331" sheetId="30" r:id="rId58"/>
    <sheet name="315" sheetId="69" r:id="rId59"/>
    <sheet name="332" sheetId="33" r:id="rId60"/>
    <sheet name="316" sheetId="70" r:id="rId61"/>
    <sheet name="320" sheetId="72" r:id="rId62"/>
    <sheet name="Div 6" sheetId="51" r:id="rId63"/>
    <sheet name="317" sheetId="71" r:id="rId64"/>
    <sheet name="310" sheetId="21" r:id="rId65"/>
    <sheet name="309" sheetId="65" r:id="rId66"/>
    <sheet name="313" sheetId="67" r:id="rId67"/>
    <sheet name="321" sheetId="73" r:id="rId68"/>
    <sheet name="322" sheetId="74" r:id="rId69"/>
    <sheet name="324" sheetId="75" r:id="rId70"/>
    <sheet name="325" sheetId="76" r:id="rId71"/>
    <sheet name="326" sheetId="77" r:id="rId72"/>
    <sheet name="327" sheetId="78" r:id="rId73"/>
    <sheet name="Div 4" sheetId="36" r:id="rId74"/>
    <sheet name="310 &amp; 491" sheetId="39" r:id="rId75"/>
    <sheet name="491" sheetId="42" r:id="rId76"/>
    <sheet name="405" sheetId="79" r:id="rId77"/>
    <sheet name="406" sheetId="80" r:id="rId78"/>
    <sheet name="411" sheetId="81" r:id="rId79"/>
    <sheet name="412" sheetId="82" r:id="rId80"/>
    <sheet name="413" sheetId="83" r:id="rId81"/>
    <sheet name="414" sheetId="84" r:id="rId82"/>
    <sheet name="415" sheetId="85" r:id="rId83"/>
    <sheet name="418" sheetId="86" r:id="rId84"/>
    <sheet name="420" sheetId="87" r:id="rId85"/>
    <sheet name="423" sheetId="88" r:id="rId86"/>
    <sheet name="424" sheetId="89" r:id="rId87"/>
    <sheet name="425" sheetId="90" r:id="rId88"/>
    <sheet name="455" sheetId="96" r:id="rId89"/>
    <sheet name="492" sheetId="45" r:id="rId90"/>
    <sheet name="430" sheetId="91" r:id="rId91"/>
    <sheet name="433" sheetId="92" r:id="rId92"/>
    <sheet name="435" sheetId="93" r:id="rId93"/>
    <sheet name="444" sheetId="94" r:id="rId94"/>
    <sheet name="450" sheetId="95" r:id="rId95"/>
    <sheet name="Div 5" sheetId="48" r:id="rId96"/>
    <sheet name="501" sheetId="97" r:id="rId97"/>
    <sheet name="Dept" sheetId="98" state="hidden" r:id="rId98"/>
    <sheet name="OSR_Dept_Y0WUKY" sheetId="99" state="hidden" r:id="rId99"/>
    <sheet name="OSR_Summary (...56e5d78f_5JEYZH" sheetId="100" state="hidden" r:id="rId100"/>
  </sheets>
  <definedNames>
    <definedName name="OSRRefD13x_0" localSheetId="48">'300'!$D$13:$D$112</definedName>
    <definedName name="OSRRefD13x_0" localSheetId="49">'300 &amp; 317'!$D$13:$D$130</definedName>
    <definedName name="OSRRefD13x_0" localSheetId="53">'307'!$D$13:$D$49</definedName>
    <definedName name="OSRRefD13x_0" localSheetId="55">'308'!$D$13:$D$43</definedName>
    <definedName name="OSRRefD13x_0" localSheetId="65">'309'!$D$13:$D$14</definedName>
    <definedName name="OSRRefD13x_0" localSheetId="64">'310'!$D$13:$D$22</definedName>
    <definedName name="OSRRefD13x_0" localSheetId="74">'310 &amp; 491'!$D$13:$D$29</definedName>
    <definedName name="OSRRefD13x_0" localSheetId="56">'311'!$D$13:$D$42</definedName>
    <definedName name="OSRRefD13x_0" localSheetId="66">'313'!$D$13:$D$19</definedName>
    <definedName name="OSRRefD13x_0" localSheetId="54">'314'!$D$13:$D$34</definedName>
    <definedName name="OSRRefD13x_0" localSheetId="58">'315'!$D$13:$D$51</definedName>
    <definedName name="OSRRefD13x_0" localSheetId="60">'316'!$D$13:$D$29</definedName>
    <definedName name="OSRRefD13x_0" localSheetId="63">'317'!$D$13:$D$37</definedName>
    <definedName name="OSRRefD13x_0" localSheetId="61">'320'!$D$13:$D$16</definedName>
    <definedName name="OSRRefD13x_0" localSheetId="67">'321'!$D$13:$D$14</definedName>
    <definedName name="OSRRefD13x_0" localSheetId="68">'322'!$D$13:$D$14</definedName>
    <definedName name="OSRRefD13x_0" localSheetId="69">'324'!$D$13:$D$15</definedName>
    <definedName name="OSRRefD13x_0" localSheetId="70">'325'!$D$13:$D$14</definedName>
    <definedName name="OSRRefD13x_0" localSheetId="71">'326'!$D$13:$D$38</definedName>
    <definedName name="OSRRefD13x_0" localSheetId="72">'327'!$D$13</definedName>
    <definedName name="OSRRefD13x_0" localSheetId="52">'330'!$D$13:$D$54</definedName>
    <definedName name="OSRRefD13x_0" localSheetId="57">'331'!$D$13:$D$55</definedName>
    <definedName name="OSRRefD13x_0" localSheetId="59">'332'!$D$13:$D$32</definedName>
    <definedName name="OSRRefD13x_0" localSheetId="76">'405'!$D$13:$D$14</definedName>
    <definedName name="OSRRefD13x_0" localSheetId="77">'406'!$D$13:$D$14</definedName>
    <definedName name="OSRRefD13x_0" localSheetId="79">'412'!$D$13:$D$14</definedName>
    <definedName name="OSRRefD13x_0" localSheetId="80">'413'!$D$13:$D$14</definedName>
    <definedName name="OSRRefD13x_0" localSheetId="81">'414'!$D$13:$D$14</definedName>
    <definedName name="OSRRefD13x_0" localSheetId="82">'415'!$D$13:$D$14</definedName>
    <definedName name="OSRRefD13x_0" localSheetId="83">'418'!$D$13:$D$14</definedName>
    <definedName name="OSRRefD13x_0" localSheetId="84">'420'!$D$13:$D$14</definedName>
    <definedName name="OSRRefD13x_0" localSheetId="86">'424'!$D$13:$D$14</definedName>
    <definedName name="OSRRefD13x_0" localSheetId="87">'425'!$D$13:$D$17</definedName>
    <definedName name="OSRRefD13x_0" localSheetId="91">'433'!$D$13:$D$16</definedName>
    <definedName name="OSRRefD13x_0" localSheetId="92">'435'!$D$13:$D$15</definedName>
    <definedName name="OSRRefD13x_0" localSheetId="93">'444'!$D$13:$D$15</definedName>
    <definedName name="OSRRefD13x_0" localSheetId="94">'450'!$D$13:$D$15</definedName>
    <definedName name="OSRRefD13x_0" localSheetId="75">'491'!$D$13:$D$22</definedName>
    <definedName name="OSRRefD13x_0" localSheetId="89">'492'!$D$13:$D$18</definedName>
    <definedName name="OSRRefD13x_0" localSheetId="96">'501'!$D$13</definedName>
    <definedName name="OSRRefD13x_0" localSheetId="47">'Div 3'!$D$13:$D$115</definedName>
    <definedName name="OSRRefD13x_0" localSheetId="73">'Div 4'!$D$13:$D$23</definedName>
    <definedName name="OSRRefD13x_0" localSheetId="95">'Div 5'!$D$13</definedName>
    <definedName name="OSRRefD13x_0" localSheetId="62">'Div 6'!$D$13:$D$37</definedName>
    <definedName name="OSRRefD13x_0" localSheetId="2">Summary!$D$13:$D$141</definedName>
    <definedName name="OSRRefD16x_0" localSheetId="48">'300'!$D$115:$D$165</definedName>
    <definedName name="OSRRefD16x_0" localSheetId="49">'300 &amp; 317'!$D$133:$D$191</definedName>
    <definedName name="OSRRefD16x_0" localSheetId="50">'301'!$D$15</definedName>
    <definedName name="OSRRefD16x_0" localSheetId="53">'307'!$D$52:$D$73</definedName>
    <definedName name="OSRRefD16x_0" localSheetId="55">'308'!$D$46:$D$62</definedName>
    <definedName name="OSRRefD16x_0" localSheetId="65">'309'!$D$17:$D$18</definedName>
    <definedName name="OSRRefD16x_0" localSheetId="64">'310'!$D$25:$D$26</definedName>
    <definedName name="OSRRefD16x_0" localSheetId="74">'310 &amp; 491'!$D$32:$D$33</definedName>
    <definedName name="OSRRefD16x_0" localSheetId="56">'311'!$D$45:$D$61</definedName>
    <definedName name="OSRRefD16x_0" localSheetId="66">'313'!$D$22:$D$23</definedName>
    <definedName name="OSRRefD16x_0" localSheetId="54">'314'!$D$37:$D$51</definedName>
    <definedName name="OSRRefD16x_0" localSheetId="58">'315'!$D$54:$D$78</definedName>
    <definedName name="OSRRefD16x_0" localSheetId="63">'317'!$D$40:$D$55</definedName>
    <definedName name="OSRRefD16x_0" localSheetId="61">'320'!$D$19:$D$23</definedName>
    <definedName name="OSRRefD16x_0" localSheetId="67">'321'!$D$17:$D$18</definedName>
    <definedName name="OSRRefD16x_0" localSheetId="68">'322'!$D$17:$D$18</definedName>
    <definedName name="OSRRefD16x_0" localSheetId="69">'324'!$D$18:$D$19</definedName>
    <definedName name="OSRRefD16x_0" localSheetId="70">'325'!$D$17:$D$18</definedName>
    <definedName name="OSRRefD16x_0" localSheetId="71">'326'!$D$41:$D$59</definedName>
    <definedName name="OSRRefD16x_0" localSheetId="72">'327'!$D$16:$D$17</definedName>
    <definedName name="OSRRefD16x_0" localSheetId="52">'330'!$D$57:$D$81</definedName>
    <definedName name="OSRRefD16x_0" localSheetId="57">'331'!$D$58:$D$87</definedName>
    <definedName name="OSRRefD16x_0" localSheetId="59">'332'!$D$35:$D$39</definedName>
    <definedName name="OSRRefD16x_0" localSheetId="76">'405'!$D$17:$D$18</definedName>
    <definedName name="OSRRefD16x_0" localSheetId="77">'406'!$D$17:$D$18</definedName>
    <definedName name="OSRRefD16x_0" localSheetId="79">'412'!$D$17:$D$18</definedName>
    <definedName name="OSRRefD16x_0" localSheetId="80">'413'!$D$17:$D$18</definedName>
    <definedName name="OSRRefD16x_0" localSheetId="81">'414'!$D$17:$D$18</definedName>
    <definedName name="OSRRefD16x_0" localSheetId="82">'415'!$D$17:$D$18</definedName>
    <definedName name="OSRRefD16x_0" localSheetId="83">'418'!$D$17:$D$18</definedName>
    <definedName name="OSRRefD16x_0" localSheetId="84">'420'!$D$17:$D$18</definedName>
    <definedName name="OSRRefD16x_0" localSheetId="85">'423'!$D$15</definedName>
    <definedName name="OSRRefD16x_0" localSheetId="86">'424'!$D$17:$D$18</definedName>
    <definedName name="OSRRefD16x_0" localSheetId="87">'425'!$D$20:$D$21</definedName>
    <definedName name="OSRRefD16x_0" localSheetId="91">'433'!$D$19:$D$20</definedName>
    <definedName name="OSRRefD16x_0" localSheetId="92">'435'!$D$18:$D$19</definedName>
    <definedName name="OSRRefD16x_0" localSheetId="93">'444'!$D$18:$D$19</definedName>
    <definedName name="OSRRefD16x_0" localSheetId="94">'450'!$D$18:$D$19</definedName>
    <definedName name="OSRRefD16x_0" localSheetId="75">'491'!$D$25:$D$26</definedName>
    <definedName name="OSRRefD16x_0" localSheetId="89">'492'!$D$21:$D$22</definedName>
    <definedName name="OSRRefD16x_0" localSheetId="47">'Div 3'!$D$118:$D$170</definedName>
    <definedName name="OSRRefD16x_0" localSheetId="73">'Div 4'!$D$26:$D$27</definedName>
    <definedName name="OSRRefD16x_0" localSheetId="62">'Div 6'!$D$40:$D$55</definedName>
    <definedName name="OSRRefD16x_0" localSheetId="2">Summary!$D$144:$D$204</definedName>
    <definedName name="OSRRefD22_0x_0" localSheetId="40">'200'!$D$20:$D$21</definedName>
    <definedName name="OSRRefD22_0x_0" localSheetId="41">'201'!$D$20:$D$27</definedName>
    <definedName name="OSRRefD22_0x_0" localSheetId="42">'202'!$D$20:$D$27</definedName>
    <definedName name="OSRRefD22_0x_0" localSheetId="43">'203'!$D$20:$D$29</definedName>
    <definedName name="OSRRefD22_0x_0" localSheetId="44">'204'!$D$20:$D$29</definedName>
    <definedName name="OSRRefD22_0x_0" localSheetId="45">'205'!$D$20:$D$27</definedName>
    <definedName name="OSRRefD22_0x_0" localSheetId="46">'206'!$D$20:$D$27</definedName>
    <definedName name="OSRRefD22_0x_0" localSheetId="48">'300'!$D$171:$D$180</definedName>
    <definedName name="OSRRefD22_0x_0" localSheetId="49">'300 &amp; 317'!$D$197:$D$206</definedName>
    <definedName name="OSRRefD22_0x_0" localSheetId="50">'301'!$D$21:$D$30</definedName>
    <definedName name="OSRRefD22_0x_0" localSheetId="51">'306'!$D$20:$D$28</definedName>
    <definedName name="OSRRefD22_0x_0" localSheetId="53">'307'!$D$79:$D$86</definedName>
    <definedName name="OSRRefD22_0x_0" localSheetId="55">'308'!$D$68:$D$76</definedName>
    <definedName name="OSRRefD22_0x_0" localSheetId="65">'309'!$D$24:$D$31</definedName>
    <definedName name="OSRRefD22_0x_0" localSheetId="64">'310'!$D$32:$D$39</definedName>
    <definedName name="OSRRefD22_0x_0" localSheetId="74">'310 &amp; 491'!$D$39:$D$47</definedName>
    <definedName name="OSRRefD22_0x_0" localSheetId="56">'311'!$D$67:$D$75</definedName>
    <definedName name="OSRRefD22_0x_0" localSheetId="66">'313'!$D$29:$D$36</definedName>
    <definedName name="OSRRefD22_0x_0" localSheetId="54">'314'!$D$57:$D$65</definedName>
    <definedName name="OSRRefD22_0x_0" localSheetId="58">'315'!$D$84:$D$91</definedName>
    <definedName name="OSRRefD22_0x_0" localSheetId="60">'316'!$D$37:$D$44</definedName>
    <definedName name="OSRRefD22_0x_0" localSheetId="63">'317'!$D$61:$D$69</definedName>
    <definedName name="OSRRefD22_0x_0" localSheetId="61">'320'!$D$29:$D$35</definedName>
    <definedName name="OSRRefD22_0x_0" localSheetId="67">'321'!$D$24:$D$31</definedName>
    <definedName name="OSRRefD22_0x_0" localSheetId="68">'322'!$D$24:$D$31</definedName>
    <definedName name="OSRRefD22_0x_0" localSheetId="70">'325'!$D$24:$D$31</definedName>
    <definedName name="OSRRefD22_0x_0" localSheetId="71">'326'!$D$65:$D$72</definedName>
    <definedName name="OSRRefD22_0x_0" localSheetId="72">'327'!$D$23</definedName>
    <definedName name="OSRRefD22_0x_0" localSheetId="52">'330'!$D$87:$D$95</definedName>
    <definedName name="OSRRefD22_0x_0" localSheetId="57">'331'!$D$93:$D$100</definedName>
    <definedName name="OSRRefD22_0x_0" localSheetId="59">'332'!$D$45:$D$52</definedName>
    <definedName name="OSRRefD22_0x_0" localSheetId="76">'405'!$D$24:$D$31</definedName>
    <definedName name="OSRRefD22_0x_0" localSheetId="77">'406'!$D$24:$D$31</definedName>
    <definedName name="OSRRefD22_0x_0" localSheetId="78">'411'!$D$20:$D$28</definedName>
    <definedName name="OSRRefD22_0x_0" localSheetId="79">'412'!$D$24:$D$31</definedName>
    <definedName name="OSRRefD22_0x_0" localSheetId="80">'413'!$D$24:$D$31</definedName>
    <definedName name="OSRRefD22_0x_0" localSheetId="81">'414'!$D$24:$D$31</definedName>
    <definedName name="OSRRefD22_0x_0" localSheetId="82">'415'!$D$24:$D$31</definedName>
    <definedName name="OSRRefD22_0x_0" localSheetId="83">'418'!$D$24:$D$31</definedName>
    <definedName name="OSRRefD22_0x_0" localSheetId="84">'420'!$D$24:$D$31</definedName>
    <definedName name="OSRRefD22_0x_0" localSheetId="85">'423'!$D$21:$D$28</definedName>
    <definedName name="OSRRefD22_0x_0" localSheetId="86">'424'!$D$24:$D$25</definedName>
    <definedName name="OSRRefD22_0x_0" localSheetId="87">'425'!$D$27:$D$35</definedName>
    <definedName name="OSRRefD22_0x_0" localSheetId="90">'430'!$D$20:$D$27</definedName>
    <definedName name="OSRRefD22_0x_0" localSheetId="91">'433'!$D$26:$D$34</definedName>
    <definedName name="OSRRefD22_0x_0" localSheetId="92">'435'!$D$25:$D$27</definedName>
    <definedName name="OSRRefD22_0x_0" localSheetId="93">'444'!$D$25:$D$33</definedName>
    <definedName name="OSRRefD22_0x_0" localSheetId="94">'450'!$D$25:$D$33</definedName>
    <definedName name="OSRRefD22_0x_0" localSheetId="88">'455'!$D$20:$D$26</definedName>
    <definedName name="OSRRefD22_0x_0" localSheetId="75">'491'!$D$32:$D$40</definedName>
    <definedName name="OSRRefD22_0x_0" localSheetId="89">'492'!$D$28:$D$36</definedName>
    <definedName name="OSRRefD22_0x_0" localSheetId="96">'501'!$D$21:$D$29</definedName>
    <definedName name="OSRRefD22_0x_0" localSheetId="39">'Div 2'!$D$20:$D$30</definedName>
    <definedName name="OSRRefD22_0x_0" localSheetId="47">'Div 3'!$D$176:$D$185</definedName>
    <definedName name="OSRRefD22_0x_0" localSheetId="73">'Div 4'!$D$33:$D$41</definedName>
    <definedName name="OSRRefD22_0x_0" localSheetId="95">'Div 5'!$D$21:$D$29</definedName>
    <definedName name="OSRRefD22_0x_0" localSheetId="62">'Div 6'!$D$61:$D$69</definedName>
    <definedName name="OSRRefD22_0x_0" localSheetId="2">Summary!$D$210:$D$219</definedName>
    <definedName name="OSRRefD22_10x_0" localSheetId="41">'201'!$D$51:$D$53</definedName>
    <definedName name="OSRRefD22_10x_0" localSheetId="42">'202'!$D$54</definedName>
    <definedName name="OSRRefD22_10x_0" localSheetId="43">'203'!$D$55:$D$56</definedName>
    <definedName name="OSRRefD22_10x_0" localSheetId="44">'204'!$D$56:$D$57</definedName>
    <definedName name="OSRRefD22_10x_0" localSheetId="48">'300'!$D$210:$D$211</definedName>
    <definedName name="OSRRefD22_10x_0" localSheetId="49">'300 &amp; 317'!$D$236:$D$237</definedName>
    <definedName name="OSRRefD22_10x_0" localSheetId="50">'301'!$D$60</definedName>
    <definedName name="OSRRefD22_10x_0" localSheetId="53">'307'!$D$131:$D$134</definedName>
    <definedName name="OSRRefD22_10x_0" localSheetId="55">'308'!$D$114:$D$115</definedName>
    <definedName name="OSRRefD22_10x_0" localSheetId="65">'309'!$D$56:$D$58</definedName>
    <definedName name="OSRRefD22_10x_0" localSheetId="64">'310'!$D$65</definedName>
    <definedName name="OSRRefD22_10x_0" localSheetId="74">'310 &amp; 491'!$D$75:$D$76</definedName>
    <definedName name="OSRRefD22_10x_0" localSheetId="56">'311'!$D$113:$D$114</definedName>
    <definedName name="OSRRefD22_10x_0" localSheetId="66">'313'!$D$63:$D$68</definedName>
    <definedName name="OSRRefD22_10x_0" localSheetId="58">'315'!$D$125:$D$126</definedName>
    <definedName name="OSRRefD22_10x_0" localSheetId="60">'316'!$D$70</definedName>
    <definedName name="OSRRefD22_10x_0" localSheetId="63">'317'!$D$103:$D$107</definedName>
    <definedName name="OSRRefD22_10x_0" localSheetId="67">'321'!$D$59:$D$63</definedName>
    <definedName name="OSRRefD22_10x_0" localSheetId="68">'322'!$D$58:$D$64</definedName>
    <definedName name="OSRRefD22_10x_0" localSheetId="70">'325'!$D$56</definedName>
    <definedName name="OSRRefD22_10x_0" localSheetId="71">'326'!$D$110</definedName>
    <definedName name="OSRRefD22_10x_0" localSheetId="52">'330'!$D$141:$D$142</definedName>
    <definedName name="OSRRefD22_10x_0" localSheetId="57">'331'!$D$127:$D$139</definedName>
    <definedName name="OSRRefD22_10x_0" localSheetId="59">'332'!$D$81</definedName>
    <definedName name="OSRRefD22_10x_0" localSheetId="76">'405'!$D$55:$D$56</definedName>
    <definedName name="OSRRefD22_10x_0" localSheetId="77">'406'!$D$58:$D$59</definedName>
    <definedName name="OSRRefD22_10x_0" localSheetId="78">'411'!$D$55</definedName>
    <definedName name="OSRRefD22_10x_0" localSheetId="79">'412'!$D$58:$D$60</definedName>
    <definedName name="OSRRefD22_10x_0" localSheetId="80">'413'!$D$64</definedName>
    <definedName name="OSRRefD22_10x_0" localSheetId="81">'414'!$D$57</definedName>
    <definedName name="OSRRefD22_10x_0" localSheetId="82">'415'!$D$57</definedName>
    <definedName name="OSRRefD22_10x_0" localSheetId="83">'418'!$D$57:$D$58</definedName>
    <definedName name="OSRRefD22_10x_0" localSheetId="86">'424'!$D$50</definedName>
    <definedName name="OSRRefD22_10x_0" localSheetId="87">'425'!$D$62</definedName>
    <definedName name="OSRRefD22_10x_0" localSheetId="91">'433'!$D$59</definedName>
    <definedName name="OSRRefD22_10x_0" localSheetId="93">'444'!$D$58</definedName>
    <definedName name="OSRRefD22_10x_0" localSheetId="94">'450'!$D$58</definedName>
    <definedName name="OSRRefD22_10x_0" localSheetId="75">'491'!$D$68</definedName>
    <definedName name="OSRRefD22_10x_0" localSheetId="89">'492'!$D$62</definedName>
    <definedName name="OSRRefD22_10x_0" localSheetId="96">'501'!$D$56</definedName>
    <definedName name="OSRRefD22_10x_0" localSheetId="39">'Div 2'!$D$57</definedName>
    <definedName name="OSRRefD22_10x_0" localSheetId="47">'Div 3'!$D$215:$D$216</definedName>
    <definedName name="OSRRefD22_10x_0" localSheetId="73">'Div 4'!$D$69</definedName>
    <definedName name="OSRRefD22_10x_0" localSheetId="95">'Div 5'!$D$56</definedName>
    <definedName name="OSRRefD22_10x_0" localSheetId="62">'Div 6'!$D$103:$D$107</definedName>
    <definedName name="OSRRefD22_10x_0" localSheetId="2">Summary!$D$250:$D$251</definedName>
    <definedName name="OSRRefD22_11x_0" localSheetId="41">'201'!$D$55</definedName>
    <definedName name="OSRRefD22_11x_0" localSheetId="42">'202'!$D$56</definedName>
    <definedName name="OSRRefD22_11x_0" localSheetId="43">'203'!$D$58</definedName>
    <definedName name="OSRRefD22_11x_0" localSheetId="48">'300'!$D$213</definedName>
    <definedName name="OSRRefD22_11x_0" localSheetId="49">'300 &amp; 317'!$D$239</definedName>
    <definedName name="OSRRefD22_11x_0" localSheetId="50">'301'!$D$62</definedName>
    <definedName name="OSRRefD22_11x_0" localSheetId="53">'307'!$D$136</definedName>
    <definedName name="OSRRefD22_11x_0" localSheetId="55">'308'!$D$117:$D$119</definedName>
    <definedName name="OSRRefD22_11x_0" localSheetId="65">'309'!$D$60:$D$62</definedName>
    <definedName name="OSRRefD22_11x_0" localSheetId="64">'310'!$D$67</definedName>
    <definedName name="OSRRefD22_11x_0" localSheetId="74">'310 &amp; 491'!$D$78:$D$79</definedName>
    <definedName name="OSRRefD22_11x_0" localSheetId="56">'311'!$D$116:$D$118</definedName>
    <definedName name="OSRRefD22_11x_0" localSheetId="66">'313'!$D$70</definedName>
    <definedName name="OSRRefD22_11x_0" localSheetId="58">'315'!$D$128:$D$132</definedName>
    <definedName name="OSRRefD22_11x_0" localSheetId="60">'316'!$D$72:$D$77</definedName>
    <definedName name="OSRRefD22_11x_0" localSheetId="63">'317'!$D$109</definedName>
    <definedName name="OSRRefD22_11x_0" localSheetId="67">'321'!$D$65</definedName>
    <definedName name="OSRRefD22_11x_0" localSheetId="68">'322'!$D$66</definedName>
    <definedName name="OSRRefD22_11x_0" localSheetId="70">'325'!$D$58:$D$60</definedName>
    <definedName name="OSRRefD22_11x_0" localSheetId="71">'326'!$D$112</definedName>
    <definedName name="OSRRefD22_11x_0" localSheetId="52">'330'!$D$144</definedName>
    <definedName name="OSRRefD22_11x_0" localSheetId="57">'331'!$D$141</definedName>
    <definedName name="OSRRefD22_11x_0" localSheetId="59">'332'!$D$83</definedName>
    <definedName name="OSRRefD22_11x_0" localSheetId="76">'405'!$D$58</definedName>
    <definedName name="OSRRefD22_11x_0" localSheetId="77">'406'!$D$61:$D$66</definedName>
    <definedName name="OSRRefD22_11x_0" localSheetId="78">'411'!$D$57</definedName>
    <definedName name="OSRRefD22_11x_0" localSheetId="79">'412'!$D$62:$D$67</definedName>
    <definedName name="OSRRefD22_11x_0" localSheetId="80">'413'!$D$66</definedName>
    <definedName name="OSRRefD22_11x_0" localSheetId="81">'414'!$D$59</definedName>
    <definedName name="OSRRefD22_11x_0" localSheetId="82">'415'!$D$59:$D$62</definedName>
    <definedName name="OSRRefD22_11x_0" localSheetId="83">'418'!$D$60:$D$62</definedName>
    <definedName name="OSRRefD22_11x_0" localSheetId="86">'424'!$D$52:$D$56</definedName>
    <definedName name="OSRRefD22_11x_0" localSheetId="87">'425'!$D$64:$D$66</definedName>
    <definedName name="OSRRefD22_11x_0" localSheetId="91">'433'!$D$61:$D$63</definedName>
    <definedName name="OSRRefD22_11x_0" localSheetId="93">'444'!$D$60:$D$62</definedName>
    <definedName name="OSRRefD22_11x_0" localSheetId="94">'450'!$D$60</definedName>
    <definedName name="OSRRefD22_11x_0" localSheetId="75">'491'!$D$70:$D$71</definedName>
    <definedName name="OSRRefD22_11x_0" localSheetId="89">'492'!$D$64</definedName>
    <definedName name="OSRRefD22_11x_0" localSheetId="96">'501'!$D$58:$D$60</definedName>
    <definedName name="OSRRefD22_11x_0" localSheetId="39">'Div 2'!$D$59</definedName>
    <definedName name="OSRRefD22_11x_0" localSheetId="47">'Div 3'!$D$218</definedName>
    <definedName name="OSRRefD22_11x_0" localSheetId="73">'Div 4'!$D$71:$D$72</definedName>
    <definedName name="OSRRefD22_11x_0" localSheetId="95">'Div 5'!$D$58:$D$60</definedName>
    <definedName name="OSRRefD22_11x_0" localSheetId="62">'Div 6'!$D$109</definedName>
    <definedName name="OSRRefD22_11x_0" localSheetId="2">Summary!$D$253:$D$254</definedName>
    <definedName name="OSRRefD22_12x_0" localSheetId="41">'201'!$D$57:$D$60</definedName>
    <definedName name="OSRRefD22_12x_0" localSheetId="42">'202'!$D$58:$D$60</definedName>
    <definedName name="OSRRefD22_12x_0" localSheetId="43">'203'!$D$60:$D$64</definedName>
    <definedName name="OSRRefD22_12x_0" localSheetId="48">'300'!$D$215</definedName>
    <definedName name="OSRRefD22_12x_0" localSheetId="49">'300 &amp; 317'!$D$241</definedName>
    <definedName name="OSRRefD22_12x_0" localSheetId="50">'301'!$D$64</definedName>
    <definedName name="OSRRefD22_12x_0" localSheetId="53">'307'!$D$138</definedName>
    <definedName name="OSRRefD22_12x_0" localSheetId="55">'308'!$D$121:$D$122</definedName>
    <definedName name="OSRRefD22_12x_0" localSheetId="65">'309'!$D$64</definedName>
    <definedName name="OSRRefD22_12x_0" localSheetId="64">'310'!$D$69</definedName>
    <definedName name="OSRRefD22_12x_0" localSheetId="74">'310 &amp; 491'!$D$81</definedName>
    <definedName name="OSRRefD22_12x_0" localSheetId="56">'311'!$D$120:$D$121</definedName>
    <definedName name="OSRRefD22_12x_0" localSheetId="66">'313'!$D$72</definedName>
    <definedName name="OSRRefD22_12x_0" localSheetId="58">'315'!$D$134</definedName>
    <definedName name="OSRRefD22_12x_0" localSheetId="60">'316'!$D$79</definedName>
    <definedName name="OSRRefD22_12x_0" localSheetId="63">'317'!$D$111</definedName>
    <definedName name="OSRRefD22_12x_0" localSheetId="67">'321'!$D$67</definedName>
    <definedName name="OSRRefD22_12x_0" localSheetId="68">'322'!$D$68</definedName>
    <definedName name="OSRRefD22_12x_0" localSheetId="70">'325'!$D$62:$D$65</definedName>
    <definedName name="OSRRefD22_12x_0" localSheetId="71">'326'!$D$114:$D$116</definedName>
    <definedName name="OSRRefD22_12x_0" localSheetId="52">'330'!$D$146:$D$149</definedName>
    <definedName name="OSRRefD22_12x_0" localSheetId="57">'331'!$D$143</definedName>
    <definedName name="OSRRefD22_12x_0" localSheetId="59">'332'!$D$85:$D$90</definedName>
    <definedName name="OSRRefD22_12x_0" localSheetId="76">'405'!$D$60:$D$62</definedName>
    <definedName name="OSRRefD22_12x_0" localSheetId="77">'406'!$D$68</definedName>
    <definedName name="OSRRefD22_12x_0" localSheetId="78">'411'!$D$59:$D$62</definedName>
    <definedName name="OSRRefD22_12x_0" localSheetId="79">'412'!$D$69</definedName>
    <definedName name="OSRRefD22_12x_0" localSheetId="81">'414'!$D$61</definedName>
    <definedName name="OSRRefD22_12x_0" localSheetId="82">'415'!$D$64:$D$68</definedName>
    <definedName name="OSRRefD22_12x_0" localSheetId="83">'418'!$D$64:$D$66</definedName>
    <definedName name="OSRRefD22_12x_0" localSheetId="86">'424'!$D$58</definedName>
    <definedName name="OSRRefD22_12x_0" localSheetId="87">'425'!$D$68:$D$74</definedName>
    <definedName name="OSRRefD22_12x_0" localSheetId="91">'433'!$D$65:$D$67</definedName>
    <definedName name="OSRRefD22_12x_0" localSheetId="93">'444'!$D$64:$D$67</definedName>
    <definedName name="OSRRefD22_12x_0" localSheetId="94">'450'!$D$62:$D$63</definedName>
    <definedName name="OSRRefD22_12x_0" localSheetId="75">'491'!$D$73</definedName>
    <definedName name="OSRRefD22_12x_0" localSheetId="89">'492'!$D$66:$D$68</definedName>
    <definedName name="OSRRefD22_12x_0" localSheetId="96">'501'!$D$62</definedName>
    <definedName name="OSRRefD22_12x_0" localSheetId="39">'Div 2'!$D$61:$D$64</definedName>
    <definedName name="OSRRefD22_12x_0" localSheetId="47">'Div 3'!$D$220</definedName>
    <definedName name="OSRRefD22_12x_0" localSheetId="73">'Div 4'!$D$74</definedName>
    <definedName name="OSRRefD22_12x_0" localSheetId="95">'Div 5'!$D$62</definedName>
    <definedName name="OSRRefD22_12x_0" localSheetId="62">'Div 6'!$D$111</definedName>
    <definedName name="OSRRefD22_12x_0" localSheetId="2">Summary!$D$256</definedName>
    <definedName name="OSRRefD22_13x_0" localSheetId="41">'201'!$D$62</definedName>
    <definedName name="OSRRefD22_13x_0" localSheetId="42">'202'!$D$62</definedName>
    <definedName name="OSRRefD22_13x_0" localSheetId="43">'203'!$D$66</definedName>
    <definedName name="OSRRefD22_13x_0" localSheetId="48">'300'!$D$217:$D$250</definedName>
    <definedName name="OSRRefD22_13x_0" localSheetId="49">'300 &amp; 317'!$D$243:$D$279</definedName>
    <definedName name="OSRRefD22_13x_0" localSheetId="50">'301'!$D$66</definedName>
    <definedName name="OSRRefD22_13x_0" localSheetId="55">'308'!$D$124</definedName>
    <definedName name="OSRRefD22_13x_0" localSheetId="64">'310'!$D$71</definedName>
    <definedName name="OSRRefD22_13x_0" localSheetId="74">'310 &amp; 491'!$D$83</definedName>
    <definedName name="OSRRefD22_13x_0" localSheetId="56">'311'!$D$123</definedName>
    <definedName name="OSRRefD22_13x_0" localSheetId="58">'315'!$D$136</definedName>
    <definedName name="OSRRefD22_13x_0" localSheetId="60">'316'!$D$81</definedName>
    <definedName name="OSRRefD22_13x_0" localSheetId="63">'317'!$D$113</definedName>
    <definedName name="OSRRefD22_13x_0" localSheetId="68">'322'!$D$70</definedName>
    <definedName name="OSRRefD22_13x_0" localSheetId="70">'325'!$D$67</definedName>
    <definedName name="OSRRefD22_13x_0" localSheetId="71">'326'!$D$118:$D$120</definedName>
    <definedName name="OSRRefD22_13x_0" localSheetId="52">'330'!$D$151</definedName>
    <definedName name="OSRRefD22_13x_0" localSheetId="57">'331'!$D$145:$D$147</definedName>
    <definedName name="OSRRefD22_13x_0" localSheetId="59">'332'!$D$92</definedName>
    <definedName name="OSRRefD22_13x_0" localSheetId="76">'405'!$D$64:$D$65</definedName>
    <definedName name="OSRRefD22_13x_0" localSheetId="77">'406'!$D$70</definedName>
    <definedName name="OSRRefD22_13x_0" localSheetId="78">'411'!$D$64:$D$68</definedName>
    <definedName name="OSRRefD22_13x_0" localSheetId="79">'412'!$D$71</definedName>
    <definedName name="OSRRefD22_13x_0" localSheetId="81">'414'!$D$63:$D$69</definedName>
    <definedName name="OSRRefD22_13x_0" localSheetId="82">'415'!$D$70:$D$71</definedName>
    <definedName name="OSRRefD22_13x_0" localSheetId="83">'418'!$D$68:$D$69</definedName>
    <definedName name="OSRRefD22_13x_0" localSheetId="87">'425'!$D$76</definedName>
    <definedName name="OSRRefD22_13x_0" localSheetId="91">'433'!$D$69:$D$76</definedName>
    <definedName name="OSRRefD22_13x_0" localSheetId="93">'444'!$D$69</definedName>
    <definedName name="OSRRefD22_13x_0" localSheetId="94">'450'!$D$65:$D$67</definedName>
    <definedName name="OSRRefD22_13x_0" localSheetId="75">'491'!$D$75</definedName>
    <definedName name="OSRRefD22_13x_0" localSheetId="89">'492'!$D$70:$D$73</definedName>
    <definedName name="OSRRefD22_13x_0" localSheetId="96">'501'!$D$64</definedName>
    <definedName name="OSRRefD22_13x_0" localSheetId="39">'Div 2'!$D$66:$D$68</definedName>
    <definedName name="OSRRefD22_13x_0" localSheetId="47">'Div 3'!$D$222</definedName>
    <definedName name="OSRRefD22_13x_0" localSheetId="73">'Div 4'!$D$76</definedName>
    <definedName name="OSRRefD22_13x_0" localSheetId="95">'Div 5'!$D$64</definedName>
    <definedName name="OSRRefD22_13x_0" localSheetId="62">'Div 6'!$D$113</definedName>
    <definedName name="OSRRefD22_13x_0" localSheetId="2">Summary!$D$258</definedName>
    <definedName name="OSRRefD22_14x_0" localSheetId="41">'201'!$D$64</definedName>
    <definedName name="OSRRefD22_14x_0" localSheetId="42">'202'!$D$64</definedName>
    <definedName name="OSRRefD22_14x_0" localSheetId="43">'203'!$D$68</definedName>
    <definedName name="OSRRefD22_14x_0" localSheetId="48">'300'!$D$252</definedName>
    <definedName name="OSRRefD22_14x_0" localSheetId="49">'300 &amp; 317'!$D$281</definedName>
    <definedName name="OSRRefD22_14x_0" localSheetId="50">'301'!$D$68</definedName>
    <definedName name="OSRRefD22_14x_0" localSheetId="55">'308'!$D$126</definedName>
    <definedName name="OSRRefD22_14x_0" localSheetId="64">'310'!$D$73:$D$75</definedName>
    <definedName name="OSRRefD22_14x_0" localSheetId="74">'310 &amp; 491'!$D$85</definedName>
    <definedName name="OSRRefD22_14x_0" localSheetId="56">'311'!$D$125</definedName>
    <definedName name="OSRRefD22_14x_0" localSheetId="58">'315'!$D$138:$D$139</definedName>
    <definedName name="OSRRefD22_14x_0" localSheetId="60">'316'!$D$83</definedName>
    <definedName name="OSRRefD22_14x_0" localSheetId="70">'325'!$D$69:$D$73</definedName>
    <definedName name="OSRRefD22_14x_0" localSheetId="71">'326'!$D$122:$D$123</definedName>
    <definedName name="OSRRefD22_14x_0" localSheetId="52">'330'!$D$153</definedName>
    <definedName name="OSRRefD22_14x_0" localSheetId="57">'331'!$D$149:$D$150</definedName>
    <definedName name="OSRRefD22_14x_0" localSheetId="59">'332'!$D$94</definedName>
    <definedName name="OSRRefD22_14x_0" localSheetId="76">'405'!$D$67:$D$73</definedName>
    <definedName name="OSRRefD22_14x_0" localSheetId="77">'406'!$D$72</definedName>
    <definedName name="OSRRefD22_14x_0" localSheetId="78">'411'!$D$70:$D$71</definedName>
    <definedName name="OSRRefD22_14x_0" localSheetId="81">'414'!$D$71</definedName>
    <definedName name="OSRRefD22_14x_0" localSheetId="82">'415'!$D$73:$D$81</definedName>
    <definedName name="OSRRefD22_14x_0" localSheetId="83">'418'!$D$71:$D$78</definedName>
    <definedName name="OSRRefD22_14x_0" localSheetId="87">'425'!$D$78</definedName>
    <definedName name="OSRRefD22_14x_0" localSheetId="91">'433'!$D$78</definedName>
    <definedName name="OSRRefD22_14x_0" localSheetId="93">'444'!$D$71:$D$79</definedName>
    <definedName name="OSRRefD22_14x_0" localSheetId="94">'450'!$D$69:$D$74</definedName>
    <definedName name="OSRRefD22_14x_0" localSheetId="75">'491'!$D$77</definedName>
    <definedName name="OSRRefD22_14x_0" localSheetId="89">'492'!$D$75</definedName>
    <definedName name="OSRRefD22_14x_0" localSheetId="39">'Div 2'!$D$70:$D$71</definedName>
    <definedName name="OSRRefD22_14x_0" localSheetId="47">'Div 3'!$D$224:$D$257</definedName>
    <definedName name="OSRRefD22_14x_0" localSheetId="73">'Div 4'!$D$78</definedName>
    <definedName name="OSRRefD22_14x_0" localSheetId="2">Summary!$D$260:$D$296</definedName>
    <definedName name="OSRRefD22_15x_0" localSheetId="41">'201'!$D$66</definedName>
    <definedName name="OSRRefD22_15x_0" localSheetId="42">'202'!$D$66</definedName>
    <definedName name="OSRRefD22_15x_0" localSheetId="43">'203'!$D$70</definedName>
    <definedName name="OSRRefD22_15x_0" localSheetId="48">'300'!$D$254</definedName>
    <definedName name="OSRRefD22_15x_0" localSheetId="49">'300 &amp; 317'!$D$283</definedName>
    <definedName name="OSRRefD22_15x_0" localSheetId="50">'301'!$D$70</definedName>
    <definedName name="OSRRefD22_15x_0" localSheetId="64">'310'!$D$77</definedName>
    <definedName name="OSRRefD22_15x_0" localSheetId="74">'310 &amp; 491'!$D$87</definedName>
    <definedName name="OSRRefD22_15x_0" localSheetId="70">'325'!$D$75</definedName>
    <definedName name="OSRRefD22_15x_0" localSheetId="71">'326'!$D$125:$D$130</definedName>
    <definedName name="OSRRefD22_15x_0" localSheetId="52">'330'!$D$155</definedName>
    <definedName name="OSRRefD22_15x_0" localSheetId="57">'331'!$D$152:$D$154</definedName>
    <definedName name="OSRRefD22_15x_0" localSheetId="59">'332'!$D$96</definedName>
    <definedName name="OSRRefD22_15x_0" localSheetId="76">'405'!$D$75</definedName>
    <definedName name="OSRRefD22_15x_0" localSheetId="78">'411'!$D$73:$D$81</definedName>
    <definedName name="OSRRefD22_15x_0" localSheetId="81">'414'!$D$73</definedName>
    <definedName name="OSRRefD22_15x_0" localSheetId="82">'415'!$D$83</definedName>
    <definedName name="OSRRefD22_15x_0" localSheetId="83">'418'!$D$80</definedName>
    <definedName name="OSRRefD22_15x_0" localSheetId="91">'433'!$D$80</definedName>
    <definedName name="OSRRefD22_15x_0" localSheetId="93">'444'!$D$81</definedName>
    <definedName name="OSRRefD22_15x_0" localSheetId="94">'450'!$D$76</definedName>
    <definedName name="OSRRefD22_15x_0" localSheetId="75">'491'!$D$79</definedName>
    <definedName name="OSRRefD22_15x_0" localSheetId="89">'492'!$D$77:$D$85</definedName>
    <definedName name="OSRRefD22_15x_0" localSheetId="39">'Div 2'!$D$73</definedName>
    <definedName name="OSRRefD22_15x_0" localSheetId="47">'Div 3'!$D$259</definedName>
    <definedName name="OSRRefD22_15x_0" localSheetId="73">'Div 4'!$D$80</definedName>
    <definedName name="OSRRefD22_15x_0" localSheetId="2">Summary!$D$298</definedName>
    <definedName name="OSRRefD22_16x_0" localSheetId="48">'300'!$D$256:$D$259</definedName>
    <definedName name="OSRRefD22_16x_0" localSheetId="49">'300 &amp; 317'!$D$285:$D$288</definedName>
    <definedName name="OSRRefD22_16x_0" localSheetId="50">'301'!$D$72:$D$75</definedName>
    <definedName name="OSRRefD22_16x_0" localSheetId="64">'310'!$D$79:$D$82</definedName>
    <definedName name="OSRRefD22_16x_0" localSheetId="74">'310 &amp; 491'!$D$89:$D$92</definedName>
    <definedName name="OSRRefD22_16x_0" localSheetId="70">'325'!$D$77</definedName>
    <definedName name="OSRRefD22_16x_0" localSheetId="71">'326'!$D$132</definedName>
    <definedName name="OSRRefD22_16x_0" localSheetId="57">'331'!$D$156:$D$157</definedName>
    <definedName name="OSRRefD22_16x_0" localSheetId="76">'405'!$D$77</definedName>
    <definedName name="OSRRefD22_16x_0" localSheetId="78">'411'!$D$83</definedName>
    <definedName name="OSRRefD22_16x_0" localSheetId="82">'415'!$D$85</definedName>
    <definedName name="OSRRefD22_16x_0" localSheetId="83">'418'!$D$82</definedName>
    <definedName name="OSRRefD22_16x_0" localSheetId="91">'433'!$D$82</definedName>
    <definedName name="OSRRefD22_16x_0" localSheetId="93">'444'!$D$83</definedName>
    <definedName name="OSRRefD22_16x_0" localSheetId="94">'450'!$D$78</definedName>
    <definedName name="OSRRefD22_16x_0" localSheetId="75">'491'!$D$81:$D$84</definedName>
    <definedName name="OSRRefD22_16x_0" localSheetId="89">'492'!$D$87</definedName>
    <definedName name="OSRRefD22_16x_0" localSheetId="39">'Div 2'!$D$75:$D$80</definedName>
    <definedName name="OSRRefD22_16x_0" localSheetId="47">'Div 3'!$D$261</definedName>
    <definedName name="OSRRefD22_16x_0" localSheetId="73">'Div 4'!$D$82</definedName>
    <definedName name="OSRRefD22_16x_0" localSheetId="2">Summary!$D$300</definedName>
    <definedName name="OSRRefD22_17x_0" localSheetId="48">'300'!$D$261:$D$263</definedName>
    <definedName name="OSRRefD22_17x_0" localSheetId="49">'300 &amp; 317'!$D$290:$D$292</definedName>
    <definedName name="OSRRefD22_17x_0" localSheetId="50">'301'!$D$77:$D$79</definedName>
    <definedName name="OSRRefD22_17x_0" localSheetId="64">'310'!$D$84</definedName>
    <definedName name="OSRRefD22_17x_0" localSheetId="74">'310 &amp; 491'!$D$94:$D$95</definedName>
    <definedName name="OSRRefD22_17x_0" localSheetId="70">'325'!$D$79</definedName>
    <definedName name="OSRRefD22_17x_0" localSheetId="71">'326'!$D$134</definedName>
    <definedName name="OSRRefD22_17x_0" localSheetId="57">'331'!$D$159:$D$164</definedName>
    <definedName name="OSRRefD22_17x_0" localSheetId="76">'405'!$D$79</definedName>
    <definedName name="OSRRefD22_17x_0" localSheetId="78">'411'!$D$85</definedName>
    <definedName name="OSRRefD22_17x_0" localSheetId="82">'415'!$D$87</definedName>
    <definedName name="OSRRefD22_17x_0" localSheetId="93">'444'!$D$85:$D$86</definedName>
    <definedName name="OSRRefD22_17x_0" localSheetId="94">'450'!$D$80</definedName>
    <definedName name="OSRRefD22_17x_0" localSheetId="75">'491'!$D$86:$D$87</definedName>
    <definedName name="OSRRefD22_17x_0" localSheetId="89">'492'!$D$89</definedName>
    <definedName name="OSRRefD22_17x_0" localSheetId="39">'Div 2'!$D$82:$D$83</definedName>
    <definedName name="OSRRefD22_17x_0" localSheetId="47">'Div 3'!$D$263:$D$266</definedName>
    <definedName name="OSRRefD22_17x_0" localSheetId="73">'Div 4'!$D$84:$D$87</definedName>
    <definedName name="OSRRefD22_17x_0" localSheetId="2">Summary!$D$302</definedName>
    <definedName name="OSRRefD22_18x_0" localSheetId="48">'300'!$D$265:$D$268</definedName>
    <definedName name="OSRRefD22_18x_0" localSheetId="49">'300 &amp; 317'!$D$294:$D$297</definedName>
    <definedName name="OSRRefD22_18x_0" localSheetId="50">'301'!$D$81:$D$82</definedName>
    <definedName name="OSRRefD22_18x_0" localSheetId="64">'310'!$D$86:$D$94</definedName>
    <definedName name="OSRRefD22_18x_0" localSheetId="74">'310 &amp; 491'!$D$97:$D$101</definedName>
    <definedName name="OSRRefD22_18x_0" localSheetId="71">'326'!$D$136</definedName>
    <definedName name="OSRRefD22_18x_0" localSheetId="57">'331'!$D$166</definedName>
    <definedName name="OSRRefD22_18x_0" localSheetId="78">'411'!$D$87:$D$89</definedName>
    <definedName name="OSRRefD22_18x_0" localSheetId="75">'491'!$D$89:$D$93</definedName>
    <definedName name="OSRRefD22_18x_0" localSheetId="89">'492'!$D$91:$D$92</definedName>
    <definedName name="OSRRefD22_18x_0" localSheetId="39">'Div 2'!$D$85</definedName>
    <definedName name="OSRRefD22_18x_0" localSheetId="47">'Div 3'!$D$268:$D$270</definedName>
    <definedName name="OSRRefD22_18x_0" localSheetId="73">'Div 4'!$D$89:$D$90</definedName>
    <definedName name="OSRRefD22_18x_0" localSheetId="2">Summary!$D$304:$D$307</definedName>
    <definedName name="OSRRefD22_19x_0" localSheetId="48">'300'!$D$270:$D$271</definedName>
    <definedName name="OSRRefD22_19x_0" localSheetId="49">'300 &amp; 317'!$D$299:$D$300</definedName>
    <definedName name="OSRRefD22_19x_0" localSheetId="50">'301'!$D$84:$D$90</definedName>
    <definedName name="OSRRefD22_19x_0" localSheetId="64">'310'!$D$96</definedName>
    <definedName name="OSRRefD22_19x_0" localSheetId="74">'310 &amp; 491'!$D$103:$D$104</definedName>
    <definedName name="OSRRefD22_19x_0" localSheetId="71">'326'!$D$138</definedName>
    <definedName name="OSRRefD22_19x_0" localSheetId="57">'331'!$D$168</definedName>
    <definedName name="OSRRefD22_19x_0" localSheetId="78">'411'!$D$91</definedName>
    <definedName name="OSRRefD22_19x_0" localSheetId="75">'491'!$D$95:$D$96</definedName>
    <definedName name="OSRRefD22_19x_0" localSheetId="39">'Div 2'!$D$87:$D$88</definedName>
    <definedName name="OSRRefD22_19x_0" localSheetId="47">'Div 3'!$D$272:$D$276</definedName>
    <definedName name="OSRRefD22_19x_0" localSheetId="73">'Div 4'!$D$92:$D$96</definedName>
    <definedName name="OSRRefD22_19x_0" localSheetId="2">Summary!$D$309:$D$311</definedName>
    <definedName name="OSRRefD22_1x_0" localSheetId="40">'200'!$D$23</definedName>
    <definedName name="OSRRefD22_1x_0" localSheetId="41">'201'!$D$29:$D$31</definedName>
    <definedName name="OSRRefD22_1x_0" localSheetId="42">'202'!$D$29:$D$33</definedName>
    <definedName name="OSRRefD22_1x_0" localSheetId="43">'203'!$D$31:$D$35</definedName>
    <definedName name="OSRRefD22_1x_0" localSheetId="44">'204'!$D$31:$D$35</definedName>
    <definedName name="OSRRefD22_1x_0" localSheetId="45">'205'!$D$29</definedName>
    <definedName name="OSRRefD22_1x_0" localSheetId="46">'206'!$D$29:$D$32</definedName>
    <definedName name="OSRRefD22_1x_0" localSheetId="48">'300'!$D$182:$D$188</definedName>
    <definedName name="OSRRefD22_1x_0" localSheetId="49">'300 &amp; 317'!$D$208:$D$214</definedName>
    <definedName name="OSRRefD22_1x_0" localSheetId="50">'301'!$D$32:$D$38</definedName>
    <definedName name="OSRRefD22_1x_0" localSheetId="51">'306'!$D$30:$D$35</definedName>
    <definedName name="OSRRefD22_1x_0" localSheetId="53">'307'!$D$88:$D$91</definedName>
    <definedName name="OSRRefD22_1x_0" localSheetId="55">'308'!$D$78:$D$84</definedName>
    <definedName name="OSRRefD22_1x_0" localSheetId="65">'309'!$D$33:$D$37</definedName>
    <definedName name="OSRRefD22_1x_0" localSheetId="64">'310'!$D$41:$D$46</definedName>
    <definedName name="OSRRefD22_1x_0" localSheetId="74">'310 &amp; 491'!$D$49:$D$55</definedName>
    <definedName name="OSRRefD22_1x_0" localSheetId="56">'311'!$D$77:$D$83</definedName>
    <definedName name="OSRRefD22_1x_0" localSheetId="66">'313'!$D$38:$D$43</definedName>
    <definedName name="OSRRefD22_1x_0" localSheetId="54">'314'!$D$67:$D$69</definedName>
    <definedName name="OSRRefD22_1x_0" localSheetId="58">'315'!$D$93:$D$98</definedName>
    <definedName name="OSRRefD22_1x_0" localSheetId="60">'316'!$D$46:$D$49</definedName>
    <definedName name="OSRRefD22_1x_0" localSheetId="63">'317'!$D$71:$D$75</definedName>
    <definedName name="OSRRefD22_1x_0" localSheetId="61">'320'!$D$37:$D$41</definedName>
    <definedName name="OSRRefD22_1x_0" localSheetId="67">'321'!$D$33:$D$37</definedName>
    <definedName name="OSRRefD22_1x_0" localSheetId="68">'322'!$D$33:$D$37</definedName>
    <definedName name="OSRRefD22_1x_0" localSheetId="70">'325'!$D$33:$D$37</definedName>
    <definedName name="OSRRefD22_1x_0" localSheetId="71">'326'!$D$74:$D$79</definedName>
    <definedName name="OSRRefD22_1x_0" localSheetId="72">'327'!$D$25</definedName>
    <definedName name="OSRRefD22_1x_0" localSheetId="52">'330'!$D$97:$D$101</definedName>
    <definedName name="OSRRefD22_1x_0" localSheetId="57">'331'!$D$102:$D$107</definedName>
    <definedName name="OSRRefD22_1x_0" localSheetId="59">'332'!$D$54:$D$58</definedName>
    <definedName name="OSRRefD22_1x_0" localSheetId="76">'405'!$D$33:$D$36</definedName>
    <definedName name="OSRRefD22_1x_0" localSheetId="77">'406'!$D$33:$D$38</definedName>
    <definedName name="OSRRefD22_1x_0" localSheetId="78">'411'!$D$30:$D$35</definedName>
    <definedName name="OSRRefD22_1x_0" localSheetId="79">'412'!$D$33:$D$38</definedName>
    <definedName name="OSRRefD22_1x_0" localSheetId="80">'413'!$D$33:$D$37</definedName>
    <definedName name="OSRRefD22_1x_0" localSheetId="81">'414'!$D$33:$D$38</definedName>
    <definedName name="OSRRefD22_1x_0" localSheetId="82">'415'!$D$33:$D$38</definedName>
    <definedName name="OSRRefD22_1x_0" localSheetId="83">'418'!$D$33:$D$38</definedName>
    <definedName name="OSRRefD22_1x_0" localSheetId="84">'420'!$D$33:$D$36</definedName>
    <definedName name="OSRRefD22_1x_0" localSheetId="85">'423'!$D$30:$D$31</definedName>
    <definedName name="OSRRefD22_1x_0" localSheetId="86">'424'!$D$27:$D$31</definedName>
    <definedName name="OSRRefD22_1x_0" localSheetId="87">'425'!$D$37:$D$42</definedName>
    <definedName name="OSRRefD22_1x_0" localSheetId="90">'430'!$D$29</definedName>
    <definedName name="OSRRefD22_1x_0" localSheetId="91">'433'!$D$36:$D$41</definedName>
    <definedName name="OSRRefD22_1x_0" localSheetId="92">'435'!$D$29:$D$31</definedName>
    <definedName name="OSRRefD22_1x_0" localSheetId="93">'444'!$D$35:$D$40</definedName>
    <definedName name="OSRRefD22_1x_0" localSheetId="94">'450'!$D$35:$D$40</definedName>
    <definedName name="OSRRefD22_1x_0" localSheetId="88">'455'!$D$28:$D$29</definedName>
    <definedName name="OSRRefD22_1x_0" localSheetId="75">'491'!$D$42:$D$48</definedName>
    <definedName name="OSRRefD22_1x_0" localSheetId="89">'492'!$D$38:$D$44</definedName>
    <definedName name="OSRRefD22_1x_0" localSheetId="96">'501'!$D$31:$D$35</definedName>
    <definedName name="OSRRefD22_1x_0" localSheetId="39">'Div 2'!$D$32:$D$38</definedName>
    <definedName name="OSRRefD22_1x_0" localSheetId="47">'Div 3'!$D$187:$D$193</definedName>
    <definedName name="OSRRefD22_1x_0" localSheetId="73">'Div 4'!$D$43:$D$49</definedName>
    <definedName name="OSRRefD22_1x_0" localSheetId="95">'Div 5'!$D$31:$D$35</definedName>
    <definedName name="OSRRefD22_1x_0" localSheetId="62">'Div 6'!$D$71:$D$75</definedName>
    <definedName name="OSRRefD22_1x_0" localSheetId="2">Summary!$D$221:$D$227</definedName>
    <definedName name="OSRRefD22_20x_0" localSheetId="48">'300'!$D$273:$D$280</definedName>
    <definedName name="OSRRefD22_20x_0" localSheetId="49">'300 &amp; 317'!$D$302:$D$309</definedName>
    <definedName name="OSRRefD22_20x_0" localSheetId="50">'301'!$D$92</definedName>
    <definedName name="OSRRefD22_20x_0" localSheetId="64">'310'!$D$98</definedName>
    <definedName name="OSRRefD22_20x_0" localSheetId="74">'310 &amp; 491'!$D$106:$D$115</definedName>
    <definedName name="OSRRefD22_20x_0" localSheetId="57">'331'!$D$170:$D$171</definedName>
    <definedName name="OSRRefD22_20x_0" localSheetId="75">'491'!$D$98:$D$107</definedName>
    <definedName name="OSRRefD22_20x_0" localSheetId="47">'Div 3'!$D$278:$D$279</definedName>
    <definedName name="OSRRefD22_20x_0" localSheetId="73">'Div 4'!$D$98:$D$99</definedName>
    <definedName name="OSRRefD22_20x_0" localSheetId="2">Summary!$D$313:$D$317</definedName>
    <definedName name="OSRRefD22_21x_0" localSheetId="48">'300'!$D$282:$D$283</definedName>
    <definedName name="OSRRefD22_21x_0" localSheetId="49">'300 &amp; 317'!$D$311:$D$312</definedName>
    <definedName name="OSRRefD22_21x_0" localSheetId="50">'301'!$D$94</definedName>
    <definedName name="OSRRefD22_21x_0" localSheetId="64">'310'!$D$100</definedName>
    <definedName name="OSRRefD22_21x_0" localSheetId="74">'310 &amp; 491'!$D$117</definedName>
    <definedName name="OSRRefD22_21x_0" localSheetId="57">'331'!$D$173</definedName>
    <definedName name="OSRRefD22_21x_0" localSheetId="75">'491'!$D$109</definedName>
    <definedName name="OSRRefD22_21x_0" localSheetId="47">'Div 3'!$D$281:$D$289</definedName>
    <definedName name="OSRRefD22_21x_0" localSheetId="73">'Div 4'!$D$101:$D$110</definedName>
    <definedName name="OSRRefD22_21x_0" localSheetId="2">Summary!$D$319:$D$320</definedName>
    <definedName name="OSRRefD22_22x_0" localSheetId="48">'300'!$D$285</definedName>
    <definedName name="OSRRefD22_22x_0" localSheetId="49">'300 &amp; 317'!$D$314</definedName>
    <definedName name="OSRRefD22_22x_0" localSheetId="50">'301'!$D$96:$D$98</definedName>
    <definedName name="OSRRefD22_22x_0" localSheetId="64">'310'!$D$102</definedName>
    <definedName name="OSRRefD22_22x_0" localSheetId="74">'310 &amp; 491'!$D$119</definedName>
    <definedName name="OSRRefD22_22x_0" localSheetId="75">'491'!$D$111</definedName>
    <definedName name="OSRRefD22_22x_0" localSheetId="47">'Div 3'!$D$291:$D$292</definedName>
    <definedName name="OSRRefD22_22x_0" localSheetId="73">'Div 4'!$D$112</definedName>
    <definedName name="OSRRefD22_22x_0" localSheetId="2">Summary!$D$322:$D$331</definedName>
    <definedName name="OSRRefD22_23x_0" localSheetId="48">'300'!$D$287:$D$289</definedName>
    <definedName name="OSRRefD22_23x_0" localSheetId="49">'300 &amp; 317'!$D$316:$D$318</definedName>
    <definedName name="OSRRefD22_23x_0" localSheetId="50">'301'!$D$100</definedName>
    <definedName name="OSRRefD22_23x_0" localSheetId="74">'310 &amp; 491'!$D$121:$D$123</definedName>
    <definedName name="OSRRefD22_23x_0" localSheetId="75">'491'!$D$113:$D$115</definedName>
    <definedName name="OSRRefD22_23x_0" localSheetId="47">'Div 3'!$D$294</definedName>
    <definedName name="OSRRefD22_23x_0" localSheetId="73">'Div 4'!$D$114</definedName>
    <definedName name="OSRRefD22_23x_0" localSheetId="2">Summary!$D$333:$D$334</definedName>
    <definedName name="OSRRefD22_24x_0" localSheetId="48">'300'!$D$291</definedName>
    <definedName name="OSRRefD22_24x_0" localSheetId="49">'300 &amp; 317'!$D$320</definedName>
    <definedName name="OSRRefD22_24x_0" localSheetId="74">'310 &amp; 491'!$D$125</definedName>
    <definedName name="OSRRefD22_24x_0" localSheetId="75">'491'!$D$117</definedName>
    <definedName name="OSRRefD22_24x_0" localSheetId="47">'Div 3'!$D$296:$D$298</definedName>
    <definedName name="OSRRefD22_24x_0" localSheetId="73">'Div 4'!$D$116:$D$118</definedName>
    <definedName name="OSRRefD22_24x_0" localSheetId="2">Summary!$D$336</definedName>
    <definedName name="OSRRefD22_25x_0" localSheetId="47">'Div 3'!$D$300</definedName>
    <definedName name="OSRRefD22_25x_0" localSheetId="73">'Div 4'!$D$120</definedName>
    <definedName name="OSRRefD22_25x_0" localSheetId="2">Summary!$D$338:$D$340</definedName>
    <definedName name="OSRRefD22_26x_0" localSheetId="2">Summary!$D$342</definedName>
    <definedName name="OSRRefD22_2x_0" localSheetId="40">'200'!$D$25</definedName>
    <definedName name="OSRRefD22_2x_0" localSheetId="41">'201'!$D$33</definedName>
    <definedName name="OSRRefD22_2x_0" localSheetId="42">'202'!$D$35</definedName>
    <definedName name="OSRRefD22_2x_0" localSheetId="43">'203'!$D$37</definedName>
    <definedName name="OSRRefD22_2x_0" localSheetId="44">'204'!$D$37</definedName>
    <definedName name="OSRRefD22_2x_0" localSheetId="45">'205'!$D$31</definedName>
    <definedName name="OSRRefD22_2x_0" localSheetId="46">'206'!$D$34</definedName>
    <definedName name="OSRRefD22_2x_0" localSheetId="48">'300'!$D$190</definedName>
    <definedName name="OSRRefD22_2x_0" localSheetId="49">'300 &amp; 317'!$D$216</definedName>
    <definedName name="OSRRefD22_2x_0" localSheetId="50">'301'!$D$40</definedName>
    <definedName name="OSRRefD22_2x_0" localSheetId="51">'306'!$D$37</definedName>
    <definedName name="OSRRefD22_2x_0" localSheetId="53">'307'!$D$93</definedName>
    <definedName name="OSRRefD22_2x_0" localSheetId="55">'308'!$D$86</definedName>
    <definedName name="OSRRefD22_2x_0" localSheetId="65">'309'!$D$39</definedName>
    <definedName name="OSRRefD22_2x_0" localSheetId="64">'310'!$D$48</definedName>
    <definedName name="OSRRefD22_2x_0" localSheetId="74">'310 &amp; 491'!$D$57</definedName>
    <definedName name="OSRRefD22_2x_0" localSheetId="56">'311'!$D$85</definedName>
    <definedName name="OSRRefD22_2x_0" localSheetId="66">'313'!$D$45</definedName>
    <definedName name="OSRRefD22_2x_0" localSheetId="54">'314'!$D$71</definedName>
    <definedName name="OSRRefD22_2x_0" localSheetId="58">'315'!$D$100</definedName>
    <definedName name="OSRRefD22_2x_0" localSheetId="60">'316'!$D$51</definedName>
    <definedName name="OSRRefD22_2x_0" localSheetId="63">'317'!$D$77</definedName>
    <definedName name="OSRRefD22_2x_0" localSheetId="61">'320'!$D$43</definedName>
    <definedName name="OSRRefD22_2x_0" localSheetId="67">'321'!$D$39</definedName>
    <definedName name="OSRRefD22_2x_0" localSheetId="68">'322'!$D$39</definedName>
    <definedName name="OSRRefD22_2x_0" localSheetId="70">'325'!$D$39</definedName>
    <definedName name="OSRRefD22_2x_0" localSheetId="71">'326'!$D$81</definedName>
    <definedName name="OSRRefD22_2x_0" localSheetId="72">'327'!$D$27</definedName>
    <definedName name="OSRRefD22_2x_0" localSheetId="52">'330'!$D$103</definedName>
    <definedName name="OSRRefD22_2x_0" localSheetId="57">'331'!$D$109</definedName>
    <definedName name="OSRRefD22_2x_0" localSheetId="59">'332'!$D$60</definedName>
    <definedName name="OSRRefD22_2x_0" localSheetId="76">'405'!$D$38</definedName>
    <definedName name="OSRRefD22_2x_0" localSheetId="77">'406'!$D$40</definedName>
    <definedName name="OSRRefD22_2x_0" localSheetId="78">'411'!$D$37</definedName>
    <definedName name="OSRRefD22_2x_0" localSheetId="79">'412'!$D$40</definedName>
    <definedName name="OSRRefD22_2x_0" localSheetId="80">'413'!$D$39</definedName>
    <definedName name="OSRRefD22_2x_0" localSheetId="81">'414'!$D$40</definedName>
    <definedName name="OSRRefD22_2x_0" localSheetId="82">'415'!$D$40</definedName>
    <definedName name="OSRRefD22_2x_0" localSheetId="83">'418'!$D$40</definedName>
    <definedName name="OSRRefD22_2x_0" localSheetId="84">'420'!$D$38</definedName>
    <definedName name="OSRRefD22_2x_0" localSheetId="85">'423'!$D$33</definedName>
    <definedName name="OSRRefD22_2x_0" localSheetId="86">'424'!$D$33</definedName>
    <definedName name="OSRRefD22_2x_0" localSheetId="87">'425'!$D$44</definedName>
    <definedName name="OSRRefD22_2x_0" localSheetId="90">'430'!$D$31</definedName>
    <definedName name="OSRRefD22_2x_0" localSheetId="91">'433'!$D$43</definedName>
    <definedName name="OSRRefD22_2x_0" localSheetId="92">'435'!$D$33</definedName>
    <definedName name="OSRRefD22_2x_0" localSheetId="93">'444'!$D$42</definedName>
    <definedName name="OSRRefD22_2x_0" localSheetId="94">'450'!$D$42</definedName>
    <definedName name="OSRRefD22_2x_0" localSheetId="75">'491'!$D$50</definedName>
    <definedName name="OSRRefD22_2x_0" localSheetId="89">'492'!$D$46</definedName>
    <definedName name="OSRRefD22_2x_0" localSheetId="96">'501'!$D$37</definedName>
    <definedName name="OSRRefD22_2x_0" localSheetId="39">'Div 2'!$D$40</definedName>
    <definedName name="OSRRefD22_2x_0" localSheetId="47">'Div 3'!$D$195</definedName>
    <definedName name="OSRRefD22_2x_0" localSheetId="73">'Div 4'!$D$51</definedName>
    <definedName name="OSRRefD22_2x_0" localSheetId="95">'Div 5'!$D$37</definedName>
    <definedName name="OSRRefD22_2x_0" localSheetId="62">'Div 6'!$D$77</definedName>
    <definedName name="OSRRefD22_2x_0" localSheetId="2">Summary!$D$229</definedName>
    <definedName name="OSRRefD22_3x_0" localSheetId="40">'200'!$D$27</definedName>
    <definedName name="OSRRefD22_3x_0" localSheetId="41">'201'!$D$35</definedName>
    <definedName name="OSRRefD22_3x_0" localSheetId="42">'202'!$D$37</definedName>
    <definedName name="OSRRefD22_3x_0" localSheetId="43">'203'!$D$39</definedName>
    <definedName name="OSRRefD22_3x_0" localSheetId="44">'204'!$D$39</definedName>
    <definedName name="OSRRefD22_3x_0" localSheetId="45">'205'!$D$33</definedName>
    <definedName name="OSRRefD22_3x_0" localSheetId="46">'206'!$D$36</definedName>
    <definedName name="OSRRefD22_3x_0" localSheetId="48">'300'!$D$192:$D$193</definedName>
    <definedName name="OSRRefD22_3x_0" localSheetId="49">'300 &amp; 317'!$D$218:$D$219</definedName>
    <definedName name="OSRRefD22_3x_0" localSheetId="50">'301'!$D$42:$D$43</definedName>
    <definedName name="OSRRefD22_3x_0" localSheetId="51">'306'!$D$39</definedName>
    <definedName name="OSRRefD22_3x_0" localSheetId="53">'307'!$D$95</definedName>
    <definedName name="OSRRefD22_3x_0" localSheetId="55">'308'!$D$88:$D$89</definedName>
    <definedName name="OSRRefD22_3x_0" localSheetId="65">'309'!$D$41</definedName>
    <definedName name="OSRRefD22_3x_0" localSheetId="64">'310'!$D$50</definedName>
    <definedName name="OSRRefD22_3x_0" localSheetId="74">'310 &amp; 491'!$D$59</definedName>
    <definedName name="OSRRefD22_3x_0" localSheetId="56">'311'!$D$87:$D$88</definedName>
    <definedName name="OSRRefD22_3x_0" localSheetId="66">'313'!$D$47</definedName>
    <definedName name="OSRRefD22_3x_0" localSheetId="54">'314'!$D$73:$D$74</definedName>
    <definedName name="OSRRefD22_3x_0" localSheetId="58">'315'!$D$102:$D$103</definedName>
    <definedName name="OSRRefD22_3x_0" localSheetId="60">'316'!$D$53</definedName>
    <definedName name="OSRRefD22_3x_0" localSheetId="63">'317'!$D$79</definedName>
    <definedName name="OSRRefD22_3x_0" localSheetId="61">'320'!$D$45</definedName>
    <definedName name="OSRRefD22_3x_0" localSheetId="67">'321'!$D$41</definedName>
    <definedName name="OSRRefD22_3x_0" localSheetId="68">'322'!$D$41</definedName>
    <definedName name="OSRRefD22_3x_0" localSheetId="70">'325'!$D$41</definedName>
    <definedName name="OSRRefD22_3x_0" localSheetId="71">'326'!$D$83</definedName>
    <definedName name="OSRRefD22_3x_0" localSheetId="52">'330'!$D$105</definedName>
    <definedName name="OSRRefD22_3x_0" localSheetId="57">'331'!$D$111</definedName>
    <definedName name="OSRRefD22_3x_0" localSheetId="59">'332'!$D$62</definedName>
    <definedName name="OSRRefD22_3x_0" localSheetId="76">'405'!$D$40</definedName>
    <definedName name="OSRRefD22_3x_0" localSheetId="77">'406'!$D$42</definedName>
    <definedName name="OSRRefD22_3x_0" localSheetId="78">'411'!$D$39</definedName>
    <definedName name="OSRRefD22_3x_0" localSheetId="79">'412'!$D$42</definedName>
    <definedName name="OSRRefD22_3x_0" localSheetId="80">'413'!$D$41</definedName>
    <definedName name="OSRRefD22_3x_0" localSheetId="81">'414'!$D$42</definedName>
    <definedName name="OSRRefD22_3x_0" localSheetId="82">'415'!$D$42</definedName>
    <definedName name="OSRRefD22_3x_0" localSheetId="83">'418'!$D$42</definedName>
    <definedName name="OSRRefD22_3x_0" localSheetId="84">'420'!$D$40</definedName>
    <definedName name="OSRRefD22_3x_0" localSheetId="85">'423'!$D$35</definedName>
    <definedName name="OSRRefD22_3x_0" localSheetId="86">'424'!$D$35</definedName>
    <definedName name="OSRRefD22_3x_0" localSheetId="87">'425'!$D$46</definedName>
    <definedName name="OSRRefD22_3x_0" localSheetId="90">'430'!$D$33</definedName>
    <definedName name="OSRRefD22_3x_0" localSheetId="91">'433'!$D$45</definedName>
    <definedName name="OSRRefD22_3x_0" localSheetId="92">'435'!$D$35</definedName>
    <definedName name="OSRRefD22_3x_0" localSheetId="93">'444'!$D$44</definedName>
    <definedName name="OSRRefD22_3x_0" localSheetId="94">'450'!$D$44</definedName>
    <definedName name="OSRRefD22_3x_0" localSheetId="75">'491'!$D$52</definedName>
    <definedName name="OSRRefD22_3x_0" localSheetId="89">'492'!$D$48</definedName>
    <definedName name="OSRRefD22_3x_0" localSheetId="96">'501'!$D$39</definedName>
    <definedName name="OSRRefD22_3x_0" localSheetId="39">'Div 2'!$D$42</definedName>
    <definedName name="OSRRefD22_3x_0" localSheetId="47">'Div 3'!$D$197:$D$198</definedName>
    <definedName name="OSRRefD22_3x_0" localSheetId="73">'Div 4'!$D$53</definedName>
    <definedName name="OSRRefD22_3x_0" localSheetId="95">'Div 5'!$D$39</definedName>
    <definedName name="OSRRefD22_3x_0" localSheetId="62">'Div 6'!$D$79</definedName>
    <definedName name="OSRRefD22_3x_0" localSheetId="2">Summary!$D$231:$D$232</definedName>
    <definedName name="OSRRefD22_4x_0" localSheetId="40">'200'!$D$29:$D$30</definedName>
    <definedName name="OSRRefD22_4x_0" localSheetId="41">'201'!$D$37</definedName>
    <definedName name="OSRRefD22_4x_0" localSheetId="42">'202'!$D$39</definedName>
    <definedName name="OSRRefD22_4x_0" localSheetId="43">'203'!$D$41</definedName>
    <definedName name="OSRRefD22_4x_0" localSheetId="44">'204'!$D$41</definedName>
    <definedName name="OSRRefD22_4x_0" localSheetId="45">'205'!$D$35:$D$37</definedName>
    <definedName name="OSRRefD22_4x_0" localSheetId="46">'206'!$D$38</definedName>
    <definedName name="OSRRefD22_4x_0" localSheetId="48">'300'!$D$195</definedName>
    <definedName name="OSRRefD22_4x_0" localSheetId="49">'300 &amp; 317'!$D$221</definedName>
    <definedName name="OSRRefD22_4x_0" localSheetId="50">'301'!$D$45</definedName>
    <definedName name="OSRRefD22_4x_0" localSheetId="51">'306'!$D$41</definedName>
    <definedName name="OSRRefD22_4x_0" localSheetId="53">'307'!$D$97:$D$98</definedName>
    <definedName name="OSRRefD22_4x_0" localSheetId="55">'308'!$D$91</definedName>
    <definedName name="OSRRefD22_4x_0" localSheetId="65">'309'!$D$43</definedName>
    <definedName name="OSRRefD22_4x_0" localSheetId="64">'310'!$D$52</definedName>
    <definedName name="OSRRefD22_4x_0" localSheetId="74">'310 &amp; 491'!$D$61</definedName>
    <definedName name="OSRRefD22_4x_0" localSheetId="56">'311'!$D$90</definedName>
    <definedName name="OSRRefD22_4x_0" localSheetId="66">'313'!$D$49</definedName>
    <definedName name="OSRRefD22_4x_0" localSheetId="54">'314'!$D$76</definedName>
    <definedName name="OSRRefD22_4x_0" localSheetId="58">'315'!$D$105</definedName>
    <definedName name="OSRRefD22_4x_0" localSheetId="60">'316'!$D$55</definedName>
    <definedName name="OSRRefD22_4x_0" localSheetId="63">'317'!$D$81</definedName>
    <definedName name="OSRRefD22_4x_0" localSheetId="61">'320'!$D$47:$D$48</definedName>
    <definedName name="OSRRefD22_4x_0" localSheetId="67">'321'!$D$43</definedName>
    <definedName name="OSRRefD22_4x_0" localSheetId="68">'322'!$D$43</definedName>
    <definedName name="OSRRefD22_4x_0" localSheetId="70">'325'!$D$43</definedName>
    <definedName name="OSRRefD22_4x_0" localSheetId="71">'326'!$D$85</definedName>
    <definedName name="OSRRefD22_4x_0" localSheetId="52">'330'!$D$107:$D$108</definedName>
    <definedName name="OSRRefD22_4x_0" localSheetId="57">'331'!$D$113</definedName>
    <definedName name="OSRRefD22_4x_0" localSheetId="59">'332'!$D$64</definedName>
    <definedName name="OSRRefD22_4x_0" localSheetId="76">'405'!$D$42</definedName>
    <definedName name="OSRRefD22_4x_0" localSheetId="77">'406'!$D$44</definedName>
    <definedName name="OSRRefD22_4x_0" localSheetId="78">'411'!$D$41:$D$43</definedName>
    <definedName name="OSRRefD22_4x_0" localSheetId="79">'412'!$D$44</definedName>
    <definedName name="OSRRefD22_4x_0" localSheetId="80">'413'!$D$43</definedName>
    <definedName name="OSRRefD22_4x_0" localSheetId="81">'414'!$D$44</definedName>
    <definedName name="OSRRefD22_4x_0" localSheetId="82">'415'!$D$44</definedName>
    <definedName name="OSRRefD22_4x_0" localSheetId="83">'418'!$D$44</definedName>
    <definedName name="OSRRefD22_4x_0" localSheetId="84">'420'!$D$42</definedName>
    <definedName name="OSRRefD22_4x_0" localSheetId="85">'423'!$D$37</definedName>
    <definedName name="OSRRefD22_4x_0" localSheetId="86">'424'!$D$37</definedName>
    <definedName name="OSRRefD22_4x_0" localSheetId="87">'425'!$D$48</definedName>
    <definedName name="OSRRefD22_4x_0" localSheetId="90">'430'!$D$35:$D$36</definedName>
    <definedName name="OSRRefD22_4x_0" localSheetId="91">'433'!$D$47</definedName>
    <definedName name="OSRRefD22_4x_0" localSheetId="92">'435'!$D$37</definedName>
    <definedName name="OSRRefD22_4x_0" localSheetId="93">'444'!$D$46</definedName>
    <definedName name="OSRRefD22_4x_0" localSheetId="94">'450'!$D$46</definedName>
    <definedName name="OSRRefD22_4x_0" localSheetId="75">'491'!$D$54</definedName>
    <definedName name="OSRRefD22_4x_0" localSheetId="89">'492'!$D$50</definedName>
    <definedName name="OSRRefD22_4x_0" localSheetId="96">'501'!$D$41</definedName>
    <definedName name="OSRRefD22_4x_0" localSheetId="39">'Div 2'!$D$44</definedName>
    <definedName name="OSRRefD22_4x_0" localSheetId="47">'Div 3'!$D$200</definedName>
    <definedName name="OSRRefD22_4x_0" localSheetId="73">'Div 4'!$D$55</definedName>
    <definedName name="OSRRefD22_4x_0" localSheetId="95">'Div 5'!$D$41</definedName>
    <definedName name="OSRRefD22_4x_0" localSheetId="62">'Div 6'!$D$81</definedName>
    <definedName name="OSRRefD22_4x_0" localSheetId="2">Summary!$D$234</definedName>
    <definedName name="OSRRefD22_5x_0" localSheetId="41">'201'!$D$39</definedName>
    <definedName name="OSRRefD22_5x_0" localSheetId="42">'202'!$D$41</definedName>
    <definedName name="OSRRefD22_5x_0" localSheetId="43">'203'!$D$43</definedName>
    <definedName name="OSRRefD22_5x_0" localSheetId="44">'204'!$D$43</definedName>
    <definedName name="OSRRefD22_5x_0" localSheetId="45">'205'!$D$39</definedName>
    <definedName name="OSRRefD22_5x_0" localSheetId="46">'206'!$D$40</definedName>
    <definedName name="OSRRefD22_5x_0" localSheetId="48">'300'!$D$197:$D$199</definedName>
    <definedName name="OSRRefD22_5x_0" localSheetId="49">'300 &amp; 317'!$D$223:$D$225</definedName>
    <definedName name="OSRRefD22_5x_0" localSheetId="50">'301'!$D$47:$D$49</definedName>
    <definedName name="OSRRefD22_5x_0" localSheetId="51">'306'!$D$43</definedName>
    <definedName name="OSRRefD22_5x_0" localSheetId="53">'307'!$D$100</definedName>
    <definedName name="OSRRefD22_5x_0" localSheetId="55">'308'!$D$93</definedName>
    <definedName name="OSRRefD22_5x_0" localSheetId="65">'309'!$D$45</definedName>
    <definedName name="OSRRefD22_5x_0" localSheetId="64">'310'!$D$54:$D$55</definedName>
    <definedName name="OSRRefD22_5x_0" localSheetId="74">'310 &amp; 491'!$D$63:$D$65</definedName>
    <definedName name="OSRRefD22_5x_0" localSheetId="56">'311'!$D$92</definedName>
    <definedName name="OSRRefD22_5x_0" localSheetId="66">'313'!$D$51</definedName>
    <definedName name="OSRRefD22_5x_0" localSheetId="54">'314'!$D$78:$D$86</definedName>
    <definedName name="OSRRefD22_5x_0" localSheetId="58">'315'!$D$107:$D$108</definedName>
    <definedName name="OSRRefD22_5x_0" localSheetId="60">'316'!$D$57</definedName>
    <definedName name="OSRRefD22_5x_0" localSheetId="63">'317'!$D$83:$D$84</definedName>
    <definedName name="OSRRefD22_5x_0" localSheetId="61">'320'!$D$50</definedName>
    <definedName name="OSRRefD22_5x_0" localSheetId="67">'321'!$D$45</definedName>
    <definedName name="OSRRefD22_5x_0" localSheetId="68">'322'!$D$45</definedName>
    <definedName name="OSRRefD22_5x_0" localSheetId="70">'325'!$D$45:$D$46</definedName>
    <definedName name="OSRRefD22_5x_0" localSheetId="71">'326'!$D$87:$D$88</definedName>
    <definedName name="OSRRefD22_5x_0" localSheetId="52">'330'!$D$110</definedName>
    <definedName name="OSRRefD22_5x_0" localSheetId="57">'331'!$D$115:$D$116</definedName>
    <definedName name="OSRRefD22_5x_0" localSheetId="59">'332'!$D$66</definedName>
    <definedName name="OSRRefD22_5x_0" localSheetId="76">'405'!$D$44:$D$45</definedName>
    <definedName name="OSRRefD22_5x_0" localSheetId="77">'406'!$D$46</definedName>
    <definedName name="OSRRefD22_5x_0" localSheetId="78">'411'!$D$45</definedName>
    <definedName name="OSRRefD22_5x_0" localSheetId="79">'412'!$D$46</definedName>
    <definedName name="OSRRefD22_5x_0" localSheetId="80">'413'!$D$45</definedName>
    <definedName name="OSRRefD22_5x_0" localSheetId="81">'414'!$D$46</definedName>
    <definedName name="OSRRefD22_5x_0" localSheetId="82">'415'!$D$46:$D$47</definedName>
    <definedName name="OSRRefD22_5x_0" localSheetId="83">'418'!$D$46:$D$47</definedName>
    <definedName name="OSRRefD22_5x_0" localSheetId="84">'420'!$D$44</definedName>
    <definedName name="OSRRefD22_5x_0" localSheetId="85">'423'!$D$39</definedName>
    <definedName name="OSRRefD22_5x_0" localSheetId="86">'424'!$D$39</definedName>
    <definedName name="OSRRefD22_5x_0" localSheetId="87">'425'!$D$50</definedName>
    <definedName name="OSRRefD22_5x_0" localSheetId="90">'430'!$D$38</definedName>
    <definedName name="OSRRefD22_5x_0" localSheetId="91">'433'!$D$49</definedName>
    <definedName name="OSRRefD22_5x_0" localSheetId="92">'435'!$D$39</definedName>
    <definedName name="OSRRefD22_5x_0" localSheetId="93">'444'!$D$48</definedName>
    <definedName name="OSRRefD22_5x_0" localSheetId="94">'450'!$D$48</definedName>
    <definedName name="OSRRefD22_5x_0" localSheetId="75">'491'!$D$56:$D$58</definedName>
    <definedName name="OSRRefD22_5x_0" localSheetId="89">'492'!$D$52</definedName>
    <definedName name="OSRRefD22_5x_0" localSheetId="96">'501'!$D$43:$D$44</definedName>
    <definedName name="OSRRefD22_5x_0" localSheetId="39">'Div 2'!$D$46</definedName>
    <definedName name="OSRRefD22_5x_0" localSheetId="47">'Div 3'!$D$202:$D$204</definedName>
    <definedName name="OSRRefD22_5x_0" localSheetId="73">'Div 4'!$D$57:$D$59</definedName>
    <definedName name="OSRRefD22_5x_0" localSheetId="95">'Div 5'!$D$43:$D$44</definedName>
    <definedName name="OSRRefD22_5x_0" localSheetId="62">'Div 6'!$D$83:$D$84</definedName>
    <definedName name="OSRRefD22_5x_0" localSheetId="2">Summary!$D$236:$D$239</definedName>
    <definedName name="OSRRefD22_6x_0" localSheetId="41">'201'!$D$41</definedName>
    <definedName name="OSRRefD22_6x_0" localSheetId="42">'202'!$D$43:$D$44</definedName>
    <definedName name="OSRRefD22_6x_0" localSheetId="43">'203'!$D$45</definedName>
    <definedName name="OSRRefD22_6x_0" localSheetId="44">'204'!$D$45:$D$47</definedName>
    <definedName name="OSRRefD22_6x_0" localSheetId="45">'205'!$D$41:$D$43</definedName>
    <definedName name="OSRRefD22_6x_0" localSheetId="46">'206'!$D$42:$D$43</definedName>
    <definedName name="OSRRefD22_6x_0" localSheetId="48">'300'!$D$201:$D$202</definedName>
    <definedName name="OSRRefD22_6x_0" localSheetId="49">'300 &amp; 317'!$D$227:$D$228</definedName>
    <definedName name="OSRRefD22_6x_0" localSheetId="50">'301'!$D$51:$D$52</definedName>
    <definedName name="OSRRefD22_6x_0" localSheetId="51">'306'!$D$45:$D$46</definedName>
    <definedName name="OSRRefD22_6x_0" localSheetId="53">'307'!$D$102:$D$121</definedName>
    <definedName name="OSRRefD22_6x_0" localSheetId="55">'308'!$D$95:$D$96</definedName>
    <definedName name="OSRRefD22_6x_0" localSheetId="65">'309'!$D$47</definedName>
    <definedName name="OSRRefD22_6x_0" localSheetId="64">'310'!$D$57</definedName>
    <definedName name="OSRRefD22_6x_0" localSheetId="74">'310 &amp; 491'!$D$67</definedName>
    <definedName name="OSRRefD22_6x_0" localSheetId="56">'311'!$D$94:$D$95</definedName>
    <definedName name="OSRRefD22_6x_0" localSheetId="66">'313'!$D$53</definedName>
    <definedName name="OSRRefD22_6x_0" localSheetId="54">'314'!$D$88</definedName>
    <definedName name="OSRRefD22_6x_0" localSheetId="58">'315'!$D$110:$D$116</definedName>
    <definedName name="OSRRefD22_6x_0" localSheetId="60">'316'!$D$59:$D$60</definedName>
    <definedName name="OSRRefD22_6x_0" localSheetId="63">'317'!$D$86</definedName>
    <definedName name="OSRRefD22_6x_0" localSheetId="61">'320'!$D$52:$D$54</definedName>
    <definedName name="OSRRefD22_6x_0" localSheetId="67">'321'!$D$47</definedName>
    <definedName name="OSRRefD22_6x_0" localSheetId="68">'322'!$D$47</definedName>
    <definedName name="OSRRefD22_6x_0" localSheetId="70">'325'!$D$48</definedName>
    <definedName name="OSRRefD22_6x_0" localSheetId="71">'326'!$D$90</definedName>
    <definedName name="OSRRefD22_6x_0" localSheetId="52">'330'!$D$112</definedName>
    <definedName name="OSRRefD22_6x_0" localSheetId="57">'331'!$D$118</definedName>
    <definedName name="OSRRefD22_6x_0" localSheetId="59">'332'!$D$68:$D$69</definedName>
    <definedName name="OSRRefD22_6x_0" localSheetId="76">'405'!$D$47</definedName>
    <definedName name="OSRRefD22_6x_0" localSheetId="77">'406'!$D$48</definedName>
    <definedName name="OSRRefD22_6x_0" localSheetId="78">'411'!$D$47</definedName>
    <definedName name="OSRRefD22_6x_0" localSheetId="79">'412'!$D$48</definedName>
    <definedName name="OSRRefD22_6x_0" localSheetId="80">'413'!$D$47</definedName>
    <definedName name="OSRRefD22_6x_0" localSheetId="81">'414'!$D$48</definedName>
    <definedName name="OSRRefD22_6x_0" localSheetId="82">'415'!$D$49</definedName>
    <definedName name="OSRRefD22_6x_0" localSheetId="83">'418'!$D$49</definedName>
    <definedName name="OSRRefD22_6x_0" localSheetId="84">'420'!$D$46:$D$47</definedName>
    <definedName name="OSRRefD22_6x_0" localSheetId="85">'423'!$D$41</definedName>
    <definedName name="OSRRefD22_6x_0" localSheetId="86">'424'!$D$41</definedName>
    <definedName name="OSRRefD22_6x_0" localSheetId="87">'425'!$D$52</definedName>
    <definedName name="OSRRefD22_6x_0" localSheetId="90">'430'!$D$40</definedName>
    <definedName name="OSRRefD22_6x_0" localSheetId="91">'433'!$D$51</definedName>
    <definedName name="OSRRefD22_6x_0" localSheetId="92">'435'!$D$41</definedName>
    <definedName name="OSRRefD22_6x_0" localSheetId="93">'444'!$D$50</definedName>
    <definedName name="OSRRefD22_6x_0" localSheetId="94">'450'!$D$50</definedName>
    <definedName name="OSRRefD22_6x_0" localSheetId="75">'491'!$D$60</definedName>
    <definedName name="OSRRefD22_6x_0" localSheetId="89">'492'!$D$54</definedName>
    <definedName name="OSRRefD22_6x_0" localSheetId="96">'501'!$D$46</definedName>
    <definedName name="OSRRefD22_6x_0" localSheetId="39">'Div 2'!$D$48</definedName>
    <definedName name="OSRRefD22_6x_0" localSheetId="47">'Div 3'!$D$206:$D$207</definedName>
    <definedName name="OSRRefD22_6x_0" localSheetId="73">'Div 4'!$D$61</definedName>
    <definedName name="OSRRefD22_6x_0" localSheetId="95">'Div 5'!$D$46</definedName>
    <definedName name="OSRRefD22_6x_0" localSheetId="62">'Div 6'!$D$86</definedName>
    <definedName name="OSRRefD22_6x_0" localSheetId="2">Summary!$D$241:$D$242</definedName>
    <definedName name="OSRRefD22_7x_0" localSheetId="41">'201'!$D$43</definedName>
    <definedName name="OSRRefD22_7x_0" localSheetId="42">'202'!$D$46</definedName>
    <definedName name="OSRRefD22_7x_0" localSheetId="43">'203'!$D$47</definedName>
    <definedName name="OSRRefD22_7x_0" localSheetId="44">'204'!$D$49</definedName>
    <definedName name="OSRRefD22_7x_0" localSheetId="45">'205'!$D$45</definedName>
    <definedName name="OSRRefD22_7x_0" localSheetId="46">'206'!$D$45</definedName>
    <definedName name="OSRRefD22_7x_0" localSheetId="48">'300'!$D$204</definedName>
    <definedName name="OSRRefD22_7x_0" localSheetId="49">'300 &amp; 317'!$D$230</definedName>
    <definedName name="OSRRefD22_7x_0" localSheetId="50">'301'!$D$54</definedName>
    <definedName name="OSRRefD22_7x_0" localSheetId="51">'306'!$D$48:$D$50</definedName>
    <definedName name="OSRRefD22_7x_0" localSheetId="53">'307'!$D$123</definedName>
    <definedName name="OSRRefD22_7x_0" localSheetId="55">'308'!$D$98</definedName>
    <definedName name="OSRRefD22_7x_0" localSheetId="65">'309'!$D$49</definedName>
    <definedName name="OSRRefD22_7x_0" localSheetId="64">'310'!$D$59</definedName>
    <definedName name="OSRRefD22_7x_0" localSheetId="74">'310 &amp; 491'!$D$69</definedName>
    <definedName name="OSRRefD22_7x_0" localSheetId="56">'311'!$D$97</definedName>
    <definedName name="OSRRefD22_7x_0" localSheetId="66">'313'!$D$55</definedName>
    <definedName name="OSRRefD22_7x_0" localSheetId="54">'314'!$D$90:$D$91</definedName>
    <definedName name="OSRRefD22_7x_0" localSheetId="58">'315'!$D$118</definedName>
    <definedName name="OSRRefD22_7x_0" localSheetId="60">'316'!$D$62</definedName>
    <definedName name="OSRRefD22_7x_0" localSheetId="63">'317'!$D$88:$D$95</definedName>
    <definedName name="OSRRefD22_7x_0" localSheetId="61">'320'!$D$56:$D$57</definedName>
    <definedName name="OSRRefD22_7x_0" localSheetId="67">'321'!$D$49:$D$51</definedName>
    <definedName name="OSRRefD22_7x_0" localSheetId="68">'322'!$D$49</definedName>
    <definedName name="OSRRefD22_7x_0" localSheetId="70">'325'!$D$50</definedName>
    <definedName name="OSRRefD22_7x_0" localSheetId="71">'326'!$D$92</definedName>
    <definedName name="OSRRefD22_7x_0" localSheetId="52">'330'!$D$114:$D$134</definedName>
    <definedName name="OSRRefD22_7x_0" localSheetId="57">'331'!$D$120:$D$121</definedName>
    <definedName name="OSRRefD22_7x_0" localSheetId="59">'332'!$D$71</definedName>
    <definedName name="OSRRefD22_7x_0" localSheetId="76">'405'!$D$49</definedName>
    <definedName name="OSRRefD22_7x_0" localSheetId="77">'406'!$D$50</definedName>
    <definedName name="OSRRefD22_7x_0" localSheetId="78">'411'!$D$49</definedName>
    <definedName name="OSRRefD22_7x_0" localSheetId="79">'412'!$D$50</definedName>
    <definedName name="OSRRefD22_7x_0" localSheetId="80">'413'!$D$49:$D$51</definedName>
    <definedName name="OSRRefD22_7x_0" localSheetId="81">'414'!$D$50</definedName>
    <definedName name="OSRRefD22_7x_0" localSheetId="82">'415'!$D$51</definedName>
    <definedName name="OSRRefD22_7x_0" localSheetId="83">'418'!$D$51</definedName>
    <definedName name="OSRRefD22_7x_0" localSheetId="84">'420'!$D$49</definedName>
    <definedName name="OSRRefD22_7x_0" localSheetId="86">'424'!$D$43</definedName>
    <definedName name="OSRRefD22_7x_0" localSheetId="87">'425'!$D$54</definedName>
    <definedName name="OSRRefD22_7x_0" localSheetId="90">'430'!$D$42</definedName>
    <definedName name="OSRRefD22_7x_0" localSheetId="91">'433'!$D$53</definedName>
    <definedName name="OSRRefD22_7x_0" localSheetId="92">'435'!$D$43:$D$45</definedName>
    <definedName name="OSRRefD22_7x_0" localSheetId="93">'444'!$D$52</definedName>
    <definedName name="OSRRefD22_7x_0" localSheetId="94">'450'!$D$52</definedName>
    <definedName name="OSRRefD22_7x_0" localSheetId="75">'491'!$D$62</definedName>
    <definedName name="OSRRefD22_7x_0" localSheetId="89">'492'!$D$56</definedName>
    <definedName name="OSRRefD22_7x_0" localSheetId="96">'501'!$D$48</definedName>
    <definedName name="OSRRefD22_7x_0" localSheetId="39">'Div 2'!$D$50</definedName>
    <definedName name="OSRRefD22_7x_0" localSheetId="47">'Div 3'!$D$209</definedName>
    <definedName name="OSRRefD22_7x_0" localSheetId="73">'Div 4'!$D$63</definedName>
    <definedName name="OSRRefD22_7x_0" localSheetId="95">'Div 5'!$D$48</definedName>
    <definedName name="OSRRefD22_7x_0" localSheetId="62">'Div 6'!$D$88:$D$95</definedName>
    <definedName name="OSRRefD22_7x_0" localSheetId="2">Summary!$D$244</definedName>
    <definedName name="OSRRefD22_8x_0" localSheetId="41">'201'!$D$45</definedName>
    <definedName name="OSRRefD22_8x_0" localSheetId="42">'202'!$D$48</definedName>
    <definedName name="OSRRefD22_8x_0" localSheetId="43">'203'!$D$49</definedName>
    <definedName name="OSRRefD22_8x_0" localSheetId="44">'204'!$D$51:$D$52</definedName>
    <definedName name="OSRRefD22_8x_0" localSheetId="45">'205'!$D$47</definedName>
    <definedName name="OSRRefD22_8x_0" localSheetId="46">'206'!$D$47</definedName>
    <definedName name="OSRRefD22_8x_0" localSheetId="48">'300'!$D$206</definedName>
    <definedName name="OSRRefD22_8x_0" localSheetId="49">'300 &amp; 317'!$D$232</definedName>
    <definedName name="OSRRefD22_8x_0" localSheetId="50">'301'!$D$56</definedName>
    <definedName name="OSRRefD22_8x_0" localSheetId="51">'306'!$D$52</definedName>
    <definedName name="OSRRefD22_8x_0" localSheetId="53">'307'!$D$125:$D$126</definedName>
    <definedName name="OSRRefD22_8x_0" localSheetId="55">'308'!$D$100:$D$108</definedName>
    <definedName name="OSRRefD22_8x_0" localSheetId="65">'309'!$D$51</definedName>
    <definedName name="OSRRefD22_8x_0" localSheetId="64">'310'!$D$61</definedName>
    <definedName name="OSRRefD22_8x_0" localSheetId="74">'310 &amp; 491'!$D$71</definedName>
    <definedName name="OSRRefD22_8x_0" localSheetId="56">'311'!$D$99:$D$107</definedName>
    <definedName name="OSRRefD22_8x_0" localSheetId="66">'313'!$D$57:$D$59</definedName>
    <definedName name="OSRRefD22_8x_0" localSheetId="54">'314'!$D$93</definedName>
    <definedName name="OSRRefD22_8x_0" localSheetId="58">'315'!$D$120</definedName>
    <definedName name="OSRRefD22_8x_0" localSheetId="60">'316'!$D$64:$D$66</definedName>
    <definedName name="OSRRefD22_8x_0" localSheetId="63">'317'!$D$97:$D$98</definedName>
    <definedName name="OSRRefD22_8x_0" localSheetId="61">'320'!$D$59</definedName>
    <definedName name="OSRRefD22_8x_0" localSheetId="67">'321'!$D$53</definedName>
    <definedName name="OSRRefD22_8x_0" localSheetId="68">'322'!$D$51:$D$52</definedName>
    <definedName name="OSRRefD22_8x_0" localSheetId="70">'325'!$D$52</definedName>
    <definedName name="OSRRefD22_8x_0" localSheetId="71">'326'!$D$94</definedName>
    <definedName name="OSRRefD22_8x_0" localSheetId="52">'330'!$D$136</definedName>
    <definedName name="OSRRefD22_8x_0" localSheetId="57">'331'!$D$123</definedName>
    <definedName name="OSRRefD22_8x_0" localSheetId="59">'332'!$D$73:$D$75</definedName>
    <definedName name="OSRRefD22_8x_0" localSheetId="76">'405'!$D$51</definedName>
    <definedName name="OSRRefD22_8x_0" localSheetId="77">'406'!$D$52</definedName>
    <definedName name="OSRRefD22_8x_0" localSheetId="78">'411'!$D$51</definedName>
    <definedName name="OSRRefD22_8x_0" localSheetId="79">'412'!$D$52</definedName>
    <definedName name="OSRRefD22_8x_0" localSheetId="80">'413'!$D$53:$D$55</definedName>
    <definedName name="OSRRefD22_8x_0" localSheetId="81">'414'!$D$52</definedName>
    <definedName name="OSRRefD22_8x_0" localSheetId="82">'415'!$D$53</definedName>
    <definedName name="OSRRefD22_8x_0" localSheetId="83">'418'!$D$53</definedName>
    <definedName name="OSRRefD22_8x_0" localSheetId="86">'424'!$D$45:$D$46</definedName>
    <definedName name="OSRRefD22_8x_0" localSheetId="87">'425'!$D$56</definedName>
    <definedName name="OSRRefD22_8x_0" localSheetId="91">'433'!$D$55</definedName>
    <definedName name="OSRRefD22_8x_0" localSheetId="92">'435'!$D$47</definedName>
    <definedName name="OSRRefD22_8x_0" localSheetId="93">'444'!$D$54</definedName>
    <definedName name="OSRRefD22_8x_0" localSheetId="94">'450'!$D$54</definedName>
    <definedName name="OSRRefD22_8x_0" localSheetId="75">'491'!$D$64</definedName>
    <definedName name="OSRRefD22_8x_0" localSheetId="89">'492'!$D$58</definedName>
    <definedName name="OSRRefD22_8x_0" localSheetId="96">'501'!$D$50</definedName>
    <definedName name="OSRRefD22_8x_0" localSheetId="39">'Div 2'!$D$52</definedName>
    <definedName name="OSRRefD22_8x_0" localSheetId="47">'Div 3'!$D$211</definedName>
    <definedName name="OSRRefD22_8x_0" localSheetId="73">'Div 4'!$D$65</definedName>
    <definedName name="OSRRefD22_8x_0" localSheetId="95">'Div 5'!$D$50</definedName>
    <definedName name="OSRRefD22_8x_0" localSheetId="62">'Div 6'!$D$97:$D$98</definedName>
    <definedName name="OSRRefD22_8x_0" localSheetId="2">Summary!$D$246</definedName>
    <definedName name="OSRRefD22_9x_0" localSheetId="41">'201'!$D$47:$D$49</definedName>
    <definedName name="OSRRefD22_9x_0" localSheetId="42">'202'!$D$50:$D$52</definedName>
    <definedName name="OSRRefD22_9x_0" localSheetId="43">'203'!$D$51:$D$53</definedName>
    <definedName name="OSRRefD22_9x_0" localSheetId="44">'204'!$D$54</definedName>
    <definedName name="OSRRefD22_9x_0" localSheetId="48">'300'!$D$208</definedName>
    <definedName name="OSRRefD22_9x_0" localSheetId="49">'300 &amp; 317'!$D$234</definedName>
    <definedName name="OSRRefD22_9x_0" localSheetId="50">'301'!$D$58</definedName>
    <definedName name="OSRRefD22_9x_0" localSheetId="51">'306'!$D$54</definedName>
    <definedName name="OSRRefD22_9x_0" localSheetId="53">'307'!$D$128:$D$129</definedName>
    <definedName name="OSRRefD22_9x_0" localSheetId="55">'308'!$D$110:$D$112</definedName>
    <definedName name="OSRRefD22_9x_0" localSheetId="65">'309'!$D$53:$D$54</definedName>
    <definedName name="OSRRefD22_9x_0" localSheetId="64">'310'!$D$63</definedName>
    <definedName name="OSRRefD22_9x_0" localSheetId="74">'310 &amp; 491'!$D$73</definedName>
    <definedName name="OSRRefD22_9x_0" localSheetId="56">'311'!$D$109:$D$111</definedName>
    <definedName name="OSRRefD22_9x_0" localSheetId="66">'313'!$D$61</definedName>
    <definedName name="OSRRefD22_9x_0" localSheetId="54">'314'!$D$95</definedName>
    <definedName name="OSRRefD22_9x_0" localSheetId="58">'315'!$D$122:$D$123</definedName>
    <definedName name="OSRRefD22_9x_0" localSheetId="60">'316'!$D$68</definedName>
    <definedName name="OSRRefD22_9x_0" localSheetId="63">'317'!$D$100:$D$101</definedName>
    <definedName name="OSRRefD22_9x_0" localSheetId="67">'321'!$D$55:$D$57</definedName>
    <definedName name="OSRRefD22_9x_0" localSheetId="68">'322'!$D$54:$D$56</definedName>
    <definedName name="OSRRefD22_9x_0" localSheetId="70">'325'!$D$54</definedName>
    <definedName name="OSRRefD22_9x_0" localSheetId="71">'326'!$D$96:$D$108</definedName>
    <definedName name="OSRRefD22_9x_0" localSheetId="52">'330'!$D$138:$D$139</definedName>
    <definedName name="OSRRefD22_9x_0" localSheetId="57">'331'!$D$125</definedName>
    <definedName name="OSRRefD22_9x_0" localSheetId="59">'332'!$D$77:$D$79</definedName>
    <definedName name="OSRRefD22_9x_0" localSheetId="76">'405'!$D$53</definedName>
    <definedName name="OSRRefD22_9x_0" localSheetId="77">'406'!$D$54:$D$56</definedName>
    <definedName name="OSRRefD22_9x_0" localSheetId="78">'411'!$D$53</definedName>
    <definedName name="OSRRefD22_9x_0" localSheetId="79">'412'!$D$54:$D$56</definedName>
    <definedName name="OSRRefD22_9x_0" localSheetId="80">'413'!$D$57:$D$62</definedName>
    <definedName name="OSRRefD22_9x_0" localSheetId="81">'414'!$D$54:$D$55</definedName>
    <definedName name="OSRRefD22_9x_0" localSheetId="82">'415'!$D$55</definedName>
    <definedName name="OSRRefD22_9x_0" localSheetId="83">'418'!$D$55</definedName>
    <definedName name="OSRRefD22_9x_0" localSheetId="86">'424'!$D$48</definedName>
    <definedName name="OSRRefD22_9x_0" localSheetId="87">'425'!$D$58:$D$60</definedName>
    <definedName name="OSRRefD22_9x_0" localSheetId="91">'433'!$D$57</definedName>
    <definedName name="OSRRefD22_9x_0" localSheetId="93">'444'!$D$56</definedName>
    <definedName name="OSRRefD22_9x_0" localSheetId="94">'450'!$D$56</definedName>
    <definedName name="OSRRefD22_9x_0" localSheetId="75">'491'!$D$66</definedName>
    <definedName name="OSRRefD22_9x_0" localSheetId="89">'492'!$D$60</definedName>
    <definedName name="OSRRefD22_9x_0" localSheetId="96">'501'!$D$52:$D$54</definedName>
    <definedName name="OSRRefD22_9x_0" localSheetId="39">'Div 2'!$D$54:$D$55</definedName>
    <definedName name="OSRRefD22_9x_0" localSheetId="47">'Div 3'!$D$213</definedName>
    <definedName name="OSRRefD22_9x_0" localSheetId="73">'Div 4'!$D$67</definedName>
    <definedName name="OSRRefD22_9x_0" localSheetId="95">'Div 5'!$D$52:$D$54</definedName>
    <definedName name="OSRRefD22_9x_0" localSheetId="62">'Div 6'!$D$100:$D$101</definedName>
    <definedName name="OSRRefD22_9x_0" localSheetId="2">Summary!$D$248</definedName>
    <definedName name="OSRRefD22x_0" localSheetId="40">'200'!$D$20:$D$21,'200'!$D$23,'200'!$D$25,'200'!$D$27,'200'!$D$29:$D$30</definedName>
    <definedName name="OSRRefD22x_0" localSheetId="41">'201'!$D$20:$D$27,'201'!$D$29:$D$31,'201'!$D$33,'201'!$D$35,'201'!$D$37,'201'!$D$39,'201'!$D$41,'201'!$D$43,'201'!$D$45,'201'!$D$47:$D$49,'201'!$D$51:$D$53,'201'!$D$55,'201'!$D$57:$D$60,'201'!$D$62,'201'!$D$64,'201'!$D$66</definedName>
    <definedName name="OSRRefD22x_0" localSheetId="42">'202'!$D$20:$D$27,'202'!$D$29:$D$33,'202'!$D$35,'202'!$D$37,'202'!$D$39,'202'!$D$41,'202'!$D$43:$D$44,'202'!$D$46,'202'!$D$48,'202'!$D$50:$D$52,'202'!$D$54,'202'!$D$56,'202'!$D$58:$D$60,'202'!$D$62,'202'!$D$64,'202'!$D$66</definedName>
    <definedName name="OSRRefD22x_0" localSheetId="43">'203'!$D$20:$D$29,'203'!$D$31:$D$35,'203'!$D$37,'203'!$D$39,'203'!$D$41,'203'!$D$43,'203'!$D$45,'203'!$D$47,'203'!$D$49,'203'!$D$51:$D$53,'203'!$D$55:$D$56,'203'!$D$58,'203'!$D$60:$D$64,'203'!$D$66,'203'!$D$68,'203'!$D$70</definedName>
    <definedName name="OSRRefD22x_0" localSheetId="44">'204'!$D$20:$D$29,'204'!$D$31:$D$35,'204'!$D$37,'204'!$D$39,'204'!$D$41,'204'!$D$43,'204'!$D$45:$D$47,'204'!$D$49,'204'!$D$51:$D$52,'204'!$D$54,'204'!$D$56:$D$57</definedName>
    <definedName name="OSRRefD22x_0" localSheetId="45">'205'!$D$20:$D$27,'205'!$D$29,'205'!$D$31,'205'!$D$33,'205'!$D$35:$D$37,'205'!$D$39,'205'!$D$41:$D$43,'205'!$D$45,'205'!$D$47</definedName>
    <definedName name="OSRRefD22x_0" localSheetId="46">'206'!$D$20:$D$27,'206'!$D$29:$D$32,'206'!$D$34,'206'!$D$36,'206'!$D$38,'206'!$D$40,'206'!$D$42:$D$43,'206'!$D$45,'206'!$D$47</definedName>
    <definedName name="OSRRefD22x_0" localSheetId="48">'300'!$D$171:$D$180,'300'!$D$182:$D$188,'300'!$D$190,'300'!$D$192:$D$193,'300'!$D$195,'300'!$D$197:$D$199,'300'!$D$201:$D$202,'300'!$D$204,'300'!$D$206,'300'!$D$208,'300'!$D$210:$D$211,'300'!$D$213,'300'!$D$215,'300'!$D$217:$D$250,'300'!$D$252,'300'!$D$254,'300'!$D$256:$D$259,'300'!$D$261:$D$263,'300'!$D$265:$D$268,'300'!$D$270:$D$271,'300'!$D$273:$D$280,'300'!$D$282:$D$283,'300'!$D$285,'300'!$D$287:$D$289,'300'!$D$291</definedName>
    <definedName name="OSRRefD22x_0" localSheetId="49">'300 &amp; 317'!$D$197:$D$206,'300 &amp; 317'!$D$208:$D$214,'300 &amp; 317'!$D$216,'300 &amp; 317'!$D$218:$D$219,'300 &amp; 317'!$D$221,'300 &amp; 317'!$D$223:$D$225,'300 &amp; 317'!$D$227:$D$228,'300 &amp; 317'!$D$230,'300 &amp; 317'!$D$232,'300 &amp; 317'!$D$234,'300 &amp; 317'!$D$236:$D$237,'300 &amp; 317'!$D$239,'300 &amp; 317'!$D$241,'300 &amp; 317'!$D$243:$D$279,'300 &amp; 317'!$D$281,'300 &amp; 317'!$D$283,'300 &amp; 317'!$D$285:$D$288,'300 &amp; 317'!$D$290:$D$292,'300 &amp; 317'!$D$294:$D$297,'300 &amp; 317'!$D$299:$D$300,'300 &amp; 317'!$D$302:$D$309,'300 &amp; 317'!$D$311:$D$312,'300 &amp; 317'!$D$314,'300 &amp; 317'!$D$316:$D$318,'300 &amp; 317'!$D$320</definedName>
    <definedName name="OSRRefD22x_0" localSheetId="50">'301'!$D$21:$D$30,'301'!$D$32:$D$38,'301'!$D$40,'301'!$D$42:$D$43,'301'!$D$45,'301'!$D$47:$D$49,'301'!$D$51:$D$52,'301'!$D$54,'301'!$D$56,'301'!$D$58,'301'!$D$60,'301'!$D$62,'301'!$D$64,'301'!$D$66,'301'!$D$68,'301'!$D$70,'301'!$D$72:$D$75,'301'!$D$77:$D$79,'301'!$D$81:$D$82,'301'!$D$84:$D$90,'301'!$D$92,'301'!$D$94,'301'!$D$96:$D$98,'301'!$D$100</definedName>
    <definedName name="OSRRefD22x_0" localSheetId="51">'306'!$D$20:$D$28,'306'!$D$30:$D$35,'306'!$D$37,'306'!$D$39,'306'!$D$41,'306'!$D$43,'306'!$D$45:$D$46,'306'!$D$48:$D$50,'306'!$D$52,'306'!$D$54</definedName>
    <definedName name="OSRRefD22x_0" localSheetId="53">'307'!$D$79:$D$86,'307'!$D$88:$D$91,'307'!$D$93,'307'!$D$95,'307'!$D$97:$D$98,'307'!$D$100,'307'!$D$102:$D$121,'307'!$D$123,'307'!$D$125:$D$126,'307'!$D$128:$D$129,'307'!$D$131:$D$134,'307'!$D$136,'307'!$D$138</definedName>
    <definedName name="OSRRefD22x_0" localSheetId="55">'308'!$D$68:$D$76,'308'!$D$78:$D$84,'308'!$D$86,'308'!$D$88:$D$89,'308'!$D$91,'308'!$D$93,'308'!$D$95:$D$96,'308'!$D$98,'308'!$D$100:$D$108,'308'!$D$110:$D$112,'308'!$D$114:$D$115,'308'!$D$117:$D$119,'308'!$D$121:$D$122,'308'!$D$124,'308'!$D$126</definedName>
    <definedName name="OSRRefD22x_0" localSheetId="65">'309'!$D$24:$D$31,'309'!$D$33:$D$37,'309'!$D$39,'309'!$D$41,'309'!$D$43,'309'!$D$45,'309'!$D$47,'309'!$D$49,'309'!$D$51,'309'!$D$53:$D$54,'309'!$D$56:$D$58,'309'!$D$60:$D$62,'309'!$D$64</definedName>
    <definedName name="OSRRefD22x_0" localSheetId="64">'310'!$D$32:$D$39,'310'!$D$41:$D$46,'310'!$D$48,'310'!$D$50,'310'!$D$52,'310'!$D$54:$D$55,'310'!$D$57,'310'!$D$59,'310'!$D$61,'310'!$D$63,'310'!$D$65,'310'!$D$67,'310'!$D$69,'310'!$D$71,'310'!$D$73:$D$75,'310'!$D$77,'310'!$D$79:$D$82,'310'!$D$84,'310'!$D$86:$D$94,'310'!$D$96,'310'!$D$98,'310'!$D$100,'310'!$D$102</definedName>
    <definedName name="OSRRefD22x_0" localSheetId="74">'310 &amp; 491'!$D$39:$D$47,'310 &amp; 491'!$D$49:$D$55,'310 &amp; 491'!$D$57,'310 &amp; 491'!$D$59,'310 &amp; 491'!$D$61,'310 &amp; 491'!$D$63:$D$65,'310 &amp; 491'!$D$67,'310 &amp; 491'!$D$69,'310 &amp; 491'!$D$71,'310 &amp; 491'!$D$73,'310 &amp; 491'!$D$75:$D$76,'310 &amp; 491'!$D$78:$D$79,'310 &amp; 491'!$D$81,'310 &amp; 491'!$D$83,'310 &amp; 491'!$D$85,'310 &amp; 491'!$D$87,'310 &amp; 491'!$D$89:$D$92,'310 &amp; 491'!$D$94:$D$95,'310 &amp; 491'!$D$97:$D$101,'310 &amp; 491'!$D$103:$D$104,'310 &amp; 491'!$D$106:$D$115,'310 &amp; 491'!$D$117,'310 &amp; 491'!$D$119,'310 &amp; 491'!$D$121:$D$123,'310 &amp; 491'!$D$125</definedName>
    <definedName name="OSRRefD22x_0" localSheetId="56">'311'!$D$67:$D$75,'311'!$D$77:$D$83,'311'!$D$85,'311'!$D$87:$D$88,'311'!$D$90,'311'!$D$92,'311'!$D$94:$D$95,'311'!$D$97,'311'!$D$99:$D$107,'311'!$D$109:$D$111,'311'!$D$113:$D$114,'311'!$D$116:$D$118,'311'!$D$120:$D$121,'311'!$D$123,'311'!$D$125</definedName>
    <definedName name="OSRRefD22x_0" localSheetId="66">'313'!$D$29:$D$36,'313'!$D$38:$D$43,'313'!$D$45,'313'!$D$47,'313'!$D$49,'313'!$D$51,'313'!$D$53,'313'!$D$55,'313'!$D$57:$D$59,'313'!$D$61,'313'!$D$63:$D$68,'313'!$D$70,'313'!$D$72</definedName>
    <definedName name="OSRRefD22x_0" localSheetId="54">'314'!$D$57:$D$65,'314'!$D$67:$D$69,'314'!$D$71,'314'!$D$73:$D$74,'314'!$D$76,'314'!$D$78:$D$86,'314'!$D$88,'314'!$D$90:$D$91,'314'!$D$93,'314'!$D$95</definedName>
    <definedName name="OSRRefD22x_0" localSheetId="58">'315'!$D$84:$D$91,'315'!$D$93:$D$98,'315'!$D$100,'315'!$D$102:$D$103,'315'!$D$105,'315'!$D$107:$D$108,'315'!$D$110:$D$116,'315'!$D$118,'315'!$D$120,'315'!$D$122:$D$123,'315'!$D$125:$D$126,'315'!$D$128:$D$132,'315'!$D$134,'315'!$D$136,'315'!$D$138:$D$139</definedName>
    <definedName name="OSRRefD22x_0" localSheetId="60">'316'!$D$37:$D$44,'316'!$D$46:$D$49,'316'!$D$51,'316'!$D$53,'316'!$D$55,'316'!$D$57,'316'!$D$59:$D$60,'316'!$D$62,'316'!$D$64:$D$66,'316'!$D$68,'316'!$D$70,'316'!$D$72:$D$77,'316'!$D$79,'316'!$D$81,'316'!$D$83</definedName>
    <definedName name="OSRRefD22x_0" localSheetId="63">'317'!$D$61:$D$69,'317'!$D$71:$D$75,'317'!$D$77,'317'!$D$79,'317'!$D$81,'317'!$D$83:$D$84,'317'!$D$86,'317'!$D$88:$D$95,'317'!$D$97:$D$98,'317'!$D$100:$D$101,'317'!$D$103:$D$107,'317'!$D$109,'317'!$D$111,'317'!$D$113</definedName>
    <definedName name="OSRRefD22x_0" localSheetId="61">'320'!$D$29:$D$35,'320'!$D$37:$D$41,'320'!$D$43,'320'!$D$45,'320'!$D$47:$D$48,'320'!$D$50,'320'!$D$52:$D$54,'320'!$D$56:$D$57,'320'!$D$59</definedName>
    <definedName name="OSRRefD22x_0" localSheetId="67">'321'!$D$24:$D$31,'321'!$D$33:$D$37,'321'!$D$39,'321'!$D$41,'321'!$D$43,'321'!$D$45,'321'!$D$47,'321'!$D$49:$D$51,'321'!$D$53,'321'!$D$55:$D$57,'321'!$D$59:$D$63,'321'!$D$65,'321'!$D$67</definedName>
    <definedName name="OSRRefD22x_0" localSheetId="68">'322'!$D$24:$D$31,'322'!$D$33:$D$37,'322'!$D$39,'322'!$D$41,'322'!$D$43,'322'!$D$45,'322'!$D$47,'322'!$D$49,'322'!$D$51:$D$52,'322'!$D$54:$D$56,'322'!$D$58:$D$64,'322'!$D$66,'322'!$D$68,'322'!$D$70</definedName>
    <definedName name="OSRRefD22x_0" localSheetId="70">'325'!$D$24:$D$31,'325'!$D$33:$D$37,'325'!$D$39,'325'!$D$41,'325'!$D$43,'325'!$D$45:$D$46,'325'!$D$48,'325'!$D$50,'325'!$D$52,'325'!$D$54,'325'!$D$56,'325'!$D$58:$D$60,'325'!$D$62:$D$65,'325'!$D$67,'325'!$D$69:$D$73,'325'!$D$75,'325'!$D$77,'325'!$D$79</definedName>
    <definedName name="OSRRefD22x_0" localSheetId="71">'326'!$D$65:$D$72,'326'!$D$74:$D$79,'326'!$D$81,'326'!$D$83,'326'!$D$85,'326'!$D$87:$D$88,'326'!$D$90,'326'!$D$92,'326'!$D$94,'326'!$D$96:$D$108,'326'!$D$110,'326'!$D$112,'326'!$D$114:$D$116,'326'!$D$118:$D$120,'326'!$D$122:$D$123,'326'!$D$125:$D$130,'326'!$D$132,'326'!$D$134,'326'!$D$136,'326'!$D$138</definedName>
    <definedName name="OSRRefD22x_0" localSheetId="72">'327'!$D$23,'327'!$D$25,'327'!$D$27</definedName>
    <definedName name="OSRRefD22x_0" localSheetId="52">'330'!$D$87:$D$95,'330'!$D$97:$D$101,'330'!$D$103,'330'!$D$105,'330'!$D$107:$D$108,'330'!$D$110,'330'!$D$112,'330'!$D$114:$D$134,'330'!$D$136,'330'!$D$138:$D$139,'330'!$D$141:$D$142,'330'!$D$144,'330'!$D$146:$D$149,'330'!$D$151,'330'!$D$153,'330'!$D$155</definedName>
    <definedName name="OSRRefD22x_0" localSheetId="57">'331'!$D$93:$D$100,'331'!$D$102:$D$107,'331'!$D$109,'331'!$D$111,'331'!$D$113,'331'!$D$115:$D$116,'331'!$D$118,'331'!$D$120:$D$121,'331'!$D$123,'331'!$D$125,'331'!$D$127:$D$139,'331'!$D$141,'331'!$D$143,'331'!$D$145:$D$147,'331'!$D$149:$D$150,'331'!$D$152:$D$154,'331'!$D$156:$D$157,'331'!$D$159:$D$164,'331'!$D$166,'331'!$D$168,'331'!$D$170:$D$171,'331'!$D$173</definedName>
    <definedName name="OSRRefD22x_0" localSheetId="59">'332'!$D$45:$D$52,'332'!$D$54:$D$58,'332'!$D$60,'332'!$D$62,'332'!$D$64,'332'!$D$66,'332'!$D$68:$D$69,'332'!$D$71,'332'!$D$73:$D$75,'332'!$D$77:$D$79,'332'!$D$81,'332'!$D$83,'332'!$D$85:$D$90,'332'!$D$92,'332'!$D$94,'332'!$D$96</definedName>
    <definedName name="OSRRefD22x_0" localSheetId="76">'405'!$D$24:$D$31,'405'!$D$33:$D$36,'405'!$D$38,'405'!$D$40,'405'!$D$42,'405'!$D$44:$D$45,'405'!$D$47,'405'!$D$49,'405'!$D$51,'405'!$D$53,'405'!$D$55:$D$56,'405'!$D$58,'405'!$D$60:$D$62,'405'!$D$64:$D$65,'405'!$D$67:$D$73,'405'!$D$75,'405'!$D$77,'405'!$D$79</definedName>
    <definedName name="OSRRefD22x_0" localSheetId="77">'406'!$D$24:$D$31,'406'!$D$33:$D$38,'406'!$D$40,'406'!$D$42,'406'!$D$44,'406'!$D$46,'406'!$D$48,'406'!$D$50,'406'!$D$52,'406'!$D$54:$D$56,'406'!$D$58:$D$59,'406'!$D$61:$D$66,'406'!$D$68,'406'!$D$70,'406'!$D$72</definedName>
    <definedName name="OSRRefD22x_0" localSheetId="78">'411'!$D$20:$D$28,'411'!$D$30:$D$35,'411'!$D$37,'411'!$D$39,'411'!$D$41:$D$43,'411'!$D$45,'411'!$D$47,'411'!$D$49,'411'!$D$51,'411'!$D$53,'411'!$D$55,'411'!$D$57,'411'!$D$59:$D$62,'411'!$D$64:$D$68,'411'!$D$70:$D$71,'411'!$D$73:$D$81,'411'!$D$83,'411'!$D$85,'411'!$D$87:$D$89,'411'!$D$91</definedName>
    <definedName name="OSRRefD22x_0" localSheetId="79">'412'!$D$24:$D$31,'412'!$D$33:$D$38,'412'!$D$40,'412'!$D$42,'412'!$D$44,'412'!$D$46,'412'!$D$48,'412'!$D$50,'412'!$D$52,'412'!$D$54:$D$56,'412'!$D$58:$D$60,'412'!$D$62:$D$67,'412'!$D$69,'412'!$D$71</definedName>
    <definedName name="OSRRefD22x_0" localSheetId="80">'413'!$D$24:$D$31,'413'!$D$33:$D$37,'413'!$D$39,'413'!$D$41,'413'!$D$43,'413'!$D$45,'413'!$D$47,'413'!$D$49:$D$51,'413'!$D$53:$D$55,'413'!$D$57:$D$62,'413'!$D$64,'413'!$D$66</definedName>
    <definedName name="OSRRefD22x_0" localSheetId="81">'414'!$D$24:$D$31,'414'!$D$33:$D$38,'414'!$D$40,'414'!$D$42,'414'!$D$44,'414'!$D$46,'414'!$D$48,'414'!$D$50,'414'!$D$52,'414'!$D$54:$D$55,'414'!$D$57,'414'!$D$59,'414'!$D$61,'414'!$D$63:$D$69,'414'!$D$71,'414'!$D$73</definedName>
    <definedName name="OSRRefD22x_0" localSheetId="82">'415'!$D$24:$D$31,'415'!$D$33:$D$38,'415'!$D$40,'415'!$D$42,'415'!$D$44,'415'!$D$46:$D$47,'415'!$D$49,'415'!$D$51,'415'!$D$53,'415'!$D$55,'415'!$D$57,'415'!$D$59:$D$62,'415'!$D$64:$D$68,'415'!$D$70:$D$71,'415'!$D$73:$D$81,'415'!$D$83,'415'!$D$85,'415'!$D$87</definedName>
    <definedName name="OSRRefD22x_0" localSheetId="83">'418'!$D$24:$D$31,'418'!$D$33:$D$38,'418'!$D$40,'418'!$D$42,'418'!$D$44,'418'!$D$46:$D$47,'418'!$D$49,'418'!$D$51,'418'!$D$53,'418'!$D$55,'418'!$D$57:$D$58,'418'!$D$60:$D$62,'418'!$D$64:$D$66,'418'!$D$68:$D$69,'418'!$D$71:$D$78,'418'!$D$80,'418'!$D$82</definedName>
    <definedName name="OSRRefD22x_0" localSheetId="84">'420'!$D$24:$D$31,'420'!$D$33:$D$36,'420'!$D$38,'420'!$D$40,'420'!$D$42,'420'!$D$44,'420'!$D$46:$D$47,'420'!$D$49</definedName>
    <definedName name="OSRRefD22x_0" localSheetId="85">'423'!$D$21:$D$28,'423'!$D$30:$D$31,'423'!$D$33,'423'!$D$35,'423'!$D$37,'423'!$D$39,'423'!$D$41</definedName>
    <definedName name="OSRRefD22x_0" localSheetId="86">'424'!$D$24:$D$25,'424'!$D$27:$D$31,'424'!$D$33,'424'!$D$35,'424'!$D$37,'424'!$D$39,'424'!$D$41,'424'!$D$43,'424'!$D$45:$D$46,'424'!$D$48,'424'!$D$50,'424'!$D$52:$D$56,'424'!$D$58</definedName>
    <definedName name="OSRRefD22x_0" localSheetId="87">'425'!$D$27:$D$35,'425'!$D$37:$D$42,'425'!$D$44,'425'!$D$46,'425'!$D$48,'425'!$D$50,'425'!$D$52,'425'!$D$54,'425'!$D$56,'425'!$D$58:$D$60,'425'!$D$62,'425'!$D$64:$D$66,'425'!$D$68:$D$74,'425'!$D$76,'425'!$D$78</definedName>
    <definedName name="OSRRefD22x_0" localSheetId="90">'430'!$D$20:$D$27,'430'!$D$29,'430'!$D$31,'430'!$D$33,'430'!$D$35:$D$36,'430'!$D$38,'430'!$D$40,'430'!$D$42</definedName>
    <definedName name="OSRRefD22x_0" localSheetId="91">'433'!$D$26:$D$34,'433'!$D$36:$D$41,'433'!$D$43,'433'!$D$45,'433'!$D$47,'433'!$D$49,'433'!$D$51,'433'!$D$53,'433'!$D$55,'433'!$D$57,'433'!$D$59,'433'!$D$61:$D$63,'433'!$D$65:$D$67,'433'!$D$69:$D$76,'433'!$D$78,'433'!$D$80,'433'!$D$82</definedName>
    <definedName name="OSRRefD22x_0" localSheetId="92">'435'!$D$25:$D$27,'435'!$D$29:$D$31,'435'!$D$33,'435'!$D$35,'435'!$D$37,'435'!$D$39,'435'!$D$41,'435'!$D$43:$D$45,'435'!$D$47</definedName>
    <definedName name="OSRRefD22x_0" localSheetId="93">'444'!$D$25:$D$33,'444'!$D$35:$D$40,'444'!$D$42,'444'!$D$44,'444'!$D$46,'444'!$D$48,'444'!$D$50,'444'!$D$52,'444'!$D$54,'444'!$D$56,'444'!$D$58,'444'!$D$60:$D$62,'444'!$D$64:$D$67,'444'!$D$69,'444'!$D$71:$D$79,'444'!$D$81,'444'!$D$83,'444'!$D$85:$D$86</definedName>
    <definedName name="OSRRefD22x_0" localSheetId="94">'450'!$D$25:$D$33,'450'!$D$35:$D$40,'450'!$D$42,'450'!$D$44,'450'!$D$46,'450'!$D$48,'450'!$D$50,'450'!$D$52,'450'!$D$54,'450'!$D$56,'450'!$D$58,'450'!$D$60,'450'!$D$62:$D$63,'450'!$D$65:$D$67,'450'!$D$69:$D$74,'450'!$D$76,'450'!$D$78,'450'!$D$80</definedName>
    <definedName name="OSRRefD22x_0" localSheetId="88">'455'!$D$20:$D$26,'455'!$D$28:$D$29</definedName>
    <definedName name="OSRRefD22x_0" localSheetId="75">'491'!$D$32:$D$40,'491'!$D$42:$D$48,'491'!$D$50,'491'!$D$52,'491'!$D$54,'491'!$D$56:$D$58,'491'!$D$60,'491'!$D$62,'491'!$D$64,'491'!$D$66,'491'!$D$68,'491'!$D$70:$D$71,'491'!$D$73,'491'!$D$75,'491'!$D$77,'491'!$D$79,'491'!$D$81:$D$84,'491'!$D$86:$D$87,'491'!$D$89:$D$93,'491'!$D$95:$D$96,'491'!$D$98:$D$107,'491'!$D$109,'491'!$D$111,'491'!$D$113:$D$115,'491'!$D$117</definedName>
    <definedName name="OSRRefD22x_0" localSheetId="89">'492'!$D$28:$D$36,'492'!$D$38:$D$44,'492'!$D$46,'492'!$D$48,'492'!$D$50,'492'!$D$52,'492'!$D$54,'492'!$D$56,'492'!$D$58,'492'!$D$60,'492'!$D$62,'492'!$D$64,'492'!$D$66:$D$68,'492'!$D$70:$D$73,'492'!$D$75,'492'!$D$77:$D$85,'492'!$D$87,'492'!$D$89,'492'!$D$91:$D$92</definedName>
    <definedName name="OSRRefD22x_0" localSheetId="96">'501'!$D$21:$D$29,'501'!$D$31:$D$35,'501'!$D$37,'501'!$D$39,'501'!$D$41,'501'!$D$43:$D$44,'501'!$D$46,'501'!$D$48,'501'!$D$50,'501'!$D$52:$D$54,'501'!$D$56,'501'!$D$58:$D$60,'501'!$D$62,'501'!$D$64</definedName>
    <definedName name="OSRRefD22x_0" localSheetId="39">'Div 2'!$D$20:$D$30,'Div 2'!$D$32:$D$38,'Div 2'!$D$40,'Div 2'!$D$42,'Div 2'!$D$44,'Div 2'!$D$46,'Div 2'!$D$48,'Div 2'!$D$50,'Div 2'!$D$52,'Div 2'!$D$54:$D$55,'Div 2'!$D$57,'Div 2'!$D$59,'Div 2'!$D$61:$D$64,'Div 2'!$D$66:$D$68,'Div 2'!$D$70:$D$71,'Div 2'!$D$73,'Div 2'!$D$75:$D$80,'Div 2'!$D$82:$D$83,'Div 2'!$D$85,'Div 2'!$D$87:$D$88</definedName>
    <definedName name="OSRRefD22x_0" localSheetId="47">'Div 3'!$D$176:$D$185,'Div 3'!$D$187:$D$193,'Div 3'!$D$195,'Div 3'!$D$197:$D$198,'Div 3'!$D$200,'Div 3'!$D$202:$D$204,'Div 3'!$D$206:$D$207,'Div 3'!$D$209,'Div 3'!$D$211,'Div 3'!$D$213,'Div 3'!$D$215:$D$216,'Div 3'!$D$218,'Div 3'!$D$220,'Div 3'!$D$222,'Div 3'!$D$224:$D$257,'Div 3'!$D$259,'Div 3'!$D$261,'Div 3'!$D$263:$D$266,'Div 3'!$D$268:$D$270,'Div 3'!$D$272:$D$276,'Div 3'!$D$278:$D$279,'Div 3'!$D$281:$D$289,'Div 3'!$D$291:$D$292,'Div 3'!$D$294,'Div 3'!$D$296:$D$298,'Div 3'!$D$300</definedName>
    <definedName name="OSRRefD22x_0" localSheetId="73">'Div 4'!$D$33:$D$41,'Div 4'!$D$43:$D$49,'Div 4'!$D$51,'Div 4'!$D$53,'Div 4'!$D$55,'Div 4'!$D$57:$D$59,'Div 4'!$D$61,'Div 4'!$D$63,'Div 4'!$D$65,'Div 4'!$D$67,'Div 4'!$D$69,'Div 4'!$D$71:$D$72,'Div 4'!$D$74,'Div 4'!$D$76,'Div 4'!$D$78,'Div 4'!$D$80,'Div 4'!$D$82,'Div 4'!$D$84:$D$87,'Div 4'!$D$89:$D$90,'Div 4'!$D$92:$D$96,'Div 4'!$D$98:$D$99,'Div 4'!$D$101:$D$110,'Div 4'!$D$112,'Div 4'!$D$114,'Div 4'!$D$116:$D$118,'Div 4'!$D$120</definedName>
    <definedName name="OSRRefD22x_0" localSheetId="95">'Div 5'!$D$21:$D$29,'Div 5'!$D$31:$D$35,'Div 5'!$D$37,'Div 5'!$D$39,'Div 5'!$D$41,'Div 5'!$D$43:$D$44,'Div 5'!$D$46,'Div 5'!$D$48,'Div 5'!$D$50,'Div 5'!$D$52:$D$54,'Div 5'!$D$56,'Div 5'!$D$58:$D$60,'Div 5'!$D$62,'Div 5'!$D$64</definedName>
    <definedName name="OSRRefD22x_0" localSheetId="62">'Div 6'!$D$61:$D$69,'Div 6'!$D$71:$D$75,'Div 6'!$D$77,'Div 6'!$D$79,'Div 6'!$D$81,'Div 6'!$D$83:$D$84,'Div 6'!$D$86,'Div 6'!$D$88:$D$95,'Div 6'!$D$97:$D$98,'Div 6'!$D$100:$D$101,'Div 6'!$D$103:$D$107,'Div 6'!$D$109,'Div 6'!$D$111,'Div 6'!$D$113</definedName>
    <definedName name="OSRRefD22x_0" localSheetId="2">Summary!$D$210:$D$219,Summary!$D$221:$D$227,Summary!$D$229,Summary!$D$231:$D$232,Summary!$D$234,Summary!$D$236:$D$239,Summary!$D$241:$D$242,Summary!$D$244,Summary!$D$246,Summary!$D$248,Summary!$D$250:$D$251,Summary!$D$253:$D$254,Summary!$D$256,Summary!$D$258,Summary!$D$260:$D$296,Summary!$D$298,Summary!$D$300,Summary!$D$302,Summary!$D$304:$D$307,Summary!$D$309:$D$311,Summary!$D$313:$D$317,Summary!$D$319:$D$320,Summary!$D$322:$D$331,Summary!$D$333:$D$334,Summary!$D$336,Summary!$D$338:$D$340,Summary!$D$342</definedName>
    <definedName name="OSRRefD25x_0" localSheetId="48">'300'!$D$294:$D$302</definedName>
    <definedName name="OSRRefD25x_0" localSheetId="49">'300 &amp; 317'!$D$323:$D$334</definedName>
    <definedName name="OSRRefD25x_0" localSheetId="50">'301'!$D$103:$D$105</definedName>
    <definedName name="OSRRefD25x_0" localSheetId="53">'307'!$D$141</definedName>
    <definedName name="OSRRefD25x_0" localSheetId="55">'308'!$D$129:$D$131</definedName>
    <definedName name="OSRRefD25x_0" localSheetId="74">'310 &amp; 491'!$D$128:$D$130</definedName>
    <definedName name="OSRRefD25x_0" localSheetId="56">'311'!$D$128:$D$130</definedName>
    <definedName name="OSRRefD25x_0" localSheetId="58">'315'!$D$142:$D$144</definedName>
    <definedName name="OSRRefD25x_0" localSheetId="60">'316'!$D$86</definedName>
    <definedName name="OSRRefD25x_0" localSheetId="63">'317'!$D$116:$D$119</definedName>
    <definedName name="OSRRefD25x_0" localSheetId="61">'320'!$D$62:$D$66</definedName>
    <definedName name="OSRRefD25x_0" localSheetId="52">'330'!$D$158</definedName>
    <definedName name="OSRRefD25x_0" localSheetId="57">'331'!$D$176:$D$178</definedName>
    <definedName name="OSRRefD25x_0" localSheetId="59">'332'!$D$99:$D$104</definedName>
    <definedName name="OSRRefD25x_0" localSheetId="78">'411'!$D$94:$D$95</definedName>
    <definedName name="OSRRefD25x_0" localSheetId="80">'413'!$D$69</definedName>
    <definedName name="OSRRefD25x_0" localSheetId="82">'415'!$D$90</definedName>
    <definedName name="OSRRefD25x_0" localSheetId="83">'418'!$D$85</definedName>
    <definedName name="OSRRefD25x_0" localSheetId="85">'423'!$D$44</definedName>
    <definedName name="OSRRefD25x_0" localSheetId="86">'424'!$D$61</definedName>
    <definedName name="OSRRefD25x_0" localSheetId="87">'425'!$D$81</definedName>
    <definedName name="OSRRefD25x_0" localSheetId="88">'455'!$D$32:$D$34</definedName>
    <definedName name="OSRRefD25x_0" localSheetId="75">'491'!$D$120:$D$122</definedName>
    <definedName name="OSRRefD25x_0" localSheetId="96">'501'!$D$67</definedName>
    <definedName name="OSRRefD25x_0" localSheetId="47">'Div 3'!$D$303:$D$311</definedName>
    <definedName name="OSRRefD25x_0" localSheetId="73">'Div 4'!$D$123:$D$125</definedName>
    <definedName name="OSRRefD25x_0" localSheetId="95">'Div 5'!$D$67</definedName>
    <definedName name="OSRRefD25x_0" localSheetId="62">'Div 6'!$D$116:$D$119</definedName>
    <definedName name="OSRRefD25x_0" localSheetId="2">Summary!$D$345:$D$357</definedName>
    <definedName name="OSRRefH13x_0" localSheetId="48">'300'!$H$13:$H$112</definedName>
    <definedName name="OSRRefH13x_0" localSheetId="49">'300 &amp; 317'!$H$13:$H$130</definedName>
    <definedName name="OSRRefH13x_0" localSheetId="53">'307'!$H$13:$H$49</definedName>
    <definedName name="OSRRefH13x_0" localSheetId="55">'308'!$H$13:$H$43</definedName>
    <definedName name="OSRRefH13x_0" localSheetId="65">'309'!$H$13:$H$14</definedName>
    <definedName name="OSRRefH13x_0" localSheetId="64">'310'!$H$13:$H$22</definedName>
    <definedName name="OSRRefH13x_0" localSheetId="74">'310 &amp; 491'!$H$13:$H$29</definedName>
    <definedName name="OSRRefH13x_0" localSheetId="56">'311'!$H$13:$H$42</definedName>
    <definedName name="OSRRefH13x_0" localSheetId="66">'313'!$H$13:$H$19</definedName>
    <definedName name="OSRRefH13x_0" localSheetId="54">'314'!$H$13:$H$34</definedName>
    <definedName name="OSRRefH13x_0" localSheetId="58">'315'!$H$13:$H$51</definedName>
    <definedName name="OSRRefH13x_0" localSheetId="60">'316'!$H$13:$H$29</definedName>
    <definedName name="OSRRefH13x_0" localSheetId="63">'317'!$H$13:$H$37</definedName>
    <definedName name="OSRRefH13x_0" localSheetId="61">'320'!$H$13:$H$16</definedName>
    <definedName name="OSRRefH13x_0" localSheetId="67">'321'!$H$13:$H$14</definedName>
    <definedName name="OSRRefH13x_0" localSheetId="68">'322'!$H$13:$H$14</definedName>
    <definedName name="OSRRefH13x_0" localSheetId="69">'324'!$H$13:$H$15</definedName>
    <definedName name="OSRRefH13x_0" localSheetId="70">'325'!$H$13:$H$14</definedName>
    <definedName name="OSRRefH13x_0" localSheetId="71">'326'!$H$13:$H$38</definedName>
    <definedName name="OSRRefH13x_0" localSheetId="72">'327'!$H$13</definedName>
    <definedName name="OSRRefH13x_0" localSheetId="52">'330'!$H$13:$H$54</definedName>
    <definedName name="OSRRefH13x_0" localSheetId="57">'331'!$H$13:$H$55</definedName>
    <definedName name="OSRRefH13x_0" localSheetId="59">'332'!$H$13:$H$32</definedName>
    <definedName name="OSRRefH13x_0" localSheetId="76">'405'!$H$13:$H$14</definedName>
    <definedName name="OSRRefH13x_0" localSheetId="77">'406'!$H$13:$H$14</definedName>
    <definedName name="OSRRefH13x_0" localSheetId="79">'412'!$H$13:$H$14</definedName>
    <definedName name="OSRRefH13x_0" localSheetId="80">'413'!$H$13:$H$14</definedName>
    <definedName name="OSRRefH13x_0" localSheetId="81">'414'!$H$13:$H$14</definedName>
    <definedName name="OSRRefH13x_0" localSheetId="82">'415'!$H$13:$H$14</definedName>
    <definedName name="OSRRefH13x_0" localSheetId="83">'418'!$H$13:$H$14</definedName>
    <definedName name="OSRRefH13x_0" localSheetId="84">'420'!$H$13:$H$14</definedName>
    <definedName name="OSRRefH13x_0" localSheetId="86">'424'!$H$13:$H$14</definedName>
    <definedName name="OSRRefH13x_0" localSheetId="87">'425'!$H$13:$H$17</definedName>
    <definedName name="OSRRefH13x_0" localSheetId="91">'433'!$H$13:$H$16</definedName>
    <definedName name="OSRRefH13x_0" localSheetId="92">'435'!$H$13:$H$15</definedName>
    <definedName name="OSRRefH13x_0" localSheetId="93">'444'!$H$13:$H$15</definedName>
    <definedName name="OSRRefH13x_0" localSheetId="94">'450'!$H$13:$H$15</definedName>
    <definedName name="OSRRefH13x_0" localSheetId="75">'491'!$H$13:$H$22</definedName>
    <definedName name="OSRRefH13x_0" localSheetId="89">'492'!$H$13:$H$18</definedName>
    <definedName name="OSRRefH13x_0" localSheetId="96">'501'!$H$13</definedName>
    <definedName name="OSRRefH13x_0" localSheetId="47">'Div 3'!$H$13:$H$115</definedName>
    <definedName name="OSRRefH13x_0" localSheetId="73">'Div 4'!$H$13:$H$23</definedName>
    <definedName name="OSRRefH13x_0" localSheetId="95">'Div 5'!$H$13</definedName>
    <definedName name="OSRRefH13x_0" localSheetId="62">'Div 6'!$H$13:$H$37</definedName>
    <definedName name="OSRRefH13x_0" localSheetId="2">Summary!$H$13:$H$141</definedName>
    <definedName name="OSRRefH16x_0" localSheetId="48">'300'!$H$115:$H$165</definedName>
    <definedName name="OSRRefH16x_0" localSheetId="49">'300 &amp; 317'!$H$133:$H$191</definedName>
    <definedName name="OSRRefH16x_0" localSheetId="50">'301'!$H$15</definedName>
    <definedName name="OSRRefH16x_0" localSheetId="53">'307'!$H$52:$H$73</definedName>
    <definedName name="OSRRefH16x_0" localSheetId="55">'308'!$H$46:$H$62</definedName>
    <definedName name="OSRRefH16x_0" localSheetId="65">'309'!$H$17:$H$18</definedName>
    <definedName name="OSRRefH16x_0" localSheetId="64">'310'!$H$25:$H$26</definedName>
    <definedName name="OSRRefH16x_0" localSheetId="74">'310 &amp; 491'!$H$32:$H$33</definedName>
    <definedName name="OSRRefH16x_0" localSheetId="56">'311'!$H$45:$H$61</definedName>
    <definedName name="OSRRefH16x_0" localSheetId="66">'313'!$H$22:$H$23</definedName>
    <definedName name="OSRRefH16x_0" localSheetId="54">'314'!$H$37:$H$51</definedName>
    <definedName name="OSRRefH16x_0" localSheetId="58">'315'!$H$54:$H$78</definedName>
    <definedName name="OSRRefH16x_0" localSheetId="63">'317'!$H$40:$H$55</definedName>
    <definedName name="OSRRefH16x_0" localSheetId="61">'320'!$H$19:$H$23</definedName>
    <definedName name="OSRRefH16x_0" localSheetId="67">'321'!$H$17:$H$18</definedName>
    <definedName name="OSRRefH16x_0" localSheetId="68">'322'!$H$17:$H$18</definedName>
    <definedName name="OSRRefH16x_0" localSheetId="69">'324'!$H$18:$H$19</definedName>
    <definedName name="OSRRefH16x_0" localSheetId="70">'325'!$H$17:$H$18</definedName>
    <definedName name="OSRRefH16x_0" localSheetId="71">'326'!$H$41:$H$59</definedName>
    <definedName name="OSRRefH16x_0" localSheetId="72">'327'!$H$16:$H$17</definedName>
    <definedName name="OSRRefH16x_0" localSheetId="52">'330'!$H$57:$H$81</definedName>
    <definedName name="OSRRefH16x_0" localSheetId="57">'331'!$H$58:$H$87</definedName>
    <definedName name="OSRRefH16x_0" localSheetId="59">'332'!$H$35:$H$39</definedName>
    <definedName name="OSRRefH16x_0" localSheetId="76">'405'!$H$17:$H$18</definedName>
    <definedName name="OSRRefH16x_0" localSheetId="77">'406'!$H$17:$H$18</definedName>
    <definedName name="OSRRefH16x_0" localSheetId="79">'412'!$H$17:$H$18</definedName>
    <definedName name="OSRRefH16x_0" localSheetId="80">'413'!$H$17:$H$18</definedName>
    <definedName name="OSRRefH16x_0" localSheetId="81">'414'!$H$17:$H$18</definedName>
    <definedName name="OSRRefH16x_0" localSheetId="82">'415'!$H$17:$H$18</definedName>
    <definedName name="OSRRefH16x_0" localSheetId="83">'418'!$H$17:$H$18</definedName>
    <definedName name="OSRRefH16x_0" localSheetId="84">'420'!$H$17:$H$18</definedName>
    <definedName name="OSRRefH16x_0" localSheetId="85">'423'!$H$15</definedName>
    <definedName name="OSRRefH16x_0" localSheetId="86">'424'!$H$17:$H$18</definedName>
    <definedName name="OSRRefH16x_0" localSheetId="87">'425'!$H$20:$H$21</definedName>
    <definedName name="OSRRefH16x_0" localSheetId="91">'433'!$H$19:$H$20</definedName>
    <definedName name="OSRRefH16x_0" localSheetId="92">'435'!$H$18:$H$19</definedName>
    <definedName name="OSRRefH16x_0" localSheetId="93">'444'!$H$18:$H$19</definedName>
    <definedName name="OSRRefH16x_0" localSheetId="94">'450'!$H$18:$H$19</definedName>
    <definedName name="OSRRefH16x_0" localSheetId="75">'491'!$H$25:$H$26</definedName>
    <definedName name="OSRRefH16x_0" localSheetId="89">'492'!$H$21:$H$22</definedName>
    <definedName name="OSRRefH16x_0" localSheetId="47">'Div 3'!$H$118:$H$170</definedName>
    <definedName name="OSRRefH16x_0" localSheetId="73">'Div 4'!$H$26:$H$27</definedName>
    <definedName name="OSRRefH16x_0" localSheetId="62">'Div 6'!$H$40:$H$55</definedName>
    <definedName name="OSRRefH16x_0" localSheetId="2">Summary!$H$144:$H$204</definedName>
    <definedName name="OSRRefH22_0x_0" localSheetId="40">'200'!$H$20:$H$21</definedName>
    <definedName name="OSRRefH22_0x_0" localSheetId="41">'201'!$H$20:$H$27</definedName>
    <definedName name="OSRRefH22_0x_0" localSheetId="42">'202'!$H$20:$H$27</definedName>
    <definedName name="OSRRefH22_0x_0" localSheetId="43">'203'!$H$20:$H$29</definedName>
    <definedName name="OSRRefH22_0x_0" localSheetId="44">'204'!$H$20:$H$29</definedName>
    <definedName name="OSRRefH22_0x_0" localSheetId="45">'205'!$H$20:$H$27</definedName>
    <definedName name="OSRRefH22_0x_0" localSheetId="46">'206'!$H$20:$H$27</definedName>
    <definedName name="OSRRefH22_0x_0" localSheetId="48">'300'!$H$171:$H$180</definedName>
    <definedName name="OSRRefH22_0x_0" localSheetId="49">'300 &amp; 317'!$H$197:$H$206</definedName>
    <definedName name="OSRRefH22_0x_0" localSheetId="50">'301'!$H$21:$H$30</definedName>
    <definedName name="OSRRefH22_0x_0" localSheetId="51">'306'!$H$20:$H$28</definedName>
    <definedName name="OSRRefH22_0x_0" localSheetId="53">'307'!$H$79:$H$86</definedName>
    <definedName name="OSRRefH22_0x_0" localSheetId="55">'308'!$H$68:$H$76</definedName>
    <definedName name="OSRRefH22_0x_0" localSheetId="65">'309'!$H$24:$H$31</definedName>
    <definedName name="OSRRefH22_0x_0" localSheetId="64">'310'!$H$32:$H$39</definedName>
    <definedName name="OSRRefH22_0x_0" localSheetId="74">'310 &amp; 491'!$H$39:$H$47</definedName>
    <definedName name="OSRRefH22_0x_0" localSheetId="56">'311'!$H$67:$H$75</definedName>
    <definedName name="OSRRefH22_0x_0" localSheetId="66">'313'!$H$29:$H$36</definedName>
    <definedName name="OSRRefH22_0x_0" localSheetId="54">'314'!$H$57:$H$65</definedName>
    <definedName name="OSRRefH22_0x_0" localSheetId="58">'315'!$H$84:$H$91</definedName>
    <definedName name="OSRRefH22_0x_0" localSheetId="60">'316'!$H$37:$H$44</definedName>
    <definedName name="OSRRefH22_0x_0" localSheetId="63">'317'!$H$61:$H$69</definedName>
    <definedName name="OSRRefH22_0x_0" localSheetId="61">'320'!$H$29:$H$35</definedName>
    <definedName name="OSRRefH22_0x_0" localSheetId="67">'321'!$H$24:$H$31</definedName>
    <definedName name="OSRRefH22_0x_0" localSheetId="68">'322'!$H$24:$H$31</definedName>
    <definedName name="OSRRefH22_0x_0" localSheetId="70">'325'!$H$24:$H$31</definedName>
    <definedName name="OSRRefH22_0x_0" localSheetId="71">'326'!$H$65:$H$72</definedName>
    <definedName name="OSRRefH22_0x_0" localSheetId="72">'327'!$H$23</definedName>
    <definedName name="OSRRefH22_0x_0" localSheetId="52">'330'!$H$87:$H$95</definedName>
    <definedName name="OSRRefH22_0x_0" localSheetId="57">'331'!$H$93:$H$100</definedName>
    <definedName name="OSRRefH22_0x_0" localSheetId="59">'332'!$H$45:$H$52</definedName>
    <definedName name="OSRRefH22_0x_0" localSheetId="76">'405'!$H$24:$H$31</definedName>
    <definedName name="OSRRefH22_0x_0" localSheetId="77">'406'!$H$24:$H$31</definedName>
    <definedName name="OSRRefH22_0x_0" localSheetId="78">'411'!$H$20:$H$28</definedName>
    <definedName name="OSRRefH22_0x_0" localSheetId="79">'412'!$H$24:$H$31</definedName>
    <definedName name="OSRRefH22_0x_0" localSheetId="80">'413'!$H$24:$H$31</definedName>
    <definedName name="OSRRefH22_0x_0" localSheetId="81">'414'!$H$24:$H$31</definedName>
    <definedName name="OSRRefH22_0x_0" localSheetId="82">'415'!$H$24:$H$31</definedName>
    <definedName name="OSRRefH22_0x_0" localSheetId="83">'418'!$H$24:$H$31</definedName>
    <definedName name="OSRRefH22_0x_0" localSheetId="84">'420'!$H$24:$H$31</definedName>
    <definedName name="OSRRefH22_0x_0" localSheetId="85">'423'!$H$21:$H$28</definedName>
    <definedName name="OSRRefH22_0x_0" localSheetId="86">'424'!$H$24:$H$25</definedName>
    <definedName name="OSRRefH22_0x_0" localSheetId="87">'425'!$H$27:$H$35</definedName>
    <definedName name="OSRRefH22_0x_0" localSheetId="90">'430'!$H$20:$H$27</definedName>
    <definedName name="OSRRefH22_0x_0" localSheetId="91">'433'!$H$26:$H$34</definedName>
    <definedName name="OSRRefH22_0x_0" localSheetId="92">'435'!$H$25:$H$27</definedName>
    <definedName name="OSRRefH22_0x_0" localSheetId="93">'444'!$H$25:$H$33</definedName>
    <definedName name="OSRRefH22_0x_0" localSheetId="94">'450'!$H$25:$H$33</definedName>
    <definedName name="OSRRefH22_0x_0" localSheetId="88">'455'!$H$20:$H$26</definedName>
    <definedName name="OSRRefH22_0x_0" localSheetId="75">'491'!$H$32:$H$40</definedName>
    <definedName name="OSRRefH22_0x_0" localSheetId="89">'492'!$H$28:$H$36</definedName>
    <definedName name="OSRRefH22_0x_0" localSheetId="96">'501'!$H$21:$H$29</definedName>
    <definedName name="OSRRefH22_0x_0" localSheetId="39">'Div 2'!$H$20:$H$30</definedName>
    <definedName name="OSRRefH22_0x_0" localSheetId="47">'Div 3'!$H$176:$H$185</definedName>
    <definedName name="OSRRefH22_0x_0" localSheetId="73">'Div 4'!$H$33:$H$41</definedName>
    <definedName name="OSRRefH22_0x_0" localSheetId="95">'Div 5'!$H$21:$H$29</definedName>
    <definedName name="OSRRefH22_0x_0" localSheetId="62">'Div 6'!$H$61:$H$69</definedName>
    <definedName name="OSRRefH22_0x_0" localSheetId="2">Summary!$H$210:$H$219</definedName>
    <definedName name="OSRRefH22_10x_0" localSheetId="41">'201'!$H$51:$H$53</definedName>
    <definedName name="OSRRefH22_10x_0" localSheetId="42">'202'!$H$54</definedName>
    <definedName name="OSRRefH22_10x_0" localSheetId="43">'203'!$H$55:$H$56</definedName>
    <definedName name="OSRRefH22_10x_0" localSheetId="44">'204'!$H$56:$H$57</definedName>
    <definedName name="OSRRefH22_10x_0" localSheetId="48">'300'!$H$210:$H$211</definedName>
    <definedName name="OSRRefH22_10x_0" localSheetId="49">'300 &amp; 317'!$H$236:$H$237</definedName>
    <definedName name="OSRRefH22_10x_0" localSheetId="50">'301'!$H$60</definedName>
    <definedName name="OSRRefH22_10x_0" localSheetId="53">'307'!$H$131:$H$134</definedName>
    <definedName name="OSRRefH22_10x_0" localSheetId="55">'308'!$H$114:$H$115</definedName>
    <definedName name="OSRRefH22_10x_0" localSheetId="65">'309'!$H$56:$H$58</definedName>
    <definedName name="OSRRefH22_10x_0" localSheetId="64">'310'!$H$65</definedName>
    <definedName name="OSRRefH22_10x_0" localSheetId="74">'310 &amp; 491'!$H$75:$H$76</definedName>
    <definedName name="OSRRefH22_10x_0" localSheetId="56">'311'!$H$113:$H$114</definedName>
    <definedName name="OSRRefH22_10x_0" localSheetId="66">'313'!$H$63:$H$68</definedName>
    <definedName name="OSRRefH22_10x_0" localSheetId="58">'315'!$H$125:$H$126</definedName>
    <definedName name="OSRRefH22_10x_0" localSheetId="60">'316'!$H$70</definedName>
    <definedName name="OSRRefH22_10x_0" localSheetId="63">'317'!$H$103:$H$107</definedName>
    <definedName name="OSRRefH22_10x_0" localSheetId="67">'321'!$H$59:$H$63</definedName>
    <definedName name="OSRRefH22_10x_0" localSheetId="68">'322'!$H$58:$H$64</definedName>
    <definedName name="OSRRefH22_10x_0" localSheetId="70">'325'!$H$56</definedName>
    <definedName name="OSRRefH22_10x_0" localSheetId="71">'326'!$H$110</definedName>
    <definedName name="OSRRefH22_10x_0" localSheetId="52">'330'!$H$141:$H$142</definedName>
    <definedName name="OSRRefH22_10x_0" localSheetId="57">'331'!$H$127:$H$139</definedName>
    <definedName name="OSRRefH22_10x_0" localSheetId="59">'332'!$H$81</definedName>
    <definedName name="OSRRefH22_10x_0" localSheetId="76">'405'!$H$55:$H$56</definedName>
    <definedName name="OSRRefH22_10x_0" localSheetId="77">'406'!$H$58:$H$59</definedName>
    <definedName name="OSRRefH22_10x_0" localSheetId="78">'411'!$H$55</definedName>
    <definedName name="OSRRefH22_10x_0" localSheetId="79">'412'!$H$58:$H$60</definedName>
    <definedName name="OSRRefH22_10x_0" localSheetId="80">'413'!$H$64</definedName>
    <definedName name="OSRRefH22_10x_0" localSheetId="81">'414'!$H$57</definedName>
    <definedName name="OSRRefH22_10x_0" localSheetId="82">'415'!$H$57</definedName>
    <definedName name="OSRRefH22_10x_0" localSheetId="83">'418'!$H$57:$H$58</definedName>
    <definedName name="OSRRefH22_10x_0" localSheetId="86">'424'!$H$50</definedName>
    <definedName name="OSRRefH22_10x_0" localSheetId="87">'425'!$H$62</definedName>
    <definedName name="OSRRefH22_10x_0" localSheetId="91">'433'!$H$59</definedName>
    <definedName name="OSRRefH22_10x_0" localSheetId="93">'444'!$H$58</definedName>
    <definedName name="OSRRefH22_10x_0" localSheetId="94">'450'!$H$58</definedName>
    <definedName name="OSRRefH22_10x_0" localSheetId="75">'491'!$H$68</definedName>
    <definedName name="OSRRefH22_10x_0" localSheetId="89">'492'!$H$62</definedName>
    <definedName name="OSRRefH22_10x_0" localSheetId="96">'501'!$H$56</definedName>
    <definedName name="OSRRefH22_10x_0" localSheetId="39">'Div 2'!$H$57</definedName>
    <definedName name="OSRRefH22_10x_0" localSheetId="47">'Div 3'!$H$215:$H$216</definedName>
    <definedName name="OSRRefH22_10x_0" localSheetId="73">'Div 4'!$H$69</definedName>
    <definedName name="OSRRefH22_10x_0" localSheetId="95">'Div 5'!$H$56</definedName>
    <definedName name="OSRRefH22_10x_0" localSheetId="62">'Div 6'!$H$103:$H$107</definedName>
    <definedName name="OSRRefH22_10x_0" localSheetId="2">Summary!$H$250:$H$251</definedName>
    <definedName name="OSRRefH22_11x_0" localSheetId="41">'201'!$H$55</definedName>
    <definedName name="OSRRefH22_11x_0" localSheetId="42">'202'!$H$56</definedName>
    <definedName name="OSRRefH22_11x_0" localSheetId="43">'203'!$H$58</definedName>
    <definedName name="OSRRefH22_11x_0" localSheetId="48">'300'!$H$213</definedName>
    <definedName name="OSRRefH22_11x_0" localSheetId="49">'300 &amp; 317'!$H$239</definedName>
    <definedName name="OSRRefH22_11x_0" localSheetId="50">'301'!$H$62</definedName>
    <definedName name="OSRRefH22_11x_0" localSheetId="53">'307'!$H$136</definedName>
    <definedName name="OSRRefH22_11x_0" localSheetId="55">'308'!$H$117:$H$119</definedName>
    <definedName name="OSRRefH22_11x_0" localSheetId="65">'309'!$H$60:$H$62</definedName>
    <definedName name="OSRRefH22_11x_0" localSheetId="64">'310'!$H$67</definedName>
    <definedName name="OSRRefH22_11x_0" localSheetId="74">'310 &amp; 491'!$H$78:$H$79</definedName>
    <definedName name="OSRRefH22_11x_0" localSheetId="56">'311'!$H$116:$H$118</definedName>
    <definedName name="OSRRefH22_11x_0" localSheetId="66">'313'!$H$70</definedName>
    <definedName name="OSRRefH22_11x_0" localSheetId="58">'315'!$H$128:$H$132</definedName>
    <definedName name="OSRRefH22_11x_0" localSheetId="60">'316'!$H$72:$H$77</definedName>
    <definedName name="OSRRefH22_11x_0" localSheetId="63">'317'!$H$109</definedName>
    <definedName name="OSRRefH22_11x_0" localSheetId="67">'321'!$H$65</definedName>
    <definedName name="OSRRefH22_11x_0" localSheetId="68">'322'!$H$66</definedName>
    <definedName name="OSRRefH22_11x_0" localSheetId="70">'325'!$H$58:$H$60</definedName>
    <definedName name="OSRRefH22_11x_0" localSheetId="71">'326'!$H$112</definedName>
    <definedName name="OSRRefH22_11x_0" localSheetId="52">'330'!$H$144</definedName>
    <definedName name="OSRRefH22_11x_0" localSheetId="57">'331'!$H$141</definedName>
    <definedName name="OSRRefH22_11x_0" localSheetId="59">'332'!$H$83</definedName>
    <definedName name="OSRRefH22_11x_0" localSheetId="76">'405'!$H$58</definedName>
    <definedName name="OSRRefH22_11x_0" localSheetId="77">'406'!$H$61:$H$66</definedName>
    <definedName name="OSRRefH22_11x_0" localSheetId="78">'411'!$H$57</definedName>
    <definedName name="OSRRefH22_11x_0" localSheetId="79">'412'!$H$62:$H$67</definedName>
    <definedName name="OSRRefH22_11x_0" localSheetId="80">'413'!$H$66</definedName>
    <definedName name="OSRRefH22_11x_0" localSheetId="81">'414'!$H$59</definedName>
    <definedName name="OSRRefH22_11x_0" localSheetId="82">'415'!$H$59:$H$62</definedName>
    <definedName name="OSRRefH22_11x_0" localSheetId="83">'418'!$H$60:$H$62</definedName>
    <definedName name="OSRRefH22_11x_0" localSheetId="86">'424'!$H$52:$H$56</definedName>
    <definedName name="OSRRefH22_11x_0" localSheetId="87">'425'!$H$64:$H$66</definedName>
    <definedName name="OSRRefH22_11x_0" localSheetId="91">'433'!$H$61:$H$63</definedName>
    <definedName name="OSRRefH22_11x_0" localSheetId="93">'444'!$H$60:$H$62</definedName>
    <definedName name="OSRRefH22_11x_0" localSheetId="94">'450'!$H$60</definedName>
    <definedName name="OSRRefH22_11x_0" localSheetId="75">'491'!$H$70:$H$71</definedName>
    <definedName name="OSRRefH22_11x_0" localSheetId="89">'492'!$H$64</definedName>
    <definedName name="OSRRefH22_11x_0" localSheetId="96">'501'!$H$58:$H$60</definedName>
    <definedName name="OSRRefH22_11x_0" localSheetId="39">'Div 2'!$H$59</definedName>
    <definedName name="OSRRefH22_11x_0" localSheetId="47">'Div 3'!$H$218</definedName>
    <definedName name="OSRRefH22_11x_0" localSheetId="73">'Div 4'!$H$71:$H$72</definedName>
    <definedName name="OSRRefH22_11x_0" localSheetId="95">'Div 5'!$H$58:$H$60</definedName>
    <definedName name="OSRRefH22_11x_0" localSheetId="62">'Div 6'!$H$109</definedName>
    <definedName name="OSRRefH22_11x_0" localSheetId="2">Summary!$H$253:$H$254</definedName>
    <definedName name="OSRRefH22_12x_0" localSheetId="41">'201'!$H$57:$H$60</definedName>
    <definedName name="OSRRefH22_12x_0" localSheetId="42">'202'!$H$58:$H$60</definedName>
    <definedName name="OSRRefH22_12x_0" localSheetId="43">'203'!$H$60:$H$64</definedName>
    <definedName name="OSRRefH22_12x_0" localSheetId="48">'300'!$H$215</definedName>
    <definedName name="OSRRefH22_12x_0" localSheetId="49">'300 &amp; 317'!$H$241</definedName>
    <definedName name="OSRRefH22_12x_0" localSheetId="50">'301'!$H$64</definedName>
    <definedName name="OSRRefH22_12x_0" localSheetId="53">'307'!$H$138</definedName>
    <definedName name="OSRRefH22_12x_0" localSheetId="55">'308'!$H$121:$H$122</definedName>
    <definedName name="OSRRefH22_12x_0" localSheetId="65">'309'!$H$64</definedName>
    <definedName name="OSRRefH22_12x_0" localSheetId="64">'310'!$H$69</definedName>
    <definedName name="OSRRefH22_12x_0" localSheetId="74">'310 &amp; 491'!$H$81</definedName>
    <definedName name="OSRRefH22_12x_0" localSheetId="56">'311'!$H$120:$H$121</definedName>
    <definedName name="OSRRefH22_12x_0" localSheetId="66">'313'!$H$72</definedName>
    <definedName name="OSRRefH22_12x_0" localSheetId="58">'315'!$H$134</definedName>
    <definedName name="OSRRefH22_12x_0" localSheetId="60">'316'!$H$79</definedName>
    <definedName name="OSRRefH22_12x_0" localSheetId="63">'317'!$H$111</definedName>
    <definedName name="OSRRefH22_12x_0" localSheetId="67">'321'!$H$67</definedName>
    <definedName name="OSRRefH22_12x_0" localSheetId="68">'322'!$H$68</definedName>
    <definedName name="OSRRefH22_12x_0" localSheetId="70">'325'!$H$62:$H$65</definedName>
    <definedName name="OSRRefH22_12x_0" localSheetId="71">'326'!$H$114:$H$116</definedName>
    <definedName name="OSRRefH22_12x_0" localSheetId="52">'330'!$H$146:$H$149</definedName>
    <definedName name="OSRRefH22_12x_0" localSheetId="57">'331'!$H$143</definedName>
    <definedName name="OSRRefH22_12x_0" localSheetId="59">'332'!$H$85:$H$90</definedName>
    <definedName name="OSRRefH22_12x_0" localSheetId="76">'405'!$H$60:$H$62</definedName>
    <definedName name="OSRRefH22_12x_0" localSheetId="77">'406'!$H$68</definedName>
    <definedName name="OSRRefH22_12x_0" localSheetId="78">'411'!$H$59:$H$62</definedName>
    <definedName name="OSRRefH22_12x_0" localSheetId="79">'412'!$H$69</definedName>
    <definedName name="OSRRefH22_12x_0" localSheetId="81">'414'!$H$61</definedName>
    <definedName name="OSRRefH22_12x_0" localSheetId="82">'415'!$H$64:$H$68</definedName>
    <definedName name="OSRRefH22_12x_0" localSheetId="83">'418'!$H$64:$H$66</definedName>
    <definedName name="OSRRefH22_12x_0" localSheetId="86">'424'!$H$58</definedName>
    <definedName name="OSRRefH22_12x_0" localSheetId="87">'425'!$H$68:$H$74</definedName>
    <definedName name="OSRRefH22_12x_0" localSheetId="91">'433'!$H$65:$H$67</definedName>
    <definedName name="OSRRefH22_12x_0" localSheetId="93">'444'!$H$64:$H$67</definedName>
    <definedName name="OSRRefH22_12x_0" localSheetId="94">'450'!$H$62:$H$63</definedName>
    <definedName name="OSRRefH22_12x_0" localSheetId="75">'491'!$H$73</definedName>
    <definedName name="OSRRefH22_12x_0" localSheetId="89">'492'!$H$66:$H$68</definedName>
    <definedName name="OSRRefH22_12x_0" localSheetId="96">'501'!$H$62</definedName>
    <definedName name="OSRRefH22_12x_0" localSheetId="39">'Div 2'!$H$61:$H$64</definedName>
    <definedName name="OSRRefH22_12x_0" localSheetId="47">'Div 3'!$H$220</definedName>
    <definedName name="OSRRefH22_12x_0" localSheetId="73">'Div 4'!$H$74</definedName>
    <definedName name="OSRRefH22_12x_0" localSheetId="95">'Div 5'!$H$62</definedName>
    <definedName name="OSRRefH22_12x_0" localSheetId="62">'Div 6'!$H$111</definedName>
    <definedName name="OSRRefH22_12x_0" localSheetId="2">Summary!$H$256</definedName>
    <definedName name="OSRRefH22_13x_0" localSheetId="41">'201'!$H$62</definedName>
    <definedName name="OSRRefH22_13x_0" localSheetId="42">'202'!$H$62</definedName>
    <definedName name="OSRRefH22_13x_0" localSheetId="43">'203'!$H$66</definedName>
    <definedName name="OSRRefH22_13x_0" localSheetId="48">'300'!$H$217:$H$250</definedName>
    <definedName name="OSRRefH22_13x_0" localSheetId="49">'300 &amp; 317'!$H$243:$H$279</definedName>
    <definedName name="OSRRefH22_13x_0" localSheetId="50">'301'!$H$66</definedName>
    <definedName name="OSRRefH22_13x_0" localSheetId="55">'308'!$H$124</definedName>
    <definedName name="OSRRefH22_13x_0" localSheetId="64">'310'!$H$71</definedName>
    <definedName name="OSRRefH22_13x_0" localSheetId="74">'310 &amp; 491'!$H$83</definedName>
    <definedName name="OSRRefH22_13x_0" localSheetId="56">'311'!$H$123</definedName>
    <definedName name="OSRRefH22_13x_0" localSheetId="58">'315'!$H$136</definedName>
    <definedName name="OSRRefH22_13x_0" localSheetId="60">'316'!$H$81</definedName>
    <definedName name="OSRRefH22_13x_0" localSheetId="63">'317'!$H$113</definedName>
    <definedName name="OSRRefH22_13x_0" localSheetId="68">'322'!$H$70</definedName>
    <definedName name="OSRRefH22_13x_0" localSheetId="70">'325'!$H$67</definedName>
    <definedName name="OSRRefH22_13x_0" localSheetId="71">'326'!$H$118:$H$120</definedName>
    <definedName name="OSRRefH22_13x_0" localSheetId="52">'330'!$H$151</definedName>
    <definedName name="OSRRefH22_13x_0" localSheetId="57">'331'!$H$145:$H$147</definedName>
    <definedName name="OSRRefH22_13x_0" localSheetId="59">'332'!$H$92</definedName>
    <definedName name="OSRRefH22_13x_0" localSheetId="76">'405'!$H$64:$H$65</definedName>
    <definedName name="OSRRefH22_13x_0" localSheetId="77">'406'!$H$70</definedName>
    <definedName name="OSRRefH22_13x_0" localSheetId="78">'411'!$H$64:$H$68</definedName>
    <definedName name="OSRRefH22_13x_0" localSheetId="79">'412'!$H$71</definedName>
    <definedName name="OSRRefH22_13x_0" localSheetId="81">'414'!$H$63:$H$69</definedName>
    <definedName name="OSRRefH22_13x_0" localSheetId="82">'415'!$H$70:$H$71</definedName>
    <definedName name="OSRRefH22_13x_0" localSheetId="83">'418'!$H$68:$H$69</definedName>
    <definedName name="OSRRefH22_13x_0" localSheetId="87">'425'!$H$76</definedName>
    <definedName name="OSRRefH22_13x_0" localSheetId="91">'433'!$H$69:$H$76</definedName>
    <definedName name="OSRRefH22_13x_0" localSheetId="93">'444'!$H$69</definedName>
    <definedName name="OSRRefH22_13x_0" localSheetId="94">'450'!$H$65:$H$67</definedName>
    <definedName name="OSRRefH22_13x_0" localSheetId="75">'491'!$H$75</definedName>
    <definedName name="OSRRefH22_13x_0" localSheetId="89">'492'!$H$70:$H$73</definedName>
    <definedName name="OSRRefH22_13x_0" localSheetId="96">'501'!$H$64</definedName>
    <definedName name="OSRRefH22_13x_0" localSheetId="39">'Div 2'!$H$66:$H$68</definedName>
    <definedName name="OSRRefH22_13x_0" localSheetId="47">'Div 3'!$H$222</definedName>
    <definedName name="OSRRefH22_13x_0" localSheetId="73">'Div 4'!$H$76</definedName>
    <definedName name="OSRRefH22_13x_0" localSheetId="95">'Div 5'!$H$64</definedName>
    <definedName name="OSRRefH22_13x_0" localSheetId="62">'Div 6'!$H$113</definedName>
    <definedName name="OSRRefH22_13x_0" localSheetId="2">Summary!$H$258</definedName>
    <definedName name="OSRRefH22_14x_0" localSheetId="41">'201'!$H$64</definedName>
    <definedName name="OSRRefH22_14x_0" localSheetId="42">'202'!$H$64</definedName>
    <definedName name="OSRRefH22_14x_0" localSheetId="43">'203'!$H$68</definedName>
    <definedName name="OSRRefH22_14x_0" localSheetId="48">'300'!$H$252</definedName>
    <definedName name="OSRRefH22_14x_0" localSheetId="49">'300 &amp; 317'!$H$281</definedName>
    <definedName name="OSRRefH22_14x_0" localSheetId="50">'301'!$H$68</definedName>
    <definedName name="OSRRefH22_14x_0" localSheetId="55">'308'!$H$126</definedName>
    <definedName name="OSRRefH22_14x_0" localSheetId="64">'310'!$H$73:$H$75</definedName>
    <definedName name="OSRRefH22_14x_0" localSheetId="74">'310 &amp; 491'!$H$85</definedName>
    <definedName name="OSRRefH22_14x_0" localSheetId="56">'311'!$H$125</definedName>
    <definedName name="OSRRefH22_14x_0" localSheetId="58">'315'!$H$138:$H$139</definedName>
    <definedName name="OSRRefH22_14x_0" localSheetId="60">'316'!$H$83</definedName>
    <definedName name="OSRRefH22_14x_0" localSheetId="70">'325'!$H$69:$H$73</definedName>
    <definedName name="OSRRefH22_14x_0" localSheetId="71">'326'!$H$122:$H$123</definedName>
    <definedName name="OSRRefH22_14x_0" localSheetId="52">'330'!$H$153</definedName>
    <definedName name="OSRRefH22_14x_0" localSheetId="57">'331'!$H$149:$H$150</definedName>
    <definedName name="OSRRefH22_14x_0" localSheetId="59">'332'!$H$94</definedName>
    <definedName name="OSRRefH22_14x_0" localSheetId="76">'405'!$H$67:$H$73</definedName>
    <definedName name="OSRRefH22_14x_0" localSheetId="77">'406'!$H$72</definedName>
    <definedName name="OSRRefH22_14x_0" localSheetId="78">'411'!$H$70:$H$71</definedName>
    <definedName name="OSRRefH22_14x_0" localSheetId="81">'414'!$H$71</definedName>
    <definedName name="OSRRefH22_14x_0" localSheetId="82">'415'!$H$73:$H$81</definedName>
    <definedName name="OSRRefH22_14x_0" localSheetId="83">'418'!$H$71:$H$78</definedName>
    <definedName name="OSRRefH22_14x_0" localSheetId="87">'425'!$H$78</definedName>
    <definedName name="OSRRefH22_14x_0" localSheetId="91">'433'!$H$78</definedName>
    <definedName name="OSRRefH22_14x_0" localSheetId="93">'444'!$H$71:$H$79</definedName>
    <definedName name="OSRRefH22_14x_0" localSheetId="94">'450'!$H$69:$H$74</definedName>
    <definedName name="OSRRefH22_14x_0" localSheetId="75">'491'!$H$77</definedName>
    <definedName name="OSRRefH22_14x_0" localSheetId="89">'492'!$H$75</definedName>
    <definedName name="OSRRefH22_14x_0" localSheetId="39">'Div 2'!$H$70:$H$71</definedName>
    <definedName name="OSRRefH22_14x_0" localSheetId="47">'Div 3'!$H$224:$H$257</definedName>
    <definedName name="OSRRefH22_14x_0" localSheetId="73">'Div 4'!$H$78</definedName>
    <definedName name="OSRRefH22_14x_0" localSheetId="2">Summary!$H$260:$H$296</definedName>
    <definedName name="OSRRefH22_15x_0" localSheetId="41">'201'!$H$66</definedName>
    <definedName name="OSRRefH22_15x_0" localSheetId="42">'202'!$H$66</definedName>
    <definedName name="OSRRefH22_15x_0" localSheetId="43">'203'!$H$70</definedName>
    <definedName name="OSRRefH22_15x_0" localSheetId="48">'300'!$H$254</definedName>
    <definedName name="OSRRefH22_15x_0" localSheetId="49">'300 &amp; 317'!$H$283</definedName>
    <definedName name="OSRRefH22_15x_0" localSheetId="50">'301'!$H$70</definedName>
    <definedName name="OSRRefH22_15x_0" localSheetId="64">'310'!$H$77</definedName>
    <definedName name="OSRRefH22_15x_0" localSheetId="74">'310 &amp; 491'!$H$87</definedName>
    <definedName name="OSRRefH22_15x_0" localSheetId="70">'325'!$H$75</definedName>
    <definedName name="OSRRefH22_15x_0" localSheetId="71">'326'!$H$125:$H$130</definedName>
    <definedName name="OSRRefH22_15x_0" localSheetId="52">'330'!$H$155</definedName>
    <definedName name="OSRRefH22_15x_0" localSheetId="57">'331'!$H$152:$H$154</definedName>
    <definedName name="OSRRefH22_15x_0" localSheetId="59">'332'!$H$96</definedName>
    <definedName name="OSRRefH22_15x_0" localSheetId="76">'405'!$H$75</definedName>
    <definedName name="OSRRefH22_15x_0" localSheetId="78">'411'!$H$73:$H$81</definedName>
    <definedName name="OSRRefH22_15x_0" localSheetId="81">'414'!$H$73</definedName>
    <definedName name="OSRRefH22_15x_0" localSheetId="82">'415'!$H$83</definedName>
    <definedName name="OSRRefH22_15x_0" localSheetId="83">'418'!$H$80</definedName>
    <definedName name="OSRRefH22_15x_0" localSheetId="91">'433'!$H$80</definedName>
    <definedName name="OSRRefH22_15x_0" localSheetId="93">'444'!$H$81</definedName>
    <definedName name="OSRRefH22_15x_0" localSheetId="94">'450'!$H$76</definedName>
    <definedName name="OSRRefH22_15x_0" localSheetId="75">'491'!$H$79</definedName>
    <definedName name="OSRRefH22_15x_0" localSheetId="89">'492'!$H$77:$H$85</definedName>
    <definedName name="OSRRefH22_15x_0" localSheetId="39">'Div 2'!$H$73</definedName>
    <definedName name="OSRRefH22_15x_0" localSheetId="47">'Div 3'!$H$259</definedName>
    <definedName name="OSRRefH22_15x_0" localSheetId="73">'Div 4'!$H$80</definedName>
    <definedName name="OSRRefH22_15x_0" localSheetId="2">Summary!$H$298</definedName>
    <definedName name="OSRRefH22_16x_0" localSheetId="48">'300'!$H$256:$H$259</definedName>
    <definedName name="OSRRefH22_16x_0" localSheetId="49">'300 &amp; 317'!$H$285:$H$288</definedName>
    <definedName name="OSRRefH22_16x_0" localSheetId="50">'301'!$H$72:$H$75</definedName>
    <definedName name="OSRRefH22_16x_0" localSheetId="64">'310'!$H$79:$H$82</definedName>
    <definedName name="OSRRefH22_16x_0" localSheetId="74">'310 &amp; 491'!$H$89:$H$92</definedName>
    <definedName name="OSRRefH22_16x_0" localSheetId="70">'325'!$H$77</definedName>
    <definedName name="OSRRefH22_16x_0" localSheetId="71">'326'!$H$132</definedName>
    <definedName name="OSRRefH22_16x_0" localSheetId="57">'331'!$H$156:$H$157</definedName>
    <definedName name="OSRRefH22_16x_0" localSheetId="76">'405'!$H$77</definedName>
    <definedName name="OSRRefH22_16x_0" localSheetId="78">'411'!$H$83</definedName>
    <definedName name="OSRRefH22_16x_0" localSheetId="82">'415'!$H$85</definedName>
    <definedName name="OSRRefH22_16x_0" localSheetId="83">'418'!$H$82</definedName>
    <definedName name="OSRRefH22_16x_0" localSheetId="91">'433'!$H$82</definedName>
    <definedName name="OSRRefH22_16x_0" localSheetId="93">'444'!$H$83</definedName>
    <definedName name="OSRRefH22_16x_0" localSheetId="94">'450'!$H$78</definedName>
    <definedName name="OSRRefH22_16x_0" localSheetId="75">'491'!$H$81:$H$84</definedName>
    <definedName name="OSRRefH22_16x_0" localSheetId="89">'492'!$H$87</definedName>
    <definedName name="OSRRefH22_16x_0" localSheetId="39">'Div 2'!$H$75:$H$80</definedName>
    <definedName name="OSRRefH22_16x_0" localSheetId="47">'Div 3'!$H$261</definedName>
    <definedName name="OSRRefH22_16x_0" localSheetId="73">'Div 4'!$H$82</definedName>
    <definedName name="OSRRefH22_16x_0" localSheetId="2">Summary!$H$300</definedName>
    <definedName name="OSRRefH22_17x_0" localSheetId="48">'300'!$H$261:$H$263</definedName>
    <definedName name="OSRRefH22_17x_0" localSheetId="49">'300 &amp; 317'!$H$290:$H$292</definedName>
    <definedName name="OSRRefH22_17x_0" localSheetId="50">'301'!$H$77:$H$79</definedName>
    <definedName name="OSRRefH22_17x_0" localSheetId="64">'310'!$H$84</definedName>
    <definedName name="OSRRefH22_17x_0" localSheetId="74">'310 &amp; 491'!$H$94:$H$95</definedName>
    <definedName name="OSRRefH22_17x_0" localSheetId="70">'325'!$H$79</definedName>
    <definedName name="OSRRefH22_17x_0" localSheetId="71">'326'!$H$134</definedName>
    <definedName name="OSRRefH22_17x_0" localSheetId="57">'331'!$H$159:$H$164</definedName>
    <definedName name="OSRRefH22_17x_0" localSheetId="76">'405'!$H$79</definedName>
    <definedName name="OSRRefH22_17x_0" localSheetId="78">'411'!$H$85</definedName>
    <definedName name="OSRRefH22_17x_0" localSheetId="82">'415'!$H$87</definedName>
    <definedName name="OSRRefH22_17x_0" localSheetId="93">'444'!$H$85:$H$86</definedName>
    <definedName name="OSRRefH22_17x_0" localSheetId="94">'450'!$H$80</definedName>
    <definedName name="OSRRefH22_17x_0" localSheetId="75">'491'!$H$86:$H$87</definedName>
    <definedName name="OSRRefH22_17x_0" localSheetId="89">'492'!$H$89</definedName>
    <definedName name="OSRRefH22_17x_0" localSheetId="39">'Div 2'!$H$82:$H$83</definedName>
    <definedName name="OSRRefH22_17x_0" localSheetId="47">'Div 3'!$H$263:$H$266</definedName>
    <definedName name="OSRRefH22_17x_0" localSheetId="73">'Div 4'!$H$84:$H$87</definedName>
    <definedName name="OSRRefH22_17x_0" localSheetId="2">Summary!$H$302</definedName>
    <definedName name="OSRRefH22_18x_0" localSheetId="48">'300'!$H$265:$H$268</definedName>
    <definedName name="OSRRefH22_18x_0" localSheetId="49">'300 &amp; 317'!$H$294:$H$297</definedName>
    <definedName name="OSRRefH22_18x_0" localSheetId="50">'301'!$H$81:$H$82</definedName>
    <definedName name="OSRRefH22_18x_0" localSheetId="64">'310'!$H$86:$H$94</definedName>
    <definedName name="OSRRefH22_18x_0" localSheetId="74">'310 &amp; 491'!$H$97:$H$101</definedName>
    <definedName name="OSRRefH22_18x_0" localSheetId="71">'326'!$H$136</definedName>
    <definedName name="OSRRefH22_18x_0" localSheetId="57">'331'!$H$166</definedName>
    <definedName name="OSRRefH22_18x_0" localSheetId="78">'411'!$H$87:$H$89</definedName>
    <definedName name="OSRRefH22_18x_0" localSheetId="75">'491'!$H$89:$H$93</definedName>
    <definedName name="OSRRefH22_18x_0" localSheetId="89">'492'!$H$91:$H$92</definedName>
    <definedName name="OSRRefH22_18x_0" localSheetId="39">'Div 2'!$H$85</definedName>
    <definedName name="OSRRefH22_18x_0" localSheetId="47">'Div 3'!$H$268:$H$270</definedName>
    <definedName name="OSRRefH22_18x_0" localSheetId="73">'Div 4'!$H$89:$H$90</definedName>
    <definedName name="OSRRefH22_18x_0" localSheetId="2">Summary!$H$304:$H$307</definedName>
    <definedName name="OSRRefH22_19x_0" localSheetId="48">'300'!$H$270:$H$271</definedName>
    <definedName name="OSRRefH22_19x_0" localSheetId="49">'300 &amp; 317'!$H$299:$H$300</definedName>
    <definedName name="OSRRefH22_19x_0" localSheetId="50">'301'!$H$84:$H$90</definedName>
    <definedName name="OSRRefH22_19x_0" localSheetId="64">'310'!$H$96</definedName>
    <definedName name="OSRRefH22_19x_0" localSheetId="74">'310 &amp; 491'!$H$103:$H$104</definedName>
    <definedName name="OSRRefH22_19x_0" localSheetId="71">'326'!$H$138</definedName>
    <definedName name="OSRRefH22_19x_0" localSheetId="57">'331'!$H$168</definedName>
    <definedName name="OSRRefH22_19x_0" localSheetId="78">'411'!$H$91</definedName>
    <definedName name="OSRRefH22_19x_0" localSheetId="75">'491'!$H$95:$H$96</definedName>
    <definedName name="OSRRefH22_19x_0" localSheetId="39">'Div 2'!$H$87:$H$88</definedName>
    <definedName name="OSRRefH22_19x_0" localSheetId="47">'Div 3'!$H$272:$H$276</definedName>
    <definedName name="OSRRefH22_19x_0" localSheetId="73">'Div 4'!$H$92:$H$96</definedName>
    <definedName name="OSRRefH22_19x_0" localSheetId="2">Summary!$H$309:$H$311</definedName>
    <definedName name="OSRRefH22_1x_0" localSheetId="40">'200'!$H$23</definedName>
    <definedName name="OSRRefH22_1x_0" localSheetId="41">'201'!$H$29:$H$31</definedName>
    <definedName name="OSRRefH22_1x_0" localSheetId="42">'202'!$H$29:$H$33</definedName>
    <definedName name="OSRRefH22_1x_0" localSheetId="43">'203'!$H$31:$H$35</definedName>
    <definedName name="OSRRefH22_1x_0" localSheetId="44">'204'!$H$31:$H$35</definedName>
    <definedName name="OSRRefH22_1x_0" localSheetId="45">'205'!$H$29</definedName>
    <definedName name="OSRRefH22_1x_0" localSheetId="46">'206'!$H$29:$H$32</definedName>
    <definedName name="OSRRefH22_1x_0" localSheetId="48">'300'!$H$182:$H$188</definedName>
    <definedName name="OSRRefH22_1x_0" localSheetId="49">'300 &amp; 317'!$H$208:$H$214</definedName>
    <definedName name="OSRRefH22_1x_0" localSheetId="50">'301'!$H$32:$H$38</definedName>
    <definedName name="OSRRefH22_1x_0" localSheetId="51">'306'!$H$30:$H$35</definedName>
    <definedName name="OSRRefH22_1x_0" localSheetId="53">'307'!$H$88:$H$91</definedName>
    <definedName name="OSRRefH22_1x_0" localSheetId="55">'308'!$H$78:$H$84</definedName>
    <definedName name="OSRRefH22_1x_0" localSheetId="65">'309'!$H$33:$H$37</definedName>
    <definedName name="OSRRefH22_1x_0" localSheetId="64">'310'!$H$41:$H$46</definedName>
    <definedName name="OSRRefH22_1x_0" localSheetId="74">'310 &amp; 491'!$H$49:$H$55</definedName>
    <definedName name="OSRRefH22_1x_0" localSheetId="56">'311'!$H$77:$H$83</definedName>
    <definedName name="OSRRefH22_1x_0" localSheetId="66">'313'!$H$38:$H$43</definedName>
    <definedName name="OSRRefH22_1x_0" localSheetId="54">'314'!$H$67:$H$69</definedName>
    <definedName name="OSRRefH22_1x_0" localSheetId="58">'315'!$H$93:$H$98</definedName>
    <definedName name="OSRRefH22_1x_0" localSheetId="60">'316'!$H$46:$H$49</definedName>
    <definedName name="OSRRefH22_1x_0" localSheetId="63">'317'!$H$71:$H$75</definedName>
    <definedName name="OSRRefH22_1x_0" localSheetId="61">'320'!$H$37:$H$41</definedName>
    <definedName name="OSRRefH22_1x_0" localSheetId="67">'321'!$H$33:$H$37</definedName>
    <definedName name="OSRRefH22_1x_0" localSheetId="68">'322'!$H$33:$H$37</definedName>
    <definedName name="OSRRefH22_1x_0" localSheetId="70">'325'!$H$33:$H$37</definedName>
    <definedName name="OSRRefH22_1x_0" localSheetId="71">'326'!$H$74:$H$79</definedName>
    <definedName name="OSRRefH22_1x_0" localSheetId="72">'327'!$H$25</definedName>
    <definedName name="OSRRefH22_1x_0" localSheetId="52">'330'!$H$97:$H$101</definedName>
    <definedName name="OSRRefH22_1x_0" localSheetId="57">'331'!$H$102:$H$107</definedName>
    <definedName name="OSRRefH22_1x_0" localSheetId="59">'332'!$H$54:$H$58</definedName>
    <definedName name="OSRRefH22_1x_0" localSheetId="76">'405'!$H$33:$H$36</definedName>
    <definedName name="OSRRefH22_1x_0" localSheetId="77">'406'!$H$33:$H$38</definedName>
    <definedName name="OSRRefH22_1x_0" localSheetId="78">'411'!$H$30:$H$35</definedName>
    <definedName name="OSRRefH22_1x_0" localSheetId="79">'412'!$H$33:$H$38</definedName>
    <definedName name="OSRRefH22_1x_0" localSheetId="80">'413'!$H$33:$H$37</definedName>
    <definedName name="OSRRefH22_1x_0" localSheetId="81">'414'!$H$33:$H$38</definedName>
    <definedName name="OSRRefH22_1x_0" localSheetId="82">'415'!$H$33:$H$38</definedName>
    <definedName name="OSRRefH22_1x_0" localSheetId="83">'418'!$H$33:$H$38</definedName>
    <definedName name="OSRRefH22_1x_0" localSheetId="84">'420'!$H$33:$H$36</definedName>
    <definedName name="OSRRefH22_1x_0" localSheetId="85">'423'!$H$30:$H$31</definedName>
    <definedName name="OSRRefH22_1x_0" localSheetId="86">'424'!$H$27:$H$31</definedName>
    <definedName name="OSRRefH22_1x_0" localSheetId="87">'425'!$H$37:$H$42</definedName>
    <definedName name="OSRRefH22_1x_0" localSheetId="90">'430'!$H$29</definedName>
    <definedName name="OSRRefH22_1x_0" localSheetId="91">'433'!$H$36:$H$41</definedName>
    <definedName name="OSRRefH22_1x_0" localSheetId="92">'435'!$H$29:$H$31</definedName>
    <definedName name="OSRRefH22_1x_0" localSheetId="93">'444'!$H$35:$H$40</definedName>
    <definedName name="OSRRefH22_1x_0" localSheetId="94">'450'!$H$35:$H$40</definedName>
    <definedName name="OSRRefH22_1x_0" localSheetId="88">'455'!$H$28:$H$29</definedName>
    <definedName name="OSRRefH22_1x_0" localSheetId="75">'491'!$H$42:$H$48</definedName>
    <definedName name="OSRRefH22_1x_0" localSheetId="89">'492'!$H$38:$H$44</definedName>
    <definedName name="OSRRefH22_1x_0" localSheetId="96">'501'!$H$31:$H$35</definedName>
    <definedName name="OSRRefH22_1x_0" localSheetId="39">'Div 2'!$H$32:$H$38</definedName>
    <definedName name="OSRRefH22_1x_0" localSheetId="47">'Div 3'!$H$187:$H$193</definedName>
    <definedName name="OSRRefH22_1x_0" localSheetId="73">'Div 4'!$H$43:$H$49</definedName>
    <definedName name="OSRRefH22_1x_0" localSheetId="95">'Div 5'!$H$31:$H$35</definedName>
    <definedName name="OSRRefH22_1x_0" localSheetId="62">'Div 6'!$H$71:$H$75</definedName>
    <definedName name="OSRRefH22_1x_0" localSheetId="2">Summary!$H$221:$H$227</definedName>
    <definedName name="OSRRefH22_20x_0" localSheetId="48">'300'!$H$273:$H$280</definedName>
    <definedName name="OSRRefH22_20x_0" localSheetId="49">'300 &amp; 317'!$H$302:$H$309</definedName>
    <definedName name="OSRRefH22_20x_0" localSheetId="50">'301'!$H$92</definedName>
    <definedName name="OSRRefH22_20x_0" localSheetId="64">'310'!$H$98</definedName>
    <definedName name="OSRRefH22_20x_0" localSheetId="74">'310 &amp; 491'!$H$106:$H$115</definedName>
    <definedName name="OSRRefH22_20x_0" localSheetId="57">'331'!$H$170:$H$171</definedName>
    <definedName name="OSRRefH22_20x_0" localSheetId="75">'491'!$H$98:$H$107</definedName>
    <definedName name="OSRRefH22_20x_0" localSheetId="47">'Div 3'!$H$278:$H$279</definedName>
    <definedName name="OSRRefH22_20x_0" localSheetId="73">'Div 4'!$H$98:$H$99</definedName>
    <definedName name="OSRRefH22_20x_0" localSheetId="2">Summary!$H$313:$H$317</definedName>
    <definedName name="OSRRefH22_21x_0" localSheetId="48">'300'!$H$282:$H$283</definedName>
    <definedName name="OSRRefH22_21x_0" localSheetId="49">'300 &amp; 317'!$H$311:$H$312</definedName>
    <definedName name="OSRRefH22_21x_0" localSheetId="50">'301'!$H$94</definedName>
    <definedName name="OSRRefH22_21x_0" localSheetId="64">'310'!$H$100</definedName>
    <definedName name="OSRRefH22_21x_0" localSheetId="74">'310 &amp; 491'!$H$117</definedName>
    <definedName name="OSRRefH22_21x_0" localSheetId="57">'331'!$H$173</definedName>
    <definedName name="OSRRefH22_21x_0" localSheetId="75">'491'!$H$109</definedName>
    <definedName name="OSRRefH22_21x_0" localSheetId="47">'Div 3'!$H$281:$H$289</definedName>
    <definedName name="OSRRefH22_21x_0" localSheetId="73">'Div 4'!$H$101:$H$110</definedName>
    <definedName name="OSRRefH22_21x_0" localSheetId="2">Summary!$H$319:$H$320</definedName>
    <definedName name="OSRRefH22_22x_0" localSheetId="48">'300'!$H$285</definedName>
    <definedName name="OSRRefH22_22x_0" localSheetId="49">'300 &amp; 317'!$H$314</definedName>
    <definedName name="OSRRefH22_22x_0" localSheetId="50">'301'!$H$96:$H$98</definedName>
    <definedName name="OSRRefH22_22x_0" localSheetId="64">'310'!$H$102</definedName>
    <definedName name="OSRRefH22_22x_0" localSheetId="74">'310 &amp; 491'!$H$119</definedName>
    <definedName name="OSRRefH22_22x_0" localSheetId="75">'491'!$H$111</definedName>
    <definedName name="OSRRefH22_22x_0" localSheetId="47">'Div 3'!$H$291:$H$292</definedName>
    <definedName name="OSRRefH22_22x_0" localSheetId="73">'Div 4'!$H$112</definedName>
    <definedName name="OSRRefH22_22x_0" localSheetId="2">Summary!$H$322:$H$331</definedName>
    <definedName name="OSRRefH22_23x_0" localSheetId="48">'300'!$H$287:$H$289</definedName>
    <definedName name="OSRRefH22_23x_0" localSheetId="49">'300 &amp; 317'!$H$316:$H$318</definedName>
    <definedName name="OSRRefH22_23x_0" localSheetId="50">'301'!$H$100</definedName>
    <definedName name="OSRRefH22_23x_0" localSheetId="74">'310 &amp; 491'!$H$121:$H$123</definedName>
    <definedName name="OSRRefH22_23x_0" localSheetId="75">'491'!$H$113:$H$115</definedName>
    <definedName name="OSRRefH22_23x_0" localSheetId="47">'Div 3'!$H$294</definedName>
    <definedName name="OSRRefH22_23x_0" localSheetId="73">'Div 4'!$H$114</definedName>
    <definedName name="OSRRefH22_23x_0" localSheetId="2">Summary!$H$333:$H$334</definedName>
    <definedName name="OSRRefH22_24x_0" localSheetId="48">'300'!$H$291</definedName>
    <definedName name="OSRRefH22_24x_0" localSheetId="49">'300 &amp; 317'!$H$320</definedName>
    <definedName name="OSRRefH22_24x_0" localSheetId="74">'310 &amp; 491'!$H$125</definedName>
    <definedName name="OSRRefH22_24x_0" localSheetId="75">'491'!$H$117</definedName>
    <definedName name="OSRRefH22_24x_0" localSheetId="47">'Div 3'!$H$296:$H$298</definedName>
    <definedName name="OSRRefH22_24x_0" localSheetId="73">'Div 4'!$H$116:$H$118</definedName>
    <definedName name="OSRRefH22_24x_0" localSheetId="2">Summary!$H$336</definedName>
    <definedName name="OSRRefH22_25x_0" localSheetId="47">'Div 3'!$H$300</definedName>
    <definedName name="OSRRefH22_25x_0" localSheetId="73">'Div 4'!$H$120</definedName>
    <definedName name="OSRRefH22_25x_0" localSheetId="2">Summary!$H$338:$H$340</definedName>
    <definedName name="OSRRefH22_26x_0" localSheetId="2">Summary!$H$342</definedName>
    <definedName name="OSRRefH22_2x_0" localSheetId="40">'200'!$H$25</definedName>
    <definedName name="OSRRefH22_2x_0" localSheetId="41">'201'!$H$33</definedName>
    <definedName name="OSRRefH22_2x_0" localSheetId="42">'202'!$H$35</definedName>
    <definedName name="OSRRefH22_2x_0" localSheetId="43">'203'!$H$37</definedName>
    <definedName name="OSRRefH22_2x_0" localSheetId="44">'204'!$H$37</definedName>
    <definedName name="OSRRefH22_2x_0" localSheetId="45">'205'!$H$31</definedName>
    <definedName name="OSRRefH22_2x_0" localSheetId="46">'206'!$H$34</definedName>
    <definedName name="OSRRefH22_2x_0" localSheetId="48">'300'!$H$190</definedName>
    <definedName name="OSRRefH22_2x_0" localSheetId="49">'300 &amp; 317'!$H$216</definedName>
    <definedName name="OSRRefH22_2x_0" localSheetId="50">'301'!$H$40</definedName>
    <definedName name="OSRRefH22_2x_0" localSheetId="51">'306'!$H$37</definedName>
    <definedName name="OSRRefH22_2x_0" localSheetId="53">'307'!$H$93</definedName>
    <definedName name="OSRRefH22_2x_0" localSheetId="55">'308'!$H$86</definedName>
    <definedName name="OSRRefH22_2x_0" localSheetId="65">'309'!$H$39</definedName>
    <definedName name="OSRRefH22_2x_0" localSheetId="64">'310'!$H$48</definedName>
    <definedName name="OSRRefH22_2x_0" localSheetId="74">'310 &amp; 491'!$H$57</definedName>
    <definedName name="OSRRefH22_2x_0" localSheetId="56">'311'!$H$85</definedName>
    <definedName name="OSRRefH22_2x_0" localSheetId="66">'313'!$H$45</definedName>
    <definedName name="OSRRefH22_2x_0" localSheetId="54">'314'!$H$71</definedName>
    <definedName name="OSRRefH22_2x_0" localSheetId="58">'315'!$H$100</definedName>
    <definedName name="OSRRefH22_2x_0" localSheetId="60">'316'!$H$51</definedName>
    <definedName name="OSRRefH22_2x_0" localSheetId="63">'317'!$H$77</definedName>
    <definedName name="OSRRefH22_2x_0" localSheetId="61">'320'!$H$43</definedName>
    <definedName name="OSRRefH22_2x_0" localSheetId="67">'321'!$H$39</definedName>
    <definedName name="OSRRefH22_2x_0" localSheetId="68">'322'!$H$39</definedName>
    <definedName name="OSRRefH22_2x_0" localSheetId="70">'325'!$H$39</definedName>
    <definedName name="OSRRefH22_2x_0" localSheetId="71">'326'!$H$81</definedName>
    <definedName name="OSRRefH22_2x_0" localSheetId="72">'327'!$H$27</definedName>
    <definedName name="OSRRefH22_2x_0" localSheetId="52">'330'!$H$103</definedName>
    <definedName name="OSRRefH22_2x_0" localSheetId="57">'331'!$H$109</definedName>
    <definedName name="OSRRefH22_2x_0" localSheetId="59">'332'!$H$60</definedName>
    <definedName name="OSRRefH22_2x_0" localSheetId="76">'405'!$H$38</definedName>
    <definedName name="OSRRefH22_2x_0" localSheetId="77">'406'!$H$40</definedName>
    <definedName name="OSRRefH22_2x_0" localSheetId="78">'411'!$H$37</definedName>
    <definedName name="OSRRefH22_2x_0" localSheetId="79">'412'!$H$40</definedName>
    <definedName name="OSRRefH22_2x_0" localSheetId="80">'413'!$H$39</definedName>
    <definedName name="OSRRefH22_2x_0" localSheetId="81">'414'!$H$40</definedName>
    <definedName name="OSRRefH22_2x_0" localSheetId="82">'415'!$H$40</definedName>
    <definedName name="OSRRefH22_2x_0" localSheetId="83">'418'!$H$40</definedName>
    <definedName name="OSRRefH22_2x_0" localSheetId="84">'420'!$H$38</definedName>
    <definedName name="OSRRefH22_2x_0" localSheetId="85">'423'!$H$33</definedName>
    <definedName name="OSRRefH22_2x_0" localSheetId="86">'424'!$H$33</definedName>
    <definedName name="OSRRefH22_2x_0" localSheetId="87">'425'!$H$44</definedName>
    <definedName name="OSRRefH22_2x_0" localSheetId="90">'430'!$H$31</definedName>
    <definedName name="OSRRefH22_2x_0" localSheetId="91">'433'!$H$43</definedName>
    <definedName name="OSRRefH22_2x_0" localSheetId="92">'435'!$H$33</definedName>
    <definedName name="OSRRefH22_2x_0" localSheetId="93">'444'!$H$42</definedName>
    <definedName name="OSRRefH22_2x_0" localSheetId="94">'450'!$H$42</definedName>
    <definedName name="OSRRefH22_2x_0" localSheetId="75">'491'!$H$50</definedName>
    <definedName name="OSRRefH22_2x_0" localSheetId="89">'492'!$H$46</definedName>
    <definedName name="OSRRefH22_2x_0" localSheetId="96">'501'!$H$37</definedName>
    <definedName name="OSRRefH22_2x_0" localSheetId="39">'Div 2'!$H$40</definedName>
    <definedName name="OSRRefH22_2x_0" localSheetId="47">'Div 3'!$H$195</definedName>
    <definedName name="OSRRefH22_2x_0" localSheetId="73">'Div 4'!$H$51</definedName>
    <definedName name="OSRRefH22_2x_0" localSheetId="95">'Div 5'!$H$37</definedName>
    <definedName name="OSRRefH22_2x_0" localSheetId="62">'Div 6'!$H$77</definedName>
    <definedName name="OSRRefH22_2x_0" localSheetId="2">Summary!$H$229</definedName>
    <definedName name="OSRRefH22_3x_0" localSheetId="40">'200'!$H$27</definedName>
    <definedName name="OSRRefH22_3x_0" localSheetId="41">'201'!$H$35</definedName>
    <definedName name="OSRRefH22_3x_0" localSheetId="42">'202'!$H$37</definedName>
    <definedName name="OSRRefH22_3x_0" localSheetId="43">'203'!$H$39</definedName>
    <definedName name="OSRRefH22_3x_0" localSheetId="44">'204'!$H$39</definedName>
    <definedName name="OSRRefH22_3x_0" localSheetId="45">'205'!$H$33</definedName>
    <definedName name="OSRRefH22_3x_0" localSheetId="46">'206'!$H$36</definedName>
    <definedName name="OSRRefH22_3x_0" localSheetId="48">'300'!$H$192:$H$193</definedName>
    <definedName name="OSRRefH22_3x_0" localSheetId="49">'300 &amp; 317'!$H$218:$H$219</definedName>
    <definedName name="OSRRefH22_3x_0" localSheetId="50">'301'!$H$42:$H$43</definedName>
    <definedName name="OSRRefH22_3x_0" localSheetId="51">'306'!$H$39</definedName>
    <definedName name="OSRRefH22_3x_0" localSheetId="53">'307'!$H$95</definedName>
    <definedName name="OSRRefH22_3x_0" localSheetId="55">'308'!$H$88:$H$89</definedName>
    <definedName name="OSRRefH22_3x_0" localSheetId="65">'309'!$H$41</definedName>
    <definedName name="OSRRefH22_3x_0" localSheetId="64">'310'!$H$50</definedName>
    <definedName name="OSRRefH22_3x_0" localSheetId="74">'310 &amp; 491'!$H$59</definedName>
    <definedName name="OSRRefH22_3x_0" localSheetId="56">'311'!$H$87:$H$88</definedName>
    <definedName name="OSRRefH22_3x_0" localSheetId="66">'313'!$H$47</definedName>
    <definedName name="OSRRefH22_3x_0" localSheetId="54">'314'!$H$73:$H$74</definedName>
    <definedName name="OSRRefH22_3x_0" localSheetId="58">'315'!$H$102:$H$103</definedName>
    <definedName name="OSRRefH22_3x_0" localSheetId="60">'316'!$H$53</definedName>
    <definedName name="OSRRefH22_3x_0" localSheetId="63">'317'!$H$79</definedName>
    <definedName name="OSRRefH22_3x_0" localSheetId="61">'320'!$H$45</definedName>
    <definedName name="OSRRefH22_3x_0" localSheetId="67">'321'!$H$41</definedName>
    <definedName name="OSRRefH22_3x_0" localSheetId="68">'322'!$H$41</definedName>
    <definedName name="OSRRefH22_3x_0" localSheetId="70">'325'!$H$41</definedName>
    <definedName name="OSRRefH22_3x_0" localSheetId="71">'326'!$H$83</definedName>
    <definedName name="OSRRefH22_3x_0" localSheetId="52">'330'!$H$105</definedName>
    <definedName name="OSRRefH22_3x_0" localSheetId="57">'331'!$H$111</definedName>
    <definedName name="OSRRefH22_3x_0" localSheetId="59">'332'!$H$62</definedName>
    <definedName name="OSRRefH22_3x_0" localSheetId="76">'405'!$H$40</definedName>
    <definedName name="OSRRefH22_3x_0" localSheetId="77">'406'!$H$42</definedName>
    <definedName name="OSRRefH22_3x_0" localSheetId="78">'411'!$H$39</definedName>
    <definedName name="OSRRefH22_3x_0" localSheetId="79">'412'!$H$42</definedName>
    <definedName name="OSRRefH22_3x_0" localSheetId="80">'413'!$H$41</definedName>
    <definedName name="OSRRefH22_3x_0" localSheetId="81">'414'!$H$42</definedName>
    <definedName name="OSRRefH22_3x_0" localSheetId="82">'415'!$H$42</definedName>
    <definedName name="OSRRefH22_3x_0" localSheetId="83">'418'!$H$42</definedName>
    <definedName name="OSRRefH22_3x_0" localSheetId="84">'420'!$H$40</definedName>
    <definedName name="OSRRefH22_3x_0" localSheetId="85">'423'!$H$35</definedName>
    <definedName name="OSRRefH22_3x_0" localSheetId="86">'424'!$H$35</definedName>
    <definedName name="OSRRefH22_3x_0" localSheetId="87">'425'!$H$46</definedName>
    <definedName name="OSRRefH22_3x_0" localSheetId="90">'430'!$H$33</definedName>
    <definedName name="OSRRefH22_3x_0" localSheetId="91">'433'!$H$45</definedName>
    <definedName name="OSRRefH22_3x_0" localSheetId="92">'435'!$H$35</definedName>
    <definedName name="OSRRefH22_3x_0" localSheetId="93">'444'!$H$44</definedName>
    <definedName name="OSRRefH22_3x_0" localSheetId="94">'450'!$H$44</definedName>
    <definedName name="OSRRefH22_3x_0" localSheetId="75">'491'!$H$52</definedName>
    <definedName name="OSRRefH22_3x_0" localSheetId="89">'492'!$H$48</definedName>
    <definedName name="OSRRefH22_3x_0" localSheetId="96">'501'!$H$39</definedName>
    <definedName name="OSRRefH22_3x_0" localSheetId="39">'Div 2'!$H$42</definedName>
    <definedName name="OSRRefH22_3x_0" localSheetId="47">'Div 3'!$H$197:$H$198</definedName>
    <definedName name="OSRRefH22_3x_0" localSheetId="73">'Div 4'!$H$53</definedName>
    <definedName name="OSRRefH22_3x_0" localSheetId="95">'Div 5'!$H$39</definedName>
    <definedName name="OSRRefH22_3x_0" localSheetId="62">'Div 6'!$H$79</definedName>
    <definedName name="OSRRefH22_3x_0" localSheetId="2">Summary!$H$231:$H$232</definedName>
    <definedName name="OSRRefH22_4x_0" localSheetId="40">'200'!$H$29:$H$30</definedName>
    <definedName name="OSRRefH22_4x_0" localSheetId="41">'201'!$H$37</definedName>
    <definedName name="OSRRefH22_4x_0" localSheetId="42">'202'!$H$39</definedName>
    <definedName name="OSRRefH22_4x_0" localSheetId="43">'203'!$H$41</definedName>
    <definedName name="OSRRefH22_4x_0" localSheetId="44">'204'!$H$41</definedName>
    <definedName name="OSRRefH22_4x_0" localSheetId="45">'205'!$H$35:$H$37</definedName>
    <definedName name="OSRRefH22_4x_0" localSheetId="46">'206'!$H$38</definedName>
    <definedName name="OSRRefH22_4x_0" localSheetId="48">'300'!$H$195</definedName>
    <definedName name="OSRRefH22_4x_0" localSheetId="49">'300 &amp; 317'!$H$221</definedName>
    <definedName name="OSRRefH22_4x_0" localSheetId="50">'301'!$H$45</definedName>
    <definedName name="OSRRefH22_4x_0" localSheetId="51">'306'!$H$41</definedName>
    <definedName name="OSRRefH22_4x_0" localSheetId="53">'307'!$H$97:$H$98</definedName>
    <definedName name="OSRRefH22_4x_0" localSheetId="55">'308'!$H$91</definedName>
    <definedName name="OSRRefH22_4x_0" localSheetId="65">'309'!$H$43</definedName>
    <definedName name="OSRRefH22_4x_0" localSheetId="64">'310'!$H$52</definedName>
    <definedName name="OSRRefH22_4x_0" localSheetId="74">'310 &amp; 491'!$H$61</definedName>
    <definedName name="OSRRefH22_4x_0" localSheetId="56">'311'!$H$90</definedName>
    <definedName name="OSRRefH22_4x_0" localSheetId="66">'313'!$H$49</definedName>
    <definedName name="OSRRefH22_4x_0" localSheetId="54">'314'!$H$76</definedName>
    <definedName name="OSRRefH22_4x_0" localSheetId="58">'315'!$H$105</definedName>
    <definedName name="OSRRefH22_4x_0" localSheetId="60">'316'!$H$55</definedName>
    <definedName name="OSRRefH22_4x_0" localSheetId="63">'317'!$H$81</definedName>
    <definedName name="OSRRefH22_4x_0" localSheetId="61">'320'!$H$47:$H$48</definedName>
    <definedName name="OSRRefH22_4x_0" localSheetId="67">'321'!$H$43</definedName>
    <definedName name="OSRRefH22_4x_0" localSheetId="68">'322'!$H$43</definedName>
    <definedName name="OSRRefH22_4x_0" localSheetId="70">'325'!$H$43</definedName>
    <definedName name="OSRRefH22_4x_0" localSheetId="71">'326'!$H$85</definedName>
    <definedName name="OSRRefH22_4x_0" localSheetId="52">'330'!$H$107:$H$108</definedName>
    <definedName name="OSRRefH22_4x_0" localSheetId="57">'331'!$H$113</definedName>
    <definedName name="OSRRefH22_4x_0" localSheetId="59">'332'!$H$64</definedName>
    <definedName name="OSRRefH22_4x_0" localSheetId="76">'405'!$H$42</definedName>
    <definedName name="OSRRefH22_4x_0" localSheetId="77">'406'!$H$44</definedName>
    <definedName name="OSRRefH22_4x_0" localSheetId="78">'411'!$H$41:$H$43</definedName>
    <definedName name="OSRRefH22_4x_0" localSheetId="79">'412'!$H$44</definedName>
    <definedName name="OSRRefH22_4x_0" localSheetId="80">'413'!$H$43</definedName>
    <definedName name="OSRRefH22_4x_0" localSheetId="81">'414'!$H$44</definedName>
    <definedName name="OSRRefH22_4x_0" localSheetId="82">'415'!$H$44</definedName>
    <definedName name="OSRRefH22_4x_0" localSheetId="83">'418'!$H$44</definedName>
    <definedName name="OSRRefH22_4x_0" localSheetId="84">'420'!$H$42</definedName>
    <definedName name="OSRRefH22_4x_0" localSheetId="85">'423'!$H$37</definedName>
    <definedName name="OSRRefH22_4x_0" localSheetId="86">'424'!$H$37</definedName>
    <definedName name="OSRRefH22_4x_0" localSheetId="87">'425'!$H$48</definedName>
    <definedName name="OSRRefH22_4x_0" localSheetId="90">'430'!$H$35:$H$36</definedName>
    <definedName name="OSRRefH22_4x_0" localSheetId="91">'433'!$H$47</definedName>
    <definedName name="OSRRefH22_4x_0" localSheetId="92">'435'!$H$37</definedName>
    <definedName name="OSRRefH22_4x_0" localSheetId="93">'444'!$H$46</definedName>
    <definedName name="OSRRefH22_4x_0" localSheetId="94">'450'!$H$46</definedName>
    <definedName name="OSRRefH22_4x_0" localSheetId="75">'491'!$H$54</definedName>
    <definedName name="OSRRefH22_4x_0" localSheetId="89">'492'!$H$50</definedName>
    <definedName name="OSRRefH22_4x_0" localSheetId="96">'501'!$H$41</definedName>
    <definedName name="OSRRefH22_4x_0" localSheetId="39">'Div 2'!$H$44</definedName>
    <definedName name="OSRRefH22_4x_0" localSheetId="47">'Div 3'!$H$200</definedName>
    <definedName name="OSRRefH22_4x_0" localSheetId="73">'Div 4'!$H$55</definedName>
    <definedName name="OSRRefH22_4x_0" localSheetId="95">'Div 5'!$H$41</definedName>
    <definedName name="OSRRefH22_4x_0" localSheetId="62">'Div 6'!$H$81</definedName>
    <definedName name="OSRRefH22_4x_0" localSheetId="2">Summary!$H$234</definedName>
    <definedName name="OSRRefH22_5x_0" localSheetId="41">'201'!$H$39</definedName>
    <definedName name="OSRRefH22_5x_0" localSheetId="42">'202'!$H$41</definedName>
    <definedName name="OSRRefH22_5x_0" localSheetId="43">'203'!$H$43</definedName>
    <definedName name="OSRRefH22_5x_0" localSheetId="44">'204'!$H$43</definedName>
    <definedName name="OSRRefH22_5x_0" localSheetId="45">'205'!$H$39</definedName>
    <definedName name="OSRRefH22_5x_0" localSheetId="46">'206'!$H$40</definedName>
    <definedName name="OSRRefH22_5x_0" localSheetId="48">'300'!$H$197:$H$199</definedName>
    <definedName name="OSRRefH22_5x_0" localSheetId="49">'300 &amp; 317'!$H$223:$H$225</definedName>
    <definedName name="OSRRefH22_5x_0" localSheetId="50">'301'!$H$47:$H$49</definedName>
    <definedName name="OSRRefH22_5x_0" localSheetId="51">'306'!$H$43</definedName>
    <definedName name="OSRRefH22_5x_0" localSheetId="53">'307'!$H$100</definedName>
    <definedName name="OSRRefH22_5x_0" localSheetId="55">'308'!$H$93</definedName>
    <definedName name="OSRRefH22_5x_0" localSheetId="65">'309'!$H$45</definedName>
    <definedName name="OSRRefH22_5x_0" localSheetId="64">'310'!$H$54:$H$55</definedName>
    <definedName name="OSRRefH22_5x_0" localSheetId="74">'310 &amp; 491'!$H$63:$H$65</definedName>
    <definedName name="OSRRefH22_5x_0" localSheetId="56">'311'!$H$92</definedName>
    <definedName name="OSRRefH22_5x_0" localSheetId="66">'313'!$H$51</definedName>
    <definedName name="OSRRefH22_5x_0" localSheetId="54">'314'!$H$78:$H$86</definedName>
    <definedName name="OSRRefH22_5x_0" localSheetId="58">'315'!$H$107:$H$108</definedName>
    <definedName name="OSRRefH22_5x_0" localSheetId="60">'316'!$H$57</definedName>
    <definedName name="OSRRefH22_5x_0" localSheetId="63">'317'!$H$83:$H$84</definedName>
    <definedName name="OSRRefH22_5x_0" localSheetId="61">'320'!$H$50</definedName>
    <definedName name="OSRRefH22_5x_0" localSheetId="67">'321'!$H$45</definedName>
    <definedName name="OSRRefH22_5x_0" localSheetId="68">'322'!$H$45</definedName>
    <definedName name="OSRRefH22_5x_0" localSheetId="70">'325'!$H$45:$H$46</definedName>
    <definedName name="OSRRefH22_5x_0" localSheetId="71">'326'!$H$87:$H$88</definedName>
    <definedName name="OSRRefH22_5x_0" localSheetId="52">'330'!$H$110</definedName>
    <definedName name="OSRRefH22_5x_0" localSheetId="57">'331'!$H$115:$H$116</definedName>
    <definedName name="OSRRefH22_5x_0" localSheetId="59">'332'!$H$66</definedName>
    <definedName name="OSRRefH22_5x_0" localSheetId="76">'405'!$H$44:$H$45</definedName>
    <definedName name="OSRRefH22_5x_0" localSheetId="77">'406'!$H$46</definedName>
    <definedName name="OSRRefH22_5x_0" localSheetId="78">'411'!$H$45</definedName>
    <definedName name="OSRRefH22_5x_0" localSheetId="79">'412'!$H$46</definedName>
    <definedName name="OSRRefH22_5x_0" localSheetId="80">'413'!$H$45</definedName>
    <definedName name="OSRRefH22_5x_0" localSheetId="81">'414'!$H$46</definedName>
    <definedName name="OSRRefH22_5x_0" localSheetId="82">'415'!$H$46:$H$47</definedName>
    <definedName name="OSRRefH22_5x_0" localSheetId="83">'418'!$H$46:$H$47</definedName>
    <definedName name="OSRRefH22_5x_0" localSheetId="84">'420'!$H$44</definedName>
    <definedName name="OSRRefH22_5x_0" localSheetId="85">'423'!$H$39</definedName>
    <definedName name="OSRRefH22_5x_0" localSheetId="86">'424'!$H$39</definedName>
    <definedName name="OSRRefH22_5x_0" localSheetId="87">'425'!$H$50</definedName>
    <definedName name="OSRRefH22_5x_0" localSheetId="90">'430'!$H$38</definedName>
    <definedName name="OSRRefH22_5x_0" localSheetId="91">'433'!$H$49</definedName>
    <definedName name="OSRRefH22_5x_0" localSheetId="92">'435'!$H$39</definedName>
    <definedName name="OSRRefH22_5x_0" localSheetId="93">'444'!$H$48</definedName>
    <definedName name="OSRRefH22_5x_0" localSheetId="94">'450'!$H$48</definedName>
    <definedName name="OSRRefH22_5x_0" localSheetId="75">'491'!$H$56:$H$58</definedName>
    <definedName name="OSRRefH22_5x_0" localSheetId="89">'492'!$H$52</definedName>
    <definedName name="OSRRefH22_5x_0" localSheetId="96">'501'!$H$43:$H$44</definedName>
    <definedName name="OSRRefH22_5x_0" localSheetId="39">'Div 2'!$H$46</definedName>
    <definedName name="OSRRefH22_5x_0" localSheetId="47">'Div 3'!$H$202:$H$204</definedName>
    <definedName name="OSRRefH22_5x_0" localSheetId="73">'Div 4'!$H$57:$H$59</definedName>
    <definedName name="OSRRefH22_5x_0" localSheetId="95">'Div 5'!$H$43:$H$44</definedName>
    <definedName name="OSRRefH22_5x_0" localSheetId="62">'Div 6'!$H$83:$H$84</definedName>
    <definedName name="OSRRefH22_5x_0" localSheetId="2">Summary!$H$236:$H$239</definedName>
    <definedName name="OSRRefH22_6x_0" localSheetId="41">'201'!$H$41</definedName>
    <definedName name="OSRRefH22_6x_0" localSheetId="42">'202'!$H$43:$H$44</definedName>
    <definedName name="OSRRefH22_6x_0" localSheetId="43">'203'!$H$45</definedName>
    <definedName name="OSRRefH22_6x_0" localSheetId="44">'204'!$H$45:$H$47</definedName>
    <definedName name="OSRRefH22_6x_0" localSheetId="45">'205'!$H$41:$H$43</definedName>
    <definedName name="OSRRefH22_6x_0" localSheetId="46">'206'!$H$42:$H$43</definedName>
    <definedName name="OSRRefH22_6x_0" localSheetId="48">'300'!$H$201:$H$202</definedName>
    <definedName name="OSRRefH22_6x_0" localSheetId="49">'300 &amp; 317'!$H$227:$H$228</definedName>
    <definedName name="OSRRefH22_6x_0" localSheetId="50">'301'!$H$51:$H$52</definedName>
    <definedName name="OSRRefH22_6x_0" localSheetId="51">'306'!$H$45:$H$46</definedName>
    <definedName name="OSRRefH22_6x_0" localSheetId="53">'307'!$H$102:$H$121</definedName>
    <definedName name="OSRRefH22_6x_0" localSheetId="55">'308'!$H$95:$H$96</definedName>
    <definedName name="OSRRefH22_6x_0" localSheetId="65">'309'!$H$47</definedName>
    <definedName name="OSRRefH22_6x_0" localSheetId="64">'310'!$H$57</definedName>
    <definedName name="OSRRefH22_6x_0" localSheetId="74">'310 &amp; 491'!$H$67</definedName>
    <definedName name="OSRRefH22_6x_0" localSheetId="56">'311'!$H$94:$H$95</definedName>
    <definedName name="OSRRefH22_6x_0" localSheetId="66">'313'!$H$53</definedName>
    <definedName name="OSRRefH22_6x_0" localSheetId="54">'314'!$H$88</definedName>
    <definedName name="OSRRefH22_6x_0" localSheetId="58">'315'!$H$110:$H$116</definedName>
    <definedName name="OSRRefH22_6x_0" localSheetId="60">'316'!$H$59:$H$60</definedName>
    <definedName name="OSRRefH22_6x_0" localSheetId="63">'317'!$H$86</definedName>
    <definedName name="OSRRefH22_6x_0" localSheetId="61">'320'!$H$52:$H$54</definedName>
    <definedName name="OSRRefH22_6x_0" localSheetId="67">'321'!$H$47</definedName>
    <definedName name="OSRRefH22_6x_0" localSheetId="68">'322'!$H$47</definedName>
    <definedName name="OSRRefH22_6x_0" localSheetId="70">'325'!$H$48</definedName>
    <definedName name="OSRRefH22_6x_0" localSheetId="71">'326'!$H$90</definedName>
    <definedName name="OSRRefH22_6x_0" localSheetId="52">'330'!$H$112</definedName>
    <definedName name="OSRRefH22_6x_0" localSheetId="57">'331'!$H$118</definedName>
    <definedName name="OSRRefH22_6x_0" localSheetId="59">'332'!$H$68:$H$69</definedName>
    <definedName name="OSRRefH22_6x_0" localSheetId="76">'405'!$H$47</definedName>
    <definedName name="OSRRefH22_6x_0" localSheetId="77">'406'!$H$48</definedName>
    <definedName name="OSRRefH22_6x_0" localSheetId="78">'411'!$H$47</definedName>
    <definedName name="OSRRefH22_6x_0" localSheetId="79">'412'!$H$48</definedName>
    <definedName name="OSRRefH22_6x_0" localSheetId="80">'413'!$H$47</definedName>
    <definedName name="OSRRefH22_6x_0" localSheetId="81">'414'!$H$48</definedName>
    <definedName name="OSRRefH22_6x_0" localSheetId="82">'415'!$H$49</definedName>
    <definedName name="OSRRefH22_6x_0" localSheetId="83">'418'!$H$49</definedName>
    <definedName name="OSRRefH22_6x_0" localSheetId="84">'420'!$H$46:$H$47</definedName>
    <definedName name="OSRRefH22_6x_0" localSheetId="85">'423'!$H$41</definedName>
    <definedName name="OSRRefH22_6x_0" localSheetId="86">'424'!$H$41</definedName>
    <definedName name="OSRRefH22_6x_0" localSheetId="87">'425'!$H$52</definedName>
    <definedName name="OSRRefH22_6x_0" localSheetId="90">'430'!$H$40</definedName>
    <definedName name="OSRRefH22_6x_0" localSheetId="91">'433'!$H$51</definedName>
    <definedName name="OSRRefH22_6x_0" localSheetId="92">'435'!$H$41</definedName>
    <definedName name="OSRRefH22_6x_0" localSheetId="93">'444'!$H$50</definedName>
    <definedName name="OSRRefH22_6x_0" localSheetId="94">'450'!$H$50</definedName>
    <definedName name="OSRRefH22_6x_0" localSheetId="75">'491'!$H$60</definedName>
    <definedName name="OSRRefH22_6x_0" localSheetId="89">'492'!$H$54</definedName>
    <definedName name="OSRRefH22_6x_0" localSheetId="96">'501'!$H$46</definedName>
    <definedName name="OSRRefH22_6x_0" localSheetId="39">'Div 2'!$H$48</definedName>
    <definedName name="OSRRefH22_6x_0" localSheetId="47">'Div 3'!$H$206:$H$207</definedName>
    <definedName name="OSRRefH22_6x_0" localSheetId="73">'Div 4'!$H$61</definedName>
    <definedName name="OSRRefH22_6x_0" localSheetId="95">'Div 5'!$H$46</definedName>
    <definedName name="OSRRefH22_6x_0" localSheetId="62">'Div 6'!$H$86</definedName>
    <definedName name="OSRRefH22_6x_0" localSheetId="2">Summary!$H$241:$H$242</definedName>
    <definedName name="OSRRefH22_7x_0" localSheetId="41">'201'!$H$43</definedName>
    <definedName name="OSRRefH22_7x_0" localSheetId="42">'202'!$H$46</definedName>
    <definedName name="OSRRefH22_7x_0" localSheetId="43">'203'!$H$47</definedName>
    <definedName name="OSRRefH22_7x_0" localSheetId="44">'204'!$H$49</definedName>
    <definedName name="OSRRefH22_7x_0" localSheetId="45">'205'!$H$45</definedName>
    <definedName name="OSRRefH22_7x_0" localSheetId="46">'206'!$H$45</definedName>
    <definedName name="OSRRefH22_7x_0" localSheetId="48">'300'!$H$204</definedName>
    <definedName name="OSRRefH22_7x_0" localSheetId="49">'300 &amp; 317'!$H$230</definedName>
    <definedName name="OSRRefH22_7x_0" localSheetId="50">'301'!$H$54</definedName>
    <definedName name="OSRRefH22_7x_0" localSheetId="51">'306'!$H$48:$H$50</definedName>
    <definedName name="OSRRefH22_7x_0" localSheetId="53">'307'!$H$123</definedName>
    <definedName name="OSRRefH22_7x_0" localSheetId="55">'308'!$H$98</definedName>
    <definedName name="OSRRefH22_7x_0" localSheetId="65">'309'!$H$49</definedName>
    <definedName name="OSRRefH22_7x_0" localSheetId="64">'310'!$H$59</definedName>
    <definedName name="OSRRefH22_7x_0" localSheetId="74">'310 &amp; 491'!$H$69</definedName>
    <definedName name="OSRRefH22_7x_0" localSheetId="56">'311'!$H$97</definedName>
    <definedName name="OSRRefH22_7x_0" localSheetId="66">'313'!$H$55</definedName>
    <definedName name="OSRRefH22_7x_0" localSheetId="54">'314'!$H$90:$H$91</definedName>
    <definedName name="OSRRefH22_7x_0" localSheetId="58">'315'!$H$118</definedName>
    <definedName name="OSRRefH22_7x_0" localSheetId="60">'316'!$H$62</definedName>
    <definedName name="OSRRefH22_7x_0" localSheetId="63">'317'!$H$88:$H$95</definedName>
    <definedName name="OSRRefH22_7x_0" localSheetId="61">'320'!$H$56:$H$57</definedName>
    <definedName name="OSRRefH22_7x_0" localSheetId="67">'321'!$H$49:$H$51</definedName>
    <definedName name="OSRRefH22_7x_0" localSheetId="68">'322'!$H$49</definedName>
    <definedName name="OSRRefH22_7x_0" localSheetId="70">'325'!$H$50</definedName>
    <definedName name="OSRRefH22_7x_0" localSheetId="71">'326'!$H$92</definedName>
    <definedName name="OSRRefH22_7x_0" localSheetId="52">'330'!$H$114:$H$134</definedName>
    <definedName name="OSRRefH22_7x_0" localSheetId="57">'331'!$H$120:$H$121</definedName>
    <definedName name="OSRRefH22_7x_0" localSheetId="59">'332'!$H$71</definedName>
    <definedName name="OSRRefH22_7x_0" localSheetId="76">'405'!$H$49</definedName>
    <definedName name="OSRRefH22_7x_0" localSheetId="77">'406'!$H$50</definedName>
    <definedName name="OSRRefH22_7x_0" localSheetId="78">'411'!$H$49</definedName>
    <definedName name="OSRRefH22_7x_0" localSheetId="79">'412'!$H$50</definedName>
    <definedName name="OSRRefH22_7x_0" localSheetId="80">'413'!$H$49:$H$51</definedName>
    <definedName name="OSRRefH22_7x_0" localSheetId="81">'414'!$H$50</definedName>
    <definedName name="OSRRefH22_7x_0" localSheetId="82">'415'!$H$51</definedName>
    <definedName name="OSRRefH22_7x_0" localSheetId="83">'418'!$H$51</definedName>
    <definedName name="OSRRefH22_7x_0" localSheetId="84">'420'!$H$49</definedName>
    <definedName name="OSRRefH22_7x_0" localSheetId="86">'424'!$H$43</definedName>
    <definedName name="OSRRefH22_7x_0" localSheetId="87">'425'!$H$54</definedName>
    <definedName name="OSRRefH22_7x_0" localSheetId="90">'430'!$H$42</definedName>
    <definedName name="OSRRefH22_7x_0" localSheetId="91">'433'!$H$53</definedName>
    <definedName name="OSRRefH22_7x_0" localSheetId="92">'435'!$H$43:$H$45</definedName>
    <definedName name="OSRRefH22_7x_0" localSheetId="93">'444'!$H$52</definedName>
    <definedName name="OSRRefH22_7x_0" localSheetId="94">'450'!$H$52</definedName>
    <definedName name="OSRRefH22_7x_0" localSheetId="75">'491'!$H$62</definedName>
    <definedName name="OSRRefH22_7x_0" localSheetId="89">'492'!$H$56</definedName>
    <definedName name="OSRRefH22_7x_0" localSheetId="96">'501'!$H$48</definedName>
    <definedName name="OSRRefH22_7x_0" localSheetId="39">'Div 2'!$H$50</definedName>
    <definedName name="OSRRefH22_7x_0" localSheetId="47">'Div 3'!$H$209</definedName>
    <definedName name="OSRRefH22_7x_0" localSheetId="73">'Div 4'!$H$63</definedName>
    <definedName name="OSRRefH22_7x_0" localSheetId="95">'Div 5'!$H$48</definedName>
    <definedName name="OSRRefH22_7x_0" localSheetId="62">'Div 6'!$H$88:$H$95</definedName>
    <definedName name="OSRRefH22_7x_0" localSheetId="2">Summary!$H$244</definedName>
    <definedName name="OSRRefH22_8x_0" localSheetId="41">'201'!$H$45</definedName>
    <definedName name="OSRRefH22_8x_0" localSheetId="42">'202'!$H$48</definedName>
    <definedName name="OSRRefH22_8x_0" localSheetId="43">'203'!$H$49</definedName>
    <definedName name="OSRRefH22_8x_0" localSheetId="44">'204'!$H$51:$H$52</definedName>
    <definedName name="OSRRefH22_8x_0" localSheetId="45">'205'!$H$47</definedName>
    <definedName name="OSRRefH22_8x_0" localSheetId="46">'206'!$H$47</definedName>
    <definedName name="OSRRefH22_8x_0" localSheetId="48">'300'!$H$206</definedName>
    <definedName name="OSRRefH22_8x_0" localSheetId="49">'300 &amp; 317'!$H$232</definedName>
    <definedName name="OSRRefH22_8x_0" localSheetId="50">'301'!$H$56</definedName>
    <definedName name="OSRRefH22_8x_0" localSheetId="51">'306'!$H$52</definedName>
    <definedName name="OSRRefH22_8x_0" localSheetId="53">'307'!$H$125:$H$126</definedName>
    <definedName name="OSRRefH22_8x_0" localSheetId="55">'308'!$H$100:$H$108</definedName>
    <definedName name="OSRRefH22_8x_0" localSheetId="65">'309'!$H$51</definedName>
    <definedName name="OSRRefH22_8x_0" localSheetId="64">'310'!$H$61</definedName>
    <definedName name="OSRRefH22_8x_0" localSheetId="74">'310 &amp; 491'!$H$71</definedName>
    <definedName name="OSRRefH22_8x_0" localSheetId="56">'311'!$H$99:$H$107</definedName>
    <definedName name="OSRRefH22_8x_0" localSheetId="66">'313'!$H$57:$H$59</definedName>
    <definedName name="OSRRefH22_8x_0" localSheetId="54">'314'!$H$93</definedName>
    <definedName name="OSRRefH22_8x_0" localSheetId="58">'315'!$H$120</definedName>
    <definedName name="OSRRefH22_8x_0" localSheetId="60">'316'!$H$64:$H$66</definedName>
    <definedName name="OSRRefH22_8x_0" localSheetId="63">'317'!$H$97:$H$98</definedName>
    <definedName name="OSRRefH22_8x_0" localSheetId="61">'320'!$H$59</definedName>
    <definedName name="OSRRefH22_8x_0" localSheetId="67">'321'!$H$53</definedName>
    <definedName name="OSRRefH22_8x_0" localSheetId="68">'322'!$H$51:$H$52</definedName>
    <definedName name="OSRRefH22_8x_0" localSheetId="70">'325'!$H$52</definedName>
    <definedName name="OSRRefH22_8x_0" localSheetId="71">'326'!$H$94</definedName>
    <definedName name="OSRRefH22_8x_0" localSheetId="52">'330'!$H$136</definedName>
    <definedName name="OSRRefH22_8x_0" localSheetId="57">'331'!$H$123</definedName>
    <definedName name="OSRRefH22_8x_0" localSheetId="59">'332'!$H$73:$H$75</definedName>
    <definedName name="OSRRefH22_8x_0" localSheetId="76">'405'!$H$51</definedName>
    <definedName name="OSRRefH22_8x_0" localSheetId="77">'406'!$H$52</definedName>
    <definedName name="OSRRefH22_8x_0" localSheetId="78">'411'!$H$51</definedName>
    <definedName name="OSRRefH22_8x_0" localSheetId="79">'412'!$H$52</definedName>
    <definedName name="OSRRefH22_8x_0" localSheetId="80">'413'!$H$53:$H$55</definedName>
    <definedName name="OSRRefH22_8x_0" localSheetId="81">'414'!$H$52</definedName>
    <definedName name="OSRRefH22_8x_0" localSheetId="82">'415'!$H$53</definedName>
    <definedName name="OSRRefH22_8x_0" localSheetId="83">'418'!$H$53</definedName>
    <definedName name="OSRRefH22_8x_0" localSheetId="86">'424'!$H$45:$H$46</definedName>
    <definedName name="OSRRefH22_8x_0" localSheetId="87">'425'!$H$56</definedName>
    <definedName name="OSRRefH22_8x_0" localSheetId="91">'433'!$H$55</definedName>
    <definedName name="OSRRefH22_8x_0" localSheetId="92">'435'!$H$47</definedName>
    <definedName name="OSRRefH22_8x_0" localSheetId="93">'444'!$H$54</definedName>
    <definedName name="OSRRefH22_8x_0" localSheetId="94">'450'!$H$54</definedName>
    <definedName name="OSRRefH22_8x_0" localSheetId="75">'491'!$H$64</definedName>
    <definedName name="OSRRefH22_8x_0" localSheetId="89">'492'!$H$58</definedName>
    <definedName name="OSRRefH22_8x_0" localSheetId="96">'501'!$H$50</definedName>
    <definedName name="OSRRefH22_8x_0" localSheetId="39">'Div 2'!$H$52</definedName>
    <definedName name="OSRRefH22_8x_0" localSheetId="47">'Div 3'!$H$211</definedName>
    <definedName name="OSRRefH22_8x_0" localSheetId="73">'Div 4'!$H$65</definedName>
    <definedName name="OSRRefH22_8x_0" localSheetId="95">'Div 5'!$H$50</definedName>
    <definedName name="OSRRefH22_8x_0" localSheetId="62">'Div 6'!$H$97:$H$98</definedName>
    <definedName name="OSRRefH22_8x_0" localSheetId="2">Summary!$H$246</definedName>
    <definedName name="OSRRefH22_9x_0" localSheetId="41">'201'!$H$47:$H$49</definedName>
    <definedName name="OSRRefH22_9x_0" localSheetId="42">'202'!$H$50:$H$52</definedName>
    <definedName name="OSRRefH22_9x_0" localSheetId="43">'203'!$H$51:$H$53</definedName>
    <definedName name="OSRRefH22_9x_0" localSheetId="44">'204'!$H$54</definedName>
    <definedName name="OSRRefH22_9x_0" localSheetId="48">'300'!$H$208</definedName>
    <definedName name="OSRRefH22_9x_0" localSheetId="49">'300 &amp; 317'!$H$234</definedName>
    <definedName name="OSRRefH22_9x_0" localSheetId="50">'301'!$H$58</definedName>
    <definedName name="OSRRefH22_9x_0" localSheetId="51">'306'!$H$54</definedName>
    <definedName name="OSRRefH22_9x_0" localSheetId="53">'307'!$H$128:$H$129</definedName>
    <definedName name="OSRRefH22_9x_0" localSheetId="55">'308'!$H$110:$H$112</definedName>
    <definedName name="OSRRefH22_9x_0" localSheetId="65">'309'!$H$53:$H$54</definedName>
    <definedName name="OSRRefH22_9x_0" localSheetId="64">'310'!$H$63</definedName>
    <definedName name="OSRRefH22_9x_0" localSheetId="74">'310 &amp; 491'!$H$73</definedName>
    <definedName name="OSRRefH22_9x_0" localSheetId="56">'311'!$H$109:$H$111</definedName>
    <definedName name="OSRRefH22_9x_0" localSheetId="66">'313'!$H$61</definedName>
    <definedName name="OSRRefH22_9x_0" localSheetId="54">'314'!$H$95</definedName>
    <definedName name="OSRRefH22_9x_0" localSheetId="58">'315'!$H$122:$H$123</definedName>
    <definedName name="OSRRefH22_9x_0" localSheetId="60">'316'!$H$68</definedName>
    <definedName name="OSRRefH22_9x_0" localSheetId="63">'317'!$H$100:$H$101</definedName>
    <definedName name="OSRRefH22_9x_0" localSheetId="67">'321'!$H$55:$H$57</definedName>
    <definedName name="OSRRefH22_9x_0" localSheetId="68">'322'!$H$54:$H$56</definedName>
    <definedName name="OSRRefH22_9x_0" localSheetId="70">'325'!$H$54</definedName>
    <definedName name="OSRRefH22_9x_0" localSheetId="71">'326'!$H$96:$H$108</definedName>
    <definedName name="OSRRefH22_9x_0" localSheetId="52">'330'!$H$138:$H$139</definedName>
    <definedName name="OSRRefH22_9x_0" localSheetId="57">'331'!$H$125</definedName>
    <definedName name="OSRRefH22_9x_0" localSheetId="59">'332'!$H$77:$H$79</definedName>
    <definedName name="OSRRefH22_9x_0" localSheetId="76">'405'!$H$53</definedName>
    <definedName name="OSRRefH22_9x_0" localSheetId="77">'406'!$H$54:$H$56</definedName>
    <definedName name="OSRRefH22_9x_0" localSheetId="78">'411'!$H$53</definedName>
    <definedName name="OSRRefH22_9x_0" localSheetId="79">'412'!$H$54:$H$56</definedName>
    <definedName name="OSRRefH22_9x_0" localSheetId="80">'413'!$H$57:$H$62</definedName>
    <definedName name="OSRRefH22_9x_0" localSheetId="81">'414'!$H$54:$H$55</definedName>
    <definedName name="OSRRefH22_9x_0" localSheetId="82">'415'!$H$55</definedName>
    <definedName name="OSRRefH22_9x_0" localSheetId="83">'418'!$H$55</definedName>
    <definedName name="OSRRefH22_9x_0" localSheetId="86">'424'!$H$48</definedName>
    <definedName name="OSRRefH22_9x_0" localSheetId="87">'425'!$H$58:$H$60</definedName>
    <definedName name="OSRRefH22_9x_0" localSheetId="91">'433'!$H$57</definedName>
    <definedName name="OSRRefH22_9x_0" localSheetId="93">'444'!$H$56</definedName>
    <definedName name="OSRRefH22_9x_0" localSheetId="94">'450'!$H$56</definedName>
    <definedName name="OSRRefH22_9x_0" localSheetId="75">'491'!$H$66</definedName>
    <definedName name="OSRRefH22_9x_0" localSheetId="89">'492'!$H$60</definedName>
    <definedName name="OSRRefH22_9x_0" localSheetId="96">'501'!$H$52:$H$54</definedName>
    <definedName name="OSRRefH22_9x_0" localSheetId="39">'Div 2'!$H$54:$H$55</definedName>
    <definedName name="OSRRefH22_9x_0" localSheetId="47">'Div 3'!$H$213</definedName>
    <definedName name="OSRRefH22_9x_0" localSheetId="73">'Div 4'!$H$67</definedName>
    <definedName name="OSRRefH22_9x_0" localSheetId="95">'Div 5'!$H$52:$H$54</definedName>
    <definedName name="OSRRefH22_9x_0" localSheetId="62">'Div 6'!$H$100:$H$101</definedName>
    <definedName name="OSRRefH22_9x_0" localSheetId="2">Summary!$H$248</definedName>
    <definedName name="OSRRefH22x_0" localSheetId="40">'200'!$H$20:$H$21,'200'!$H$23,'200'!$H$25,'200'!$H$27,'200'!$H$29:$H$30</definedName>
    <definedName name="OSRRefH22x_0" localSheetId="41">'201'!$H$20:$H$27,'201'!$H$29:$H$31,'201'!$H$33,'201'!$H$35,'201'!$H$37,'201'!$H$39,'201'!$H$41,'201'!$H$43,'201'!$H$45,'201'!$H$47:$H$49,'201'!$H$51:$H$53,'201'!$H$55,'201'!$H$57:$H$60,'201'!$H$62,'201'!$H$64,'201'!$H$66</definedName>
    <definedName name="OSRRefH22x_0" localSheetId="42">'202'!$H$20:$H$27,'202'!$H$29:$H$33,'202'!$H$35,'202'!$H$37,'202'!$H$39,'202'!$H$41,'202'!$H$43:$H$44,'202'!$H$46,'202'!$H$48,'202'!$H$50:$H$52,'202'!$H$54,'202'!$H$56,'202'!$H$58:$H$60,'202'!$H$62,'202'!$H$64,'202'!$H$66</definedName>
    <definedName name="OSRRefH22x_0" localSheetId="43">'203'!$H$20:$H$29,'203'!$H$31:$H$35,'203'!$H$37,'203'!$H$39,'203'!$H$41,'203'!$H$43,'203'!$H$45,'203'!$H$47,'203'!$H$49,'203'!$H$51:$H$53,'203'!$H$55:$H$56,'203'!$H$58,'203'!$H$60:$H$64,'203'!$H$66,'203'!$H$68,'203'!$H$70</definedName>
    <definedName name="OSRRefH22x_0" localSheetId="44">'204'!$H$20:$H$29,'204'!$H$31:$H$35,'204'!$H$37,'204'!$H$39,'204'!$H$41,'204'!$H$43,'204'!$H$45:$H$47,'204'!$H$49,'204'!$H$51:$H$52,'204'!$H$54,'204'!$H$56:$H$57</definedName>
    <definedName name="OSRRefH22x_0" localSheetId="45">'205'!$H$20:$H$27,'205'!$H$29,'205'!$H$31,'205'!$H$33,'205'!$H$35:$H$37,'205'!$H$39,'205'!$H$41:$H$43,'205'!$H$45,'205'!$H$47</definedName>
    <definedName name="OSRRefH22x_0" localSheetId="46">'206'!$H$20:$H$27,'206'!$H$29:$H$32,'206'!$H$34,'206'!$H$36,'206'!$H$38,'206'!$H$40,'206'!$H$42:$H$43,'206'!$H$45,'206'!$H$47</definedName>
    <definedName name="OSRRefH22x_0" localSheetId="48">'300'!$H$171:$H$180,'300'!$H$182:$H$188,'300'!$H$190,'300'!$H$192:$H$193,'300'!$H$195,'300'!$H$197:$H$199,'300'!$H$201:$H$202,'300'!$H$204,'300'!$H$206,'300'!$H$208,'300'!$H$210:$H$211,'300'!$H$213,'300'!$H$215,'300'!$H$217:$H$250,'300'!$H$252,'300'!$H$254,'300'!$H$256:$H$259,'300'!$H$261:$H$263,'300'!$H$265:$H$268,'300'!$H$270:$H$271,'300'!$H$273:$H$280,'300'!$H$282:$H$283,'300'!$H$285,'300'!$H$287:$H$289,'300'!$H$291</definedName>
    <definedName name="OSRRefH22x_0" localSheetId="49">'300 &amp; 317'!$H$197:$H$206,'300 &amp; 317'!$H$208:$H$214,'300 &amp; 317'!$H$216,'300 &amp; 317'!$H$218:$H$219,'300 &amp; 317'!$H$221,'300 &amp; 317'!$H$223:$H$225,'300 &amp; 317'!$H$227:$H$228,'300 &amp; 317'!$H$230,'300 &amp; 317'!$H$232,'300 &amp; 317'!$H$234,'300 &amp; 317'!$H$236:$H$237,'300 &amp; 317'!$H$239,'300 &amp; 317'!$H$241,'300 &amp; 317'!$H$243:$H$279,'300 &amp; 317'!$H$281,'300 &amp; 317'!$H$283,'300 &amp; 317'!$H$285:$H$288,'300 &amp; 317'!$H$290:$H$292,'300 &amp; 317'!$H$294:$H$297,'300 &amp; 317'!$H$299:$H$300,'300 &amp; 317'!$H$302:$H$309,'300 &amp; 317'!$H$311:$H$312,'300 &amp; 317'!$H$314,'300 &amp; 317'!$H$316:$H$318,'300 &amp; 317'!$H$320</definedName>
    <definedName name="OSRRefH22x_0" localSheetId="50">'301'!$H$21:$H$30,'301'!$H$32:$H$38,'301'!$H$40,'301'!$H$42:$H$43,'301'!$H$45,'301'!$H$47:$H$49,'301'!$H$51:$H$52,'301'!$H$54,'301'!$H$56,'301'!$H$58,'301'!$H$60,'301'!$H$62,'301'!$H$64,'301'!$H$66,'301'!$H$68,'301'!$H$70,'301'!$H$72:$H$75,'301'!$H$77:$H$79,'301'!$H$81:$H$82,'301'!$H$84:$H$90,'301'!$H$92,'301'!$H$94,'301'!$H$96:$H$98,'301'!$H$100</definedName>
    <definedName name="OSRRefH22x_0" localSheetId="51">'306'!$H$20:$H$28,'306'!$H$30:$H$35,'306'!$H$37,'306'!$H$39,'306'!$H$41,'306'!$H$43,'306'!$H$45:$H$46,'306'!$H$48:$H$50,'306'!$H$52,'306'!$H$54</definedName>
    <definedName name="OSRRefH22x_0" localSheetId="53">'307'!$H$79:$H$86,'307'!$H$88:$H$91,'307'!$H$93,'307'!$H$95,'307'!$H$97:$H$98,'307'!$H$100,'307'!$H$102:$H$121,'307'!$H$123,'307'!$H$125:$H$126,'307'!$H$128:$H$129,'307'!$H$131:$H$134,'307'!$H$136,'307'!$H$138</definedName>
    <definedName name="OSRRefH22x_0" localSheetId="55">'308'!$H$68:$H$76,'308'!$H$78:$H$84,'308'!$H$86,'308'!$H$88:$H$89,'308'!$H$91,'308'!$H$93,'308'!$H$95:$H$96,'308'!$H$98,'308'!$H$100:$H$108,'308'!$H$110:$H$112,'308'!$H$114:$H$115,'308'!$H$117:$H$119,'308'!$H$121:$H$122,'308'!$H$124,'308'!$H$126</definedName>
    <definedName name="OSRRefH22x_0" localSheetId="65">'309'!$H$24:$H$31,'309'!$H$33:$H$37,'309'!$H$39,'309'!$H$41,'309'!$H$43,'309'!$H$45,'309'!$H$47,'309'!$H$49,'309'!$H$51,'309'!$H$53:$H$54,'309'!$H$56:$H$58,'309'!$H$60:$H$62,'309'!$H$64</definedName>
    <definedName name="OSRRefH22x_0" localSheetId="64">'310'!$H$32:$H$39,'310'!$H$41:$H$46,'310'!$H$48,'310'!$H$50,'310'!$H$52,'310'!$H$54:$H$55,'310'!$H$57,'310'!$H$59,'310'!$H$61,'310'!$H$63,'310'!$H$65,'310'!$H$67,'310'!$H$69,'310'!$H$71,'310'!$H$73:$H$75,'310'!$H$77,'310'!$H$79:$H$82,'310'!$H$84,'310'!$H$86:$H$94,'310'!$H$96,'310'!$H$98,'310'!$H$100,'310'!$H$102</definedName>
    <definedName name="OSRRefH22x_0" localSheetId="74">'310 &amp; 491'!$H$39:$H$47,'310 &amp; 491'!$H$49:$H$55,'310 &amp; 491'!$H$57,'310 &amp; 491'!$H$59,'310 &amp; 491'!$H$61,'310 &amp; 491'!$H$63:$H$65,'310 &amp; 491'!$H$67,'310 &amp; 491'!$H$69,'310 &amp; 491'!$H$71,'310 &amp; 491'!$H$73,'310 &amp; 491'!$H$75:$H$76,'310 &amp; 491'!$H$78:$H$79,'310 &amp; 491'!$H$81,'310 &amp; 491'!$H$83,'310 &amp; 491'!$H$85,'310 &amp; 491'!$H$87,'310 &amp; 491'!$H$89:$H$92,'310 &amp; 491'!$H$94:$H$95,'310 &amp; 491'!$H$97:$H$101,'310 &amp; 491'!$H$103:$H$104,'310 &amp; 491'!$H$106:$H$115,'310 &amp; 491'!$H$117,'310 &amp; 491'!$H$119,'310 &amp; 491'!$H$121:$H$123,'310 &amp; 491'!$H$125</definedName>
    <definedName name="OSRRefH22x_0" localSheetId="56">'311'!$H$67:$H$75,'311'!$H$77:$H$83,'311'!$H$85,'311'!$H$87:$H$88,'311'!$H$90,'311'!$H$92,'311'!$H$94:$H$95,'311'!$H$97,'311'!$H$99:$H$107,'311'!$H$109:$H$111,'311'!$H$113:$H$114,'311'!$H$116:$H$118,'311'!$H$120:$H$121,'311'!$H$123,'311'!$H$125</definedName>
    <definedName name="OSRRefH22x_0" localSheetId="66">'313'!$H$29:$H$36,'313'!$H$38:$H$43,'313'!$H$45,'313'!$H$47,'313'!$H$49,'313'!$H$51,'313'!$H$53,'313'!$H$55,'313'!$H$57:$H$59,'313'!$H$61,'313'!$H$63:$H$68,'313'!$H$70,'313'!$H$72</definedName>
    <definedName name="OSRRefH22x_0" localSheetId="54">'314'!$H$57:$H$65,'314'!$H$67:$H$69,'314'!$H$71,'314'!$H$73:$H$74,'314'!$H$76,'314'!$H$78:$H$86,'314'!$H$88,'314'!$H$90:$H$91,'314'!$H$93,'314'!$H$95</definedName>
    <definedName name="OSRRefH22x_0" localSheetId="58">'315'!$H$84:$H$91,'315'!$H$93:$H$98,'315'!$H$100,'315'!$H$102:$H$103,'315'!$H$105,'315'!$H$107:$H$108,'315'!$H$110:$H$116,'315'!$H$118,'315'!$H$120,'315'!$H$122:$H$123,'315'!$H$125:$H$126,'315'!$H$128:$H$132,'315'!$H$134,'315'!$H$136,'315'!$H$138:$H$139</definedName>
    <definedName name="OSRRefH22x_0" localSheetId="60">'316'!$H$37:$H$44,'316'!$H$46:$H$49,'316'!$H$51,'316'!$H$53,'316'!$H$55,'316'!$H$57,'316'!$H$59:$H$60,'316'!$H$62,'316'!$H$64:$H$66,'316'!$H$68,'316'!$H$70,'316'!$H$72:$H$77,'316'!$H$79,'316'!$H$81,'316'!$H$83</definedName>
    <definedName name="OSRRefH22x_0" localSheetId="63">'317'!$H$61:$H$69,'317'!$H$71:$H$75,'317'!$H$77,'317'!$H$79,'317'!$H$81,'317'!$H$83:$H$84,'317'!$H$86,'317'!$H$88:$H$95,'317'!$H$97:$H$98,'317'!$H$100:$H$101,'317'!$H$103:$H$107,'317'!$H$109,'317'!$H$111,'317'!$H$113</definedName>
    <definedName name="OSRRefH22x_0" localSheetId="61">'320'!$H$29:$H$35,'320'!$H$37:$H$41,'320'!$H$43,'320'!$H$45,'320'!$H$47:$H$48,'320'!$H$50,'320'!$H$52:$H$54,'320'!$H$56:$H$57,'320'!$H$59</definedName>
    <definedName name="OSRRefH22x_0" localSheetId="67">'321'!$H$24:$H$31,'321'!$H$33:$H$37,'321'!$H$39,'321'!$H$41,'321'!$H$43,'321'!$H$45,'321'!$H$47,'321'!$H$49:$H$51,'321'!$H$53,'321'!$H$55:$H$57,'321'!$H$59:$H$63,'321'!$H$65,'321'!$H$67</definedName>
    <definedName name="OSRRefH22x_0" localSheetId="68">'322'!$H$24:$H$31,'322'!$H$33:$H$37,'322'!$H$39,'322'!$H$41,'322'!$H$43,'322'!$H$45,'322'!$H$47,'322'!$H$49,'322'!$H$51:$H$52,'322'!$H$54:$H$56,'322'!$H$58:$H$64,'322'!$H$66,'322'!$H$68,'322'!$H$70</definedName>
    <definedName name="OSRRefH22x_0" localSheetId="70">'325'!$H$24:$H$31,'325'!$H$33:$H$37,'325'!$H$39,'325'!$H$41,'325'!$H$43,'325'!$H$45:$H$46,'325'!$H$48,'325'!$H$50,'325'!$H$52,'325'!$H$54,'325'!$H$56,'325'!$H$58:$H$60,'325'!$H$62:$H$65,'325'!$H$67,'325'!$H$69:$H$73,'325'!$H$75,'325'!$H$77,'325'!$H$79</definedName>
    <definedName name="OSRRefH22x_0" localSheetId="71">'326'!$H$65:$H$72,'326'!$H$74:$H$79,'326'!$H$81,'326'!$H$83,'326'!$H$85,'326'!$H$87:$H$88,'326'!$H$90,'326'!$H$92,'326'!$H$94,'326'!$H$96:$H$108,'326'!$H$110,'326'!$H$112,'326'!$H$114:$H$116,'326'!$H$118:$H$120,'326'!$H$122:$H$123,'326'!$H$125:$H$130,'326'!$H$132,'326'!$H$134,'326'!$H$136,'326'!$H$138</definedName>
    <definedName name="OSRRefH22x_0" localSheetId="72">'327'!$H$23,'327'!$H$25,'327'!$H$27</definedName>
    <definedName name="OSRRefH22x_0" localSheetId="52">'330'!$H$87:$H$95,'330'!$H$97:$H$101,'330'!$H$103,'330'!$H$105,'330'!$H$107:$H$108,'330'!$H$110,'330'!$H$112,'330'!$H$114:$H$134,'330'!$H$136,'330'!$H$138:$H$139,'330'!$H$141:$H$142,'330'!$H$144,'330'!$H$146:$H$149,'330'!$H$151,'330'!$H$153,'330'!$H$155</definedName>
    <definedName name="OSRRefH22x_0" localSheetId="57">'331'!$H$93:$H$100,'331'!$H$102:$H$107,'331'!$H$109,'331'!$H$111,'331'!$H$113,'331'!$H$115:$H$116,'331'!$H$118,'331'!$H$120:$H$121,'331'!$H$123,'331'!$H$125,'331'!$H$127:$H$139,'331'!$H$141,'331'!$H$143,'331'!$H$145:$H$147,'331'!$H$149:$H$150,'331'!$H$152:$H$154,'331'!$H$156:$H$157,'331'!$H$159:$H$164,'331'!$H$166,'331'!$H$168,'331'!$H$170:$H$171,'331'!$H$173</definedName>
    <definedName name="OSRRefH22x_0" localSheetId="59">'332'!$H$45:$H$52,'332'!$H$54:$H$58,'332'!$H$60,'332'!$H$62,'332'!$H$64,'332'!$H$66,'332'!$H$68:$H$69,'332'!$H$71,'332'!$H$73:$H$75,'332'!$H$77:$H$79,'332'!$H$81,'332'!$H$83,'332'!$H$85:$H$90,'332'!$H$92,'332'!$H$94,'332'!$H$96</definedName>
    <definedName name="OSRRefH22x_0" localSheetId="76">'405'!$H$24:$H$31,'405'!$H$33:$H$36,'405'!$H$38,'405'!$H$40,'405'!$H$42,'405'!$H$44:$H$45,'405'!$H$47,'405'!$H$49,'405'!$H$51,'405'!$H$53,'405'!$H$55:$H$56,'405'!$H$58,'405'!$H$60:$H$62,'405'!$H$64:$H$65,'405'!$H$67:$H$73,'405'!$H$75,'405'!$H$77,'405'!$H$79</definedName>
    <definedName name="OSRRefH22x_0" localSheetId="77">'406'!$H$24:$H$31,'406'!$H$33:$H$38,'406'!$H$40,'406'!$H$42,'406'!$H$44,'406'!$H$46,'406'!$H$48,'406'!$H$50,'406'!$H$52,'406'!$H$54:$H$56,'406'!$H$58:$H$59,'406'!$H$61:$H$66,'406'!$H$68,'406'!$H$70,'406'!$H$72</definedName>
    <definedName name="OSRRefH22x_0" localSheetId="78">'411'!$H$20:$H$28,'411'!$H$30:$H$35,'411'!$H$37,'411'!$H$39,'411'!$H$41:$H$43,'411'!$H$45,'411'!$H$47,'411'!$H$49,'411'!$H$51,'411'!$H$53,'411'!$H$55,'411'!$H$57,'411'!$H$59:$H$62,'411'!$H$64:$H$68,'411'!$H$70:$H$71,'411'!$H$73:$H$81,'411'!$H$83,'411'!$H$85,'411'!$H$87:$H$89,'411'!$H$91</definedName>
    <definedName name="OSRRefH22x_0" localSheetId="79">'412'!$H$24:$H$31,'412'!$H$33:$H$38,'412'!$H$40,'412'!$H$42,'412'!$H$44,'412'!$H$46,'412'!$H$48,'412'!$H$50,'412'!$H$52,'412'!$H$54:$H$56,'412'!$H$58:$H$60,'412'!$H$62:$H$67,'412'!$H$69,'412'!$H$71</definedName>
    <definedName name="OSRRefH22x_0" localSheetId="80">'413'!$H$24:$H$31,'413'!$H$33:$H$37,'413'!$H$39,'413'!$H$41,'413'!$H$43,'413'!$H$45,'413'!$H$47,'413'!$H$49:$H$51,'413'!$H$53:$H$55,'413'!$H$57:$H$62,'413'!$H$64,'413'!$H$66</definedName>
    <definedName name="OSRRefH22x_0" localSheetId="81">'414'!$H$24:$H$31,'414'!$H$33:$H$38,'414'!$H$40,'414'!$H$42,'414'!$H$44,'414'!$H$46,'414'!$H$48,'414'!$H$50,'414'!$H$52,'414'!$H$54:$H$55,'414'!$H$57,'414'!$H$59,'414'!$H$61,'414'!$H$63:$H$69,'414'!$H$71,'414'!$H$73</definedName>
    <definedName name="OSRRefH22x_0" localSheetId="82">'415'!$H$24:$H$31,'415'!$H$33:$H$38,'415'!$H$40,'415'!$H$42,'415'!$H$44,'415'!$H$46:$H$47,'415'!$H$49,'415'!$H$51,'415'!$H$53,'415'!$H$55,'415'!$H$57,'415'!$H$59:$H$62,'415'!$H$64:$H$68,'415'!$H$70:$H$71,'415'!$H$73:$H$81,'415'!$H$83,'415'!$H$85,'415'!$H$87</definedName>
    <definedName name="OSRRefH22x_0" localSheetId="83">'418'!$H$24:$H$31,'418'!$H$33:$H$38,'418'!$H$40,'418'!$H$42,'418'!$H$44,'418'!$H$46:$H$47,'418'!$H$49,'418'!$H$51,'418'!$H$53,'418'!$H$55,'418'!$H$57:$H$58,'418'!$H$60:$H$62,'418'!$H$64:$H$66,'418'!$H$68:$H$69,'418'!$H$71:$H$78,'418'!$H$80,'418'!$H$82</definedName>
    <definedName name="OSRRefH22x_0" localSheetId="84">'420'!$H$24:$H$31,'420'!$H$33:$H$36,'420'!$H$38,'420'!$H$40,'420'!$H$42,'420'!$H$44,'420'!$H$46:$H$47,'420'!$H$49</definedName>
    <definedName name="OSRRefH22x_0" localSheetId="85">'423'!$H$21:$H$28,'423'!$H$30:$H$31,'423'!$H$33,'423'!$H$35,'423'!$H$37,'423'!$H$39,'423'!$H$41</definedName>
    <definedName name="OSRRefH22x_0" localSheetId="86">'424'!$H$24:$H$25,'424'!$H$27:$H$31,'424'!$H$33,'424'!$H$35,'424'!$H$37,'424'!$H$39,'424'!$H$41,'424'!$H$43,'424'!$H$45:$H$46,'424'!$H$48,'424'!$H$50,'424'!$H$52:$H$56,'424'!$H$58</definedName>
    <definedName name="OSRRefH22x_0" localSheetId="87">'425'!$H$27:$H$35,'425'!$H$37:$H$42,'425'!$H$44,'425'!$H$46,'425'!$H$48,'425'!$H$50,'425'!$H$52,'425'!$H$54,'425'!$H$56,'425'!$H$58:$H$60,'425'!$H$62,'425'!$H$64:$H$66,'425'!$H$68:$H$74,'425'!$H$76,'425'!$H$78</definedName>
    <definedName name="OSRRefH22x_0" localSheetId="90">'430'!$H$20:$H$27,'430'!$H$29,'430'!$H$31,'430'!$H$33,'430'!$H$35:$H$36,'430'!$H$38,'430'!$H$40,'430'!$H$42</definedName>
    <definedName name="OSRRefH22x_0" localSheetId="91">'433'!$H$26:$H$34,'433'!$H$36:$H$41,'433'!$H$43,'433'!$H$45,'433'!$H$47,'433'!$H$49,'433'!$H$51,'433'!$H$53,'433'!$H$55,'433'!$H$57,'433'!$H$59,'433'!$H$61:$H$63,'433'!$H$65:$H$67,'433'!$H$69:$H$76,'433'!$H$78,'433'!$H$80,'433'!$H$82</definedName>
    <definedName name="OSRRefH22x_0" localSheetId="92">'435'!$H$25:$H$27,'435'!$H$29:$H$31,'435'!$H$33,'435'!$H$35,'435'!$H$37,'435'!$H$39,'435'!$H$41,'435'!$H$43:$H$45,'435'!$H$47</definedName>
    <definedName name="OSRRefH22x_0" localSheetId="93">'444'!$H$25:$H$33,'444'!$H$35:$H$40,'444'!$H$42,'444'!$H$44,'444'!$H$46,'444'!$H$48,'444'!$H$50,'444'!$H$52,'444'!$H$54,'444'!$H$56,'444'!$H$58,'444'!$H$60:$H$62,'444'!$H$64:$H$67,'444'!$H$69,'444'!$H$71:$H$79,'444'!$H$81,'444'!$H$83,'444'!$H$85:$H$86</definedName>
    <definedName name="OSRRefH22x_0" localSheetId="94">'450'!$H$25:$H$33,'450'!$H$35:$H$40,'450'!$H$42,'450'!$H$44,'450'!$H$46,'450'!$H$48,'450'!$H$50,'450'!$H$52,'450'!$H$54,'450'!$H$56,'450'!$H$58,'450'!$H$60,'450'!$H$62:$H$63,'450'!$H$65:$H$67,'450'!$H$69:$H$74,'450'!$H$76,'450'!$H$78,'450'!$H$80</definedName>
    <definedName name="OSRRefH22x_0" localSheetId="88">'455'!$H$20:$H$26,'455'!$H$28:$H$29</definedName>
    <definedName name="OSRRefH22x_0" localSheetId="75">'491'!$H$32:$H$40,'491'!$H$42:$H$48,'491'!$H$50,'491'!$H$52,'491'!$H$54,'491'!$H$56:$H$58,'491'!$H$60,'491'!$H$62,'491'!$H$64,'491'!$H$66,'491'!$H$68,'491'!$H$70:$H$71,'491'!$H$73,'491'!$H$75,'491'!$H$77,'491'!$H$79,'491'!$H$81:$H$84,'491'!$H$86:$H$87,'491'!$H$89:$H$93,'491'!$H$95:$H$96,'491'!$H$98:$H$107,'491'!$H$109,'491'!$H$111,'491'!$H$113:$H$115,'491'!$H$117</definedName>
    <definedName name="OSRRefH22x_0" localSheetId="89">'492'!$H$28:$H$36,'492'!$H$38:$H$44,'492'!$H$46,'492'!$H$48,'492'!$H$50,'492'!$H$52,'492'!$H$54,'492'!$H$56,'492'!$H$58,'492'!$H$60,'492'!$H$62,'492'!$H$64,'492'!$H$66:$H$68,'492'!$H$70:$H$73,'492'!$H$75,'492'!$H$77:$H$85,'492'!$H$87,'492'!$H$89,'492'!$H$91:$H$92</definedName>
    <definedName name="OSRRefH22x_0" localSheetId="96">'501'!$H$21:$H$29,'501'!$H$31:$H$35,'501'!$H$37,'501'!$H$39,'501'!$H$41,'501'!$H$43:$H$44,'501'!$H$46,'501'!$H$48,'501'!$H$50,'501'!$H$52:$H$54,'501'!$H$56,'501'!$H$58:$H$60,'501'!$H$62,'501'!$H$64</definedName>
    <definedName name="OSRRefH22x_0" localSheetId="39">'Div 2'!$H$20:$H$30,'Div 2'!$H$32:$H$38,'Div 2'!$H$40,'Div 2'!$H$42,'Div 2'!$H$44,'Div 2'!$H$46,'Div 2'!$H$48,'Div 2'!$H$50,'Div 2'!$H$52,'Div 2'!$H$54:$H$55,'Div 2'!$H$57,'Div 2'!$H$59,'Div 2'!$H$61:$H$64,'Div 2'!$H$66:$H$68,'Div 2'!$H$70:$H$71,'Div 2'!$H$73,'Div 2'!$H$75:$H$80,'Div 2'!$H$82:$H$83,'Div 2'!$H$85,'Div 2'!$H$87:$H$88</definedName>
    <definedName name="OSRRefH22x_0" localSheetId="47">'Div 3'!$H$176:$H$185,'Div 3'!$H$187:$H$193,'Div 3'!$H$195,'Div 3'!$H$197:$H$198,'Div 3'!$H$200,'Div 3'!$H$202:$H$204,'Div 3'!$H$206:$H$207,'Div 3'!$H$209,'Div 3'!$H$211,'Div 3'!$H$213,'Div 3'!$H$215:$H$216,'Div 3'!$H$218,'Div 3'!$H$220,'Div 3'!$H$222,'Div 3'!$H$224:$H$257,'Div 3'!$H$259,'Div 3'!$H$261,'Div 3'!$H$263:$H$266,'Div 3'!$H$268:$H$270,'Div 3'!$H$272:$H$276,'Div 3'!$H$278:$H$279,'Div 3'!$H$281:$H$289,'Div 3'!$H$291:$H$292,'Div 3'!$H$294,'Div 3'!$H$296:$H$298,'Div 3'!$H$300</definedName>
    <definedName name="OSRRefH22x_0" localSheetId="73">'Div 4'!$H$33:$H$41,'Div 4'!$H$43:$H$49,'Div 4'!$H$51,'Div 4'!$H$53,'Div 4'!$H$55,'Div 4'!$H$57:$H$59,'Div 4'!$H$61,'Div 4'!$H$63,'Div 4'!$H$65,'Div 4'!$H$67,'Div 4'!$H$69,'Div 4'!$H$71:$H$72,'Div 4'!$H$74,'Div 4'!$H$76,'Div 4'!$H$78,'Div 4'!$H$80,'Div 4'!$H$82,'Div 4'!$H$84:$H$87,'Div 4'!$H$89:$H$90,'Div 4'!$H$92:$H$96,'Div 4'!$H$98:$H$99,'Div 4'!$H$101:$H$110,'Div 4'!$H$112,'Div 4'!$H$114,'Div 4'!$H$116:$H$118,'Div 4'!$H$120</definedName>
    <definedName name="OSRRefH22x_0" localSheetId="95">'Div 5'!$H$21:$H$29,'Div 5'!$H$31:$H$35,'Div 5'!$H$37,'Div 5'!$H$39,'Div 5'!$H$41,'Div 5'!$H$43:$H$44,'Div 5'!$H$46,'Div 5'!$H$48,'Div 5'!$H$50,'Div 5'!$H$52:$H$54,'Div 5'!$H$56,'Div 5'!$H$58:$H$60,'Div 5'!$H$62,'Div 5'!$H$64</definedName>
    <definedName name="OSRRefH22x_0" localSheetId="62">'Div 6'!$H$61:$H$69,'Div 6'!$H$71:$H$75,'Div 6'!$H$77,'Div 6'!$H$79,'Div 6'!$H$81,'Div 6'!$H$83:$H$84,'Div 6'!$H$86,'Div 6'!$H$88:$H$95,'Div 6'!$H$97:$H$98,'Div 6'!$H$100:$H$101,'Div 6'!$H$103:$H$107,'Div 6'!$H$109,'Div 6'!$H$111,'Div 6'!$H$113</definedName>
    <definedName name="OSRRefH22x_0" localSheetId="2">Summary!$H$210:$H$219,Summary!$H$221:$H$227,Summary!$H$229,Summary!$H$231:$H$232,Summary!$H$234,Summary!$H$236:$H$239,Summary!$H$241:$H$242,Summary!$H$244,Summary!$H$246,Summary!$H$248,Summary!$H$250:$H$251,Summary!$H$253:$H$254,Summary!$H$256,Summary!$H$258,Summary!$H$260:$H$296,Summary!$H$298,Summary!$H$300,Summary!$H$302,Summary!$H$304:$H$307,Summary!$H$309:$H$311,Summary!$H$313:$H$317,Summary!$H$319:$H$320,Summary!$H$322:$H$331,Summary!$H$333:$H$334,Summary!$H$336,Summary!$H$338:$H$340,Summary!$H$342</definedName>
    <definedName name="OSRRefH25x_0" localSheetId="48">'300'!$H$294:$H$302</definedName>
    <definedName name="OSRRefH25x_0" localSheetId="49">'300 &amp; 317'!$H$323:$H$334</definedName>
    <definedName name="OSRRefH25x_0" localSheetId="50">'301'!$H$103:$H$105</definedName>
    <definedName name="OSRRefH25x_0" localSheetId="53">'307'!$H$141</definedName>
    <definedName name="OSRRefH25x_0" localSheetId="55">'308'!$H$129:$H$131</definedName>
    <definedName name="OSRRefH25x_0" localSheetId="74">'310 &amp; 491'!$H$128:$H$130</definedName>
    <definedName name="OSRRefH25x_0" localSheetId="56">'311'!$H$128:$H$130</definedName>
    <definedName name="OSRRefH25x_0" localSheetId="58">'315'!$H$142:$H$144</definedName>
    <definedName name="OSRRefH25x_0" localSheetId="60">'316'!$H$86</definedName>
    <definedName name="OSRRefH25x_0" localSheetId="63">'317'!$H$116:$H$119</definedName>
    <definedName name="OSRRefH25x_0" localSheetId="61">'320'!$H$62:$H$66</definedName>
    <definedName name="OSRRefH25x_0" localSheetId="52">'330'!$H$158</definedName>
    <definedName name="OSRRefH25x_0" localSheetId="57">'331'!$H$176:$H$178</definedName>
    <definedName name="OSRRefH25x_0" localSheetId="59">'332'!$H$99:$H$104</definedName>
    <definedName name="OSRRefH25x_0" localSheetId="78">'411'!$H$94:$H$95</definedName>
    <definedName name="OSRRefH25x_0" localSheetId="80">'413'!$H$69</definedName>
    <definedName name="OSRRefH25x_0" localSheetId="82">'415'!$H$90</definedName>
    <definedName name="OSRRefH25x_0" localSheetId="83">'418'!$H$85</definedName>
    <definedName name="OSRRefH25x_0" localSheetId="85">'423'!$H$44</definedName>
    <definedName name="OSRRefH25x_0" localSheetId="86">'424'!$H$61</definedName>
    <definedName name="OSRRefH25x_0" localSheetId="87">'425'!$H$81</definedName>
    <definedName name="OSRRefH25x_0" localSheetId="88">'455'!$H$32:$H$34</definedName>
    <definedName name="OSRRefH25x_0" localSheetId="75">'491'!$H$120:$H$122</definedName>
    <definedName name="OSRRefH25x_0" localSheetId="96">'501'!$H$67</definedName>
    <definedName name="OSRRefH25x_0" localSheetId="47">'Div 3'!$H$303:$H$311</definedName>
    <definedName name="OSRRefH25x_0" localSheetId="73">'Div 4'!$H$123:$H$125</definedName>
    <definedName name="OSRRefH25x_0" localSheetId="95">'Div 5'!$H$67</definedName>
    <definedName name="OSRRefH25x_0" localSheetId="62">'Div 6'!$H$116:$H$119</definedName>
    <definedName name="OSRRefH25x_0" localSheetId="2">Summary!$H$345:$H$357</definedName>
    <definedName name="OSRRefP13x_0" localSheetId="48">'300'!$P$13:$P$112</definedName>
    <definedName name="OSRRefP13x_0" localSheetId="49">'300 &amp; 317'!$P$13:$P$130</definedName>
    <definedName name="OSRRefP13x_0" localSheetId="53">'307'!$P$13:$P$49</definedName>
    <definedName name="OSRRefP13x_0" localSheetId="55">'308'!$P$13:$P$43</definedName>
    <definedName name="OSRRefP13x_0" localSheetId="65">'309'!$P$13:$P$14</definedName>
    <definedName name="OSRRefP13x_0" localSheetId="64">'310'!$P$13:$P$22</definedName>
    <definedName name="OSRRefP13x_0" localSheetId="74">'310 &amp; 491'!$P$13:$P$29</definedName>
    <definedName name="OSRRefP13x_0" localSheetId="56">'311'!$P$13:$P$42</definedName>
    <definedName name="OSRRefP13x_0" localSheetId="66">'313'!$P$13:$P$19</definedName>
    <definedName name="OSRRefP13x_0" localSheetId="54">'314'!$P$13:$P$34</definedName>
    <definedName name="OSRRefP13x_0" localSheetId="58">'315'!$P$13:$P$51</definedName>
    <definedName name="OSRRefP13x_0" localSheetId="60">'316'!$P$13:$P$29</definedName>
    <definedName name="OSRRefP13x_0" localSheetId="63">'317'!$P$13:$P$37</definedName>
    <definedName name="OSRRefP13x_0" localSheetId="61">'320'!$P$13:$P$16</definedName>
    <definedName name="OSRRefP13x_0" localSheetId="67">'321'!$P$13:$P$14</definedName>
    <definedName name="OSRRefP13x_0" localSheetId="68">'322'!$P$13:$P$14</definedName>
    <definedName name="OSRRefP13x_0" localSheetId="69">'324'!$P$13:$P$15</definedName>
    <definedName name="OSRRefP13x_0" localSheetId="70">'325'!$P$13:$P$14</definedName>
    <definedName name="OSRRefP13x_0" localSheetId="71">'326'!$P$13:$P$38</definedName>
    <definedName name="OSRRefP13x_0" localSheetId="72">'327'!$P$13</definedName>
    <definedName name="OSRRefP13x_0" localSheetId="52">'330'!$P$13:$P$54</definedName>
    <definedName name="OSRRefP13x_0" localSheetId="57">'331'!$P$13:$P$55</definedName>
    <definedName name="OSRRefP13x_0" localSheetId="59">'332'!$P$13:$P$32</definedName>
    <definedName name="OSRRefP13x_0" localSheetId="76">'405'!$P$13:$P$14</definedName>
    <definedName name="OSRRefP13x_0" localSheetId="77">'406'!$P$13:$P$14</definedName>
    <definedName name="OSRRefP13x_0" localSheetId="79">'412'!$P$13:$P$14</definedName>
    <definedName name="OSRRefP13x_0" localSheetId="80">'413'!$P$13:$P$14</definedName>
    <definedName name="OSRRefP13x_0" localSheetId="81">'414'!$P$13:$P$14</definedName>
    <definedName name="OSRRefP13x_0" localSheetId="82">'415'!$P$13:$P$14</definedName>
    <definedName name="OSRRefP13x_0" localSheetId="83">'418'!$P$13:$P$14</definedName>
    <definedName name="OSRRefP13x_0" localSheetId="84">'420'!$P$13:$P$14</definedName>
    <definedName name="OSRRefP13x_0" localSheetId="86">'424'!$P$13:$P$14</definedName>
    <definedName name="OSRRefP13x_0" localSheetId="87">'425'!$P$13:$P$17</definedName>
    <definedName name="OSRRefP13x_0" localSheetId="91">'433'!$P$13:$P$16</definedName>
    <definedName name="OSRRefP13x_0" localSheetId="92">'435'!$P$13:$P$15</definedName>
    <definedName name="OSRRefP13x_0" localSheetId="93">'444'!$P$13:$P$15</definedName>
    <definedName name="OSRRefP13x_0" localSheetId="94">'450'!$P$13:$P$15</definedName>
    <definedName name="OSRRefP13x_0" localSheetId="75">'491'!$P$13:$P$22</definedName>
    <definedName name="OSRRefP13x_0" localSheetId="89">'492'!$P$13:$P$18</definedName>
    <definedName name="OSRRefP13x_0" localSheetId="96">'501'!$P$13</definedName>
    <definedName name="OSRRefP13x_0" localSheetId="47">'Div 3'!$P$13:$P$115</definedName>
    <definedName name="OSRRefP13x_0" localSheetId="73">'Div 4'!$P$13:$P$23</definedName>
    <definedName name="OSRRefP13x_0" localSheetId="95">'Div 5'!$P$13</definedName>
    <definedName name="OSRRefP13x_0" localSheetId="62">'Div 6'!$P$13:$P$37</definedName>
    <definedName name="OSRRefP13x_0" localSheetId="2">Summary!$P$13:$P$141</definedName>
    <definedName name="OSRRefP16x_0" localSheetId="48">'300'!$P$115:$P$165</definedName>
    <definedName name="OSRRefP16x_0" localSheetId="49">'300 &amp; 317'!$P$133:$P$191</definedName>
    <definedName name="OSRRefP16x_0" localSheetId="50">'301'!$P$15</definedName>
    <definedName name="OSRRefP16x_0" localSheetId="53">'307'!$P$52:$P$73</definedName>
    <definedName name="OSRRefP16x_0" localSheetId="55">'308'!$P$46:$P$62</definedName>
    <definedName name="OSRRefP16x_0" localSheetId="65">'309'!$P$17:$P$18</definedName>
    <definedName name="OSRRefP16x_0" localSheetId="64">'310'!$P$25:$P$26</definedName>
    <definedName name="OSRRefP16x_0" localSheetId="74">'310 &amp; 491'!$P$32:$P$33</definedName>
    <definedName name="OSRRefP16x_0" localSheetId="56">'311'!$P$45:$P$61</definedName>
    <definedName name="OSRRefP16x_0" localSheetId="66">'313'!$P$22:$P$23</definedName>
    <definedName name="OSRRefP16x_0" localSheetId="54">'314'!$P$37:$P$51</definedName>
    <definedName name="OSRRefP16x_0" localSheetId="58">'315'!$P$54:$P$78</definedName>
    <definedName name="OSRRefP16x_0" localSheetId="63">'317'!$P$40:$P$55</definedName>
    <definedName name="OSRRefP16x_0" localSheetId="61">'320'!$P$19:$P$23</definedName>
    <definedName name="OSRRefP16x_0" localSheetId="67">'321'!$P$17:$P$18</definedName>
    <definedName name="OSRRefP16x_0" localSheetId="68">'322'!$P$17:$P$18</definedName>
    <definedName name="OSRRefP16x_0" localSheetId="69">'324'!$P$18:$P$19</definedName>
    <definedName name="OSRRefP16x_0" localSheetId="70">'325'!$P$17:$P$18</definedName>
    <definedName name="OSRRefP16x_0" localSheetId="71">'326'!$P$41:$P$59</definedName>
    <definedName name="OSRRefP16x_0" localSheetId="72">'327'!$P$16:$P$17</definedName>
    <definedName name="OSRRefP16x_0" localSheetId="52">'330'!$P$57:$P$81</definedName>
    <definedName name="OSRRefP16x_0" localSheetId="57">'331'!$P$58:$P$87</definedName>
    <definedName name="OSRRefP16x_0" localSheetId="59">'332'!$P$35:$P$39</definedName>
    <definedName name="OSRRefP16x_0" localSheetId="76">'405'!$P$17:$P$18</definedName>
    <definedName name="OSRRefP16x_0" localSheetId="77">'406'!$P$17:$P$18</definedName>
    <definedName name="OSRRefP16x_0" localSheetId="79">'412'!$P$17:$P$18</definedName>
    <definedName name="OSRRefP16x_0" localSheetId="80">'413'!$P$17:$P$18</definedName>
    <definedName name="OSRRefP16x_0" localSheetId="81">'414'!$P$17:$P$18</definedName>
    <definedName name="OSRRefP16x_0" localSheetId="82">'415'!$P$17:$P$18</definedName>
    <definedName name="OSRRefP16x_0" localSheetId="83">'418'!$P$17:$P$18</definedName>
    <definedName name="OSRRefP16x_0" localSheetId="84">'420'!$P$17:$P$18</definedName>
    <definedName name="OSRRefP16x_0" localSheetId="85">'423'!$P$15</definedName>
    <definedName name="OSRRefP16x_0" localSheetId="86">'424'!$P$17:$P$18</definedName>
    <definedName name="OSRRefP16x_0" localSheetId="87">'425'!$P$20:$P$21</definedName>
    <definedName name="OSRRefP16x_0" localSheetId="91">'433'!$P$19:$P$20</definedName>
    <definedName name="OSRRefP16x_0" localSheetId="92">'435'!$P$18:$P$19</definedName>
    <definedName name="OSRRefP16x_0" localSheetId="93">'444'!$P$18:$P$19</definedName>
    <definedName name="OSRRefP16x_0" localSheetId="94">'450'!$P$18:$P$19</definedName>
    <definedName name="OSRRefP16x_0" localSheetId="75">'491'!$P$25:$P$26</definedName>
    <definedName name="OSRRefP16x_0" localSheetId="89">'492'!$P$21:$P$22</definedName>
    <definedName name="OSRRefP16x_0" localSheetId="47">'Div 3'!$P$118:$P$170</definedName>
    <definedName name="OSRRefP16x_0" localSheetId="73">'Div 4'!$P$26:$P$27</definedName>
    <definedName name="OSRRefP16x_0" localSheetId="62">'Div 6'!$P$40:$P$55</definedName>
    <definedName name="OSRRefP16x_0" localSheetId="2">Summary!$P$144:$P$204</definedName>
    <definedName name="OSRRefP22_0x_0" localSheetId="40">'200'!$P$20:$P$21</definedName>
    <definedName name="OSRRefP22_0x_0" localSheetId="41">'201'!$P$20:$P$27</definedName>
    <definedName name="OSRRefP22_0x_0" localSheetId="42">'202'!$P$20:$P$27</definedName>
    <definedName name="OSRRefP22_0x_0" localSheetId="43">'203'!$P$20:$P$29</definedName>
    <definedName name="OSRRefP22_0x_0" localSheetId="44">'204'!$P$20:$P$29</definedName>
    <definedName name="OSRRefP22_0x_0" localSheetId="45">'205'!$P$20:$P$27</definedName>
    <definedName name="OSRRefP22_0x_0" localSheetId="46">'206'!$P$20:$P$27</definedName>
    <definedName name="OSRRefP22_0x_0" localSheetId="48">'300'!$P$171:$P$180</definedName>
    <definedName name="OSRRefP22_0x_0" localSheetId="49">'300 &amp; 317'!$P$197:$P$206</definedName>
    <definedName name="OSRRefP22_0x_0" localSheetId="50">'301'!$P$21:$P$30</definedName>
    <definedName name="OSRRefP22_0x_0" localSheetId="51">'306'!$P$20:$P$28</definedName>
    <definedName name="OSRRefP22_0x_0" localSheetId="53">'307'!$P$79:$P$86</definedName>
    <definedName name="OSRRefP22_0x_0" localSheetId="55">'308'!$P$68:$P$76</definedName>
    <definedName name="OSRRefP22_0x_0" localSheetId="65">'309'!$P$24:$P$31</definedName>
    <definedName name="OSRRefP22_0x_0" localSheetId="64">'310'!$P$32:$P$39</definedName>
    <definedName name="OSRRefP22_0x_0" localSheetId="74">'310 &amp; 491'!$P$39:$P$47</definedName>
    <definedName name="OSRRefP22_0x_0" localSheetId="56">'311'!$P$67:$P$75</definedName>
    <definedName name="OSRRefP22_0x_0" localSheetId="66">'313'!$P$29:$P$36</definedName>
    <definedName name="OSRRefP22_0x_0" localSheetId="54">'314'!$P$57:$P$65</definedName>
    <definedName name="OSRRefP22_0x_0" localSheetId="58">'315'!$P$84:$P$91</definedName>
    <definedName name="OSRRefP22_0x_0" localSheetId="60">'316'!$P$37:$P$44</definedName>
    <definedName name="OSRRefP22_0x_0" localSheetId="63">'317'!$P$61:$P$69</definedName>
    <definedName name="OSRRefP22_0x_0" localSheetId="61">'320'!$P$29:$P$35</definedName>
    <definedName name="OSRRefP22_0x_0" localSheetId="67">'321'!$P$24:$P$31</definedName>
    <definedName name="OSRRefP22_0x_0" localSheetId="68">'322'!$P$24:$P$31</definedName>
    <definedName name="OSRRefP22_0x_0" localSheetId="70">'325'!$P$24:$P$31</definedName>
    <definedName name="OSRRefP22_0x_0" localSheetId="71">'326'!$P$65:$P$72</definedName>
    <definedName name="OSRRefP22_0x_0" localSheetId="72">'327'!$P$23</definedName>
    <definedName name="OSRRefP22_0x_0" localSheetId="52">'330'!$P$87:$P$95</definedName>
    <definedName name="OSRRefP22_0x_0" localSheetId="57">'331'!$P$93:$P$100</definedName>
    <definedName name="OSRRefP22_0x_0" localSheetId="59">'332'!$P$45:$P$52</definedName>
    <definedName name="OSRRefP22_0x_0" localSheetId="76">'405'!$P$24:$P$31</definedName>
    <definedName name="OSRRefP22_0x_0" localSheetId="77">'406'!$P$24:$P$31</definedName>
    <definedName name="OSRRefP22_0x_0" localSheetId="78">'411'!$P$20:$P$28</definedName>
    <definedName name="OSRRefP22_0x_0" localSheetId="79">'412'!$P$24:$P$31</definedName>
    <definedName name="OSRRefP22_0x_0" localSheetId="80">'413'!$P$24:$P$31</definedName>
    <definedName name="OSRRefP22_0x_0" localSheetId="81">'414'!$P$24:$P$31</definedName>
    <definedName name="OSRRefP22_0x_0" localSheetId="82">'415'!$P$24:$P$31</definedName>
    <definedName name="OSRRefP22_0x_0" localSheetId="83">'418'!$P$24:$P$31</definedName>
    <definedName name="OSRRefP22_0x_0" localSheetId="84">'420'!$P$24:$P$31</definedName>
    <definedName name="OSRRefP22_0x_0" localSheetId="85">'423'!$P$21:$P$28</definedName>
    <definedName name="OSRRefP22_0x_0" localSheetId="86">'424'!$P$24:$P$25</definedName>
    <definedName name="OSRRefP22_0x_0" localSheetId="87">'425'!$P$27:$P$35</definedName>
    <definedName name="OSRRefP22_0x_0" localSheetId="90">'430'!$P$20:$P$27</definedName>
    <definedName name="OSRRefP22_0x_0" localSheetId="91">'433'!$P$26:$P$34</definedName>
    <definedName name="OSRRefP22_0x_0" localSheetId="92">'435'!$P$25:$P$27</definedName>
    <definedName name="OSRRefP22_0x_0" localSheetId="93">'444'!$P$25:$P$33</definedName>
    <definedName name="OSRRefP22_0x_0" localSheetId="94">'450'!$P$25:$P$33</definedName>
    <definedName name="OSRRefP22_0x_0" localSheetId="88">'455'!$P$20:$P$26</definedName>
    <definedName name="OSRRefP22_0x_0" localSheetId="75">'491'!$P$32:$P$40</definedName>
    <definedName name="OSRRefP22_0x_0" localSheetId="89">'492'!$P$28:$P$36</definedName>
    <definedName name="OSRRefP22_0x_0" localSheetId="96">'501'!$P$21:$P$29</definedName>
    <definedName name="OSRRefP22_0x_0" localSheetId="39">'Div 2'!$P$20:$P$30</definedName>
    <definedName name="OSRRefP22_0x_0" localSheetId="47">'Div 3'!$P$176:$P$185</definedName>
    <definedName name="OSRRefP22_0x_0" localSheetId="73">'Div 4'!$P$33:$P$41</definedName>
    <definedName name="OSRRefP22_0x_0" localSheetId="95">'Div 5'!$P$21:$P$29</definedName>
    <definedName name="OSRRefP22_0x_0" localSheetId="62">'Div 6'!$P$61:$P$69</definedName>
    <definedName name="OSRRefP22_0x_0" localSheetId="2">Summary!$P$210:$P$219</definedName>
    <definedName name="OSRRefP22_10x_0" localSheetId="41">'201'!$P$51:$P$53</definedName>
    <definedName name="OSRRefP22_10x_0" localSheetId="42">'202'!$P$54</definedName>
    <definedName name="OSRRefP22_10x_0" localSheetId="43">'203'!$P$55:$P$56</definedName>
    <definedName name="OSRRefP22_10x_0" localSheetId="44">'204'!$P$56:$P$57</definedName>
    <definedName name="OSRRefP22_10x_0" localSheetId="48">'300'!$P$210:$P$211</definedName>
    <definedName name="OSRRefP22_10x_0" localSheetId="49">'300 &amp; 317'!$P$236:$P$237</definedName>
    <definedName name="OSRRefP22_10x_0" localSheetId="50">'301'!$P$60</definedName>
    <definedName name="OSRRefP22_10x_0" localSheetId="53">'307'!$P$131:$P$134</definedName>
    <definedName name="OSRRefP22_10x_0" localSheetId="55">'308'!$P$114:$P$115</definedName>
    <definedName name="OSRRefP22_10x_0" localSheetId="65">'309'!$P$56:$P$58</definedName>
    <definedName name="OSRRefP22_10x_0" localSheetId="64">'310'!$P$65</definedName>
    <definedName name="OSRRefP22_10x_0" localSheetId="74">'310 &amp; 491'!$P$75:$P$76</definedName>
    <definedName name="OSRRefP22_10x_0" localSheetId="56">'311'!$P$113:$P$114</definedName>
    <definedName name="OSRRefP22_10x_0" localSheetId="66">'313'!$P$63:$P$68</definedName>
    <definedName name="OSRRefP22_10x_0" localSheetId="58">'315'!$P$125:$P$126</definedName>
    <definedName name="OSRRefP22_10x_0" localSheetId="60">'316'!$P$70</definedName>
    <definedName name="OSRRefP22_10x_0" localSheetId="63">'317'!$P$103:$P$107</definedName>
    <definedName name="OSRRefP22_10x_0" localSheetId="67">'321'!$P$59:$P$63</definedName>
    <definedName name="OSRRefP22_10x_0" localSheetId="68">'322'!$P$58:$P$64</definedName>
    <definedName name="OSRRefP22_10x_0" localSheetId="70">'325'!$P$56</definedName>
    <definedName name="OSRRefP22_10x_0" localSheetId="71">'326'!$P$110</definedName>
    <definedName name="OSRRefP22_10x_0" localSheetId="52">'330'!$P$141:$P$142</definedName>
    <definedName name="OSRRefP22_10x_0" localSheetId="57">'331'!$P$127:$P$139</definedName>
    <definedName name="OSRRefP22_10x_0" localSheetId="59">'332'!$P$81</definedName>
    <definedName name="OSRRefP22_10x_0" localSheetId="76">'405'!$P$55:$P$56</definedName>
    <definedName name="OSRRefP22_10x_0" localSheetId="77">'406'!$P$58:$P$59</definedName>
    <definedName name="OSRRefP22_10x_0" localSheetId="78">'411'!$P$55</definedName>
    <definedName name="OSRRefP22_10x_0" localSheetId="79">'412'!$P$58:$P$60</definedName>
    <definedName name="OSRRefP22_10x_0" localSheetId="80">'413'!$P$64</definedName>
    <definedName name="OSRRefP22_10x_0" localSheetId="81">'414'!$P$57</definedName>
    <definedName name="OSRRefP22_10x_0" localSheetId="82">'415'!$P$57</definedName>
    <definedName name="OSRRefP22_10x_0" localSheetId="83">'418'!$P$57:$P$58</definedName>
    <definedName name="OSRRefP22_10x_0" localSheetId="86">'424'!$P$50</definedName>
    <definedName name="OSRRefP22_10x_0" localSheetId="87">'425'!$P$62</definedName>
    <definedName name="OSRRefP22_10x_0" localSheetId="91">'433'!$P$59</definedName>
    <definedName name="OSRRefP22_10x_0" localSheetId="93">'444'!$P$58</definedName>
    <definedName name="OSRRefP22_10x_0" localSheetId="94">'450'!$P$58</definedName>
    <definedName name="OSRRefP22_10x_0" localSheetId="75">'491'!$P$68</definedName>
    <definedName name="OSRRefP22_10x_0" localSheetId="89">'492'!$P$62</definedName>
    <definedName name="OSRRefP22_10x_0" localSheetId="96">'501'!$P$56</definedName>
    <definedName name="OSRRefP22_10x_0" localSheetId="39">'Div 2'!$P$57</definedName>
    <definedName name="OSRRefP22_10x_0" localSheetId="47">'Div 3'!$P$215:$P$216</definedName>
    <definedName name="OSRRefP22_10x_0" localSheetId="73">'Div 4'!$P$69</definedName>
    <definedName name="OSRRefP22_10x_0" localSheetId="95">'Div 5'!$P$56</definedName>
    <definedName name="OSRRefP22_10x_0" localSheetId="62">'Div 6'!$P$103:$P$107</definedName>
    <definedName name="OSRRefP22_10x_0" localSheetId="2">Summary!$P$250:$P$251</definedName>
    <definedName name="OSRRefP22_11x_0" localSheetId="41">'201'!$P$55</definedName>
    <definedName name="OSRRefP22_11x_0" localSheetId="42">'202'!$P$56</definedName>
    <definedName name="OSRRefP22_11x_0" localSheetId="43">'203'!$P$58</definedName>
    <definedName name="OSRRefP22_11x_0" localSheetId="48">'300'!$P$213</definedName>
    <definedName name="OSRRefP22_11x_0" localSheetId="49">'300 &amp; 317'!$P$239</definedName>
    <definedName name="OSRRefP22_11x_0" localSheetId="50">'301'!$P$62</definedName>
    <definedName name="OSRRefP22_11x_0" localSheetId="53">'307'!$P$136</definedName>
    <definedName name="OSRRefP22_11x_0" localSheetId="55">'308'!$P$117:$P$119</definedName>
    <definedName name="OSRRefP22_11x_0" localSheetId="65">'309'!$P$60:$P$62</definedName>
    <definedName name="OSRRefP22_11x_0" localSheetId="64">'310'!$P$67</definedName>
    <definedName name="OSRRefP22_11x_0" localSheetId="74">'310 &amp; 491'!$P$78:$P$79</definedName>
    <definedName name="OSRRefP22_11x_0" localSheetId="56">'311'!$P$116:$P$118</definedName>
    <definedName name="OSRRefP22_11x_0" localSheetId="66">'313'!$P$70</definedName>
    <definedName name="OSRRefP22_11x_0" localSheetId="58">'315'!$P$128:$P$132</definedName>
    <definedName name="OSRRefP22_11x_0" localSheetId="60">'316'!$P$72:$P$77</definedName>
    <definedName name="OSRRefP22_11x_0" localSheetId="63">'317'!$P$109</definedName>
    <definedName name="OSRRefP22_11x_0" localSheetId="67">'321'!$P$65</definedName>
    <definedName name="OSRRefP22_11x_0" localSheetId="68">'322'!$P$66</definedName>
    <definedName name="OSRRefP22_11x_0" localSheetId="70">'325'!$P$58:$P$60</definedName>
    <definedName name="OSRRefP22_11x_0" localSheetId="71">'326'!$P$112</definedName>
    <definedName name="OSRRefP22_11x_0" localSheetId="52">'330'!$P$144</definedName>
    <definedName name="OSRRefP22_11x_0" localSheetId="57">'331'!$P$141</definedName>
    <definedName name="OSRRefP22_11x_0" localSheetId="59">'332'!$P$83</definedName>
    <definedName name="OSRRefP22_11x_0" localSheetId="76">'405'!$P$58</definedName>
    <definedName name="OSRRefP22_11x_0" localSheetId="77">'406'!$P$61:$P$66</definedName>
    <definedName name="OSRRefP22_11x_0" localSheetId="78">'411'!$P$57</definedName>
    <definedName name="OSRRefP22_11x_0" localSheetId="79">'412'!$P$62:$P$67</definedName>
    <definedName name="OSRRefP22_11x_0" localSheetId="80">'413'!$P$66</definedName>
    <definedName name="OSRRefP22_11x_0" localSheetId="81">'414'!$P$59</definedName>
    <definedName name="OSRRefP22_11x_0" localSheetId="82">'415'!$P$59:$P$62</definedName>
    <definedName name="OSRRefP22_11x_0" localSheetId="83">'418'!$P$60:$P$62</definedName>
    <definedName name="OSRRefP22_11x_0" localSheetId="86">'424'!$P$52:$P$56</definedName>
    <definedName name="OSRRefP22_11x_0" localSheetId="87">'425'!$P$64:$P$66</definedName>
    <definedName name="OSRRefP22_11x_0" localSheetId="91">'433'!$P$61:$P$63</definedName>
    <definedName name="OSRRefP22_11x_0" localSheetId="93">'444'!$P$60:$P$62</definedName>
    <definedName name="OSRRefP22_11x_0" localSheetId="94">'450'!$P$60</definedName>
    <definedName name="OSRRefP22_11x_0" localSheetId="75">'491'!$P$70:$P$71</definedName>
    <definedName name="OSRRefP22_11x_0" localSheetId="89">'492'!$P$64</definedName>
    <definedName name="OSRRefP22_11x_0" localSheetId="96">'501'!$P$58:$P$60</definedName>
    <definedName name="OSRRefP22_11x_0" localSheetId="39">'Div 2'!$P$59</definedName>
    <definedName name="OSRRefP22_11x_0" localSheetId="47">'Div 3'!$P$218</definedName>
    <definedName name="OSRRefP22_11x_0" localSheetId="73">'Div 4'!$P$71:$P$72</definedName>
    <definedName name="OSRRefP22_11x_0" localSheetId="95">'Div 5'!$P$58:$P$60</definedName>
    <definedName name="OSRRefP22_11x_0" localSheetId="62">'Div 6'!$P$109</definedName>
    <definedName name="OSRRefP22_11x_0" localSheetId="2">Summary!$P$253:$P$254</definedName>
    <definedName name="OSRRefP22_12x_0" localSheetId="41">'201'!$P$57:$P$60</definedName>
    <definedName name="OSRRefP22_12x_0" localSheetId="42">'202'!$P$58:$P$60</definedName>
    <definedName name="OSRRefP22_12x_0" localSheetId="43">'203'!$P$60:$P$64</definedName>
    <definedName name="OSRRefP22_12x_0" localSheetId="48">'300'!$P$215</definedName>
    <definedName name="OSRRefP22_12x_0" localSheetId="49">'300 &amp; 317'!$P$241</definedName>
    <definedName name="OSRRefP22_12x_0" localSheetId="50">'301'!$P$64</definedName>
    <definedName name="OSRRefP22_12x_0" localSheetId="53">'307'!$P$138</definedName>
    <definedName name="OSRRefP22_12x_0" localSheetId="55">'308'!$P$121:$P$122</definedName>
    <definedName name="OSRRefP22_12x_0" localSheetId="65">'309'!$P$64</definedName>
    <definedName name="OSRRefP22_12x_0" localSheetId="64">'310'!$P$69</definedName>
    <definedName name="OSRRefP22_12x_0" localSheetId="74">'310 &amp; 491'!$P$81</definedName>
    <definedName name="OSRRefP22_12x_0" localSheetId="56">'311'!$P$120:$P$121</definedName>
    <definedName name="OSRRefP22_12x_0" localSheetId="66">'313'!$P$72</definedName>
    <definedName name="OSRRefP22_12x_0" localSheetId="58">'315'!$P$134</definedName>
    <definedName name="OSRRefP22_12x_0" localSheetId="60">'316'!$P$79</definedName>
    <definedName name="OSRRefP22_12x_0" localSheetId="63">'317'!$P$111</definedName>
    <definedName name="OSRRefP22_12x_0" localSheetId="67">'321'!$P$67</definedName>
    <definedName name="OSRRefP22_12x_0" localSheetId="68">'322'!$P$68</definedName>
    <definedName name="OSRRefP22_12x_0" localSheetId="70">'325'!$P$62:$P$65</definedName>
    <definedName name="OSRRefP22_12x_0" localSheetId="71">'326'!$P$114:$P$116</definedName>
    <definedName name="OSRRefP22_12x_0" localSheetId="52">'330'!$P$146:$P$149</definedName>
    <definedName name="OSRRefP22_12x_0" localSheetId="57">'331'!$P$143</definedName>
    <definedName name="OSRRefP22_12x_0" localSheetId="59">'332'!$P$85:$P$90</definedName>
    <definedName name="OSRRefP22_12x_0" localSheetId="76">'405'!$P$60:$P$62</definedName>
    <definedName name="OSRRefP22_12x_0" localSheetId="77">'406'!$P$68</definedName>
    <definedName name="OSRRefP22_12x_0" localSheetId="78">'411'!$P$59:$P$62</definedName>
    <definedName name="OSRRefP22_12x_0" localSheetId="79">'412'!$P$69</definedName>
    <definedName name="OSRRefP22_12x_0" localSheetId="81">'414'!$P$61</definedName>
    <definedName name="OSRRefP22_12x_0" localSheetId="82">'415'!$P$64:$P$68</definedName>
    <definedName name="OSRRefP22_12x_0" localSheetId="83">'418'!$P$64:$P$66</definedName>
    <definedName name="OSRRefP22_12x_0" localSheetId="86">'424'!$P$58</definedName>
    <definedName name="OSRRefP22_12x_0" localSheetId="87">'425'!$P$68:$P$74</definedName>
    <definedName name="OSRRefP22_12x_0" localSheetId="91">'433'!$P$65:$P$67</definedName>
    <definedName name="OSRRefP22_12x_0" localSheetId="93">'444'!$P$64:$P$67</definedName>
    <definedName name="OSRRefP22_12x_0" localSheetId="94">'450'!$P$62:$P$63</definedName>
    <definedName name="OSRRefP22_12x_0" localSheetId="75">'491'!$P$73</definedName>
    <definedName name="OSRRefP22_12x_0" localSheetId="89">'492'!$P$66:$P$68</definedName>
    <definedName name="OSRRefP22_12x_0" localSheetId="96">'501'!$P$62</definedName>
    <definedName name="OSRRefP22_12x_0" localSheetId="39">'Div 2'!$P$61:$P$64</definedName>
    <definedName name="OSRRefP22_12x_0" localSheetId="47">'Div 3'!$P$220</definedName>
    <definedName name="OSRRefP22_12x_0" localSheetId="73">'Div 4'!$P$74</definedName>
    <definedName name="OSRRefP22_12x_0" localSheetId="95">'Div 5'!$P$62</definedName>
    <definedName name="OSRRefP22_12x_0" localSheetId="62">'Div 6'!$P$111</definedName>
    <definedName name="OSRRefP22_12x_0" localSheetId="2">Summary!$P$256</definedName>
    <definedName name="OSRRefP22_13x_0" localSheetId="41">'201'!$P$62</definedName>
    <definedName name="OSRRefP22_13x_0" localSheetId="42">'202'!$P$62</definedName>
    <definedName name="OSRRefP22_13x_0" localSheetId="43">'203'!$P$66</definedName>
    <definedName name="OSRRefP22_13x_0" localSheetId="48">'300'!$P$217:$P$250</definedName>
    <definedName name="OSRRefP22_13x_0" localSheetId="49">'300 &amp; 317'!$P$243:$P$279</definedName>
    <definedName name="OSRRefP22_13x_0" localSheetId="50">'301'!$P$66</definedName>
    <definedName name="OSRRefP22_13x_0" localSheetId="55">'308'!$P$124</definedName>
    <definedName name="OSRRefP22_13x_0" localSheetId="64">'310'!$P$71</definedName>
    <definedName name="OSRRefP22_13x_0" localSheetId="74">'310 &amp; 491'!$P$83</definedName>
    <definedName name="OSRRefP22_13x_0" localSheetId="56">'311'!$P$123</definedName>
    <definedName name="OSRRefP22_13x_0" localSheetId="58">'315'!$P$136</definedName>
    <definedName name="OSRRefP22_13x_0" localSheetId="60">'316'!$P$81</definedName>
    <definedName name="OSRRefP22_13x_0" localSheetId="63">'317'!$P$113</definedName>
    <definedName name="OSRRefP22_13x_0" localSheetId="68">'322'!$P$70</definedName>
    <definedName name="OSRRefP22_13x_0" localSheetId="70">'325'!$P$67</definedName>
    <definedName name="OSRRefP22_13x_0" localSheetId="71">'326'!$P$118:$P$120</definedName>
    <definedName name="OSRRefP22_13x_0" localSheetId="52">'330'!$P$151</definedName>
    <definedName name="OSRRefP22_13x_0" localSheetId="57">'331'!$P$145:$P$147</definedName>
    <definedName name="OSRRefP22_13x_0" localSheetId="59">'332'!$P$92</definedName>
    <definedName name="OSRRefP22_13x_0" localSheetId="76">'405'!$P$64:$P$65</definedName>
    <definedName name="OSRRefP22_13x_0" localSheetId="77">'406'!$P$70</definedName>
    <definedName name="OSRRefP22_13x_0" localSheetId="78">'411'!$P$64:$P$68</definedName>
    <definedName name="OSRRefP22_13x_0" localSheetId="79">'412'!$P$71</definedName>
    <definedName name="OSRRefP22_13x_0" localSheetId="81">'414'!$P$63:$P$69</definedName>
    <definedName name="OSRRefP22_13x_0" localSheetId="82">'415'!$P$70:$P$71</definedName>
    <definedName name="OSRRefP22_13x_0" localSheetId="83">'418'!$P$68:$P$69</definedName>
    <definedName name="OSRRefP22_13x_0" localSheetId="87">'425'!$P$76</definedName>
    <definedName name="OSRRefP22_13x_0" localSheetId="91">'433'!$P$69:$P$76</definedName>
    <definedName name="OSRRefP22_13x_0" localSheetId="93">'444'!$P$69</definedName>
    <definedName name="OSRRefP22_13x_0" localSheetId="94">'450'!$P$65:$P$67</definedName>
    <definedName name="OSRRefP22_13x_0" localSheetId="75">'491'!$P$75</definedName>
    <definedName name="OSRRefP22_13x_0" localSheetId="89">'492'!$P$70:$P$73</definedName>
    <definedName name="OSRRefP22_13x_0" localSheetId="96">'501'!$P$64</definedName>
    <definedName name="OSRRefP22_13x_0" localSheetId="39">'Div 2'!$P$66:$P$68</definedName>
    <definedName name="OSRRefP22_13x_0" localSheetId="47">'Div 3'!$P$222</definedName>
    <definedName name="OSRRefP22_13x_0" localSheetId="73">'Div 4'!$P$76</definedName>
    <definedName name="OSRRefP22_13x_0" localSheetId="95">'Div 5'!$P$64</definedName>
    <definedName name="OSRRefP22_13x_0" localSheetId="62">'Div 6'!$P$113</definedName>
    <definedName name="OSRRefP22_13x_0" localSheetId="2">Summary!$P$258</definedName>
    <definedName name="OSRRefP22_14x_0" localSheetId="41">'201'!$P$64</definedName>
    <definedName name="OSRRefP22_14x_0" localSheetId="42">'202'!$P$64</definedName>
    <definedName name="OSRRefP22_14x_0" localSheetId="43">'203'!$P$68</definedName>
    <definedName name="OSRRefP22_14x_0" localSheetId="48">'300'!$P$252</definedName>
    <definedName name="OSRRefP22_14x_0" localSheetId="49">'300 &amp; 317'!$P$281</definedName>
    <definedName name="OSRRefP22_14x_0" localSheetId="50">'301'!$P$68</definedName>
    <definedName name="OSRRefP22_14x_0" localSheetId="55">'308'!$P$126</definedName>
    <definedName name="OSRRefP22_14x_0" localSheetId="64">'310'!$P$73:$P$75</definedName>
    <definedName name="OSRRefP22_14x_0" localSheetId="74">'310 &amp; 491'!$P$85</definedName>
    <definedName name="OSRRefP22_14x_0" localSheetId="56">'311'!$P$125</definedName>
    <definedName name="OSRRefP22_14x_0" localSheetId="58">'315'!$P$138:$P$139</definedName>
    <definedName name="OSRRefP22_14x_0" localSheetId="60">'316'!$P$83</definedName>
    <definedName name="OSRRefP22_14x_0" localSheetId="70">'325'!$P$69:$P$73</definedName>
    <definedName name="OSRRefP22_14x_0" localSheetId="71">'326'!$P$122:$P$123</definedName>
    <definedName name="OSRRefP22_14x_0" localSheetId="52">'330'!$P$153</definedName>
    <definedName name="OSRRefP22_14x_0" localSheetId="57">'331'!$P$149:$P$150</definedName>
    <definedName name="OSRRefP22_14x_0" localSheetId="59">'332'!$P$94</definedName>
    <definedName name="OSRRefP22_14x_0" localSheetId="76">'405'!$P$67:$P$73</definedName>
    <definedName name="OSRRefP22_14x_0" localSheetId="77">'406'!$P$72</definedName>
    <definedName name="OSRRefP22_14x_0" localSheetId="78">'411'!$P$70:$P$71</definedName>
    <definedName name="OSRRefP22_14x_0" localSheetId="81">'414'!$P$71</definedName>
    <definedName name="OSRRefP22_14x_0" localSheetId="82">'415'!$P$73:$P$81</definedName>
    <definedName name="OSRRefP22_14x_0" localSheetId="83">'418'!$P$71:$P$78</definedName>
    <definedName name="OSRRefP22_14x_0" localSheetId="87">'425'!$P$78</definedName>
    <definedName name="OSRRefP22_14x_0" localSheetId="91">'433'!$P$78</definedName>
    <definedName name="OSRRefP22_14x_0" localSheetId="93">'444'!$P$71:$P$79</definedName>
    <definedName name="OSRRefP22_14x_0" localSheetId="94">'450'!$P$69:$P$74</definedName>
    <definedName name="OSRRefP22_14x_0" localSheetId="75">'491'!$P$77</definedName>
    <definedName name="OSRRefP22_14x_0" localSheetId="89">'492'!$P$75</definedName>
    <definedName name="OSRRefP22_14x_0" localSheetId="39">'Div 2'!$P$70:$P$71</definedName>
    <definedName name="OSRRefP22_14x_0" localSheetId="47">'Div 3'!$P$224:$P$257</definedName>
    <definedName name="OSRRefP22_14x_0" localSheetId="73">'Div 4'!$P$78</definedName>
    <definedName name="OSRRefP22_14x_0" localSheetId="2">Summary!$P$260:$P$296</definedName>
    <definedName name="OSRRefP22_15x_0" localSheetId="41">'201'!$P$66</definedName>
    <definedName name="OSRRefP22_15x_0" localSheetId="42">'202'!$P$66</definedName>
    <definedName name="OSRRefP22_15x_0" localSheetId="43">'203'!$P$70</definedName>
    <definedName name="OSRRefP22_15x_0" localSheetId="48">'300'!$P$254</definedName>
    <definedName name="OSRRefP22_15x_0" localSheetId="49">'300 &amp; 317'!$P$283</definedName>
    <definedName name="OSRRefP22_15x_0" localSheetId="50">'301'!$P$70</definedName>
    <definedName name="OSRRefP22_15x_0" localSheetId="64">'310'!$P$77</definedName>
    <definedName name="OSRRefP22_15x_0" localSheetId="74">'310 &amp; 491'!$P$87</definedName>
    <definedName name="OSRRefP22_15x_0" localSheetId="70">'325'!$P$75</definedName>
    <definedName name="OSRRefP22_15x_0" localSheetId="71">'326'!$P$125:$P$130</definedName>
    <definedName name="OSRRefP22_15x_0" localSheetId="52">'330'!$P$155</definedName>
    <definedName name="OSRRefP22_15x_0" localSheetId="57">'331'!$P$152:$P$154</definedName>
    <definedName name="OSRRefP22_15x_0" localSheetId="59">'332'!$P$96</definedName>
    <definedName name="OSRRefP22_15x_0" localSheetId="76">'405'!$P$75</definedName>
    <definedName name="OSRRefP22_15x_0" localSheetId="78">'411'!$P$73:$P$81</definedName>
    <definedName name="OSRRefP22_15x_0" localSheetId="81">'414'!$P$73</definedName>
    <definedName name="OSRRefP22_15x_0" localSheetId="82">'415'!$P$83</definedName>
    <definedName name="OSRRefP22_15x_0" localSheetId="83">'418'!$P$80</definedName>
    <definedName name="OSRRefP22_15x_0" localSheetId="91">'433'!$P$80</definedName>
    <definedName name="OSRRefP22_15x_0" localSheetId="93">'444'!$P$81</definedName>
    <definedName name="OSRRefP22_15x_0" localSheetId="94">'450'!$P$76</definedName>
    <definedName name="OSRRefP22_15x_0" localSheetId="75">'491'!$P$79</definedName>
    <definedName name="OSRRefP22_15x_0" localSheetId="89">'492'!$P$77:$P$85</definedName>
    <definedName name="OSRRefP22_15x_0" localSheetId="39">'Div 2'!$P$73</definedName>
    <definedName name="OSRRefP22_15x_0" localSheetId="47">'Div 3'!$P$259</definedName>
    <definedName name="OSRRefP22_15x_0" localSheetId="73">'Div 4'!$P$80</definedName>
    <definedName name="OSRRefP22_15x_0" localSheetId="2">Summary!$P$298</definedName>
    <definedName name="OSRRefP22_16x_0" localSheetId="48">'300'!$P$256:$P$259</definedName>
    <definedName name="OSRRefP22_16x_0" localSheetId="49">'300 &amp; 317'!$P$285:$P$288</definedName>
    <definedName name="OSRRefP22_16x_0" localSheetId="50">'301'!$P$72:$P$75</definedName>
    <definedName name="OSRRefP22_16x_0" localSheetId="64">'310'!$P$79:$P$82</definedName>
    <definedName name="OSRRefP22_16x_0" localSheetId="74">'310 &amp; 491'!$P$89:$P$92</definedName>
    <definedName name="OSRRefP22_16x_0" localSheetId="70">'325'!$P$77</definedName>
    <definedName name="OSRRefP22_16x_0" localSheetId="71">'326'!$P$132</definedName>
    <definedName name="OSRRefP22_16x_0" localSheetId="57">'331'!$P$156:$P$157</definedName>
    <definedName name="OSRRefP22_16x_0" localSheetId="76">'405'!$P$77</definedName>
    <definedName name="OSRRefP22_16x_0" localSheetId="78">'411'!$P$83</definedName>
    <definedName name="OSRRefP22_16x_0" localSheetId="82">'415'!$P$85</definedName>
    <definedName name="OSRRefP22_16x_0" localSheetId="83">'418'!$P$82</definedName>
    <definedName name="OSRRefP22_16x_0" localSheetId="91">'433'!$P$82</definedName>
    <definedName name="OSRRefP22_16x_0" localSheetId="93">'444'!$P$83</definedName>
    <definedName name="OSRRefP22_16x_0" localSheetId="94">'450'!$P$78</definedName>
    <definedName name="OSRRefP22_16x_0" localSheetId="75">'491'!$P$81:$P$84</definedName>
    <definedName name="OSRRefP22_16x_0" localSheetId="89">'492'!$P$87</definedName>
    <definedName name="OSRRefP22_16x_0" localSheetId="39">'Div 2'!$P$75:$P$80</definedName>
    <definedName name="OSRRefP22_16x_0" localSheetId="47">'Div 3'!$P$261</definedName>
    <definedName name="OSRRefP22_16x_0" localSheetId="73">'Div 4'!$P$82</definedName>
    <definedName name="OSRRefP22_16x_0" localSheetId="2">Summary!$P$300</definedName>
    <definedName name="OSRRefP22_17x_0" localSheetId="48">'300'!$P$261:$P$263</definedName>
    <definedName name="OSRRefP22_17x_0" localSheetId="49">'300 &amp; 317'!$P$290:$P$292</definedName>
    <definedName name="OSRRefP22_17x_0" localSheetId="50">'301'!$P$77:$P$79</definedName>
    <definedName name="OSRRefP22_17x_0" localSheetId="64">'310'!$P$84</definedName>
    <definedName name="OSRRefP22_17x_0" localSheetId="74">'310 &amp; 491'!$P$94:$P$95</definedName>
    <definedName name="OSRRefP22_17x_0" localSheetId="70">'325'!$P$79</definedName>
    <definedName name="OSRRefP22_17x_0" localSheetId="71">'326'!$P$134</definedName>
    <definedName name="OSRRefP22_17x_0" localSheetId="57">'331'!$P$159:$P$164</definedName>
    <definedName name="OSRRefP22_17x_0" localSheetId="76">'405'!$P$79</definedName>
    <definedName name="OSRRefP22_17x_0" localSheetId="78">'411'!$P$85</definedName>
    <definedName name="OSRRefP22_17x_0" localSheetId="82">'415'!$P$87</definedName>
    <definedName name="OSRRefP22_17x_0" localSheetId="93">'444'!$P$85:$P$86</definedName>
    <definedName name="OSRRefP22_17x_0" localSheetId="94">'450'!$P$80</definedName>
    <definedName name="OSRRefP22_17x_0" localSheetId="75">'491'!$P$86:$P$87</definedName>
    <definedName name="OSRRefP22_17x_0" localSheetId="89">'492'!$P$89</definedName>
    <definedName name="OSRRefP22_17x_0" localSheetId="39">'Div 2'!$P$82:$P$83</definedName>
    <definedName name="OSRRefP22_17x_0" localSheetId="47">'Div 3'!$P$263:$P$266</definedName>
    <definedName name="OSRRefP22_17x_0" localSheetId="73">'Div 4'!$P$84:$P$87</definedName>
    <definedName name="OSRRefP22_17x_0" localSheetId="2">Summary!$P$302</definedName>
    <definedName name="OSRRefP22_18x_0" localSheetId="48">'300'!$P$265:$P$268</definedName>
    <definedName name="OSRRefP22_18x_0" localSheetId="49">'300 &amp; 317'!$P$294:$P$297</definedName>
    <definedName name="OSRRefP22_18x_0" localSheetId="50">'301'!$P$81:$P$82</definedName>
    <definedName name="OSRRefP22_18x_0" localSheetId="64">'310'!$P$86:$P$94</definedName>
    <definedName name="OSRRefP22_18x_0" localSheetId="74">'310 &amp; 491'!$P$97:$P$101</definedName>
    <definedName name="OSRRefP22_18x_0" localSheetId="71">'326'!$P$136</definedName>
    <definedName name="OSRRefP22_18x_0" localSheetId="57">'331'!$P$166</definedName>
    <definedName name="OSRRefP22_18x_0" localSheetId="78">'411'!$P$87:$P$89</definedName>
    <definedName name="OSRRefP22_18x_0" localSheetId="75">'491'!$P$89:$P$93</definedName>
    <definedName name="OSRRefP22_18x_0" localSheetId="89">'492'!$P$91:$P$92</definedName>
    <definedName name="OSRRefP22_18x_0" localSheetId="39">'Div 2'!$P$85</definedName>
    <definedName name="OSRRefP22_18x_0" localSheetId="47">'Div 3'!$P$268:$P$270</definedName>
    <definedName name="OSRRefP22_18x_0" localSheetId="73">'Div 4'!$P$89:$P$90</definedName>
    <definedName name="OSRRefP22_18x_0" localSheetId="2">Summary!$P$304:$P$307</definedName>
    <definedName name="OSRRefP22_19x_0" localSheetId="48">'300'!$P$270:$P$271</definedName>
    <definedName name="OSRRefP22_19x_0" localSheetId="49">'300 &amp; 317'!$P$299:$P$300</definedName>
    <definedName name="OSRRefP22_19x_0" localSheetId="50">'301'!$P$84:$P$90</definedName>
    <definedName name="OSRRefP22_19x_0" localSheetId="64">'310'!$P$96</definedName>
    <definedName name="OSRRefP22_19x_0" localSheetId="74">'310 &amp; 491'!$P$103:$P$104</definedName>
    <definedName name="OSRRefP22_19x_0" localSheetId="71">'326'!$P$138</definedName>
    <definedName name="OSRRefP22_19x_0" localSheetId="57">'331'!$P$168</definedName>
    <definedName name="OSRRefP22_19x_0" localSheetId="78">'411'!$P$91</definedName>
    <definedName name="OSRRefP22_19x_0" localSheetId="75">'491'!$P$95:$P$96</definedName>
    <definedName name="OSRRefP22_19x_0" localSheetId="39">'Div 2'!$P$87:$P$88</definedName>
    <definedName name="OSRRefP22_19x_0" localSheetId="47">'Div 3'!$P$272:$P$276</definedName>
    <definedName name="OSRRefP22_19x_0" localSheetId="73">'Div 4'!$P$92:$P$96</definedName>
    <definedName name="OSRRefP22_19x_0" localSheetId="2">Summary!$P$309:$P$311</definedName>
    <definedName name="OSRRefP22_1x_0" localSheetId="40">'200'!$P$23</definedName>
    <definedName name="OSRRefP22_1x_0" localSheetId="41">'201'!$P$29:$P$31</definedName>
    <definedName name="OSRRefP22_1x_0" localSheetId="42">'202'!$P$29:$P$33</definedName>
    <definedName name="OSRRefP22_1x_0" localSheetId="43">'203'!$P$31:$P$35</definedName>
    <definedName name="OSRRefP22_1x_0" localSheetId="44">'204'!$P$31:$P$35</definedName>
    <definedName name="OSRRefP22_1x_0" localSheetId="45">'205'!$P$29</definedName>
    <definedName name="OSRRefP22_1x_0" localSheetId="46">'206'!$P$29:$P$32</definedName>
    <definedName name="OSRRefP22_1x_0" localSheetId="48">'300'!$P$182:$P$188</definedName>
    <definedName name="OSRRefP22_1x_0" localSheetId="49">'300 &amp; 317'!$P$208:$P$214</definedName>
    <definedName name="OSRRefP22_1x_0" localSheetId="50">'301'!$P$32:$P$38</definedName>
    <definedName name="OSRRefP22_1x_0" localSheetId="51">'306'!$P$30:$P$35</definedName>
    <definedName name="OSRRefP22_1x_0" localSheetId="53">'307'!$P$88:$P$91</definedName>
    <definedName name="OSRRefP22_1x_0" localSheetId="55">'308'!$P$78:$P$84</definedName>
    <definedName name="OSRRefP22_1x_0" localSheetId="65">'309'!$P$33:$P$37</definedName>
    <definedName name="OSRRefP22_1x_0" localSheetId="64">'310'!$P$41:$P$46</definedName>
    <definedName name="OSRRefP22_1x_0" localSheetId="74">'310 &amp; 491'!$P$49:$P$55</definedName>
    <definedName name="OSRRefP22_1x_0" localSheetId="56">'311'!$P$77:$P$83</definedName>
    <definedName name="OSRRefP22_1x_0" localSheetId="66">'313'!$P$38:$P$43</definedName>
    <definedName name="OSRRefP22_1x_0" localSheetId="54">'314'!$P$67:$P$69</definedName>
    <definedName name="OSRRefP22_1x_0" localSheetId="58">'315'!$P$93:$P$98</definedName>
    <definedName name="OSRRefP22_1x_0" localSheetId="60">'316'!$P$46:$P$49</definedName>
    <definedName name="OSRRefP22_1x_0" localSheetId="63">'317'!$P$71:$P$75</definedName>
    <definedName name="OSRRefP22_1x_0" localSheetId="61">'320'!$P$37:$P$41</definedName>
    <definedName name="OSRRefP22_1x_0" localSheetId="67">'321'!$P$33:$P$37</definedName>
    <definedName name="OSRRefP22_1x_0" localSheetId="68">'322'!$P$33:$P$37</definedName>
    <definedName name="OSRRefP22_1x_0" localSheetId="70">'325'!$P$33:$P$37</definedName>
    <definedName name="OSRRefP22_1x_0" localSheetId="71">'326'!$P$74:$P$79</definedName>
    <definedName name="OSRRefP22_1x_0" localSheetId="72">'327'!$P$25</definedName>
    <definedName name="OSRRefP22_1x_0" localSheetId="52">'330'!$P$97:$P$101</definedName>
    <definedName name="OSRRefP22_1x_0" localSheetId="57">'331'!$P$102:$P$107</definedName>
    <definedName name="OSRRefP22_1x_0" localSheetId="59">'332'!$P$54:$P$58</definedName>
    <definedName name="OSRRefP22_1x_0" localSheetId="76">'405'!$P$33:$P$36</definedName>
    <definedName name="OSRRefP22_1x_0" localSheetId="77">'406'!$P$33:$P$38</definedName>
    <definedName name="OSRRefP22_1x_0" localSheetId="78">'411'!$P$30:$P$35</definedName>
    <definedName name="OSRRefP22_1x_0" localSheetId="79">'412'!$P$33:$P$38</definedName>
    <definedName name="OSRRefP22_1x_0" localSheetId="80">'413'!$P$33:$P$37</definedName>
    <definedName name="OSRRefP22_1x_0" localSheetId="81">'414'!$P$33:$P$38</definedName>
    <definedName name="OSRRefP22_1x_0" localSheetId="82">'415'!$P$33:$P$38</definedName>
    <definedName name="OSRRefP22_1x_0" localSheetId="83">'418'!$P$33:$P$38</definedName>
    <definedName name="OSRRefP22_1x_0" localSheetId="84">'420'!$P$33:$P$36</definedName>
    <definedName name="OSRRefP22_1x_0" localSheetId="85">'423'!$P$30:$P$31</definedName>
    <definedName name="OSRRefP22_1x_0" localSheetId="86">'424'!$P$27:$P$31</definedName>
    <definedName name="OSRRefP22_1x_0" localSheetId="87">'425'!$P$37:$P$42</definedName>
    <definedName name="OSRRefP22_1x_0" localSheetId="90">'430'!$P$29</definedName>
    <definedName name="OSRRefP22_1x_0" localSheetId="91">'433'!$P$36:$P$41</definedName>
    <definedName name="OSRRefP22_1x_0" localSheetId="92">'435'!$P$29:$P$31</definedName>
    <definedName name="OSRRefP22_1x_0" localSheetId="93">'444'!$P$35:$P$40</definedName>
    <definedName name="OSRRefP22_1x_0" localSheetId="94">'450'!$P$35:$P$40</definedName>
    <definedName name="OSRRefP22_1x_0" localSheetId="88">'455'!$P$28:$P$29</definedName>
    <definedName name="OSRRefP22_1x_0" localSheetId="75">'491'!$P$42:$P$48</definedName>
    <definedName name="OSRRefP22_1x_0" localSheetId="89">'492'!$P$38:$P$44</definedName>
    <definedName name="OSRRefP22_1x_0" localSheetId="96">'501'!$P$31:$P$35</definedName>
    <definedName name="OSRRefP22_1x_0" localSheetId="39">'Div 2'!$P$32:$P$38</definedName>
    <definedName name="OSRRefP22_1x_0" localSheetId="47">'Div 3'!$P$187:$P$193</definedName>
    <definedName name="OSRRefP22_1x_0" localSheetId="73">'Div 4'!$P$43:$P$49</definedName>
    <definedName name="OSRRefP22_1x_0" localSheetId="95">'Div 5'!$P$31:$P$35</definedName>
    <definedName name="OSRRefP22_1x_0" localSheetId="62">'Div 6'!$P$71:$P$75</definedName>
    <definedName name="OSRRefP22_1x_0" localSheetId="2">Summary!$P$221:$P$227</definedName>
    <definedName name="OSRRefP22_20x_0" localSheetId="48">'300'!$P$273:$P$280</definedName>
    <definedName name="OSRRefP22_20x_0" localSheetId="49">'300 &amp; 317'!$P$302:$P$309</definedName>
    <definedName name="OSRRefP22_20x_0" localSheetId="50">'301'!$P$92</definedName>
    <definedName name="OSRRefP22_20x_0" localSheetId="64">'310'!$P$98</definedName>
    <definedName name="OSRRefP22_20x_0" localSheetId="74">'310 &amp; 491'!$P$106:$P$115</definedName>
    <definedName name="OSRRefP22_20x_0" localSheetId="57">'331'!$P$170:$P$171</definedName>
    <definedName name="OSRRefP22_20x_0" localSheetId="75">'491'!$P$98:$P$107</definedName>
    <definedName name="OSRRefP22_20x_0" localSheetId="47">'Div 3'!$P$278:$P$279</definedName>
    <definedName name="OSRRefP22_20x_0" localSheetId="73">'Div 4'!$P$98:$P$99</definedName>
    <definedName name="OSRRefP22_20x_0" localSheetId="2">Summary!$P$313:$P$317</definedName>
    <definedName name="OSRRefP22_21x_0" localSheetId="48">'300'!$P$282:$P$283</definedName>
    <definedName name="OSRRefP22_21x_0" localSheetId="49">'300 &amp; 317'!$P$311:$P$312</definedName>
    <definedName name="OSRRefP22_21x_0" localSheetId="50">'301'!$P$94</definedName>
    <definedName name="OSRRefP22_21x_0" localSheetId="64">'310'!$P$100</definedName>
    <definedName name="OSRRefP22_21x_0" localSheetId="74">'310 &amp; 491'!$P$117</definedName>
    <definedName name="OSRRefP22_21x_0" localSheetId="57">'331'!$P$173</definedName>
    <definedName name="OSRRefP22_21x_0" localSheetId="75">'491'!$P$109</definedName>
    <definedName name="OSRRefP22_21x_0" localSheetId="47">'Div 3'!$P$281:$P$289</definedName>
    <definedName name="OSRRefP22_21x_0" localSheetId="73">'Div 4'!$P$101:$P$110</definedName>
    <definedName name="OSRRefP22_21x_0" localSheetId="2">Summary!$P$319:$P$320</definedName>
    <definedName name="OSRRefP22_22x_0" localSheetId="48">'300'!$P$285</definedName>
    <definedName name="OSRRefP22_22x_0" localSheetId="49">'300 &amp; 317'!$P$314</definedName>
    <definedName name="OSRRefP22_22x_0" localSheetId="50">'301'!$P$96:$P$98</definedName>
    <definedName name="OSRRefP22_22x_0" localSheetId="64">'310'!$P$102</definedName>
    <definedName name="OSRRefP22_22x_0" localSheetId="74">'310 &amp; 491'!$P$119</definedName>
    <definedName name="OSRRefP22_22x_0" localSheetId="75">'491'!$P$111</definedName>
    <definedName name="OSRRefP22_22x_0" localSheetId="47">'Div 3'!$P$291:$P$292</definedName>
    <definedName name="OSRRefP22_22x_0" localSheetId="73">'Div 4'!$P$112</definedName>
    <definedName name="OSRRefP22_22x_0" localSheetId="2">Summary!$P$322:$P$331</definedName>
    <definedName name="OSRRefP22_23x_0" localSheetId="48">'300'!$P$287:$P$289</definedName>
    <definedName name="OSRRefP22_23x_0" localSheetId="49">'300 &amp; 317'!$P$316:$P$318</definedName>
    <definedName name="OSRRefP22_23x_0" localSheetId="50">'301'!$P$100</definedName>
    <definedName name="OSRRefP22_23x_0" localSheetId="74">'310 &amp; 491'!$P$121:$P$123</definedName>
    <definedName name="OSRRefP22_23x_0" localSheetId="75">'491'!$P$113:$P$115</definedName>
    <definedName name="OSRRefP22_23x_0" localSheetId="47">'Div 3'!$P$294</definedName>
    <definedName name="OSRRefP22_23x_0" localSheetId="73">'Div 4'!$P$114</definedName>
    <definedName name="OSRRefP22_23x_0" localSheetId="2">Summary!$P$333:$P$334</definedName>
    <definedName name="OSRRefP22_24x_0" localSheetId="48">'300'!$P$291</definedName>
    <definedName name="OSRRefP22_24x_0" localSheetId="49">'300 &amp; 317'!$P$320</definedName>
    <definedName name="OSRRefP22_24x_0" localSheetId="74">'310 &amp; 491'!$P$125</definedName>
    <definedName name="OSRRefP22_24x_0" localSheetId="75">'491'!$P$117</definedName>
    <definedName name="OSRRefP22_24x_0" localSheetId="47">'Div 3'!$P$296:$P$298</definedName>
    <definedName name="OSRRefP22_24x_0" localSheetId="73">'Div 4'!$P$116:$P$118</definedName>
    <definedName name="OSRRefP22_24x_0" localSheetId="2">Summary!$P$336</definedName>
    <definedName name="OSRRefP22_25x_0" localSheetId="47">'Div 3'!$P$300</definedName>
    <definedName name="OSRRefP22_25x_0" localSheetId="73">'Div 4'!$P$120</definedName>
    <definedName name="OSRRefP22_25x_0" localSheetId="2">Summary!$P$338:$P$340</definedName>
    <definedName name="OSRRefP22_26x_0" localSheetId="2">Summary!$P$342</definedName>
    <definedName name="OSRRefP22_2x_0" localSheetId="40">'200'!$P$25</definedName>
    <definedName name="OSRRefP22_2x_0" localSheetId="41">'201'!$P$33</definedName>
    <definedName name="OSRRefP22_2x_0" localSheetId="42">'202'!$P$35</definedName>
    <definedName name="OSRRefP22_2x_0" localSheetId="43">'203'!$P$37</definedName>
    <definedName name="OSRRefP22_2x_0" localSheetId="44">'204'!$P$37</definedName>
    <definedName name="OSRRefP22_2x_0" localSheetId="45">'205'!$P$31</definedName>
    <definedName name="OSRRefP22_2x_0" localSheetId="46">'206'!$P$34</definedName>
    <definedName name="OSRRefP22_2x_0" localSheetId="48">'300'!$P$190</definedName>
    <definedName name="OSRRefP22_2x_0" localSheetId="49">'300 &amp; 317'!$P$216</definedName>
    <definedName name="OSRRefP22_2x_0" localSheetId="50">'301'!$P$40</definedName>
    <definedName name="OSRRefP22_2x_0" localSheetId="51">'306'!$P$37</definedName>
    <definedName name="OSRRefP22_2x_0" localSheetId="53">'307'!$P$93</definedName>
    <definedName name="OSRRefP22_2x_0" localSheetId="55">'308'!$P$86</definedName>
    <definedName name="OSRRefP22_2x_0" localSheetId="65">'309'!$P$39</definedName>
    <definedName name="OSRRefP22_2x_0" localSheetId="64">'310'!$P$48</definedName>
    <definedName name="OSRRefP22_2x_0" localSheetId="74">'310 &amp; 491'!$P$57</definedName>
    <definedName name="OSRRefP22_2x_0" localSheetId="56">'311'!$P$85</definedName>
    <definedName name="OSRRefP22_2x_0" localSheetId="66">'313'!$P$45</definedName>
    <definedName name="OSRRefP22_2x_0" localSheetId="54">'314'!$P$71</definedName>
    <definedName name="OSRRefP22_2x_0" localSheetId="58">'315'!$P$100</definedName>
    <definedName name="OSRRefP22_2x_0" localSheetId="60">'316'!$P$51</definedName>
    <definedName name="OSRRefP22_2x_0" localSheetId="63">'317'!$P$77</definedName>
    <definedName name="OSRRefP22_2x_0" localSheetId="61">'320'!$P$43</definedName>
    <definedName name="OSRRefP22_2x_0" localSheetId="67">'321'!$P$39</definedName>
    <definedName name="OSRRefP22_2x_0" localSheetId="68">'322'!$P$39</definedName>
    <definedName name="OSRRefP22_2x_0" localSheetId="70">'325'!$P$39</definedName>
    <definedName name="OSRRefP22_2x_0" localSheetId="71">'326'!$P$81</definedName>
    <definedName name="OSRRefP22_2x_0" localSheetId="72">'327'!$P$27</definedName>
    <definedName name="OSRRefP22_2x_0" localSheetId="52">'330'!$P$103</definedName>
    <definedName name="OSRRefP22_2x_0" localSheetId="57">'331'!$P$109</definedName>
    <definedName name="OSRRefP22_2x_0" localSheetId="59">'332'!$P$60</definedName>
    <definedName name="OSRRefP22_2x_0" localSheetId="76">'405'!$P$38</definedName>
    <definedName name="OSRRefP22_2x_0" localSheetId="77">'406'!$P$40</definedName>
    <definedName name="OSRRefP22_2x_0" localSheetId="78">'411'!$P$37</definedName>
    <definedName name="OSRRefP22_2x_0" localSheetId="79">'412'!$P$40</definedName>
    <definedName name="OSRRefP22_2x_0" localSheetId="80">'413'!$P$39</definedName>
    <definedName name="OSRRefP22_2x_0" localSheetId="81">'414'!$P$40</definedName>
    <definedName name="OSRRefP22_2x_0" localSheetId="82">'415'!$P$40</definedName>
    <definedName name="OSRRefP22_2x_0" localSheetId="83">'418'!$P$40</definedName>
    <definedName name="OSRRefP22_2x_0" localSheetId="84">'420'!$P$38</definedName>
    <definedName name="OSRRefP22_2x_0" localSheetId="85">'423'!$P$33</definedName>
    <definedName name="OSRRefP22_2x_0" localSheetId="86">'424'!$P$33</definedName>
    <definedName name="OSRRefP22_2x_0" localSheetId="87">'425'!$P$44</definedName>
    <definedName name="OSRRefP22_2x_0" localSheetId="90">'430'!$P$31</definedName>
    <definedName name="OSRRefP22_2x_0" localSheetId="91">'433'!$P$43</definedName>
    <definedName name="OSRRefP22_2x_0" localSheetId="92">'435'!$P$33</definedName>
    <definedName name="OSRRefP22_2x_0" localSheetId="93">'444'!$P$42</definedName>
    <definedName name="OSRRefP22_2x_0" localSheetId="94">'450'!$P$42</definedName>
    <definedName name="OSRRefP22_2x_0" localSheetId="75">'491'!$P$50</definedName>
    <definedName name="OSRRefP22_2x_0" localSheetId="89">'492'!$P$46</definedName>
    <definedName name="OSRRefP22_2x_0" localSheetId="96">'501'!$P$37</definedName>
    <definedName name="OSRRefP22_2x_0" localSheetId="39">'Div 2'!$P$40</definedName>
    <definedName name="OSRRefP22_2x_0" localSheetId="47">'Div 3'!$P$195</definedName>
    <definedName name="OSRRefP22_2x_0" localSheetId="73">'Div 4'!$P$51</definedName>
    <definedName name="OSRRefP22_2x_0" localSheetId="95">'Div 5'!$P$37</definedName>
    <definedName name="OSRRefP22_2x_0" localSheetId="62">'Div 6'!$P$77</definedName>
    <definedName name="OSRRefP22_2x_0" localSheetId="2">Summary!$P$229</definedName>
    <definedName name="OSRRefP22_3x_0" localSheetId="40">'200'!$P$27</definedName>
    <definedName name="OSRRefP22_3x_0" localSheetId="41">'201'!$P$35</definedName>
    <definedName name="OSRRefP22_3x_0" localSheetId="42">'202'!$P$37</definedName>
    <definedName name="OSRRefP22_3x_0" localSheetId="43">'203'!$P$39</definedName>
    <definedName name="OSRRefP22_3x_0" localSheetId="44">'204'!$P$39</definedName>
    <definedName name="OSRRefP22_3x_0" localSheetId="45">'205'!$P$33</definedName>
    <definedName name="OSRRefP22_3x_0" localSheetId="46">'206'!$P$36</definedName>
    <definedName name="OSRRefP22_3x_0" localSheetId="48">'300'!$P$192:$P$193</definedName>
    <definedName name="OSRRefP22_3x_0" localSheetId="49">'300 &amp; 317'!$P$218:$P$219</definedName>
    <definedName name="OSRRefP22_3x_0" localSheetId="50">'301'!$P$42:$P$43</definedName>
    <definedName name="OSRRefP22_3x_0" localSheetId="51">'306'!$P$39</definedName>
    <definedName name="OSRRefP22_3x_0" localSheetId="53">'307'!$P$95</definedName>
    <definedName name="OSRRefP22_3x_0" localSheetId="55">'308'!$P$88:$P$89</definedName>
    <definedName name="OSRRefP22_3x_0" localSheetId="65">'309'!$P$41</definedName>
    <definedName name="OSRRefP22_3x_0" localSheetId="64">'310'!$P$50</definedName>
    <definedName name="OSRRefP22_3x_0" localSheetId="74">'310 &amp; 491'!$P$59</definedName>
    <definedName name="OSRRefP22_3x_0" localSheetId="56">'311'!$P$87:$P$88</definedName>
    <definedName name="OSRRefP22_3x_0" localSheetId="66">'313'!$P$47</definedName>
    <definedName name="OSRRefP22_3x_0" localSheetId="54">'314'!$P$73:$P$74</definedName>
    <definedName name="OSRRefP22_3x_0" localSheetId="58">'315'!$P$102:$P$103</definedName>
    <definedName name="OSRRefP22_3x_0" localSheetId="60">'316'!$P$53</definedName>
    <definedName name="OSRRefP22_3x_0" localSheetId="63">'317'!$P$79</definedName>
    <definedName name="OSRRefP22_3x_0" localSheetId="61">'320'!$P$45</definedName>
    <definedName name="OSRRefP22_3x_0" localSheetId="67">'321'!$P$41</definedName>
    <definedName name="OSRRefP22_3x_0" localSheetId="68">'322'!$P$41</definedName>
    <definedName name="OSRRefP22_3x_0" localSheetId="70">'325'!$P$41</definedName>
    <definedName name="OSRRefP22_3x_0" localSheetId="71">'326'!$P$83</definedName>
    <definedName name="OSRRefP22_3x_0" localSheetId="52">'330'!$P$105</definedName>
    <definedName name="OSRRefP22_3x_0" localSheetId="57">'331'!$P$111</definedName>
    <definedName name="OSRRefP22_3x_0" localSheetId="59">'332'!$P$62</definedName>
    <definedName name="OSRRefP22_3x_0" localSheetId="76">'405'!$P$40</definedName>
    <definedName name="OSRRefP22_3x_0" localSheetId="77">'406'!$P$42</definedName>
    <definedName name="OSRRefP22_3x_0" localSheetId="78">'411'!$P$39</definedName>
    <definedName name="OSRRefP22_3x_0" localSheetId="79">'412'!$P$42</definedName>
    <definedName name="OSRRefP22_3x_0" localSheetId="80">'413'!$P$41</definedName>
    <definedName name="OSRRefP22_3x_0" localSheetId="81">'414'!$P$42</definedName>
    <definedName name="OSRRefP22_3x_0" localSheetId="82">'415'!$P$42</definedName>
    <definedName name="OSRRefP22_3x_0" localSheetId="83">'418'!$P$42</definedName>
    <definedName name="OSRRefP22_3x_0" localSheetId="84">'420'!$P$40</definedName>
    <definedName name="OSRRefP22_3x_0" localSheetId="85">'423'!$P$35</definedName>
    <definedName name="OSRRefP22_3x_0" localSheetId="86">'424'!$P$35</definedName>
    <definedName name="OSRRefP22_3x_0" localSheetId="87">'425'!$P$46</definedName>
    <definedName name="OSRRefP22_3x_0" localSheetId="90">'430'!$P$33</definedName>
    <definedName name="OSRRefP22_3x_0" localSheetId="91">'433'!$P$45</definedName>
    <definedName name="OSRRefP22_3x_0" localSheetId="92">'435'!$P$35</definedName>
    <definedName name="OSRRefP22_3x_0" localSheetId="93">'444'!$P$44</definedName>
    <definedName name="OSRRefP22_3x_0" localSheetId="94">'450'!$P$44</definedName>
    <definedName name="OSRRefP22_3x_0" localSheetId="75">'491'!$P$52</definedName>
    <definedName name="OSRRefP22_3x_0" localSheetId="89">'492'!$P$48</definedName>
    <definedName name="OSRRefP22_3x_0" localSheetId="96">'501'!$P$39</definedName>
    <definedName name="OSRRefP22_3x_0" localSheetId="39">'Div 2'!$P$42</definedName>
    <definedName name="OSRRefP22_3x_0" localSheetId="47">'Div 3'!$P$197:$P$198</definedName>
    <definedName name="OSRRefP22_3x_0" localSheetId="73">'Div 4'!$P$53</definedName>
    <definedName name="OSRRefP22_3x_0" localSheetId="95">'Div 5'!$P$39</definedName>
    <definedName name="OSRRefP22_3x_0" localSheetId="62">'Div 6'!$P$79</definedName>
    <definedName name="OSRRefP22_3x_0" localSheetId="2">Summary!$P$231:$P$232</definedName>
    <definedName name="OSRRefP22_4x_0" localSheetId="40">'200'!$P$29:$P$30</definedName>
    <definedName name="OSRRefP22_4x_0" localSheetId="41">'201'!$P$37</definedName>
    <definedName name="OSRRefP22_4x_0" localSheetId="42">'202'!$P$39</definedName>
    <definedName name="OSRRefP22_4x_0" localSheetId="43">'203'!$P$41</definedName>
    <definedName name="OSRRefP22_4x_0" localSheetId="44">'204'!$P$41</definedName>
    <definedName name="OSRRefP22_4x_0" localSheetId="45">'205'!$P$35:$P$37</definedName>
    <definedName name="OSRRefP22_4x_0" localSheetId="46">'206'!$P$38</definedName>
    <definedName name="OSRRefP22_4x_0" localSheetId="48">'300'!$P$195</definedName>
    <definedName name="OSRRefP22_4x_0" localSheetId="49">'300 &amp; 317'!$P$221</definedName>
    <definedName name="OSRRefP22_4x_0" localSheetId="50">'301'!$P$45</definedName>
    <definedName name="OSRRefP22_4x_0" localSheetId="51">'306'!$P$41</definedName>
    <definedName name="OSRRefP22_4x_0" localSheetId="53">'307'!$P$97:$P$98</definedName>
    <definedName name="OSRRefP22_4x_0" localSheetId="55">'308'!$P$91</definedName>
    <definedName name="OSRRefP22_4x_0" localSheetId="65">'309'!$P$43</definedName>
    <definedName name="OSRRefP22_4x_0" localSheetId="64">'310'!$P$52</definedName>
    <definedName name="OSRRefP22_4x_0" localSheetId="74">'310 &amp; 491'!$P$61</definedName>
    <definedName name="OSRRefP22_4x_0" localSheetId="56">'311'!$P$90</definedName>
    <definedName name="OSRRefP22_4x_0" localSheetId="66">'313'!$P$49</definedName>
    <definedName name="OSRRefP22_4x_0" localSheetId="54">'314'!$P$76</definedName>
    <definedName name="OSRRefP22_4x_0" localSheetId="58">'315'!$P$105</definedName>
    <definedName name="OSRRefP22_4x_0" localSheetId="60">'316'!$P$55</definedName>
    <definedName name="OSRRefP22_4x_0" localSheetId="63">'317'!$P$81</definedName>
    <definedName name="OSRRefP22_4x_0" localSheetId="61">'320'!$P$47:$P$48</definedName>
    <definedName name="OSRRefP22_4x_0" localSheetId="67">'321'!$P$43</definedName>
    <definedName name="OSRRefP22_4x_0" localSheetId="68">'322'!$P$43</definedName>
    <definedName name="OSRRefP22_4x_0" localSheetId="70">'325'!$P$43</definedName>
    <definedName name="OSRRefP22_4x_0" localSheetId="71">'326'!$P$85</definedName>
    <definedName name="OSRRefP22_4x_0" localSheetId="52">'330'!$P$107:$P$108</definedName>
    <definedName name="OSRRefP22_4x_0" localSheetId="57">'331'!$P$113</definedName>
    <definedName name="OSRRefP22_4x_0" localSheetId="59">'332'!$P$64</definedName>
    <definedName name="OSRRefP22_4x_0" localSheetId="76">'405'!$P$42</definedName>
    <definedName name="OSRRefP22_4x_0" localSheetId="77">'406'!$P$44</definedName>
    <definedName name="OSRRefP22_4x_0" localSheetId="78">'411'!$P$41:$P$43</definedName>
    <definedName name="OSRRefP22_4x_0" localSheetId="79">'412'!$P$44</definedName>
    <definedName name="OSRRefP22_4x_0" localSheetId="80">'413'!$P$43</definedName>
    <definedName name="OSRRefP22_4x_0" localSheetId="81">'414'!$P$44</definedName>
    <definedName name="OSRRefP22_4x_0" localSheetId="82">'415'!$P$44</definedName>
    <definedName name="OSRRefP22_4x_0" localSheetId="83">'418'!$P$44</definedName>
    <definedName name="OSRRefP22_4x_0" localSheetId="84">'420'!$P$42</definedName>
    <definedName name="OSRRefP22_4x_0" localSheetId="85">'423'!$P$37</definedName>
    <definedName name="OSRRefP22_4x_0" localSheetId="86">'424'!$P$37</definedName>
    <definedName name="OSRRefP22_4x_0" localSheetId="87">'425'!$P$48</definedName>
    <definedName name="OSRRefP22_4x_0" localSheetId="90">'430'!$P$35:$P$36</definedName>
    <definedName name="OSRRefP22_4x_0" localSheetId="91">'433'!$P$47</definedName>
    <definedName name="OSRRefP22_4x_0" localSheetId="92">'435'!$P$37</definedName>
    <definedName name="OSRRefP22_4x_0" localSheetId="93">'444'!$P$46</definedName>
    <definedName name="OSRRefP22_4x_0" localSheetId="94">'450'!$P$46</definedName>
    <definedName name="OSRRefP22_4x_0" localSheetId="75">'491'!$P$54</definedName>
    <definedName name="OSRRefP22_4x_0" localSheetId="89">'492'!$P$50</definedName>
    <definedName name="OSRRefP22_4x_0" localSheetId="96">'501'!$P$41</definedName>
    <definedName name="OSRRefP22_4x_0" localSheetId="39">'Div 2'!$P$44</definedName>
    <definedName name="OSRRefP22_4x_0" localSheetId="47">'Div 3'!$P$200</definedName>
    <definedName name="OSRRefP22_4x_0" localSheetId="73">'Div 4'!$P$55</definedName>
    <definedName name="OSRRefP22_4x_0" localSheetId="95">'Div 5'!$P$41</definedName>
    <definedName name="OSRRefP22_4x_0" localSheetId="62">'Div 6'!$P$81</definedName>
    <definedName name="OSRRefP22_4x_0" localSheetId="2">Summary!$P$234</definedName>
    <definedName name="OSRRefP22_5x_0" localSheetId="41">'201'!$P$39</definedName>
    <definedName name="OSRRefP22_5x_0" localSheetId="42">'202'!$P$41</definedName>
    <definedName name="OSRRefP22_5x_0" localSheetId="43">'203'!$P$43</definedName>
    <definedName name="OSRRefP22_5x_0" localSheetId="44">'204'!$P$43</definedName>
    <definedName name="OSRRefP22_5x_0" localSheetId="45">'205'!$P$39</definedName>
    <definedName name="OSRRefP22_5x_0" localSheetId="46">'206'!$P$40</definedName>
    <definedName name="OSRRefP22_5x_0" localSheetId="48">'300'!$P$197:$P$199</definedName>
    <definedName name="OSRRefP22_5x_0" localSheetId="49">'300 &amp; 317'!$P$223:$P$225</definedName>
    <definedName name="OSRRefP22_5x_0" localSheetId="50">'301'!$P$47:$P$49</definedName>
    <definedName name="OSRRefP22_5x_0" localSheetId="51">'306'!$P$43</definedName>
    <definedName name="OSRRefP22_5x_0" localSheetId="53">'307'!$P$100</definedName>
    <definedName name="OSRRefP22_5x_0" localSheetId="55">'308'!$P$93</definedName>
    <definedName name="OSRRefP22_5x_0" localSheetId="65">'309'!$P$45</definedName>
    <definedName name="OSRRefP22_5x_0" localSheetId="64">'310'!$P$54:$P$55</definedName>
    <definedName name="OSRRefP22_5x_0" localSheetId="74">'310 &amp; 491'!$P$63:$P$65</definedName>
    <definedName name="OSRRefP22_5x_0" localSheetId="56">'311'!$P$92</definedName>
    <definedName name="OSRRefP22_5x_0" localSheetId="66">'313'!$P$51</definedName>
    <definedName name="OSRRefP22_5x_0" localSheetId="54">'314'!$P$78:$P$86</definedName>
    <definedName name="OSRRefP22_5x_0" localSheetId="58">'315'!$P$107:$P$108</definedName>
    <definedName name="OSRRefP22_5x_0" localSheetId="60">'316'!$P$57</definedName>
    <definedName name="OSRRefP22_5x_0" localSheetId="63">'317'!$P$83:$P$84</definedName>
    <definedName name="OSRRefP22_5x_0" localSheetId="61">'320'!$P$50</definedName>
    <definedName name="OSRRefP22_5x_0" localSheetId="67">'321'!$P$45</definedName>
    <definedName name="OSRRefP22_5x_0" localSheetId="68">'322'!$P$45</definedName>
    <definedName name="OSRRefP22_5x_0" localSheetId="70">'325'!$P$45:$P$46</definedName>
    <definedName name="OSRRefP22_5x_0" localSheetId="71">'326'!$P$87:$P$88</definedName>
    <definedName name="OSRRefP22_5x_0" localSheetId="52">'330'!$P$110</definedName>
    <definedName name="OSRRefP22_5x_0" localSheetId="57">'331'!$P$115:$P$116</definedName>
    <definedName name="OSRRefP22_5x_0" localSheetId="59">'332'!$P$66</definedName>
    <definedName name="OSRRefP22_5x_0" localSheetId="76">'405'!$P$44:$P$45</definedName>
    <definedName name="OSRRefP22_5x_0" localSheetId="77">'406'!$P$46</definedName>
    <definedName name="OSRRefP22_5x_0" localSheetId="78">'411'!$P$45</definedName>
    <definedName name="OSRRefP22_5x_0" localSheetId="79">'412'!$P$46</definedName>
    <definedName name="OSRRefP22_5x_0" localSheetId="80">'413'!$P$45</definedName>
    <definedName name="OSRRefP22_5x_0" localSheetId="81">'414'!$P$46</definedName>
    <definedName name="OSRRefP22_5x_0" localSheetId="82">'415'!$P$46:$P$47</definedName>
    <definedName name="OSRRefP22_5x_0" localSheetId="83">'418'!$P$46:$P$47</definedName>
    <definedName name="OSRRefP22_5x_0" localSheetId="84">'420'!$P$44</definedName>
    <definedName name="OSRRefP22_5x_0" localSheetId="85">'423'!$P$39</definedName>
    <definedName name="OSRRefP22_5x_0" localSheetId="86">'424'!$P$39</definedName>
    <definedName name="OSRRefP22_5x_0" localSheetId="87">'425'!$P$50</definedName>
    <definedName name="OSRRefP22_5x_0" localSheetId="90">'430'!$P$38</definedName>
    <definedName name="OSRRefP22_5x_0" localSheetId="91">'433'!$P$49</definedName>
    <definedName name="OSRRefP22_5x_0" localSheetId="92">'435'!$P$39</definedName>
    <definedName name="OSRRefP22_5x_0" localSheetId="93">'444'!$P$48</definedName>
    <definedName name="OSRRefP22_5x_0" localSheetId="94">'450'!$P$48</definedName>
    <definedName name="OSRRefP22_5x_0" localSheetId="75">'491'!$P$56:$P$58</definedName>
    <definedName name="OSRRefP22_5x_0" localSheetId="89">'492'!$P$52</definedName>
    <definedName name="OSRRefP22_5x_0" localSheetId="96">'501'!$P$43:$P$44</definedName>
    <definedName name="OSRRefP22_5x_0" localSheetId="39">'Div 2'!$P$46</definedName>
    <definedName name="OSRRefP22_5x_0" localSheetId="47">'Div 3'!$P$202:$P$204</definedName>
    <definedName name="OSRRefP22_5x_0" localSheetId="73">'Div 4'!$P$57:$P$59</definedName>
    <definedName name="OSRRefP22_5x_0" localSheetId="95">'Div 5'!$P$43:$P$44</definedName>
    <definedName name="OSRRefP22_5x_0" localSheetId="62">'Div 6'!$P$83:$P$84</definedName>
    <definedName name="OSRRefP22_5x_0" localSheetId="2">Summary!$P$236:$P$239</definedName>
    <definedName name="OSRRefP22_6x_0" localSheetId="41">'201'!$P$41</definedName>
    <definedName name="OSRRefP22_6x_0" localSheetId="42">'202'!$P$43:$P$44</definedName>
    <definedName name="OSRRefP22_6x_0" localSheetId="43">'203'!$P$45</definedName>
    <definedName name="OSRRefP22_6x_0" localSheetId="44">'204'!$P$45:$P$47</definedName>
    <definedName name="OSRRefP22_6x_0" localSheetId="45">'205'!$P$41:$P$43</definedName>
    <definedName name="OSRRefP22_6x_0" localSheetId="46">'206'!$P$42:$P$43</definedName>
    <definedName name="OSRRefP22_6x_0" localSheetId="48">'300'!$P$201:$P$202</definedName>
    <definedName name="OSRRefP22_6x_0" localSheetId="49">'300 &amp; 317'!$P$227:$P$228</definedName>
    <definedName name="OSRRefP22_6x_0" localSheetId="50">'301'!$P$51:$P$52</definedName>
    <definedName name="OSRRefP22_6x_0" localSheetId="51">'306'!$P$45:$P$46</definedName>
    <definedName name="OSRRefP22_6x_0" localSheetId="53">'307'!$P$102:$P$121</definedName>
    <definedName name="OSRRefP22_6x_0" localSheetId="55">'308'!$P$95:$P$96</definedName>
    <definedName name="OSRRefP22_6x_0" localSheetId="65">'309'!$P$47</definedName>
    <definedName name="OSRRefP22_6x_0" localSheetId="64">'310'!$P$57</definedName>
    <definedName name="OSRRefP22_6x_0" localSheetId="74">'310 &amp; 491'!$P$67</definedName>
    <definedName name="OSRRefP22_6x_0" localSheetId="56">'311'!$P$94:$P$95</definedName>
    <definedName name="OSRRefP22_6x_0" localSheetId="66">'313'!$P$53</definedName>
    <definedName name="OSRRefP22_6x_0" localSheetId="54">'314'!$P$88</definedName>
    <definedName name="OSRRefP22_6x_0" localSheetId="58">'315'!$P$110:$P$116</definedName>
    <definedName name="OSRRefP22_6x_0" localSheetId="60">'316'!$P$59:$P$60</definedName>
    <definedName name="OSRRefP22_6x_0" localSheetId="63">'317'!$P$86</definedName>
    <definedName name="OSRRefP22_6x_0" localSheetId="61">'320'!$P$52:$P$54</definedName>
    <definedName name="OSRRefP22_6x_0" localSheetId="67">'321'!$P$47</definedName>
    <definedName name="OSRRefP22_6x_0" localSheetId="68">'322'!$P$47</definedName>
    <definedName name="OSRRefP22_6x_0" localSheetId="70">'325'!$P$48</definedName>
    <definedName name="OSRRefP22_6x_0" localSheetId="71">'326'!$P$90</definedName>
    <definedName name="OSRRefP22_6x_0" localSheetId="52">'330'!$P$112</definedName>
    <definedName name="OSRRefP22_6x_0" localSheetId="57">'331'!$P$118</definedName>
    <definedName name="OSRRefP22_6x_0" localSheetId="59">'332'!$P$68:$P$69</definedName>
    <definedName name="OSRRefP22_6x_0" localSheetId="76">'405'!$P$47</definedName>
    <definedName name="OSRRefP22_6x_0" localSheetId="77">'406'!$P$48</definedName>
    <definedName name="OSRRefP22_6x_0" localSheetId="78">'411'!$P$47</definedName>
    <definedName name="OSRRefP22_6x_0" localSheetId="79">'412'!$P$48</definedName>
    <definedName name="OSRRefP22_6x_0" localSheetId="80">'413'!$P$47</definedName>
    <definedName name="OSRRefP22_6x_0" localSheetId="81">'414'!$P$48</definedName>
    <definedName name="OSRRefP22_6x_0" localSheetId="82">'415'!$P$49</definedName>
    <definedName name="OSRRefP22_6x_0" localSheetId="83">'418'!$P$49</definedName>
    <definedName name="OSRRefP22_6x_0" localSheetId="84">'420'!$P$46:$P$47</definedName>
    <definedName name="OSRRefP22_6x_0" localSheetId="85">'423'!$P$41</definedName>
    <definedName name="OSRRefP22_6x_0" localSheetId="86">'424'!$P$41</definedName>
    <definedName name="OSRRefP22_6x_0" localSheetId="87">'425'!$P$52</definedName>
    <definedName name="OSRRefP22_6x_0" localSheetId="90">'430'!$P$40</definedName>
    <definedName name="OSRRefP22_6x_0" localSheetId="91">'433'!$P$51</definedName>
    <definedName name="OSRRefP22_6x_0" localSheetId="92">'435'!$P$41</definedName>
    <definedName name="OSRRefP22_6x_0" localSheetId="93">'444'!$P$50</definedName>
    <definedName name="OSRRefP22_6x_0" localSheetId="94">'450'!$P$50</definedName>
    <definedName name="OSRRefP22_6x_0" localSheetId="75">'491'!$P$60</definedName>
    <definedName name="OSRRefP22_6x_0" localSheetId="89">'492'!$P$54</definedName>
    <definedName name="OSRRefP22_6x_0" localSheetId="96">'501'!$P$46</definedName>
    <definedName name="OSRRefP22_6x_0" localSheetId="39">'Div 2'!$P$48</definedName>
    <definedName name="OSRRefP22_6x_0" localSheetId="47">'Div 3'!$P$206:$P$207</definedName>
    <definedName name="OSRRefP22_6x_0" localSheetId="73">'Div 4'!$P$61</definedName>
    <definedName name="OSRRefP22_6x_0" localSheetId="95">'Div 5'!$P$46</definedName>
    <definedName name="OSRRefP22_6x_0" localSheetId="62">'Div 6'!$P$86</definedName>
    <definedName name="OSRRefP22_6x_0" localSheetId="2">Summary!$P$241:$P$242</definedName>
    <definedName name="OSRRefP22_7x_0" localSheetId="41">'201'!$P$43</definedName>
    <definedName name="OSRRefP22_7x_0" localSheetId="42">'202'!$P$46</definedName>
    <definedName name="OSRRefP22_7x_0" localSheetId="43">'203'!$P$47</definedName>
    <definedName name="OSRRefP22_7x_0" localSheetId="44">'204'!$P$49</definedName>
    <definedName name="OSRRefP22_7x_0" localSheetId="45">'205'!$P$45</definedName>
    <definedName name="OSRRefP22_7x_0" localSheetId="46">'206'!$P$45</definedName>
    <definedName name="OSRRefP22_7x_0" localSheetId="48">'300'!$P$204</definedName>
    <definedName name="OSRRefP22_7x_0" localSheetId="49">'300 &amp; 317'!$P$230</definedName>
    <definedName name="OSRRefP22_7x_0" localSheetId="50">'301'!$P$54</definedName>
    <definedName name="OSRRefP22_7x_0" localSheetId="51">'306'!$P$48:$P$50</definedName>
    <definedName name="OSRRefP22_7x_0" localSheetId="53">'307'!$P$123</definedName>
    <definedName name="OSRRefP22_7x_0" localSheetId="55">'308'!$P$98</definedName>
    <definedName name="OSRRefP22_7x_0" localSheetId="65">'309'!$P$49</definedName>
    <definedName name="OSRRefP22_7x_0" localSheetId="64">'310'!$P$59</definedName>
    <definedName name="OSRRefP22_7x_0" localSheetId="74">'310 &amp; 491'!$P$69</definedName>
    <definedName name="OSRRefP22_7x_0" localSheetId="56">'311'!$P$97</definedName>
    <definedName name="OSRRefP22_7x_0" localSheetId="66">'313'!$P$55</definedName>
    <definedName name="OSRRefP22_7x_0" localSheetId="54">'314'!$P$90:$P$91</definedName>
    <definedName name="OSRRefP22_7x_0" localSheetId="58">'315'!$P$118</definedName>
    <definedName name="OSRRefP22_7x_0" localSheetId="60">'316'!$P$62</definedName>
    <definedName name="OSRRefP22_7x_0" localSheetId="63">'317'!$P$88:$P$95</definedName>
    <definedName name="OSRRefP22_7x_0" localSheetId="61">'320'!$P$56:$P$57</definedName>
    <definedName name="OSRRefP22_7x_0" localSheetId="67">'321'!$P$49:$P$51</definedName>
    <definedName name="OSRRefP22_7x_0" localSheetId="68">'322'!$P$49</definedName>
    <definedName name="OSRRefP22_7x_0" localSheetId="70">'325'!$P$50</definedName>
    <definedName name="OSRRefP22_7x_0" localSheetId="71">'326'!$P$92</definedName>
    <definedName name="OSRRefP22_7x_0" localSheetId="52">'330'!$P$114:$P$134</definedName>
    <definedName name="OSRRefP22_7x_0" localSheetId="57">'331'!$P$120:$P$121</definedName>
    <definedName name="OSRRefP22_7x_0" localSheetId="59">'332'!$P$71</definedName>
    <definedName name="OSRRefP22_7x_0" localSheetId="76">'405'!$P$49</definedName>
    <definedName name="OSRRefP22_7x_0" localSheetId="77">'406'!$P$50</definedName>
    <definedName name="OSRRefP22_7x_0" localSheetId="78">'411'!$P$49</definedName>
    <definedName name="OSRRefP22_7x_0" localSheetId="79">'412'!$P$50</definedName>
    <definedName name="OSRRefP22_7x_0" localSheetId="80">'413'!$P$49:$P$51</definedName>
    <definedName name="OSRRefP22_7x_0" localSheetId="81">'414'!$P$50</definedName>
    <definedName name="OSRRefP22_7x_0" localSheetId="82">'415'!$P$51</definedName>
    <definedName name="OSRRefP22_7x_0" localSheetId="83">'418'!$P$51</definedName>
    <definedName name="OSRRefP22_7x_0" localSheetId="84">'420'!$P$49</definedName>
    <definedName name="OSRRefP22_7x_0" localSheetId="86">'424'!$P$43</definedName>
    <definedName name="OSRRefP22_7x_0" localSheetId="87">'425'!$P$54</definedName>
    <definedName name="OSRRefP22_7x_0" localSheetId="90">'430'!$P$42</definedName>
    <definedName name="OSRRefP22_7x_0" localSheetId="91">'433'!$P$53</definedName>
    <definedName name="OSRRefP22_7x_0" localSheetId="92">'435'!$P$43:$P$45</definedName>
    <definedName name="OSRRefP22_7x_0" localSheetId="93">'444'!$P$52</definedName>
    <definedName name="OSRRefP22_7x_0" localSheetId="94">'450'!$P$52</definedName>
    <definedName name="OSRRefP22_7x_0" localSheetId="75">'491'!$P$62</definedName>
    <definedName name="OSRRefP22_7x_0" localSheetId="89">'492'!$P$56</definedName>
    <definedName name="OSRRefP22_7x_0" localSheetId="96">'501'!$P$48</definedName>
    <definedName name="OSRRefP22_7x_0" localSheetId="39">'Div 2'!$P$50</definedName>
    <definedName name="OSRRefP22_7x_0" localSheetId="47">'Div 3'!$P$209</definedName>
    <definedName name="OSRRefP22_7x_0" localSheetId="73">'Div 4'!$P$63</definedName>
    <definedName name="OSRRefP22_7x_0" localSheetId="95">'Div 5'!$P$48</definedName>
    <definedName name="OSRRefP22_7x_0" localSheetId="62">'Div 6'!$P$88:$P$95</definedName>
    <definedName name="OSRRefP22_7x_0" localSheetId="2">Summary!$P$244</definedName>
    <definedName name="OSRRefP22_8x_0" localSheetId="41">'201'!$P$45</definedName>
    <definedName name="OSRRefP22_8x_0" localSheetId="42">'202'!$P$48</definedName>
    <definedName name="OSRRefP22_8x_0" localSheetId="43">'203'!$P$49</definedName>
    <definedName name="OSRRefP22_8x_0" localSheetId="44">'204'!$P$51:$P$52</definedName>
    <definedName name="OSRRefP22_8x_0" localSheetId="45">'205'!$P$47</definedName>
    <definedName name="OSRRefP22_8x_0" localSheetId="46">'206'!$P$47</definedName>
    <definedName name="OSRRefP22_8x_0" localSheetId="48">'300'!$P$206</definedName>
    <definedName name="OSRRefP22_8x_0" localSheetId="49">'300 &amp; 317'!$P$232</definedName>
    <definedName name="OSRRefP22_8x_0" localSheetId="50">'301'!$P$56</definedName>
    <definedName name="OSRRefP22_8x_0" localSheetId="51">'306'!$P$52</definedName>
    <definedName name="OSRRefP22_8x_0" localSheetId="53">'307'!$P$125:$P$126</definedName>
    <definedName name="OSRRefP22_8x_0" localSheetId="55">'308'!$P$100:$P$108</definedName>
    <definedName name="OSRRefP22_8x_0" localSheetId="65">'309'!$P$51</definedName>
    <definedName name="OSRRefP22_8x_0" localSheetId="64">'310'!$P$61</definedName>
    <definedName name="OSRRefP22_8x_0" localSheetId="74">'310 &amp; 491'!$P$71</definedName>
    <definedName name="OSRRefP22_8x_0" localSheetId="56">'311'!$P$99:$P$107</definedName>
    <definedName name="OSRRefP22_8x_0" localSheetId="66">'313'!$P$57:$P$59</definedName>
    <definedName name="OSRRefP22_8x_0" localSheetId="54">'314'!$P$93</definedName>
    <definedName name="OSRRefP22_8x_0" localSheetId="58">'315'!$P$120</definedName>
    <definedName name="OSRRefP22_8x_0" localSheetId="60">'316'!$P$64:$P$66</definedName>
    <definedName name="OSRRefP22_8x_0" localSheetId="63">'317'!$P$97:$P$98</definedName>
    <definedName name="OSRRefP22_8x_0" localSheetId="61">'320'!$P$59</definedName>
    <definedName name="OSRRefP22_8x_0" localSheetId="67">'321'!$P$53</definedName>
    <definedName name="OSRRefP22_8x_0" localSheetId="68">'322'!$P$51:$P$52</definedName>
    <definedName name="OSRRefP22_8x_0" localSheetId="70">'325'!$P$52</definedName>
    <definedName name="OSRRefP22_8x_0" localSheetId="71">'326'!$P$94</definedName>
    <definedName name="OSRRefP22_8x_0" localSheetId="52">'330'!$P$136</definedName>
    <definedName name="OSRRefP22_8x_0" localSheetId="57">'331'!$P$123</definedName>
    <definedName name="OSRRefP22_8x_0" localSheetId="59">'332'!$P$73:$P$75</definedName>
    <definedName name="OSRRefP22_8x_0" localSheetId="76">'405'!$P$51</definedName>
    <definedName name="OSRRefP22_8x_0" localSheetId="77">'406'!$P$52</definedName>
    <definedName name="OSRRefP22_8x_0" localSheetId="78">'411'!$P$51</definedName>
    <definedName name="OSRRefP22_8x_0" localSheetId="79">'412'!$P$52</definedName>
    <definedName name="OSRRefP22_8x_0" localSheetId="80">'413'!$P$53:$P$55</definedName>
    <definedName name="OSRRefP22_8x_0" localSheetId="81">'414'!$P$52</definedName>
    <definedName name="OSRRefP22_8x_0" localSheetId="82">'415'!$P$53</definedName>
    <definedName name="OSRRefP22_8x_0" localSheetId="83">'418'!$P$53</definedName>
    <definedName name="OSRRefP22_8x_0" localSheetId="86">'424'!$P$45:$P$46</definedName>
    <definedName name="OSRRefP22_8x_0" localSheetId="87">'425'!$P$56</definedName>
    <definedName name="OSRRefP22_8x_0" localSheetId="91">'433'!$P$55</definedName>
    <definedName name="OSRRefP22_8x_0" localSheetId="92">'435'!$P$47</definedName>
    <definedName name="OSRRefP22_8x_0" localSheetId="93">'444'!$P$54</definedName>
    <definedName name="OSRRefP22_8x_0" localSheetId="94">'450'!$P$54</definedName>
    <definedName name="OSRRefP22_8x_0" localSheetId="75">'491'!$P$64</definedName>
    <definedName name="OSRRefP22_8x_0" localSheetId="89">'492'!$P$58</definedName>
    <definedName name="OSRRefP22_8x_0" localSheetId="96">'501'!$P$50</definedName>
    <definedName name="OSRRefP22_8x_0" localSheetId="39">'Div 2'!$P$52</definedName>
    <definedName name="OSRRefP22_8x_0" localSheetId="47">'Div 3'!$P$211</definedName>
    <definedName name="OSRRefP22_8x_0" localSheetId="73">'Div 4'!$P$65</definedName>
    <definedName name="OSRRefP22_8x_0" localSheetId="95">'Div 5'!$P$50</definedName>
    <definedName name="OSRRefP22_8x_0" localSheetId="62">'Div 6'!$P$97:$P$98</definedName>
    <definedName name="OSRRefP22_8x_0" localSheetId="2">Summary!$P$246</definedName>
    <definedName name="OSRRefP22_9x_0" localSheetId="41">'201'!$P$47:$P$49</definedName>
    <definedName name="OSRRefP22_9x_0" localSheetId="42">'202'!$P$50:$P$52</definedName>
    <definedName name="OSRRefP22_9x_0" localSheetId="43">'203'!$P$51:$P$53</definedName>
    <definedName name="OSRRefP22_9x_0" localSheetId="44">'204'!$P$54</definedName>
    <definedName name="OSRRefP22_9x_0" localSheetId="48">'300'!$P$208</definedName>
    <definedName name="OSRRefP22_9x_0" localSheetId="49">'300 &amp; 317'!$P$234</definedName>
    <definedName name="OSRRefP22_9x_0" localSheetId="50">'301'!$P$58</definedName>
    <definedName name="OSRRefP22_9x_0" localSheetId="51">'306'!$P$54</definedName>
    <definedName name="OSRRefP22_9x_0" localSheetId="53">'307'!$P$128:$P$129</definedName>
    <definedName name="OSRRefP22_9x_0" localSheetId="55">'308'!$P$110:$P$112</definedName>
    <definedName name="OSRRefP22_9x_0" localSheetId="65">'309'!$P$53:$P$54</definedName>
    <definedName name="OSRRefP22_9x_0" localSheetId="64">'310'!$P$63</definedName>
    <definedName name="OSRRefP22_9x_0" localSheetId="74">'310 &amp; 491'!$P$73</definedName>
    <definedName name="OSRRefP22_9x_0" localSheetId="56">'311'!$P$109:$P$111</definedName>
    <definedName name="OSRRefP22_9x_0" localSheetId="66">'313'!$P$61</definedName>
    <definedName name="OSRRefP22_9x_0" localSheetId="54">'314'!$P$95</definedName>
    <definedName name="OSRRefP22_9x_0" localSheetId="58">'315'!$P$122:$P$123</definedName>
    <definedName name="OSRRefP22_9x_0" localSheetId="60">'316'!$P$68</definedName>
    <definedName name="OSRRefP22_9x_0" localSheetId="63">'317'!$P$100:$P$101</definedName>
    <definedName name="OSRRefP22_9x_0" localSheetId="67">'321'!$P$55:$P$57</definedName>
    <definedName name="OSRRefP22_9x_0" localSheetId="68">'322'!$P$54:$P$56</definedName>
    <definedName name="OSRRefP22_9x_0" localSheetId="70">'325'!$P$54</definedName>
    <definedName name="OSRRefP22_9x_0" localSheetId="71">'326'!$P$96:$P$108</definedName>
    <definedName name="OSRRefP22_9x_0" localSheetId="52">'330'!$P$138:$P$139</definedName>
    <definedName name="OSRRefP22_9x_0" localSheetId="57">'331'!$P$125</definedName>
    <definedName name="OSRRefP22_9x_0" localSheetId="59">'332'!$P$77:$P$79</definedName>
    <definedName name="OSRRefP22_9x_0" localSheetId="76">'405'!$P$53</definedName>
    <definedName name="OSRRefP22_9x_0" localSheetId="77">'406'!$P$54:$P$56</definedName>
    <definedName name="OSRRefP22_9x_0" localSheetId="78">'411'!$P$53</definedName>
    <definedName name="OSRRefP22_9x_0" localSheetId="79">'412'!$P$54:$P$56</definedName>
    <definedName name="OSRRefP22_9x_0" localSheetId="80">'413'!$P$57:$P$62</definedName>
    <definedName name="OSRRefP22_9x_0" localSheetId="81">'414'!$P$54:$P$55</definedName>
    <definedName name="OSRRefP22_9x_0" localSheetId="82">'415'!$P$55</definedName>
    <definedName name="OSRRefP22_9x_0" localSheetId="83">'418'!$P$55</definedName>
    <definedName name="OSRRefP22_9x_0" localSheetId="86">'424'!$P$48</definedName>
    <definedName name="OSRRefP22_9x_0" localSheetId="87">'425'!$P$58:$P$60</definedName>
    <definedName name="OSRRefP22_9x_0" localSheetId="91">'433'!$P$57</definedName>
    <definedName name="OSRRefP22_9x_0" localSheetId="93">'444'!$P$56</definedName>
    <definedName name="OSRRefP22_9x_0" localSheetId="94">'450'!$P$56</definedName>
    <definedName name="OSRRefP22_9x_0" localSheetId="75">'491'!$P$66</definedName>
    <definedName name="OSRRefP22_9x_0" localSheetId="89">'492'!$P$60</definedName>
    <definedName name="OSRRefP22_9x_0" localSheetId="96">'501'!$P$52:$P$54</definedName>
    <definedName name="OSRRefP22_9x_0" localSheetId="39">'Div 2'!$P$54:$P$55</definedName>
    <definedName name="OSRRefP22_9x_0" localSheetId="47">'Div 3'!$P$213</definedName>
    <definedName name="OSRRefP22_9x_0" localSheetId="73">'Div 4'!$P$67</definedName>
    <definedName name="OSRRefP22_9x_0" localSheetId="95">'Div 5'!$P$52:$P$54</definedName>
    <definedName name="OSRRefP22_9x_0" localSheetId="62">'Div 6'!$P$100:$P$101</definedName>
    <definedName name="OSRRefP22_9x_0" localSheetId="2">Summary!$P$248</definedName>
    <definedName name="OSRRefP22x_0" localSheetId="40">'200'!$P$20:$P$21,'200'!$P$23,'200'!$P$25,'200'!$P$27,'200'!$P$29:$P$30</definedName>
    <definedName name="OSRRefP22x_0" localSheetId="41">'201'!$P$20:$P$27,'201'!$P$29:$P$31,'201'!$P$33,'201'!$P$35,'201'!$P$37,'201'!$P$39,'201'!$P$41,'201'!$P$43,'201'!$P$45,'201'!$P$47:$P$49,'201'!$P$51:$P$53,'201'!$P$55,'201'!$P$57:$P$60,'201'!$P$62,'201'!$P$64,'201'!$P$66</definedName>
    <definedName name="OSRRefP22x_0" localSheetId="42">'202'!$P$20:$P$27,'202'!$P$29:$P$33,'202'!$P$35,'202'!$P$37,'202'!$P$39,'202'!$P$41,'202'!$P$43:$P$44,'202'!$P$46,'202'!$P$48,'202'!$P$50:$P$52,'202'!$P$54,'202'!$P$56,'202'!$P$58:$P$60,'202'!$P$62,'202'!$P$64,'202'!$P$66</definedName>
    <definedName name="OSRRefP22x_0" localSheetId="43">'203'!$P$20:$P$29,'203'!$P$31:$P$35,'203'!$P$37,'203'!$P$39,'203'!$P$41,'203'!$P$43,'203'!$P$45,'203'!$P$47,'203'!$P$49,'203'!$P$51:$P$53,'203'!$P$55:$P$56,'203'!$P$58,'203'!$P$60:$P$64,'203'!$P$66,'203'!$P$68,'203'!$P$70</definedName>
    <definedName name="OSRRefP22x_0" localSheetId="44">'204'!$P$20:$P$29,'204'!$P$31:$P$35,'204'!$P$37,'204'!$P$39,'204'!$P$41,'204'!$P$43,'204'!$P$45:$P$47,'204'!$P$49,'204'!$P$51:$P$52,'204'!$P$54,'204'!$P$56:$P$57</definedName>
    <definedName name="OSRRefP22x_0" localSheetId="45">'205'!$P$20:$P$27,'205'!$P$29,'205'!$P$31,'205'!$P$33,'205'!$P$35:$P$37,'205'!$P$39,'205'!$P$41:$P$43,'205'!$P$45,'205'!$P$47</definedName>
    <definedName name="OSRRefP22x_0" localSheetId="46">'206'!$P$20:$P$27,'206'!$P$29:$P$32,'206'!$P$34,'206'!$P$36,'206'!$P$38,'206'!$P$40,'206'!$P$42:$P$43,'206'!$P$45,'206'!$P$47</definedName>
    <definedName name="OSRRefP22x_0" localSheetId="48">'300'!$P$171:$P$180,'300'!$P$182:$P$188,'300'!$P$190,'300'!$P$192:$P$193,'300'!$P$195,'300'!$P$197:$P$199,'300'!$P$201:$P$202,'300'!$P$204,'300'!$P$206,'300'!$P$208,'300'!$P$210:$P$211,'300'!$P$213,'300'!$P$215,'300'!$P$217:$P$250,'300'!$P$252,'300'!$P$254,'300'!$P$256:$P$259,'300'!$P$261:$P$263,'300'!$P$265:$P$268,'300'!$P$270:$P$271,'300'!$P$273:$P$280,'300'!$P$282:$P$283,'300'!$P$285,'300'!$P$287:$P$289,'300'!$P$291</definedName>
    <definedName name="OSRRefP22x_0" localSheetId="49">'300 &amp; 317'!$P$197:$P$206,'300 &amp; 317'!$P$208:$P$214,'300 &amp; 317'!$P$216,'300 &amp; 317'!$P$218:$P$219,'300 &amp; 317'!$P$221,'300 &amp; 317'!$P$223:$P$225,'300 &amp; 317'!$P$227:$P$228,'300 &amp; 317'!$P$230,'300 &amp; 317'!$P$232,'300 &amp; 317'!$P$234,'300 &amp; 317'!$P$236:$P$237,'300 &amp; 317'!$P$239,'300 &amp; 317'!$P$241,'300 &amp; 317'!$P$243:$P$279,'300 &amp; 317'!$P$281,'300 &amp; 317'!$P$283,'300 &amp; 317'!$P$285:$P$288,'300 &amp; 317'!$P$290:$P$292,'300 &amp; 317'!$P$294:$P$297,'300 &amp; 317'!$P$299:$P$300,'300 &amp; 317'!$P$302:$P$309,'300 &amp; 317'!$P$311:$P$312,'300 &amp; 317'!$P$314,'300 &amp; 317'!$P$316:$P$318,'300 &amp; 317'!$P$320</definedName>
    <definedName name="OSRRefP22x_0" localSheetId="50">'301'!$P$21:$P$30,'301'!$P$32:$P$38,'301'!$P$40,'301'!$P$42:$P$43,'301'!$P$45,'301'!$P$47:$P$49,'301'!$P$51:$P$52,'301'!$P$54,'301'!$P$56,'301'!$P$58,'301'!$P$60,'301'!$P$62,'301'!$P$64,'301'!$P$66,'301'!$P$68,'301'!$P$70,'301'!$P$72:$P$75,'301'!$P$77:$P$79,'301'!$P$81:$P$82,'301'!$P$84:$P$90,'301'!$P$92,'301'!$P$94,'301'!$P$96:$P$98,'301'!$P$100</definedName>
    <definedName name="OSRRefP22x_0" localSheetId="51">'306'!$P$20:$P$28,'306'!$P$30:$P$35,'306'!$P$37,'306'!$P$39,'306'!$P$41,'306'!$P$43,'306'!$P$45:$P$46,'306'!$P$48:$P$50,'306'!$P$52,'306'!$P$54</definedName>
    <definedName name="OSRRefP22x_0" localSheetId="53">'307'!$P$79:$P$86,'307'!$P$88:$P$91,'307'!$P$93,'307'!$P$95,'307'!$P$97:$P$98,'307'!$P$100,'307'!$P$102:$P$121,'307'!$P$123,'307'!$P$125:$P$126,'307'!$P$128:$P$129,'307'!$P$131:$P$134,'307'!$P$136,'307'!$P$138</definedName>
    <definedName name="OSRRefP22x_0" localSheetId="55">'308'!$P$68:$P$76,'308'!$P$78:$P$84,'308'!$P$86,'308'!$P$88:$P$89,'308'!$P$91,'308'!$P$93,'308'!$P$95:$P$96,'308'!$P$98,'308'!$P$100:$P$108,'308'!$P$110:$P$112,'308'!$P$114:$P$115,'308'!$P$117:$P$119,'308'!$P$121:$P$122,'308'!$P$124,'308'!$P$126</definedName>
    <definedName name="OSRRefP22x_0" localSheetId="65">'309'!$P$24:$P$31,'309'!$P$33:$P$37,'309'!$P$39,'309'!$P$41,'309'!$P$43,'309'!$P$45,'309'!$P$47,'309'!$P$49,'309'!$P$51,'309'!$P$53:$P$54,'309'!$P$56:$P$58,'309'!$P$60:$P$62,'309'!$P$64</definedName>
    <definedName name="OSRRefP22x_0" localSheetId="64">'310'!$P$32:$P$39,'310'!$P$41:$P$46,'310'!$P$48,'310'!$P$50,'310'!$P$52,'310'!$P$54:$P$55,'310'!$P$57,'310'!$P$59,'310'!$P$61,'310'!$P$63,'310'!$P$65,'310'!$P$67,'310'!$P$69,'310'!$P$71,'310'!$P$73:$P$75,'310'!$P$77,'310'!$P$79:$P$82,'310'!$P$84,'310'!$P$86:$P$94,'310'!$P$96,'310'!$P$98,'310'!$P$100,'310'!$P$102</definedName>
    <definedName name="OSRRefP22x_0" localSheetId="74">'310 &amp; 491'!$P$39:$P$47,'310 &amp; 491'!$P$49:$P$55,'310 &amp; 491'!$P$57,'310 &amp; 491'!$P$59,'310 &amp; 491'!$P$61,'310 &amp; 491'!$P$63:$P$65,'310 &amp; 491'!$P$67,'310 &amp; 491'!$P$69,'310 &amp; 491'!$P$71,'310 &amp; 491'!$P$73,'310 &amp; 491'!$P$75:$P$76,'310 &amp; 491'!$P$78:$P$79,'310 &amp; 491'!$P$81,'310 &amp; 491'!$P$83,'310 &amp; 491'!$P$85,'310 &amp; 491'!$P$87,'310 &amp; 491'!$P$89:$P$92,'310 &amp; 491'!$P$94:$P$95,'310 &amp; 491'!$P$97:$P$101,'310 &amp; 491'!$P$103:$P$104,'310 &amp; 491'!$P$106:$P$115,'310 &amp; 491'!$P$117,'310 &amp; 491'!$P$119,'310 &amp; 491'!$P$121:$P$123,'310 &amp; 491'!$P$125</definedName>
    <definedName name="OSRRefP22x_0" localSheetId="56">'311'!$P$67:$P$75,'311'!$P$77:$P$83,'311'!$P$85,'311'!$P$87:$P$88,'311'!$P$90,'311'!$P$92,'311'!$P$94:$P$95,'311'!$P$97,'311'!$P$99:$P$107,'311'!$P$109:$P$111,'311'!$P$113:$P$114,'311'!$P$116:$P$118,'311'!$P$120:$P$121,'311'!$P$123,'311'!$P$125</definedName>
    <definedName name="OSRRefP22x_0" localSheetId="66">'313'!$P$29:$P$36,'313'!$P$38:$P$43,'313'!$P$45,'313'!$P$47,'313'!$P$49,'313'!$P$51,'313'!$P$53,'313'!$P$55,'313'!$P$57:$P$59,'313'!$P$61,'313'!$P$63:$P$68,'313'!$P$70,'313'!$P$72</definedName>
    <definedName name="OSRRefP22x_0" localSheetId="54">'314'!$P$57:$P$65,'314'!$P$67:$P$69,'314'!$P$71,'314'!$P$73:$P$74,'314'!$P$76,'314'!$P$78:$P$86,'314'!$P$88,'314'!$P$90:$P$91,'314'!$P$93,'314'!$P$95</definedName>
    <definedName name="OSRRefP22x_0" localSheetId="58">'315'!$P$84:$P$91,'315'!$P$93:$P$98,'315'!$P$100,'315'!$P$102:$P$103,'315'!$P$105,'315'!$P$107:$P$108,'315'!$P$110:$P$116,'315'!$P$118,'315'!$P$120,'315'!$P$122:$P$123,'315'!$P$125:$P$126,'315'!$P$128:$P$132,'315'!$P$134,'315'!$P$136,'315'!$P$138:$P$139</definedName>
    <definedName name="OSRRefP22x_0" localSheetId="60">'316'!$P$37:$P$44,'316'!$P$46:$P$49,'316'!$P$51,'316'!$P$53,'316'!$P$55,'316'!$P$57,'316'!$P$59:$P$60,'316'!$P$62,'316'!$P$64:$P$66,'316'!$P$68,'316'!$P$70,'316'!$P$72:$P$77,'316'!$P$79,'316'!$P$81,'316'!$P$83</definedName>
    <definedName name="OSRRefP22x_0" localSheetId="63">'317'!$P$61:$P$69,'317'!$P$71:$P$75,'317'!$P$77,'317'!$P$79,'317'!$P$81,'317'!$P$83:$P$84,'317'!$P$86,'317'!$P$88:$P$95,'317'!$P$97:$P$98,'317'!$P$100:$P$101,'317'!$P$103:$P$107,'317'!$P$109,'317'!$P$111,'317'!$P$113</definedName>
    <definedName name="OSRRefP22x_0" localSheetId="61">'320'!$P$29:$P$35,'320'!$P$37:$P$41,'320'!$P$43,'320'!$P$45,'320'!$P$47:$P$48,'320'!$P$50,'320'!$P$52:$P$54,'320'!$P$56:$P$57,'320'!$P$59</definedName>
    <definedName name="OSRRefP22x_0" localSheetId="67">'321'!$P$24:$P$31,'321'!$P$33:$P$37,'321'!$P$39,'321'!$P$41,'321'!$P$43,'321'!$P$45,'321'!$P$47,'321'!$P$49:$P$51,'321'!$P$53,'321'!$P$55:$P$57,'321'!$P$59:$P$63,'321'!$P$65,'321'!$P$67</definedName>
    <definedName name="OSRRefP22x_0" localSheetId="68">'322'!$P$24:$P$31,'322'!$P$33:$P$37,'322'!$P$39,'322'!$P$41,'322'!$P$43,'322'!$P$45,'322'!$P$47,'322'!$P$49,'322'!$P$51:$P$52,'322'!$P$54:$P$56,'322'!$P$58:$P$64,'322'!$P$66,'322'!$P$68,'322'!$P$70</definedName>
    <definedName name="OSRRefP22x_0" localSheetId="70">'325'!$P$24:$P$31,'325'!$P$33:$P$37,'325'!$P$39,'325'!$P$41,'325'!$P$43,'325'!$P$45:$P$46,'325'!$P$48,'325'!$P$50,'325'!$P$52,'325'!$P$54,'325'!$P$56,'325'!$P$58:$P$60,'325'!$P$62:$P$65,'325'!$P$67,'325'!$P$69:$P$73,'325'!$P$75,'325'!$P$77,'325'!$P$79</definedName>
    <definedName name="OSRRefP22x_0" localSheetId="71">'326'!$P$65:$P$72,'326'!$P$74:$P$79,'326'!$P$81,'326'!$P$83,'326'!$P$85,'326'!$P$87:$P$88,'326'!$P$90,'326'!$P$92,'326'!$P$94,'326'!$P$96:$P$108,'326'!$P$110,'326'!$P$112,'326'!$P$114:$P$116,'326'!$P$118:$P$120,'326'!$P$122:$P$123,'326'!$P$125:$P$130,'326'!$P$132,'326'!$P$134,'326'!$P$136,'326'!$P$138</definedName>
    <definedName name="OSRRefP22x_0" localSheetId="72">'327'!$P$23,'327'!$P$25,'327'!$P$27</definedName>
    <definedName name="OSRRefP22x_0" localSheetId="52">'330'!$P$87:$P$95,'330'!$P$97:$P$101,'330'!$P$103,'330'!$P$105,'330'!$P$107:$P$108,'330'!$P$110,'330'!$P$112,'330'!$P$114:$P$134,'330'!$P$136,'330'!$P$138:$P$139,'330'!$P$141:$P$142,'330'!$P$144,'330'!$P$146:$P$149,'330'!$P$151,'330'!$P$153,'330'!$P$155</definedName>
    <definedName name="OSRRefP22x_0" localSheetId="57">'331'!$P$93:$P$100,'331'!$P$102:$P$107,'331'!$P$109,'331'!$P$111,'331'!$P$113,'331'!$P$115:$P$116,'331'!$P$118,'331'!$P$120:$P$121,'331'!$P$123,'331'!$P$125,'331'!$P$127:$P$139,'331'!$P$141,'331'!$P$143,'331'!$P$145:$P$147,'331'!$P$149:$P$150,'331'!$P$152:$P$154,'331'!$P$156:$P$157,'331'!$P$159:$P$164,'331'!$P$166,'331'!$P$168,'331'!$P$170:$P$171,'331'!$P$173</definedName>
    <definedName name="OSRRefP22x_0" localSheetId="59">'332'!$P$45:$P$52,'332'!$P$54:$P$58,'332'!$P$60,'332'!$P$62,'332'!$P$64,'332'!$P$66,'332'!$P$68:$P$69,'332'!$P$71,'332'!$P$73:$P$75,'332'!$P$77:$P$79,'332'!$P$81,'332'!$P$83,'332'!$P$85:$P$90,'332'!$P$92,'332'!$P$94,'332'!$P$96</definedName>
    <definedName name="OSRRefP22x_0" localSheetId="76">'405'!$P$24:$P$31,'405'!$P$33:$P$36,'405'!$P$38,'405'!$P$40,'405'!$P$42,'405'!$P$44:$P$45,'405'!$P$47,'405'!$P$49,'405'!$P$51,'405'!$P$53,'405'!$P$55:$P$56,'405'!$P$58,'405'!$P$60:$P$62,'405'!$P$64:$P$65,'405'!$P$67:$P$73,'405'!$P$75,'405'!$P$77,'405'!$P$79</definedName>
    <definedName name="OSRRefP22x_0" localSheetId="77">'406'!$P$24:$P$31,'406'!$P$33:$P$38,'406'!$P$40,'406'!$P$42,'406'!$P$44,'406'!$P$46,'406'!$P$48,'406'!$P$50,'406'!$P$52,'406'!$P$54:$P$56,'406'!$P$58:$P$59,'406'!$P$61:$P$66,'406'!$P$68,'406'!$P$70,'406'!$P$72</definedName>
    <definedName name="OSRRefP22x_0" localSheetId="78">'411'!$P$20:$P$28,'411'!$P$30:$P$35,'411'!$P$37,'411'!$P$39,'411'!$P$41:$P$43,'411'!$P$45,'411'!$P$47,'411'!$P$49,'411'!$P$51,'411'!$P$53,'411'!$P$55,'411'!$P$57,'411'!$P$59:$P$62,'411'!$P$64:$P$68,'411'!$P$70:$P$71,'411'!$P$73:$P$81,'411'!$P$83,'411'!$P$85,'411'!$P$87:$P$89,'411'!$P$91</definedName>
    <definedName name="OSRRefP22x_0" localSheetId="79">'412'!$P$24:$P$31,'412'!$P$33:$P$38,'412'!$P$40,'412'!$P$42,'412'!$P$44,'412'!$P$46,'412'!$P$48,'412'!$P$50,'412'!$P$52,'412'!$P$54:$P$56,'412'!$P$58:$P$60,'412'!$P$62:$P$67,'412'!$P$69,'412'!$P$71</definedName>
    <definedName name="OSRRefP22x_0" localSheetId="80">'413'!$P$24:$P$31,'413'!$P$33:$P$37,'413'!$P$39,'413'!$P$41,'413'!$P$43,'413'!$P$45,'413'!$P$47,'413'!$P$49:$P$51,'413'!$P$53:$P$55,'413'!$P$57:$P$62,'413'!$P$64,'413'!$P$66</definedName>
    <definedName name="OSRRefP22x_0" localSheetId="81">'414'!$P$24:$P$31,'414'!$P$33:$P$38,'414'!$P$40,'414'!$P$42,'414'!$P$44,'414'!$P$46,'414'!$P$48,'414'!$P$50,'414'!$P$52,'414'!$P$54:$P$55,'414'!$P$57,'414'!$P$59,'414'!$P$61,'414'!$P$63:$P$69,'414'!$P$71,'414'!$P$73</definedName>
    <definedName name="OSRRefP22x_0" localSheetId="82">'415'!$P$24:$P$31,'415'!$P$33:$P$38,'415'!$P$40,'415'!$P$42,'415'!$P$44,'415'!$P$46:$P$47,'415'!$P$49,'415'!$P$51,'415'!$P$53,'415'!$P$55,'415'!$P$57,'415'!$P$59:$P$62,'415'!$P$64:$P$68,'415'!$P$70:$P$71,'415'!$P$73:$P$81,'415'!$P$83,'415'!$P$85,'415'!$P$87</definedName>
    <definedName name="OSRRefP22x_0" localSheetId="83">'418'!$P$24:$P$31,'418'!$P$33:$P$38,'418'!$P$40,'418'!$P$42,'418'!$P$44,'418'!$P$46:$P$47,'418'!$P$49,'418'!$P$51,'418'!$P$53,'418'!$P$55,'418'!$P$57:$P$58,'418'!$P$60:$P$62,'418'!$P$64:$P$66,'418'!$P$68:$P$69,'418'!$P$71:$P$78,'418'!$P$80,'418'!$P$82</definedName>
    <definedName name="OSRRefP22x_0" localSheetId="84">'420'!$P$24:$P$31,'420'!$P$33:$P$36,'420'!$P$38,'420'!$P$40,'420'!$P$42,'420'!$P$44,'420'!$P$46:$P$47,'420'!$P$49</definedName>
    <definedName name="OSRRefP22x_0" localSheetId="85">'423'!$P$21:$P$28,'423'!$P$30:$P$31,'423'!$P$33,'423'!$P$35,'423'!$P$37,'423'!$P$39,'423'!$P$41</definedName>
    <definedName name="OSRRefP22x_0" localSheetId="86">'424'!$P$24:$P$25,'424'!$P$27:$P$31,'424'!$P$33,'424'!$P$35,'424'!$P$37,'424'!$P$39,'424'!$P$41,'424'!$P$43,'424'!$P$45:$P$46,'424'!$P$48,'424'!$P$50,'424'!$P$52:$P$56,'424'!$P$58</definedName>
    <definedName name="OSRRefP22x_0" localSheetId="87">'425'!$P$27:$P$35,'425'!$P$37:$P$42,'425'!$P$44,'425'!$P$46,'425'!$P$48,'425'!$P$50,'425'!$P$52,'425'!$P$54,'425'!$P$56,'425'!$P$58:$P$60,'425'!$P$62,'425'!$P$64:$P$66,'425'!$P$68:$P$74,'425'!$P$76,'425'!$P$78</definedName>
    <definedName name="OSRRefP22x_0" localSheetId="90">'430'!$P$20:$P$27,'430'!$P$29,'430'!$P$31,'430'!$P$33,'430'!$P$35:$P$36,'430'!$P$38,'430'!$P$40,'430'!$P$42</definedName>
    <definedName name="OSRRefP22x_0" localSheetId="91">'433'!$P$26:$P$34,'433'!$P$36:$P$41,'433'!$P$43,'433'!$P$45,'433'!$P$47,'433'!$P$49,'433'!$P$51,'433'!$P$53,'433'!$P$55,'433'!$P$57,'433'!$P$59,'433'!$P$61:$P$63,'433'!$P$65:$P$67,'433'!$P$69:$P$76,'433'!$P$78,'433'!$P$80,'433'!$P$82</definedName>
    <definedName name="OSRRefP22x_0" localSheetId="92">'435'!$P$25:$P$27,'435'!$P$29:$P$31,'435'!$P$33,'435'!$P$35,'435'!$P$37,'435'!$P$39,'435'!$P$41,'435'!$P$43:$P$45,'435'!$P$47</definedName>
    <definedName name="OSRRefP22x_0" localSheetId="93">'444'!$P$25:$P$33,'444'!$P$35:$P$40,'444'!$P$42,'444'!$P$44,'444'!$P$46,'444'!$P$48,'444'!$P$50,'444'!$P$52,'444'!$P$54,'444'!$P$56,'444'!$P$58,'444'!$P$60:$P$62,'444'!$P$64:$P$67,'444'!$P$69,'444'!$P$71:$P$79,'444'!$P$81,'444'!$P$83,'444'!$P$85:$P$86</definedName>
    <definedName name="OSRRefP22x_0" localSheetId="94">'450'!$P$25:$P$33,'450'!$P$35:$P$40,'450'!$P$42,'450'!$P$44,'450'!$P$46,'450'!$P$48,'450'!$P$50,'450'!$P$52,'450'!$P$54,'450'!$P$56,'450'!$P$58,'450'!$P$60,'450'!$P$62:$P$63,'450'!$P$65:$P$67,'450'!$P$69:$P$74,'450'!$P$76,'450'!$P$78,'450'!$P$80</definedName>
    <definedName name="OSRRefP22x_0" localSheetId="88">'455'!$P$20:$P$26,'455'!$P$28:$P$29</definedName>
    <definedName name="OSRRefP22x_0" localSheetId="75">'491'!$P$32:$P$40,'491'!$P$42:$P$48,'491'!$P$50,'491'!$P$52,'491'!$P$54,'491'!$P$56:$P$58,'491'!$P$60,'491'!$P$62,'491'!$P$64,'491'!$P$66,'491'!$P$68,'491'!$P$70:$P$71,'491'!$P$73,'491'!$P$75,'491'!$P$77,'491'!$P$79,'491'!$P$81:$P$84,'491'!$P$86:$P$87,'491'!$P$89:$P$93,'491'!$P$95:$P$96,'491'!$P$98:$P$107,'491'!$P$109,'491'!$P$111,'491'!$P$113:$P$115,'491'!$P$117</definedName>
    <definedName name="OSRRefP22x_0" localSheetId="89">'492'!$P$28:$P$36,'492'!$P$38:$P$44,'492'!$P$46,'492'!$P$48,'492'!$P$50,'492'!$P$52,'492'!$P$54,'492'!$P$56,'492'!$P$58,'492'!$P$60,'492'!$P$62,'492'!$P$64,'492'!$P$66:$P$68,'492'!$P$70:$P$73,'492'!$P$75,'492'!$P$77:$P$85,'492'!$P$87,'492'!$P$89,'492'!$P$91:$P$92</definedName>
    <definedName name="OSRRefP22x_0" localSheetId="96">'501'!$P$21:$P$29,'501'!$P$31:$P$35,'501'!$P$37,'501'!$P$39,'501'!$P$41,'501'!$P$43:$P$44,'501'!$P$46,'501'!$P$48,'501'!$P$50,'501'!$P$52:$P$54,'501'!$P$56,'501'!$P$58:$P$60,'501'!$P$62,'501'!$P$64</definedName>
    <definedName name="OSRRefP22x_0" localSheetId="39">'Div 2'!$P$20:$P$30,'Div 2'!$P$32:$P$38,'Div 2'!$P$40,'Div 2'!$P$42,'Div 2'!$P$44,'Div 2'!$P$46,'Div 2'!$P$48,'Div 2'!$P$50,'Div 2'!$P$52,'Div 2'!$P$54:$P$55,'Div 2'!$P$57,'Div 2'!$P$59,'Div 2'!$P$61:$P$64,'Div 2'!$P$66:$P$68,'Div 2'!$P$70:$P$71,'Div 2'!$P$73,'Div 2'!$P$75:$P$80,'Div 2'!$P$82:$P$83,'Div 2'!$P$85,'Div 2'!$P$87:$P$88</definedName>
    <definedName name="OSRRefP22x_0" localSheetId="47">'Div 3'!$P$176:$P$185,'Div 3'!$P$187:$P$193,'Div 3'!$P$195,'Div 3'!$P$197:$P$198,'Div 3'!$P$200,'Div 3'!$P$202:$P$204,'Div 3'!$P$206:$P$207,'Div 3'!$P$209,'Div 3'!$P$211,'Div 3'!$P$213,'Div 3'!$P$215:$P$216,'Div 3'!$P$218,'Div 3'!$P$220,'Div 3'!$P$222,'Div 3'!$P$224:$P$257,'Div 3'!$P$259,'Div 3'!$P$261,'Div 3'!$P$263:$P$266,'Div 3'!$P$268:$P$270,'Div 3'!$P$272:$P$276,'Div 3'!$P$278:$P$279,'Div 3'!$P$281:$P$289,'Div 3'!$P$291:$P$292,'Div 3'!$P$294,'Div 3'!$P$296:$P$298,'Div 3'!$P$300</definedName>
    <definedName name="OSRRefP22x_0" localSheetId="73">'Div 4'!$P$33:$P$41,'Div 4'!$P$43:$P$49,'Div 4'!$P$51,'Div 4'!$P$53,'Div 4'!$P$55,'Div 4'!$P$57:$P$59,'Div 4'!$P$61,'Div 4'!$P$63,'Div 4'!$P$65,'Div 4'!$P$67,'Div 4'!$P$69,'Div 4'!$P$71:$P$72,'Div 4'!$P$74,'Div 4'!$P$76,'Div 4'!$P$78,'Div 4'!$P$80,'Div 4'!$P$82,'Div 4'!$P$84:$P$87,'Div 4'!$P$89:$P$90,'Div 4'!$P$92:$P$96,'Div 4'!$P$98:$P$99,'Div 4'!$P$101:$P$110,'Div 4'!$P$112,'Div 4'!$P$114,'Div 4'!$P$116:$P$118,'Div 4'!$P$120</definedName>
    <definedName name="OSRRefP22x_0" localSheetId="95">'Div 5'!$P$21:$P$29,'Div 5'!$P$31:$P$35,'Div 5'!$P$37,'Div 5'!$P$39,'Div 5'!$P$41,'Div 5'!$P$43:$P$44,'Div 5'!$P$46,'Div 5'!$P$48,'Div 5'!$P$50,'Div 5'!$P$52:$P$54,'Div 5'!$P$56,'Div 5'!$P$58:$P$60,'Div 5'!$P$62,'Div 5'!$P$64</definedName>
    <definedName name="OSRRefP22x_0" localSheetId="62">'Div 6'!$P$61:$P$69,'Div 6'!$P$71:$P$75,'Div 6'!$P$77,'Div 6'!$P$79,'Div 6'!$P$81,'Div 6'!$P$83:$P$84,'Div 6'!$P$86,'Div 6'!$P$88:$P$95,'Div 6'!$P$97:$P$98,'Div 6'!$P$100:$P$101,'Div 6'!$P$103:$P$107,'Div 6'!$P$109,'Div 6'!$P$111,'Div 6'!$P$113</definedName>
    <definedName name="OSRRefP22x_0" localSheetId="2">Summary!$P$210:$P$219,Summary!$P$221:$P$227,Summary!$P$229,Summary!$P$231:$P$232,Summary!$P$234,Summary!$P$236:$P$239,Summary!$P$241:$P$242,Summary!$P$244,Summary!$P$246,Summary!$P$248,Summary!$P$250:$P$251,Summary!$P$253:$P$254,Summary!$P$256,Summary!$P$258,Summary!$P$260:$P$296,Summary!$P$298,Summary!$P$300,Summary!$P$302,Summary!$P$304:$P$307,Summary!$P$309:$P$311,Summary!$P$313:$P$317,Summary!$P$319:$P$320,Summary!$P$322:$P$331,Summary!$P$333:$P$334,Summary!$P$336,Summary!$P$338:$P$340,Summary!$P$342</definedName>
    <definedName name="OSRRefP25x_0" localSheetId="48">'300'!$P$294:$P$302</definedName>
    <definedName name="OSRRefP25x_0" localSheetId="49">'300 &amp; 317'!$P$323:$P$334</definedName>
    <definedName name="OSRRefP25x_0" localSheetId="50">'301'!$P$103:$P$105</definedName>
    <definedName name="OSRRefP25x_0" localSheetId="53">'307'!$P$141</definedName>
    <definedName name="OSRRefP25x_0" localSheetId="55">'308'!$P$129:$P$131</definedName>
    <definedName name="OSRRefP25x_0" localSheetId="74">'310 &amp; 491'!$P$128:$P$130</definedName>
    <definedName name="OSRRefP25x_0" localSheetId="56">'311'!$P$128:$P$130</definedName>
    <definedName name="OSRRefP25x_0" localSheetId="58">'315'!$P$142:$P$144</definedName>
    <definedName name="OSRRefP25x_0" localSheetId="60">'316'!$P$86</definedName>
    <definedName name="OSRRefP25x_0" localSheetId="63">'317'!$P$116:$P$119</definedName>
    <definedName name="OSRRefP25x_0" localSheetId="61">'320'!$P$62:$P$66</definedName>
    <definedName name="OSRRefP25x_0" localSheetId="52">'330'!$P$158</definedName>
    <definedName name="OSRRefP25x_0" localSheetId="57">'331'!$P$176:$P$178</definedName>
    <definedName name="OSRRefP25x_0" localSheetId="59">'332'!$P$99:$P$104</definedName>
    <definedName name="OSRRefP25x_0" localSheetId="78">'411'!$P$94:$P$95</definedName>
    <definedName name="OSRRefP25x_0" localSheetId="80">'413'!$P$69</definedName>
    <definedName name="OSRRefP25x_0" localSheetId="82">'415'!$P$90</definedName>
    <definedName name="OSRRefP25x_0" localSheetId="83">'418'!$P$85</definedName>
    <definedName name="OSRRefP25x_0" localSheetId="85">'423'!$P$44</definedName>
    <definedName name="OSRRefP25x_0" localSheetId="86">'424'!$P$61</definedName>
    <definedName name="OSRRefP25x_0" localSheetId="87">'425'!$P$81</definedName>
    <definedName name="OSRRefP25x_0" localSheetId="88">'455'!$P$32:$P$34</definedName>
    <definedName name="OSRRefP25x_0" localSheetId="75">'491'!$P$120:$P$122</definedName>
    <definedName name="OSRRefP25x_0" localSheetId="96">'501'!$P$67</definedName>
    <definedName name="OSRRefP25x_0" localSheetId="47">'Div 3'!$P$303:$P$311</definedName>
    <definedName name="OSRRefP25x_0" localSheetId="73">'Div 4'!$P$123:$P$125</definedName>
    <definedName name="OSRRefP25x_0" localSheetId="95">'Div 5'!$P$67</definedName>
    <definedName name="OSRRefP25x_0" localSheetId="62">'Div 6'!$P$116:$P$119</definedName>
    <definedName name="OSRRefP25x_0" localSheetId="2">Summary!$P$345:$P$357</definedName>
    <definedName name="OSRRefT13x_0" localSheetId="48">'300'!$T$13:$T$112</definedName>
    <definedName name="OSRRefT13x_0" localSheetId="49">'300 &amp; 317'!$T$13:$T$130</definedName>
    <definedName name="OSRRefT13x_0" localSheetId="53">'307'!$T$13:$T$49</definedName>
    <definedName name="OSRRefT13x_0" localSheetId="55">'308'!$T$13:$T$43</definedName>
    <definedName name="OSRRefT13x_0" localSheetId="65">'309'!$T$13:$T$14</definedName>
    <definedName name="OSRRefT13x_0" localSheetId="64">'310'!$T$13:$T$22</definedName>
    <definedName name="OSRRefT13x_0" localSheetId="74">'310 &amp; 491'!$T$13:$T$29</definedName>
    <definedName name="OSRRefT13x_0" localSheetId="56">'311'!$T$13:$T$42</definedName>
    <definedName name="OSRRefT13x_0" localSheetId="66">'313'!$T$13:$T$19</definedName>
    <definedName name="OSRRefT13x_0" localSheetId="54">'314'!$T$13:$T$34</definedName>
    <definedName name="OSRRefT13x_0" localSheetId="58">'315'!$T$13:$T$51</definedName>
    <definedName name="OSRRefT13x_0" localSheetId="60">'316'!$T$13:$T$29</definedName>
    <definedName name="OSRRefT13x_0" localSheetId="63">'317'!$T$13:$T$37</definedName>
    <definedName name="OSRRefT13x_0" localSheetId="61">'320'!$T$13:$T$16</definedName>
    <definedName name="OSRRefT13x_0" localSheetId="67">'321'!$T$13:$T$14</definedName>
    <definedName name="OSRRefT13x_0" localSheetId="68">'322'!$T$13:$T$14</definedName>
    <definedName name="OSRRefT13x_0" localSheetId="69">'324'!$T$13:$T$15</definedName>
    <definedName name="OSRRefT13x_0" localSheetId="70">'325'!$T$13:$T$14</definedName>
    <definedName name="OSRRefT13x_0" localSheetId="71">'326'!$T$13:$T$38</definedName>
    <definedName name="OSRRefT13x_0" localSheetId="72">'327'!$T$13</definedName>
    <definedName name="OSRRefT13x_0" localSheetId="52">'330'!$T$13:$T$54</definedName>
    <definedName name="OSRRefT13x_0" localSheetId="57">'331'!$T$13:$T$55</definedName>
    <definedName name="OSRRefT13x_0" localSheetId="59">'332'!$T$13:$T$32</definedName>
    <definedName name="OSRRefT13x_0" localSheetId="76">'405'!$T$13:$T$14</definedName>
    <definedName name="OSRRefT13x_0" localSheetId="77">'406'!$T$13:$T$14</definedName>
    <definedName name="OSRRefT13x_0" localSheetId="79">'412'!$T$13:$T$14</definedName>
    <definedName name="OSRRefT13x_0" localSheetId="80">'413'!$T$13:$T$14</definedName>
    <definedName name="OSRRefT13x_0" localSheetId="81">'414'!$T$13:$T$14</definedName>
    <definedName name="OSRRefT13x_0" localSheetId="82">'415'!$T$13:$T$14</definedName>
    <definedName name="OSRRefT13x_0" localSheetId="83">'418'!$T$13:$T$14</definedName>
    <definedName name="OSRRefT13x_0" localSheetId="84">'420'!$T$13:$T$14</definedName>
    <definedName name="OSRRefT13x_0" localSheetId="86">'424'!$T$13:$T$14</definedName>
    <definedName name="OSRRefT13x_0" localSheetId="87">'425'!$T$13:$T$17</definedName>
    <definedName name="OSRRefT13x_0" localSheetId="91">'433'!$T$13:$T$16</definedName>
    <definedName name="OSRRefT13x_0" localSheetId="92">'435'!$T$13:$T$15</definedName>
    <definedName name="OSRRefT13x_0" localSheetId="93">'444'!$T$13:$T$15</definedName>
    <definedName name="OSRRefT13x_0" localSheetId="94">'450'!$T$13:$T$15</definedName>
    <definedName name="OSRRefT13x_0" localSheetId="75">'491'!$T$13:$T$22</definedName>
    <definedName name="OSRRefT13x_0" localSheetId="89">'492'!$T$13:$T$18</definedName>
    <definedName name="OSRRefT13x_0" localSheetId="96">'501'!$T$13</definedName>
    <definedName name="OSRRefT13x_0" localSheetId="47">'Div 3'!$T$13:$T$115</definedName>
    <definedName name="OSRRefT13x_0" localSheetId="73">'Div 4'!$T$13:$T$23</definedName>
    <definedName name="OSRRefT13x_0" localSheetId="95">'Div 5'!$T$13</definedName>
    <definedName name="OSRRefT13x_0" localSheetId="62">'Div 6'!$T$13:$T$37</definedName>
    <definedName name="OSRRefT13x_0" localSheetId="2">Summary!$T$13:$T$141</definedName>
    <definedName name="OSRRefT16x_0" localSheetId="48">'300'!$T$115:$T$165</definedName>
    <definedName name="OSRRefT16x_0" localSheetId="49">'300 &amp; 317'!$T$133:$T$191</definedName>
    <definedName name="OSRRefT16x_0" localSheetId="50">'301'!$T$15</definedName>
    <definedName name="OSRRefT16x_0" localSheetId="53">'307'!$T$52:$T$73</definedName>
    <definedName name="OSRRefT16x_0" localSheetId="55">'308'!$T$46:$T$62</definedName>
    <definedName name="OSRRefT16x_0" localSheetId="65">'309'!$T$17:$T$18</definedName>
    <definedName name="OSRRefT16x_0" localSheetId="64">'310'!$T$25:$T$26</definedName>
    <definedName name="OSRRefT16x_0" localSheetId="74">'310 &amp; 491'!$T$32:$T$33</definedName>
    <definedName name="OSRRefT16x_0" localSheetId="56">'311'!$T$45:$T$61</definedName>
    <definedName name="OSRRefT16x_0" localSheetId="66">'313'!$T$22:$T$23</definedName>
    <definedName name="OSRRefT16x_0" localSheetId="54">'314'!$T$37:$T$51</definedName>
    <definedName name="OSRRefT16x_0" localSheetId="58">'315'!$T$54:$T$78</definedName>
    <definedName name="OSRRefT16x_0" localSheetId="63">'317'!$T$40:$T$55</definedName>
    <definedName name="OSRRefT16x_0" localSheetId="61">'320'!$T$19:$T$23</definedName>
    <definedName name="OSRRefT16x_0" localSheetId="67">'321'!$T$17:$T$18</definedName>
    <definedName name="OSRRefT16x_0" localSheetId="68">'322'!$T$17:$T$18</definedName>
    <definedName name="OSRRefT16x_0" localSheetId="69">'324'!$T$18:$T$19</definedName>
    <definedName name="OSRRefT16x_0" localSheetId="70">'325'!$T$17:$T$18</definedName>
    <definedName name="OSRRefT16x_0" localSheetId="71">'326'!$T$41:$T$59</definedName>
    <definedName name="OSRRefT16x_0" localSheetId="72">'327'!$T$16:$T$17</definedName>
    <definedName name="OSRRefT16x_0" localSheetId="52">'330'!$T$57:$T$81</definedName>
    <definedName name="OSRRefT16x_0" localSheetId="57">'331'!$T$58:$T$87</definedName>
    <definedName name="OSRRefT16x_0" localSheetId="59">'332'!$T$35:$T$39</definedName>
    <definedName name="OSRRefT16x_0" localSheetId="76">'405'!$T$17:$T$18</definedName>
    <definedName name="OSRRefT16x_0" localSheetId="77">'406'!$T$17:$T$18</definedName>
    <definedName name="OSRRefT16x_0" localSheetId="79">'412'!$T$17:$T$18</definedName>
    <definedName name="OSRRefT16x_0" localSheetId="80">'413'!$T$17:$T$18</definedName>
    <definedName name="OSRRefT16x_0" localSheetId="81">'414'!$T$17:$T$18</definedName>
    <definedName name="OSRRefT16x_0" localSheetId="82">'415'!$T$17:$T$18</definedName>
    <definedName name="OSRRefT16x_0" localSheetId="83">'418'!$T$17:$T$18</definedName>
    <definedName name="OSRRefT16x_0" localSheetId="84">'420'!$T$17:$T$18</definedName>
    <definedName name="OSRRefT16x_0" localSheetId="85">'423'!$T$15</definedName>
    <definedName name="OSRRefT16x_0" localSheetId="86">'424'!$T$17:$T$18</definedName>
    <definedName name="OSRRefT16x_0" localSheetId="87">'425'!$T$20:$T$21</definedName>
    <definedName name="OSRRefT16x_0" localSheetId="91">'433'!$T$19:$T$20</definedName>
    <definedName name="OSRRefT16x_0" localSheetId="92">'435'!$T$18:$T$19</definedName>
    <definedName name="OSRRefT16x_0" localSheetId="93">'444'!$T$18:$T$19</definedName>
    <definedName name="OSRRefT16x_0" localSheetId="94">'450'!$T$18:$T$19</definedName>
    <definedName name="OSRRefT16x_0" localSheetId="75">'491'!$T$25:$T$26</definedName>
    <definedName name="OSRRefT16x_0" localSheetId="89">'492'!$T$21:$T$22</definedName>
    <definedName name="OSRRefT16x_0" localSheetId="47">'Div 3'!$T$118:$T$170</definedName>
    <definedName name="OSRRefT16x_0" localSheetId="73">'Div 4'!$T$26:$T$27</definedName>
    <definedName name="OSRRefT16x_0" localSheetId="62">'Div 6'!$T$40:$T$55</definedName>
    <definedName name="OSRRefT16x_0" localSheetId="2">Summary!$T$144:$T$204</definedName>
    <definedName name="OSRRefT22_0x_0" localSheetId="40">'200'!$T$20:$T$21</definedName>
    <definedName name="OSRRefT22_0x_0" localSheetId="41">'201'!$T$20:$T$27</definedName>
    <definedName name="OSRRefT22_0x_0" localSheetId="42">'202'!$T$20:$T$27</definedName>
    <definedName name="OSRRefT22_0x_0" localSheetId="43">'203'!$T$20:$T$29</definedName>
    <definedName name="OSRRefT22_0x_0" localSheetId="44">'204'!$T$20:$T$29</definedName>
    <definedName name="OSRRefT22_0x_0" localSheetId="45">'205'!$T$20:$T$27</definedName>
    <definedName name="OSRRefT22_0x_0" localSheetId="46">'206'!$T$20:$T$27</definedName>
    <definedName name="OSRRefT22_0x_0" localSheetId="48">'300'!$T$171:$T$180</definedName>
    <definedName name="OSRRefT22_0x_0" localSheetId="49">'300 &amp; 317'!$T$197:$T$206</definedName>
    <definedName name="OSRRefT22_0x_0" localSheetId="50">'301'!$T$21:$T$30</definedName>
    <definedName name="OSRRefT22_0x_0" localSheetId="51">'306'!$T$20:$T$28</definedName>
    <definedName name="OSRRefT22_0x_0" localSheetId="53">'307'!$T$79:$T$86</definedName>
    <definedName name="OSRRefT22_0x_0" localSheetId="55">'308'!$T$68:$T$76</definedName>
    <definedName name="OSRRefT22_0x_0" localSheetId="65">'309'!$T$24:$T$31</definedName>
    <definedName name="OSRRefT22_0x_0" localSheetId="64">'310'!$T$32:$T$39</definedName>
    <definedName name="OSRRefT22_0x_0" localSheetId="74">'310 &amp; 491'!$T$39:$T$47</definedName>
    <definedName name="OSRRefT22_0x_0" localSheetId="56">'311'!$T$67:$T$75</definedName>
    <definedName name="OSRRefT22_0x_0" localSheetId="66">'313'!$T$29:$T$36</definedName>
    <definedName name="OSRRefT22_0x_0" localSheetId="54">'314'!$T$57:$T$65</definedName>
    <definedName name="OSRRefT22_0x_0" localSheetId="58">'315'!$T$84:$T$91</definedName>
    <definedName name="OSRRefT22_0x_0" localSheetId="60">'316'!$T$37:$T$44</definedName>
    <definedName name="OSRRefT22_0x_0" localSheetId="63">'317'!$T$61:$T$69</definedName>
    <definedName name="OSRRefT22_0x_0" localSheetId="61">'320'!$T$29:$T$35</definedName>
    <definedName name="OSRRefT22_0x_0" localSheetId="67">'321'!$T$24:$T$31</definedName>
    <definedName name="OSRRefT22_0x_0" localSheetId="68">'322'!$T$24:$T$31</definedName>
    <definedName name="OSRRefT22_0x_0" localSheetId="70">'325'!$T$24:$T$31</definedName>
    <definedName name="OSRRefT22_0x_0" localSheetId="71">'326'!$T$65:$T$72</definedName>
    <definedName name="OSRRefT22_0x_0" localSheetId="72">'327'!$T$23</definedName>
    <definedName name="OSRRefT22_0x_0" localSheetId="52">'330'!$T$87:$T$95</definedName>
    <definedName name="OSRRefT22_0x_0" localSheetId="57">'331'!$T$93:$T$100</definedName>
    <definedName name="OSRRefT22_0x_0" localSheetId="59">'332'!$T$45:$T$52</definedName>
    <definedName name="OSRRefT22_0x_0" localSheetId="76">'405'!$T$24:$T$31</definedName>
    <definedName name="OSRRefT22_0x_0" localSheetId="77">'406'!$T$24:$T$31</definedName>
    <definedName name="OSRRefT22_0x_0" localSheetId="78">'411'!$T$20:$T$28</definedName>
    <definedName name="OSRRefT22_0x_0" localSheetId="79">'412'!$T$24:$T$31</definedName>
    <definedName name="OSRRefT22_0x_0" localSheetId="80">'413'!$T$24:$T$31</definedName>
    <definedName name="OSRRefT22_0x_0" localSheetId="81">'414'!$T$24:$T$31</definedName>
    <definedName name="OSRRefT22_0x_0" localSheetId="82">'415'!$T$24:$T$31</definedName>
    <definedName name="OSRRefT22_0x_0" localSheetId="83">'418'!$T$24:$T$31</definedName>
    <definedName name="OSRRefT22_0x_0" localSheetId="84">'420'!$T$24:$T$31</definedName>
    <definedName name="OSRRefT22_0x_0" localSheetId="85">'423'!$T$21:$T$28</definedName>
    <definedName name="OSRRefT22_0x_0" localSheetId="86">'424'!$T$24:$T$25</definedName>
    <definedName name="OSRRefT22_0x_0" localSheetId="87">'425'!$T$27:$T$35</definedName>
    <definedName name="OSRRefT22_0x_0" localSheetId="90">'430'!$T$20:$T$27</definedName>
    <definedName name="OSRRefT22_0x_0" localSheetId="91">'433'!$T$26:$T$34</definedName>
    <definedName name="OSRRefT22_0x_0" localSheetId="92">'435'!$T$25:$T$27</definedName>
    <definedName name="OSRRefT22_0x_0" localSheetId="93">'444'!$T$25:$T$33</definedName>
    <definedName name="OSRRefT22_0x_0" localSheetId="94">'450'!$T$25:$T$33</definedName>
    <definedName name="OSRRefT22_0x_0" localSheetId="88">'455'!$T$20:$T$26</definedName>
    <definedName name="OSRRefT22_0x_0" localSheetId="75">'491'!$T$32:$T$40</definedName>
    <definedName name="OSRRefT22_0x_0" localSheetId="89">'492'!$T$28:$T$36</definedName>
    <definedName name="OSRRefT22_0x_0" localSheetId="96">'501'!$T$21:$T$29</definedName>
    <definedName name="OSRRefT22_0x_0" localSheetId="39">'Div 2'!$T$20:$T$30</definedName>
    <definedName name="OSRRefT22_0x_0" localSheetId="47">'Div 3'!$T$176:$T$185</definedName>
    <definedName name="OSRRefT22_0x_0" localSheetId="73">'Div 4'!$T$33:$T$41</definedName>
    <definedName name="OSRRefT22_0x_0" localSheetId="95">'Div 5'!$T$21:$T$29</definedName>
    <definedName name="OSRRefT22_0x_0" localSheetId="62">'Div 6'!$T$61:$T$69</definedName>
    <definedName name="OSRRefT22_0x_0" localSheetId="2">Summary!$T$210:$T$219</definedName>
    <definedName name="OSRRefT22_10x_0" localSheetId="41">'201'!$T$51:$T$53</definedName>
    <definedName name="OSRRefT22_10x_0" localSheetId="42">'202'!$T$54</definedName>
    <definedName name="OSRRefT22_10x_0" localSheetId="43">'203'!$T$55:$T$56</definedName>
    <definedName name="OSRRefT22_10x_0" localSheetId="44">'204'!$T$56:$T$57</definedName>
    <definedName name="OSRRefT22_10x_0" localSheetId="48">'300'!$T$210:$T$211</definedName>
    <definedName name="OSRRefT22_10x_0" localSheetId="49">'300 &amp; 317'!$T$236:$T$237</definedName>
    <definedName name="OSRRefT22_10x_0" localSheetId="50">'301'!$T$60</definedName>
    <definedName name="OSRRefT22_10x_0" localSheetId="53">'307'!$T$131:$T$134</definedName>
    <definedName name="OSRRefT22_10x_0" localSheetId="55">'308'!$T$114:$T$115</definedName>
    <definedName name="OSRRefT22_10x_0" localSheetId="65">'309'!$T$56:$T$58</definedName>
    <definedName name="OSRRefT22_10x_0" localSheetId="64">'310'!$T$65</definedName>
    <definedName name="OSRRefT22_10x_0" localSheetId="74">'310 &amp; 491'!$T$75:$T$76</definedName>
    <definedName name="OSRRefT22_10x_0" localSheetId="56">'311'!$T$113:$T$114</definedName>
    <definedName name="OSRRefT22_10x_0" localSheetId="66">'313'!$T$63:$T$68</definedName>
    <definedName name="OSRRefT22_10x_0" localSheetId="58">'315'!$T$125:$T$126</definedName>
    <definedName name="OSRRefT22_10x_0" localSheetId="60">'316'!$T$70</definedName>
    <definedName name="OSRRefT22_10x_0" localSheetId="63">'317'!$T$103:$T$107</definedName>
    <definedName name="OSRRefT22_10x_0" localSheetId="67">'321'!$T$59:$T$63</definedName>
    <definedName name="OSRRefT22_10x_0" localSheetId="68">'322'!$T$58:$T$64</definedName>
    <definedName name="OSRRefT22_10x_0" localSheetId="70">'325'!$T$56</definedName>
    <definedName name="OSRRefT22_10x_0" localSheetId="71">'326'!$T$110</definedName>
    <definedName name="OSRRefT22_10x_0" localSheetId="52">'330'!$T$141:$T$142</definedName>
    <definedName name="OSRRefT22_10x_0" localSheetId="57">'331'!$T$127:$T$139</definedName>
    <definedName name="OSRRefT22_10x_0" localSheetId="59">'332'!$T$81</definedName>
    <definedName name="OSRRefT22_10x_0" localSheetId="76">'405'!$T$55:$T$56</definedName>
    <definedName name="OSRRefT22_10x_0" localSheetId="77">'406'!$T$58:$T$59</definedName>
    <definedName name="OSRRefT22_10x_0" localSheetId="78">'411'!$T$55</definedName>
    <definedName name="OSRRefT22_10x_0" localSheetId="79">'412'!$T$58:$T$60</definedName>
    <definedName name="OSRRefT22_10x_0" localSheetId="80">'413'!$T$64</definedName>
    <definedName name="OSRRefT22_10x_0" localSheetId="81">'414'!$T$57</definedName>
    <definedName name="OSRRefT22_10x_0" localSheetId="82">'415'!$T$57</definedName>
    <definedName name="OSRRefT22_10x_0" localSheetId="83">'418'!$T$57:$T$58</definedName>
    <definedName name="OSRRefT22_10x_0" localSheetId="86">'424'!$T$50</definedName>
    <definedName name="OSRRefT22_10x_0" localSheetId="87">'425'!$T$62</definedName>
    <definedName name="OSRRefT22_10x_0" localSheetId="91">'433'!$T$59</definedName>
    <definedName name="OSRRefT22_10x_0" localSheetId="93">'444'!$T$58</definedName>
    <definedName name="OSRRefT22_10x_0" localSheetId="94">'450'!$T$58</definedName>
    <definedName name="OSRRefT22_10x_0" localSheetId="75">'491'!$T$68</definedName>
    <definedName name="OSRRefT22_10x_0" localSheetId="89">'492'!$T$62</definedName>
    <definedName name="OSRRefT22_10x_0" localSheetId="96">'501'!$T$56</definedName>
    <definedName name="OSRRefT22_10x_0" localSheetId="39">'Div 2'!$T$57</definedName>
    <definedName name="OSRRefT22_10x_0" localSheetId="47">'Div 3'!$T$215:$T$216</definedName>
    <definedName name="OSRRefT22_10x_0" localSheetId="73">'Div 4'!$T$69</definedName>
    <definedName name="OSRRefT22_10x_0" localSheetId="95">'Div 5'!$T$56</definedName>
    <definedName name="OSRRefT22_10x_0" localSheetId="62">'Div 6'!$T$103:$T$107</definedName>
    <definedName name="OSRRefT22_10x_0" localSheetId="2">Summary!$T$250:$T$251</definedName>
    <definedName name="OSRRefT22_11x_0" localSheetId="41">'201'!$T$55</definedName>
    <definedName name="OSRRefT22_11x_0" localSheetId="42">'202'!$T$56</definedName>
    <definedName name="OSRRefT22_11x_0" localSheetId="43">'203'!$T$58</definedName>
    <definedName name="OSRRefT22_11x_0" localSheetId="48">'300'!$T$213</definedName>
    <definedName name="OSRRefT22_11x_0" localSheetId="49">'300 &amp; 317'!$T$239</definedName>
    <definedName name="OSRRefT22_11x_0" localSheetId="50">'301'!$T$62</definedName>
    <definedName name="OSRRefT22_11x_0" localSheetId="53">'307'!$T$136</definedName>
    <definedName name="OSRRefT22_11x_0" localSheetId="55">'308'!$T$117:$T$119</definedName>
    <definedName name="OSRRefT22_11x_0" localSheetId="65">'309'!$T$60:$T$62</definedName>
    <definedName name="OSRRefT22_11x_0" localSheetId="64">'310'!$T$67</definedName>
    <definedName name="OSRRefT22_11x_0" localSheetId="74">'310 &amp; 491'!$T$78:$T$79</definedName>
    <definedName name="OSRRefT22_11x_0" localSheetId="56">'311'!$T$116:$T$118</definedName>
    <definedName name="OSRRefT22_11x_0" localSheetId="66">'313'!$T$70</definedName>
    <definedName name="OSRRefT22_11x_0" localSheetId="58">'315'!$T$128:$T$132</definedName>
    <definedName name="OSRRefT22_11x_0" localSheetId="60">'316'!$T$72:$T$77</definedName>
    <definedName name="OSRRefT22_11x_0" localSheetId="63">'317'!$T$109</definedName>
    <definedName name="OSRRefT22_11x_0" localSheetId="67">'321'!$T$65</definedName>
    <definedName name="OSRRefT22_11x_0" localSheetId="68">'322'!$T$66</definedName>
    <definedName name="OSRRefT22_11x_0" localSheetId="70">'325'!$T$58:$T$60</definedName>
    <definedName name="OSRRefT22_11x_0" localSheetId="71">'326'!$T$112</definedName>
    <definedName name="OSRRefT22_11x_0" localSheetId="52">'330'!$T$144</definedName>
    <definedName name="OSRRefT22_11x_0" localSheetId="57">'331'!$T$141</definedName>
    <definedName name="OSRRefT22_11x_0" localSheetId="59">'332'!$T$83</definedName>
    <definedName name="OSRRefT22_11x_0" localSheetId="76">'405'!$T$58</definedName>
    <definedName name="OSRRefT22_11x_0" localSheetId="77">'406'!$T$61:$T$66</definedName>
    <definedName name="OSRRefT22_11x_0" localSheetId="78">'411'!$T$57</definedName>
    <definedName name="OSRRefT22_11x_0" localSheetId="79">'412'!$T$62:$T$67</definedName>
    <definedName name="OSRRefT22_11x_0" localSheetId="80">'413'!$T$66</definedName>
    <definedName name="OSRRefT22_11x_0" localSheetId="81">'414'!$T$59</definedName>
    <definedName name="OSRRefT22_11x_0" localSheetId="82">'415'!$T$59:$T$62</definedName>
    <definedName name="OSRRefT22_11x_0" localSheetId="83">'418'!$T$60:$T$62</definedName>
    <definedName name="OSRRefT22_11x_0" localSheetId="86">'424'!$T$52:$T$56</definedName>
    <definedName name="OSRRefT22_11x_0" localSheetId="87">'425'!$T$64:$T$66</definedName>
    <definedName name="OSRRefT22_11x_0" localSheetId="91">'433'!$T$61:$T$63</definedName>
    <definedName name="OSRRefT22_11x_0" localSheetId="93">'444'!$T$60:$T$62</definedName>
    <definedName name="OSRRefT22_11x_0" localSheetId="94">'450'!$T$60</definedName>
    <definedName name="OSRRefT22_11x_0" localSheetId="75">'491'!$T$70:$T$71</definedName>
    <definedName name="OSRRefT22_11x_0" localSheetId="89">'492'!$T$64</definedName>
    <definedName name="OSRRefT22_11x_0" localSheetId="96">'501'!$T$58:$T$60</definedName>
    <definedName name="OSRRefT22_11x_0" localSheetId="39">'Div 2'!$T$59</definedName>
    <definedName name="OSRRefT22_11x_0" localSheetId="47">'Div 3'!$T$218</definedName>
    <definedName name="OSRRefT22_11x_0" localSheetId="73">'Div 4'!$T$71:$T$72</definedName>
    <definedName name="OSRRefT22_11x_0" localSheetId="95">'Div 5'!$T$58:$T$60</definedName>
    <definedName name="OSRRefT22_11x_0" localSheetId="62">'Div 6'!$T$109</definedName>
    <definedName name="OSRRefT22_11x_0" localSheetId="2">Summary!$T$253:$T$254</definedName>
    <definedName name="OSRRefT22_12x_0" localSheetId="41">'201'!$T$57:$T$60</definedName>
    <definedName name="OSRRefT22_12x_0" localSheetId="42">'202'!$T$58:$T$60</definedName>
    <definedName name="OSRRefT22_12x_0" localSheetId="43">'203'!$T$60:$T$64</definedName>
    <definedName name="OSRRefT22_12x_0" localSheetId="48">'300'!$T$215</definedName>
    <definedName name="OSRRefT22_12x_0" localSheetId="49">'300 &amp; 317'!$T$241</definedName>
    <definedName name="OSRRefT22_12x_0" localSheetId="50">'301'!$T$64</definedName>
    <definedName name="OSRRefT22_12x_0" localSheetId="53">'307'!$T$138</definedName>
    <definedName name="OSRRefT22_12x_0" localSheetId="55">'308'!$T$121:$T$122</definedName>
    <definedName name="OSRRefT22_12x_0" localSheetId="65">'309'!$T$64</definedName>
    <definedName name="OSRRefT22_12x_0" localSheetId="64">'310'!$T$69</definedName>
    <definedName name="OSRRefT22_12x_0" localSheetId="74">'310 &amp; 491'!$T$81</definedName>
    <definedName name="OSRRefT22_12x_0" localSheetId="56">'311'!$T$120:$T$121</definedName>
    <definedName name="OSRRefT22_12x_0" localSheetId="66">'313'!$T$72</definedName>
    <definedName name="OSRRefT22_12x_0" localSheetId="58">'315'!$T$134</definedName>
    <definedName name="OSRRefT22_12x_0" localSheetId="60">'316'!$T$79</definedName>
    <definedName name="OSRRefT22_12x_0" localSheetId="63">'317'!$T$111</definedName>
    <definedName name="OSRRefT22_12x_0" localSheetId="67">'321'!$T$67</definedName>
    <definedName name="OSRRefT22_12x_0" localSheetId="68">'322'!$T$68</definedName>
    <definedName name="OSRRefT22_12x_0" localSheetId="70">'325'!$T$62:$T$65</definedName>
    <definedName name="OSRRefT22_12x_0" localSheetId="71">'326'!$T$114:$T$116</definedName>
    <definedName name="OSRRefT22_12x_0" localSheetId="52">'330'!$T$146:$T$149</definedName>
    <definedName name="OSRRefT22_12x_0" localSheetId="57">'331'!$T$143</definedName>
    <definedName name="OSRRefT22_12x_0" localSheetId="59">'332'!$T$85:$T$90</definedName>
    <definedName name="OSRRefT22_12x_0" localSheetId="76">'405'!$T$60:$T$62</definedName>
    <definedName name="OSRRefT22_12x_0" localSheetId="77">'406'!$T$68</definedName>
    <definedName name="OSRRefT22_12x_0" localSheetId="78">'411'!$T$59:$T$62</definedName>
    <definedName name="OSRRefT22_12x_0" localSheetId="79">'412'!$T$69</definedName>
    <definedName name="OSRRefT22_12x_0" localSheetId="81">'414'!$T$61</definedName>
    <definedName name="OSRRefT22_12x_0" localSheetId="82">'415'!$T$64:$T$68</definedName>
    <definedName name="OSRRefT22_12x_0" localSheetId="83">'418'!$T$64:$T$66</definedName>
    <definedName name="OSRRefT22_12x_0" localSheetId="86">'424'!$T$58</definedName>
    <definedName name="OSRRefT22_12x_0" localSheetId="87">'425'!$T$68:$T$74</definedName>
    <definedName name="OSRRefT22_12x_0" localSheetId="91">'433'!$T$65:$T$67</definedName>
    <definedName name="OSRRefT22_12x_0" localSheetId="93">'444'!$T$64:$T$67</definedName>
    <definedName name="OSRRefT22_12x_0" localSheetId="94">'450'!$T$62:$T$63</definedName>
    <definedName name="OSRRefT22_12x_0" localSheetId="75">'491'!$T$73</definedName>
    <definedName name="OSRRefT22_12x_0" localSheetId="89">'492'!$T$66:$T$68</definedName>
    <definedName name="OSRRefT22_12x_0" localSheetId="96">'501'!$T$62</definedName>
    <definedName name="OSRRefT22_12x_0" localSheetId="39">'Div 2'!$T$61:$T$64</definedName>
    <definedName name="OSRRefT22_12x_0" localSheetId="47">'Div 3'!$T$220</definedName>
    <definedName name="OSRRefT22_12x_0" localSheetId="73">'Div 4'!$T$74</definedName>
    <definedName name="OSRRefT22_12x_0" localSheetId="95">'Div 5'!$T$62</definedName>
    <definedName name="OSRRefT22_12x_0" localSheetId="62">'Div 6'!$T$111</definedName>
    <definedName name="OSRRefT22_12x_0" localSheetId="2">Summary!$T$256</definedName>
    <definedName name="OSRRefT22_13x_0" localSheetId="41">'201'!$T$62</definedName>
    <definedName name="OSRRefT22_13x_0" localSheetId="42">'202'!$T$62</definedName>
    <definedName name="OSRRefT22_13x_0" localSheetId="43">'203'!$T$66</definedName>
    <definedName name="OSRRefT22_13x_0" localSheetId="48">'300'!$T$217:$T$250</definedName>
    <definedName name="OSRRefT22_13x_0" localSheetId="49">'300 &amp; 317'!$T$243:$T$279</definedName>
    <definedName name="OSRRefT22_13x_0" localSheetId="50">'301'!$T$66</definedName>
    <definedName name="OSRRefT22_13x_0" localSheetId="55">'308'!$T$124</definedName>
    <definedName name="OSRRefT22_13x_0" localSheetId="64">'310'!$T$71</definedName>
    <definedName name="OSRRefT22_13x_0" localSheetId="74">'310 &amp; 491'!$T$83</definedName>
    <definedName name="OSRRefT22_13x_0" localSheetId="56">'311'!$T$123</definedName>
    <definedName name="OSRRefT22_13x_0" localSheetId="58">'315'!$T$136</definedName>
    <definedName name="OSRRefT22_13x_0" localSheetId="60">'316'!$T$81</definedName>
    <definedName name="OSRRefT22_13x_0" localSheetId="63">'317'!$T$113</definedName>
    <definedName name="OSRRefT22_13x_0" localSheetId="68">'322'!$T$70</definedName>
    <definedName name="OSRRefT22_13x_0" localSheetId="70">'325'!$T$67</definedName>
    <definedName name="OSRRefT22_13x_0" localSheetId="71">'326'!$T$118:$T$120</definedName>
    <definedName name="OSRRefT22_13x_0" localSheetId="52">'330'!$T$151</definedName>
    <definedName name="OSRRefT22_13x_0" localSheetId="57">'331'!$T$145:$T$147</definedName>
    <definedName name="OSRRefT22_13x_0" localSheetId="59">'332'!$T$92</definedName>
    <definedName name="OSRRefT22_13x_0" localSheetId="76">'405'!$T$64:$T$65</definedName>
    <definedName name="OSRRefT22_13x_0" localSheetId="77">'406'!$T$70</definedName>
    <definedName name="OSRRefT22_13x_0" localSheetId="78">'411'!$T$64:$T$68</definedName>
    <definedName name="OSRRefT22_13x_0" localSheetId="79">'412'!$T$71</definedName>
    <definedName name="OSRRefT22_13x_0" localSheetId="81">'414'!$T$63:$T$69</definedName>
    <definedName name="OSRRefT22_13x_0" localSheetId="82">'415'!$T$70:$T$71</definedName>
    <definedName name="OSRRefT22_13x_0" localSheetId="83">'418'!$T$68:$T$69</definedName>
    <definedName name="OSRRefT22_13x_0" localSheetId="87">'425'!$T$76</definedName>
    <definedName name="OSRRefT22_13x_0" localSheetId="91">'433'!$T$69:$T$76</definedName>
    <definedName name="OSRRefT22_13x_0" localSheetId="93">'444'!$T$69</definedName>
    <definedName name="OSRRefT22_13x_0" localSheetId="94">'450'!$T$65:$T$67</definedName>
    <definedName name="OSRRefT22_13x_0" localSheetId="75">'491'!$T$75</definedName>
    <definedName name="OSRRefT22_13x_0" localSheetId="89">'492'!$T$70:$T$73</definedName>
    <definedName name="OSRRefT22_13x_0" localSheetId="96">'501'!$T$64</definedName>
    <definedName name="OSRRefT22_13x_0" localSheetId="39">'Div 2'!$T$66:$T$68</definedName>
    <definedName name="OSRRefT22_13x_0" localSheetId="47">'Div 3'!$T$222</definedName>
    <definedName name="OSRRefT22_13x_0" localSheetId="73">'Div 4'!$T$76</definedName>
    <definedName name="OSRRefT22_13x_0" localSheetId="95">'Div 5'!$T$64</definedName>
    <definedName name="OSRRefT22_13x_0" localSheetId="62">'Div 6'!$T$113</definedName>
    <definedName name="OSRRefT22_13x_0" localSheetId="2">Summary!$T$258</definedName>
    <definedName name="OSRRefT22_14x_0" localSheetId="41">'201'!$T$64</definedName>
    <definedName name="OSRRefT22_14x_0" localSheetId="42">'202'!$T$64</definedName>
    <definedName name="OSRRefT22_14x_0" localSheetId="43">'203'!$T$68</definedName>
    <definedName name="OSRRefT22_14x_0" localSheetId="48">'300'!$T$252</definedName>
    <definedName name="OSRRefT22_14x_0" localSheetId="49">'300 &amp; 317'!$T$281</definedName>
    <definedName name="OSRRefT22_14x_0" localSheetId="50">'301'!$T$68</definedName>
    <definedName name="OSRRefT22_14x_0" localSheetId="55">'308'!$T$126</definedName>
    <definedName name="OSRRefT22_14x_0" localSheetId="64">'310'!$T$73:$T$75</definedName>
    <definedName name="OSRRefT22_14x_0" localSheetId="74">'310 &amp; 491'!$T$85</definedName>
    <definedName name="OSRRefT22_14x_0" localSheetId="56">'311'!$T$125</definedName>
    <definedName name="OSRRefT22_14x_0" localSheetId="58">'315'!$T$138:$T$139</definedName>
    <definedName name="OSRRefT22_14x_0" localSheetId="60">'316'!$T$83</definedName>
    <definedName name="OSRRefT22_14x_0" localSheetId="70">'325'!$T$69:$T$73</definedName>
    <definedName name="OSRRefT22_14x_0" localSheetId="71">'326'!$T$122:$T$123</definedName>
    <definedName name="OSRRefT22_14x_0" localSheetId="52">'330'!$T$153</definedName>
    <definedName name="OSRRefT22_14x_0" localSheetId="57">'331'!$T$149:$T$150</definedName>
    <definedName name="OSRRefT22_14x_0" localSheetId="59">'332'!$T$94</definedName>
    <definedName name="OSRRefT22_14x_0" localSheetId="76">'405'!$T$67:$T$73</definedName>
    <definedName name="OSRRefT22_14x_0" localSheetId="77">'406'!$T$72</definedName>
    <definedName name="OSRRefT22_14x_0" localSheetId="78">'411'!$T$70:$T$71</definedName>
    <definedName name="OSRRefT22_14x_0" localSheetId="81">'414'!$T$71</definedName>
    <definedName name="OSRRefT22_14x_0" localSheetId="82">'415'!$T$73:$T$81</definedName>
    <definedName name="OSRRefT22_14x_0" localSheetId="83">'418'!$T$71:$T$78</definedName>
    <definedName name="OSRRefT22_14x_0" localSheetId="87">'425'!$T$78</definedName>
    <definedName name="OSRRefT22_14x_0" localSheetId="91">'433'!$T$78</definedName>
    <definedName name="OSRRefT22_14x_0" localSheetId="93">'444'!$T$71:$T$79</definedName>
    <definedName name="OSRRefT22_14x_0" localSheetId="94">'450'!$T$69:$T$74</definedName>
    <definedName name="OSRRefT22_14x_0" localSheetId="75">'491'!$T$77</definedName>
    <definedName name="OSRRefT22_14x_0" localSheetId="89">'492'!$T$75</definedName>
    <definedName name="OSRRefT22_14x_0" localSheetId="39">'Div 2'!$T$70:$T$71</definedName>
    <definedName name="OSRRefT22_14x_0" localSheetId="47">'Div 3'!$T$224:$T$257</definedName>
    <definedName name="OSRRefT22_14x_0" localSheetId="73">'Div 4'!$T$78</definedName>
    <definedName name="OSRRefT22_14x_0" localSheetId="2">Summary!$T$260:$T$296</definedName>
    <definedName name="OSRRefT22_15x_0" localSheetId="41">'201'!$T$66</definedName>
    <definedName name="OSRRefT22_15x_0" localSheetId="42">'202'!$T$66</definedName>
    <definedName name="OSRRefT22_15x_0" localSheetId="43">'203'!$T$70</definedName>
    <definedName name="OSRRefT22_15x_0" localSheetId="48">'300'!$T$254</definedName>
    <definedName name="OSRRefT22_15x_0" localSheetId="49">'300 &amp; 317'!$T$283</definedName>
    <definedName name="OSRRefT22_15x_0" localSheetId="50">'301'!$T$70</definedName>
    <definedName name="OSRRefT22_15x_0" localSheetId="64">'310'!$T$77</definedName>
    <definedName name="OSRRefT22_15x_0" localSheetId="74">'310 &amp; 491'!$T$87</definedName>
    <definedName name="OSRRefT22_15x_0" localSheetId="70">'325'!$T$75</definedName>
    <definedName name="OSRRefT22_15x_0" localSheetId="71">'326'!$T$125:$T$130</definedName>
    <definedName name="OSRRefT22_15x_0" localSheetId="52">'330'!$T$155</definedName>
    <definedName name="OSRRefT22_15x_0" localSheetId="57">'331'!$T$152:$T$154</definedName>
    <definedName name="OSRRefT22_15x_0" localSheetId="59">'332'!$T$96</definedName>
    <definedName name="OSRRefT22_15x_0" localSheetId="76">'405'!$T$75</definedName>
    <definedName name="OSRRefT22_15x_0" localSheetId="78">'411'!$T$73:$T$81</definedName>
    <definedName name="OSRRefT22_15x_0" localSheetId="81">'414'!$T$73</definedName>
    <definedName name="OSRRefT22_15x_0" localSheetId="82">'415'!$T$83</definedName>
    <definedName name="OSRRefT22_15x_0" localSheetId="83">'418'!$T$80</definedName>
    <definedName name="OSRRefT22_15x_0" localSheetId="91">'433'!$T$80</definedName>
    <definedName name="OSRRefT22_15x_0" localSheetId="93">'444'!$T$81</definedName>
    <definedName name="OSRRefT22_15x_0" localSheetId="94">'450'!$T$76</definedName>
    <definedName name="OSRRefT22_15x_0" localSheetId="75">'491'!$T$79</definedName>
    <definedName name="OSRRefT22_15x_0" localSheetId="89">'492'!$T$77:$T$85</definedName>
    <definedName name="OSRRefT22_15x_0" localSheetId="39">'Div 2'!$T$73</definedName>
    <definedName name="OSRRefT22_15x_0" localSheetId="47">'Div 3'!$T$259</definedName>
    <definedName name="OSRRefT22_15x_0" localSheetId="73">'Div 4'!$T$80</definedName>
    <definedName name="OSRRefT22_15x_0" localSheetId="2">Summary!$T$298</definedName>
    <definedName name="OSRRefT22_16x_0" localSheetId="48">'300'!$T$256:$T$259</definedName>
    <definedName name="OSRRefT22_16x_0" localSheetId="49">'300 &amp; 317'!$T$285:$T$288</definedName>
    <definedName name="OSRRefT22_16x_0" localSheetId="50">'301'!$T$72:$T$75</definedName>
    <definedName name="OSRRefT22_16x_0" localSheetId="64">'310'!$T$79:$T$82</definedName>
    <definedName name="OSRRefT22_16x_0" localSheetId="74">'310 &amp; 491'!$T$89:$T$92</definedName>
    <definedName name="OSRRefT22_16x_0" localSheetId="70">'325'!$T$77</definedName>
    <definedName name="OSRRefT22_16x_0" localSheetId="71">'326'!$T$132</definedName>
    <definedName name="OSRRefT22_16x_0" localSheetId="57">'331'!$T$156:$T$157</definedName>
    <definedName name="OSRRefT22_16x_0" localSheetId="76">'405'!$T$77</definedName>
    <definedName name="OSRRefT22_16x_0" localSheetId="78">'411'!$T$83</definedName>
    <definedName name="OSRRefT22_16x_0" localSheetId="82">'415'!$T$85</definedName>
    <definedName name="OSRRefT22_16x_0" localSheetId="83">'418'!$T$82</definedName>
    <definedName name="OSRRefT22_16x_0" localSheetId="91">'433'!$T$82</definedName>
    <definedName name="OSRRefT22_16x_0" localSheetId="93">'444'!$T$83</definedName>
    <definedName name="OSRRefT22_16x_0" localSheetId="94">'450'!$T$78</definedName>
    <definedName name="OSRRefT22_16x_0" localSheetId="75">'491'!$T$81:$T$84</definedName>
    <definedName name="OSRRefT22_16x_0" localSheetId="89">'492'!$T$87</definedName>
    <definedName name="OSRRefT22_16x_0" localSheetId="39">'Div 2'!$T$75:$T$80</definedName>
    <definedName name="OSRRefT22_16x_0" localSheetId="47">'Div 3'!$T$261</definedName>
    <definedName name="OSRRefT22_16x_0" localSheetId="73">'Div 4'!$T$82</definedName>
    <definedName name="OSRRefT22_16x_0" localSheetId="2">Summary!$T$300</definedName>
    <definedName name="OSRRefT22_17x_0" localSheetId="48">'300'!$T$261:$T$263</definedName>
    <definedName name="OSRRefT22_17x_0" localSheetId="49">'300 &amp; 317'!$T$290:$T$292</definedName>
    <definedName name="OSRRefT22_17x_0" localSheetId="50">'301'!$T$77:$T$79</definedName>
    <definedName name="OSRRefT22_17x_0" localSheetId="64">'310'!$T$84</definedName>
    <definedName name="OSRRefT22_17x_0" localSheetId="74">'310 &amp; 491'!$T$94:$T$95</definedName>
    <definedName name="OSRRefT22_17x_0" localSheetId="70">'325'!$T$79</definedName>
    <definedName name="OSRRefT22_17x_0" localSheetId="71">'326'!$T$134</definedName>
    <definedName name="OSRRefT22_17x_0" localSheetId="57">'331'!$T$159:$T$164</definedName>
    <definedName name="OSRRefT22_17x_0" localSheetId="76">'405'!$T$79</definedName>
    <definedName name="OSRRefT22_17x_0" localSheetId="78">'411'!$T$85</definedName>
    <definedName name="OSRRefT22_17x_0" localSheetId="82">'415'!$T$87</definedName>
    <definedName name="OSRRefT22_17x_0" localSheetId="93">'444'!$T$85:$T$86</definedName>
    <definedName name="OSRRefT22_17x_0" localSheetId="94">'450'!$T$80</definedName>
    <definedName name="OSRRefT22_17x_0" localSheetId="75">'491'!$T$86:$T$87</definedName>
    <definedName name="OSRRefT22_17x_0" localSheetId="89">'492'!$T$89</definedName>
    <definedName name="OSRRefT22_17x_0" localSheetId="39">'Div 2'!$T$82:$T$83</definedName>
    <definedName name="OSRRefT22_17x_0" localSheetId="47">'Div 3'!$T$263:$T$266</definedName>
    <definedName name="OSRRefT22_17x_0" localSheetId="73">'Div 4'!$T$84:$T$87</definedName>
    <definedName name="OSRRefT22_17x_0" localSheetId="2">Summary!$T$302</definedName>
    <definedName name="OSRRefT22_18x_0" localSheetId="48">'300'!$T$265:$T$268</definedName>
    <definedName name="OSRRefT22_18x_0" localSheetId="49">'300 &amp; 317'!$T$294:$T$297</definedName>
    <definedName name="OSRRefT22_18x_0" localSheetId="50">'301'!$T$81:$T$82</definedName>
    <definedName name="OSRRefT22_18x_0" localSheetId="64">'310'!$T$86:$T$94</definedName>
    <definedName name="OSRRefT22_18x_0" localSheetId="74">'310 &amp; 491'!$T$97:$T$101</definedName>
    <definedName name="OSRRefT22_18x_0" localSheetId="71">'326'!$T$136</definedName>
    <definedName name="OSRRefT22_18x_0" localSheetId="57">'331'!$T$166</definedName>
    <definedName name="OSRRefT22_18x_0" localSheetId="78">'411'!$T$87:$T$89</definedName>
    <definedName name="OSRRefT22_18x_0" localSheetId="75">'491'!$T$89:$T$93</definedName>
    <definedName name="OSRRefT22_18x_0" localSheetId="89">'492'!$T$91:$T$92</definedName>
    <definedName name="OSRRefT22_18x_0" localSheetId="39">'Div 2'!$T$85</definedName>
    <definedName name="OSRRefT22_18x_0" localSheetId="47">'Div 3'!$T$268:$T$270</definedName>
    <definedName name="OSRRefT22_18x_0" localSheetId="73">'Div 4'!$T$89:$T$90</definedName>
    <definedName name="OSRRefT22_18x_0" localSheetId="2">Summary!$T$304:$T$307</definedName>
    <definedName name="OSRRefT22_19x_0" localSheetId="48">'300'!$T$270:$T$271</definedName>
    <definedName name="OSRRefT22_19x_0" localSheetId="49">'300 &amp; 317'!$T$299:$T$300</definedName>
    <definedName name="OSRRefT22_19x_0" localSheetId="50">'301'!$T$84:$T$90</definedName>
    <definedName name="OSRRefT22_19x_0" localSheetId="64">'310'!$T$96</definedName>
    <definedName name="OSRRefT22_19x_0" localSheetId="74">'310 &amp; 491'!$T$103:$T$104</definedName>
    <definedName name="OSRRefT22_19x_0" localSheetId="71">'326'!$T$138</definedName>
    <definedName name="OSRRefT22_19x_0" localSheetId="57">'331'!$T$168</definedName>
    <definedName name="OSRRefT22_19x_0" localSheetId="78">'411'!$T$91</definedName>
    <definedName name="OSRRefT22_19x_0" localSheetId="75">'491'!$T$95:$T$96</definedName>
    <definedName name="OSRRefT22_19x_0" localSheetId="39">'Div 2'!$T$87:$T$88</definedName>
    <definedName name="OSRRefT22_19x_0" localSheetId="47">'Div 3'!$T$272:$T$276</definedName>
    <definedName name="OSRRefT22_19x_0" localSheetId="73">'Div 4'!$T$92:$T$96</definedName>
    <definedName name="OSRRefT22_19x_0" localSheetId="2">Summary!$T$309:$T$311</definedName>
    <definedName name="OSRRefT22_1x_0" localSheetId="40">'200'!$T$23</definedName>
    <definedName name="OSRRefT22_1x_0" localSheetId="41">'201'!$T$29:$T$31</definedName>
    <definedName name="OSRRefT22_1x_0" localSheetId="42">'202'!$T$29:$T$33</definedName>
    <definedName name="OSRRefT22_1x_0" localSheetId="43">'203'!$T$31:$T$35</definedName>
    <definedName name="OSRRefT22_1x_0" localSheetId="44">'204'!$T$31:$T$35</definedName>
    <definedName name="OSRRefT22_1x_0" localSheetId="45">'205'!$T$29</definedName>
    <definedName name="OSRRefT22_1x_0" localSheetId="46">'206'!$T$29:$T$32</definedName>
    <definedName name="OSRRefT22_1x_0" localSheetId="48">'300'!$T$182:$T$188</definedName>
    <definedName name="OSRRefT22_1x_0" localSheetId="49">'300 &amp; 317'!$T$208:$T$214</definedName>
    <definedName name="OSRRefT22_1x_0" localSheetId="50">'301'!$T$32:$T$38</definedName>
    <definedName name="OSRRefT22_1x_0" localSheetId="51">'306'!$T$30:$T$35</definedName>
    <definedName name="OSRRefT22_1x_0" localSheetId="53">'307'!$T$88:$T$91</definedName>
    <definedName name="OSRRefT22_1x_0" localSheetId="55">'308'!$T$78:$T$84</definedName>
    <definedName name="OSRRefT22_1x_0" localSheetId="65">'309'!$T$33:$T$37</definedName>
    <definedName name="OSRRefT22_1x_0" localSheetId="64">'310'!$T$41:$T$46</definedName>
    <definedName name="OSRRefT22_1x_0" localSheetId="74">'310 &amp; 491'!$T$49:$T$55</definedName>
    <definedName name="OSRRefT22_1x_0" localSheetId="56">'311'!$T$77:$T$83</definedName>
    <definedName name="OSRRefT22_1x_0" localSheetId="66">'313'!$T$38:$T$43</definedName>
    <definedName name="OSRRefT22_1x_0" localSheetId="54">'314'!$T$67:$T$69</definedName>
    <definedName name="OSRRefT22_1x_0" localSheetId="58">'315'!$T$93:$T$98</definedName>
    <definedName name="OSRRefT22_1x_0" localSheetId="60">'316'!$T$46:$T$49</definedName>
    <definedName name="OSRRefT22_1x_0" localSheetId="63">'317'!$T$71:$T$75</definedName>
    <definedName name="OSRRefT22_1x_0" localSheetId="61">'320'!$T$37:$T$41</definedName>
    <definedName name="OSRRefT22_1x_0" localSheetId="67">'321'!$T$33:$T$37</definedName>
    <definedName name="OSRRefT22_1x_0" localSheetId="68">'322'!$T$33:$T$37</definedName>
    <definedName name="OSRRefT22_1x_0" localSheetId="70">'325'!$T$33:$T$37</definedName>
    <definedName name="OSRRefT22_1x_0" localSheetId="71">'326'!$T$74:$T$79</definedName>
    <definedName name="OSRRefT22_1x_0" localSheetId="72">'327'!$T$25</definedName>
    <definedName name="OSRRefT22_1x_0" localSheetId="52">'330'!$T$97:$T$101</definedName>
    <definedName name="OSRRefT22_1x_0" localSheetId="57">'331'!$T$102:$T$107</definedName>
    <definedName name="OSRRefT22_1x_0" localSheetId="59">'332'!$T$54:$T$58</definedName>
    <definedName name="OSRRefT22_1x_0" localSheetId="76">'405'!$T$33:$T$36</definedName>
    <definedName name="OSRRefT22_1x_0" localSheetId="77">'406'!$T$33:$T$38</definedName>
    <definedName name="OSRRefT22_1x_0" localSheetId="78">'411'!$T$30:$T$35</definedName>
    <definedName name="OSRRefT22_1x_0" localSheetId="79">'412'!$T$33:$T$38</definedName>
    <definedName name="OSRRefT22_1x_0" localSheetId="80">'413'!$T$33:$T$37</definedName>
    <definedName name="OSRRefT22_1x_0" localSheetId="81">'414'!$T$33:$T$38</definedName>
    <definedName name="OSRRefT22_1x_0" localSheetId="82">'415'!$T$33:$T$38</definedName>
    <definedName name="OSRRefT22_1x_0" localSheetId="83">'418'!$T$33:$T$38</definedName>
    <definedName name="OSRRefT22_1x_0" localSheetId="84">'420'!$T$33:$T$36</definedName>
    <definedName name="OSRRefT22_1x_0" localSheetId="85">'423'!$T$30:$T$31</definedName>
    <definedName name="OSRRefT22_1x_0" localSheetId="86">'424'!$T$27:$T$31</definedName>
    <definedName name="OSRRefT22_1x_0" localSheetId="87">'425'!$T$37:$T$42</definedName>
    <definedName name="OSRRefT22_1x_0" localSheetId="90">'430'!$T$29</definedName>
    <definedName name="OSRRefT22_1x_0" localSheetId="91">'433'!$T$36:$T$41</definedName>
    <definedName name="OSRRefT22_1x_0" localSheetId="92">'435'!$T$29:$T$31</definedName>
    <definedName name="OSRRefT22_1x_0" localSheetId="93">'444'!$T$35:$T$40</definedName>
    <definedName name="OSRRefT22_1x_0" localSheetId="94">'450'!$T$35:$T$40</definedName>
    <definedName name="OSRRefT22_1x_0" localSheetId="88">'455'!$T$28:$T$29</definedName>
    <definedName name="OSRRefT22_1x_0" localSheetId="75">'491'!$T$42:$T$48</definedName>
    <definedName name="OSRRefT22_1x_0" localSheetId="89">'492'!$T$38:$T$44</definedName>
    <definedName name="OSRRefT22_1x_0" localSheetId="96">'501'!$T$31:$T$35</definedName>
    <definedName name="OSRRefT22_1x_0" localSheetId="39">'Div 2'!$T$32:$T$38</definedName>
    <definedName name="OSRRefT22_1x_0" localSheetId="47">'Div 3'!$T$187:$T$193</definedName>
    <definedName name="OSRRefT22_1x_0" localSheetId="73">'Div 4'!$T$43:$T$49</definedName>
    <definedName name="OSRRefT22_1x_0" localSheetId="95">'Div 5'!$T$31:$T$35</definedName>
    <definedName name="OSRRefT22_1x_0" localSheetId="62">'Div 6'!$T$71:$T$75</definedName>
    <definedName name="OSRRefT22_1x_0" localSheetId="2">Summary!$T$221:$T$227</definedName>
    <definedName name="OSRRefT22_20x_0" localSheetId="48">'300'!$T$273:$T$280</definedName>
    <definedName name="OSRRefT22_20x_0" localSheetId="49">'300 &amp; 317'!$T$302:$T$309</definedName>
    <definedName name="OSRRefT22_20x_0" localSheetId="50">'301'!$T$92</definedName>
    <definedName name="OSRRefT22_20x_0" localSheetId="64">'310'!$T$98</definedName>
    <definedName name="OSRRefT22_20x_0" localSheetId="74">'310 &amp; 491'!$T$106:$T$115</definedName>
    <definedName name="OSRRefT22_20x_0" localSheetId="57">'331'!$T$170:$T$171</definedName>
    <definedName name="OSRRefT22_20x_0" localSheetId="75">'491'!$T$98:$T$107</definedName>
    <definedName name="OSRRefT22_20x_0" localSheetId="47">'Div 3'!$T$278:$T$279</definedName>
    <definedName name="OSRRefT22_20x_0" localSheetId="73">'Div 4'!$T$98:$T$99</definedName>
    <definedName name="OSRRefT22_20x_0" localSheetId="2">Summary!$T$313:$T$317</definedName>
    <definedName name="OSRRefT22_21x_0" localSheetId="48">'300'!$T$282:$T$283</definedName>
    <definedName name="OSRRefT22_21x_0" localSheetId="49">'300 &amp; 317'!$T$311:$T$312</definedName>
    <definedName name="OSRRefT22_21x_0" localSheetId="50">'301'!$T$94</definedName>
    <definedName name="OSRRefT22_21x_0" localSheetId="64">'310'!$T$100</definedName>
    <definedName name="OSRRefT22_21x_0" localSheetId="74">'310 &amp; 491'!$T$117</definedName>
    <definedName name="OSRRefT22_21x_0" localSheetId="57">'331'!$T$173</definedName>
    <definedName name="OSRRefT22_21x_0" localSheetId="75">'491'!$T$109</definedName>
    <definedName name="OSRRefT22_21x_0" localSheetId="47">'Div 3'!$T$281:$T$289</definedName>
    <definedName name="OSRRefT22_21x_0" localSheetId="73">'Div 4'!$T$101:$T$110</definedName>
    <definedName name="OSRRefT22_21x_0" localSheetId="2">Summary!$T$319:$T$320</definedName>
    <definedName name="OSRRefT22_22x_0" localSheetId="48">'300'!$T$285</definedName>
    <definedName name="OSRRefT22_22x_0" localSheetId="49">'300 &amp; 317'!$T$314</definedName>
    <definedName name="OSRRefT22_22x_0" localSheetId="50">'301'!$T$96:$T$98</definedName>
    <definedName name="OSRRefT22_22x_0" localSheetId="64">'310'!$T$102</definedName>
    <definedName name="OSRRefT22_22x_0" localSheetId="74">'310 &amp; 491'!$T$119</definedName>
    <definedName name="OSRRefT22_22x_0" localSheetId="75">'491'!$T$111</definedName>
    <definedName name="OSRRefT22_22x_0" localSheetId="47">'Div 3'!$T$291:$T$292</definedName>
    <definedName name="OSRRefT22_22x_0" localSheetId="73">'Div 4'!$T$112</definedName>
    <definedName name="OSRRefT22_22x_0" localSheetId="2">Summary!$T$322:$T$331</definedName>
    <definedName name="OSRRefT22_23x_0" localSheetId="48">'300'!$T$287:$T$289</definedName>
    <definedName name="OSRRefT22_23x_0" localSheetId="49">'300 &amp; 317'!$T$316:$T$318</definedName>
    <definedName name="OSRRefT22_23x_0" localSheetId="50">'301'!$T$100</definedName>
    <definedName name="OSRRefT22_23x_0" localSheetId="74">'310 &amp; 491'!$T$121:$T$123</definedName>
    <definedName name="OSRRefT22_23x_0" localSheetId="75">'491'!$T$113:$T$115</definedName>
    <definedName name="OSRRefT22_23x_0" localSheetId="47">'Div 3'!$T$294</definedName>
    <definedName name="OSRRefT22_23x_0" localSheetId="73">'Div 4'!$T$114</definedName>
    <definedName name="OSRRefT22_23x_0" localSheetId="2">Summary!$T$333:$T$334</definedName>
    <definedName name="OSRRefT22_24x_0" localSheetId="48">'300'!$T$291</definedName>
    <definedName name="OSRRefT22_24x_0" localSheetId="49">'300 &amp; 317'!$T$320</definedName>
    <definedName name="OSRRefT22_24x_0" localSheetId="74">'310 &amp; 491'!$T$125</definedName>
    <definedName name="OSRRefT22_24x_0" localSheetId="75">'491'!$T$117</definedName>
    <definedName name="OSRRefT22_24x_0" localSheetId="47">'Div 3'!$T$296:$T$298</definedName>
    <definedName name="OSRRefT22_24x_0" localSheetId="73">'Div 4'!$T$116:$T$118</definedName>
    <definedName name="OSRRefT22_24x_0" localSheetId="2">Summary!$T$336</definedName>
    <definedName name="OSRRefT22_25x_0" localSheetId="47">'Div 3'!$T$300</definedName>
    <definedName name="OSRRefT22_25x_0" localSheetId="73">'Div 4'!$T$120</definedName>
    <definedName name="OSRRefT22_25x_0" localSheetId="2">Summary!$T$338:$T$340</definedName>
    <definedName name="OSRRefT22_26x_0" localSheetId="2">Summary!$T$342</definedName>
    <definedName name="OSRRefT22_2x_0" localSheetId="40">'200'!$T$25</definedName>
    <definedName name="OSRRefT22_2x_0" localSheetId="41">'201'!$T$33</definedName>
    <definedName name="OSRRefT22_2x_0" localSheetId="42">'202'!$T$35</definedName>
    <definedName name="OSRRefT22_2x_0" localSheetId="43">'203'!$T$37</definedName>
    <definedName name="OSRRefT22_2x_0" localSheetId="44">'204'!$T$37</definedName>
    <definedName name="OSRRefT22_2x_0" localSheetId="45">'205'!$T$31</definedName>
    <definedName name="OSRRefT22_2x_0" localSheetId="46">'206'!$T$34</definedName>
    <definedName name="OSRRefT22_2x_0" localSheetId="48">'300'!$T$190</definedName>
    <definedName name="OSRRefT22_2x_0" localSheetId="49">'300 &amp; 317'!$T$216</definedName>
    <definedName name="OSRRefT22_2x_0" localSheetId="50">'301'!$T$40</definedName>
    <definedName name="OSRRefT22_2x_0" localSheetId="51">'306'!$T$37</definedName>
    <definedName name="OSRRefT22_2x_0" localSheetId="53">'307'!$T$93</definedName>
    <definedName name="OSRRefT22_2x_0" localSheetId="55">'308'!$T$86</definedName>
    <definedName name="OSRRefT22_2x_0" localSheetId="65">'309'!$T$39</definedName>
    <definedName name="OSRRefT22_2x_0" localSheetId="64">'310'!$T$48</definedName>
    <definedName name="OSRRefT22_2x_0" localSheetId="74">'310 &amp; 491'!$T$57</definedName>
    <definedName name="OSRRefT22_2x_0" localSheetId="56">'311'!$T$85</definedName>
    <definedName name="OSRRefT22_2x_0" localSheetId="66">'313'!$T$45</definedName>
    <definedName name="OSRRefT22_2x_0" localSheetId="54">'314'!$T$71</definedName>
    <definedName name="OSRRefT22_2x_0" localSheetId="58">'315'!$T$100</definedName>
    <definedName name="OSRRefT22_2x_0" localSheetId="60">'316'!$T$51</definedName>
    <definedName name="OSRRefT22_2x_0" localSheetId="63">'317'!$T$77</definedName>
    <definedName name="OSRRefT22_2x_0" localSheetId="61">'320'!$T$43</definedName>
    <definedName name="OSRRefT22_2x_0" localSheetId="67">'321'!$T$39</definedName>
    <definedName name="OSRRefT22_2x_0" localSheetId="68">'322'!$T$39</definedName>
    <definedName name="OSRRefT22_2x_0" localSheetId="70">'325'!$T$39</definedName>
    <definedName name="OSRRefT22_2x_0" localSheetId="71">'326'!$T$81</definedName>
    <definedName name="OSRRefT22_2x_0" localSheetId="72">'327'!$T$27</definedName>
    <definedName name="OSRRefT22_2x_0" localSheetId="52">'330'!$T$103</definedName>
    <definedName name="OSRRefT22_2x_0" localSheetId="57">'331'!$T$109</definedName>
    <definedName name="OSRRefT22_2x_0" localSheetId="59">'332'!$T$60</definedName>
    <definedName name="OSRRefT22_2x_0" localSheetId="76">'405'!$T$38</definedName>
    <definedName name="OSRRefT22_2x_0" localSheetId="77">'406'!$T$40</definedName>
    <definedName name="OSRRefT22_2x_0" localSheetId="78">'411'!$T$37</definedName>
    <definedName name="OSRRefT22_2x_0" localSheetId="79">'412'!$T$40</definedName>
    <definedName name="OSRRefT22_2x_0" localSheetId="80">'413'!$T$39</definedName>
    <definedName name="OSRRefT22_2x_0" localSheetId="81">'414'!$T$40</definedName>
    <definedName name="OSRRefT22_2x_0" localSheetId="82">'415'!$T$40</definedName>
    <definedName name="OSRRefT22_2x_0" localSheetId="83">'418'!$T$40</definedName>
    <definedName name="OSRRefT22_2x_0" localSheetId="84">'420'!$T$38</definedName>
    <definedName name="OSRRefT22_2x_0" localSheetId="85">'423'!$T$33</definedName>
    <definedName name="OSRRefT22_2x_0" localSheetId="86">'424'!$T$33</definedName>
    <definedName name="OSRRefT22_2x_0" localSheetId="87">'425'!$T$44</definedName>
    <definedName name="OSRRefT22_2x_0" localSheetId="90">'430'!$T$31</definedName>
    <definedName name="OSRRefT22_2x_0" localSheetId="91">'433'!$T$43</definedName>
    <definedName name="OSRRefT22_2x_0" localSheetId="92">'435'!$T$33</definedName>
    <definedName name="OSRRefT22_2x_0" localSheetId="93">'444'!$T$42</definedName>
    <definedName name="OSRRefT22_2x_0" localSheetId="94">'450'!$T$42</definedName>
    <definedName name="OSRRefT22_2x_0" localSheetId="75">'491'!$T$50</definedName>
    <definedName name="OSRRefT22_2x_0" localSheetId="89">'492'!$T$46</definedName>
    <definedName name="OSRRefT22_2x_0" localSheetId="96">'501'!$T$37</definedName>
    <definedName name="OSRRefT22_2x_0" localSheetId="39">'Div 2'!$T$40</definedName>
    <definedName name="OSRRefT22_2x_0" localSheetId="47">'Div 3'!$T$195</definedName>
    <definedName name="OSRRefT22_2x_0" localSheetId="73">'Div 4'!$T$51</definedName>
    <definedName name="OSRRefT22_2x_0" localSheetId="95">'Div 5'!$T$37</definedName>
    <definedName name="OSRRefT22_2x_0" localSheetId="62">'Div 6'!$T$77</definedName>
    <definedName name="OSRRefT22_2x_0" localSheetId="2">Summary!$T$229</definedName>
    <definedName name="OSRRefT22_3x_0" localSheetId="40">'200'!$T$27</definedName>
    <definedName name="OSRRefT22_3x_0" localSheetId="41">'201'!$T$35</definedName>
    <definedName name="OSRRefT22_3x_0" localSheetId="42">'202'!$T$37</definedName>
    <definedName name="OSRRefT22_3x_0" localSheetId="43">'203'!$T$39</definedName>
    <definedName name="OSRRefT22_3x_0" localSheetId="44">'204'!$T$39</definedName>
    <definedName name="OSRRefT22_3x_0" localSheetId="45">'205'!$T$33</definedName>
    <definedName name="OSRRefT22_3x_0" localSheetId="46">'206'!$T$36</definedName>
    <definedName name="OSRRefT22_3x_0" localSheetId="48">'300'!$T$192:$T$193</definedName>
    <definedName name="OSRRefT22_3x_0" localSheetId="49">'300 &amp; 317'!$T$218:$T$219</definedName>
    <definedName name="OSRRefT22_3x_0" localSheetId="50">'301'!$T$42:$T$43</definedName>
    <definedName name="OSRRefT22_3x_0" localSheetId="51">'306'!$T$39</definedName>
    <definedName name="OSRRefT22_3x_0" localSheetId="53">'307'!$T$95</definedName>
    <definedName name="OSRRefT22_3x_0" localSheetId="55">'308'!$T$88:$T$89</definedName>
    <definedName name="OSRRefT22_3x_0" localSheetId="65">'309'!$T$41</definedName>
    <definedName name="OSRRefT22_3x_0" localSheetId="64">'310'!$T$50</definedName>
    <definedName name="OSRRefT22_3x_0" localSheetId="74">'310 &amp; 491'!$T$59</definedName>
    <definedName name="OSRRefT22_3x_0" localSheetId="56">'311'!$T$87:$T$88</definedName>
    <definedName name="OSRRefT22_3x_0" localSheetId="66">'313'!$T$47</definedName>
    <definedName name="OSRRefT22_3x_0" localSheetId="54">'314'!$T$73:$T$74</definedName>
    <definedName name="OSRRefT22_3x_0" localSheetId="58">'315'!$T$102:$T$103</definedName>
    <definedName name="OSRRefT22_3x_0" localSheetId="60">'316'!$T$53</definedName>
    <definedName name="OSRRefT22_3x_0" localSheetId="63">'317'!$T$79</definedName>
    <definedName name="OSRRefT22_3x_0" localSheetId="61">'320'!$T$45</definedName>
    <definedName name="OSRRefT22_3x_0" localSheetId="67">'321'!$T$41</definedName>
    <definedName name="OSRRefT22_3x_0" localSheetId="68">'322'!$T$41</definedName>
    <definedName name="OSRRefT22_3x_0" localSheetId="70">'325'!$T$41</definedName>
    <definedName name="OSRRefT22_3x_0" localSheetId="71">'326'!$T$83</definedName>
    <definedName name="OSRRefT22_3x_0" localSheetId="52">'330'!$T$105</definedName>
    <definedName name="OSRRefT22_3x_0" localSheetId="57">'331'!$T$111</definedName>
    <definedName name="OSRRefT22_3x_0" localSheetId="59">'332'!$T$62</definedName>
    <definedName name="OSRRefT22_3x_0" localSheetId="76">'405'!$T$40</definedName>
    <definedName name="OSRRefT22_3x_0" localSheetId="77">'406'!$T$42</definedName>
    <definedName name="OSRRefT22_3x_0" localSheetId="78">'411'!$T$39</definedName>
    <definedName name="OSRRefT22_3x_0" localSheetId="79">'412'!$T$42</definedName>
    <definedName name="OSRRefT22_3x_0" localSheetId="80">'413'!$T$41</definedName>
    <definedName name="OSRRefT22_3x_0" localSheetId="81">'414'!$T$42</definedName>
    <definedName name="OSRRefT22_3x_0" localSheetId="82">'415'!$T$42</definedName>
    <definedName name="OSRRefT22_3x_0" localSheetId="83">'418'!$T$42</definedName>
    <definedName name="OSRRefT22_3x_0" localSheetId="84">'420'!$T$40</definedName>
    <definedName name="OSRRefT22_3x_0" localSheetId="85">'423'!$T$35</definedName>
    <definedName name="OSRRefT22_3x_0" localSheetId="86">'424'!$T$35</definedName>
    <definedName name="OSRRefT22_3x_0" localSheetId="87">'425'!$T$46</definedName>
    <definedName name="OSRRefT22_3x_0" localSheetId="90">'430'!$T$33</definedName>
    <definedName name="OSRRefT22_3x_0" localSheetId="91">'433'!$T$45</definedName>
    <definedName name="OSRRefT22_3x_0" localSheetId="92">'435'!$T$35</definedName>
    <definedName name="OSRRefT22_3x_0" localSheetId="93">'444'!$T$44</definedName>
    <definedName name="OSRRefT22_3x_0" localSheetId="94">'450'!$T$44</definedName>
    <definedName name="OSRRefT22_3x_0" localSheetId="75">'491'!$T$52</definedName>
    <definedName name="OSRRefT22_3x_0" localSheetId="89">'492'!$T$48</definedName>
    <definedName name="OSRRefT22_3x_0" localSheetId="96">'501'!$T$39</definedName>
    <definedName name="OSRRefT22_3x_0" localSheetId="39">'Div 2'!$T$42</definedName>
    <definedName name="OSRRefT22_3x_0" localSheetId="47">'Div 3'!$T$197:$T$198</definedName>
    <definedName name="OSRRefT22_3x_0" localSheetId="73">'Div 4'!$T$53</definedName>
    <definedName name="OSRRefT22_3x_0" localSheetId="95">'Div 5'!$T$39</definedName>
    <definedName name="OSRRefT22_3x_0" localSheetId="62">'Div 6'!$T$79</definedName>
    <definedName name="OSRRefT22_3x_0" localSheetId="2">Summary!$T$231:$T$232</definedName>
    <definedName name="OSRRefT22_4x_0" localSheetId="40">'200'!$T$29:$T$30</definedName>
    <definedName name="OSRRefT22_4x_0" localSheetId="41">'201'!$T$37</definedName>
    <definedName name="OSRRefT22_4x_0" localSheetId="42">'202'!$T$39</definedName>
    <definedName name="OSRRefT22_4x_0" localSheetId="43">'203'!$T$41</definedName>
    <definedName name="OSRRefT22_4x_0" localSheetId="44">'204'!$T$41</definedName>
    <definedName name="OSRRefT22_4x_0" localSheetId="45">'205'!$T$35:$T$37</definedName>
    <definedName name="OSRRefT22_4x_0" localSheetId="46">'206'!$T$38</definedName>
    <definedName name="OSRRefT22_4x_0" localSheetId="48">'300'!$T$195</definedName>
    <definedName name="OSRRefT22_4x_0" localSheetId="49">'300 &amp; 317'!$T$221</definedName>
    <definedName name="OSRRefT22_4x_0" localSheetId="50">'301'!$T$45</definedName>
    <definedName name="OSRRefT22_4x_0" localSheetId="51">'306'!$T$41</definedName>
    <definedName name="OSRRefT22_4x_0" localSheetId="53">'307'!$T$97:$T$98</definedName>
    <definedName name="OSRRefT22_4x_0" localSheetId="55">'308'!$T$91</definedName>
    <definedName name="OSRRefT22_4x_0" localSheetId="65">'309'!$T$43</definedName>
    <definedName name="OSRRefT22_4x_0" localSheetId="64">'310'!$T$52</definedName>
    <definedName name="OSRRefT22_4x_0" localSheetId="74">'310 &amp; 491'!$T$61</definedName>
    <definedName name="OSRRefT22_4x_0" localSheetId="56">'311'!$T$90</definedName>
    <definedName name="OSRRefT22_4x_0" localSheetId="66">'313'!$T$49</definedName>
    <definedName name="OSRRefT22_4x_0" localSheetId="54">'314'!$T$76</definedName>
    <definedName name="OSRRefT22_4x_0" localSheetId="58">'315'!$T$105</definedName>
    <definedName name="OSRRefT22_4x_0" localSheetId="60">'316'!$T$55</definedName>
    <definedName name="OSRRefT22_4x_0" localSheetId="63">'317'!$T$81</definedName>
    <definedName name="OSRRefT22_4x_0" localSheetId="61">'320'!$T$47:$T$48</definedName>
    <definedName name="OSRRefT22_4x_0" localSheetId="67">'321'!$T$43</definedName>
    <definedName name="OSRRefT22_4x_0" localSheetId="68">'322'!$T$43</definedName>
    <definedName name="OSRRefT22_4x_0" localSheetId="70">'325'!$T$43</definedName>
    <definedName name="OSRRefT22_4x_0" localSheetId="71">'326'!$T$85</definedName>
    <definedName name="OSRRefT22_4x_0" localSheetId="52">'330'!$T$107:$T$108</definedName>
    <definedName name="OSRRefT22_4x_0" localSheetId="57">'331'!$T$113</definedName>
    <definedName name="OSRRefT22_4x_0" localSheetId="59">'332'!$T$64</definedName>
    <definedName name="OSRRefT22_4x_0" localSheetId="76">'405'!$T$42</definedName>
    <definedName name="OSRRefT22_4x_0" localSheetId="77">'406'!$T$44</definedName>
    <definedName name="OSRRefT22_4x_0" localSheetId="78">'411'!$T$41:$T$43</definedName>
    <definedName name="OSRRefT22_4x_0" localSheetId="79">'412'!$T$44</definedName>
    <definedName name="OSRRefT22_4x_0" localSheetId="80">'413'!$T$43</definedName>
    <definedName name="OSRRefT22_4x_0" localSheetId="81">'414'!$T$44</definedName>
    <definedName name="OSRRefT22_4x_0" localSheetId="82">'415'!$T$44</definedName>
    <definedName name="OSRRefT22_4x_0" localSheetId="83">'418'!$T$44</definedName>
    <definedName name="OSRRefT22_4x_0" localSheetId="84">'420'!$T$42</definedName>
    <definedName name="OSRRefT22_4x_0" localSheetId="85">'423'!$T$37</definedName>
    <definedName name="OSRRefT22_4x_0" localSheetId="86">'424'!$T$37</definedName>
    <definedName name="OSRRefT22_4x_0" localSheetId="87">'425'!$T$48</definedName>
    <definedName name="OSRRefT22_4x_0" localSheetId="90">'430'!$T$35:$T$36</definedName>
    <definedName name="OSRRefT22_4x_0" localSheetId="91">'433'!$T$47</definedName>
    <definedName name="OSRRefT22_4x_0" localSheetId="92">'435'!$T$37</definedName>
    <definedName name="OSRRefT22_4x_0" localSheetId="93">'444'!$T$46</definedName>
    <definedName name="OSRRefT22_4x_0" localSheetId="94">'450'!$T$46</definedName>
    <definedName name="OSRRefT22_4x_0" localSheetId="75">'491'!$T$54</definedName>
    <definedName name="OSRRefT22_4x_0" localSheetId="89">'492'!$T$50</definedName>
    <definedName name="OSRRefT22_4x_0" localSheetId="96">'501'!$T$41</definedName>
    <definedName name="OSRRefT22_4x_0" localSheetId="39">'Div 2'!$T$44</definedName>
    <definedName name="OSRRefT22_4x_0" localSheetId="47">'Div 3'!$T$200</definedName>
    <definedName name="OSRRefT22_4x_0" localSheetId="73">'Div 4'!$T$55</definedName>
    <definedName name="OSRRefT22_4x_0" localSheetId="95">'Div 5'!$T$41</definedName>
    <definedName name="OSRRefT22_4x_0" localSheetId="62">'Div 6'!$T$81</definedName>
    <definedName name="OSRRefT22_4x_0" localSheetId="2">Summary!$T$234</definedName>
    <definedName name="OSRRefT22_5x_0" localSheetId="41">'201'!$T$39</definedName>
    <definedName name="OSRRefT22_5x_0" localSheetId="42">'202'!$T$41</definedName>
    <definedName name="OSRRefT22_5x_0" localSheetId="43">'203'!$T$43</definedName>
    <definedName name="OSRRefT22_5x_0" localSheetId="44">'204'!$T$43</definedName>
    <definedName name="OSRRefT22_5x_0" localSheetId="45">'205'!$T$39</definedName>
    <definedName name="OSRRefT22_5x_0" localSheetId="46">'206'!$T$40</definedName>
    <definedName name="OSRRefT22_5x_0" localSheetId="48">'300'!$T$197:$T$199</definedName>
    <definedName name="OSRRefT22_5x_0" localSheetId="49">'300 &amp; 317'!$T$223:$T$225</definedName>
    <definedName name="OSRRefT22_5x_0" localSheetId="50">'301'!$T$47:$T$49</definedName>
    <definedName name="OSRRefT22_5x_0" localSheetId="51">'306'!$T$43</definedName>
    <definedName name="OSRRefT22_5x_0" localSheetId="53">'307'!$T$100</definedName>
    <definedName name="OSRRefT22_5x_0" localSheetId="55">'308'!$T$93</definedName>
    <definedName name="OSRRefT22_5x_0" localSheetId="65">'309'!$T$45</definedName>
    <definedName name="OSRRefT22_5x_0" localSheetId="64">'310'!$T$54:$T$55</definedName>
    <definedName name="OSRRefT22_5x_0" localSheetId="74">'310 &amp; 491'!$T$63:$T$65</definedName>
    <definedName name="OSRRefT22_5x_0" localSheetId="56">'311'!$T$92</definedName>
    <definedName name="OSRRefT22_5x_0" localSheetId="66">'313'!$T$51</definedName>
    <definedName name="OSRRefT22_5x_0" localSheetId="54">'314'!$T$78:$T$86</definedName>
    <definedName name="OSRRefT22_5x_0" localSheetId="58">'315'!$T$107:$T$108</definedName>
    <definedName name="OSRRefT22_5x_0" localSheetId="60">'316'!$T$57</definedName>
    <definedName name="OSRRefT22_5x_0" localSheetId="63">'317'!$T$83:$T$84</definedName>
    <definedName name="OSRRefT22_5x_0" localSheetId="61">'320'!$T$50</definedName>
    <definedName name="OSRRefT22_5x_0" localSheetId="67">'321'!$T$45</definedName>
    <definedName name="OSRRefT22_5x_0" localSheetId="68">'322'!$T$45</definedName>
    <definedName name="OSRRefT22_5x_0" localSheetId="70">'325'!$T$45:$T$46</definedName>
    <definedName name="OSRRefT22_5x_0" localSheetId="71">'326'!$T$87:$T$88</definedName>
    <definedName name="OSRRefT22_5x_0" localSheetId="52">'330'!$T$110</definedName>
    <definedName name="OSRRefT22_5x_0" localSheetId="57">'331'!$T$115:$T$116</definedName>
    <definedName name="OSRRefT22_5x_0" localSheetId="59">'332'!$T$66</definedName>
    <definedName name="OSRRefT22_5x_0" localSheetId="76">'405'!$T$44:$T$45</definedName>
    <definedName name="OSRRefT22_5x_0" localSheetId="77">'406'!$T$46</definedName>
    <definedName name="OSRRefT22_5x_0" localSheetId="78">'411'!$T$45</definedName>
    <definedName name="OSRRefT22_5x_0" localSheetId="79">'412'!$T$46</definedName>
    <definedName name="OSRRefT22_5x_0" localSheetId="80">'413'!$T$45</definedName>
    <definedName name="OSRRefT22_5x_0" localSheetId="81">'414'!$T$46</definedName>
    <definedName name="OSRRefT22_5x_0" localSheetId="82">'415'!$T$46:$T$47</definedName>
    <definedName name="OSRRefT22_5x_0" localSheetId="83">'418'!$T$46:$T$47</definedName>
    <definedName name="OSRRefT22_5x_0" localSheetId="84">'420'!$T$44</definedName>
    <definedName name="OSRRefT22_5x_0" localSheetId="85">'423'!$T$39</definedName>
    <definedName name="OSRRefT22_5x_0" localSheetId="86">'424'!$T$39</definedName>
    <definedName name="OSRRefT22_5x_0" localSheetId="87">'425'!$T$50</definedName>
    <definedName name="OSRRefT22_5x_0" localSheetId="90">'430'!$T$38</definedName>
    <definedName name="OSRRefT22_5x_0" localSheetId="91">'433'!$T$49</definedName>
    <definedName name="OSRRefT22_5x_0" localSheetId="92">'435'!$T$39</definedName>
    <definedName name="OSRRefT22_5x_0" localSheetId="93">'444'!$T$48</definedName>
    <definedName name="OSRRefT22_5x_0" localSheetId="94">'450'!$T$48</definedName>
    <definedName name="OSRRefT22_5x_0" localSheetId="75">'491'!$T$56:$T$58</definedName>
    <definedName name="OSRRefT22_5x_0" localSheetId="89">'492'!$T$52</definedName>
    <definedName name="OSRRefT22_5x_0" localSheetId="96">'501'!$T$43:$T$44</definedName>
    <definedName name="OSRRefT22_5x_0" localSheetId="39">'Div 2'!$T$46</definedName>
    <definedName name="OSRRefT22_5x_0" localSheetId="47">'Div 3'!$T$202:$T$204</definedName>
    <definedName name="OSRRefT22_5x_0" localSheetId="73">'Div 4'!$T$57:$T$59</definedName>
    <definedName name="OSRRefT22_5x_0" localSheetId="95">'Div 5'!$T$43:$T$44</definedName>
    <definedName name="OSRRefT22_5x_0" localSheetId="62">'Div 6'!$T$83:$T$84</definedName>
    <definedName name="OSRRefT22_5x_0" localSheetId="2">Summary!$T$236:$T$239</definedName>
    <definedName name="OSRRefT22_6x_0" localSheetId="41">'201'!$T$41</definedName>
    <definedName name="OSRRefT22_6x_0" localSheetId="42">'202'!$T$43:$T$44</definedName>
    <definedName name="OSRRefT22_6x_0" localSheetId="43">'203'!$T$45</definedName>
    <definedName name="OSRRefT22_6x_0" localSheetId="44">'204'!$T$45:$T$47</definedName>
    <definedName name="OSRRefT22_6x_0" localSheetId="45">'205'!$T$41:$T$43</definedName>
    <definedName name="OSRRefT22_6x_0" localSheetId="46">'206'!$T$42:$T$43</definedName>
    <definedName name="OSRRefT22_6x_0" localSheetId="48">'300'!$T$201:$T$202</definedName>
    <definedName name="OSRRefT22_6x_0" localSheetId="49">'300 &amp; 317'!$T$227:$T$228</definedName>
    <definedName name="OSRRefT22_6x_0" localSheetId="50">'301'!$T$51:$T$52</definedName>
    <definedName name="OSRRefT22_6x_0" localSheetId="51">'306'!$T$45:$T$46</definedName>
    <definedName name="OSRRefT22_6x_0" localSheetId="53">'307'!$T$102:$T$121</definedName>
    <definedName name="OSRRefT22_6x_0" localSheetId="55">'308'!$T$95:$T$96</definedName>
    <definedName name="OSRRefT22_6x_0" localSheetId="65">'309'!$T$47</definedName>
    <definedName name="OSRRefT22_6x_0" localSheetId="64">'310'!$T$57</definedName>
    <definedName name="OSRRefT22_6x_0" localSheetId="74">'310 &amp; 491'!$T$67</definedName>
    <definedName name="OSRRefT22_6x_0" localSheetId="56">'311'!$T$94:$T$95</definedName>
    <definedName name="OSRRefT22_6x_0" localSheetId="66">'313'!$T$53</definedName>
    <definedName name="OSRRefT22_6x_0" localSheetId="54">'314'!$T$88</definedName>
    <definedName name="OSRRefT22_6x_0" localSheetId="58">'315'!$T$110:$T$116</definedName>
    <definedName name="OSRRefT22_6x_0" localSheetId="60">'316'!$T$59:$T$60</definedName>
    <definedName name="OSRRefT22_6x_0" localSheetId="63">'317'!$T$86</definedName>
    <definedName name="OSRRefT22_6x_0" localSheetId="61">'320'!$T$52:$T$54</definedName>
    <definedName name="OSRRefT22_6x_0" localSheetId="67">'321'!$T$47</definedName>
    <definedName name="OSRRefT22_6x_0" localSheetId="68">'322'!$T$47</definedName>
    <definedName name="OSRRefT22_6x_0" localSheetId="70">'325'!$T$48</definedName>
    <definedName name="OSRRefT22_6x_0" localSheetId="71">'326'!$T$90</definedName>
    <definedName name="OSRRefT22_6x_0" localSheetId="52">'330'!$T$112</definedName>
    <definedName name="OSRRefT22_6x_0" localSheetId="57">'331'!$T$118</definedName>
    <definedName name="OSRRefT22_6x_0" localSheetId="59">'332'!$T$68:$T$69</definedName>
    <definedName name="OSRRefT22_6x_0" localSheetId="76">'405'!$T$47</definedName>
    <definedName name="OSRRefT22_6x_0" localSheetId="77">'406'!$T$48</definedName>
    <definedName name="OSRRefT22_6x_0" localSheetId="78">'411'!$T$47</definedName>
    <definedName name="OSRRefT22_6x_0" localSheetId="79">'412'!$T$48</definedName>
    <definedName name="OSRRefT22_6x_0" localSheetId="80">'413'!$T$47</definedName>
    <definedName name="OSRRefT22_6x_0" localSheetId="81">'414'!$T$48</definedName>
    <definedName name="OSRRefT22_6x_0" localSheetId="82">'415'!$T$49</definedName>
    <definedName name="OSRRefT22_6x_0" localSheetId="83">'418'!$T$49</definedName>
    <definedName name="OSRRefT22_6x_0" localSheetId="84">'420'!$T$46:$T$47</definedName>
    <definedName name="OSRRefT22_6x_0" localSheetId="85">'423'!$T$41</definedName>
    <definedName name="OSRRefT22_6x_0" localSheetId="86">'424'!$T$41</definedName>
    <definedName name="OSRRefT22_6x_0" localSheetId="87">'425'!$T$52</definedName>
    <definedName name="OSRRefT22_6x_0" localSheetId="90">'430'!$T$40</definedName>
    <definedName name="OSRRefT22_6x_0" localSheetId="91">'433'!$T$51</definedName>
    <definedName name="OSRRefT22_6x_0" localSheetId="92">'435'!$T$41</definedName>
    <definedName name="OSRRefT22_6x_0" localSheetId="93">'444'!$T$50</definedName>
    <definedName name="OSRRefT22_6x_0" localSheetId="94">'450'!$T$50</definedName>
    <definedName name="OSRRefT22_6x_0" localSheetId="75">'491'!$T$60</definedName>
    <definedName name="OSRRefT22_6x_0" localSheetId="89">'492'!$T$54</definedName>
    <definedName name="OSRRefT22_6x_0" localSheetId="96">'501'!$T$46</definedName>
    <definedName name="OSRRefT22_6x_0" localSheetId="39">'Div 2'!$T$48</definedName>
    <definedName name="OSRRefT22_6x_0" localSheetId="47">'Div 3'!$T$206:$T$207</definedName>
    <definedName name="OSRRefT22_6x_0" localSheetId="73">'Div 4'!$T$61</definedName>
    <definedName name="OSRRefT22_6x_0" localSheetId="95">'Div 5'!$T$46</definedName>
    <definedName name="OSRRefT22_6x_0" localSheetId="62">'Div 6'!$T$86</definedName>
    <definedName name="OSRRefT22_6x_0" localSheetId="2">Summary!$T$241:$T$242</definedName>
    <definedName name="OSRRefT22_7x_0" localSheetId="41">'201'!$T$43</definedName>
    <definedName name="OSRRefT22_7x_0" localSheetId="42">'202'!$T$46</definedName>
    <definedName name="OSRRefT22_7x_0" localSheetId="43">'203'!$T$47</definedName>
    <definedName name="OSRRefT22_7x_0" localSheetId="44">'204'!$T$49</definedName>
    <definedName name="OSRRefT22_7x_0" localSheetId="45">'205'!$T$45</definedName>
    <definedName name="OSRRefT22_7x_0" localSheetId="46">'206'!$T$45</definedName>
    <definedName name="OSRRefT22_7x_0" localSheetId="48">'300'!$T$204</definedName>
    <definedName name="OSRRefT22_7x_0" localSheetId="49">'300 &amp; 317'!$T$230</definedName>
    <definedName name="OSRRefT22_7x_0" localSheetId="50">'301'!$T$54</definedName>
    <definedName name="OSRRefT22_7x_0" localSheetId="51">'306'!$T$48:$T$50</definedName>
    <definedName name="OSRRefT22_7x_0" localSheetId="53">'307'!$T$123</definedName>
    <definedName name="OSRRefT22_7x_0" localSheetId="55">'308'!$T$98</definedName>
    <definedName name="OSRRefT22_7x_0" localSheetId="65">'309'!$T$49</definedName>
    <definedName name="OSRRefT22_7x_0" localSheetId="64">'310'!$T$59</definedName>
    <definedName name="OSRRefT22_7x_0" localSheetId="74">'310 &amp; 491'!$T$69</definedName>
    <definedName name="OSRRefT22_7x_0" localSheetId="56">'311'!$T$97</definedName>
    <definedName name="OSRRefT22_7x_0" localSheetId="66">'313'!$T$55</definedName>
    <definedName name="OSRRefT22_7x_0" localSheetId="54">'314'!$T$90:$T$91</definedName>
    <definedName name="OSRRefT22_7x_0" localSheetId="58">'315'!$T$118</definedName>
    <definedName name="OSRRefT22_7x_0" localSheetId="60">'316'!$T$62</definedName>
    <definedName name="OSRRefT22_7x_0" localSheetId="63">'317'!$T$88:$T$95</definedName>
    <definedName name="OSRRefT22_7x_0" localSheetId="61">'320'!$T$56:$T$57</definedName>
    <definedName name="OSRRefT22_7x_0" localSheetId="67">'321'!$T$49:$T$51</definedName>
    <definedName name="OSRRefT22_7x_0" localSheetId="68">'322'!$T$49</definedName>
    <definedName name="OSRRefT22_7x_0" localSheetId="70">'325'!$T$50</definedName>
    <definedName name="OSRRefT22_7x_0" localSheetId="71">'326'!$T$92</definedName>
    <definedName name="OSRRefT22_7x_0" localSheetId="52">'330'!$T$114:$T$134</definedName>
    <definedName name="OSRRefT22_7x_0" localSheetId="57">'331'!$T$120:$T$121</definedName>
    <definedName name="OSRRefT22_7x_0" localSheetId="59">'332'!$T$71</definedName>
    <definedName name="OSRRefT22_7x_0" localSheetId="76">'405'!$T$49</definedName>
    <definedName name="OSRRefT22_7x_0" localSheetId="77">'406'!$T$50</definedName>
    <definedName name="OSRRefT22_7x_0" localSheetId="78">'411'!$T$49</definedName>
    <definedName name="OSRRefT22_7x_0" localSheetId="79">'412'!$T$50</definedName>
    <definedName name="OSRRefT22_7x_0" localSheetId="80">'413'!$T$49:$T$51</definedName>
    <definedName name="OSRRefT22_7x_0" localSheetId="81">'414'!$T$50</definedName>
    <definedName name="OSRRefT22_7x_0" localSheetId="82">'415'!$T$51</definedName>
    <definedName name="OSRRefT22_7x_0" localSheetId="83">'418'!$T$51</definedName>
    <definedName name="OSRRefT22_7x_0" localSheetId="84">'420'!$T$49</definedName>
    <definedName name="OSRRefT22_7x_0" localSheetId="86">'424'!$T$43</definedName>
    <definedName name="OSRRefT22_7x_0" localSheetId="87">'425'!$T$54</definedName>
    <definedName name="OSRRefT22_7x_0" localSheetId="90">'430'!$T$42</definedName>
    <definedName name="OSRRefT22_7x_0" localSheetId="91">'433'!$T$53</definedName>
    <definedName name="OSRRefT22_7x_0" localSheetId="92">'435'!$T$43:$T$45</definedName>
    <definedName name="OSRRefT22_7x_0" localSheetId="93">'444'!$T$52</definedName>
    <definedName name="OSRRefT22_7x_0" localSheetId="94">'450'!$T$52</definedName>
    <definedName name="OSRRefT22_7x_0" localSheetId="75">'491'!$T$62</definedName>
    <definedName name="OSRRefT22_7x_0" localSheetId="89">'492'!$T$56</definedName>
    <definedName name="OSRRefT22_7x_0" localSheetId="96">'501'!$T$48</definedName>
    <definedName name="OSRRefT22_7x_0" localSheetId="39">'Div 2'!$T$50</definedName>
    <definedName name="OSRRefT22_7x_0" localSheetId="47">'Div 3'!$T$209</definedName>
    <definedName name="OSRRefT22_7x_0" localSheetId="73">'Div 4'!$T$63</definedName>
    <definedName name="OSRRefT22_7x_0" localSheetId="95">'Div 5'!$T$48</definedName>
    <definedName name="OSRRefT22_7x_0" localSheetId="62">'Div 6'!$T$88:$T$95</definedName>
    <definedName name="OSRRefT22_7x_0" localSheetId="2">Summary!$T$244</definedName>
    <definedName name="OSRRefT22_8x_0" localSheetId="41">'201'!$T$45</definedName>
    <definedName name="OSRRefT22_8x_0" localSheetId="42">'202'!$T$48</definedName>
    <definedName name="OSRRefT22_8x_0" localSheetId="43">'203'!$T$49</definedName>
    <definedName name="OSRRefT22_8x_0" localSheetId="44">'204'!$T$51:$T$52</definedName>
    <definedName name="OSRRefT22_8x_0" localSheetId="45">'205'!$T$47</definedName>
    <definedName name="OSRRefT22_8x_0" localSheetId="46">'206'!$T$47</definedName>
    <definedName name="OSRRefT22_8x_0" localSheetId="48">'300'!$T$206</definedName>
    <definedName name="OSRRefT22_8x_0" localSheetId="49">'300 &amp; 317'!$T$232</definedName>
    <definedName name="OSRRefT22_8x_0" localSheetId="50">'301'!$T$56</definedName>
    <definedName name="OSRRefT22_8x_0" localSheetId="51">'306'!$T$52</definedName>
    <definedName name="OSRRefT22_8x_0" localSheetId="53">'307'!$T$125:$T$126</definedName>
    <definedName name="OSRRefT22_8x_0" localSheetId="55">'308'!$T$100:$T$108</definedName>
    <definedName name="OSRRefT22_8x_0" localSheetId="65">'309'!$T$51</definedName>
    <definedName name="OSRRefT22_8x_0" localSheetId="64">'310'!$T$61</definedName>
    <definedName name="OSRRefT22_8x_0" localSheetId="74">'310 &amp; 491'!$T$71</definedName>
    <definedName name="OSRRefT22_8x_0" localSheetId="56">'311'!$T$99:$T$107</definedName>
    <definedName name="OSRRefT22_8x_0" localSheetId="66">'313'!$T$57:$T$59</definedName>
    <definedName name="OSRRefT22_8x_0" localSheetId="54">'314'!$T$93</definedName>
    <definedName name="OSRRefT22_8x_0" localSheetId="58">'315'!$T$120</definedName>
    <definedName name="OSRRefT22_8x_0" localSheetId="60">'316'!$T$64:$T$66</definedName>
    <definedName name="OSRRefT22_8x_0" localSheetId="63">'317'!$T$97:$T$98</definedName>
    <definedName name="OSRRefT22_8x_0" localSheetId="61">'320'!$T$59</definedName>
    <definedName name="OSRRefT22_8x_0" localSheetId="67">'321'!$T$53</definedName>
    <definedName name="OSRRefT22_8x_0" localSheetId="68">'322'!$T$51:$T$52</definedName>
    <definedName name="OSRRefT22_8x_0" localSheetId="70">'325'!$T$52</definedName>
    <definedName name="OSRRefT22_8x_0" localSheetId="71">'326'!$T$94</definedName>
    <definedName name="OSRRefT22_8x_0" localSheetId="52">'330'!$T$136</definedName>
    <definedName name="OSRRefT22_8x_0" localSheetId="57">'331'!$T$123</definedName>
    <definedName name="OSRRefT22_8x_0" localSheetId="59">'332'!$T$73:$T$75</definedName>
    <definedName name="OSRRefT22_8x_0" localSheetId="76">'405'!$T$51</definedName>
    <definedName name="OSRRefT22_8x_0" localSheetId="77">'406'!$T$52</definedName>
    <definedName name="OSRRefT22_8x_0" localSheetId="78">'411'!$T$51</definedName>
    <definedName name="OSRRefT22_8x_0" localSheetId="79">'412'!$T$52</definedName>
    <definedName name="OSRRefT22_8x_0" localSheetId="80">'413'!$T$53:$T$55</definedName>
    <definedName name="OSRRefT22_8x_0" localSheetId="81">'414'!$T$52</definedName>
    <definedName name="OSRRefT22_8x_0" localSheetId="82">'415'!$T$53</definedName>
    <definedName name="OSRRefT22_8x_0" localSheetId="83">'418'!$T$53</definedName>
    <definedName name="OSRRefT22_8x_0" localSheetId="86">'424'!$T$45:$T$46</definedName>
    <definedName name="OSRRefT22_8x_0" localSheetId="87">'425'!$T$56</definedName>
    <definedName name="OSRRefT22_8x_0" localSheetId="91">'433'!$T$55</definedName>
    <definedName name="OSRRefT22_8x_0" localSheetId="92">'435'!$T$47</definedName>
    <definedName name="OSRRefT22_8x_0" localSheetId="93">'444'!$T$54</definedName>
    <definedName name="OSRRefT22_8x_0" localSheetId="94">'450'!$T$54</definedName>
    <definedName name="OSRRefT22_8x_0" localSheetId="75">'491'!$T$64</definedName>
    <definedName name="OSRRefT22_8x_0" localSheetId="89">'492'!$T$58</definedName>
    <definedName name="OSRRefT22_8x_0" localSheetId="96">'501'!$T$50</definedName>
    <definedName name="OSRRefT22_8x_0" localSheetId="39">'Div 2'!$T$52</definedName>
    <definedName name="OSRRefT22_8x_0" localSheetId="47">'Div 3'!$T$211</definedName>
    <definedName name="OSRRefT22_8x_0" localSheetId="73">'Div 4'!$T$65</definedName>
    <definedName name="OSRRefT22_8x_0" localSheetId="95">'Div 5'!$T$50</definedName>
    <definedName name="OSRRefT22_8x_0" localSheetId="62">'Div 6'!$T$97:$T$98</definedName>
    <definedName name="OSRRefT22_8x_0" localSheetId="2">Summary!$T$246</definedName>
    <definedName name="OSRRefT22_9x_0" localSheetId="41">'201'!$T$47:$T$49</definedName>
    <definedName name="OSRRefT22_9x_0" localSheetId="42">'202'!$T$50:$T$52</definedName>
    <definedName name="OSRRefT22_9x_0" localSheetId="43">'203'!$T$51:$T$53</definedName>
    <definedName name="OSRRefT22_9x_0" localSheetId="44">'204'!$T$54</definedName>
    <definedName name="OSRRefT22_9x_0" localSheetId="48">'300'!$T$208</definedName>
    <definedName name="OSRRefT22_9x_0" localSheetId="49">'300 &amp; 317'!$T$234</definedName>
    <definedName name="OSRRefT22_9x_0" localSheetId="50">'301'!$T$58</definedName>
    <definedName name="OSRRefT22_9x_0" localSheetId="51">'306'!$T$54</definedName>
    <definedName name="OSRRefT22_9x_0" localSheetId="53">'307'!$T$128:$T$129</definedName>
    <definedName name="OSRRefT22_9x_0" localSheetId="55">'308'!$T$110:$T$112</definedName>
    <definedName name="OSRRefT22_9x_0" localSheetId="65">'309'!$T$53:$T$54</definedName>
    <definedName name="OSRRefT22_9x_0" localSheetId="64">'310'!$T$63</definedName>
    <definedName name="OSRRefT22_9x_0" localSheetId="74">'310 &amp; 491'!$T$73</definedName>
    <definedName name="OSRRefT22_9x_0" localSheetId="56">'311'!$T$109:$T$111</definedName>
    <definedName name="OSRRefT22_9x_0" localSheetId="66">'313'!$T$61</definedName>
    <definedName name="OSRRefT22_9x_0" localSheetId="54">'314'!$T$95</definedName>
    <definedName name="OSRRefT22_9x_0" localSheetId="58">'315'!$T$122:$T$123</definedName>
    <definedName name="OSRRefT22_9x_0" localSheetId="60">'316'!$T$68</definedName>
    <definedName name="OSRRefT22_9x_0" localSheetId="63">'317'!$T$100:$T$101</definedName>
    <definedName name="OSRRefT22_9x_0" localSheetId="67">'321'!$T$55:$T$57</definedName>
    <definedName name="OSRRefT22_9x_0" localSheetId="68">'322'!$T$54:$T$56</definedName>
    <definedName name="OSRRefT22_9x_0" localSheetId="70">'325'!$T$54</definedName>
    <definedName name="OSRRefT22_9x_0" localSheetId="71">'326'!$T$96:$T$108</definedName>
    <definedName name="OSRRefT22_9x_0" localSheetId="52">'330'!$T$138:$T$139</definedName>
    <definedName name="OSRRefT22_9x_0" localSheetId="57">'331'!$T$125</definedName>
    <definedName name="OSRRefT22_9x_0" localSheetId="59">'332'!$T$77:$T$79</definedName>
    <definedName name="OSRRefT22_9x_0" localSheetId="76">'405'!$T$53</definedName>
    <definedName name="OSRRefT22_9x_0" localSheetId="77">'406'!$T$54:$T$56</definedName>
    <definedName name="OSRRefT22_9x_0" localSheetId="78">'411'!$T$53</definedName>
    <definedName name="OSRRefT22_9x_0" localSheetId="79">'412'!$T$54:$T$56</definedName>
    <definedName name="OSRRefT22_9x_0" localSheetId="80">'413'!$T$57:$T$62</definedName>
    <definedName name="OSRRefT22_9x_0" localSheetId="81">'414'!$T$54:$T$55</definedName>
    <definedName name="OSRRefT22_9x_0" localSheetId="82">'415'!$T$55</definedName>
    <definedName name="OSRRefT22_9x_0" localSheetId="83">'418'!$T$55</definedName>
    <definedName name="OSRRefT22_9x_0" localSheetId="86">'424'!$T$48</definedName>
    <definedName name="OSRRefT22_9x_0" localSheetId="87">'425'!$T$58:$T$60</definedName>
    <definedName name="OSRRefT22_9x_0" localSheetId="91">'433'!$T$57</definedName>
    <definedName name="OSRRefT22_9x_0" localSheetId="93">'444'!$T$56</definedName>
    <definedName name="OSRRefT22_9x_0" localSheetId="94">'450'!$T$56</definedName>
    <definedName name="OSRRefT22_9x_0" localSheetId="75">'491'!$T$66</definedName>
    <definedName name="OSRRefT22_9x_0" localSheetId="89">'492'!$T$60</definedName>
    <definedName name="OSRRefT22_9x_0" localSheetId="96">'501'!$T$52:$T$54</definedName>
    <definedName name="OSRRefT22_9x_0" localSheetId="39">'Div 2'!$T$54:$T$55</definedName>
    <definedName name="OSRRefT22_9x_0" localSheetId="47">'Div 3'!$T$213</definedName>
    <definedName name="OSRRefT22_9x_0" localSheetId="73">'Div 4'!$T$67</definedName>
    <definedName name="OSRRefT22_9x_0" localSheetId="95">'Div 5'!$T$52:$T$54</definedName>
    <definedName name="OSRRefT22_9x_0" localSheetId="62">'Div 6'!$T$100:$T$101</definedName>
    <definedName name="OSRRefT22_9x_0" localSheetId="2">Summary!$T$248</definedName>
    <definedName name="OSRRefT22x_0" localSheetId="40">'200'!$T$20:$T$21,'200'!$T$23,'200'!$T$25,'200'!$T$27,'200'!$T$29:$T$30</definedName>
    <definedName name="OSRRefT22x_0" localSheetId="41">'201'!$T$20:$T$27,'201'!$T$29:$T$31,'201'!$T$33,'201'!$T$35,'201'!$T$37,'201'!$T$39,'201'!$T$41,'201'!$T$43,'201'!$T$45,'201'!$T$47:$T$49,'201'!$T$51:$T$53,'201'!$T$55,'201'!$T$57:$T$60,'201'!$T$62,'201'!$T$64,'201'!$T$66</definedName>
    <definedName name="OSRRefT22x_0" localSheetId="42">'202'!$T$20:$T$27,'202'!$T$29:$T$33,'202'!$T$35,'202'!$T$37,'202'!$T$39,'202'!$T$41,'202'!$T$43:$T$44,'202'!$T$46,'202'!$T$48,'202'!$T$50:$T$52,'202'!$T$54,'202'!$T$56,'202'!$T$58:$T$60,'202'!$T$62,'202'!$T$64,'202'!$T$66</definedName>
    <definedName name="OSRRefT22x_0" localSheetId="43">'203'!$T$20:$T$29,'203'!$T$31:$T$35,'203'!$T$37,'203'!$T$39,'203'!$T$41,'203'!$T$43,'203'!$T$45,'203'!$T$47,'203'!$T$49,'203'!$T$51:$T$53,'203'!$T$55:$T$56,'203'!$T$58,'203'!$T$60:$T$64,'203'!$T$66,'203'!$T$68,'203'!$T$70</definedName>
    <definedName name="OSRRefT22x_0" localSheetId="44">'204'!$T$20:$T$29,'204'!$T$31:$T$35,'204'!$T$37,'204'!$T$39,'204'!$T$41,'204'!$T$43,'204'!$T$45:$T$47,'204'!$T$49,'204'!$T$51:$T$52,'204'!$T$54,'204'!$T$56:$T$57</definedName>
    <definedName name="OSRRefT22x_0" localSheetId="45">'205'!$T$20:$T$27,'205'!$T$29,'205'!$T$31,'205'!$T$33,'205'!$T$35:$T$37,'205'!$T$39,'205'!$T$41:$T$43,'205'!$T$45,'205'!$T$47</definedName>
    <definedName name="OSRRefT22x_0" localSheetId="46">'206'!$T$20:$T$27,'206'!$T$29:$T$32,'206'!$T$34,'206'!$T$36,'206'!$T$38,'206'!$T$40,'206'!$T$42:$T$43,'206'!$T$45,'206'!$T$47</definedName>
    <definedName name="OSRRefT22x_0" localSheetId="48">'300'!$T$171:$T$180,'300'!$T$182:$T$188,'300'!$T$190,'300'!$T$192:$T$193,'300'!$T$195,'300'!$T$197:$T$199,'300'!$T$201:$T$202,'300'!$T$204,'300'!$T$206,'300'!$T$208,'300'!$T$210:$T$211,'300'!$T$213,'300'!$T$215,'300'!$T$217:$T$250,'300'!$T$252,'300'!$T$254,'300'!$T$256:$T$259,'300'!$T$261:$T$263,'300'!$T$265:$T$268,'300'!$T$270:$T$271,'300'!$T$273:$T$280,'300'!$T$282:$T$283,'300'!$T$285,'300'!$T$287:$T$289,'300'!$T$291</definedName>
    <definedName name="OSRRefT22x_0" localSheetId="49">'300 &amp; 317'!$T$197:$T$206,'300 &amp; 317'!$T$208:$T$214,'300 &amp; 317'!$T$216,'300 &amp; 317'!$T$218:$T$219,'300 &amp; 317'!$T$221,'300 &amp; 317'!$T$223:$T$225,'300 &amp; 317'!$T$227:$T$228,'300 &amp; 317'!$T$230,'300 &amp; 317'!$T$232,'300 &amp; 317'!$T$234,'300 &amp; 317'!$T$236:$T$237,'300 &amp; 317'!$T$239,'300 &amp; 317'!$T$241,'300 &amp; 317'!$T$243:$T$279,'300 &amp; 317'!$T$281,'300 &amp; 317'!$T$283,'300 &amp; 317'!$T$285:$T$288,'300 &amp; 317'!$T$290:$T$292,'300 &amp; 317'!$T$294:$T$297,'300 &amp; 317'!$T$299:$T$300,'300 &amp; 317'!$T$302:$T$309,'300 &amp; 317'!$T$311:$T$312,'300 &amp; 317'!$T$314,'300 &amp; 317'!$T$316:$T$318,'300 &amp; 317'!$T$320</definedName>
    <definedName name="OSRRefT22x_0" localSheetId="50">'301'!$T$21:$T$30,'301'!$T$32:$T$38,'301'!$T$40,'301'!$T$42:$T$43,'301'!$T$45,'301'!$T$47:$T$49,'301'!$T$51:$T$52,'301'!$T$54,'301'!$T$56,'301'!$T$58,'301'!$T$60,'301'!$T$62,'301'!$T$64,'301'!$T$66,'301'!$T$68,'301'!$T$70,'301'!$T$72:$T$75,'301'!$T$77:$T$79,'301'!$T$81:$T$82,'301'!$T$84:$T$90,'301'!$T$92,'301'!$T$94,'301'!$T$96:$T$98,'301'!$T$100</definedName>
    <definedName name="OSRRefT22x_0" localSheetId="51">'306'!$T$20:$T$28,'306'!$T$30:$T$35,'306'!$T$37,'306'!$T$39,'306'!$T$41,'306'!$T$43,'306'!$T$45:$T$46,'306'!$T$48:$T$50,'306'!$T$52,'306'!$T$54</definedName>
    <definedName name="OSRRefT22x_0" localSheetId="53">'307'!$T$79:$T$86,'307'!$T$88:$T$91,'307'!$T$93,'307'!$T$95,'307'!$T$97:$T$98,'307'!$T$100,'307'!$T$102:$T$121,'307'!$T$123,'307'!$T$125:$T$126,'307'!$T$128:$T$129,'307'!$T$131:$T$134,'307'!$T$136,'307'!$T$138</definedName>
    <definedName name="OSRRefT22x_0" localSheetId="55">'308'!$T$68:$T$76,'308'!$T$78:$T$84,'308'!$T$86,'308'!$T$88:$T$89,'308'!$T$91,'308'!$T$93,'308'!$T$95:$T$96,'308'!$T$98,'308'!$T$100:$T$108,'308'!$T$110:$T$112,'308'!$T$114:$T$115,'308'!$T$117:$T$119,'308'!$T$121:$T$122,'308'!$T$124,'308'!$T$126</definedName>
    <definedName name="OSRRefT22x_0" localSheetId="65">'309'!$T$24:$T$31,'309'!$T$33:$T$37,'309'!$T$39,'309'!$T$41,'309'!$T$43,'309'!$T$45,'309'!$T$47,'309'!$T$49,'309'!$T$51,'309'!$T$53:$T$54,'309'!$T$56:$T$58,'309'!$T$60:$T$62,'309'!$T$64</definedName>
    <definedName name="OSRRefT22x_0" localSheetId="64">'310'!$T$32:$T$39,'310'!$T$41:$T$46,'310'!$T$48,'310'!$T$50,'310'!$T$52,'310'!$T$54:$T$55,'310'!$T$57,'310'!$T$59,'310'!$T$61,'310'!$T$63,'310'!$T$65,'310'!$T$67,'310'!$T$69,'310'!$T$71,'310'!$T$73:$T$75,'310'!$T$77,'310'!$T$79:$T$82,'310'!$T$84,'310'!$T$86:$T$94,'310'!$T$96,'310'!$T$98,'310'!$T$100,'310'!$T$102</definedName>
    <definedName name="OSRRefT22x_0" localSheetId="74">'310 &amp; 491'!$T$39:$T$47,'310 &amp; 491'!$T$49:$T$55,'310 &amp; 491'!$T$57,'310 &amp; 491'!$T$59,'310 &amp; 491'!$T$61,'310 &amp; 491'!$T$63:$T$65,'310 &amp; 491'!$T$67,'310 &amp; 491'!$T$69,'310 &amp; 491'!$T$71,'310 &amp; 491'!$T$73,'310 &amp; 491'!$T$75:$T$76,'310 &amp; 491'!$T$78:$T$79,'310 &amp; 491'!$T$81,'310 &amp; 491'!$T$83,'310 &amp; 491'!$T$85,'310 &amp; 491'!$T$87,'310 &amp; 491'!$T$89:$T$92,'310 &amp; 491'!$T$94:$T$95,'310 &amp; 491'!$T$97:$T$101,'310 &amp; 491'!$T$103:$T$104,'310 &amp; 491'!$T$106:$T$115,'310 &amp; 491'!$T$117,'310 &amp; 491'!$T$119,'310 &amp; 491'!$T$121:$T$123,'310 &amp; 491'!$T$125</definedName>
    <definedName name="OSRRefT22x_0" localSheetId="56">'311'!$T$67:$T$75,'311'!$T$77:$T$83,'311'!$T$85,'311'!$T$87:$T$88,'311'!$T$90,'311'!$T$92,'311'!$T$94:$T$95,'311'!$T$97,'311'!$T$99:$T$107,'311'!$T$109:$T$111,'311'!$T$113:$T$114,'311'!$T$116:$T$118,'311'!$T$120:$T$121,'311'!$T$123,'311'!$T$125</definedName>
    <definedName name="OSRRefT22x_0" localSheetId="66">'313'!$T$29:$T$36,'313'!$T$38:$T$43,'313'!$T$45,'313'!$T$47,'313'!$T$49,'313'!$T$51,'313'!$T$53,'313'!$T$55,'313'!$T$57:$T$59,'313'!$T$61,'313'!$T$63:$T$68,'313'!$T$70,'313'!$T$72</definedName>
    <definedName name="OSRRefT22x_0" localSheetId="54">'314'!$T$57:$T$65,'314'!$T$67:$T$69,'314'!$T$71,'314'!$T$73:$T$74,'314'!$T$76,'314'!$T$78:$T$86,'314'!$T$88,'314'!$T$90:$T$91,'314'!$T$93,'314'!$T$95</definedName>
    <definedName name="OSRRefT22x_0" localSheetId="58">'315'!$T$84:$T$91,'315'!$T$93:$T$98,'315'!$T$100,'315'!$T$102:$T$103,'315'!$T$105,'315'!$T$107:$T$108,'315'!$T$110:$T$116,'315'!$T$118,'315'!$T$120,'315'!$T$122:$T$123,'315'!$T$125:$T$126,'315'!$T$128:$T$132,'315'!$T$134,'315'!$T$136,'315'!$T$138:$T$139</definedName>
    <definedName name="OSRRefT22x_0" localSheetId="60">'316'!$T$37:$T$44,'316'!$T$46:$T$49,'316'!$T$51,'316'!$T$53,'316'!$T$55,'316'!$T$57,'316'!$T$59:$T$60,'316'!$T$62,'316'!$T$64:$T$66,'316'!$T$68,'316'!$T$70,'316'!$T$72:$T$77,'316'!$T$79,'316'!$T$81,'316'!$T$83</definedName>
    <definedName name="OSRRefT22x_0" localSheetId="63">'317'!$T$61:$T$69,'317'!$T$71:$T$75,'317'!$T$77,'317'!$T$79,'317'!$T$81,'317'!$T$83:$T$84,'317'!$T$86,'317'!$T$88:$T$95,'317'!$T$97:$T$98,'317'!$T$100:$T$101,'317'!$T$103:$T$107,'317'!$T$109,'317'!$T$111,'317'!$T$113</definedName>
    <definedName name="OSRRefT22x_0" localSheetId="61">'320'!$T$29:$T$35,'320'!$T$37:$T$41,'320'!$T$43,'320'!$T$45,'320'!$T$47:$T$48,'320'!$T$50,'320'!$T$52:$T$54,'320'!$T$56:$T$57,'320'!$T$59</definedName>
    <definedName name="OSRRefT22x_0" localSheetId="67">'321'!$T$24:$T$31,'321'!$T$33:$T$37,'321'!$T$39,'321'!$T$41,'321'!$T$43,'321'!$T$45,'321'!$T$47,'321'!$T$49:$T$51,'321'!$T$53,'321'!$T$55:$T$57,'321'!$T$59:$T$63,'321'!$T$65,'321'!$T$67</definedName>
    <definedName name="OSRRefT22x_0" localSheetId="68">'322'!$T$24:$T$31,'322'!$T$33:$T$37,'322'!$T$39,'322'!$T$41,'322'!$T$43,'322'!$T$45,'322'!$T$47,'322'!$T$49,'322'!$T$51:$T$52,'322'!$T$54:$T$56,'322'!$T$58:$T$64,'322'!$T$66,'322'!$T$68,'322'!$T$70</definedName>
    <definedName name="OSRRefT22x_0" localSheetId="70">'325'!$T$24:$T$31,'325'!$T$33:$T$37,'325'!$T$39,'325'!$T$41,'325'!$T$43,'325'!$T$45:$T$46,'325'!$T$48,'325'!$T$50,'325'!$T$52,'325'!$T$54,'325'!$T$56,'325'!$T$58:$T$60,'325'!$T$62:$T$65,'325'!$T$67,'325'!$T$69:$T$73,'325'!$T$75,'325'!$T$77,'325'!$T$79</definedName>
    <definedName name="OSRRefT22x_0" localSheetId="71">'326'!$T$65:$T$72,'326'!$T$74:$T$79,'326'!$T$81,'326'!$T$83,'326'!$T$85,'326'!$T$87:$T$88,'326'!$T$90,'326'!$T$92,'326'!$T$94,'326'!$T$96:$T$108,'326'!$T$110,'326'!$T$112,'326'!$T$114:$T$116,'326'!$T$118:$T$120,'326'!$T$122:$T$123,'326'!$T$125:$T$130,'326'!$T$132,'326'!$T$134,'326'!$T$136,'326'!$T$138</definedName>
    <definedName name="OSRRefT22x_0" localSheetId="72">'327'!$T$23,'327'!$T$25,'327'!$T$27</definedName>
    <definedName name="OSRRefT22x_0" localSheetId="52">'330'!$T$87:$T$95,'330'!$T$97:$T$101,'330'!$T$103,'330'!$T$105,'330'!$T$107:$T$108,'330'!$T$110,'330'!$T$112,'330'!$T$114:$T$134,'330'!$T$136,'330'!$T$138:$T$139,'330'!$T$141:$T$142,'330'!$T$144,'330'!$T$146:$T$149,'330'!$T$151,'330'!$T$153,'330'!$T$155</definedName>
    <definedName name="OSRRefT22x_0" localSheetId="57">'331'!$T$93:$T$100,'331'!$T$102:$T$107,'331'!$T$109,'331'!$T$111,'331'!$T$113,'331'!$T$115:$T$116,'331'!$T$118,'331'!$T$120:$T$121,'331'!$T$123,'331'!$T$125,'331'!$T$127:$T$139,'331'!$T$141,'331'!$T$143,'331'!$T$145:$T$147,'331'!$T$149:$T$150,'331'!$T$152:$T$154,'331'!$T$156:$T$157,'331'!$T$159:$T$164,'331'!$T$166,'331'!$T$168,'331'!$T$170:$T$171,'331'!$T$173</definedName>
    <definedName name="OSRRefT22x_0" localSheetId="59">'332'!$T$45:$T$52,'332'!$T$54:$T$58,'332'!$T$60,'332'!$T$62,'332'!$T$64,'332'!$T$66,'332'!$T$68:$T$69,'332'!$T$71,'332'!$T$73:$T$75,'332'!$T$77:$T$79,'332'!$T$81,'332'!$T$83,'332'!$T$85:$T$90,'332'!$T$92,'332'!$T$94,'332'!$T$96</definedName>
    <definedName name="OSRRefT22x_0" localSheetId="76">'405'!$T$24:$T$31,'405'!$T$33:$T$36,'405'!$T$38,'405'!$T$40,'405'!$T$42,'405'!$T$44:$T$45,'405'!$T$47,'405'!$T$49,'405'!$T$51,'405'!$T$53,'405'!$T$55:$T$56,'405'!$T$58,'405'!$T$60:$T$62,'405'!$T$64:$T$65,'405'!$T$67:$T$73,'405'!$T$75,'405'!$T$77,'405'!$T$79</definedName>
    <definedName name="OSRRefT22x_0" localSheetId="77">'406'!$T$24:$T$31,'406'!$T$33:$T$38,'406'!$T$40,'406'!$T$42,'406'!$T$44,'406'!$T$46,'406'!$T$48,'406'!$T$50,'406'!$T$52,'406'!$T$54:$T$56,'406'!$T$58:$T$59,'406'!$T$61:$T$66,'406'!$T$68,'406'!$T$70,'406'!$T$72</definedName>
    <definedName name="OSRRefT22x_0" localSheetId="78">'411'!$T$20:$T$28,'411'!$T$30:$T$35,'411'!$T$37,'411'!$T$39,'411'!$T$41:$T$43,'411'!$T$45,'411'!$T$47,'411'!$T$49,'411'!$T$51,'411'!$T$53,'411'!$T$55,'411'!$T$57,'411'!$T$59:$T$62,'411'!$T$64:$T$68,'411'!$T$70:$T$71,'411'!$T$73:$T$81,'411'!$T$83,'411'!$T$85,'411'!$T$87:$T$89,'411'!$T$91</definedName>
    <definedName name="OSRRefT22x_0" localSheetId="79">'412'!$T$24:$T$31,'412'!$T$33:$T$38,'412'!$T$40,'412'!$T$42,'412'!$T$44,'412'!$T$46,'412'!$T$48,'412'!$T$50,'412'!$T$52,'412'!$T$54:$T$56,'412'!$T$58:$T$60,'412'!$T$62:$T$67,'412'!$T$69,'412'!$T$71</definedName>
    <definedName name="OSRRefT22x_0" localSheetId="80">'413'!$T$24:$T$31,'413'!$T$33:$T$37,'413'!$T$39,'413'!$T$41,'413'!$T$43,'413'!$T$45,'413'!$T$47,'413'!$T$49:$T$51,'413'!$T$53:$T$55,'413'!$T$57:$T$62,'413'!$T$64,'413'!$T$66</definedName>
    <definedName name="OSRRefT22x_0" localSheetId="81">'414'!$T$24:$T$31,'414'!$T$33:$T$38,'414'!$T$40,'414'!$T$42,'414'!$T$44,'414'!$T$46,'414'!$T$48,'414'!$T$50,'414'!$T$52,'414'!$T$54:$T$55,'414'!$T$57,'414'!$T$59,'414'!$T$61,'414'!$T$63:$T$69,'414'!$T$71,'414'!$T$73</definedName>
    <definedName name="OSRRefT22x_0" localSheetId="82">'415'!$T$24:$T$31,'415'!$T$33:$T$38,'415'!$T$40,'415'!$T$42,'415'!$T$44,'415'!$T$46:$T$47,'415'!$T$49,'415'!$T$51,'415'!$T$53,'415'!$T$55,'415'!$T$57,'415'!$T$59:$T$62,'415'!$T$64:$T$68,'415'!$T$70:$T$71,'415'!$T$73:$T$81,'415'!$T$83,'415'!$T$85,'415'!$T$87</definedName>
    <definedName name="OSRRefT22x_0" localSheetId="83">'418'!$T$24:$T$31,'418'!$T$33:$T$38,'418'!$T$40,'418'!$T$42,'418'!$T$44,'418'!$T$46:$T$47,'418'!$T$49,'418'!$T$51,'418'!$T$53,'418'!$T$55,'418'!$T$57:$T$58,'418'!$T$60:$T$62,'418'!$T$64:$T$66,'418'!$T$68:$T$69,'418'!$T$71:$T$78,'418'!$T$80,'418'!$T$82</definedName>
    <definedName name="OSRRefT22x_0" localSheetId="84">'420'!$T$24:$T$31,'420'!$T$33:$T$36,'420'!$T$38,'420'!$T$40,'420'!$T$42,'420'!$T$44,'420'!$T$46:$T$47,'420'!$T$49</definedName>
    <definedName name="OSRRefT22x_0" localSheetId="85">'423'!$T$21:$T$28,'423'!$T$30:$T$31,'423'!$T$33,'423'!$T$35,'423'!$T$37,'423'!$T$39,'423'!$T$41</definedName>
    <definedName name="OSRRefT22x_0" localSheetId="86">'424'!$T$24:$T$25,'424'!$T$27:$T$31,'424'!$T$33,'424'!$T$35,'424'!$T$37,'424'!$T$39,'424'!$T$41,'424'!$T$43,'424'!$T$45:$T$46,'424'!$T$48,'424'!$T$50,'424'!$T$52:$T$56,'424'!$T$58</definedName>
    <definedName name="OSRRefT22x_0" localSheetId="87">'425'!$T$27:$T$35,'425'!$T$37:$T$42,'425'!$T$44,'425'!$T$46,'425'!$T$48,'425'!$T$50,'425'!$T$52,'425'!$T$54,'425'!$T$56,'425'!$T$58:$T$60,'425'!$T$62,'425'!$T$64:$T$66,'425'!$T$68:$T$74,'425'!$T$76,'425'!$T$78</definedName>
    <definedName name="OSRRefT22x_0" localSheetId="90">'430'!$T$20:$T$27,'430'!$T$29,'430'!$T$31,'430'!$T$33,'430'!$T$35:$T$36,'430'!$T$38,'430'!$T$40,'430'!$T$42</definedName>
    <definedName name="OSRRefT22x_0" localSheetId="91">'433'!$T$26:$T$34,'433'!$T$36:$T$41,'433'!$T$43,'433'!$T$45,'433'!$T$47,'433'!$T$49,'433'!$T$51,'433'!$T$53,'433'!$T$55,'433'!$T$57,'433'!$T$59,'433'!$T$61:$T$63,'433'!$T$65:$T$67,'433'!$T$69:$T$76,'433'!$T$78,'433'!$T$80,'433'!$T$82</definedName>
    <definedName name="OSRRefT22x_0" localSheetId="92">'435'!$T$25:$T$27,'435'!$T$29:$T$31,'435'!$T$33,'435'!$T$35,'435'!$T$37,'435'!$T$39,'435'!$T$41,'435'!$T$43:$T$45,'435'!$T$47</definedName>
    <definedName name="OSRRefT22x_0" localSheetId="93">'444'!$T$25:$T$33,'444'!$T$35:$T$40,'444'!$T$42,'444'!$T$44,'444'!$T$46,'444'!$T$48,'444'!$T$50,'444'!$T$52,'444'!$T$54,'444'!$T$56,'444'!$T$58,'444'!$T$60:$T$62,'444'!$T$64:$T$67,'444'!$T$69,'444'!$T$71:$T$79,'444'!$T$81,'444'!$T$83,'444'!$T$85:$T$86</definedName>
    <definedName name="OSRRefT22x_0" localSheetId="94">'450'!$T$25:$T$33,'450'!$T$35:$T$40,'450'!$T$42,'450'!$T$44,'450'!$T$46,'450'!$T$48,'450'!$T$50,'450'!$T$52,'450'!$T$54,'450'!$T$56,'450'!$T$58,'450'!$T$60,'450'!$T$62:$T$63,'450'!$T$65:$T$67,'450'!$T$69:$T$74,'450'!$T$76,'450'!$T$78,'450'!$T$80</definedName>
    <definedName name="OSRRefT22x_0" localSheetId="88">'455'!$T$20:$T$26,'455'!$T$28:$T$29</definedName>
    <definedName name="OSRRefT22x_0" localSheetId="75">'491'!$T$32:$T$40,'491'!$T$42:$T$48,'491'!$T$50,'491'!$T$52,'491'!$T$54,'491'!$T$56:$T$58,'491'!$T$60,'491'!$T$62,'491'!$T$64,'491'!$T$66,'491'!$T$68,'491'!$T$70:$T$71,'491'!$T$73,'491'!$T$75,'491'!$T$77,'491'!$T$79,'491'!$T$81:$T$84,'491'!$T$86:$T$87,'491'!$T$89:$T$93,'491'!$T$95:$T$96,'491'!$T$98:$T$107,'491'!$T$109,'491'!$T$111,'491'!$T$113:$T$115,'491'!$T$117</definedName>
    <definedName name="OSRRefT22x_0" localSheetId="89">'492'!$T$28:$T$36,'492'!$T$38:$T$44,'492'!$T$46,'492'!$T$48,'492'!$T$50,'492'!$T$52,'492'!$T$54,'492'!$T$56,'492'!$T$58,'492'!$T$60,'492'!$T$62,'492'!$T$64,'492'!$T$66:$T$68,'492'!$T$70:$T$73,'492'!$T$75,'492'!$T$77:$T$85,'492'!$T$87,'492'!$T$89,'492'!$T$91:$T$92</definedName>
    <definedName name="OSRRefT22x_0" localSheetId="96">'501'!$T$21:$T$29,'501'!$T$31:$T$35,'501'!$T$37,'501'!$T$39,'501'!$T$41,'501'!$T$43:$T$44,'501'!$T$46,'501'!$T$48,'501'!$T$50,'501'!$T$52:$T$54,'501'!$T$56,'501'!$T$58:$T$60,'501'!$T$62,'501'!$T$64</definedName>
    <definedName name="OSRRefT22x_0" localSheetId="39">'Div 2'!$T$20:$T$30,'Div 2'!$T$32:$T$38,'Div 2'!$T$40,'Div 2'!$T$42,'Div 2'!$T$44,'Div 2'!$T$46,'Div 2'!$T$48,'Div 2'!$T$50,'Div 2'!$T$52,'Div 2'!$T$54:$T$55,'Div 2'!$T$57,'Div 2'!$T$59,'Div 2'!$T$61:$T$64,'Div 2'!$T$66:$T$68,'Div 2'!$T$70:$T$71,'Div 2'!$T$73,'Div 2'!$T$75:$T$80,'Div 2'!$T$82:$T$83,'Div 2'!$T$85,'Div 2'!$T$87:$T$88</definedName>
    <definedName name="OSRRefT22x_0" localSheetId="47">'Div 3'!$T$176:$T$185,'Div 3'!$T$187:$T$193,'Div 3'!$T$195,'Div 3'!$T$197:$T$198,'Div 3'!$T$200,'Div 3'!$T$202:$T$204,'Div 3'!$T$206:$T$207,'Div 3'!$T$209,'Div 3'!$T$211,'Div 3'!$T$213,'Div 3'!$T$215:$T$216,'Div 3'!$T$218,'Div 3'!$T$220,'Div 3'!$T$222,'Div 3'!$T$224:$T$257,'Div 3'!$T$259,'Div 3'!$T$261,'Div 3'!$T$263:$T$266,'Div 3'!$T$268:$T$270,'Div 3'!$T$272:$T$276,'Div 3'!$T$278:$T$279,'Div 3'!$T$281:$T$289,'Div 3'!$T$291:$T$292,'Div 3'!$T$294,'Div 3'!$T$296:$T$298,'Div 3'!$T$300</definedName>
    <definedName name="OSRRefT22x_0" localSheetId="73">'Div 4'!$T$33:$T$41,'Div 4'!$T$43:$T$49,'Div 4'!$T$51,'Div 4'!$T$53,'Div 4'!$T$55,'Div 4'!$T$57:$T$59,'Div 4'!$T$61,'Div 4'!$T$63,'Div 4'!$T$65,'Div 4'!$T$67,'Div 4'!$T$69,'Div 4'!$T$71:$T$72,'Div 4'!$T$74,'Div 4'!$T$76,'Div 4'!$T$78,'Div 4'!$T$80,'Div 4'!$T$82,'Div 4'!$T$84:$T$87,'Div 4'!$T$89:$T$90,'Div 4'!$T$92:$T$96,'Div 4'!$T$98:$T$99,'Div 4'!$T$101:$T$110,'Div 4'!$T$112,'Div 4'!$T$114,'Div 4'!$T$116:$T$118,'Div 4'!$T$120</definedName>
    <definedName name="OSRRefT22x_0" localSheetId="95">'Div 5'!$T$21:$T$29,'Div 5'!$T$31:$T$35,'Div 5'!$T$37,'Div 5'!$T$39,'Div 5'!$T$41,'Div 5'!$T$43:$T$44,'Div 5'!$T$46,'Div 5'!$T$48,'Div 5'!$T$50,'Div 5'!$T$52:$T$54,'Div 5'!$T$56,'Div 5'!$T$58:$T$60,'Div 5'!$T$62,'Div 5'!$T$64</definedName>
    <definedName name="OSRRefT22x_0" localSheetId="62">'Div 6'!$T$61:$T$69,'Div 6'!$T$71:$T$75,'Div 6'!$T$77,'Div 6'!$T$79,'Div 6'!$T$81,'Div 6'!$T$83:$T$84,'Div 6'!$T$86,'Div 6'!$T$88:$T$95,'Div 6'!$T$97:$T$98,'Div 6'!$T$100:$T$101,'Div 6'!$T$103:$T$107,'Div 6'!$T$109,'Div 6'!$T$111,'Div 6'!$T$113</definedName>
    <definedName name="OSRRefT22x_0" localSheetId="2">Summary!$T$210:$T$219,Summary!$T$221:$T$227,Summary!$T$229,Summary!$T$231:$T$232,Summary!$T$234,Summary!$T$236:$T$239,Summary!$T$241:$T$242,Summary!$T$244,Summary!$T$246,Summary!$T$248,Summary!$T$250:$T$251,Summary!$T$253:$T$254,Summary!$T$256,Summary!$T$258,Summary!$T$260:$T$296,Summary!$T$298,Summary!$T$300,Summary!$T$302,Summary!$T$304:$T$307,Summary!$T$309:$T$311,Summary!$T$313:$T$317,Summary!$T$319:$T$320,Summary!$T$322:$T$331,Summary!$T$333:$T$334,Summary!$T$336,Summary!$T$338:$T$340,Summary!$T$342</definedName>
    <definedName name="OSRRefT25x_0" localSheetId="48">'300'!$T$294:$T$302</definedName>
    <definedName name="OSRRefT25x_0" localSheetId="49">'300 &amp; 317'!$T$323:$T$334</definedName>
    <definedName name="OSRRefT25x_0" localSheetId="50">'301'!$T$103:$T$105</definedName>
    <definedName name="OSRRefT25x_0" localSheetId="53">'307'!$T$141</definedName>
    <definedName name="OSRRefT25x_0" localSheetId="55">'308'!$T$129:$T$131</definedName>
    <definedName name="OSRRefT25x_0" localSheetId="74">'310 &amp; 491'!$T$128:$T$130</definedName>
    <definedName name="OSRRefT25x_0" localSheetId="56">'311'!$T$128:$T$130</definedName>
    <definedName name="OSRRefT25x_0" localSheetId="58">'315'!$T$142:$T$144</definedName>
    <definedName name="OSRRefT25x_0" localSheetId="60">'316'!$T$86</definedName>
    <definedName name="OSRRefT25x_0" localSheetId="63">'317'!$T$116:$T$119</definedName>
    <definedName name="OSRRefT25x_0" localSheetId="61">'320'!$T$62:$T$66</definedName>
    <definedName name="OSRRefT25x_0" localSheetId="52">'330'!$T$158</definedName>
    <definedName name="OSRRefT25x_0" localSheetId="57">'331'!$T$176:$T$178</definedName>
    <definedName name="OSRRefT25x_0" localSheetId="59">'332'!$T$99:$T$104</definedName>
    <definedName name="OSRRefT25x_0" localSheetId="78">'411'!$T$94:$T$95</definedName>
    <definedName name="OSRRefT25x_0" localSheetId="80">'413'!$T$69</definedName>
    <definedName name="OSRRefT25x_0" localSheetId="82">'415'!$T$90</definedName>
    <definedName name="OSRRefT25x_0" localSheetId="83">'418'!$T$85</definedName>
    <definedName name="OSRRefT25x_0" localSheetId="85">'423'!$T$44</definedName>
    <definedName name="OSRRefT25x_0" localSheetId="86">'424'!$T$61</definedName>
    <definedName name="OSRRefT25x_0" localSheetId="87">'425'!$T$81</definedName>
    <definedName name="OSRRefT25x_0" localSheetId="88">'455'!$T$32:$T$34</definedName>
    <definedName name="OSRRefT25x_0" localSheetId="75">'491'!$T$120:$T$122</definedName>
    <definedName name="OSRRefT25x_0" localSheetId="96">'501'!$T$67</definedName>
    <definedName name="OSRRefT25x_0" localSheetId="47">'Div 3'!$T$303:$T$311</definedName>
    <definedName name="OSRRefT25x_0" localSheetId="73">'Div 4'!$T$123:$T$125</definedName>
    <definedName name="OSRRefT25x_0" localSheetId="95">'Div 5'!$T$67</definedName>
    <definedName name="OSRRefT25x_0" localSheetId="62">'Div 6'!$T$116:$T$119</definedName>
    <definedName name="OSRRefT25x_0" localSheetId="2">Summary!$T$345:$T$357</definedName>
    <definedName name="_xlnm.Print_Area" localSheetId="38">'100'!$A$1:$Z$34</definedName>
    <definedName name="_xlnm.Print_Area" localSheetId="40">'200'!$A$1:$Z$44</definedName>
    <definedName name="_xlnm.Print_Area" localSheetId="41">'201'!$A$1:$Z$80</definedName>
    <definedName name="_xlnm.Print_Area" localSheetId="42">'202'!$A$1:$Z$80</definedName>
    <definedName name="_xlnm.Print_Area" localSheetId="43">'203'!$A$1:$Z$84</definedName>
    <definedName name="_xlnm.Print_Area" localSheetId="44">'204'!$A$1:$Z$71</definedName>
    <definedName name="_xlnm.Print_Area" localSheetId="45">'205'!$A$1:$Z$61</definedName>
    <definedName name="_xlnm.Print_Area" localSheetId="46">'206'!$A$1:$Z$61</definedName>
    <definedName name="_xlnm.Print_Area" localSheetId="48">'300'!$A$1:$Z$314</definedName>
    <definedName name="_xlnm.Print_Area" localSheetId="49">'300 &amp; 317'!$A$1:$Z$346</definedName>
    <definedName name="_xlnm.Print_Area" localSheetId="50">'301'!$A$1:$Z$117</definedName>
    <definedName name="_xlnm.Print_Area" localSheetId="51">'306'!$A$1:$Z$68</definedName>
    <definedName name="_xlnm.Print_Area" localSheetId="53">'307'!$A$1:$Z$153</definedName>
    <definedName name="_xlnm.Print_Area" localSheetId="55">'308'!$A$1:$Z$143</definedName>
    <definedName name="_xlnm.Print_Area" localSheetId="65">'309'!$A$1:$Z$78</definedName>
    <definedName name="_xlnm.Print_Area" localSheetId="64">'310'!$A$1:$Z$116</definedName>
    <definedName name="_xlnm.Print_Area" localSheetId="74">'310 &amp; 491'!$A$1:$Z$142</definedName>
    <definedName name="_xlnm.Print_Area" localSheetId="56">'311'!$A$1:$Z$142</definedName>
    <definedName name="_xlnm.Print_Area" localSheetId="66">'313'!$A$1:$Z$86</definedName>
    <definedName name="_xlnm.Print_Area" localSheetId="54">'314'!$A$1:$Z$109</definedName>
    <definedName name="_xlnm.Print_Area" localSheetId="58">'315'!$A$1:$Z$156</definedName>
    <definedName name="_xlnm.Print_Area" localSheetId="60">'316'!$A$1:$Z$98</definedName>
    <definedName name="_xlnm.Print_Area" localSheetId="63">'317'!$A$1:$Z$131</definedName>
    <definedName name="_xlnm.Print_Area" localSheetId="61">'320'!$A$1:$Z$78</definedName>
    <definedName name="_xlnm.Print_Area" localSheetId="67">'321'!$A$1:$Z$81</definedName>
    <definedName name="_xlnm.Print_Area" localSheetId="68">'322'!$A$1:$Z$84</definedName>
    <definedName name="_xlnm.Print_Area" localSheetId="69">'324'!$A$1:$Z$37</definedName>
    <definedName name="_xlnm.Print_Area" localSheetId="70">'325'!$A$1:$Z$93</definedName>
    <definedName name="_xlnm.Print_Area" localSheetId="71">'326'!$A$1:$Z$152</definedName>
    <definedName name="_xlnm.Print_Area" localSheetId="72">'327'!$A$1:$Z$41</definedName>
    <definedName name="_xlnm.Print_Area" localSheetId="52">'330'!$A$1:$Z$170</definedName>
    <definedName name="_xlnm.Print_Area" localSheetId="57">'331'!$A$1:$Z$190</definedName>
    <definedName name="_xlnm.Print_Area" localSheetId="59">'332'!$A$1:$Z$116</definedName>
    <definedName name="_xlnm.Print_Area" localSheetId="76">'405'!$A$1:$Z$93</definedName>
    <definedName name="_xlnm.Print_Area" localSheetId="77">'406'!$A$1:$Z$86</definedName>
    <definedName name="_xlnm.Print_Area" localSheetId="78">'411'!$A$1:$Z$107</definedName>
    <definedName name="_xlnm.Print_Area" localSheetId="79">'412'!$A$1:$Z$85</definedName>
    <definedName name="_xlnm.Print_Area" localSheetId="80">'413'!$A$1:$Z$81</definedName>
    <definedName name="_xlnm.Print_Area" localSheetId="81">'414'!$A$1:$Z$87</definedName>
    <definedName name="_xlnm.Print_Area" localSheetId="82">'415'!$A$1:$Z$102</definedName>
    <definedName name="_xlnm.Print_Area" localSheetId="83">'418'!$A$1:$Z$97</definedName>
    <definedName name="_xlnm.Print_Area" localSheetId="84">'420'!$A$1:$Z$63</definedName>
    <definedName name="_xlnm.Print_Area" localSheetId="85">'423'!$A$1:$Z$56</definedName>
    <definedName name="_xlnm.Print_Area" localSheetId="86">'424'!$A$1:$Z$73</definedName>
    <definedName name="_xlnm.Print_Area" localSheetId="87">'425'!$A$1:$Z$93</definedName>
    <definedName name="_xlnm.Print_Area" localSheetId="90">'430'!$A$1:$Z$56</definedName>
    <definedName name="_xlnm.Print_Area" localSheetId="91">'433'!$A$1:$Z$96</definedName>
    <definedName name="_xlnm.Print_Area" localSheetId="92">'435'!$A$1:$Z$61</definedName>
    <definedName name="_xlnm.Print_Area" localSheetId="93">'444'!$A$1:$Z$100</definedName>
    <definedName name="_xlnm.Print_Area" localSheetId="94">'450'!$A$1:$Z$94</definedName>
    <definedName name="_xlnm.Print_Area" localSheetId="88">'455'!$A$1:$Z$46</definedName>
    <definedName name="_xlnm.Print_Area" localSheetId="75">'491'!$A$1:$Z$134</definedName>
    <definedName name="_xlnm.Print_Area" localSheetId="89">'492'!$A$1:$Z$106</definedName>
    <definedName name="_xlnm.Print_Area" localSheetId="96">'501'!$A$1:$Z$79</definedName>
    <definedName name="_xlnm.Print_Area" localSheetId="97">Dept!$A$1:$Z$39</definedName>
    <definedName name="_xlnm.Print_Area" localSheetId="5">'Div 1'!$A$1:$Z$34</definedName>
    <definedName name="_xlnm.Print_Area" localSheetId="39">'Div 2'!$A$1:$Z$102</definedName>
    <definedName name="_xlnm.Print_Area" localSheetId="47">'Div 3'!$A$1:$Z$323</definedName>
    <definedName name="_xlnm.Print_Area" localSheetId="73">'Div 4'!$A$1:$Z$137</definedName>
    <definedName name="_xlnm.Print_Area" localSheetId="95">'Div 5'!$A$1:$Z$79</definedName>
    <definedName name="_xlnm.Print_Area" localSheetId="62">'Div 6'!$A$1:$Z$131</definedName>
    <definedName name="_xlnm.Print_Area" localSheetId="14">'OSR_300 &amp; 317_1C00ID4'!$A$1:$Z$39</definedName>
    <definedName name="_xlnm.Print_Area" localSheetId="11">'OSR_300 (2)_7...54cb56fc_UFX0O2'!$A$1:$Z$39</definedName>
    <definedName name="_xlnm.Print_Area" localSheetId="15">'OSR_300 (2)_c...79cd3046_1TJM0H'!$A$1:$Z$39</definedName>
    <definedName name="_xlnm.Print_Area" localSheetId="17">'OSR_300 (2)_e...5d0da5bf_6BPGAO'!$A$1:$Z$39</definedName>
    <definedName name="_xlnm.Print_Area" localSheetId="12">OSR_300_IYZXI6!$A$1:$Z$39</definedName>
    <definedName name="_xlnm.Print_Area" localSheetId="23">'OSR_308 (2)_...47685838_1YQW4QY'!$A$1:$Z$39</definedName>
    <definedName name="_xlnm.Print_Area" localSheetId="20">OSR_308_UAWDAG!$A$1:$Z$39</definedName>
    <definedName name="_xlnm.Print_Area" localSheetId="28">'OSR_310 &amp; 491_1NGRCS9'!$A$1:$Z$39</definedName>
    <definedName name="_xlnm.Print_Area" localSheetId="19">'OSR_310 (2)_...6e684f08_1FLCNJG'!$A$1:$Z$39</definedName>
    <definedName name="_xlnm.Print_Area" localSheetId="27">'OSR_310 (2)_...8cac1423_1JTU33X'!$A$1:$Z$39</definedName>
    <definedName name="_xlnm.Print_Area" localSheetId="16">OSR_310_1CMTOSB!$A$1:$Z$39</definedName>
    <definedName name="_xlnm.Print_Area" localSheetId="21">'OSR_330 (2)_...8a14c83e_1NSH7XI'!$A$1:$Z$39</definedName>
    <definedName name="_xlnm.Print_Area" localSheetId="18">OSR_330_10VFP5Y!$A$1:$Z$39</definedName>
    <definedName name="_xlnm.Print_Area" localSheetId="25">'OSR_331 (2)_...7280af70_1P5SPLT'!$A$1:$Z$39</definedName>
    <definedName name="_xlnm.Print_Area" localSheetId="22">OSR_331_10VKQAJ!$A$1:$Z$39</definedName>
    <definedName name="_xlnm.Print_Area" localSheetId="24">OSR_332_6NDVBW!$A$1:$Z$39</definedName>
    <definedName name="_xlnm.Print_Area" localSheetId="29">'OSR_491 (2)_0...c51cc666_QIOT67'!$A$1:$Z$39</definedName>
    <definedName name="_xlnm.Print_Area" localSheetId="30">OSR_491_9Z9JH5!$A$1:$Z$39</definedName>
    <definedName name="_xlnm.Print_Area" localSheetId="35">'OSR_492 (2)_...cd97c6a6_13HYXEV'!$A$1:$Z$39</definedName>
    <definedName name="_xlnm.Print_Area" localSheetId="32">OSR_492_943FP1!$A$1:$Z$39</definedName>
    <definedName name="_xlnm.Print_Area" localSheetId="4">'OSR_Current ...69b7dd8c_1IEQKFK'!$A$1:$Z$39</definedName>
    <definedName name="_xlnm.Print_Area" localSheetId="98">OSR_Dept_Y0WUKY!$A$1:$Z$39</definedName>
    <definedName name="_xlnm.Print_Area" localSheetId="9">'OSR_Div 1 (2)...789fe994_2NV3KA'!$A$1:$Z$39</definedName>
    <definedName name="_xlnm.Print_Area" localSheetId="6">'OSR_Div 1_7H47HR'!$A$1:$Z$39</definedName>
    <definedName name="_xlnm.Print_Area" localSheetId="8">'OSR_Div 2_1PQ800A'!$A$1:$Z$39</definedName>
    <definedName name="_xlnm.Print_Area" localSheetId="7">'OSR_Div 3 (2)...4cb81c06_PBSMLS'!$A$1:$Z$39</definedName>
    <definedName name="_xlnm.Print_Area" localSheetId="13">'OSR_Div 3 (2)...b7db256a_40ITCB'!$A$1:$Z$39</definedName>
    <definedName name="_xlnm.Print_Area" localSheetId="10">'OSR_Div 3_18723PH'!$A$1:$Z$39</definedName>
    <definedName name="_xlnm.Print_Area" localSheetId="33">'OSR_Div 4 (2)...1a9a4454_CQFRNE'!$A$1:$Z$39</definedName>
    <definedName name="_xlnm.Print_Area" localSheetId="31">'OSR_Div 4 (2...2533da42_174R6QX'!$A$1:$Z$39</definedName>
    <definedName name="_xlnm.Print_Area" localSheetId="26">'OSR_Div 4_1740TMT'!$A$1:$Z$39</definedName>
    <definedName name="_xlnm.Print_Area" localSheetId="37">'OSR_Div 5 (2...09141158_1BG9FGV'!$A$1:$Z$39</definedName>
    <definedName name="_xlnm.Print_Area" localSheetId="34">'OSR_Div 5_16NAZO2'!$A$1:$Z$39</definedName>
    <definedName name="_xlnm.Print_Area" localSheetId="36">'OSR_Div 6_P37YY7'!$A$1:$Z$39</definedName>
    <definedName name="_xlnm.Print_Area" localSheetId="99">'OSR_Summary (...56e5d78f_5JEYZH'!$A$1:$Z$39</definedName>
    <definedName name="_xlnm.Print_Area" localSheetId="3">OSR_Summary_18VAVWG!$A$1:$Z$39</definedName>
    <definedName name="_xlnm.Print_Area" localSheetId="2">Summary!$A$1:$Z$371</definedName>
    <definedName name="_xlnm.Print_Titles" localSheetId="38">'100'!$A:$C,'100'!$1:$10</definedName>
    <definedName name="_xlnm.Print_Titles" localSheetId="40">'200'!$A:$C,'200'!$1:$10</definedName>
    <definedName name="_xlnm.Print_Titles" localSheetId="41">'201'!$A:$C,'201'!$1:$10</definedName>
    <definedName name="_xlnm.Print_Titles" localSheetId="42">'202'!$A:$C,'202'!$1:$10</definedName>
    <definedName name="_xlnm.Print_Titles" localSheetId="43">'203'!$A:$C,'203'!$1:$10</definedName>
    <definedName name="_xlnm.Print_Titles" localSheetId="44">'204'!$A:$C,'204'!$1:$10</definedName>
    <definedName name="_xlnm.Print_Titles" localSheetId="45">'205'!$A:$C,'205'!$1:$10</definedName>
    <definedName name="_xlnm.Print_Titles" localSheetId="46">'206'!$A:$C,'206'!$1:$10</definedName>
    <definedName name="_xlnm.Print_Titles" localSheetId="48">'300'!$A:$C,'300'!$1:$10</definedName>
    <definedName name="_xlnm.Print_Titles" localSheetId="49">'300 &amp; 317'!$A:$C,'300 &amp; 317'!$1:$10</definedName>
    <definedName name="_xlnm.Print_Titles" localSheetId="50">'301'!$A:$C,'301'!$1:$10</definedName>
    <definedName name="_xlnm.Print_Titles" localSheetId="51">'306'!$A:$C,'306'!$1:$10</definedName>
    <definedName name="_xlnm.Print_Titles" localSheetId="53">'307'!$A:$C,'307'!$1:$10</definedName>
    <definedName name="_xlnm.Print_Titles" localSheetId="55">'308'!$A:$C,'308'!$1:$10</definedName>
    <definedName name="_xlnm.Print_Titles" localSheetId="65">'309'!$A:$C,'309'!$1:$10</definedName>
    <definedName name="_xlnm.Print_Titles" localSheetId="64">'310'!$A:$C,'310'!$1:$10</definedName>
    <definedName name="_xlnm.Print_Titles" localSheetId="74">'310 &amp; 491'!$A:$C,'310 &amp; 491'!$1:$10</definedName>
    <definedName name="_xlnm.Print_Titles" localSheetId="56">'311'!$A:$C,'311'!$1:$10</definedName>
    <definedName name="_xlnm.Print_Titles" localSheetId="66">'313'!$A:$C,'313'!$1:$10</definedName>
    <definedName name="_xlnm.Print_Titles" localSheetId="54">'314'!$A:$C,'314'!$1:$10</definedName>
    <definedName name="_xlnm.Print_Titles" localSheetId="58">'315'!$A:$C,'315'!$1:$10</definedName>
    <definedName name="_xlnm.Print_Titles" localSheetId="60">'316'!$A:$C,'316'!$1:$10</definedName>
    <definedName name="_xlnm.Print_Titles" localSheetId="63">'317'!$A:$C,'317'!$1:$10</definedName>
    <definedName name="_xlnm.Print_Titles" localSheetId="61">'320'!$A:$C,'320'!$1:$10</definedName>
    <definedName name="_xlnm.Print_Titles" localSheetId="67">'321'!$A:$C,'321'!$1:$10</definedName>
    <definedName name="_xlnm.Print_Titles" localSheetId="68">'322'!$A:$C,'322'!$1:$10</definedName>
    <definedName name="_xlnm.Print_Titles" localSheetId="69">'324'!$A:$C,'324'!$1:$10</definedName>
    <definedName name="_xlnm.Print_Titles" localSheetId="70">'325'!$A:$C,'325'!$1:$10</definedName>
    <definedName name="_xlnm.Print_Titles" localSheetId="71">'326'!$A:$C,'326'!$1:$10</definedName>
    <definedName name="_xlnm.Print_Titles" localSheetId="72">'327'!$A:$C,'327'!$1:$10</definedName>
    <definedName name="_xlnm.Print_Titles" localSheetId="52">'330'!$A:$C,'330'!$1:$10</definedName>
    <definedName name="_xlnm.Print_Titles" localSheetId="57">'331'!$A:$C,'331'!$1:$10</definedName>
    <definedName name="_xlnm.Print_Titles" localSheetId="59">'332'!$A:$C,'332'!$1:$10</definedName>
    <definedName name="_xlnm.Print_Titles" localSheetId="76">'405'!$A:$C,'405'!$1:$10</definedName>
    <definedName name="_xlnm.Print_Titles" localSheetId="77">'406'!$A:$C,'406'!$1:$10</definedName>
    <definedName name="_xlnm.Print_Titles" localSheetId="78">'411'!$A:$C,'411'!$1:$10</definedName>
    <definedName name="_xlnm.Print_Titles" localSheetId="79">'412'!$A:$C,'412'!$1:$10</definedName>
    <definedName name="_xlnm.Print_Titles" localSheetId="80">'413'!$A:$C,'413'!$1:$10</definedName>
    <definedName name="_xlnm.Print_Titles" localSheetId="81">'414'!$A:$C,'414'!$1:$10</definedName>
    <definedName name="_xlnm.Print_Titles" localSheetId="82">'415'!$A:$C,'415'!$1:$10</definedName>
    <definedName name="_xlnm.Print_Titles" localSheetId="83">'418'!$A:$C,'418'!$1:$10</definedName>
    <definedName name="_xlnm.Print_Titles" localSheetId="84">'420'!$A:$C,'420'!$1:$10</definedName>
    <definedName name="_xlnm.Print_Titles" localSheetId="85">'423'!$A:$C,'423'!$1:$10</definedName>
    <definedName name="_xlnm.Print_Titles" localSheetId="86">'424'!$A:$C,'424'!$1:$10</definedName>
    <definedName name="_xlnm.Print_Titles" localSheetId="87">'425'!$A:$C,'425'!$1:$10</definedName>
    <definedName name="_xlnm.Print_Titles" localSheetId="90">'430'!$A:$C,'430'!$1:$10</definedName>
    <definedName name="_xlnm.Print_Titles" localSheetId="91">'433'!$A:$C,'433'!$1:$10</definedName>
    <definedName name="_xlnm.Print_Titles" localSheetId="92">'435'!$A:$C,'435'!$1:$10</definedName>
    <definedName name="_xlnm.Print_Titles" localSheetId="93">'444'!$A:$C,'444'!$1:$10</definedName>
    <definedName name="_xlnm.Print_Titles" localSheetId="94">'450'!$A:$C,'450'!$1:$10</definedName>
    <definedName name="_xlnm.Print_Titles" localSheetId="88">'455'!$A:$C,'455'!$1:$10</definedName>
    <definedName name="_xlnm.Print_Titles" localSheetId="75">'491'!$A:$C,'491'!$1:$10</definedName>
    <definedName name="_xlnm.Print_Titles" localSheetId="89">'492'!$A:$C,'492'!$1:$10</definedName>
    <definedName name="_xlnm.Print_Titles" localSheetId="96">'501'!$A:$C,'501'!$1:$10</definedName>
    <definedName name="_xlnm.Print_Titles" localSheetId="97">Dept!$A:$C,Dept!$1:$10</definedName>
    <definedName name="_xlnm.Print_Titles" localSheetId="5">'Div 1'!$A:$C,'Div 1'!$1:$10</definedName>
    <definedName name="_xlnm.Print_Titles" localSheetId="39">'Div 2'!$A:$C,'Div 2'!$1:$10</definedName>
    <definedName name="_xlnm.Print_Titles" localSheetId="47">'Div 3'!$A:$C,'Div 3'!$1:$10</definedName>
    <definedName name="_xlnm.Print_Titles" localSheetId="73">'Div 4'!$A:$C,'Div 4'!$1:$10</definedName>
    <definedName name="_xlnm.Print_Titles" localSheetId="95">'Div 5'!$A:$C,'Div 5'!$1:$10</definedName>
    <definedName name="_xlnm.Print_Titles" localSheetId="62">'Div 6'!$A:$C,'Div 6'!$1:$10</definedName>
    <definedName name="_xlnm.Print_Titles" localSheetId="14">'OSR_300 &amp; 317_1C00ID4'!$A:$C,'OSR_300 &amp; 317_1C00ID4'!$1:$10</definedName>
    <definedName name="_xlnm.Print_Titles" localSheetId="11">'OSR_300 (2)_7...54cb56fc_UFX0O2'!$A:$C,'OSR_300 (2)_7...54cb56fc_UFX0O2'!$1:$10</definedName>
    <definedName name="_xlnm.Print_Titles" localSheetId="15">'OSR_300 (2)_c...79cd3046_1TJM0H'!$A:$C,'OSR_300 (2)_c...79cd3046_1TJM0H'!$1:$10</definedName>
    <definedName name="_xlnm.Print_Titles" localSheetId="17">'OSR_300 (2)_e...5d0da5bf_6BPGAO'!$A:$C,'OSR_300 (2)_e...5d0da5bf_6BPGAO'!$1:$10</definedName>
    <definedName name="_xlnm.Print_Titles" localSheetId="12">OSR_300_IYZXI6!$A:$C,OSR_300_IYZXI6!$1:$10</definedName>
    <definedName name="_xlnm.Print_Titles" localSheetId="23">'OSR_308 (2)_...47685838_1YQW4QY'!$A:$C,'OSR_308 (2)_...47685838_1YQW4QY'!$1:$10</definedName>
    <definedName name="_xlnm.Print_Titles" localSheetId="20">OSR_308_UAWDAG!$A:$C,OSR_308_UAWDAG!$1:$10</definedName>
    <definedName name="_xlnm.Print_Titles" localSheetId="28">'OSR_310 &amp; 491_1NGRCS9'!$A:$C,'OSR_310 &amp; 491_1NGRCS9'!$1:$10</definedName>
    <definedName name="_xlnm.Print_Titles" localSheetId="19">'OSR_310 (2)_...6e684f08_1FLCNJG'!$A:$C,'OSR_310 (2)_...6e684f08_1FLCNJG'!$1:$10</definedName>
    <definedName name="_xlnm.Print_Titles" localSheetId="27">'OSR_310 (2)_...8cac1423_1JTU33X'!$A:$C,'OSR_310 (2)_...8cac1423_1JTU33X'!$1:$10</definedName>
    <definedName name="_xlnm.Print_Titles" localSheetId="16">OSR_310_1CMTOSB!$A:$C,OSR_310_1CMTOSB!$1:$10</definedName>
    <definedName name="_xlnm.Print_Titles" localSheetId="21">'OSR_330 (2)_...8a14c83e_1NSH7XI'!$A:$C,'OSR_330 (2)_...8a14c83e_1NSH7XI'!$1:$10</definedName>
    <definedName name="_xlnm.Print_Titles" localSheetId="18">OSR_330_10VFP5Y!$A:$C,OSR_330_10VFP5Y!$1:$10</definedName>
    <definedName name="_xlnm.Print_Titles" localSheetId="25">'OSR_331 (2)_...7280af70_1P5SPLT'!$A:$C,'OSR_331 (2)_...7280af70_1P5SPLT'!$1:$10</definedName>
    <definedName name="_xlnm.Print_Titles" localSheetId="22">OSR_331_10VKQAJ!$A:$C,OSR_331_10VKQAJ!$1:$10</definedName>
    <definedName name="_xlnm.Print_Titles" localSheetId="24">OSR_332_6NDVBW!$A:$C,OSR_332_6NDVBW!$1:$10</definedName>
    <definedName name="_xlnm.Print_Titles" localSheetId="29">'OSR_491 (2)_0...c51cc666_QIOT67'!$A:$C,'OSR_491 (2)_0...c51cc666_QIOT67'!$1:$10</definedName>
    <definedName name="_xlnm.Print_Titles" localSheetId="30">OSR_491_9Z9JH5!$A:$C,OSR_491_9Z9JH5!$1:$10</definedName>
    <definedName name="_xlnm.Print_Titles" localSheetId="35">'OSR_492 (2)_...cd97c6a6_13HYXEV'!$A:$C,'OSR_492 (2)_...cd97c6a6_13HYXEV'!$1:$10</definedName>
    <definedName name="_xlnm.Print_Titles" localSheetId="32">OSR_492_943FP1!$A:$C,OSR_492_943FP1!$1:$10</definedName>
    <definedName name="_xlnm.Print_Titles" localSheetId="4">'OSR_Current ...69b7dd8c_1IEQKFK'!$A:$C,'OSR_Current ...69b7dd8c_1IEQKFK'!$1:$10</definedName>
    <definedName name="_xlnm.Print_Titles" localSheetId="98">OSR_Dept_Y0WUKY!$A:$C,OSR_Dept_Y0WUKY!$1:$10</definedName>
    <definedName name="_xlnm.Print_Titles" localSheetId="9">'OSR_Div 1 (2)...789fe994_2NV3KA'!$A:$C,'OSR_Div 1 (2)...789fe994_2NV3KA'!$1:$10</definedName>
    <definedName name="_xlnm.Print_Titles" localSheetId="6">'OSR_Div 1_7H47HR'!$A:$C,'OSR_Div 1_7H47HR'!$1:$10</definedName>
    <definedName name="_xlnm.Print_Titles" localSheetId="8">'OSR_Div 2_1PQ800A'!$A:$C,'OSR_Div 2_1PQ800A'!$1:$10</definedName>
    <definedName name="_xlnm.Print_Titles" localSheetId="7">'OSR_Div 3 (2)...4cb81c06_PBSMLS'!$A:$C,'OSR_Div 3 (2)...4cb81c06_PBSMLS'!$1:$10</definedName>
    <definedName name="_xlnm.Print_Titles" localSheetId="13">'OSR_Div 3 (2)...b7db256a_40ITCB'!$A:$C,'OSR_Div 3 (2)...b7db256a_40ITCB'!$1:$10</definedName>
    <definedName name="_xlnm.Print_Titles" localSheetId="10">'OSR_Div 3_18723PH'!$A:$C,'OSR_Div 3_18723PH'!$1:$10</definedName>
    <definedName name="_xlnm.Print_Titles" localSheetId="33">'OSR_Div 4 (2)...1a9a4454_CQFRNE'!$A:$C,'OSR_Div 4 (2)...1a9a4454_CQFRNE'!$1:$10</definedName>
    <definedName name="_xlnm.Print_Titles" localSheetId="31">'OSR_Div 4 (2...2533da42_174R6QX'!$A:$C,'OSR_Div 4 (2...2533da42_174R6QX'!$1:$10</definedName>
    <definedName name="_xlnm.Print_Titles" localSheetId="26">'OSR_Div 4_1740TMT'!$A:$C,'OSR_Div 4_1740TMT'!$1:$10</definedName>
    <definedName name="_xlnm.Print_Titles" localSheetId="37">'OSR_Div 5 (2...09141158_1BG9FGV'!$A:$C,'OSR_Div 5 (2...09141158_1BG9FGV'!$1:$10</definedName>
    <definedName name="_xlnm.Print_Titles" localSheetId="34">'OSR_Div 5_16NAZO2'!$A:$C,'OSR_Div 5_16NAZO2'!$1:$10</definedName>
    <definedName name="_xlnm.Print_Titles" localSheetId="36">'OSR_Div 6_P37YY7'!$A:$C,'OSR_Div 6_P37YY7'!$1:$10</definedName>
    <definedName name="_xlnm.Print_Titles" localSheetId="99">'OSR_Summary (...56e5d78f_5JEYZH'!$A:$C,'OSR_Summary (...56e5d78f_5JEYZH'!$1:$10</definedName>
    <definedName name="_xlnm.Print_Titles" localSheetId="3">OSR_Summary_18VAVWG!$A:$C,OSR_Summary_18VAVWG!$1:$10</definedName>
    <definedName name="_xlnm.Print_Titles" localSheetId="2">Summary!$A:$C,Summary!$1:$10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39" i="100" l="1"/>
  <c r="B38" i="100"/>
  <c r="T34" i="100"/>
  <c r="Z34" i="100" s="1"/>
  <c r="P34" i="100"/>
  <c r="H34" i="100"/>
  <c r="N34" i="100" s="1"/>
  <c r="D34" i="100"/>
  <c r="T33" i="100"/>
  <c r="Z33" i="100" s="1"/>
  <c r="P33" i="100"/>
  <c r="H33" i="100"/>
  <c r="D33" i="100"/>
  <c r="T29" i="100"/>
  <c r="Z29" i="100" s="1"/>
  <c r="P29" i="100"/>
  <c r="H29" i="100"/>
  <c r="N29" i="100" s="1"/>
  <c r="D29" i="100"/>
  <c r="T25" i="100"/>
  <c r="Z25" i="100" s="1"/>
  <c r="P25" i="100"/>
  <c r="H25" i="100"/>
  <c r="N25" i="100" s="1"/>
  <c r="D25" i="100"/>
  <c r="B25" i="100"/>
  <c r="T24" i="100"/>
  <c r="P24" i="100"/>
  <c r="H24" i="100"/>
  <c r="N24" i="100" s="1"/>
  <c r="D24" i="100"/>
  <c r="T22" i="100"/>
  <c r="Z22" i="100" s="1"/>
  <c r="P22" i="100"/>
  <c r="H22" i="100"/>
  <c r="N22" i="100" s="1"/>
  <c r="D22" i="100"/>
  <c r="B22" i="100"/>
  <c r="T21" i="100"/>
  <c r="Z21" i="100" s="1"/>
  <c r="P21" i="100"/>
  <c r="H21" i="100"/>
  <c r="N21" i="100" s="1"/>
  <c r="D21" i="100"/>
  <c r="B21" i="100"/>
  <c r="T20" i="100"/>
  <c r="Z20" i="100" s="1"/>
  <c r="P20" i="100"/>
  <c r="H20" i="100"/>
  <c r="N20" i="100" s="1"/>
  <c r="D20" i="100"/>
  <c r="T16" i="100"/>
  <c r="Z16" i="100" s="1"/>
  <c r="P16" i="100"/>
  <c r="H16" i="100"/>
  <c r="N16" i="100" s="1"/>
  <c r="D16" i="100"/>
  <c r="B16" i="100"/>
  <c r="T15" i="100"/>
  <c r="P15" i="100"/>
  <c r="H15" i="100"/>
  <c r="N15" i="100" s="1"/>
  <c r="D15" i="100"/>
  <c r="T13" i="100"/>
  <c r="Z13" i="100" s="1"/>
  <c r="P13" i="100"/>
  <c r="H13" i="100"/>
  <c r="N13" i="100" s="1"/>
  <c r="D13" i="100"/>
  <c r="B13" i="100"/>
  <c r="T12" i="100"/>
  <c r="V24" i="100" s="1"/>
  <c r="P12" i="100"/>
  <c r="R24" i="100" s="1"/>
  <c r="H12" i="100"/>
  <c r="D12" i="100"/>
  <c r="F36" i="100" s="1"/>
  <c r="D6" i="100"/>
  <c r="D5" i="100"/>
  <c r="D4" i="100"/>
  <c r="B39" i="99"/>
  <c r="B38" i="99"/>
  <c r="T34" i="99"/>
  <c r="Z34" i="99" s="1"/>
  <c r="P34" i="99"/>
  <c r="H34" i="99"/>
  <c r="N34" i="99" s="1"/>
  <c r="D34" i="99"/>
  <c r="T33" i="99"/>
  <c r="Z33" i="99" s="1"/>
  <c r="P33" i="99"/>
  <c r="H33" i="99"/>
  <c r="N33" i="99" s="1"/>
  <c r="D33" i="99"/>
  <c r="T29" i="99"/>
  <c r="Z29" i="99" s="1"/>
  <c r="P29" i="99"/>
  <c r="H29" i="99"/>
  <c r="D29" i="99"/>
  <c r="T25" i="99"/>
  <c r="Z25" i="99" s="1"/>
  <c r="P25" i="99"/>
  <c r="H25" i="99"/>
  <c r="N25" i="99" s="1"/>
  <c r="D25" i="99"/>
  <c r="B25" i="99"/>
  <c r="T24" i="99"/>
  <c r="Z24" i="99" s="1"/>
  <c r="P24" i="99"/>
  <c r="H24" i="99"/>
  <c r="D24" i="99"/>
  <c r="T22" i="99"/>
  <c r="Z22" i="99" s="1"/>
  <c r="P22" i="99"/>
  <c r="H22" i="99"/>
  <c r="N22" i="99" s="1"/>
  <c r="D22" i="99"/>
  <c r="B22" i="99"/>
  <c r="T21" i="99"/>
  <c r="P21" i="99"/>
  <c r="H21" i="99"/>
  <c r="N21" i="99" s="1"/>
  <c r="D21" i="99"/>
  <c r="B21" i="99"/>
  <c r="T20" i="99"/>
  <c r="P20" i="99"/>
  <c r="H20" i="99"/>
  <c r="N20" i="99" s="1"/>
  <c r="D20" i="99"/>
  <c r="T16" i="99"/>
  <c r="P16" i="99"/>
  <c r="H16" i="99"/>
  <c r="N16" i="99" s="1"/>
  <c r="D16" i="99"/>
  <c r="B16" i="99"/>
  <c r="T15" i="99"/>
  <c r="Z15" i="99" s="1"/>
  <c r="P15" i="99"/>
  <c r="H15" i="99"/>
  <c r="N15" i="99" s="1"/>
  <c r="D15" i="99"/>
  <c r="T13" i="99"/>
  <c r="Z13" i="99" s="1"/>
  <c r="P13" i="99"/>
  <c r="H13" i="99"/>
  <c r="N13" i="99" s="1"/>
  <c r="D13" i="99"/>
  <c r="B13" i="99"/>
  <c r="T12" i="99"/>
  <c r="P12" i="99"/>
  <c r="R34" i="99" s="1"/>
  <c r="H12" i="99"/>
  <c r="J36" i="99" s="1"/>
  <c r="D12" i="99"/>
  <c r="F21" i="99" s="1"/>
  <c r="D6" i="99"/>
  <c r="D5" i="99"/>
  <c r="D4" i="99"/>
  <c r="B39" i="98"/>
  <c r="B38" i="98"/>
  <c r="T34" i="98"/>
  <c r="Z34" i="98" s="1"/>
  <c r="P34" i="98"/>
  <c r="H34" i="98"/>
  <c r="N34" i="98" s="1"/>
  <c r="D34" i="98"/>
  <c r="T33" i="98"/>
  <c r="Z33" i="98" s="1"/>
  <c r="P33" i="98"/>
  <c r="H33" i="98"/>
  <c r="N33" i="98" s="1"/>
  <c r="D33" i="98"/>
  <c r="T29" i="98"/>
  <c r="Z29" i="98" s="1"/>
  <c r="P29" i="98"/>
  <c r="H29" i="98"/>
  <c r="N29" i="98" s="1"/>
  <c r="D29" i="98"/>
  <c r="T25" i="98"/>
  <c r="Z25" i="98" s="1"/>
  <c r="P25" i="98"/>
  <c r="H25" i="98"/>
  <c r="N25" i="98" s="1"/>
  <c r="D25" i="98"/>
  <c r="B25" i="98"/>
  <c r="T24" i="98"/>
  <c r="Z24" i="98" s="1"/>
  <c r="P24" i="98"/>
  <c r="H24" i="98"/>
  <c r="N24" i="98" s="1"/>
  <c r="D24" i="98"/>
  <c r="T22" i="98"/>
  <c r="P22" i="98"/>
  <c r="H22" i="98"/>
  <c r="N22" i="98" s="1"/>
  <c r="D22" i="98"/>
  <c r="B22" i="98"/>
  <c r="T21" i="98"/>
  <c r="Z21" i="98" s="1"/>
  <c r="P21" i="98"/>
  <c r="H21" i="98"/>
  <c r="N21" i="98" s="1"/>
  <c r="D21" i="98"/>
  <c r="B21" i="98"/>
  <c r="T20" i="98"/>
  <c r="Z20" i="98" s="1"/>
  <c r="P20" i="98"/>
  <c r="H20" i="98"/>
  <c r="D20" i="98"/>
  <c r="T16" i="98"/>
  <c r="Z16" i="98" s="1"/>
  <c r="P16" i="98"/>
  <c r="H16" i="98"/>
  <c r="D16" i="98"/>
  <c r="B16" i="98"/>
  <c r="T15" i="98"/>
  <c r="Z15" i="98" s="1"/>
  <c r="P15" i="98"/>
  <c r="H15" i="98"/>
  <c r="N15" i="98" s="1"/>
  <c r="D15" i="98"/>
  <c r="T13" i="98"/>
  <c r="Z13" i="98" s="1"/>
  <c r="P13" i="98"/>
  <c r="H13" i="98"/>
  <c r="N13" i="98" s="1"/>
  <c r="D13" i="98"/>
  <c r="B13" i="98"/>
  <c r="T12" i="98"/>
  <c r="V36" i="98" s="1"/>
  <c r="P12" i="98"/>
  <c r="H12" i="98"/>
  <c r="J34" i="98" s="1"/>
  <c r="D12" i="98"/>
  <c r="D6" i="98"/>
  <c r="D5" i="98"/>
  <c r="D4" i="98"/>
  <c r="Z71" i="97"/>
  <c r="X71" i="97"/>
  <c r="N71" i="97"/>
  <c r="L71" i="97"/>
  <c r="T67" i="97"/>
  <c r="P67" i="97"/>
  <c r="H67" i="97"/>
  <c r="D67" i="97"/>
  <c r="L67" i="97" s="1"/>
  <c r="B67" i="97"/>
  <c r="T66" i="97"/>
  <c r="P66" i="97"/>
  <c r="Z64" i="97"/>
  <c r="X64" i="97"/>
  <c r="V64" i="97"/>
  <c r="N64" i="97"/>
  <c r="L64" i="97"/>
  <c r="B64" i="97"/>
  <c r="T63" i="97"/>
  <c r="P63" i="97"/>
  <c r="X63" i="97" s="1"/>
  <c r="N63" i="97"/>
  <c r="L63" i="97"/>
  <c r="H63" i="97"/>
  <c r="D63" i="97"/>
  <c r="B63" i="97"/>
  <c r="Z62" i="97"/>
  <c r="X62" i="97"/>
  <c r="V62" i="97"/>
  <c r="N62" i="97"/>
  <c r="L62" i="97"/>
  <c r="B62" i="97"/>
  <c r="X61" i="97"/>
  <c r="T61" i="97"/>
  <c r="P61" i="97"/>
  <c r="L61" i="97"/>
  <c r="H61" i="97"/>
  <c r="D61" i="97"/>
  <c r="B61" i="97"/>
  <c r="X60" i="97"/>
  <c r="Z60" i="97" s="1"/>
  <c r="N60" i="97"/>
  <c r="L60" i="97"/>
  <c r="B60" i="97"/>
  <c r="X59" i="97"/>
  <c r="Z59" i="97" s="1"/>
  <c r="V59" i="97"/>
  <c r="L59" i="97"/>
  <c r="N59" i="97" s="1"/>
  <c r="B59" i="97"/>
  <c r="X58" i="97"/>
  <c r="Z58" i="97" s="1"/>
  <c r="N58" i="97"/>
  <c r="L58" i="97"/>
  <c r="B58" i="97"/>
  <c r="X57" i="97"/>
  <c r="T57" i="97"/>
  <c r="P57" i="97"/>
  <c r="H57" i="97"/>
  <c r="D57" i="97"/>
  <c r="L57" i="97" s="1"/>
  <c r="B57" i="97"/>
  <c r="X56" i="97"/>
  <c r="Z56" i="97" s="1"/>
  <c r="N56" i="97"/>
  <c r="L56" i="97"/>
  <c r="B56" i="97"/>
  <c r="V55" i="97"/>
  <c r="T55" i="97"/>
  <c r="P55" i="97"/>
  <c r="X55" i="97" s="1"/>
  <c r="H55" i="97"/>
  <c r="N55" i="97" s="1"/>
  <c r="D55" i="97"/>
  <c r="L55" i="97" s="1"/>
  <c r="B55" i="97"/>
  <c r="Z54" i="97"/>
  <c r="X54" i="97"/>
  <c r="L54" i="97"/>
  <c r="N54" i="97" s="1"/>
  <c r="B54" i="97"/>
  <c r="Z53" i="97"/>
  <c r="X53" i="97"/>
  <c r="N53" i="97"/>
  <c r="L53" i="97"/>
  <c r="B53" i="97"/>
  <c r="X52" i="97"/>
  <c r="Z52" i="97" s="1"/>
  <c r="V52" i="97"/>
  <c r="N52" i="97"/>
  <c r="L52" i="97"/>
  <c r="B52" i="97"/>
  <c r="T51" i="97"/>
  <c r="P51" i="97"/>
  <c r="H51" i="97"/>
  <c r="D51" i="97"/>
  <c r="L51" i="97" s="1"/>
  <c r="B51" i="97"/>
  <c r="Z50" i="97"/>
  <c r="X50" i="97"/>
  <c r="N50" i="97"/>
  <c r="L50" i="97"/>
  <c r="B50" i="97"/>
  <c r="T49" i="97"/>
  <c r="P49" i="97"/>
  <c r="H49" i="97"/>
  <c r="N49" i="97" s="1"/>
  <c r="D49" i="97"/>
  <c r="L49" i="97" s="1"/>
  <c r="B49" i="97"/>
  <c r="Z48" i="97"/>
  <c r="X48" i="97"/>
  <c r="L48" i="97"/>
  <c r="N48" i="97" s="1"/>
  <c r="B48" i="97"/>
  <c r="T47" i="97"/>
  <c r="Z47" i="97" s="1"/>
  <c r="P47" i="97"/>
  <c r="X47" i="97" s="1"/>
  <c r="N47" i="97"/>
  <c r="L47" i="97"/>
  <c r="H47" i="97"/>
  <c r="D47" i="97"/>
  <c r="B47" i="97"/>
  <c r="X46" i="97"/>
  <c r="Z46" i="97" s="1"/>
  <c r="N46" i="97"/>
  <c r="L46" i="97"/>
  <c r="B46" i="97"/>
  <c r="Z45" i="97"/>
  <c r="X45" i="97"/>
  <c r="T45" i="97"/>
  <c r="P45" i="97"/>
  <c r="L45" i="97"/>
  <c r="H45" i="97"/>
  <c r="N45" i="97" s="1"/>
  <c r="D45" i="97"/>
  <c r="B45" i="97"/>
  <c r="Z44" i="97"/>
  <c r="X44" i="97"/>
  <c r="V44" i="97"/>
  <c r="N44" i="97"/>
  <c r="L44" i="97"/>
  <c r="B44" i="97"/>
  <c r="Z43" i="97"/>
  <c r="X43" i="97"/>
  <c r="V43" i="97"/>
  <c r="N43" i="97"/>
  <c r="L43" i="97"/>
  <c r="B43" i="97"/>
  <c r="Z42" i="97"/>
  <c r="X42" i="97"/>
  <c r="T42" i="97"/>
  <c r="P42" i="97"/>
  <c r="H42" i="97"/>
  <c r="D42" i="97"/>
  <c r="B42" i="97"/>
  <c r="X41" i="97"/>
  <c r="Z41" i="97" s="1"/>
  <c r="N41" i="97"/>
  <c r="L41" i="97"/>
  <c r="B41" i="97"/>
  <c r="T40" i="97"/>
  <c r="P40" i="97"/>
  <c r="N40" i="97"/>
  <c r="H40" i="97"/>
  <c r="D40" i="97"/>
  <c r="L40" i="97" s="1"/>
  <c r="B40" i="97"/>
  <c r="X39" i="97"/>
  <c r="Z39" i="97" s="1"/>
  <c r="N39" i="97"/>
  <c r="L39" i="97"/>
  <c r="B39" i="97"/>
  <c r="Z38" i="97"/>
  <c r="X38" i="97"/>
  <c r="T38" i="97"/>
  <c r="P38" i="97"/>
  <c r="H38" i="97"/>
  <c r="D38" i="97"/>
  <c r="L38" i="97" s="1"/>
  <c r="N38" i="97" s="1"/>
  <c r="B38" i="97"/>
  <c r="X37" i="97"/>
  <c r="Z37" i="97" s="1"/>
  <c r="N37" i="97"/>
  <c r="L37" i="97"/>
  <c r="B37" i="97"/>
  <c r="V36" i="97"/>
  <c r="T36" i="97"/>
  <c r="P36" i="97"/>
  <c r="N36" i="97"/>
  <c r="L36" i="97"/>
  <c r="H36" i="97"/>
  <c r="D36" i="97"/>
  <c r="B36" i="97"/>
  <c r="Z35" i="97"/>
  <c r="X35" i="97"/>
  <c r="V35" i="97"/>
  <c r="N35" i="97"/>
  <c r="L35" i="97"/>
  <c r="B35" i="97"/>
  <c r="X34" i="97"/>
  <c r="Z34" i="97" s="1"/>
  <c r="N34" i="97"/>
  <c r="L34" i="97"/>
  <c r="B34" i="97"/>
  <c r="Z33" i="97"/>
  <c r="X33" i="97"/>
  <c r="R33" i="97"/>
  <c r="L33" i="97"/>
  <c r="N33" i="97" s="1"/>
  <c r="B33" i="97"/>
  <c r="Z32" i="97"/>
  <c r="X32" i="97"/>
  <c r="V32" i="97"/>
  <c r="N32" i="97"/>
  <c r="L32" i="97"/>
  <c r="B32" i="97"/>
  <c r="Z31" i="97"/>
  <c r="X31" i="97"/>
  <c r="N31" i="97"/>
  <c r="L31" i="97"/>
  <c r="B31" i="97"/>
  <c r="Z30" i="97"/>
  <c r="T30" i="97"/>
  <c r="P30" i="97"/>
  <c r="X30" i="97" s="1"/>
  <c r="H30" i="97"/>
  <c r="D30" i="97"/>
  <c r="L30" i="97" s="1"/>
  <c r="N30" i="97" s="1"/>
  <c r="B30" i="97"/>
  <c r="Z29" i="97"/>
  <c r="X29" i="97"/>
  <c r="L29" i="97"/>
  <c r="N29" i="97" s="1"/>
  <c r="B29" i="97"/>
  <c r="Z28" i="97"/>
  <c r="X28" i="97"/>
  <c r="V28" i="97"/>
  <c r="N28" i="97"/>
  <c r="L28" i="97"/>
  <c r="B28" i="97"/>
  <c r="X27" i="97"/>
  <c r="Z27" i="97" s="1"/>
  <c r="N27" i="97"/>
  <c r="L27" i="97"/>
  <c r="B27" i="97"/>
  <c r="Z26" i="97"/>
  <c r="X26" i="97"/>
  <c r="N26" i="97"/>
  <c r="L26" i="97"/>
  <c r="B26" i="97"/>
  <c r="X25" i="97"/>
  <c r="Z25" i="97" s="1"/>
  <c r="N25" i="97"/>
  <c r="L25" i="97"/>
  <c r="B25" i="97"/>
  <c r="Z24" i="97"/>
  <c r="X24" i="97"/>
  <c r="N24" i="97"/>
  <c r="L24" i="97"/>
  <c r="B24" i="97"/>
  <c r="Z23" i="97"/>
  <c r="X23" i="97"/>
  <c r="V23" i="97"/>
  <c r="L23" i="97"/>
  <c r="N23" i="97" s="1"/>
  <c r="B23" i="97"/>
  <c r="X22" i="97"/>
  <c r="Z22" i="97" s="1"/>
  <c r="N22" i="97"/>
  <c r="L22" i="97"/>
  <c r="B22" i="97"/>
  <c r="Z21" i="97"/>
  <c r="X21" i="97"/>
  <c r="L21" i="97"/>
  <c r="N21" i="97" s="1"/>
  <c r="B21" i="97"/>
  <c r="V20" i="97"/>
  <c r="T20" i="97"/>
  <c r="P20" i="97"/>
  <c r="X20" i="97" s="1"/>
  <c r="Z20" i="97" s="1"/>
  <c r="L20" i="97"/>
  <c r="N20" i="97" s="1"/>
  <c r="H20" i="97"/>
  <c r="D20" i="97"/>
  <c r="B20" i="97"/>
  <c r="V19" i="97"/>
  <c r="T19" i="97"/>
  <c r="Z19" i="97" s="1"/>
  <c r="P19" i="97"/>
  <c r="X19" i="97" s="1"/>
  <c r="H19" i="97"/>
  <c r="D19" i="97"/>
  <c r="L19" i="97" s="1"/>
  <c r="V15" i="97"/>
  <c r="T15" i="97"/>
  <c r="Z15" i="97" s="1"/>
  <c r="P15" i="97"/>
  <c r="X15" i="97" s="1"/>
  <c r="H15" i="97"/>
  <c r="N15" i="97" s="1"/>
  <c r="D15" i="97"/>
  <c r="L15" i="97" s="1"/>
  <c r="X13" i="97"/>
  <c r="T13" i="97"/>
  <c r="P13" i="97"/>
  <c r="P12" i="97" s="1"/>
  <c r="H13" i="97"/>
  <c r="D13" i="97"/>
  <c r="B13" i="97"/>
  <c r="T12" i="97"/>
  <c r="V58" i="97" s="1"/>
  <c r="D6" i="97"/>
  <c r="D4" i="97"/>
  <c r="V43" i="96"/>
  <c r="R43" i="96"/>
  <c r="F43" i="96"/>
  <c r="V40" i="96"/>
  <c r="F40" i="96"/>
  <c r="Z38" i="96"/>
  <c r="X38" i="96"/>
  <c r="V38" i="96"/>
  <c r="R38" i="96"/>
  <c r="N38" i="96"/>
  <c r="L38" i="96"/>
  <c r="J38" i="96"/>
  <c r="V36" i="96"/>
  <c r="R36" i="96"/>
  <c r="F36" i="96"/>
  <c r="V34" i="96"/>
  <c r="T34" i="96"/>
  <c r="P34" i="96"/>
  <c r="X34" i="96" s="1"/>
  <c r="Z34" i="96" s="1"/>
  <c r="L34" i="96"/>
  <c r="N34" i="96" s="1"/>
  <c r="H34" i="96"/>
  <c r="F34" i="96"/>
  <c r="D34" i="96"/>
  <c r="B34" i="96"/>
  <c r="V33" i="96"/>
  <c r="T33" i="96"/>
  <c r="Z33" i="96" s="1"/>
  <c r="P33" i="96"/>
  <c r="X33" i="96" s="1"/>
  <c r="H33" i="96"/>
  <c r="F33" i="96"/>
  <c r="D33" i="96"/>
  <c r="L33" i="96" s="1"/>
  <c r="B33" i="96"/>
  <c r="Z32" i="96"/>
  <c r="T32" i="96"/>
  <c r="R32" i="96"/>
  <c r="P32" i="96"/>
  <c r="N32" i="96"/>
  <c r="J32" i="96"/>
  <c r="H32" i="96"/>
  <c r="L32" i="96" s="1"/>
  <c r="D32" i="96"/>
  <c r="B32" i="96"/>
  <c r="T31" i="96"/>
  <c r="H31" i="96"/>
  <c r="D31" i="96"/>
  <c r="L31" i="96" s="1"/>
  <c r="Z29" i="96"/>
  <c r="X29" i="96"/>
  <c r="R29" i="96"/>
  <c r="N29" i="96"/>
  <c r="L29" i="96"/>
  <c r="F29" i="96"/>
  <c r="B29" i="96"/>
  <c r="Z28" i="96"/>
  <c r="X28" i="96"/>
  <c r="V28" i="96"/>
  <c r="R28" i="96"/>
  <c r="N28" i="96"/>
  <c r="L28" i="96"/>
  <c r="B28" i="96"/>
  <c r="V27" i="96"/>
  <c r="T27" i="96"/>
  <c r="P27" i="96"/>
  <c r="H27" i="96"/>
  <c r="N27" i="96" s="1"/>
  <c r="F27" i="96"/>
  <c r="D27" i="96"/>
  <c r="L27" i="96" s="1"/>
  <c r="B27" i="96"/>
  <c r="Z26" i="96"/>
  <c r="X26" i="96"/>
  <c r="N26" i="96"/>
  <c r="L26" i="96"/>
  <c r="B26" i="96"/>
  <c r="Z25" i="96"/>
  <c r="X25" i="96"/>
  <c r="R25" i="96"/>
  <c r="N25" i="96"/>
  <c r="L25" i="96"/>
  <c r="F25" i="96"/>
  <c r="B25" i="96"/>
  <c r="Z24" i="96"/>
  <c r="X24" i="96"/>
  <c r="V24" i="96"/>
  <c r="R24" i="96"/>
  <c r="N24" i="96"/>
  <c r="L24" i="96"/>
  <c r="B24" i="96"/>
  <c r="Z23" i="96"/>
  <c r="X23" i="96"/>
  <c r="V23" i="96"/>
  <c r="R23" i="96"/>
  <c r="L23" i="96"/>
  <c r="N23" i="96" s="1"/>
  <c r="B23" i="96"/>
  <c r="X22" i="96"/>
  <c r="Z22" i="96" s="1"/>
  <c r="V22" i="96"/>
  <c r="N22" i="96"/>
  <c r="L22" i="96"/>
  <c r="B22" i="96"/>
  <c r="X21" i="96"/>
  <c r="Z21" i="96" s="1"/>
  <c r="R21" i="96"/>
  <c r="N21" i="96"/>
  <c r="L21" i="96"/>
  <c r="F21" i="96"/>
  <c r="B21" i="96"/>
  <c r="Z20" i="96"/>
  <c r="X20" i="96"/>
  <c r="V20" i="96"/>
  <c r="R20" i="96"/>
  <c r="N20" i="96"/>
  <c r="L20" i="96"/>
  <c r="F20" i="96"/>
  <c r="B20" i="96"/>
  <c r="T19" i="96"/>
  <c r="P19" i="96"/>
  <c r="X19" i="96" s="1"/>
  <c r="L19" i="96"/>
  <c r="H19" i="96"/>
  <c r="N19" i="96" s="1"/>
  <c r="D19" i="96"/>
  <c r="B19" i="96"/>
  <c r="X18" i="96"/>
  <c r="Z18" i="96" s="1"/>
  <c r="V18" i="96"/>
  <c r="T18" i="96"/>
  <c r="R18" i="96"/>
  <c r="P18" i="96"/>
  <c r="J18" i="96"/>
  <c r="H18" i="96"/>
  <c r="F18" i="96"/>
  <c r="D18" i="96"/>
  <c r="L18" i="96" s="1"/>
  <c r="R16" i="96"/>
  <c r="P16" i="96"/>
  <c r="J16" i="96"/>
  <c r="Z14" i="96"/>
  <c r="X14" i="96"/>
  <c r="V14" i="96"/>
  <c r="T14" i="96"/>
  <c r="R14" i="96"/>
  <c r="P14" i="96"/>
  <c r="H14" i="96"/>
  <c r="N14" i="96" s="1"/>
  <c r="F14" i="96"/>
  <c r="D14" i="96"/>
  <c r="Z12" i="96"/>
  <c r="X12" i="96"/>
  <c r="T12" i="96"/>
  <c r="V19" i="96" s="1"/>
  <c r="P12" i="96"/>
  <c r="R31" i="96" s="1"/>
  <c r="L12" i="96"/>
  <c r="H12" i="96"/>
  <c r="D12" i="96"/>
  <c r="F38" i="96" s="1"/>
  <c r="D6" i="96"/>
  <c r="D4" i="96"/>
  <c r="Z86" i="95"/>
  <c r="X86" i="95"/>
  <c r="V86" i="95"/>
  <c r="N86" i="95"/>
  <c r="L86" i="95"/>
  <c r="Z82" i="95"/>
  <c r="X82" i="95"/>
  <c r="V82" i="95"/>
  <c r="T82" i="95"/>
  <c r="P82" i="95"/>
  <c r="N82" i="95"/>
  <c r="L82" i="95"/>
  <c r="H82" i="95"/>
  <c r="D82" i="95"/>
  <c r="Z80" i="95"/>
  <c r="X80" i="95"/>
  <c r="V80" i="95"/>
  <c r="N80" i="95"/>
  <c r="L80" i="95"/>
  <c r="B80" i="95"/>
  <c r="T79" i="95"/>
  <c r="P79" i="95"/>
  <c r="H79" i="95"/>
  <c r="N79" i="95" s="1"/>
  <c r="D79" i="95"/>
  <c r="L79" i="95" s="1"/>
  <c r="B79" i="95"/>
  <c r="Z78" i="95"/>
  <c r="X78" i="95"/>
  <c r="N78" i="95"/>
  <c r="L78" i="95"/>
  <c r="B78" i="95"/>
  <c r="T77" i="95"/>
  <c r="P77" i="95"/>
  <c r="X77" i="95" s="1"/>
  <c r="N77" i="95"/>
  <c r="L77" i="95"/>
  <c r="H77" i="95"/>
  <c r="D77" i="95"/>
  <c r="B77" i="95"/>
  <c r="Z76" i="95"/>
  <c r="X76" i="95"/>
  <c r="N76" i="95"/>
  <c r="L76" i="95"/>
  <c r="B76" i="95"/>
  <c r="T75" i="95"/>
  <c r="P75" i="95"/>
  <c r="X75" i="95" s="1"/>
  <c r="Z75" i="95" s="1"/>
  <c r="L75" i="95"/>
  <c r="H75" i="95"/>
  <c r="D75" i="95"/>
  <c r="B75" i="95"/>
  <c r="X74" i="95"/>
  <c r="Z74" i="95" s="1"/>
  <c r="N74" i="95"/>
  <c r="L74" i="95"/>
  <c r="B74" i="95"/>
  <c r="X73" i="95"/>
  <c r="Z73" i="95" s="1"/>
  <c r="N73" i="95"/>
  <c r="L73" i="95"/>
  <c r="B73" i="95"/>
  <c r="Z72" i="95"/>
  <c r="X72" i="95"/>
  <c r="N72" i="95"/>
  <c r="L72" i="95"/>
  <c r="B72" i="95"/>
  <c r="X71" i="95"/>
  <c r="Z71" i="95" s="1"/>
  <c r="N71" i="95"/>
  <c r="L71" i="95"/>
  <c r="B71" i="95"/>
  <c r="Z70" i="95"/>
  <c r="X70" i="95"/>
  <c r="N70" i="95"/>
  <c r="L70" i="95"/>
  <c r="B70" i="95"/>
  <c r="Z69" i="95"/>
  <c r="X69" i="95"/>
  <c r="N69" i="95"/>
  <c r="L69" i="95"/>
  <c r="B69" i="95"/>
  <c r="T68" i="95"/>
  <c r="P68" i="95"/>
  <c r="X68" i="95" s="1"/>
  <c r="N68" i="95"/>
  <c r="H68" i="95"/>
  <c r="D68" i="95"/>
  <c r="L68" i="95" s="1"/>
  <c r="B68" i="95"/>
  <c r="X67" i="95"/>
  <c r="Z67" i="95" s="1"/>
  <c r="L67" i="95"/>
  <c r="N67" i="95" s="1"/>
  <c r="B67" i="95"/>
  <c r="Z66" i="95"/>
  <c r="X66" i="95"/>
  <c r="N66" i="95"/>
  <c r="L66" i="95"/>
  <c r="B66" i="95"/>
  <c r="Z65" i="95"/>
  <c r="X65" i="95"/>
  <c r="L65" i="95"/>
  <c r="N65" i="95" s="1"/>
  <c r="B65" i="95"/>
  <c r="T64" i="95"/>
  <c r="P64" i="95"/>
  <c r="N64" i="95"/>
  <c r="L64" i="95"/>
  <c r="H64" i="95"/>
  <c r="D64" i="95"/>
  <c r="B64" i="95"/>
  <c r="Z63" i="95"/>
  <c r="X63" i="95"/>
  <c r="V63" i="95"/>
  <c r="N63" i="95"/>
  <c r="L63" i="95"/>
  <c r="B63" i="95"/>
  <c r="Z62" i="95"/>
  <c r="X62" i="95"/>
  <c r="N62" i="95"/>
  <c r="L62" i="95"/>
  <c r="B62" i="95"/>
  <c r="Z61" i="95"/>
  <c r="T61" i="95"/>
  <c r="P61" i="95"/>
  <c r="X61" i="95" s="1"/>
  <c r="H61" i="95"/>
  <c r="D61" i="95"/>
  <c r="L61" i="95" s="1"/>
  <c r="N61" i="95" s="1"/>
  <c r="B61" i="95"/>
  <c r="X60" i="95"/>
  <c r="Z60" i="95" s="1"/>
  <c r="N60" i="95"/>
  <c r="L60" i="95"/>
  <c r="B60" i="95"/>
  <c r="T59" i="95"/>
  <c r="P59" i="95"/>
  <c r="X59" i="95" s="1"/>
  <c r="Z59" i="95" s="1"/>
  <c r="N59" i="95"/>
  <c r="H59" i="95"/>
  <c r="L59" i="95" s="1"/>
  <c r="D59" i="95"/>
  <c r="B59" i="95"/>
  <c r="X58" i="95"/>
  <c r="Z58" i="95" s="1"/>
  <c r="N58" i="95"/>
  <c r="L58" i="95"/>
  <c r="B58" i="95"/>
  <c r="X57" i="95"/>
  <c r="Z57" i="95" s="1"/>
  <c r="T57" i="95"/>
  <c r="P57" i="95"/>
  <c r="H57" i="95"/>
  <c r="D57" i="95"/>
  <c r="L57" i="95" s="1"/>
  <c r="B57" i="95"/>
  <c r="Z56" i="95"/>
  <c r="X56" i="95"/>
  <c r="N56" i="95"/>
  <c r="L56" i="95"/>
  <c r="B56" i="95"/>
  <c r="T55" i="95"/>
  <c r="P55" i="95"/>
  <c r="X55" i="95" s="1"/>
  <c r="N55" i="95"/>
  <c r="L55" i="95"/>
  <c r="H55" i="95"/>
  <c r="D55" i="95"/>
  <c r="B55" i="95"/>
  <c r="Z54" i="95"/>
  <c r="X54" i="95"/>
  <c r="V54" i="95"/>
  <c r="N54" i="95"/>
  <c r="L54" i="95"/>
  <c r="B54" i="95"/>
  <c r="X53" i="95"/>
  <c r="Z53" i="95" s="1"/>
  <c r="T53" i="95"/>
  <c r="P53" i="95"/>
  <c r="H53" i="95"/>
  <c r="L53" i="95" s="1"/>
  <c r="D53" i="95"/>
  <c r="B53" i="95"/>
  <c r="X52" i="95"/>
  <c r="Z52" i="95" s="1"/>
  <c r="N52" i="95"/>
  <c r="L52" i="95"/>
  <c r="B52" i="95"/>
  <c r="T51" i="95"/>
  <c r="X51" i="95" s="1"/>
  <c r="P51" i="95"/>
  <c r="H51" i="95"/>
  <c r="N51" i="95" s="1"/>
  <c r="D51" i="95"/>
  <c r="L51" i="95" s="1"/>
  <c r="B51" i="95"/>
  <c r="X50" i="95"/>
  <c r="Z50" i="95" s="1"/>
  <c r="R50" i="95"/>
  <c r="N50" i="95"/>
  <c r="L50" i="95"/>
  <c r="B50" i="95"/>
  <c r="V49" i="95"/>
  <c r="T49" i="95"/>
  <c r="P49" i="95"/>
  <c r="X49" i="95" s="1"/>
  <c r="H49" i="95"/>
  <c r="N49" i="95" s="1"/>
  <c r="D49" i="95"/>
  <c r="L49" i="95" s="1"/>
  <c r="B49" i="95"/>
  <c r="Z48" i="95"/>
  <c r="X48" i="95"/>
  <c r="L48" i="95"/>
  <c r="N48" i="95" s="1"/>
  <c r="B48" i="95"/>
  <c r="T47" i="95"/>
  <c r="Z47" i="95" s="1"/>
  <c r="R47" i="95"/>
  <c r="P47" i="95"/>
  <c r="X47" i="95" s="1"/>
  <c r="L47" i="95"/>
  <c r="N47" i="95" s="1"/>
  <c r="H47" i="95"/>
  <c r="D47" i="95"/>
  <c r="B47" i="95"/>
  <c r="Z46" i="95"/>
  <c r="X46" i="95"/>
  <c r="V46" i="95"/>
  <c r="N46" i="95"/>
  <c r="L46" i="95"/>
  <c r="B46" i="95"/>
  <c r="X45" i="95"/>
  <c r="Z45" i="95" s="1"/>
  <c r="T45" i="95"/>
  <c r="P45" i="95"/>
  <c r="N45" i="95"/>
  <c r="H45" i="95"/>
  <c r="L45" i="95" s="1"/>
  <c r="D45" i="95"/>
  <c r="B45" i="95"/>
  <c r="X44" i="95"/>
  <c r="Z44" i="95" s="1"/>
  <c r="N44" i="95"/>
  <c r="L44" i="95"/>
  <c r="B44" i="95"/>
  <c r="Z43" i="95"/>
  <c r="T43" i="95"/>
  <c r="X43" i="95" s="1"/>
  <c r="P43" i="95"/>
  <c r="H43" i="95"/>
  <c r="N43" i="95" s="1"/>
  <c r="D43" i="95"/>
  <c r="L43" i="95" s="1"/>
  <c r="B43" i="95"/>
  <c r="X42" i="95"/>
  <c r="Z42" i="95" s="1"/>
  <c r="N42" i="95"/>
  <c r="L42" i="95"/>
  <c r="B42" i="95"/>
  <c r="V41" i="95"/>
  <c r="T41" i="95"/>
  <c r="P41" i="95"/>
  <c r="X41" i="95" s="1"/>
  <c r="H41" i="95"/>
  <c r="N41" i="95" s="1"/>
  <c r="D41" i="95"/>
  <c r="L41" i="95" s="1"/>
  <c r="B41" i="95"/>
  <c r="Z40" i="95"/>
  <c r="X40" i="95"/>
  <c r="N40" i="95"/>
  <c r="L40" i="95"/>
  <c r="B40" i="95"/>
  <c r="Z39" i="95"/>
  <c r="X39" i="95"/>
  <c r="N39" i="95"/>
  <c r="L39" i="95"/>
  <c r="B39" i="95"/>
  <c r="X38" i="95"/>
  <c r="Z38" i="95" s="1"/>
  <c r="N38" i="95"/>
  <c r="L38" i="95"/>
  <c r="B38" i="95"/>
  <c r="X37" i="95"/>
  <c r="Z37" i="95" s="1"/>
  <c r="V37" i="95"/>
  <c r="N37" i="95"/>
  <c r="L37" i="95"/>
  <c r="B37" i="95"/>
  <c r="X36" i="95"/>
  <c r="Z36" i="95" s="1"/>
  <c r="N36" i="95"/>
  <c r="L36" i="95"/>
  <c r="B36" i="95"/>
  <c r="Z35" i="95"/>
  <c r="X35" i="95"/>
  <c r="R35" i="95"/>
  <c r="N35" i="95"/>
  <c r="L35" i="95"/>
  <c r="B35" i="95"/>
  <c r="V34" i="95"/>
  <c r="T34" i="95"/>
  <c r="P34" i="95"/>
  <c r="X34" i="95" s="1"/>
  <c r="Z34" i="95" s="1"/>
  <c r="L34" i="95"/>
  <c r="N34" i="95" s="1"/>
  <c r="H34" i="95"/>
  <c r="D34" i="95"/>
  <c r="B34" i="95"/>
  <c r="X33" i="95"/>
  <c r="Z33" i="95" s="1"/>
  <c r="V33" i="95"/>
  <c r="L33" i="95"/>
  <c r="N33" i="95" s="1"/>
  <c r="B33" i="95"/>
  <c r="X32" i="95"/>
  <c r="Z32" i="95" s="1"/>
  <c r="N32" i="95"/>
  <c r="L32" i="95"/>
  <c r="B32" i="95"/>
  <c r="Z31" i="95"/>
  <c r="X31" i="95"/>
  <c r="N31" i="95"/>
  <c r="L31" i="95"/>
  <c r="B31" i="95"/>
  <c r="Z30" i="95"/>
  <c r="X30" i="95"/>
  <c r="V30" i="95"/>
  <c r="L30" i="95"/>
  <c r="N30" i="95" s="1"/>
  <c r="B30" i="95"/>
  <c r="X29" i="95"/>
  <c r="Z29" i="95" s="1"/>
  <c r="L29" i="95"/>
  <c r="N29" i="95" s="1"/>
  <c r="B29" i="95"/>
  <c r="Z28" i="95"/>
  <c r="X28" i="95"/>
  <c r="L28" i="95"/>
  <c r="N28" i="95" s="1"/>
  <c r="B28" i="95"/>
  <c r="Z27" i="95"/>
  <c r="X27" i="95"/>
  <c r="N27" i="95"/>
  <c r="L27" i="95"/>
  <c r="B27" i="95"/>
  <c r="X26" i="95"/>
  <c r="Z26" i="95" s="1"/>
  <c r="R26" i="95"/>
  <c r="N26" i="95"/>
  <c r="L26" i="95"/>
  <c r="B26" i="95"/>
  <c r="X25" i="95"/>
  <c r="Z25" i="95" s="1"/>
  <c r="V25" i="95"/>
  <c r="L25" i="95"/>
  <c r="N25" i="95" s="1"/>
  <c r="B25" i="95"/>
  <c r="X24" i="95"/>
  <c r="Z24" i="95" s="1"/>
  <c r="T24" i="95"/>
  <c r="P24" i="95"/>
  <c r="H24" i="95"/>
  <c r="D24" i="95"/>
  <c r="B24" i="95"/>
  <c r="T23" i="95"/>
  <c r="Z23" i="95" s="1"/>
  <c r="R23" i="95"/>
  <c r="P23" i="95"/>
  <c r="X23" i="95" s="1"/>
  <c r="L23" i="95"/>
  <c r="H23" i="95"/>
  <c r="D23" i="95"/>
  <c r="T21" i="95"/>
  <c r="T84" i="95" s="1"/>
  <c r="X19" i="95"/>
  <c r="Z19" i="95" s="1"/>
  <c r="N19" i="95"/>
  <c r="L19" i="95"/>
  <c r="B19" i="95"/>
  <c r="Z18" i="95"/>
  <c r="X18" i="95"/>
  <c r="N18" i="95"/>
  <c r="L18" i="95"/>
  <c r="B18" i="95"/>
  <c r="V17" i="95"/>
  <c r="T17" i="95"/>
  <c r="P17" i="95"/>
  <c r="X17" i="95" s="1"/>
  <c r="H17" i="95"/>
  <c r="N17" i="95" s="1"/>
  <c r="D17" i="95"/>
  <c r="L17" i="95" s="1"/>
  <c r="X15" i="95"/>
  <c r="Z15" i="95" s="1"/>
  <c r="T15" i="95"/>
  <c r="P15" i="95"/>
  <c r="H15" i="95"/>
  <c r="D15" i="95"/>
  <c r="B15" i="95"/>
  <c r="T14" i="95"/>
  <c r="P14" i="95"/>
  <c r="X14" i="95" s="1"/>
  <c r="Z14" i="95" s="1"/>
  <c r="L14" i="95"/>
  <c r="N14" i="95" s="1"/>
  <c r="H14" i="95"/>
  <c r="D14" i="95"/>
  <c r="B14" i="95"/>
  <c r="T13" i="95"/>
  <c r="Z13" i="95" s="1"/>
  <c r="P13" i="95"/>
  <c r="X13" i="95" s="1"/>
  <c r="N13" i="95"/>
  <c r="H13" i="95"/>
  <c r="D13" i="95"/>
  <c r="B13" i="95"/>
  <c r="T12" i="95"/>
  <c r="V76" i="95" s="1"/>
  <c r="P12" i="95"/>
  <c r="R42" i="95" s="1"/>
  <c r="H12" i="95"/>
  <c r="D6" i="95"/>
  <c r="D4" i="95"/>
  <c r="X92" i="94"/>
  <c r="Z92" i="94" s="1"/>
  <c r="N92" i="94"/>
  <c r="L92" i="94"/>
  <c r="Z88" i="94"/>
  <c r="T88" i="94"/>
  <c r="P88" i="94"/>
  <c r="X88" i="94" s="1"/>
  <c r="N88" i="94"/>
  <c r="H88" i="94"/>
  <c r="D88" i="94"/>
  <c r="L88" i="94" s="1"/>
  <c r="Z86" i="94"/>
  <c r="X86" i="94"/>
  <c r="N86" i="94"/>
  <c r="L86" i="94"/>
  <c r="B86" i="94"/>
  <c r="Z85" i="94"/>
  <c r="X85" i="94"/>
  <c r="N85" i="94"/>
  <c r="L85" i="94"/>
  <c r="B85" i="94"/>
  <c r="T84" i="94"/>
  <c r="P84" i="94"/>
  <c r="X84" i="94" s="1"/>
  <c r="Z84" i="94" s="1"/>
  <c r="N84" i="94"/>
  <c r="L84" i="94"/>
  <c r="H84" i="94"/>
  <c r="D84" i="94"/>
  <c r="B84" i="94"/>
  <c r="X83" i="94"/>
  <c r="Z83" i="94" s="1"/>
  <c r="L83" i="94"/>
  <c r="N83" i="94" s="1"/>
  <c r="B83" i="94"/>
  <c r="X82" i="94"/>
  <c r="Z82" i="94" s="1"/>
  <c r="T82" i="94"/>
  <c r="P82" i="94"/>
  <c r="H82" i="94"/>
  <c r="D82" i="94"/>
  <c r="B82" i="94"/>
  <c r="X81" i="94"/>
  <c r="Z81" i="94" s="1"/>
  <c r="N81" i="94"/>
  <c r="L81" i="94"/>
  <c r="B81" i="94"/>
  <c r="T80" i="94"/>
  <c r="P80" i="94"/>
  <c r="N80" i="94"/>
  <c r="H80" i="94"/>
  <c r="D80" i="94"/>
  <c r="L80" i="94" s="1"/>
  <c r="B80" i="94"/>
  <c r="X79" i="94"/>
  <c r="Z79" i="94" s="1"/>
  <c r="N79" i="94"/>
  <c r="L79" i="94"/>
  <c r="B79" i="94"/>
  <c r="Z78" i="94"/>
  <c r="X78" i="94"/>
  <c r="N78" i="94"/>
  <c r="L78" i="94"/>
  <c r="B78" i="94"/>
  <c r="X77" i="94"/>
  <c r="Z77" i="94" s="1"/>
  <c r="N77" i="94"/>
  <c r="L77" i="94"/>
  <c r="B77" i="94"/>
  <c r="Z76" i="94"/>
  <c r="X76" i="94"/>
  <c r="N76" i="94"/>
  <c r="L76" i="94"/>
  <c r="B76" i="94"/>
  <c r="X75" i="94"/>
  <c r="Z75" i="94" s="1"/>
  <c r="V75" i="94"/>
  <c r="L75" i="94"/>
  <c r="N75" i="94" s="1"/>
  <c r="B75" i="94"/>
  <c r="X74" i="94"/>
  <c r="Z74" i="94" s="1"/>
  <c r="N74" i="94"/>
  <c r="L74" i="94"/>
  <c r="B74" i="94"/>
  <c r="Z73" i="94"/>
  <c r="X73" i="94"/>
  <c r="N73" i="94"/>
  <c r="L73" i="94"/>
  <c r="B73" i="94"/>
  <c r="Z72" i="94"/>
  <c r="X72" i="94"/>
  <c r="N72" i="94"/>
  <c r="L72" i="94"/>
  <c r="B72" i="94"/>
  <c r="X71" i="94"/>
  <c r="Z71" i="94" s="1"/>
  <c r="N71" i="94"/>
  <c r="L71" i="94"/>
  <c r="B71" i="94"/>
  <c r="Z70" i="94"/>
  <c r="T70" i="94"/>
  <c r="P70" i="94"/>
  <c r="X70" i="94" s="1"/>
  <c r="H70" i="94"/>
  <c r="D70" i="94"/>
  <c r="L70" i="94" s="1"/>
  <c r="N70" i="94" s="1"/>
  <c r="B70" i="94"/>
  <c r="Z69" i="94"/>
  <c r="X69" i="94"/>
  <c r="N69" i="94"/>
  <c r="L69" i="94"/>
  <c r="B69" i="94"/>
  <c r="Z68" i="94"/>
  <c r="T68" i="94"/>
  <c r="P68" i="94"/>
  <c r="X68" i="94" s="1"/>
  <c r="N68" i="94"/>
  <c r="L68" i="94"/>
  <c r="H68" i="94"/>
  <c r="D68" i="94"/>
  <c r="B68" i="94"/>
  <c r="X67" i="94"/>
  <c r="Z67" i="94" s="1"/>
  <c r="V67" i="94"/>
  <c r="N67" i="94"/>
  <c r="L67" i="94"/>
  <c r="B67" i="94"/>
  <c r="Z66" i="94"/>
  <c r="X66" i="94"/>
  <c r="N66" i="94"/>
  <c r="L66" i="94"/>
  <c r="B66" i="94"/>
  <c r="Z65" i="94"/>
  <c r="X65" i="94"/>
  <c r="N65" i="94"/>
  <c r="L65" i="94"/>
  <c r="B65" i="94"/>
  <c r="Z64" i="94"/>
  <c r="X64" i="94"/>
  <c r="L64" i="94"/>
  <c r="N64" i="94" s="1"/>
  <c r="B64" i="94"/>
  <c r="X63" i="94"/>
  <c r="T63" i="94"/>
  <c r="P63" i="94"/>
  <c r="H63" i="94"/>
  <c r="L63" i="94" s="1"/>
  <c r="N63" i="94" s="1"/>
  <c r="D63" i="94"/>
  <c r="B63" i="94"/>
  <c r="X62" i="94"/>
  <c r="Z62" i="94" s="1"/>
  <c r="N62" i="94"/>
  <c r="L62" i="94"/>
  <c r="B62" i="94"/>
  <c r="Z61" i="94"/>
  <c r="X61" i="94"/>
  <c r="L61" i="94"/>
  <c r="N61" i="94" s="1"/>
  <c r="B61" i="94"/>
  <c r="Z60" i="94"/>
  <c r="X60" i="94"/>
  <c r="N60" i="94"/>
  <c r="L60" i="94"/>
  <c r="B60" i="94"/>
  <c r="T59" i="94"/>
  <c r="P59" i="94"/>
  <c r="X59" i="94" s="1"/>
  <c r="H59" i="94"/>
  <c r="D59" i="94"/>
  <c r="B59" i="94"/>
  <c r="Z58" i="94"/>
  <c r="X58" i="94"/>
  <c r="N58" i="94"/>
  <c r="L58" i="94"/>
  <c r="B58" i="94"/>
  <c r="T57" i="94"/>
  <c r="P57" i="94"/>
  <c r="L57" i="94"/>
  <c r="N57" i="94" s="1"/>
  <c r="H57" i="94"/>
  <c r="D57" i="94"/>
  <c r="B57" i="94"/>
  <c r="Z56" i="94"/>
  <c r="X56" i="94"/>
  <c r="N56" i="94"/>
  <c r="L56" i="94"/>
  <c r="B56" i="94"/>
  <c r="T55" i="94"/>
  <c r="P55" i="94"/>
  <c r="H55" i="94"/>
  <c r="N55" i="94" s="1"/>
  <c r="D55" i="94"/>
  <c r="L55" i="94" s="1"/>
  <c r="B55" i="94"/>
  <c r="Z54" i="94"/>
  <c r="X54" i="94"/>
  <c r="N54" i="94"/>
  <c r="L54" i="94"/>
  <c r="B54" i="94"/>
  <c r="Z53" i="94"/>
  <c r="T53" i="94"/>
  <c r="X53" i="94" s="1"/>
  <c r="P53" i="94"/>
  <c r="H53" i="94"/>
  <c r="D53" i="94"/>
  <c r="B53" i="94"/>
  <c r="Z52" i="94"/>
  <c r="X52" i="94"/>
  <c r="N52" i="94"/>
  <c r="L52" i="94"/>
  <c r="B52" i="94"/>
  <c r="V51" i="94"/>
  <c r="T51" i="94"/>
  <c r="P51" i="94"/>
  <c r="H51" i="94"/>
  <c r="N51" i="94" s="1"/>
  <c r="D51" i="94"/>
  <c r="L51" i="94" s="1"/>
  <c r="B51" i="94"/>
  <c r="X50" i="94"/>
  <c r="Z50" i="94" s="1"/>
  <c r="N50" i="94"/>
  <c r="L50" i="94"/>
  <c r="B50" i="94"/>
  <c r="T49" i="94"/>
  <c r="P49" i="94"/>
  <c r="X49" i="94" s="1"/>
  <c r="H49" i="94"/>
  <c r="N49" i="94" s="1"/>
  <c r="D49" i="94"/>
  <c r="L49" i="94" s="1"/>
  <c r="B49" i="94"/>
  <c r="Z48" i="94"/>
  <c r="X48" i="94"/>
  <c r="N48" i="94"/>
  <c r="L48" i="94"/>
  <c r="B48" i="94"/>
  <c r="T47" i="94"/>
  <c r="Z47" i="94" s="1"/>
  <c r="P47" i="94"/>
  <c r="X47" i="94" s="1"/>
  <c r="N47" i="94"/>
  <c r="L47" i="94"/>
  <c r="H47" i="94"/>
  <c r="D47" i="94"/>
  <c r="B47" i="94"/>
  <c r="X46" i="94"/>
  <c r="Z46" i="94" s="1"/>
  <c r="V46" i="94"/>
  <c r="N46" i="94"/>
  <c r="L46" i="94"/>
  <c r="B46" i="94"/>
  <c r="X45" i="94"/>
  <c r="Z45" i="94" s="1"/>
  <c r="T45" i="94"/>
  <c r="P45" i="94"/>
  <c r="H45" i="94"/>
  <c r="D45" i="94"/>
  <c r="B45" i="94"/>
  <c r="Z44" i="94"/>
  <c r="X44" i="94"/>
  <c r="N44" i="94"/>
  <c r="L44" i="94"/>
  <c r="B44" i="94"/>
  <c r="T43" i="94"/>
  <c r="P43" i="94"/>
  <c r="H43" i="94"/>
  <c r="N43" i="94" s="1"/>
  <c r="D43" i="94"/>
  <c r="L43" i="94" s="1"/>
  <c r="B43" i="94"/>
  <c r="Z42" i="94"/>
  <c r="X42" i="94"/>
  <c r="N42" i="94"/>
  <c r="L42" i="94"/>
  <c r="B42" i="94"/>
  <c r="T41" i="94"/>
  <c r="P41" i="94"/>
  <c r="X41" i="94" s="1"/>
  <c r="H41" i="94"/>
  <c r="N41" i="94" s="1"/>
  <c r="D41" i="94"/>
  <c r="L41" i="94" s="1"/>
  <c r="B41" i="94"/>
  <c r="Z40" i="94"/>
  <c r="X40" i="94"/>
  <c r="N40" i="94"/>
  <c r="L40" i="94"/>
  <c r="B40" i="94"/>
  <c r="X39" i="94"/>
  <c r="Z39" i="94" s="1"/>
  <c r="N39" i="94"/>
  <c r="L39" i="94"/>
  <c r="B39" i="94"/>
  <c r="Z38" i="94"/>
  <c r="X38" i="94"/>
  <c r="N38" i="94"/>
  <c r="L38" i="94"/>
  <c r="B38" i="94"/>
  <c r="X37" i="94"/>
  <c r="Z37" i="94" s="1"/>
  <c r="N37" i="94"/>
  <c r="L37" i="94"/>
  <c r="B37" i="94"/>
  <c r="Z36" i="94"/>
  <c r="X36" i="94"/>
  <c r="N36" i="94"/>
  <c r="L36" i="94"/>
  <c r="B36" i="94"/>
  <c r="X35" i="94"/>
  <c r="Z35" i="94" s="1"/>
  <c r="V35" i="94"/>
  <c r="L35" i="94"/>
  <c r="N35" i="94" s="1"/>
  <c r="B35" i="94"/>
  <c r="X34" i="94"/>
  <c r="Z34" i="94" s="1"/>
  <c r="V34" i="94"/>
  <c r="T34" i="94"/>
  <c r="P34" i="94"/>
  <c r="H34" i="94"/>
  <c r="D34" i="94"/>
  <c r="L34" i="94" s="1"/>
  <c r="B34" i="94"/>
  <c r="X33" i="94"/>
  <c r="Z33" i="94" s="1"/>
  <c r="L33" i="94"/>
  <c r="N33" i="94" s="1"/>
  <c r="B33" i="94"/>
  <c r="Z32" i="94"/>
  <c r="X32" i="94"/>
  <c r="N32" i="94"/>
  <c r="L32" i="94"/>
  <c r="B32" i="94"/>
  <c r="X31" i="94"/>
  <c r="Z31" i="94" s="1"/>
  <c r="V31" i="94"/>
  <c r="L31" i="94"/>
  <c r="N31" i="94" s="1"/>
  <c r="B31" i="94"/>
  <c r="X30" i="94"/>
  <c r="Z30" i="94" s="1"/>
  <c r="V30" i="94"/>
  <c r="N30" i="94"/>
  <c r="L30" i="94"/>
  <c r="B30" i="94"/>
  <c r="X29" i="94"/>
  <c r="Z29" i="94" s="1"/>
  <c r="L29" i="94"/>
  <c r="N29" i="94" s="1"/>
  <c r="B29" i="94"/>
  <c r="Z28" i="94"/>
  <c r="X28" i="94"/>
  <c r="N28" i="94"/>
  <c r="L28" i="94"/>
  <c r="B28" i="94"/>
  <c r="X27" i="94"/>
  <c r="Z27" i="94" s="1"/>
  <c r="L27" i="94"/>
  <c r="N27" i="94" s="1"/>
  <c r="B27" i="94"/>
  <c r="Z26" i="94"/>
  <c r="X26" i="94"/>
  <c r="L26" i="94"/>
  <c r="N26" i="94" s="1"/>
  <c r="B26" i="94"/>
  <c r="X25" i="94"/>
  <c r="Z25" i="94" s="1"/>
  <c r="L25" i="94"/>
  <c r="N25" i="94" s="1"/>
  <c r="B25" i="94"/>
  <c r="T24" i="94"/>
  <c r="P24" i="94"/>
  <c r="X24" i="94" s="1"/>
  <c r="H24" i="94"/>
  <c r="D24" i="94"/>
  <c r="L24" i="94" s="1"/>
  <c r="N24" i="94" s="1"/>
  <c r="B24" i="94"/>
  <c r="T23" i="94"/>
  <c r="P23" i="94"/>
  <c r="X23" i="94" s="1"/>
  <c r="L23" i="94"/>
  <c r="N23" i="94" s="1"/>
  <c r="H23" i="94"/>
  <c r="D23" i="94"/>
  <c r="V21" i="94"/>
  <c r="T21" i="94"/>
  <c r="X19" i="94"/>
  <c r="Z19" i="94" s="1"/>
  <c r="L19" i="94"/>
  <c r="N19" i="94" s="1"/>
  <c r="B19" i="94"/>
  <c r="Z18" i="94"/>
  <c r="X18" i="94"/>
  <c r="N18" i="94"/>
  <c r="L18" i="94"/>
  <c r="B18" i="94"/>
  <c r="T17" i="94"/>
  <c r="P17" i="94"/>
  <c r="X17" i="94" s="1"/>
  <c r="H17" i="94"/>
  <c r="D17" i="94"/>
  <c r="X15" i="94"/>
  <c r="Z15" i="94" s="1"/>
  <c r="T15" i="94"/>
  <c r="P15" i="94"/>
  <c r="N15" i="94"/>
  <c r="L15" i="94"/>
  <c r="H15" i="94"/>
  <c r="D15" i="94"/>
  <c r="B15" i="94"/>
  <c r="Z14" i="94"/>
  <c r="T14" i="94"/>
  <c r="P14" i="94"/>
  <c r="X14" i="94" s="1"/>
  <c r="H14" i="94"/>
  <c r="D14" i="94"/>
  <c r="L14" i="94" s="1"/>
  <c r="N14" i="94" s="1"/>
  <c r="B14" i="94"/>
  <c r="T13" i="94"/>
  <c r="Z13" i="94" s="1"/>
  <c r="P13" i="94"/>
  <c r="X13" i="94" s="1"/>
  <c r="H13" i="94"/>
  <c r="N13" i="94" s="1"/>
  <c r="D13" i="94"/>
  <c r="B13" i="94"/>
  <c r="T12" i="94"/>
  <c r="V49" i="94" s="1"/>
  <c r="H12" i="94"/>
  <c r="J45" i="94" s="1"/>
  <c r="D6" i="94"/>
  <c r="D4" i="94"/>
  <c r="Z53" i="93"/>
  <c r="X53" i="93"/>
  <c r="N53" i="93"/>
  <c r="L53" i="93"/>
  <c r="Z49" i="93"/>
  <c r="T49" i="93"/>
  <c r="X49" i="93" s="1"/>
  <c r="P49" i="93"/>
  <c r="N49" i="93"/>
  <c r="L49" i="93"/>
  <c r="H49" i="93"/>
  <c r="D49" i="93"/>
  <c r="Z47" i="93"/>
  <c r="X47" i="93"/>
  <c r="N47" i="93"/>
  <c r="L47" i="93"/>
  <c r="B47" i="93"/>
  <c r="T46" i="93"/>
  <c r="P46" i="93"/>
  <c r="H46" i="93"/>
  <c r="D46" i="93"/>
  <c r="L46" i="93" s="1"/>
  <c r="B46" i="93"/>
  <c r="Z45" i="93"/>
  <c r="X45" i="93"/>
  <c r="N45" i="93"/>
  <c r="L45" i="93"/>
  <c r="B45" i="93"/>
  <c r="X44" i="93"/>
  <c r="Z44" i="93" s="1"/>
  <c r="N44" i="93"/>
  <c r="L44" i="93"/>
  <c r="B44" i="93"/>
  <c r="Z43" i="93"/>
  <c r="X43" i="93"/>
  <c r="N43" i="93"/>
  <c r="L43" i="93"/>
  <c r="B43" i="93"/>
  <c r="T42" i="93"/>
  <c r="P42" i="93"/>
  <c r="X42" i="93" s="1"/>
  <c r="H42" i="93"/>
  <c r="N42" i="93" s="1"/>
  <c r="D42" i="93"/>
  <c r="L42" i="93" s="1"/>
  <c r="B42" i="93"/>
  <c r="Z41" i="93"/>
  <c r="X41" i="93"/>
  <c r="N41" i="93"/>
  <c r="L41" i="93"/>
  <c r="B41" i="93"/>
  <c r="T40" i="93"/>
  <c r="Z40" i="93" s="1"/>
  <c r="P40" i="93"/>
  <c r="X40" i="93" s="1"/>
  <c r="H40" i="93"/>
  <c r="N40" i="93" s="1"/>
  <c r="D40" i="93"/>
  <c r="B40" i="93"/>
  <c r="Z39" i="93"/>
  <c r="X39" i="93"/>
  <c r="N39" i="93"/>
  <c r="L39" i="93"/>
  <c r="B39" i="93"/>
  <c r="T38" i="93"/>
  <c r="P38" i="93"/>
  <c r="N38" i="93"/>
  <c r="L38" i="93"/>
  <c r="H38" i="93"/>
  <c r="D38" i="93"/>
  <c r="B38" i="93"/>
  <c r="X37" i="93"/>
  <c r="Z37" i="93" s="1"/>
  <c r="N37" i="93"/>
  <c r="L37" i="93"/>
  <c r="B37" i="93"/>
  <c r="Z36" i="93"/>
  <c r="X36" i="93"/>
  <c r="T36" i="93"/>
  <c r="P36" i="93"/>
  <c r="H36" i="93"/>
  <c r="N36" i="93" s="1"/>
  <c r="D36" i="93"/>
  <c r="L36" i="93" s="1"/>
  <c r="B36" i="93"/>
  <c r="Z35" i="93"/>
  <c r="X35" i="93"/>
  <c r="N35" i="93"/>
  <c r="L35" i="93"/>
  <c r="B35" i="93"/>
  <c r="V34" i="93"/>
  <c r="T34" i="93"/>
  <c r="P34" i="93"/>
  <c r="X34" i="93" s="1"/>
  <c r="H34" i="93"/>
  <c r="N34" i="93" s="1"/>
  <c r="D34" i="93"/>
  <c r="L34" i="93" s="1"/>
  <c r="B34" i="93"/>
  <c r="Z33" i="93"/>
  <c r="X33" i="93"/>
  <c r="N33" i="93"/>
  <c r="L33" i="93"/>
  <c r="B33" i="93"/>
  <c r="T32" i="93"/>
  <c r="P32" i="93"/>
  <c r="X32" i="93" s="1"/>
  <c r="H32" i="93"/>
  <c r="N32" i="93" s="1"/>
  <c r="D32" i="93"/>
  <c r="B32" i="93"/>
  <c r="Z31" i="93"/>
  <c r="X31" i="93"/>
  <c r="N31" i="93"/>
  <c r="L31" i="93"/>
  <c r="B31" i="93"/>
  <c r="X30" i="93"/>
  <c r="Z30" i="93" s="1"/>
  <c r="N30" i="93"/>
  <c r="L30" i="93"/>
  <c r="B30" i="93"/>
  <c r="Z29" i="93"/>
  <c r="X29" i="93"/>
  <c r="N29" i="93"/>
  <c r="L29" i="93"/>
  <c r="B29" i="93"/>
  <c r="T28" i="93"/>
  <c r="P28" i="93"/>
  <c r="X28" i="93" s="1"/>
  <c r="H28" i="93"/>
  <c r="N28" i="93" s="1"/>
  <c r="D28" i="93"/>
  <c r="B28" i="93"/>
  <c r="Z27" i="93"/>
  <c r="X27" i="93"/>
  <c r="N27" i="93"/>
  <c r="L27" i="93"/>
  <c r="B27" i="93"/>
  <c r="X26" i="93"/>
  <c r="Z26" i="93" s="1"/>
  <c r="N26" i="93"/>
  <c r="L26" i="93"/>
  <c r="B26" i="93"/>
  <c r="Z25" i="93"/>
  <c r="X25" i="93"/>
  <c r="N25" i="93"/>
  <c r="L25" i="93"/>
  <c r="B25" i="93"/>
  <c r="T24" i="93"/>
  <c r="P24" i="93"/>
  <c r="X24" i="93" s="1"/>
  <c r="H24" i="93"/>
  <c r="D24" i="93"/>
  <c r="B24" i="93"/>
  <c r="T23" i="93"/>
  <c r="P23" i="93"/>
  <c r="X23" i="93" s="1"/>
  <c r="Z23" i="93" s="1"/>
  <c r="L23" i="93"/>
  <c r="N23" i="93" s="1"/>
  <c r="H23" i="93"/>
  <c r="D23" i="93"/>
  <c r="T21" i="93"/>
  <c r="T51" i="93" s="1"/>
  <c r="Z19" i="93"/>
  <c r="X19" i="93"/>
  <c r="N19" i="93"/>
  <c r="L19" i="93"/>
  <c r="B19" i="93"/>
  <c r="X18" i="93"/>
  <c r="Z18" i="93" s="1"/>
  <c r="N18" i="93"/>
  <c r="L18" i="93"/>
  <c r="B18" i="93"/>
  <c r="Z17" i="93"/>
  <c r="T17" i="93"/>
  <c r="P17" i="93"/>
  <c r="X17" i="93" s="1"/>
  <c r="N17" i="93"/>
  <c r="H17" i="93"/>
  <c r="D17" i="93"/>
  <c r="L17" i="93" s="1"/>
  <c r="X15" i="93"/>
  <c r="T15" i="93"/>
  <c r="P15" i="93"/>
  <c r="H15" i="93"/>
  <c r="D15" i="93"/>
  <c r="B15" i="93"/>
  <c r="T14" i="93"/>
  <c r="P14" i="93"/>
  <c r="X14" i="93" s="1"/>
  <c r="Z14" i="93" s="1"/>
  <c r="N14" i="93"/>
  <c r="L14" i="93"/>
  <c r="H14" i="93"/>
  <c r="D14" i="93"/>
  <c r="B14" i="93"/>
  <c r="T13" i="93"/>
  <c r="P13" i="93"/>
  <c r="X13" i="93" s="1"/>
  <c r="Z13" i="93" s="1"/>
  <c r="N13" i="93"/>
  <c r="H13" i="93"/>
  <c r="D13" i="93"/>
  <c r="B13" i="93"/>
  <c r="T12" i="93"/>
  <c r="V42" i="93" s="1"/>
  <c r="D6" i="93"/>
  <c r="D4" i="93"/>
  <c r="X88" i="92"/>
  <c r="Z88" i="92" s="1"/>
  <c r="N88" i="92"/>
  <c r="L88" i="92"/>
  <c r="T84" i="92"/>
  <c r="Z84" i="92" s="1"/>
  <c r="P84" i="92"/>
  <c r="X84" i="92" s="1"/>
  <c r="H84" i="92"/>
  <c r="N84" i="92" s="1"/>
  <c r="D84" i="92"/>
  <c r="L84" i="92" s="1"/>
  <c r="X82" i="92"/>
  <c r="Z82" i="92" s="1"/>
  <c r="N82" i="92"/>
  <c r="L82" i="92"/>
  <c r="B82" i="92"/>
  <c r="T81" i="92"/>
  <c r="P81" i="92"/>
  <c r="X81" i="92" s="1"/>
  <c r="Z81" i="92" s="1"/>
  <c r="N81" i="92"/>
  <c r="H81" i="92"/>
  <c r="D81" i="92"/>
  <c r="L81" i="92" s="1"/>
  <c r="B81" i="92"/>
  <c r="Z80" i="92"/>
  <c r="X80" i="92"/>
  <c r="N80" i="92"/>
  <c r="L80" i="92"/>
  <c r="B80" i="92"/>
  <c r="Z79" i="92"/>
  <c r="T79" i="92"/>
  <c r="P79" i="92"/>
  <c r="X79" i="92" s="1"/>
  <c r="N79" i="92"/>
  <c r="L79" i="92"/>
  <c r="H79" i="92"/>
  <c r="D79" i="92"/>
  <c r="B79" i="92"/>
  <c r="Z78" i="92"/>
  <c r="X78" i="92"/>
  <c r="L78" i="92"/>
  <c r="N78" i="92" s="1"/>
  <c r="B78" i="92"/>
  <c r="X77" i="92"/>
  <c r="Z77" i="92" s="1"/>
  <c r="T77" i="92"/>
  <c r="P77" i="92"/>
  <c r="H77" i="92"/>
  <c r="D77" i="92"/>
  <c r="B77" i="92"/>
  <c r="Z76" i="92"/>
  <c r="X76" i="92"/>
  <c r="N76" i="92"/>
  <c r="L76" i="92"/>
  <c r="B76" i="92"/>
  <c r="X75" i="92"/>
  <c r="Z75" i="92" s="1"/>
  <c r="N75" i="92"/>
  <c r="L75" i="92"/>
  <c r="B75" i="92"/>
  <c r="Z74" i="92"/>
  <c r="X74" i="92"/>
  <c r="N74" i="92"/>
  <c r="L74" i="92"/>
  <c r="B74" i="92"/>
  <c r="X73" i="92"/>
  <c r="Z73" i="92" s="1"/>
  <c r="N73" i="92"/>
  <c r="L73" i="92"/>
  <c r="B73" i="92"/>
  <c r="X72" i="92"/>
  <c r="Z72" i="92" s="1"/>
  <c r="N72" i="92"/>
  <c r="L72" i="92"/>
  <c r="B72" i="92"/>
  <c r="Z71" i="92"/>
  <c r="X71" i="92"/>
  <c r="L71" i="92"/>
  <c r="N71" i="92" s="1"/>
  <c r="B71" i="92"/>
  <c r="X70" i="92"/>
  <c r="Z70" i="92" s="1"/>
  <c r="N70" i="92"/>
  <c r="L70" i="92"/>
  <c r="B70" i="92"/>
  <c r="Z69" i="92"/>
  <c r="X69" i="92"/>
  <c r="L69" i="92"/>
  <c r="N69" i="92" s="1"/>
  <c r="J69" i="92"/>
  <c r="B69" i="92"/>
  <c r="T68" i="92"/>
  <c r="Z68" i="92" s="1"/>
  <c r="P68" i="92"/>
  <c r="X68" i="92" s="1"/>
  <c r="L68" i="92"/>
  <c r="H68" i="92"/>
  <c r="N68" i="92" s="1"/>
  <c r="D68" i="92"/>
  <c r="B68" i="92"/>
  <c r="Z67" i="92"/>
  <c r="X67" i="92"/>
  <c r="L67" i="92"/>
  <c r="N67" i="92" s="1"/>
  <c r="B67" i="92"/>
  <c r="X66" i="92"/>
  <c r="Z66" i="92" s="1"/>
  <c r="N66" i="92"/>
  <c r="L66" i="92"/>
  <c r="B66" i="92"/>
  <c r="Z65" i="92"/>
  <c r="X65" i="92"/>
  <c r="L65" i="92"/>
  <c r="N65" i="92" s="1"/>
  <c r="J65" i="92"/>
  <c r="B65" i="92"/>
  <c r="T64" i="92"/>
  <c r="P64" i="92"/>
  <c r="X64" i="92" s="1"/>
  <c r="L64" i="92"/>
  <c r="H64" i="92"/>
  <c r="N64" i="92" s="1"/>
  <c r="D64" i="92"/>
  <c r="B64" i="92"/>
  <c r="Z63" i="92"/>
  <c r="X63" i="92"/>
  <c r="N63" i="92"/>
  <c r="L63" i="92"/>
  <c r="B63" i="92"/>
  <c r="X62" i="92"/>
  <c r="Z62" i="92" s="1"/>
  <c r="N62" i="92"/>
  <c r="L62" i="92"/>
  <c r="B62" i="92"/>
  <c r="Z61" i="92"/>
  <c r="X61" i="92"/>
  <c r="N61" i="92"/>
  <c r="L61" i="92"/>
  <c r="J61" i="92"/>
  <c r="B61" i="92"/>
  <c r="T60" i="92"/>
  <c r="Z60" i="92" s="1"/>
  <c r="P60" i="92"/>
  <c r="X60" i="92" s="1"/>
  <c r="L60" i="92"/>
  <c r="N60" i="92" s="1"/>
  <c r="H60" i="92"/>
  <c r="D60" i="92"/>
  <c r="B60" i="92"/>
  <c r="Z59" i="92"/>
  <c r="X59" i="92"/>
  <c r="L59" i="92"/>
  <c r="N59" i="92" s="1"/>
  <c r="B59" i="92"/>
  <c r="X58" i="92"/>
  <c r="T58" i="92"/>
  <c r="Z58" i="92" s="1"/>
  <c r="P58" i="92"/>
  <c r="L58" i="92"/>
  <c r="N58" i="92" s="1"/>
  <c r="H58" i="92"/>
  <c r="D58" i="92"/>
  <c r="B58" i="92"/>
  <c r="X57" i="92"/>
  <c r="Z57" i="92" s="1"/>
  <c r="N57" i="92"/>
  <c r="L57" i="92"/>
  <c r="B57" i="92"/>
  <c r="Z56" i="92"/>
  <c r="X56" i="92"/>
  <c r="T56" i="92"/>
  <c r="P56" i="92"/>
  <c r="J56" i="92"/>
  <c r="H56" i="92"/>
  <c r="N56" i="92" s="1"/>
  <c r="D56" i="92"/>
  <c r="B56" i="92"/>
  <c r="X55" i="92"/>
  <c r="Z55" i="92" s="1"/>
  <c r="N55" i="92"/>
  <c r="L55" i="92"/>
  <c r="B55" i="92"/>
  <c r="T54" i="92"/>
  <c r="P54" i="92"/>
  <c r="X54" i="92" s="1"/>
  <c r="H54" i="92"/>
  <c r="N54" i="92" s="1"/>
  <c r="D54" i="92"/>
  <c r="L54" i="92" s="1"/>
  <c r="B54" i="92"/>
  <c r="Z53" i="92"/>
  <c r="X53" i="92"/>
  <c r="N53" i="92"/>
  <c r="L53" i="92"/>
  <c r="B53" i="92"/>
  <c r="T52" i="92"/>
  <c r="P52" i="92"/>
  <c r="X52" i="92" s="1"/>
  <c r="L52" i="92"/>
  <c r="H52" i="92"/>
  <c r="N52" i="92" s="1"/>
  <c r="D52" i="92"/>
  <c r="B52" i="92"/>
  <c r="Z51" i="92"/>
  <c r="X51" i="92"/>
  <c r="N51" i="92"/>
  <c r="L51" i="92"/>
  <c r="B51" i="92"/>
  <c r="X50" i="92"/>
  <c r="T50" i="92"/>
  <c r="Z50" i="92" s="1"/>
  <c r="P50" i="92"/>
  <c r="N50" i="92"/>
  <c r="L50" i="92"/>
  <c r="H50" i="92"/>
  <c r="D50" i="92"/>
  <c r="B50" i="92"/>
  <c r="Z49" i="92"/>
  <c r="X49" i="92"/>
  <c r="N49" i="92"/>
  <c r="L49" i="92"/>
  <c r="B49" i="92"/>
  <c r="Z48" i="92"/>
  <c r="X48" i="92"/>
  <c r="T48" i="92"/>
  <c r="P48" i="92"/>
  <c r="H48" i="92"/>
  <c r="N48" i="92" s="1"/>
  <c r="D48" i="92"/>
  <c r="B48" i="92"/>
  <c r="Z47" i="92"/>
  <c r="X47" i="92"/>
  <c r="N47" i="92"/>
  <c r="L47" i="92"/>
  <c r="B47" i="92"/>
  <c r="T46" i="92"/>
  <c r="P46" i="92"/>
  <c r="H46" i="92"/>
  <c r="N46" i="92" s="1"/>
  <c r="D46" i="92"/>
  <c r="L46" i="92" s="1"/>
  <c r="B46" i="92"/>
  <c r="Z45" i="92"/>
  <c r="X45" i="92"/>
  <c r="N45" i="92"/>
  <c r="L45" i="92"/>
  <c r="B45" i="92"/>
  <c r="T44" i="92"/>
  <c r="Z44" i="92" s="1"/>
  <c r="P44" i="92"/>
  <c r="X44" i="92" s="1"/>
  <c r="L44" i="92"/>
  <c r="H44" i="92"/>
  <c r="N44" i="92" s="1"/>
  <c r="D44" i="92"/>
  <c r="B44" i="92"/>
  <c r="Z43" i="92"/>
  <c r="X43" i="92"/>
  <c r="N43" i="92"/>
  <c r="L43" i="92"/>
  <c r="B43" i="92"/>
  <c r="X42" i="92"/>
  <c r="T42" i="92"/>
  <c r="Z42" i="92" s="1"/>
  <c r="P42" i="92"/>
  <c r="N42" i="92"/>
  <c r="L42" i="92"/>
  <c r="H42" i="92"/>
  <c r="D42" i="92"/>
  <c r="B42" i="92"/>
  <c r="X41" i="92"/>
  <c r="Z41" i="92" s="1"/>
  <c r="N41" i="92"/>
  <c r="L41" i="92"/>
  <c r="B41" i="92"/>
  <c r="Z40" i="92"/>
  <c r="X40" i="92"/>
  <c r="N40" i="92"/>
  <c r="L40" i="92"/>
  <c r="B40" i="92"/>
  <c r="Z39" i="92"/>
  <c r="X39" i="92"/>
  <c r="N39" i="92"/>
  <c r="L39" i="92"/>
  <c r="B39" i="92"/>
  <c r="X38" i="92"/>
  <c r="Z38" i="92" s="1"/>
  <c r="N38" i="92"/>
  <c r="L38" i="92"/>
  <c r="B38" i="92"/>
  <c r="Z37" i="92"/>
  <c r="X37" i="92"/>
  <c r="L37" i="92"/>
  <c r="N37" i="92" s="1"/>
  <c r="B37" i="92"/>
  <c r="X36" i="92"/>
  <c r="Z36" i="92" s="1"/>
  <c r="L36" i="92"/>
  <c r="N36" i="92" s="1"/>
  <c r="B36" i="92"/>
  <c r="T35" i="92"/>
  <c r="P35" i="92"/>
  <c r="H35" i="92"/>
  <c r="D35" i="92"/>
  <c r="L35" i="92" s="1"/>
  <c r="N35" i="92" s="1"/>
  <c r="B35" i="92"/>
  <c r="X34" i="92"/>
  <c r="Z34" i="92" s="1"/>
  <c r="L34" i="92"/>
  <c r="N34" i="92" s="1"/>
  <c r="B34" i="92"/>
  <c r="Z33" i="92"/>
  <c r="X33" i="92"/>
  <c r="L33" i="92"/>
  <c r="N33" i="92" s="1"/>
  <c r="B33" i="92"/>
  <c r="X32" i="92"/>
  <c r="Z32" i="92" s="1"/>
  <c r="L32" i="92"/>
  <c r="N32" i="92" s="1"/>
  <c r="B32" i="92"/>
  <c r="X31" i="92"/>
  <c r="Z31" i="92" s="1"/>
  <c r="N31" i="92"/>
  <c r="L31" i="92"/>
  <c r="B31" i="92"/>
  <c r="X30" i="92"/>
  <c r="Z30" i="92" s="1"/>
  <c r="L30" i="92"/>
  <c r="N30" i="92" s="1"/>
  <c r="B30" i="92"/>
  <c r="Z29" i="92"/>
  <c r="X29" i="92"/>
  <c r="N29" i="92"/>
  <c r="L29" i="92"/>
  <c r="B29" i="92"/>
  <c r="X28" i="92"/>
  <c r="Z28" i="92" s="1"/>
  <c r="L28" i="92"/>
  <c r="N28" i="92" s="1"/>
  <c r="B28" i="92"/>
  <c r="Z27" i="92"/>
  <c r="X27" i="92"/>
  <c r="L27" i="92"/>
  <c r="N27" i="92" s="1"/>
  <c r="B27" i="92"/>
  <c r="X26" i="92"/>
  <c r="Z26" i="92" s="1"/>
  <c r="L26" i="92"/>
  <c r="N26" i="92" s="1"/>
  <c r="B26" i="92"/>
  <c r="T25" i="92"/>
  <c r="P25" i="92"/>
  <c r="X25" i="92" s="1"/>
  <c r="Z25" i="92" s="1"/>
  <c r="H25" i="92"/>
  <c r="D25" i="92"/>
  <c r="L25" i="92" s="1"/>
  <c r="N25" i="92" s="1"/>
  <c r="B25" i="92"/>
  <c r="T24" i="92"/>
  <c r="P24" i="92"/>
  <c r="H24" i="92"/>
  <c r="D24" i="92"/>
  <c r="L24" i="92" s="1"/>
  <c r="Z20" i="92"/>
  <c r="X20" i="92"/>
  <c r="L20" i="92"/>
  <c r="N20" i="92" s="1"/>
  <c r="B20" i="92"/>
  <c r="Z19" i="92"/>
  <c r="X19" i="92"/>
  <c r="N19" i="92"/>
  <c r="L19" i="92"/>
  <c r="B19" i="92"/>
  <c r="X18" i="92"/>
  <c r="T18" i="92"/>
  <c r="P18" i="92"/>
  <c r="L18" i="92"/>
  <c r="N18" i="92" s="1"/>
  <c r="H18" i="92"/>
  <c r="D18" i="92"/>
  <c r="T16" i="92"/>
  <c r="P16" i="92"/>
  <c r="X16" i="92" s="1"/>
  <c r="N16" i="92"/>
  <c r="L16" i="92"/>
  <c r="H16" i="92"/>
  <c r="D16" i="92"/>
  <c r="B16" i="92"/>
  <c r="T15" i="92"/>
  <c r="P15" i="92"/>
  <c r="N15" i="92"/>
  <c r="H15" i="92"/>
  <c r="D15" i="92"/>
  <c r="L15" i="92" s="1"/>
  <c r="B15" i="92"/>
  <c r="T14" i="92"/>
  <c r="P14" i="92"/>
  <c r="L14" i="92"/>
  <c r="H14" i="92"/>
  <c r="N14" i="92" s="1"/>
  <c r="D14" i="92"/>
  <c r="B14" i="92"/>
  <c r="T13" i="92"/>
  <c r="P13" i="92"/>
  <c r="H13" i="92"/>
  <c r="D13" i="92"/>
  <c r="B13" i="92"/>
  <c r="H12" i="92"/>
  <c r="J48" i="92" s="1"/>
  <c r="D6" i="92"/>
  <c r="D4" i="92"/>
  <c r="Z48" i="91"/>
  <c r="X48" i="91"/>
  <c r="N48" i="91"/>
  <c r="L48" i="91"/>
  <c r="Z44" i="91"/>
  <c r="T44" i="91"/>
  <c r="X44" i="91" s="1"/>
  <c r="P44" i="91"/>
  <c r="H44" i="91"/>
  <c r="N44" i="91" s="1"/>
  <c r="D44" i="91"/>
  <c r="L44" i="91" s="1"/>
  <c r="X42" i="91"/>
  <c r="Z42" i="91" s="1"/>
  <c r="N42" i="91"/>
  <c r="L42" i="91"/>
  <c r="B42" i="91"/>
  <c r="T41" i="91"/>
  <c r="P41" i="91"/>
  <c r="N41" i="91"/>
  <c r="H41" i="91"/>
  <c r="D41" i="91"/>
  <c r="L41" i="91" s="1"/>
  <c r="B41" i="91"/>
  <c r="X40" i="91"/>
  <c r="Z40" i="91" s="1"/>
  <c r="N40" i="91"/>
  <c r="L40" i="91"/>
  <c r="F40" i="91"/>
  <c r="B40" i="91"/>
  <c r="T39" i="91"/>
  <c r="P39" i="91"/>
  <c r="X39" i="91" s="1"/>
  <c r="Z39" i="91" s="1"/>
  <c r="N39" i="91"/>
  <c r="H39" i="91"/>
  <c r="D39" i="91"/>
  <c r="L39" i="91" s="1"/>
  <c r="B39" i="91"/>
  <c r="X38" i="91"/>
  <c r="Z38" i="91" s="1"/>
  <c r="L38" i="91"/>
  <c r="N38" i="91" s="1"/>
  <c r="B38" i="91"/>
  <c r="Z37" i="91"/>
  <c r="T37" i="91"/>
  <c r="P37" i="91"/>
  <c r="X37" i="91" s="1"/>
  <c r="L37" i="91"/>
  <c r="N37" i="91" s="1"/>
  <c r="H37" i="91"/>
  <c r="D37" i="91"/>
  <c r="B37" i="91"/>
  <c r="X36" i="91"/>
  <c r="Z36" i="91" s="1"/>
  <c r="L36" i="91"/>
  <c r="N36" i="91" s="1"/>
  <c r="B36" i="91"/>
  <c r="X35" i="91"/>
  <c r="Z35" i="91" s="1"/>
  <c r="N35" i="91"/>
  <c r="L35" i="91"/>
  <c r="B35" i="91"/>
  <c r="X34" i="91"/>
  <c r="Z34" i="91" s="1"/>
  <c r="T34" i="91"/>
  <c r="P34" i="91"/>
  <c r="H34" i="91"/>
  <c r="D34" i="91"/>
  <c r="B34" i="91"/>
  <c r="Z33" i="91"/>
  <c r="X33" i="91"/>
  <c r="N33" i="91"/>
  <c r="L33" i="91"/>
  <c r="J33" i="91"/>
  <c r="B33" i="91"/>
  <c r="T32" i="91"/>
  <c r="P32" i="91"/>
  <c r="H32" i="91"/>
  <c r="N32" i="91" s="1"/>
  <c r="F32" i="91"/>
  <c r="D32" i="91"/>
  <c r="L32" i="91" s="1"/>
  <c r="B32" i="91"/>
  <c r="X31" i="91"/>
  <c r="Z31" i="91" s="1"/>
  <c r="N31" i="91"/>
  <c r="L31" i="91"/>
  <c r="J31" i="91"/>
  <c r="B31" i="91"/>
  <c r="T30" i="91"/>
  <c r="P30" i="91"/>
  <c r="X30" i="91" s="1"/>
  <c r="L30" i="91"/>
  <c r="H30" i="91"/>
  <c r="N30" i="91" s="1"/>
  <c r="F30" i="91"/>
  <c r="D30" i="91"/>
  <c r="B30" i="91"/>
  <c r="Z29" i="91"/>
  <c r="X29" i="91"/>
  <c r="L29" i="91"/>
  <c r="N29" i="91" s="1"/>
  <c r="B29" i="91"/>
  <c r="Z28" i="91"/>
  <c r="X28" i="91"/>
  <c r="T28" i="91"/>
  <c r="P28" i="91"/>
  <c r="J28" i="91"/>
  <c r="H28" i="91"/>
  <c r="D28" i="91"/>
  <c r="B28" i="91"/>
  <c r="X27" i="91"/>
  <c r="Z27" i="91" s="1"/>
  <c r="N27" i="91"/>
  <c r="L27" i="91"/>
  <c r="F27" i="91"/>
  <c r="B27" i="91"/>
  <c r="X26" i="91"/>
  <c r="Z26" i="91" s="1"/>
  <c r="L26" i="91"/>
  <c r="N26" i="91" s="1"/>
  <c r="B26" i="91"/>
  <c r="X25" i="91"/>
  <c r="Z25" i="91" s="1"/>
  <c r="L25" i="91"/>
  <c r="N25" i="91" s="1"/>
  <c r="F25" i="91"/>
  <c r="B25" i="91"/>
  <c r="Z24" i="91"/>
  <c r="X24" i="91"/>
  <c r="N24" i="91"/>
  <c r="L24" i="91"/>
  <c r="F24" i="91"/>
  <c r="B24" i="91"/>
  <c r="Z23" i="91"/>
  <c r="X23" i="91"/>
  <c r="L23" i="91"/>
  <c r="N23" i="91" s="1"/>
  <c r="F23" i="91"/>
  <c r="B23" i="91"/>
  <c r="X22" i="91"/>
  <c r="Z22" i="91" s="1"/>
  <c r="L22" i="91"/>
  <c r="N22" i="91" s="1"/>
  <c r="J22" i="91"/>
  <c r="F22" i="91"/>
  <c r="B22" i="91"/>
  <c r="X21" i="91"/>
  <c r="Z21" i="91" s="1"/>
  <c r="L21" i="91"/>
  <c r="N21" i="91" s="1"/>
  <c r="J21" i="91"/>
  <c r="B21" i="91"/>
  <c r="Z20" i="91"/>
  <c r="X20" i="91"/>
  <c r="N20" i="91"/>
  <c r="L20" i="91"/>
  <c r="B20" i="91"/>
  <c r="T19" i="91"/>
  <c r="R19" i="91"/>
  <c r="P19" i="91"/>
  <c r="H19" i="91"/>
  <c r="F19" i="91"/>
  <c r="D19" i="91"/>
  <c r="L19" i="91" s="1"/>
  <c r="B19" i="91"/>
  <c r="T18" i="91"/>
  <c r="Z18" i="91" s="1"/>
  <c r="P18" i="91"/>
  <c r="X18" i="91" s="1"/>
  <c r="N18" i="91"/>
  <c r="L18" i="91"/>
  <c r="H18" i="91"/>
  <c r="F18" i="91"/>
  <c r="D18" i="91"/>
  <c r="F16" i="91"/>
  <c r="D16" i="91"/>
  <c r="T14" i="91"/>
  <c r="Z14" i="91" s="1"/>
  <c r="P14" i="91"/>
  <c r="X14" i="91" s="1"/>
  <c r="N14" i="91"/>
  <c r="L14" i="91"/>
  <c r="H14" i="91"/>
  <c r="F14" i="91"/>
  <c r="D14" i="91"/>
  <c r="T12" i="91"/>
  <c r="P12" i="91"/>
  <c r="H12" i="91"/>
  <c r="J44" i="91" s="1"/>
  <c r="D12" i="91"/>
  <c r="F37" i="91" s="1"/>
  <c r="D6" i="91"/>
  <c r="D4" i="91"/>
  <c r="J90" i="90"/>
  <c r="Z85" i="90"/>
  <c r="X85" i="90"/>
  <c r="N85" i="90"/>
  <c r="L85" i="90"/>
  <c r="T81" i="90"/>
  <c r="P81" i="90"/>
  <c r="H81" i="90"/>
  <c r="N81" i="90" s="1"/>
  <c r="D81" i="90"/>
  <c r="L81" i="90" s="1"/>
  <c r="B81" i="90"/>
  <c r="T80" i="90"/>
  <c r="D80" i="90"/>
  <c r="X78" i="90"/>
  <c r="Z78" i="90" s="1"/>
  <c r="R78" i="90"/>
  <c r="N78" i="90"/>
  <c r="L78" i="90"/>
  <c r="B78" i="90"/>
  <c r="T77" i="90"/>
  <c r="P77" i="90"/>
  <c r="N77" i="90"/>
  <c r="H77" i="90"/>
  <c r="D77" i="90"/>
  <c r="L77" i="90" s="1"/>
  <c r="B77" i="90"/>
  <c r="X76" i="90"/>
  <c r="Z76" i="90" s="1"/>
  <c r="L76" i="90"/>
  <c r="N76" i="90" s="1"/>
  <c r="B76" i="90"/>
  <c r="T75" i="90"/>
  <c r="R75" i="90"/>
  <c r="P75" i="90"/>
  <c r="X75" i="90" s="1"/>
  <c r="Z75" i="90" s="1"/>
  <c r="H75" i="90"/>
  <c r="D75" i="90"/>
  <c r="L75" i="90" s="1"/>
  <c r="B75" i="90"/>
  <c r="Z74" i="90"/>
  <c r="X74" i="90"/>
  <c r="N74" i="90"/>
  <c r="L74" i="90"/>
  <c r="B74" i="90"/>
  <c r="X73" i="90"/>
  <c r="Z73" i="90" s="1"/>
  <c r="N73" i="90"/>
  <c r="L73" i="90"/>
  <c r="B73" i="90"/>
  <c r="X72" i="90"/>
  <c r="Z72" i="90" s="1"/>
  <c r="N72" i="90"/>
  <c r="L72" i="90"/>
  <c r="B72" i="90"/>
  <c r="Z71" i="90"/>
  <c r="X71" i="90"/>
  <c r="N71" i="90"/>
  <c r="L71" i="90"/>
  <c r="B71" i="90"/>
  <c r="X70" i="90"/>
  <c r="Z70" i="90" s="1"/>
  <c r="N70" i="90"/>
  <c r="L70" i="90"/>
  <c r="B70" i="90"/>
  <c r="X69" i="90"/>
  <c r="Z69" i="90" s="1"/>
  <c r="N69" i="90"/>
  <c r="L69" i="90"/>
  <c r="B69" i="90"/>
  <c r="X68" i="90"/>
  <c r="Z68" i="90" s="1"/>
  <c r="N68" i="90"/>
  <c r="L68" i="90"/>
  <c r="B68" i="90"/>
  <c r="Z67" i="90"/>
  <c r="X67" i="90"/>
  <c r="T67" i="90"/>
  <c r="P67" i="90"/>
  <c r="J67" i="90"/>
  <c r="H67" i="90"/>
  <c r="D67" i="90"/>
  <c r="B67" i="90"/>
  <c r="X66" i="90"/>
  <c r="Z66" i="90" s="1"/>
  <c r="N66" i="90"/>
  <c r="L66" i="90"/>
  <c r="B66" i="90"/>
  <c r="X65" i="90"/>
  <c r="Z65" i="90" s="1"/>
  <c r="N65" i="90"/>
  <c r="L65" i="90"/>
  <c r="B65" i="90"/>
  <c r="X64" i="90"/>
  <c r="Z64" i="90" s="1"/>
  <c r="N64" i="90"/>
  <c r="L64" i="90"/>
  <c r="B64" i="90"/>
  <c r="Z63" i="90"/>
  <c r="X63" i="90"/>
  <c r="T63" i="90"/>
  <c r="P63" i="90"/>
  <c r="J63" i="90"/>
  <c r="H63" i="90"/>
  <c r="D63" i="90"/>
  <c r="B63" i="90"/>
  <c r="X62" i="90"/>
  <c r="Z62" i="90" s="1"/>
  <c r="N62" i="90"/>
  <c r="L62" i="90"/>
  <c r="B62" i="90"/>
  <c r="T61" i="90"/>
  <c r="P61" i="90"/>
  <c r="N61" i="90"/>
  <c r="H61" i="90"/>
  <c r="D61" i="90"/>
  <c r="L61" i="90" s="1"/>
  <c r="B61" i="90"/>
  <c r="X60" i="90"/>
  <c r="Z60" i="90" s="1"/>
  <c r="N60" i="90"/>
  <c r="L60" i="90"/>
  <c r="B60" i="90"/>
  <c r="Z59" i="90"/>
  <c r="X59" i="90"/>
  <c r="N59" i="90"/>
  <c r="L59" i="90"/>
  <c r="B59" i="90"/>
  <c r="X58" i="90"/>
  <c r="Z58" i="90" s="1"/>
  <c r="N58" i="90"/>
  <c r="L58" i="90"/>
  <c r="B58" i="90"/>
  <c r="T57" i="90"/>
  <c r="P57" i="90"/>
  <c r="N57" i="90"/>
  <c r="H57" i="90"/>
  <c r="D57" i="90"/>
  <c r="L57" i="90" s="1"/>
  <c r="B57" i="90"/>
  <c r="X56" i="90"/>
  <c r="Z56" i="90" s="1"/>
  <c r="N56" i="90"/>
  <c r="L56" i="90"/>
  <c r="B56" i="90"/>
  <c r="T55" i="90"/>
  <c r="P55" i="90"/>
  <c r="X55" i="90" s="1"/>
  <c r="Z55" i="90" s="1"/>
  <c r="H55" i="90"/>
  <c r="N55" i="90" s="1"/>
  <c r="D55" i="90"/>
  <c r="L55" i="90" s="1"/>
  <c r="B55" i="90"/>
  <c r="Z54" i="90"/>
  <c r="X54" i="90"/>
  <c r="N54" i="90"/>
  <c r="L54" i="90"/>
  <c r="B54" i="90"/>
  <c r="T53" i="90"/>
  <c r="Z53" i="90" s="1"/>
  <c r="P53" i="90"/>
  <c r="X53" i="90" s="1"/>
  <c r="N53" i="90"/>
  <c r="L53" i="90"/>
  <c r="H53" i="90"/>
  <c r="D53" i="90"/>
  <c r="B53" i="90"/>
  <c r="X52" i="90"/>
  <c r="Z52" i="90" s="1"/>
  <c r="N52" i="90"/>
  <c r="L52" i="90"/>
  <c r="B52" i="90"/>
  <c r="X51" i="90"/>
  <c r="Z51" i="90" s="1"/>
  <c r="T51" i="90"/>
  <c r="P51" i="90"/>
  <c r="J51" i="90"/>
  <c r="H51" i="90"/>
  <c r="D51" i="90"/>
  <c r="B51" i="90"/>
  <c r="Z50" i="90"/>
  <c r="X50" i="90"/>
  <c r="N50" i="90"/>
  <c r="L50" i="90"/>
  <c r="B50" i="90"/>
  <c r="T49" i="90"/>
  <c r="P49" i="90"/>
  <c r="H49" i="90"/>
  <c r="D49" i="90"/>
  <c r="L49" i="90" s="1"/>
  <c r="N49" i="90" s="1"/>
  <c r="B49" i="90"/>
  <c r="X48" i="90"/>
  <c r="Z48" i="90" s="1"/>
  <c r="N48" i="90"/>
  <c r="L48" i="90"/>
  <c r="B48" i="90"/>
  <c r="T47" i="90"/>
  <c r="R47" i="90"/>
  <c r="P47" i="90"/>
  <c r="X47" i="90" s="1"/>
  <c r="Z47" i="90" s="1"/>
  <c r="H47" i="90"/>
  <c r="N47" i="90" s="1"/>
  <c r="D47" i="90"/>
  <c r="L47" i="90" s="1"/>
  <c r="B47" i="90"/>
  <c r="Z46" i="90"/>
  <c r="X46" i="90"/>
  <c r="R46" i="90"/>
  <c r="N46" i="90"/>
  <c r="L46" i="90"/>
  <c r="B46" i="90"/>
  <c r="T45" i="90"/>
  <c r="Z45" i="90" s="1"/>
  <c r="P45" i="90"/>
  <c r="X45" i="90" s="1"/>
  <c r="N45" i="90"/>
  <c r="L45" i="90"/>
  <c r="H45" i="90"/>
  <c r="D45" i="90"/>
  <c r="B45" i="90"/>
  <c r="X44" i="90"/>
  <c r="Z44" i="90" s="1"/>
  <c r="N44" i="90"/>
  <c r="L44" i="90"/>
  <c r="B44" i="90"/>
  <c r="X43" i="90"/>
  <c r="Z43" i="90" s="1"/>
  <c r="T43" i="90"/>
  <c r="P43" i="90"/>
  <c r="J43" i="90"/>
  <c r="H43" i="90"/>
  <c r="D43" i="90"/>
  <c r="B43" i="90"/>
  <c r="Z42" i="90"/>
  <c r="X42" i="90"/>
  <c r="N42" i="90"/>
  <c r="L42" i="90"/>
  <c r="B42" i="90"/>
  <c r="X41" i="90"/>
  <c r="Z41" i="90" s="1"/>
  <c r="N41" i="90"/>
  <c r="L41" i="90"/>
  <c r="J41" i="90"/>
  <c r="B41" i="90"/>
  <c r="X40" i="90"/>
  <c r="Z40" i="90" s="1"/>
  <c r="N40" i="90"/>
  <c r="L40" i="90"/>
  <c r="B40" i="90"/>
  <c r="X39" i="90"/>
  <c r="Z39" i="90" s="1"/>
  <c r="N39" i="90"/>
  <c r="L39" i="90"/>
  <c r="B39" i="90"/>
  <c r="Z38" i="90"/>
  <c r="X38" i="90"/>
  <c r="N38" i="90"/>
  <c r="L38" i="90"/>
  <c r="B38" i="90"/>
  <c r="X37" i="90"/>
  <c r="Z37" i="90" s="1"/>
  <c r="L37" i="90"/>
  <c r="N37" i="90" s="1"/>
  <c r="J37" i="90"/>
  <c r="B37" i="90"/>
  <c r="T36" i="90"/>
  <c r="P36" i="90"/>
  <c r="X36" i="90" s="1"/>
  <c r="Z36" i="90" s="1"/>
  <c r="H36" i="90"/>
  <c r="D36" i="90"/>
  <c r="B36" i="90"/>
  <c r="X35" i="90"/>
  <c r="Z35" i="90" s="1"/>
  <c r="N35" i="90"/>
  <c r="L35" i="90"/>
  <c r="B35" i="90"/>
  <c r="Z34" i="90"/>
  <c r="X34" i="90"/>
  <c r="N34" i="90"/>
  <c r="L34" i="90"/>
  <c r="B34" i="90"/>
  <c r="X33" i="90"/>
  <c r="Z33" i="90" s="1"/>
  <c r="L33" i="90"/>
  <c r="N33" i="90" s="1"/>
  <c r="B33" i="90"/>
  <c r="X32" i="90"/>
  <c r="Z32" i="90" s="1"/>
  <c r="N32" i="90"/>
  <c r="L32" i="90"/>
  <c r="B32" i="90"/>
  <c r="Z31" i="90"/>
  <c r="X31" i="90"/>
  <c r="R31" i="90"/>
  <c r="L31" i="90"/>
  <c r="N31" i="90" s="1"/>
  <c r="B31" i="90"/>
  <c r="Z30" i="90"/>
  <c r="X30" i="90"/>
  <c r="N30" i="90"/>
  <c r="L30" i="90"/>
  <c r="B30" i="90"/>
  <c r="X29" i="90"/>
  <c r="Z29" i="90" s="1"/>
  <c r="R29" i="90"/>
  <c r="L29" i="90"/>
  <c r="N29" i="90" s="1"/>
  <c r="B29" i="90"/>
  <c r="Z28" i="90"/>
  <c r="X28" i="90"/>
  <c r="L28" i="90"/>
  <c r="N28" i="90" s="1"/>
  <c r="B28" i="90"/>
  <c r="X27" i="90"/>
  <c r="Z27" i="90" s="1"/>
  <c r="N27" i="90"/>
  <c r="L27" i="90"/>
  <c r="B27" i="90"/>
  <c r="T26" i="90"/>
  <c r="P26" i="90"/>
  <c r="J26" i="90"/>
  <c r="H26" i="90"/>
  <c r="D26" i="90"/>
  <c r="L26" i="90" s="1"/>
  <c r="N26" i="90" s="1"/>
  <c r="B26" i="90"/>
  <c r="T25" i="90"/>
  <c r="P25" i="90"/>
  <c r="H25" i="90"/>
  <c r="D25" i="90"/>
  <c r="P23" i="90"/>
  <c r="H23" i="90"/>
  <c r="X21" i="90"/>
  <c r="Z21" i="90" s="1"/>
  <c r="N21" i="90"/>
  <c r="L21" i="90"/>
  <c r="J21" i="90"/>
  <c r="B21" i="90"/>
  <c r="X20" i="90"/>
  <c r="Z20" i="90" s="1"/>
  <c r="N20" i="90"/>
  <c r="L20" i="90"/>
  <c r="B20" i="90"/>
  <c r="Z19" i="90"/>
  <c r="X19" i="90"/>
  <c r="T19" i="90"/>
  <c r="P19" i="90"/>
  <c r="H19" i="90"/>
  <c r="N19" i="90" s="1"/>
  <c r="D19" i="90"/>
  <c r="L19" i="90" s="1"/>
  <c r="Z17" i="90"/>
  <c r="T17" i="90"/>
  <c r="P17" i="90"/>
  <c r="X17" i="90" s="1"/>
  <c r="N17" i="90"/>
  <c r="L17" i="90"/>
  <c r="H17" i="90"/>
  <c r="D17" i="90"/>
  <c r="B17" i="90"/>
  <c r="Z16" i="90"/>
  <c r="T16" i="90"/>
  <c r="P16" i="90"/>
  <c r="X16" i="90" s="1"/>
  <c r="N16" i="90"/>
  <c r="H16" i="90"/>
  <c r="D16" i="90"/>
  <c r="L16" i="90" s="1"/>
  <c r="B16" i="90"/>
  <c r="T15" i="90"/>
  <c r="P15" i="90"/>
  <c r="H15" i="90"/>
  <c r="N15" i="90" s="1"/>
  <c r="D15" i="90"/>
  <c r="L15" i="90" s="1"/>
  <c r="B15" i="90"/>
  <c r="X14" i="90"/>
  <c r="T14" i="90"/>
  <c r="P14" i="90"/>
  <c r="H14" i="90"/>
  <c r="N14" i="90" s="1"/>
  <c r="D14" i="90"/>
  <c r="L14" i="90" s="1"/>
  <c r="B14" i="90"/>
  <c r="Z13" i="90"/>
  <c r="X13" i="90"/>
  <c r="T13" i="90"/>
  <c r="P13" i="90"/>
  <c r="H13" i="90"/>
  <c r="N13" i="90" s="1"/>
  <c r="D13" i="90"/>
  <c r="B13" i="90"/>
  <c r="P12" i="90"/>
  <c r="R58" i="90" s="1"/>
  <c r="H12" i="90"/>
  <c r="J73" i="90" s="1"/>
  <c r="D6" i="90"/>
  <c r="D4" i="90"/>
  <c r="X65" i="89"/>
  <c r="Z65" i="89" s="1"/>
  <c r="N65" i="89"/>
  <c r="L65" i="89"/>
  <c r="T61" i="89"/>
  <c r="P61" i="89"/>
  <c r="N61" i="89"/>
  <c r="H61" i="89"/>
  <c r="D61" i="89"/>
  <c r="B61" i="89"/>
  <c r="P60" i="89"/>
  <c r="N60" i="89"/>
  <c r="H60" i="89"/>
  <c r="X58" i="89"/>
  <c r="Z58" i="89" s="1"/>
  <c r="L58" i="89"/>
  <c r="N58" i="89" s="1"/>
  <c r="B58" i="89"/>
  <c r="X57" i="89"/>
  <c r="Z57" i="89" s="1"/>
  <c r="T57" i="89"/>
  <c r="P57" i="89"/>
  <c r="H57" i="89"/>
  <c r="D57" i="89"/>
  <c r="B57" i="89"/>
  <c r="X56" i="89"/>
  <c r="Z56" i="89" s="1"/>
  <c r="N56" i="89"/>
  <c r="L56" i="89"/>
  <c r="B56" i="89"/>
  <c r="Z55" i="89"/>
  <c r="X55" i="89"/>
  <c r="N55" i="89"/>
  <c r="L55" i="89"/>
  <c r="B55" i="89"/>
  <c r="X54" i="89"/>
  <c r="Z54" i="89" s="1"/>
  <c r="N54" i="89"/>
  <c r="L54" i="89"/>
  <c r="B54" i="89"/>
  <c r="X53" i="89"/>
  <c r="Z53" i="89" s="1"/>
  <c r="N53" i="89"/>
  <c r="L53" i="89"/>
  <c r="B53" i="89"/>
  <c r="Z52" i="89"/>
  <c r="X52" i="89"/>
  <c r="N52" i="89"/>
  <c r="L52" i="89"/>
  <c r="F52" i="89"/>
  <c r="B52" i="89"/>
  <c r="T51" i="89"/>
  <c r="P51" i="89"/>
  <c r="X51" i="89" s="1"/>
  <c r="N51" i="89"/>
  <c r="L51" i="89"/>
  <c r="H51" i="89"/>
  <c r="D51" i="89"/>
  <c r="B51" i="89"/>
  <c r="X50" i="89"/>
  <c r="Z50" i="89" s="1"/>
  <c r="N50" i="89"/>
  <c r="L50" i="89"/>
  <c r="B50" i="89"/>
  <c r="X49" i="89"/>
  <c r="Z49" i="89" s="1"/>
  <c r="T49" i="89"/>
  <c r="P49" i="89"/>
  <c r="H49" i="89"/>
  <c r="D49" i="89"/>
  <c r="B49" i="89"/>
  <c r="X48" i="89"/>
  <c r="Z48" i="89" s="1"/>
  <c r="N48" i="89"/>
  <c r="L48" i="89"/>
  <c r="B48" i="89"/>
  <c r="T47" i="89"/>
  <c r="P47" i="89"/>
  <c r="N47" i="89"/>
  <c r="H47" i="89"/>
  <c r="F47" i="89"/>
  <c r="D47" i="89"/>
  <c r="L47" i="89" s="1"/>
  <c r="B47" i="89"/>
  <c r="X46" i="89"/>
  <c r="Z46" i="89" s="1"/>
  <c r="N46" i="89"/>
  <c r="L46" i="89"/>
  <c r="B46" i="89"/>
  <c r="Z45" i="89"/>
  <c r="X45" i="89"/>
  <c r="N45" i="89"/>
  <c r="L45" i="89"/>
  <c r="B45" i="89"/>
  <c r="T44" i="89"/>
  <c r="P44" i="89"/>
  <c r="H44" i="89"/>
  <c r="N44" i="89" s="1"/>
  <c r="D44" i="89"/>
  <c r="L44" i="89" s="1"/>
  <c r="B44" i="89"/>
  <c r="X43" i="89"/>
  <c r="Z43" i="89" s="1"/>
  <c r="N43" i="89"/>
  <c r="L43" i="89"/>
  <c r="B43" i="89"/>
  <c r="T42" i="89"/>
  <c r="P42" i="89"/>
  <c r="X42" i="89" s="1"/>
  <c r="N42" i="89"/>
  <c r="H42" i="89"/>
  <c r="D42" i="89"/>
  <c r="L42" i="89" s="1"/>
  <c r="B42" i="89"/>
  <c r="X41" i="89"/>
  <c r="Z41" i="89" s="1"/>
  <c r="N41" i="89"/>
  <c r="L41" i="89"/>
  <c r="B41" i="89"/>
  <c r="Z40" i="89"/>
  <c r="T40" i="89"/>
  <c r="P40" i="89"/>
  <c r="X40" i="89" s="1"/>
  <c r="N40" i="89"/>
  <c r="L40" i="89"/>
  <c r="H40" i="89"/>
  <c r="D40" i="89"/>
  <c r="B40" i="89"/>
  <c r="Z39" i="89"/>
  <c r="X39" i="89"/>
  <c r="L39" i="89"/>
  <c r="N39" i="89" s="1"/>
  <c r="B39" i="89"/>
  <c r="X38" i="89"/>
  <c r="Z38" i="89" s="1"/>
  <c r="T38" i="89"/>
  <c r="P38" i="89"/>
  <c r="H38" i="89"/>
  <c r="F38" i="89"/>
  <c r="D38" i="89"/>
  <c r="B38" i="89"/>
  <c r="Z37" i="89"/>
  <c r="X37" i="89"/>
  <c r="N37" i="89"/>
  <c r="L37" i="89"/>
  <c r="B37" i="89"/>
  <c r="T36" i="89"/>
  <c r="P36" i="89"/>
  <c r="H36" i="89"/>
  <c r="N36" i="89" s="1"/>
  <c r="D36" i="89"/>
  <c r="L36" i="89" s="1"/>
  <c r="B36" i="89"/>
  <c r="X35" i="89"/>
  <c r="Z35" i="89" s="1"/>
  <c r="N35" i="89"/>
  <c r="L35" i="89"/>
  <c r="B35" i="89"/>
  <c r="T34" i="89"/>
  <c r="P34" i="89"/>
  <c r="X34" i="89" s="1"/>
  <c r="N34" i="89"/>
  <c r="H34" i="89"/>
  <c r="D34" i="89"/>
  <c r="L34" i="89" s="1"/>
  <c r="B34" i="89"/>
  <c r="X33" i="89"/>
  <c r="Z33" i="89" s="1"/>
  <c r="N33" i="89"/>
  <c r="L33" i="89"/>
  <c r="B33" i="89"/>
  <c r="Z32" i="89"/>
  <c r="T32" i="89"/>
  <c r="P32" i="89"/>
  <c r="X32" i="89" s="1"/>
  <c r="L32" i="89"/>
  <c r="H32" i="89"/>
  <c r="N32" i="89" s="1"/>
  <c r="D32" i="89"/>
  <c r="B32" i="89"/>
  <c r="Z31" i="89"/>
  <c r="X31" i="89"/>
  <c r="N31" i="89"/>
  <c r="L31" i="89"/>
  <c r="B31" i="89"/>
  <c r="X30" i="89"/>
  <c r="Z30" i="89" s="1"/>
  <c r="N30" i="89"/>
  <c r="L30" i="89"/>
  <c r="B30" i="89"/>
  <c r="X29" i="89"/>
  <c r="Z29" i="89" s="1"/>
  <c r="N29" i="89"/>
  <c r="L29" i="89"/>
  <c r="B29" i="89"/>
  <c r="Z28" i="89"/>
  <c r="X28" i="89"/>
  <c r="N28" i="89"/>
  <c r="L28" i="89"/>
  <c r="B28" i="89"/>
  <c r="Z27" i="89"/>
  <c r="X27" i="89"/>
  <c r="N27" i="89"/>
  <c r="L27" i="89"/>
  <c r="B27" i="89"/>
  <c r="T26" i="89"/>
  <c r="P26" i="89"/>
  <c r="X26" i="89" s="1"/>
  <c r="N26" i="89"/>
  <c r="H26" i="89"/>
  <c r="D26" i="89"/>
  <c r="L26" i="89" s="1"/>
  <c r="B26" i="89"/>
  <c r="Z25" i="89"/>
  <c r="X25" i="89"/>
  <c r="N25" i="89"/>
  <c r="L25" i="89"/>
  <c r="B25" i="89"/>
  <c r="Z24" i="89"/>
  <c r="X24" i="89"/>
  <c r="N24" i="89"/>
  <c r="L24" i="89"/>
  <c r="B24" i="89"/>
  <c r="T23" i="89"/>
  <c r="P23" i="89"/>
  <c r="X23" i="89" s="1"/>
  <c r="N23" i="89"/>
  <c r="L23" i="89"/>
  <c r="H23" i="89"/>
  <c r="D23" i="89"/>
  <c r="B23" i="89"/>
  <c r="X22" i="89"/>
  <c r="T22" i="89"/>
  <c r="Z22" i="89" s="1"/>
  <c r="P22" i="89"/>
  <c r="L22" i="89"/>
  <c r="H22" i="89"/>
  <c r="D22" i="89"/>
  <c r="X18" i="89"/>
  <c r="Z18" i="89" s="1"/>
  <c r="N18" i="89"/>
  <c r="L18" i="89"/>
  <c r="B18" i="89"/>
  <c r="Z17" i="89"/>
  <c r="X17" i="89"/>
  <c r="N17" i="89"/>
  <c r="L17" i="89"/>
  <c r="B17" i="89"/>
  <c r="T16" i="89"/>
  <c r="Z16" i="89" s="1"/>
  <c r="P16" i="89"/>
  <c r="X16" i="89" s="1"/>
  <c r="H16" i="89"/>
  <c r="N16" i="89" s="1"/>
  <c r="D16" i="89"/>
  <c r="L16" i="89" s="1"/>
  <c r="X14" i="89"/>
  <c r="T14" i="89"/>
  <c r="P14" i="89"/>
  <c r="N14" i="89"/>
  <c r="H14" i="89"/>
  <c r="D14" i="89"/>
  <c r="L14" i="89" s="1"/>
  <c r="B14" i="89"/>
  <c r="T13" i="89"/>
  <c r="P13" i="89"/>
  <c r="H13" i="89"/>
  <c r="D13" i="89"/>
  <c r="L13" i="89" s="1"/>
  <c r="B13" i="89"/>
  <c r="D12" i="89"/>
  <c r="D6" i="89"/>
  <c r="D4" i="89"/>
  <c r="Z48" i="88"/>
  <c r="X48" i="88"/>
  <c r="N48" i="88"/>
  <c r="L48" i="88"/>
  <c r="T44" i="88"/>
  <c r="P44" i="88"/>
  <c r="P43" i="88" s="1"/>
  <c r="H44" i="88"/>
  <c r="D44" i="88"/>
  <c r="B44" i="88"/>
  <c r="V43" i="88"/>
  <c r="F43" i="88"/>
  <c r="Z41" i="88"/>
  <c r="X41" i="88"/>
  <c r="V41" i="88"/>
  <c r="N41" i="88"/>
  <c r="L41" i="88"/>
  <c r="B41" i="88"/>
  <c r="T40" i="88"/>
  <c r="P40" i="88"/>
  <c r="H40" i="88"/>
  <c r="N40" i="88" s="1"/>
  <c r="D40" i="88"/>
  <c r="L40" i="88" s="1"/>
  <c r="B40" i="88"/>
  <c r="Z39" i="88"/>
  <c r="X39" i="88"/>
  <c r="L39" i="88"/>
  <c r="N39" i="88" s="1"/>
  <c r="B39" i="88"/>
  <c r="X38" i="88"/>
  <c r="T38" i="88"/>
  <c r="R38" i="88"/>
  <c r="P38" i="88"/>
  <c r="H38" i="88"/>
  <c r="D38" i="88"/>
  <c r="L38" i="88" s="1"/>
  <c r="B38" i="88"/>
  <c r="Z37" i="88"/>
  <c r="X37" i="88"/>
  <c r="N37" i="88"/>
  <c r="L37" i="88"/>
  <c r="J37" i="88"/>
  <c r="B37" i="88"/>
  <c r="X36" i="88"/>
  <c r="T36" i="88"/>
  <c r="P36" i="88"/>
  <c r="H36" i="88"/>
  <c r="D36" i="88"/>
  <c r="L36" i="88" s="1"/>
  <c r="B36" i="88"/>
  <c r="X35" i="88"/>
  <c r="Z35" i="88" s="1"/>
  <c r="N35" i="88"/>
  <c r="L35" i="88"/>
  <c r="F35" i="88"/>
  <c r="B35" i="88"/>
  <c r="X34" i="88"/>
  <c r="Z34" i="88" s="1"/>
  <c r="T34" i="88"/>
  <c r="P34" i="88"/>
  <c r="L34" i="88"/>
  <c r="H34" i="88"/>
  <c r="N34" i="88" s="1"/>
  <c r="F34" i="88"/>
  <c r="D34" i="88"/>
  <c r="B34" i="88"/>
  <c r="Z33" i="88"/>
  <c r="X33" i="88"/>
  <c r="V33" i="88"/>
  <c r="L33" i="88"/>
  <c r="N33" i="88" s="1"/>
  <c r="F33" i="88"/>
  <c r="B33" i="88"/>
  <c r="X32" i="88"/>
  <c r="T32" i="88"/>
  <c r="P32" i="88"/>
  <c r="H32" i="88"/>
  <c r="N32" i="88" s="1"/>
  <c r="D32" i="88"/>
  <c r="L32" i="88" s="1"/>
  <c r="B32" i="88"/>
  <c r="X31" i="88"/>
  <c r="Z31" i="88" s="1"/>
  <c r="N31" i="88"/>
  <c r="L31" i="88"/>
  <c r="F31" i="88"/>
  <c r="B31" i="88"/>
  <c r="Z30" i="88"/>
  <c r="X30" i="88"/>
  <c r="R30" i="88"/>
  <c r="L30" i="88"/>
  <c r="N30" i="88" s="1"/>
  <c r="B30" i="88"/>
  <c r="V29" i="88"/>
  <c r="T29" i="88"/>
  <c r="P29" i="88"/>
  <c r="X29" i="88" s="1"/>
  <c r="Z29" i="88" s="1"/>
  <c r="L29" i="88"/>
  <c r="H29" i="88"/>
  <c r="N29" i="88" s="1"/>
  <c r="F29" i="88"/>
  <c r="D29" i="88"/>
  <c r="B29" i="88"/>
  <c r="Z28" i="88"/>
  <c r="X28" i="88"/>
  <c r="V28" i="88"/>
  <c r="L28" i="88"/>
  <c r="N28" i="88" s="1"/>
  <c r="F28" i="88"/>
  <c r="B28" i="88"/>
  <c r="X27" i="88"/>
  <c r="Z27" i="88" s="1"/>
  <c r="N27" i="88"/>
  <c r="L27" i="88"/>
  <c r="F27" i="88"/>
  <c r="B27" i="88"/>
  <c r="Z26" i="88"/>
  <c r="X26" i="88"/>
  <c r="R26" i="88"/>
  <c r="L26" i="88"/>
  <c r="N26" i="88" s="1"/>
  <c r="B26" i="88"/>
  <c r="Z25" i="88"/>
  <c r="X25" i="88"/>
  <c r="V25" i="88"/>
  <c r="L25" i="88"/>
  <c r="N25" i="88" s="1"/>
  <c r="F25" i="88"/>
  <c r="B25" i="88"/>
  <c r="Z24" i="88"/>
  <c r="X24" i="88"/>
  <c r="N24" i="88"/>
  <c r="L24" i="88"/>
  <c r="J24" i="88"/>
  <c r="B24" i="88"/>
  <c r="Z23" i="88"/>
  <c r="X23" i="88"/>
  <c r="V23" i="88"/>
  <c r="L23" i="88"/>
  <c r="N23" i="88" s="1"/>
  <c r="B23" i="88"/>
  <c r="X22" i="88"/>
  <c r="Z22" i="88" s="1"/>
  <c r="V22" i="88"/>
  <c r="N22" i="88"/>
  <c r="L22" i="88"/>
  <c r="F22" i="88"/>
  <c r="B22" i="88"/>
  <c r="X21" i="88"/>
  <c r="Z21" i="88" s="1"/>
  <c r="N21" i="88"/>
  <c r="L21" i="88"/>
  <c r="J21" i="88"/>
  <c r="B21" i="88"/>
  <c r="V20" i="88"/>
  <c r="T20" i="88"/>
  <c r="P20" i="88"/>
  <c r="X20" i="88" s="1"/>
  <c r="Z20" i="88" s="1"/>
  <c r="L20" i="88"/>
  <c r="H20" i="88"/>
  <c r="N20" i="88" s="1"/>
  <c r="F20" i="88"/>
  <c r="D20" i="88"/>
  <c r="B20" i="88"/>
  <c r="Z19" i="88"/>
  <c r="V19" i="88"/>
  <c r="T19" i="88"/>
  <c r="P19" i="88"/>
  <c r="X19" i="88" s="1"/>
  <c r="J19" i="88"/>
  <c r="H19" i="88"/>
  <c r="F19" i="88"/>
  <c r="D19" i="88"/>
  <c r="L19" i="88" s="1"/>
  <c r="N19" i="88" s="1"/>
  <c r="R17" i="88"/>
  <c r="H17" i="88"/>
  <c r="F17" i="88"/>
  <c r="D17" i="88"/>
  <c r="Z15" i="88"/>
  <c r="X15" i="88"/>
  <c r="V15" i="88"/>
  <c r="N15" i="88"/>
  <c r="L15" i="88"/>
  <c r="F15" i="88"/>
  <c r="B15" i="88"/>
  <c r="X14" i="88"/>
  <c r="Z14" i="88" s="1"/>
  <c r="V14" i="88"/>
  <c r="T14" i="88"/>
  <c r="P14" i="88"/>
  <c r="L14" i="88"/>
  <c r="H14" i="88"/>
  <c r="N14" i="88" s="1"/>
  <c r="F14" i="88"/>
  <c r="D14" i="88"/>
  <c r="Z12" i="88"/>
  <c r="T12" i="88"/>
  <c r="P12" i="88"/>
  <c r="R21" i="88" s="1"/>
  <c r="H12" i="88"/>
  <c r="J46" i="88" s="1"/>
  <c r="D12" i="88"/>
  <c r="F48" i="88" s="1"/>
  <c r="D6" i="88"/>
  <c r="D4" i="88"/>
  <c r="X55" i="87"/>
  <c r="Z55" i="87" s="1"/>
  <c r="N55" i="87"/>
  <c r="L55" i="87"/>
  <c r="Z51" i="87"/>
  <c r="T51" i="87"/>
  <c r="P51" i="87"/>
  <c r="X51" i="87" s="1"/>
  <c r="L51" i="87"/>
  <c r="H51" i="87"/>
  <c r="N51" i="87" s="1"/>
  <c r="D51" i="87"/>
  <c r="X49" i="87"/>
  <c r="Z49" i="87" s="1"/>
  <c r="N49" i="87"/>
  <c r="L49" i="87"/>
  <c r="J49" i="87"/>
  <c r="B49" i="87"/>
  <c r="T48" i="87"/>
  <c r="P48" i="87"/>
  <c r="X48" i="87" s="1"/>
  <c r="Z48" i="87" s="1"/>
  <c r="N48" i="87"/>
  <c r="H48" i="87"/>
  <c r="D48" i="87"/>
  <c r="L48" i="87" s="1"/>
  <c r="B48" i="87"/>
  <c r="Z47" i="87"/>
  <c r="X47" i="87"/>
  <c r="N47" i="87"/>
  <c r="L47" i="87"/>
  <c r="B47" i="87"/>
  <c r="Z46" i="87"/>
  <c r="X46" i="87"/>
  <c r="N46" i="87"/>
  <c r="L46" i="87"/>
  <c r="B46" i="87"/>
  <c r="X45" i="87"/>
  <c r="T45" i="87"/>
  <c r="Z45" i="87" s="1"/>
  <c r="P45" i="87"/>
  <c r="H45" i="87"/>
  <c r="N45" i="87" s="1"/>
  <c r="D45" i="87"/>
  <c r="L45" i="87" s="1"/>
  <c r="B45" i="87"/>
  <c r="X44" i="87"/>
  <c r="Z44" i="87" s="1"/>
  <c r="N44" i="87"/>
  <c r="L44" i="87"/>
  <c r="B44" i="87"/>
  <c r="T43" i="87"/>
  <c r="Z43" i="87" s="1"/>
  <c r="P43" i="87"/>
  <c r="X43" i="87" s="1"/>
  <c r="N43" i="87"/>
  <c r="H43" i="87"/>
  <c r="D43" i="87"/>
  <c r="L43" i="87" s="1"/>
  <c r="B43" i="87"/>
  <c r="X42" i="87"/>
  <c r="Z42" i="87" s="1"/>
  <c r="N42" i="87"/>
  <c r="L42" i="87"/>
  <c r="B42" i="87"/>
  <c r="T41" i="87"/>
  <c r="P41" i="87"/>
  <c r="X41" i="87" s="1"/>
  <c r="Z41" i="87" s="1"/>
  <c r="L41" i="87"/>
  <c r="H41" i="87"/>
  <c r="N41" i="87" s="1"/>
  <c r="D41" i="87"/>
  <c r="B41" i="87"/>
  <c r="Z40" i="87"/>
  <c r="X40" i="87"/>
  <c r="N40" i="87"/>
  <c r="L40" i="87"/>
  <c r="B40" i="87"/>
  <c r="X39" i="87"/>
  <c r="T39" i="87"/>
  <c r="Z39" i="87" s="1"/>
  <c r="P39" i="87"/>
  <c r="L39" i="87"/>
  <c r="H39" i="87"/>
  <c r="N39" i="87" s="1"/>
  <c r="D39" i="87"/>
  <c r="B39" i="87"/>
  <c r="Z38" i="87"/>
  <c r="X38" i="87"/>
  <c r="N38" i="87"/>
  <c r="L38" i="87"/>
  <c r="B38" i="87"/>
  <c r="X37" i="87"/>
  <c r="T37" i="87"/>
  <c r="Z37" i="87" s="1"/>
  <c r="P37" i="87"/>
  <c r="H37" i="87"/>
  <c r="N37" i="87" s="1"/>
  <c r="D37" i="87"/>
  <c r="B37" i="87"/>
  <c r="X36" i="87"/>
  <c r="Z36" i="87" s="1"/>
  <c r="N36" i="87"/>
  <c r="L36" i="87"/>
  <c r="B36" i="87"/>
  <c r="Z35" i="87"/>
  <c r="X35" i="87"/>
  <c r="N35" i="87"/>
  <c r="L35" i="87"/>
  <c r="B35" i="87"/>
  <c r="Z34" i="87"/>
  <c r="X34" i="87"/>
  <c r="N34" i="87"/>
  <c r="L34" i="87"/>
  <c r="B34" i="87"/>
  <c r="X33" i="87"/>
  <c r="Z33" i="87" s="1"/>
  <c r="N33" i="87"/>
  <c r="L33" i="87"/>
  <c r="B33" i="87"/>
  <c r="T32" i="87"/>
  <c r="P32" i="87"/>
  <c r="X32" i="87" s="1"/>
  <c r="Z32" i="87" s="1"/>
  <c r="N32" i="87"/>
  <c r="J32" i="87"/>
  <c r="H32" i="87"/>
  <c r="D32" i="87"/>
  <c r="L32" i="87" s="1"/>
  <c r="B32" i="87"/>
  <c r="Z31" i="87"/>
  <c r="X31" i="87"/>
  <c r="N31" i="87"/>
  <c r="L31" i="87"/>
  <c r="B31" i="87"/>
  <c r="Z30" i="87"/>
  <c r="X30" i="87"/>
  <c r="N30" i="87"/>
  <c r="L30" i="87"/>
  <c r="B30" i="87"/>
  <c r="X29" i="87"/>
  <c r="Z29" i="87" s="1"/>
  <c r="N29" i="87"/>
  <c r="L29" i="87"/>
  <c r="B29" i="87"/>
  <c r="Z28" i="87"/>
  <c r="X28" i="87"/>
  <c r="N28" i="87"/>
  <c r="L28" i="87"/>
  <c r="B28" i="87"/>
  <c r="Z27" i="87"/>
  <c r="X27" i="87"/>
  <c r="N27" i="87"/>
  <c r="L27" i="87"/>
  <c r="B27" i="87"/>
  <c r="X26" i="87"/>
  <c r="Z26" i="87" s="1"/>
  <c r="N26" i="87"/>
  <c r="L26" i="87"/>
  <c r="B26" i="87"/>
  <c r="Z25" i="87"/>
  <c r="X25" i="87"/>
  <c r="N25" i="87"/>
  <c r="L25" i="87"/>
  <c r="B25" i="87"/>
  <c r="X24" i="87"/>
  <c r="Z24" i="87" s="1"/>
  <c r="N24" i="87"/>
  <c r="L24" i="87"/>
  <c r="B24" i="87"/>
  <c r="T23" i="87"/>
  <c r="P23" i="87"/>
  <c r="X23" i="87" s="1"/>
  <c r="Z23" i="87" s="1"/>
  <c r="H23" i="87"/>
  <c r="D23" i="87"/>
  <c r="L23" i="87" s="1"/>
  <c r="N23" i="87" s="1"/>
  <c r="B23" i="87"/>
  <c r="T22" i="87"/>
  <c r="P22" i="87"/>
  <c r="N22" i="87"/>
  <c r="H22" i="87"/>
  <c r="D22" i="87"/>
  <c r="L22" i="87" s="1"/>
  <c r="X18" i="87"/>
  <c r="Z18" i="87" s="1"/>
  <c r="R18" i="87"/>
  <c r="N18" i="87"/>
  <c r="L18" i="87"/>
  <c r="B18" i="87"/>
  <c r="Z17" i="87"/>
  <c r="X17" i="87"/>
  <c r="N17" i="87"/>
  <c r="L17" i="87"/>
  <c r="B17" i="87"/>
  <c r="X16" i="87"/>
  <c r="T16" i="87"/>
  <c r="P16" i="87"/>
  <c r="H16" i="87"/>
  <c r="D16" i="87"/>
  <c r="Z14" i="87"/>
  <c r="T14" i="87"/>
  <c r="P14" i="87"/>
  <c r="X14" i="87" s="1"/>
  <c r="L14" i="87"/>
  <c r="H14" i="87"/>
  <c r="N14" i="87" s="1"/>
  <c r="D14" i="87"/>
  <c r="B14" i="87"/>
  <c r="T13" i="87"/>
  <c r="P13" i="87"/>
  <c r="N13" i="87"/>
  <c r="H13" i="87"/>
  <c r="D13" i="87"/>
  <c r="B13" i="87"/>
  <c r="P12" i="87"/>
  <c r="R39" i="87" s="1"/>
  <c r="H12" i="87"/>
  <c r="D6" i="87"/>
  <c r="D4" i="87"/>
  <c r="J91" i="86"/>
  <c r="X89" i="86"/>
  <c r="Z89" i="86" s="1"/>
  <c r="N89" i="86"/>
  <c r="L89" i="86"/>
  <c r="Z85" i="86"/>
  <c r="T85" i="86"/>
  <c r="P85" i="86"/>
  <c r="H85" i="86"/>
  <c r="N85" i="86" s="1"/>
  <c r="D85" i="86"/>
  <c r="L85" i="86" s="1"/>
  <c r="B85" i="86"/>
  <c r="T84" i="86"/>
  <c r="Z84" i="86" s="1"/>
  <c r="N84" i="86"/>
  <c r="J84" i="86"/>
  <c r="H84" i="86"/>
  <c r="D84" i="86"/>
  <c r="L84" i="86" s="1"/>
  <c r="X82" i="86"/>
  <c r="Z82" i="86" s="1"/>
  <c r="N82" i="86"/>
  <c r="L82" i="86"/>
  <c r="B82" i="86"/>
  <c r="T81" i="86"/>
  <c r="P81" i="86"/>
  <c r="N81" i="86"/>
  <c r="H81" i="86"/>
  <c r="D81" i="86"/>
  <c r="L81" i="86" s="1"/>
  <c r="B81" i="86"/>
  <c r="X80" i="86"/>
  <c r="Z80" i="86" s="1"/>
  <c r="N80" i="86"/>
  <c r="L80" i="86"/>
  <c r="B80" i="86"/>
  <c r="T79" i="86"/>
  <c r="P79" i="86"/>
  <c r="X79" i="86" s="1"/>
  <c r="Z79" i="86" s="1"/>
  <c r="J79" i="86"/>
  <c r="H79" i="86"/>
  <c r="D79" i="86"/>
  <c r="L79" i="86" s="1"/>
  <c r="N79" i="86" s="1"/>
  <c r="B79" i="86"/>
  <c r="Z78" i="86"/>
  <c r="X78" i="86"/>
  <c r="N78" i="86"/>
  <c r="L78" i="86"/>
  <c r="B78" i="86"/>
  <c r="Z77" i="86"/>
  <c r="X77" i="86"/>
  <c r="V77" i="86"/>
  <c r="N77" i="86"/>
  <c r="L77" i="86"/>
  <c r="B77" i="86"/>
  <c r="X76" i="86"/>
  <c r="Z76" i="86" s="1"/>
  <c r="N76" i="86"/>
  <c r="L76" i="86"/>
  <c r="J76" i="86"/>
  <c r="B76" i="86"/>
  <c r="Z75" i="86"/>
  <c r="X75" i="86"/>
  <c r="N75" i="86"/>
  <c r="L75" i="86"/>
  <c r="B75" i="86"/>
  <c r="X74" i="86"/>
  <c r="Z74" i="86" s="1"/>
  <c r="N74" i="86"/>
  <c r="L74" i="86"/>
  <c r="B74" i="86"/>
  <c r="X73" i="86"/>
  <c r="Z73" i="86" s="1"/>
  <c r="N73" i="86"/>
  <c r="L73" i="86"/>
  <c r="J73" i="86"/>
  <c r="B73" i="86"/>
  <c r="Z72" i="86"/>
  <c r="X72" i="86"/>
  <c r="V72" i="86"/>
  <c r="N72" i="86"/>
  <c r="L72" i="86"/>
  <c r="B72" i="86"/>
  <c r="X71" i="86"/>
  <c r="Z71" i="86" s="1"/>
  <c r="N71" i="86"/>
  <c r="L71" i="86"/>
  <c r="B71" i="86"/>
  <c r="T70" i="86"/>
  <c r="P70" i="86"/>
  <c r="N70" i="86"/>
  <c r="J70" i="86"/>
  <c r="H70" i="86"/>
  <c r="D70" i="86"/>
  <c r="L70" i="86" s="1"/>
  <c r="B70" i="86"/>
  <c r="X69" i="86"/>
  <c r="Z69" i="86" s="1"/>
  <c r="N69" i="86"/>
  <c r="L69" i="86"/>
  <c r="J69" i="86"/>
  <c r="B69" i="86"/>
  <c r="Z68" i="86"/>
  <c r="X68" i="86"/>
  <c r="V68" i="86"/>
  <c r="N68" i="86"/>
  <c r="L68" i="86"/>
  <c r="B68" i="86"/>
  <c r="X67" i="86"/>
  <c r="T67" i="86"/>
  <c r="P67" i="86"/>
  <c r="H67" i="86"/>
  <c r="D67" i="86"/>
  <c r="B67" i="86"/>
  <c r="X66" i="86"/>
  <c r="Z66" i="86" s="1"/>
  <c r="N66" i="86"/>
  <c r="L66" i="86"/>
  <c r="B66" i="86"/>
  <c r="X65" i="86"/>
  <c r="Z65" i="86" s="1"/>
  <c r="N65" i="86"/>
  <c r="L65" i="86"/>
  <c r="J65" i="86"/>
  <c r="B65" i="86"/>
  <c r="Z64" i="86"/>
  <c r="X64" i="86"/>
  <c r="V64" i="86"/>
  <c r="N64" i="86"/>
  <c r="L64" i="86"/>
  <c r="B64" i="86"/>
  <c r="X63" i="86"/>
  <c r="Z63" i="86" s="1"/>
  <c r="T63" i="86"/>
  <c r="P63" i="86"/>
  <c r="H63" i="86"/>
  <c r="D63" i="86"/>
  <c r="B63" i="86"/>
  <c r="X62" i="86"/>
  <c r="Z62" i="86" s="1"/>
  <c r="N62" i="86"/>
  <c r="L62" i="86"/>
  <c r="B62" i="86"/>
  <c r="X61" i="86"/>
  <c r="Z61" i="86" s="1"/>
  <c r="L61" i="86"/>
  <c r="N61" i="86" s="1"/>
  <c r="B61" i="86"/>
  <c r="Z60" i="86"/>
  <c r="X60" i="86"/>
  <c r="V60" i="86"/>
  <c r="N60" i="86"/>
  <c r="L60" i="86"/>
  <c r="B60" i="86"/>
  <c r="X59" i="86"/>
  <c r="Z59" i="86" s="1"/>
  <c r="T59" i="86"/>
  <c r="P59" i="86"/>
  <c r="H59" i="86"/>
  <c r="D59" i="86"/>
  <c r="B59" i="86"/>
  <c r="X58" i="86"/>
  <c r="Z58" i="86" s="1"/>
  <c r="N58" i="86"/>
  <c r="L58" i="86"/>
  <c r="B58" i="86"/>
  <c r="X57" i="86"/>
  <c r="Z57" i="86" s="1"/>
  <c r="N57" i="86"/>
  <c r="L57" i="86"/>
  <c r="B57" i="86"/>
  <c r="V56" i="86"/>
  <c r="T56" i="86"/>
  <c r="P56" i="86"/>
  <c r="X56" i="86" s="1"/>
  <c r="Z56" i="86" s="1"/>
  <c r="N56" i="86"/>
  <c r="L56" i="86"/>
  <c r="H56" i="86"/>
  <c r="D56" i="86"/>
  <c r="B56" i="86"/>
  <c r="Z55" i="86"/>
  <c r="X55" i="86"/>
  <c r="L55" i="86"/>
  <c r="N55" i="86" s="1"/>
  <c r="B55" i="86"/>
  <c r="X54" i="86"/>
  <c r="Z54" i="86" s="1"/>
  <c r="T54" i="86"/>
  <c r="P54" i="86"/>
  <c r="L54" i="86"/>
  <c r="H54" i="86"/>
  <c r="N54" i="86" s="1"/>
  <c r="D54" i="86"/>
  <c r="B54" i="86"/>
  <c r="X53" i="86"/>
  <c r="Z53" i="86" s="1"/>
  <c r="V53" i="86"/>
  <c r="N53" i="86"/>
  <c r="L53" i="86"/>
  <c r="B53" i="86"/>
  <c r="X52" i="86"/>
  <c r="T52" i="86"/>
  <c r="Z52" i="86" s="1"/>
  <c r="P52" i="86"/>
  <c r="H52" i="86"/>
  <c r="N52" i="86" s="1"/>
  <c r="D52" i="86"/>
  <c r="B52" i="86"/>
  <c r="X51" i="86"/>
  <c r="Z51" i="86" s="1"/>
  <c r="N51" i="86"/>
  <c r="L51" i="86"/>
  <c r="B51" i="86"/>
  <c r="T50" i="86"/>
  <c r="P50" i="86"/>
  <c r="N50" i="86"/>
  <c r="H50" i="86"/>
  <c r="D50" i="86"/>
  <c r="L50" i="86" s="1"/>
  <c r="B50" i="86"/>
  <c r="X49" i="86"/>
  <c r="Z49" i="86" s="1"/>
  <c r="N49" i="86"/>
  <c r="L49" i="86"/>
  <c r="B49" i="86"/>
  <c r="V48" i="86"/>
  <c r="T48" i="86"/>
  <c r="P48" i="86"/>
  <c r="X48" i="86" s="1"/>
  <c r="Z48" i="86" s="1"/>
  <c r="L48" i="86"/>
  <c r="H48" i="86"/>
  <c r="N48" i="86" s="1"/>
  <c r="D48" i="86"/>
  <c r="B48" i="86"/>
  <c r="Z47" i="86"/>
  <c r="X47" i="86"/>
  <c r="L47" i="86"/>
  <c r="N47" i="86" s="1"/>
  <c r="B47" i="86"/>
  <c r="X46" i="86"/>
  <c r="Z46" i="86" s="1"/>
  <c r="N46" i="86"/>
  <c r="L46" i="86"/>
  <c r="B46" i="86"/>
  <c r="T45" i="86"/>
  <c r="P45" i="86"/>
  <c r="N45" i="86"/>
  <c r="H45" i="86"/>
  <c r="D45" i="86"/>
  <c r="L45" i="86" s="1"/>
  <c r="B45" i="86"/>
  <c r="X44" i="86"/>
  <c r="Z44" i="86" s="1"/>
  <c r="N44" i="86"/>
  <c r="L44" i="86"/>
  <c r="B44" i="86"/>
  <c r="T43" i="86"/>
  <c r="P43" i="86"/>
  <c r="X43" i="86" s="1"/>
  <c r="Z43" i="86" s="1"/>
  <c r="J43" i="86"/>
  <c r="H43" i="86"/>
  <c r="N43" i="86" s="1"/>
  <c r="D43" i="86"/>
  <c r="L43" i="86" s="1"/>
  <c r="B43" i="86"/>
  <c r="Z42" i="86"/>
  <c r="X42" i="86"/>
  <c r="N42" i="86"/>
  <c r="L42" i="86"/>
  <c r="B42" i="86"/>
  <c r="V41" i="86"/>
  <c r="T41" i="86"/>
  <c r="P41" i="86"/>
  <c r="X41" i="86" s="1"/>
  <c r="N41" i="86"/>
  <c r="L41" i="86"/>
  <c r="H41" i="86"/>
  <c r="D41" i="86"/>
  <c r="B41" i="86"/>
  <c r="Z40" i="86"/>
  <c r="X40" i="86"/>
  <c r="V40" i="86"/>
  <c r="N40" i="86"/>
  <c r="L40" i="86"/>
  <c r="B40" i="86"/>
  <c r="X39" i="86"/>
  <c r="Z39" i="86" s="1"/>
  <c r="T39" i="86"/>
  <c r="P39" i="86"/>
  <c r="H39" i="86"/>
  <c r="D39" i="86"/>
  <c r="B39" i="86"/>
  <c r="X38" i="86"/>
  <c r="Z38" i="86" s="1"/>
  <c r="N38" i="86"/>
  <c r="L38" i="86"/>
  <c r="B38" i="86"/>
  <c r="X37" i="86"/>
  <c r="Z37" i="86" s="1"/>
  <c r="N37" i="86"/>
  <c r="L37" i="86"/>
  <c r="J37" i="86"/>
  <c r="B37" i="86"/>
  <c r="Z36" i="86"/>
  <c r="X36" i="86"/>
  <c r="V36" i="86"/>
  <c r="N36" i="86"/>
  <c r="L36" i="86"/>
  <c r="B36" i="86"/>
  <c r="X35" i="86"/>
  <c r="Z35" i="86" s="1"/>
  <c r="N35" i="86"/>
  <c r="L35" i="86"/>
  <c r="B35" i="86"/>
  <c r="Z34" i="86"/>
  <c r="X34" i="86"/>
  <c r="N34" i="86"/>
  <c r="L34" i="86"/>
  <c r="B34" i="86"/>
  <c r="X33" i="86"/>
  <c r="Z33" i="86" s="1"/>
  <c r="V33" i="86"/>
  <c r="L33" i="86"/>
  <c r="N33" i="86" s="1"/>
  <c r="B33" i="86"/>
  <c r="X32" i="86"/>
  <c r="T32" i="86"/>
  <c r="Z32" i="86" s="1"/>
  <c r="P32" i="86"/>
  <c r="H32" i="86"/>
  <c r="D32" i="86"/>
  <c r="B32" i="86"/>
  <c r="X31" i="86"/>
  <c r="Z31" i="86" s="1"/>
  <c r="N31" i="86"/>
  <c r="L31" i="86"/>
  <c r="B31" i="86"/>
  <c r="Z30" i="86"/>
  <c r="X30" i="86"/>
  <c r="L30" i="86"/>
  <c r="N30" i="86" s="1"/>
  <c r="B30" i="86"/>
  <c r="Z29" i="86"/>
  <c r="X29" i="86"/>
  <c r="V29" i="86"/>
  <c r="L29" i="86"/>
  <c r="N29" i="86" s="1"/>
  <c r="F29" i="86"/>
  <c r="B29" i="86"/>
  <c r="X28" i="86"/>
  <c r="Z28" i="86" s="1"/>
  <c r="N28" i="86"/>
  <c r="L28" i="86"/>
  <c r="J28" i="86"/>
  <c r="B28" i="86"/>
  <c r="Z27" i="86"/>
  <c r="X27" i="86"/>
  <c r="L27" i="86"/>
  <c r="N27" i="86" s="1"/>
  <c r="B27" i="86"/>
  <c r="X26" i="86"/>
  <c r="Z26" i="86" s="1"/>
  <c r="N26" i="86"/>
  <c r="L26" i="86"/>
  <c r="B26" i="86"/>
  <c r="X25" i="86"/>
  <c r="Z25" i="86" s="1"/>
  <c r="N25" i="86"/>
  <c r="L25" i="86"/>
  <c r="J25" i="86"/>
  <c r="B25" i="86"/>
  <c r="Z24" i="86"/>
  <c r="X24" i="86"/>
  <c r="V24" i="86"/>
  <c r="L24" i="86"/>
  <c r="N24" i="86" s="1"/>
  <c r="B24" i="86"/>
  <c r="X23" i="86"/>
  <c r="Z23" i="86" s="1"/>
  <c r="T23" i="86"/>
  <c r="P23" i="86"/>
  <c r="H23" i="86"/>
  <c r="D23" i="86"/>
  <c r="B23" i="86"/>
  <c r="T22" i="86"/>
  <c r="P22" i="86"/>
  <c r="L22" i="86"/>
  <c r="H22" i="86"/>
  <c r="D22" i="86"/>
  <c r="T20" i="86"/>
  <c r="X18" i="86"/>
  <c r="Z18" i="86" s="1"/>
  <c r="N18" i="86"/>
  <c r="L18" i="86"/>
  <c r="B18" i="86"/>
  <c r="X17" i="86"/>
  <c r="Z17" i="86" s="1"/>
  <c r="N17" i="86"/>
  <c r="L17" i="86"/>
  <c r="J17" i="86"/>
  <c r="B17" i="86"/>
  <c r="V16" i="86"/>
  <c r="T16" i="86"/>
  <c r="P16" i="86"/>
  <c r="X16" i="86" s="1"/>
  <c r="Z16" i="86" s="1"/>
  <c r="L16" i="86"/>
  <c r="H16" i="86"/>
  <c r="N16" i="86" s="1"/>
  <c r="D16" i="86"/>
  <c r="X14" i="86"/>
  <c r="T14" i="86"/>
  <c r="P14" i="86"/>
  <c r="H14" i="86"/>
  <c r="D14" i="86"/>
  <c r="B14" i="86"/>
  <c r="T13" i="86"/>
  <c r="P13" i="86"/>
  <c r="X13" i="86" s="1"/>
  <c r="Z13" i="86" s="1"/>
  <c r="N13" i="86"/>
  <c r="L13" i="86"/>
  <c r="H13" i="86"/>
  <c r="H12" i="86" s="1"/>
  <c r="J20" i="86" s="1"/>
  <c r="D13" i="86"/>
  <c r="B13" i="86"/>
  <c r="T12" i="86"/>
  <c r="V80" i="86" s="1"/>
  <c r="N12" i="86"/>
  <c r="D12" i="86"/>
  <c r="F56" i="86" s="1"/>
  <c r="D6" i="86"/>
  <c r="D4" i="86"/>
  <c r="Z94" i="85"/>
  <c r="X94" i="85"/>
  <c r="L94" i="85"/>
  <c r="N94" i="85" s="1"/>
  <c r="X90" i="85"/>
  <c r="T90" i="85"/>
  <c r="P90" i="85"/>
  <c r="P89" i="85" s="1"/>
  <c r="N90" i="85"/>
  <c r="H90" i="85"/>
  <c r="D90" i="85"/>
  <c r="L90" i="85" s="1"/>
  <c r="B90" i="85"/>
  <c r="H89" i="85"/>
  <c r="N89" i="85" s="1"/>
  <c r="Z87" i="85"/>
  <c r="X87" i="85"/>
  <c r="L87" i="85"/>
  <c r="N87" i="85" s="1"/>
  <c r="B87" i="85"/>
  <c r="X86" i="85"/>
  <c r="T86" i="85"/>
  <c r="Z86" i="85" s="1"/>
  <c r="P86" i="85"/>
  <c r="L86" i="85"/>
  <c r="H86" i="85"/>
  <c r="D86" i="85"/>
  <c r="B86" i="85"/>
  <c r="Z85" i="85"/>
  <c r="X85" i="85"/>
  <c r="N85" i="85"/>
  <c r="L85" i="85"/>
  <c r="B85" i="85"/>
  <c r="X84" i="85"/>
  <c r="T84" i="85"/>
  <c r="Z84" i="85" s="1"/>
  <c r="P84" i="85"/>
  <c r="N84" i="85"/>
  <c r="H84" i="85"/>
  <c r="D84" i="85"/>
  <c r="L84" i="85" s="1"/>
  <c r="B84" i="85"/>
  <c r="X83" i="85"/>
  <c r="Z83" i="85" s="1"/>
  <c r="N83" i="85"/>
  <c r="L83" i="85"/>
  <c r="B83" i="85"/>
  <c r="T82" i="85"/>
  <c r="P82" i="85"/>
  <c r="X82" i="85" s="1"/>
  <c r="Z82" i="85" s="1"/>
  <c r="H82" i="85"/>
  <c r="D82" i="85"/>
  <c r="L82" i="85" s="1"/>
  <c r="N82" i="85" s="1"/>
  <c r="B82" i="85"/>
  <c r="X81" i="85"/>
  <c r="Z81" i="85" s="1"/>
  <c r="N81" i="85"/>
  <c r="L81" i="85"/>
  <c r="B81" i="85"/>
  <c r="Z80" i="85"/>
  <c r="X80" i="85"/>
  <c r="N80" i="85"/>
  <c r="L80" i="85"/>
  <c r="B80" i="85"/>
  <c r="X79" i="85"/>
  <c r="Z79" i="85" s="1"/>
  <c r="N79" i="85"/>
  <c r="L79" i="85"/>
  <c r="B79" i="85"/>
  <c r="Z78" i="85"/>
  <c r="X78" i="85"/>
  <c r="N78" i="85"/>
  <c r="L78" i="85"/>
  <c r="B78" i="85"/>
  <c r="Z77" i="85"/>
  <c r="X77" i="85"/>
  <c r="L77" i="85"/>
  <c r="N77" i="85" s="1"/>
  <c r="B77" i="85"/>
  <c r="X76" i="85"/>
  <c r="Z76" i="85" s="1"/>
  <c r="N76" i="85"/>
  <c r="L76" i="85"/>
  <c r="B76" i="85"/>
  <c r="Z75" i="85"/>
  <c r="X75" i="85"/>
  <c r="N75" i="85"/>
  <c r="L75" i="85"/>
  <c r="B75" i="85"/>
  <c r="Z74" i="85"/>
  <c r="X74" i="85"/>
  <c r="N74" i="85"/>
  <c r="L74" i="85"/>
  <c r="B74" i="85"/>
  <c r="X73" i="85"/>
  <c r="Z73" i="85" s="1"/>
  <c r="N73" i="85"/>
  <c r="L73" i="85"/>
  <c r="J73" i="85"/>
  <c r="B73" i="85"/>
  <c r="T72" i="85"/>
  <c r="P72" i="85"/>
  <c r="X72" i="85" s="1"/>
  <c r="Z72" i="85" s="1"/>
  <c r="L72" i="85"/>
  <c r="H72" i="85"/>
  <c r="N72" i="85" s="1"/>
  <c r="D72" i="85"/>
  <c r="B72" i="85"/>
  <c r="Z71" i="85"/>
  <c r="X71" i="85"/>
  <c r="N71" i="85"/>
  <c r="L71" i="85"/>
  <c r="B71" i="85"/>
  <c r="X70" i="85"/>
  <c r="Z70" i="85" s="1"/>
  <c r="N70" i="85"/>
  <c r="L70" i="85"/>
  <c r="F70" i="85"/>
  <c r="B70" i="85"/>
  <c r="T69" i="85"/>
  <c r="X69" i="85" s="1"/>
  <c r="P69" i="85"/>
  <c r="N69" i="85"/>
  <c r="J69" i="85"/>
  <c r="H69" i="85"/>
  <c r="D69" i="85"/>
  <c r="L69" i="85" s="1"/>
  <c r="B69" i="85"/>
  <c r="X68" i="85"/>
  <c r="Z68" i="85" s="1"/>
  <c r="N68" i="85"/>
  <c r="L68" i="85"/>
  <c r="J68" i="85"/>
  <c r="B68" i="85"/>
  <c r="Z67" i="85"/>
  <c r="X67" i="85"/>
  <c r="L67" i="85"/>
  <c r="N67" i="85" s="1"/>
  <c r="B67" i="85"/>
  <c r="X66" i="85"/>
  <c r="Z66" i="85" s="1"/>
  <c r="N66" i="85"/>
  <c r="L66" i="85"/>
  <c r="B66" i="85"/>
  <c r="X65" i="85"/>
  <c r="Z65" i="85" s="1"/>
  <c r="N65" i="85"/>
  <c r="L65" i="85"/>
  <c r="B65" i="85"/>
  <c r="Z64" i="85"/>
  <c r="X64" i="85"/>
  <c r="L64" i="85"/>
  <c r="N64" i="85" s="1"/>
  <c r="B64" i="85"/>
  <c r="X63" i="85"/>
  <c r="Z63" i="85" s="1"/>
  <c r="T63" i="85"/>
  <c r="P63" i="85"/>
  <c r="N63" i="85"/>
  <c r="L63" i="85"/>
  <c r="H63" i="85"/>
  <c r="D63" i="85"/>
  <c r="B63" i="85"/>
  <c r="X62" i="85"/>
  <c r="Z62" i="85" s="1"/>
  <c r="N62" i="85"/>
  <c r="L62" i="85"/>
  <c r="B62" i="85"/>
  <c r="Z61" i="85"/>
  <c r="X61" i="85"/>
  <c r="L61" i="85"/>
  <c r="N61" i="85" s="1"/>
  <c r="B61" i="85"/>
  <c r="Z60" i="85"/>
  <c r="X60" i="85"/>
  <c r="N60" i="85"/>
  <c r="L60" i="85"/>
  <c r="B60" i="85"/>
  <c r="X59" i="85"/>
  <c r="Z59" i="85" s="1"/>
  <c r="N59" i="85"/>
  <c r="L59" i="85"/>
  <c r="J59" i="85"/>
  <c r="B59" i="85"/>
  <c r="T58" i="85"/>
  <c r="Z58" i="85" s="1"/>
  <c r="P58" i="85"/>
  <c r="X58" i="85" s="1"/>
  <c r="N58" i="85"/>
  <c r="L58" i="85"/>
  <c r="J58" i="85"/>
  <c r="H58" i="85"/>
  <c r="D58" i="85"/>
  <c r="B58" i="85"/>
  <c r="X57" i="85"/>
  <c r="Z57" i="85" s="1"/>
  <c r="L57" i="85"/>
  <c r="N57" i="85" s="1"/>
  <c r="B57" i="85"/>
  <c r="X56" i="85"/>
  <c r="Z56" i="85" s="1"/>
  <c r="T56" i="85"/>
  <c r="P56" i="85"/>
  <c r="N56" i="85"/>
  <c r="H56" i="85"/>
  <c r="L56" i="85" s="1"/>
  <c r="D56" i="85"/>
  <c r="B56" i="85"/>
  <c r="X55" i="85"/>
  <c r="Z55" i="85" s="1"/>
  <c r="L55" i="85"/>
  <c r="N55" i="85" s="1"/>
  <c r="B55" i="85"/>
  <c r="V54" i="85"/>
  <c r="T54" i="85"/>
  <c r="P54" i="85"/>
  <c r="X54" i="85" s="1"/>
  <c r="Z54" i="85" s="1"/>
  <c r="L54" i="85"/>
  <c r="N54" i="85" s="1"/>
  <c r="J54" i="85"/>
  <c r="H54" i="85"/>
  <c r="F54" i="85"/>
  <c r="D54" i="85"/>
  <c r="B54" i="85"/>
  <c r="X53" i="85"/>
  <c r="Z53" i="85" s="1"/>
  <c r="N53" i="85"/>
  <c r="L53" i="85"/>
  <c r="B53" i="85"/>
  <c r="X52" i="85"/>
  <c r="Z52" i="85" s="1"/>
  <c r="T52" i="85"/>
  <c r="P52" i="85"/>
  <c r="H52" i="85"/>
  <c r="D52" i="85"/>
  <c r="B52" i="85"/>
  <c r="X51" i="85"/>
  <c r="Z51" i="85" s="1"/>
  <c r="N51" i="85"/>
  <c r="L51" i="85"/>
  <c r="F51" i="85"/>
  <c r="B51" i="85"/>
  <c r="T50" i="85"/>
  <c r="P50" i="85"/>
  <c r="N50" i="85"/>
  <c r="H50" i="85"/>
  <c r="D50" i="85"/>
  <c r="L50" i="85" s="1"/>
  <c r="B50" i="85"/>
  <c r="X49" i="85"/>
  <c r="Z49" i="85" s="1"/>
  <c r="N49" i="85"/>
  <c r="L49" i="85"/>
  <c r="J49" i="85"/>
  <c r="B49" i="85"/>
  <c r="Z48" i="85"/>
  <c r="T48" i="85"/>
  <c r="P48" i="85"/>
  <c r="X48" i="85" s="1"/>
  <c r="N48" i="85"/>
  <c r="J48" i="85"/>
  <c r="H48" i="85"/>
  <c r="D48" i="85"/>
  <c r="L48" i="85" s="1"/>
  <c r="B48" i="85"/>
  <c r="Z47" i="85"/>
  <c r="X47" i="85"/>
  <c r="N47" i="85"/>
  <c r="L47" i="85"/>
  <c r="B47" i="85"/>
  <c r="Z46" i="85"/>
  <c r="X46" i="85"/>
  <c r="L46" i="85"/>
  <c r="N46" i="85" s="1"/>
  <c r="B46" i="85"/>
  <c r="X45" i="85"/>
  <c r="Z45" i="85" s="1"/>
  <c r="T45" i="85"/>
  <c r="P45" i="85"/>
  <c r="N45" i="85"/>
  <c r="H45" i="85"/>
  <c r="L45" i="85" s="1"/>
  <c r="D45" i="85"/>
  <c r="B45" i="85"/>
  <c r="X44" i="85"/>
  <c r="Z44" i="85" s="1"/>
  <c r="N44" i="85"/>
  <c r="L44" i="85"/>
  <c r="B44" i="85"/>
  <c r="Z43" i="85"/>
  <c r="T43" i="85"/>
  <c r="X43" i="85" s="1"/>
  <c r="P43" i="85"/>
  <c r="J43" i="85"/>
  <c r="H43" i="85"/>
  <c r="N43" i="85" s="1"/>
  <c r="D43" i="85"/>
  <c r="L43" i="85" s="1"/>
  <c r="B43" i="85"/>
  <c r="X42" i="85"/>
  <c r="Z42" i="85" s="1"/>
  <c r="N42" i="85"/>
  <c r="L42" i="85"/>
  <c r="J42" i="85"/>
  <c r="B42" i="85"/>
  <c r="V41" i="85"/>
  <c r="T41" i="85"/>
  <c r="Z41" i="85" s="1"/>
  <c r="P41" i="85"/>
  <c r="X41" i="85" s="1"/>
  <c r="H41" i="85"/>
  <c r="N41" i="85" s="1"/>
  <c r="F41" i="85"/>
  <c r="D41" i="85"/>
  <c r="L41" i="85" s="1"/>
  <c r="B41" i="85"/>
  <c r="Z40" i="85"/>
  <c r="X40" i="85"/>
  <c r="N40" i="85"/>
  <c r="L40" i="85"/>
  <c r="J40" i="85"/>
  <c r="B40" i="85"/>
  <c r="T39" i="85"/>
  <c r="P39" i="85"/>
  <c r="X39" i="85" s="1"/>
  <c r="N39" i="85"/>
  <c r="L39" i="85"/>
  <c r="H39" i="85"/>
  <c r="D39" i="85"/>
  <c r="B39" i="85"/>
  <c r="Z38" i="85"/>
  <c r="X38" i="85"/>
  <c r="V38" i="85"/>
  <c r="N38" i="85"/>
  <c r="L38" i="85"/>
  <c r="B38" i="85"/>
  <c r="X37" i="85"/>
  <c r="Z37" i="85" s="1"/>
  <c r="N37" i="85"/>
  <c r="L37" i="85"/>
  <c r="J37" i="85"/>
  <c r="B37" i="85"/>
  <c r="Z36" i="85"/>
  <c r="X36" i="85"/>
  <c r="N36" i="85"/>
  <c r="L36" i="85"/>
  <c r="J36" i="85"/>
  <c r="B36" i="85"/>
  <c r="X35" i="85"/>
  <c r="Z35" i="85" s="1"/>
  <c r="N35" i="85"/>
  <c r="L35" i="85"/>
  <c r="B35" i="85"/>
  <c r="X34" i="85"/>
  <c r="Z34" i="85" s="1"/>
  <c r="N34" i="85"/>
  <c r="L34" i="85"/>
  <c r="J34" i="85"/>
  <c r="B34" i="85"/>
  <c r="X33" i="85"/>
  <c r="Z33" i="85" s="1"/>
  <c r="L33" i="85"/>
  <c r="N33" i="85" s="1"/>
  <c r="B33" i="85"/>
  <c r="X32" i="85"/>
  <c r="Z32" i="85" s="1"/>
  <c r="T32" i="85"/>
  <c r="P32" i="85"/>
  <c r="H32" i="85"/>
  <c r="D32" i="85"/>
  <c r="B32" i="85"/>
  <c r="Z31" i="85"/>
  <c r="X31" i="85"/>
  <c r="N31" i="85"/>
  <c r="L31" i="85"/>
  <c r="F31" i="85"/>
  <c r="B31" i="85"/>
  <c r="X30" i="85"/>
  <c r="Z30" i="85" s="1"/>
  <c r="N30" i="85"/>
  <c r="L30" i="85"/>
  <c r="J30" i="85"/>
  <c r="B30" i="85"/>
  <c r="X29" i="85"/>
  <c r="Z29" i="85" s="1"/>
  <c r="L29" i="85"/>
  <c r="N29" i="85" s="1"/>
  <c r="B29" i="85"/>
  <c r="X28" i="85"/>
  <c r="Z28" i="85" s="1"/>
  <c r="N28" i="85"/>
  <c r="L28" i="85"/>
  <c r="B28" i="85"/>
  <c r="Z27" i="85"/>
  <c r="X27" i="85"/>
  <c r="N27" i="85"/>
  <c r="L27" i="85"/>
  <c r="B27" i="85"/>
  <c r="Z26" i="85"/>
  <c r="X26" i="85"/>
  <c r="L26" i="85"/>
  <c r="N26" i="85" s="1"/>
  <c r="F26" i="85"/>
  <c r="B26" i="85"/>
  <c r="X25" i="85"/>
  <c r="Z25" i="85" s="1"/>
  <c r="L25" i="85"/>
  <c r="N25" i="85" s="1"/>
  <c r="J25" i="85"/>
  <c r="B25" i="85"/>
  <c r="Z24" i="85"/>
  <c r="X24" i="85"/>
  <c r="L24" i="85"/>
  <c r="N24" i="85" s="1"/>
  <c r="J24" i="85"/>
  <c r="B24" i="85"/>
  <c r="T23" i="85"/>
  <c r="P23" i="85"/>
  <c r="X23" i="85" s="1"/>
  <c r="L23" i="85"/>
  <c r="N23" i="85" s="1"/>
  <c r="H23" i="85"/>
  <c r="D23" i="85"/>
  <c r="B23" i="85"/>
  <c r="T22" i="85"/>
  <c r="P22" i="85"/>
  <c r="X22" i="85" s="1"/>
  <c r="Z22" i="85" s="1"/>
  <c r="L22" i="85"/>
  <c r="N22" i="85" s="1"/>
  <c r="J22" i="85"/>
  <c r="H22" i="85"/>
  <c r="F22" i="85"/>
  <c r="D22" i="85"/>
  <c r="D20" i="85"/>
  <c r="Z18" i="85"/>
  <c r="X18" i="85"/>
  <c r="L18" i="85"/>
  <c r="N18" i="85" s="1"/>
  <c r="F18" i="85"/>
  <c r="B18" i="85"/>
  <c r="X17" i="85"/>
  <c r="Z17" i="85" s="1"/>
  <c r="N17" i="85"/>
  <c r="L17" i="85"/>
  <c r="J17" i="85"/>
  <c r="B17" i="85"/>
  <c r="Z16" i="85"/>
  <c r="T16" i="85"/>
  <c r="P16" i="85"/>
  <c r="X16" i="85" s="1"/>
  <c r="J16" i="85"/>
  <c r="H16" i="85"/>
  <c r="D16" i="85"/>
  <c r="L16" i="85" s="1"/>
  <c r="N16" i="85" s="1"/>
  <c r="X14" i="85"/>
  <c r="T14" i="85"/>
  <c r="P14" i="85"/>
  <c r="N14" i="85"/>
  <c r="L14" i="85"/>
  <c r="H14" i="85"/>
  <c r="D14" i="85"/>
  <c r="B14" i="85"/>
  <c r="T13" i="85"/>
  <c r="P13" i="85"/>
  <c r="N13" i="85"/>
  <c r="H13" i="85"/>
  <c r="D13" i="85"/>
  <c r="L13" i="85" s="1"/>
  <c r="B13" i="85"/>
  <c r="T12" i="85"/>
  <c r="V60" i="85" s="1"/>
  <c r="H12" i="85"/>
  <c r="J51" i="85" s="1"/>
  <c r="D12" i="85"/>
  <c r="F46" i="85" s="1"/>
  <c r="D6" i="85"/>
  <c r="D4" i="85"/>
  <c r="J84" i="84"/>
  <c r="Z79" i="84"/>
  <c r="X79" i="84"/>
  <c r="L79" i="84"/>
  <c r="N79" i="84" s="1"/>
  <c r="J77" i="84"/>
  <c r="Z75" i="84"/>
  <c r="X75" i="84"/>
  <c r="T75" i="84"/>
  <c r="P75" i="84"/>
  <c r="H75" i="84"/>
  <c r="D75" i="84"/>
  <c r="Z73" i="84"/>
  <c r="X73" i="84"/>
  <c r="N73" i="84"/>
  <c r="L73" i="84"/>
  <c r="B73" i="84"/>
  <c r="T72" i="84"/>
  <c r="P72" i="84"/>
  <c r="X72" i="84" s="1"/>
  <c r="N72" i="84"/>
  <c r="L72" i="84"/>
  <c r="H72" i="84"/>
  <c r="D72" i="84"/>
  <c r="B72" i="84"/>
  <c r="Z71" i="84"/>
  <c r="X71" i="84"/>
  <c r="V71" i="84"/>
  <c r="L71" i="84"/>
  <c r="N71" i="84" s="1"/>
  <c r="B71" i="84"/>
  <c r="X70" i="84"/>
  <c r="Z70" i="84" s="1"/>
  <c r="T70" i="84"/>
  <c r="P70" i="84"/>
  <c r="H70" i="84"/>
  <c r="D70" i="84"/>
  <c r="B70" i="84"/>
  <c r="X69" i="84"/>
  <c r="Z69" i="84" s="1"/>
  <c r="N69" i="84"/>
  <c r="L69" i="84"/>
  <c r="B69" i="84"/>
  <c r="Z68" i="84"/>
  <c r="X68" i="84"/>
  <c r="N68" i="84"/>
  <c r="L68" i="84"/>
  <c r="B68" i="84"/>
  <c r="Z67" i="84"/>
  <c r="X67" i="84"/>
  <c r="N67" i="84"/>
  <c r="L67" i="84"/>
  <c r="B67" i="84"/>
  <c r="X66" i="84"/>
  <c r="Z66" i="84" s="1"/>
  <c r="N66" i="84"/>
  <c r="L66" i="84"/>
  <c r="B66" i="84"/>
  <c r="Z65" i="84"/>
  <c r="X65" i="84"/>
  <c r="N65" i="84"/>
  <c r="L65" i="84"/>
  <c r="B65" i="84"/>
  <c r="Z64" i="84"/>
  <c r="X64" i="84"/>
  <c r="N64" i="84"/>
  <c r="L64" i="84"/>
  <c r="B64" i="84"/>
  <c r="X63" i="84"/>
  <c r="Z63" i="84" s="1"/>
  <c r="N63" i="84"/>
  <c r="L63" i="84"/>
  <c r="J63" i="84"/>
  <c r="B63" i="84"/>
  <c r="T62" i="84"/>
  <c r="P62" i="84"/>
  <c r="X62" i="84" s="1"/>
  <c r="H62" i="84"/>
  <c r="N62" i="84" s="1"/>
  <c r="D62" i="84"/>
  <c r="L62" i="84" s="1"/>
  <c r="B62" i="84"/>
  <c r="Z61" i="84"/>
  <c r="X61" i="84"/>
  <c r="N61" i="84"/>
  <c r="L61" i="84"/>
  <c r="B61" i="84"/>
  <c r="T60" i="84"/>
  <c r="P60" i="84"/>
  <c r="X60" i="84" s="1"/>
  <c r="N60" i="84"/>
  <c r="L60" i="84"/>
  <c r="H60" i="84"/>
  <c r="D60" i="84"/>
  <c r="B60" i="84"/>
  <c r="Z59" i="84"/>
  <c r="X59" i="84"/>
  <c r="V59" i="84"/>
  <c r="N59" i="84"/>
  <c r="L59" i="84"/>
  <c r="B59" i="84"/>
  <c r="X58" i="84"/>
  <c r="Z58" i="84" s="1"/>
  <c r="T58" i="84"/>
  <c r="P58" i="84"/>
  <c r="H58" i="84"/>
  <c r="D58" i="84"/>
  <c r="B58" i="84"/>
  <c r="X57" i="84"/>
  <c r="Z57" i="84" s="1"/>
  <c r="N57" i="84"/>
  <c r="L57" i="84"/>
  <c r="B57" i="84"/>
  <c r="T56" i="84"/>
  <c r="P56" i="84"/>
  <c r="H56" i="84"/>
  <c r="N56" i="84" s="1"/>
  <c r="D56" i="84"/>
  <c r="L56" i="84" s="1"/>
  <c r="B56" i="84"/>
  <c r="X55" i="84"/>
  <c r="Z55" i="84" s="1"/>
  <c r="N55" i="84"/>
  <c r="L55" i="84"/>
  <c r="B55" i="84"/>
  <c r="X54" i="84"/>
  <c r="Z54" i="84" s="1"/>
  <c r="L54" i="84"/>
  <c r="N54" i="84" s="1"/>
  <c r="B54" i="84"/>
  <c r="X53" i="84"/>
  <c r="Z53" i="84" s="1"/>
  <c r="T53" i="84"/>
  <c r="P53" i="84"/>
  <c r="H53" i="84"/>
  <c r="D53" i="84"/>
  <c r="B53" i="84"/>
  <c r="Z52" i="84"/>
  <c r="X52" i="84"/>
  <c r="N52" i="84"/>
  <c r="L52" i="84"/>
  <c r="B52" i="84"/>
  <c r="T51" i="84"/>
  <c r="P51" i="84"/>
  <c r="N51" i="84"/>
  <c r="H51" i="84"/>
  <c r="D51" i="84"/>
  <c r="L51" i="84" s="1"/>
  <c r="B51" i="84"/>
  <c r="X50" i="84"/>
  <c r="Z50" i="84" s="1"/>
  <c r="N50" i="84"/>
  <c r="L50" i="84"/>
  <c r="B50" i="84"/>
  <c r="Z49" i="84"/>
  <c r="T49" i="84"/>
  <c r="P49" i="84"/>
  <c r="X49" i="84" s="1"/>
  <c r="N49" i="84"/>
  <c r="J49" i="84"/>
  <c r="H49" i="84"/>
  <c r="L49" i="84" s="1"/>
  <c r="D49" i="84"/>
  <c r="B49" i="84"/>
  <c r="Z48" i="84"/>
  <c r="X48" i="84"/>
  <c r="N48" i="84"/>
  <c r="L48" i="84"/>
  <c r="B48" i="84"/>
  <c r="T47" i="84"/>
  <c r="X47" i="84" s="1"/>
  <c r="Z47" i="84" s="1"/>
  <c r="P47" i="84"/>
  <c r="N47" i="84"/>
  <c r="L47" i="84"/>
  <c r="H47" i="84"/>
  <c r="D47" i="84"/>
  <c r="B47" i="84"/>
  <c r="X46" i="84"/>
  <c r="Z46" i="84" s="1"/>
  <c r="V46" i="84"/>
  <c r="L46" i="84"/>
  <c r="N46" i="84" s="1"/>
  <c r="B46" i="84"/>
  <c r="X45" i="84"/>
  <c r="Z45" i="84" s="1"/>
  <c r="T45" i="84"/>
  <c r="P45" i="84"/>
  <c r="H45" i="84"/>
  <c r="D45" i="84"/>
  <c r="B45" i="84"/>
  <c r="Z44" i="84"/>
  <c r="X44" i="84"/>
  <c r="N44" i="84"/>
  <c r="L44" i="84"/>
  <c r="B44" i="84"/>
  <c r="T43" i="84"/>
  <c r="P43" i="84"/>
  <c r="N43" i="84"/>
  <c r="H43" i="84"/>
  <c r="D43" i="84"/>
  <c r="L43" i="84" s="1"/>
  <c r="B43" i="84"/>
  <c r="X42" i="84"/>
  <c r="Z42" i="84" s="1"/>
  <c r="N42" i="84"/>
  <c r="L42" i="84"/>
  <c r="B42" i="84"/>
  <c r="Z41" i="84"/>
  <c r="T41" i="84"/>
  <c r="P41" i="84"/>
  <c r="X41" i="84" s="1"/>
  <c r="N41" i="84"/>
  <c r="J41" i="84"/>
  <c r="H41" i="84"/>
  <c r="L41" i="84" s="1"/>
  <c r="D41" i="84"/>
  <c r="B41" i="84"/>
  <c r="Z40" i="84"/>
  <c r="X40" i="84"/>
  <c r="N40" i="84"/>
  <c r="L40" i="84"/>
  <c r="B40" i="84"/>
  <c r="T39" i="84"/>
  <c r="X39" i="84" s="1"/>
  <c r="Z39" i="84" s="1"/>
  <c r="P39" i="84"/>
  <c r="N39" i="84"/>
  <c r="L39" i="84"/>
  <c r="J39" i="84"/>
  <c r="H39" i="84"/>
  <c r="D39" i="84"/>
  <c r="B39" i="84"/>
  <c r="X38" i="84"/>
  <c r="Z38" i="84" s="1"/>
  <c r="V38" i="84"/>
  <c r="N38" i="84"/>
  <c r="L38" i="84"/>
  <c r="B38" i="84"/>
  <c r="X37" i="84"/>
  <c r="Z37" i="84" s="1"/>
  <c r="V37" i="84"/>
  <c r="N37" i="84"/>
  <c r="L37" i="84"/>
  <c r="B37" i="84"/>
  <c r="X36" i="84"/>
  <c r="Z36" i="84" s="1"/>
  <c r="N36" i="84"/>
  <c r="L36" i="84"/>
  <c r="B36" i="84"/>
  <c r="Z35" i="84"/>
  <c r="X35" i="84"/>
  <c r="V35" i="84"/>
  <c r="N35" i="84"/>
  <c r="L35" i="84"/>
  <c r="B35" i="84"/>
  <c r="X34" i="84"/>
  <c r="Z34" i="84" s="1"/>
  <c r="N34" i="84"/>
  <c r="L34" i="84"/>
  <c r="J34" i="84"/>
  <c r="B34" i="84"/>
  <c r="Z33" i="84"/>
  <c r="X33" i="84"/>
  <c r="N33" i="84"/>
  <c r="L33" i="84"/>
  <c r="B33" i="84"/>
  <c r="T32" i="84"/>
  <c r="Z32" i="84" s="1"/>
  <c r="P32" i="84"/>
  <c r="X32" i="84" s="1"/>
  <c r="N32" i="84"/>
  <c r="L32" i="84"/>
  <c r="H32" i="84"/>
  <c r="D32" i="84"/>
  <c r="B32" i="84"/>
  <c r="Z31" i="84"/>
  <c r="X31" i="84"/>
  <c r="L31" i="84"/>
  <c r="N31" i="84" s="1"/>
  <c r="B31" i="84"/>
  <c r="X30" i="84"/>
  <c r="Z30" i="84" s="1"/>
  <c r="N30" i="84"/>
  <c r="L30" i="84"/>
  <c r="B30" i="84"/>
  <c r="Z29" i="84"/>
  <c r="X29" i="84"/>
  <c r="N29" i="84"/>
  <c r="L29" i="84"/>
  <c r="J29" i="84"/>
  <c r="B29" i="84"/>
  <c r="Z28" i="84"/>
  <c r="X28" i="84"/>
  <c r="N28" i="84"/>
  <c r="L28" i="84"/>
  <c r="B28" i="84"/>
  <c r="Z27" i="84"/>
  <c r="X27" i="84"/>
  <c r="N27" i="84"/>
  <c r="L27" i="84"/>
  <c r="J27" i="84"/>
  <c r="B27" i="84"/>
  <c r="X26" i="84"/>
  <c r="Z26" i="84" s="1"/>
  <c r="V26" i="84"/>
  <c r="L26" i="84"/>
  <c r="N26" i="84" s="1"/>
  <c r="B26" i="84"/>
  <c r="X25" i="84"/>
  <c r="Z25" i="84" s="1"/>
  <c r="V25" i="84"/>
  <c r="N25" i="84"/>
  <c r="L25" i="84"/>
  <c r="B25" i="84"/>
  <c r="Z24" i="84"/>
  <c r="X24" i="84"/>
  <c r="N24" i="84"/>
  <c r="L24" i="84"/>
  <c r="B24" i="84"/>
  <c r="Z23" i="84"/>
  <c r="V23" i="84"/>
  <c r="T23" i="84"/>
  <c r="P23" i="84"/>
  <c r="X23" i="84" s="1"/>
  <c r="L23" i="84"/>
  <c r="N23" i="84" s="1"/>
  <c r="J23" i="84"/>
  <c r="H23" i="84"/>
  <c r="D23" i="84"/>
  <c r="B23" i="84"/>
  <c r="T22" i="84"/>
  <c r="P22" i="84"/>
  <c r="X22" i="84" s="1"/>
  <c r="H22" i="84"/>
  <c r="N22" i="84" s="1"/>
  <c r="D22" i="84"/>
  <c r="L22" i="84" s="1"/>
  <c r="X18" i="84"/>
  <c r="Z18" i="84" s="1"/>
  <c r="V18" i="84"/>
  <c r="L18" i="84"/>
  <c r="N18" i="84" s="1"/>
  <c r="B18" i="84"/>
  <c r="X17" i="84"/>
  <c r="Z17" i="84" s="1"/>
  <c r="N17" i="84"/>
  <c r="L17" i="84"/>
  <c r="B17" i="84"/>
  <c r="T16" i="84"/>
  <c r="P16" i="84"/>
  <c r="H16" i="84"/>
  <c r="D16" i="84"/>
  <c r="L16" i="84" s="1"/>
  <c r="T14" i="84"/>
  <c r="P14" i="84"/>
  <c r="X14" i="84" s="1"/>
  <c r="Z14" i="84" s="1"/>
  <c r="N14" i="84"/>
  <c r="L14" i="84"/>
  <c r="H14" i="84"/>
  <c r="D14" i="84"/>
  <c r="B14" i="84"/>
  <c r="T13" i="84"/>
  <c r="Z13" i="84" s="1"/>
  <c r="P13" i="84"/>
  <c r="X13" i="84" s="1"/>
  <c r="N13" i="84"/>
  <c r="H13" i="84"/>
  <c r="H12" i="84" s="1"/>
  <c r="D13" i="84"/>
  <c r="D12" i="84" s="1"/>
  <c r="B13" i="84"/>
  <c r="T12" i="84"/>
  <c r="V39" i="84" s="1"/>
  <c r="D6" i="84"/>
  <c r="D4" i="84"/>
  <c r="Z73" i="83"/>
  <c r="X73" i="83"/>
  <c r="N73" i="83"/>
  <c r="L73" i="83"/>
  <c r="T69" i="83"/>
  <c r="P69" i="83"/>
  <c r="N69" i="83"/>
  <c r="L69" i="83"/>
  <c r="H69" i="83"/>
  <c r="D69" i="83"/>
  <c r="D68" i="83" s="1"/>
  <c r="L68" i="83" s="1"/>
  <c r="B69" i="83"/>
  <c r="N68" i="83"/>
  <c r="H68" i="83"/>
  <c r="X66" i="83"/>
  <c r="Z66" i="83" s="1"/>
  <c r="N66" i="83"/>
  <c r="L66" i="83"/>
  <c r="B66" i="83"/>
  <c r="T65" i="83"/>
  <c r="P65" i="83"/>
  <c r="H65" i="83"/>
  <c r="N65" i="83" s="1"/>
  <c r="D65" i="83"/>
  <c r="L65" i="83" s="1"/>
  <c r="B65" i="83"/>
  <c r="Z64" i="83"/>
  <c r="X64" i="83"/>
  <c r="L64" i="83"/>
  <c r="N64" i="83" s="1"/>
  <c r="B64" i="83"/>
  <c r="T63" i="83"/>
  <c r="Z63" i="83" s="1"/>
  <c r="P63" i="83"/>
  <c r="X63" i="83" s="1"/>
  <c r="L63" i="83"/>
  <c r="N63" i="83" s="1"/>
  <c r="H63" i="83"/>
  <c r="D63" i="83"/>
  <c r="B63" i="83"/>
  <c r="Z62" i="83"/>
  <c r="X62" i="83"/>
  <c r="N62" i="83"/>
  <c r="L62" i="83"/>
  <c r="F62" i="83"/>
  <c r="B62" i="83"/>
  <c r="X61" i="83"/>
  <c r="Z61" i="83" s="1"/>
  <c r="N61" i="83"/>
  <c r="L61" i="83"/>
  <c r="B61" i="83"/>
  <c r="Z60" i="83"/>
  <c r="X60" i="83"/>
  <c r="N60" i="83"/>
  <c r="L60" i="83"/>
  <c r="B60" i="83"/>
  <c r="Z59" i="83"/>
  <c r="X59" i="83"/>
  <c r="N59" i="83"/>
  <c r="L59" i="83"/>
  <c r="B59" i="83"/>
  <c r="X58" i="83"/>
  <c r="Z58" i="83" s="1"/>
  <c r="N58" i="83"/>
  <c r="L58" i="83"/>
  <c r="B58" i="83"/>
  <c r="X57" i="83"/>
  <c r="Z57" i="83" s="1"/>
  <c r="N57" i="83"/>
  <c r="L57" i="83"/>
  <c r="B57" i="83"/>
  <c r="X56" i="83"/>
  <c r="Z56" i="83" s="1"/>
  <c r="T56" i="83"/>
  <c r="P56" i="83"/>
  <c r="H56" i="83"/>
  <c r="D56" i="83"/>
  <c r="B56" i="83"/>
  <c r="Z55" i="83"/>
  <c r="X55" i="83"/>
  <c r="N55" i="83"/>
  <c r="L55" i="83"/>
  <c r="B55" i="83"/>
  <c r="X54" i="83"/>
  <c r="Z54" i="83" s="1"/>
  <c r="N54" i="83"/>
  <c r="L54" i="83"/>
  <c r="B54" i="83"/>
  <c r="Z53" i="83"/>
  <c r="X53" i="83"/>
  <c r="N53" i="83"/>
  <c r="L53" i="83"/>
  <c r="B53" i="83"/>
  <c r="X52" i="83"/>
  <c r="Z52" i="83" s="1"/>
  <c r="T52" i="83"/>
  <c r="P52" i="83"/>
  <c r="H52" i="83"/>
  <c r="N52" i="83" s="1"/>
  <c r="D52" i="83"/>
  <c r="B52" i="83"/>
  <c r="Z51" i="83"/>
  <c r="X51" i="83"/>
  <c r="N51" i="83"/>
  <c r="L51" i="83"/>
  <c r="B51" i="83"/>
  <c r="X50" i="83"/>
  <c r="Z50" i="83" s="1"/>
  <c r="N50" i="83"/>
  <c r="L50" i="83"/>
  <c r="B50" i="83"/>
  <c r="X49" i="83"/>
  <c r="Z49" i="83" s="1"/>
  <c r="N49" i="83"/>
  <c r="L49" i="83"/>
  <c r="B49" i="83"/>
  <c r="X48" i="83"/>
  <c r="Z48" i="83" s="1"/>
  <c r="T48" i="83"/>
  <c r="P48" i="83"/>
  <c r="H48" i="83"/>
  <c r="D48" i="83"/>
  <c r="L48" i="83" s="1"/>
  <c r="B48" i="83"/>
  <c r="Z47" i="83"/>
  <c r="X47" i="83"/>
  <c r="N47" i="83"/>
  <c r="L47" i="83"/>
  <c r="B47" i="83"/>
  <c r="T46" i="83"/>
  <c r="P46" i="83"/>
  <c r="X46" i="83" s="1"/>
  <c r="N46" i="83"/>
  <c r="H46" i="83"/>
  <c r="D46" i="83"/>
  <c r="L46" i="83" s="1"/>
  <c r="B46" i="83"/>
  <c r="X45" i="83"/>
  <c r="Z45" i="83" s="1"/>
  <c r="L45" i="83"/>
  <c r="N45" i="83" s="1"/>
  <c r="B45" i="83"/>
  <c r="Z44" i="83"/>
  <c r="T44" i="83"/>
  <c r="P44" i="83"/>
  <c r="X44" i="83" s="1"/>
  <c r="H44" i="83"/>
  <c r="L44" i="83" s="1"/>
  <c r="N44" i="83" s="1"/>
  <c r="D44" i="83"/>
  <c r="B44" i="83"/>
  <c r="Z43" i="83"/>
  <c r="X43" i="83"/>
  <c r="N43" i="83"/>
  <c r="L43" i="83"/>
  <c r="B43" i="83"/>
  <c r="T42" i="83"/>
  <c r="X42" i="83" s="1"/>
  <c r="Z42" i="83" s="1"/>
  <c r="P42" i="83"/>
  <c r="N42" i="83"/>
  <c r="L42" i="83"/>
  <c r="H42" i="83"/>
  <c r="D42" i="83"/>
  <c r="B42" i="83"/>
  <c r="X41" i="83"/>
  <c r="Z41" i="83" s="1"/>
  <c r="N41" i="83"/>
  <c r="L41" i="83"/>
  <c r="B41" i="83"/>
  <c r="Z40" i="83"/>
  <c r="X40" i="83"/>
  <c r="T40" i="83"/>
  <c r="P40" i="83"/>
  <c r="H40" i="83"/>
  <c r="N40" i="83" s="1"/>
  <c r="D40" i="83"/>
  <c r="L40" i="83" s="1"/>
  <c r="B40" i="83"/>
  <c r="Z39" i="83"/>
  <c r="X39" i="83"/>
  <c r="N39" i="83"/>
  <c r="L39" i="83"/>
  <c r="F39" i="83"/>
  <c r="B39" i="83"/>
  <c r="T38" i="83"/>
  <c r="P38" i="83"/>
  <c r="X38" i="83" s="1"/>
  <c r="N38" i="83"/>
  <c r="H38" i="83"/>
  <c r="F38" i="83"/>
  <c r="D38" i="83"/>
  <c r="L38" i="83" s="1"/>
  <c r="B38" i="83"/>
  <c r="X37" i="83"/>
  <c r="Z37" i="83" s="1"/>
  <c r="N37" i="83"/>
  <c r="L37" i="83"/>
  <c r="B37" i="83"/>
  <c r="Z36" i="83"/>
  <c r="X36" i="83"/>
  <c r="N36" i="83"/>
  <c r="L36" i="83"/>
  <c r="B36" i="83"/>
  <c r="Z35" i="83"/>
  <c r="X35" i="83"/>
  <c r="N35" i="83"/>
  <c r="L35" i="83"/>
  <c r="B35" i="83"/>
  <c r="X34" i="83"/>
  <c r="Z34" i="83" s="1"/>
  <c r="N34" i="83"/>
  <c r="L34" i="83"/>
  <c r="B34" i="83"/>
  <c r="X33" i="83"/>
  <c r="Z33" i="83" s="1"/>
  <c r="L33" i="83"/>
  <c r="N33" i="83" s="1"/>
  <c r="B33" i="83"/>
  <c r="X32" i="83"/>
  <c r="Z32" i="83" s="1"/>
  <c r="T32" i="83"/>
  <c r="P32" i="83"/>
  <c r="H32" i="83"/>
  <c r="D32" i="83"/>
  <c r="B32" i="83"/>
  <c r="Z31" i="83"/>
  <c r="X31" i="83"/>
  <c r="L31" i="83"/>
  <c r="N31" i="83" s="1"/>
  <c r="B31" i="83"/>
  <c r="X30" i="83"/>
  <c r="Z30" i="83" s="1"/>
  <c r="N30" i="83"/>
  <c r="L30" i="83"/>
  <c r="B30" i="83"/>
  <c r="X29" i="83"/>
  <c r="Z29" i="83" s="1"/>
  <c r="L29" i="83"/>
  <c r="N29" i="83" s="1"/>
  <c r="B29" i="83"/>
  <c r="Z28" i="83"/>
  <c r="X28" i="83"/>
  <c r="N28" i="83"/>
  <c r="L28" i="83"/>
  <c r="B28" i="83"/>
  <c r="Z27" i="83"/>
  <c r="X27" i="83"/>
  <c r="N27" i="83"/>
  <c r="L27" i="83"/>
  <c r="B27" i="83"/>
  <c r="Z26" i="83"/>
  <c r="X26" i="83"/>
  <c r="L26" i="83"/>
  <c r="N26" i="83" s="1"/>
  <c r="B26" i="83"/>
  <c r="X25" i="83"/>
  <c r="Z25" i="83" s="1"/>
  <c r="N25" i="83"/>
  <c r="L25" i="83"/>
  <c r="B25" i="83"/>
  <c r="Z24" i="83"/>
  <c r="X24" i="83"/>
  <c r="N24" i="83"/>
  <c r="L24" i="83"/>
  <c r="B24" i="83"/>
  <c r="T23" i="83"/>
  <c r="P23" i="83"/>
  <c r="X23" i="83" s="1"/>
  <c r="Z23" i="83" s="1"/>
  <c r="H23" i="83"/>
  <c r="D23" i="83"/>
  <c r="L23" i="83" s="1"/>
  <c r="N23" i="83" s="1"/>
  <c r="B23" i="83"/>
  <c r="T22" i="83"/>
  <c r="P22" i="83"/>
  <c r="X22" i="83" s="1"/>
  <c r="Z22" i="83" s="1"/>
  <c r="H22" i="83"/>
  <c r="D22" i="83"/>
  <c r="Z18" i="83"/>
  <c r="X18" i="83"/>
  <c r="N18" i="83"/>
  <c r="L18" i="83"/>
  <c r="B18" i="83"/>
  <c r="Z17" i="83"/>
  <c r="X17" i="83"/>
  <c r="N17" i="83"/>
  <c r="L17" i="83"/>
  <c r="B17" i="83"/>
  <c r="T16" i="83"/>
  <c r="P16" i="83"/>
  <c r="L16" i="83"/>
  <c r="N16" i="83" s="1"/>
  <c r="H16" i="83"/>
  <c r="D16" i="83"/>
  <c r="T14" i="83"/>
  <c r="P14" i="83"/>
  <c r="H14" i="83"/>
  <c r="N14" i="83" s="1"/>
  <c r="D14" i="83"/>
  <c r="L14" i="83" s="1"/>
  <c r="B14" i="83"/>
  <c r="X13" i="83"/>
  <c r="T13" i="83"/>
  <c r="P13" i="83"/>
  <c r="L13" i="83"/>
  <c r="H13" i="83"/>
  <c r="N13" i="83" s="1"/>
  <c r="D13" i="83"/>
  <c r="D12" i="83" s="1"/>
  <c r="F68" i="83" s="1"/>
  <c r="B13" i="83"/>
  <c r="D6" i="83"/>
  <c r="D4" i="83"/>
  <c r="X77" i="82"/>
  <c r="Z77" i="82" s="1"/>
  <c r="N77" i="82"/>
  <c r="L77" i="82"/>
  <c r="T73" i="82"/>
  <c r="Z73" i="82" s="1"/>
  <c r="P73" i="82"/>
  <c r="N73" i="82"/>
  <c r="H73" i="82"/>
  <c r="D73" i="82"/>
  <c r="L73" i="82" s="1"/>
  <c r="X71" i="82"/>
  <c r="Z71" i="82" s="1"/>
  <c r="N71" i="82"/>
  <c r="L71" i="82"/>
  <c r="B71" i="82"/>
  <c r="T70" i="82"/>
  <c r="P70" i="82"/>
  <c r="X70" i="82" s="1"/>
  <c r="N70" i="82"/>
  <c r="H70" i="82"/>
  <c r="D70" i="82"/>
  <c r="L70" i="82" s="1"/>
  <c r="B70" i="82"/>
  <c r="X69" i="82"/>
  <c r="Z69" i="82" s="1"/>
  <c r="N69" i="82"/>
  <c r="L69" i="82"/>
  <c r="B69" i="82"/>
  <c r="Z68" i="82"/>
  <c r="T68" i="82"/>
  <c r="P68" i="82"/>
  <c r="X68" i="82" s="1"/>
  <c r="L68" i="82"/>
  <c r="N68" i="82" s="1"/>
  <c r="H68" i="82"/>
  <c r="D68" i="82"/>
  <c r="B68" i="82"/>
  <c r="Z67" i="82"/>
  <c r="X67" i="82"/>
  <c r="N67" i="82"/>
  <c r="L67" i="82"/>
  <c r="B67" i="82"/>
  <c r="X66" i="82"/>
  <c r="Z66" i="82" s="1"/>
  <c r="N66" i="82"/>
  <c r="L66" i="82"/>
  <c r="B66" i="82"/>
  <c r="Z65" i="82"/>
  <c r="X65" i="82"/>
  <c r="N65" i="82"/>
  <c r="L65" i="82"/>
  <c r="B65" i="82"/>
  <c r="Z64" i="82"/>
  <c r="X64" i="82"/>
  <c r="N64" i="82"/>
  <c r="L64" i="82"/>
  <c r="B64" i="82"/>
  <c r="X63" i="82"/>
  <c r="Z63" i="82" s="1"/>
  <c r="N63" i="82"/>
  <c r="L63" i="82"/>
  <c r="B63" i="82"/>
  <c r="X62" i="82"/>
  <c r="Z62" i="82" s="1"/>
  <c r="L62" i="82"/>
  <c r="N62" i="82" s="1"/>
  <c r="B62" i="82"/>
  <c r="T61" i="82"/>
  <c r="P61" i="82"/>
  <c r="X61" i="82" s="1"/>
  <c r="Z61" i="82" s="1"/>
  <c r="H61" i="82"/>
  <c r="N61" i="82" s="1"/>
  <c r="D61" i="82"/>
  <c r="L61" i="82" s="1"/>
  <c r="B61" i="82"/>
  <c r="Z60" i="82"/>
  <c r="X60" i="82"/>
  <c r="N60" i="82"/>
  <c r="L60" i="82"/>
  <c r="B60" i="82"/>
  <c r="X59" i="82"/>
  <c r="Z59" i="82" s="1"/>
  <c r="N59" i="82"/>
  <c r="L59" i="82"/>
  <c r="B59" i="82"/>
  <c r="X58" i="82"/>
  <c r="Z58" i="82" s="1"/>
  <c r="N58" i="82"/>
  <c r="L58" i="82"/>
  <c r="B58" i="82"/>
  <c r="T57" i="82"/>
  <c r="P57" i="82"/>
  <c r="X57" i="82" s="1"/>
  <c r="Z57" i="82" s="1"/>
  <c r="H57" i="82"/>
  <c r="N57" i="82" s="1"/>
  <c r="D57" i="82"/>
  <c r="L57" i="82" s="1"/>
  <c r="B57" i="82"/>
  <c r="Z56" i="82"/>
  <c r="X56" i="82"/>
  <c r="N56" i="82"/>
  <c r="L56" i="82"/>
  <c r="B56" i="82"/>
  <c r="X55" i="82"/>
  <c r="Z55" i="82" s="1"/>
  <c r="N55" i="82"/>
  <c r="L55" i="82"/>
  <c r="B55" i="82"/>
  <c r="Z54" i="82"/>
  <c r="X54" i="82"/>
  <c r="N54" i="82"/>
  <c r="L54" i="82"/>
  <c r="B54" i="82"/>
  <c r="T53" i="82"/>
  <c r="P53" i="82"/>
  <c r="X53" i="82" s="1"/>
  <c r="Z53" i="82" s="1"/>
  <c r="H53" i="82"/>
  <c r="D53" i="82"/>
  <c r="L53" i="82" s="1"/>
  <c r="B53" i="82"/>
  <c r="Z52" i="82"/>
  <c r="X52" i="82"/>
  <c r="N52" i="82"/>
  <c r="L52" i="82"/>
  <c r="B52" i="82"/>
  <c r="T51" i="82"/>
  <c r="Z51" i="82" s="1"/>
  <c r="P51" i="82"/>
  <c r="X51" i="82" s="1"/>
  <c r="N51" i="82"/>
  <c r="L51" i="82"/>
  <c r="H51" i="82"/>
  <c r="D51" i="82"/>
  <c r="B51" i="82"/>
  <c r="X50" i="82"/>
  <c r="Z50" i="82" s="1"/>
  <c r="L50" i="82"/>
  <c r="N50" i="82" s="1"/>
  <c r="B50" i="82"/>
  <c r="X49" i="82"/>
  <c r="Z49" i="82" s="1"/>
  <c r="T49" i="82"/>
  <c r="P49" i="82"/>
  <c r="H49" i="82"/>
  <c r="D49" i="82"/>
  <c r="B49" i="82"/>
  <c r="Z48" i="82"/>
  <c r="X48" i="82"/>
  <c r="N48" i="82"/>
  <c r="L48" i="82"/>
  <c r="B48" i="82"/>
  <c r="T47" i="82"/>
  <c r="P47" i="82"/>
  <c r="N47" i="82"/>
  <c r="H47" i="82"/>
  <c r="D47" i="82"/>
  <c r="L47" i="82" s="1"/>
  <c r="B47" i="82"/>
  <c r="X46" i="82"/>
  <c r="Z46" i="82" s="1"/>
  <c r="L46" i="82"/>
  <c r="N46" i="82" s="1"/>
  <c r="B46" i="82"/>
  <c r="T45" i="82"/>
  <c r="P45" i="82"/>
  <c r="X45" i="82" s="1"/>
  <c r="Z45" i="82" s="1"/>
  <c r="H45" i="82"/>
  <c r="N45" i="82" s="1"/>
  <c r="D45" i="82"/>
  <c r="L45" i="82" s="1"/>
  <c r="B45" i="82"/>
  <c r="Z44" i="82"/>
  <c r="X44" i="82"/>
  <c r="N44" i="82"/>
  <c r="L44" i="82"/>
  <c r="B44" i="82"/>
  <c r="T43" i="82"/>
  <c r="P43" i="82"/>
  <c r="X43" i="82" s="1"/>
  <c r="N43" i="82"/>
  <c r="L43" i="82"/>
  <c r="H43" i="82"/>
  <c r="D43" i="82"/>
  <c r="B43" i="82"/>
  <c r="X42" i="82"/>
  <c r="Z42" i="82" s="1"/>
  <c r="N42" i="82"/>
  <c r="L42" i="82"/>
  <c r="B42" i="82"/>
  <c r="Z41" i="82"/>
  <c r="X41" i="82"/>
  <c r="T41" i="82"/>
  <c r="P41" i="82"/>
  <c r="H41" i="82"/>
  <c r="D41" i="82"/>
  <c r="B41" i="82"/>
  <c r="Z40" i="82"/>
  <c r="X40" i="82"/>
  <c r="N40" i="82"/>
  <c r="L40" i="82"/>
  <c r="B40" i="82"/>
  <c r="T39" i="82"/>
  <c r="P39" i="82"/>
  <c r="N39" i="82"/>
  <c r="H39" i="82"/>
  <c r="D39" i="82"/>
  <c r="L39" i="82" s="1"/>
  <c r="B39" i="82"/>
  <c r="X38" i="82"/>
  <c r="Z38" i="82" s="1"/>
  <c r="N38" i="82"/>
  <c r="L38" i="82"/>
  <c r="B38" i="82"/>
  <c r="Z37" i="82"/>
  <c r="X37" i="82"/>
  <c r="N37" i="82"/>
  <c r="L37" i="82"/>
  <c r="B37" i="82"/>
  <c r="Z36" i="82"/>
  <c r="X36" i="82"/>
  <c r="N36" i="82"/>
  <c r="L36" i="82"/>
  <c r="B36" i="82"/>
  <c r="X35" i="82"/>
  <c r="Z35" i="82" s="1"/>
  <c r="N35" i="82"/>
  <c r="L35" i="82"/>
  <c r="B35" i="82"/>
  <c r="X34" i="82"/>
  <c r="Z34" i="82" s="1"/>
  <c r="N34" i="82"/>
  <c r="L34" i="82"/>
  <c r="B34" i="82"/>
  <c r="X33" i="82"/>
  <c r="Z33" i="82" s="1"/>
  <c r="N33" i="82"/>
  <c r="L33" i="82"/>
  <c r="B33" i="82"/>
  <c r="T32" i="82"/>
  <c r="P32" i="82"/>
  <c r="X32" i="82" s="1"/>
  <c r="Z32" i="82" s="1"/>
  <c r="N32" i="82"/>
  <c r="L32" i="82"/>
  <c r="H32" i="82"/>
  <c r="D32" i="82"/>
  <c r="B32" i="82"/>
  <c r="X31" i="82"/>
  <c r="Z31" i="82" s="1"/>
  <c r="N31" i="82"/>
  <c r="L31" i="82"/>
  <c r="B31" i="82"/>
  <c r="X30" i="82"/>
  <c r="Z30" i="82" s="1"/>
  <c r="N30" i="82"/>
  <c r="L30" i="82"/>
  <c r="B30" i="82"/>
  <c r="X29" i="82"/>
  <c r="Z29" i="82" s="1"/>
  <c r="N29" i="82"/>
  <c r="L29" i="82"/>
  <c r="B29" i="82"/>
  <c r="Z28" i="82"/>
  <c r="X28" i="82"/>
  <c r="N28" i="82"/>
  <c r="L28" i="82"/>
  <c r="B28" i="82"/>
  <c r="Z27" i="82"/>
  <c r="X27" i="82"/>
  <c r="L27" i="82"/>
  <c r="N27" i="82" s="1"/>
  <c r="B27" i="82"/>
  <c r="X26" i="82"/>
  <c r="Z26" i="82" s="1"/>
  <c r="N26" i="82"/>
  <c r="L26" i="82"/>
  <c r="B26" i="82"/>
  <c r="Z25" i="82"/>
  <c r="X25" i="82"/>
  <c r="N25" i="82"/>
  <c r="L25" i="82"/>
  <c r="B25" i="82"/>
  <c r="Z24" i="82"/>
  <c r="X24" i="82"/>
  <c r="N24" i="82"/>
  <c r="L24" i="82"/>
  <c r="B24" i="82"/>
  <c r="T23" i="82"/>
  <c r="P23" i="82"/>
  <c r="X23" i="82" s="1"/>
  <c r="H23" i="82"/>
  <c r="D23" i="82"/>
  <c r="L23" i="82" s="1"/>
  <c r="N23" i="82" s="1"/>
  <c r="B23" i="82"/>
  <c r="T22" i="82"/>
  <c r="P22" i="82"/>
  <c r="X22" i="82" s="1"/>
  <c r="N22" i="82"/>
  <c r="H22" i="82"/>
  <c r="D22" i="82"/>
  <c r="L22" i="82" s="1"/>
  <c r="X18" i="82"/>
  <c r="Z18" i="82" s="1"/>
  <c r="N18" i="82"/>
  <c r="L18" i="82"/>
  <c r="B18" i="82"/>
  <c r="Z17" i="82"/>
  <c r="X17" i="82"/>
  <c r="L17" i="82"/>
  <c r="N17" i="82" s="1"/>
  <c r="B17" i="82"/>
  <c r="T16" i="82"/>
  <c r="P16" i="82"/>
  <c r="H16" i="82"/>
  <c r="N16" i="82" s="1"/>
  <c r="D16" i="82"/>
  <c r="L16" i="82" s="1"/>
  <c r="T14" i="82"/>
  <c r="P14" i="82"/>
  <c r="X14" i="82" s="1"/>
  <c r="Z14" i="82" s="1"/>
  <c r="N14" i="82"/>
  <c r="H14" i="82"/>
  <c r="D14" i="82"/>
  <c r="L14" i="82" s="1"/>
  <c r="B14" i="82"/>
  <c r="T13" i="82"/>
  <c r="P13" i="82"/>
  <c r="X13" i="82" s="1"/>
  <c r="H13" i="82"/>
  <c r="N13" i="82" s="1"/>
  <c r="D13" i="82"/>
  <c r="B13" i="82"/>
  <c r="H12" i="82"/>
  <c r="D6" i="82"/>
  <c r="D4" i="82"/>
  <c r="J101" i="81"/>
  <c r="Z99" i="81"/>
  <c r="X99" i="81"/>
  <c r="N99" i="81"/>
  <c r="L99" i="81"/>
  <c r="Z95" i="81"/>
  <c r="T95" i="81"/>
  <c r="P95" i="81"/>
  <c r="X95" i="81" s="1"/>
  <c r="L95" i="81"/>
  <c r="H95" i="81"/>
  <c r="N95" i="81" s="1"/>
  <c r="D95" i="81"/>
  <c r="B95" i="81"/>
  <c r="V94" i="81"/>
  <c r="T94" i="81"/>
  <c r="P94" i="81"/>
  <c r="X94" i="81" s="1"/>
  <c r="H94" i="81"/>
  <c r="D94" i="81"/>
  <c r="B94" i="81"/>
  <c r="P93" i="81"/>
  <c r="H93" i="81"/>
  <c r="X91" i="81"/>
  <c r="Z91" i="81" s="1"/>
  <c r="L91" i="81"/>
  <c r="N91" i="81" s="1"/>
  <c r="B91" i="81"/>
  <c r="X90" i="81"/>
  <c r="Z90" i="81" s="1"/>
  <c r="T90" i="81"/>
  <c r="P90" i="81"/>
  <c r="H90" i="81"/>
  <c r="D90" i="81"/>
  <c r="B90" i="81"/>
  <c r="Z89" i="81"/>
  <c r="X89" i="81"/>
  <c r="R89" i="81"/>
  <c r="N89" i="81"/>
  <c r="L89" i="81"/>
  <c r="B89" i="81"/>
  <c r="Z88" i="81"/>
  <c r="X88" i="81"/>
  <c r="R88" i="81"/>
  <c r="N88" i="81"/>
  <c r="L88" i="81"/>
  <c r="B88" i="81"/>
  <c r="X87" i="81"/>
  <c r="Z87" i="81" s="1"/>
  <c r="N87" i="81"/>
  <c r="L87" i="81"/>
  <c r="B87" i="81"/>
  <c r="Z86" i="81"/>
  <c r="X86" i="81"/>
  <c r="T86" i="81"/>
  <c r="P86" i="81"/>
  <c r="H86" i="81"/>
  <c r="N86" i="81" s="1"/>
  <c r="D86" i="81"/>
  <c r="B86" i="81"/>
  <c r="Z85" i="81"/>
  <c r="X85" i="81"/>
  <c r="N85" i="81"/>
  <c r="L85" i="81"/>
  <c r="B85" i="81"/>
  <c r="T84" i="81"/>
  <c r="P84" i="81"/>
  <c r="X84" i="81" s="1"/>
  <c r="N84" i="81"/>
  <c r="H84" i="81"/>
  <c r="D84" i="81"/>
  <c r="L84" i="81" s="1"/>
  <c r="B84" i="81"/>
  <c r="X83" i="81"/>
  <c r="Z83" i="81" s="1"/>
  <c r="L83" i="81"/>
  <c r="N83" i="81" s="1"/>
  <c r="J83" i="81"/>
  <c r="B83" i="81"/>
  <c r="T82" i="81"/>
  <c r="P82" i="81"/>
  <c r="X82" i="81" s="1"/>
  <c r="Z82" i="81" s="1"/>
  <c r="H82" i="81"/>
  <c r="D82" i="81"/>
  <c r="B82" i="81"/>
  <c r="Z81" i="81"/>
  <c r="X81" i="81"/>
  <c r="N81" i="81"/>
  <c r="L81" i="81"/>
  <c r="B81" i="81"/>
  <c r="X80" i="81"/>
  <c r="Z80" i="81" s="1"/>
  <c r="N80" i="81"/>
  <c r="L80" i="81"/>
  <c r="B80" i="81"/>
  <c r="X79" i="81"/>
  <c r="Z79" i="81" s="1"/>
  <c r="N79" i="81"/>
  <c r="L79" i="81"/>
  <c r="J79" i="81"/>
  <c r="B79" i="81"/>
  <c r="Z78" i="81"/>
  <c r="X78" i="81"/>
  <c r="N78" i="81"/>
  <c r="L78" i="81"/>
  <c r="B78" i="81"/>
  <c r="Z77" i="81"/>
  <c r="X77" i="81"/>
  <c r="R77" i="81"/>
  <c r="N77" i="81"/>
  <c r="L77" i="81"/>
  <c r="B77" i="81"/>
  <c r="Z76" i="81"/>
  <c r="X76" i="81"/>
  <c r="R76" i="81"/>
  <c r="N76" i="81"/>
  <c r="L76" i="81"/>
  <c r="B76" i="81"/>
  <c r="X75" i="81"/>
  <c r="Z75" i="81" s="1"/>
  <c r="N75" i="81"/>
  <c r="L75" i="81"/>
  <c r="B75" i="81"/>
  <c r="Z74" i="81"/>
  <c r="X74" i="81"/>
  <c r="N74" i="81"/>
  <c r="L74" i="81"/>
  <c r="B74" i="81"/>
  <c r="Z73" i="81"/>
  <c r="X73" i="81"/>
  <c r="N73" i="81"/>
  <c r="L73" i="81"/>
  <c r="B73" i="81"/>
  <c r="T72" i="81"/>
  <c r="Z72" i="81" s="1"/>
  <c r="P72" i="81"/>
  <c r="X72" i="81" s="1"/>
  <c r="N72" i="81"/>
  <c r="L72" i="81"/>
  <c r="H72" i="81"/>
  <c r="D72" i="81"/>
  <c r="B72" i="81"/>
  <c r="Z71" i="81"/>
  <c r="X71" i="81"/>
  <c r="N71" i="81"/>
  <c r="L71" i="81"/>
  <c r="B71" i="81"/>
  <c r="Z70" i="81"/>
  <c r="X70" i="81"/>
  <c r="N70" i="81"/>
  <c r="L70" i="81"/>
  <c r="B70" i="81"/>
  <c r="T69" i="81"/>
  <c r="P69" i="81"/>
  <c r="X69" i="81" s="1"/>
  <c r="Z69" i="81" s="1"/>
  <c r="N69" i="81"/>
  <c r="L69" i="81"/>
  <c r="H69" i="81"/>
  <c r="D69" i="81"/>
  <c r="B69" i="81"/>
  <c r="Z68" i="81"/>
  <c r="X68" i="81"/>
  <c r="V68" i="81"/>
  <c r="N68" i="81"/>
  <c r="L68" i="81"/>
  <c r="B68" i="81"/>
  <c r="X67" i="81"/>
  <c r="Z67" i="81" s="1"/>
  <c r="L67" i="81"/>
  <c r="N67" i="81" s="1"/>
  <c r="B67" i="81"/>
  <c r="X66" i="81"/>
  <c r="Z66" i="81" s="1"/>
  <c r="N66" i="81"/>
  <c r="L66" i="81"/>
  <c r="B66" i="81"/>
  <c r="Z65" i="81"/>
  <c r="X65" i="81"/>
  <c r="R65" i="81"/>
  <c r="N65" i="81"/>
  <c r="L65" i="81"/>
  <c r="B65" i="81"/>
  <c r="X64" i="81"/>
  <c r="Z64" i="81" s="1"/>
  <c r="N64" i="81"/>
  <c r="L64" i="81"/>
  <c r="B64" i="81"/>
  <c r="X63" i="81"/>
  <c r="T63" i="81"/>
  <c r="Z63" i="81" s="1"/>
  <c r="P63" i="81"/>
  <c r="H63" i="81"/>
  <c r="D63" i="81"/>
  <c r="B63" i="81"/>
  <c r="Z62" i="81"/>
  <c r="X62" i="81"/>
  <c r="N62" i="81"/>
  <c r="L62" i="81"/>
  <c r="B62" i="81"/>
  <c r="Z61" i="81"/>
  <c r="X61" i="81"/>
  <c r="L61" i="81"/>
  <c r="N61" i="81" s="1"/>
  <c r="B61" i="81"/>
  <c r="X60" i="81"/>
  <c r="Z60" i="81" s="1"/>
  <c r="V60" i="81"/>
  <c r="N60" i="81"/>
  <c r="L60" i="81"/>
  <c r="B60" i="81"/>
  <c r="Z59" i="81"/>
  <c r="X59" i="81"/>
  <c r="N59" i="81"/>
  <c r="L59" i="81"/>
  <c r="B59" i="81"/>
  <c r="Z58" i="81"/>
  <c r="T58" i="81"/>
  <c r="P58" i="81"/>
  <c r="X58" i="81" s="1"/>
  <c r="J58" i="81"/>
  <c r="H58" i="81"/>
  <c r="N58" i="81" s="1"/>
  <c r="D58" i="81"/>
  <c r="L58" i="81" s="1"/>
  <c r="B58" i="81"/>
  <c r="Z57" i="81"/>
  <c r="X57" i="81"/>
  <c r="N57" i="81"/>
  <c r="L57" i="81"/>
  <c r="F57" i="81"/>
  <c r="B57" i="81"/>
  <c r="T56" i="81"/>
  <c r="Z56" i="81" s="1"/>
  <c r="P56" i="81"/>
  <c r="X56" i="81" s="1"/>
  <c r="N56" i="81"/>
  <c r="L56" i="81"/>
  <c r="H56" i="81"/>
  <c r="F56" i="81"/>
  <c r="D56" i="81"/>
  <c r="B56" i="81"/>
  <c r="X55" i="81"/>
  <c r="Z55" i="81" s="1"/>
  <c r="L55" i="81"/>
  <c r="N55" i="81" s="1"/>
  <c r="B55" i="81"/>
  <c r="X54" i="81"/>
  <c r="Z54" i="81" s="1"/>
  <c r="T54" i="81"/>
  <c r="P54" i="81"/>
  <c r="H54" i="81"/>
  <c r="D54" i="81"/>
  <c r="B54" i="81"/>
  <c r="Z53" i="81"/>
  <c r="X53" i="81"/>
  <c r="N53" i="81"/>
  <c r="L53" i="81"/>
  <c r="B53" i="81"/>
  <c r="V52" i="81"/>
  <c r="T52" i="81"/>
  <c r="P52" i="81"/>
  <c r="N52" i="81"/>
  <c r="H52" i="81"/>
  <c r="D52" i="81"/>
  <c r="L52" i="81" s="1"/>
  <c r="B52" i="81"/>
  <c r="X51" i="81"/>
  <c r="Z51" i="81" s="1"/>
  <c r="N51" i="81"/>
  <c r="L51" i="81"/>
  <c r="B51" i="81"/>
  <c r="T50" i="81"/>
  <c r="P50" i="81"/>
  <c r="X50" i="81" s="1"/>
  <c r="Z50" i="81" s="1"/>
  <c r="J50" i="81"/>
  <c r="H50" i="81"/>
  <c r="N50" i="81" s="1"/>
  <c r="D50" i="81"/>
  <c r="L50" i="81" s="1"/>
  <c r="B50" i="81"/>
  <c r="Z49" i="81"/>
  <c r="X49" i="81"/>
  <c r="N49" i="81"/>
  <c r="L49" i="81"/>
  <c r="B49" i="81"/>
  <c r="T48" i="81"/>
  <c r="P48" i="81"/>
  <c r="X48" i="81" s="1"/>
  <c r="L48" i="81"/>
  <c r="N48" i="81" s="1"/>
  <c r="H48" i="81"/>
  <c r="D48" i="81"/>
  <c r="B48" i="81"/>
  <c r="X47" i="81"/>
  <c r="Z47" i="81" s="1"/>
  <c r="V47" i="81"/>
  <c r="N47" i="81"/>
  <c r="L47" i="81"/>
  <c r="B47" i="81"/>
  <c r="X46" i="81"/>
  <c r="Z46" i="81" s="1"/>
  <c r="T46" i="81"/>
  <c r="P46" i="81"/>
  <c r="H46" i="81"/>
  <c r="D46" i="81"/>
  <c r="B46" i="81"/>
  <c r="Z45" i="81"/>
  <c r="X45" i="81"/>
  <c r="N45" i="81"/>
  <c r="L45" i="81"/>
  <c r="F45" i="81"/>
  <c r="B45" i="81"/>
  <c r="T44" i="81"/>
  <c r="P44" i="81"/>
  <c r="N44" i="81"/>
  <c r="H44" i="81"/>
  <c r="D44" i="81"/>
  <c r="L44" i="81" s="1"/>
  <c r="B44" i="81"/>
  <c r="X43" i="81"/>
  <c r="Z43" i="81" s="1"/>
  <c r="N43" i="81"/>
  <c r="L43" i="81"/>
  <c r="B43" i="81"/>
  <c r="Z42" i="81"/>
  <c r="X42" i="81"/>
  <c r="N42" i="81"/>
  <c r="L42" i="81"/>
  <c r="B42" i="81"/>
  <c r="Z41" i="81"/>
  <c r="X41" i="81"/>
  <c r="R41" i="81"/>
  <c r="N41" i="81"/>
  <c r="L41" i="81"/>
  <c r="F41" i="81"/>
  <c r="B41" i="81"/>
  <c r="T40" i="81"/>
  <c r="P40" i="81"/>
  <c r="H40" i="81"/>
  <c r="F40" i="81"/>
  <c r="D40" i="81"/>
  <c r="L40" i="81" s="1"/>
  <c r="N40" i="81" s="1"/>
  <c r="B40" i="81"/>
  <c r="X39" i="81"/>
  <c r="Z39" i="81" s="1"/>
  <c r="L39" i="81"/>
  <c r="N39" i="81" s="1"/>
  <c r="B39" i="81"/>
  <c r="T38" i="81"/>
  <c r="P38" i="81"/>
  <c r="X38" i="81" s="1"/>
  <c r="Z38" i="81" s="1"/>
  <c r="H38" i="81"/>
  <c r="D38" i="81"/>
  <c r="L38" i="81" s="1"/>
  <c r="B38" i="81"/>
  <c r="Z37" i="81"/>
  <c r="X37" i="81"/>
  <c r="N37" i="81"/>
  <c r="L37" i="81"/>
  <c r="B37" i="81"/>
  <c r="V36" i="81"/>
  <c r="T36" i="81"/>
  <c r="P36" i="81"/>
  <c r="X36" i="81" s="1"/>
  <c r="N36" i="81"/>
  <c r="H36" i="81"/>
  <c r="D36" i="81"/>
  <c r="L36" i="81" s="1"/>
  <c r="B36" i="81"/>
  <c r="Z35" i="81"/>
  <c r="X35" i="81"/>
  <c r="V35" i="81"/>
  <c r="N35" i="81"/>
  <c r="L35" i="81"/>
  <c r="B35" i="81"/>
  <c r="Z34" i="81"/>
  <c r="X34" i="81"/>
  <c r="N34" i="81"/>
  <c r="L34" i="81"/>
  <c r="B34" i="81"/>
  <c r="Z33" i="81"/>
  <c r="X33" i="81"/>
  <c r="R33" i="81"/>
  <c r="N33" i="81"/>
  <c r="L33" i="81"/>
  <c r="B33" i="81"/>
  <c r="X32" i="81"/>
  <c r="Z32" i="81" s="1"/>
  <c r="V32" i="81"/>
  <c r="R32" i="81"/>
  <c r="N32" i="81"/>
  <c r="L32" i="81"/>
  <c r="B32" i="81"/>
  <c r="X31" i="81"/>
  <c r="Z31" i="81" s="1"/>
  <c r="V31" i="81"/>
  <c r="R31" i="81"/>
  <c r="N31" i="81"/>
  <c r="L31" i="81"/>
  <c r="B31" i="81"/>
  <c r="Z30" i="81"/>
  <c r="X30" i="81"/>
  <c r="V30" i="81"/>
  <c r="R30" i="81"/>
  <c r="N30" i="81"/>
  <c r="L30" i="81"/>
  <c r="B30" i="81"/>
  <c r="V29" i="81"/>
  <c r="T29" i="81"/>
  <c r="P29" i="81"/>
  <c r="H29" i="81"/>
  <c r="F29" i="81"/>
  <c r="D29" i="81"/>
  <c r="L29" i="81" s="1"/>
  <c r="N29" i="81" s="1"/>
  <c r="B29" i="81"/>
  <c r="X28" i="81"/>
  <c r="Z28" i="81" s="1"/>
  <c r="V28" i="81"/>
  <c r="N28" i="81"/>
  <c r="L28" i="81"/>
  <c r="J28" i="81"/>
  <c r="F28" i="81"/>
  <c r="B28" i="81"/>
  <c r="X27" i="81"/>
  <c r="Z27" i="81" s="1"/>
  <c r="R27" i="81"/>
  <c r="L27" i="81"/>
  <c r="N27" i="81" s="1"/>
  <c r="J27" i="81"/>
  <c r="B27" i="81"/>
  <c r="X26" i="81"/>
  <c r="Z26" i="81" s="1"/>
  <c r="R26" i="81"/>
  <c r="L26" i="81"/>
  <c r="N26" i="81" s="1"/>
  <c r="F26" i="81"/>
  <c r="B26" i="81"/>
  <c r="X25" i="81"/>
  <c r="Z25" i="81" s="1"/>
  <c r="R25" i="81"/>
  <c r="N25" i="81"/>
  <c r="L25" i="81"/>
  <c r="J25" i="81"/>
  <c r="B25" i="81"/>
  <c r="Z24" i="81"/>
  <c r="X24" i="81"/>
  <c r="V24" i="81"/>
  <c r="L24" i="81"/>
  <c r="N24" i="81" s="1"/>
  <c r="J24" i="81"/>
  <c r="B24" i="81"/>
  <c r="Z23" i="81"/>
  <c r="X23" i="81"/>
  <c r="V23" i="81"/>
  <c r="L23" i="81"/>
  <c r="N23" i="81" s="1"/>
  <c r="J23" i="81"/>
  <c r="B23" i="81"/>
  <c r="Z22" i="81"/>
  <c r="X22" i="81"/>
  <c r="V22" i="81"/>
  <c r="L22" i="81"/>
  <c r="N22" i="81" s="1"/>
  <c r="B22" i="81"/>
  <c r="X21" i="81"/>
  <c r="Z21" i="81" s="1"/>
  <c r="R21" i="81"/>
  <c r="N21" i="81"/>
  <c r="L21" i="81"/>
  <c r="B21" i="81"/>
  <c r="Z20" i="81"/>
  <c r="X20" i="81"/>
  <c r="V20" i="81"/>
  <c r="R20" i="81"/>
  <c r="L20" i="81"/>
  <c r="N20" i="81" s="1"/>
  <c r="B20" i="81"/>
  <c r="X19" i="81"/>
  <c r="V19" i="81"/>
  <c r="T19" i="81"/>
  <c r="P19" i="81"/>
  <c r="H19" i="81"/>
  <c r="F19" i="81"/>
  <c r="D19" i="81"/>
  <c r="B19" i="81"/>
  <c r="V18" i="81"/>
  <c r="T18" i="81"/>
  <c r="R18" i="81"/>
  <c r="P18" i="81"/>
  <c r="X18" i="81" s="1"/>
  <c r="Z18" i="81" s="1"/>
  <c r="H18" i="81"/>
  <c r="F18" i="81"/>
  <c r="D18" i="81"/>
  <c r="L18" i="81" s="1"/>
  <c r="R16" i="81"/>
  <c r="J16" i="81"/>
  <c r="H16" i="81"/>
  <c r="Z14" i="81"/>
  <c r="V14" i="81"/>
  <c r="T14" i="81"/>
  <c r="R14" i="81"/>
  <c r="P14" i="81"/>
  <c r="H14" i="81"/>
  <c r="N14" i="81" s="1"/>
  <c r="F14" i="81"/>
  <c r="D14" i="81"/>
  <c r="L14" i="81" s="1"/>
  <c r="Z12" i="81"/>
  <c r="X12" i="81"/>
  <c r="T12" i="81"/>
  <c r="V56" i="81" s="1"/>
  <c r="P12" i="81"/>
  <c r="R104" i="81" s="1"/>
  <c r="H12" i="81"/>
  <c r="J46" i="81" s="1"/>
  <c r="D12" i="81"/>
  <c r="D6" i="81"/>
  <c r="D4" i="81"/>
  <c r="X78" i="80"/>
  <c r="Z78" i="80" s="1"/>
  <c r="N78" i="80"/>
  <c r="L78" i="80"/>
  <c r="T74" i="80"/>
  <c r="P74" i="80"/>
  <c r="N74" i="80"/>
  <c r="H74" i="80"/>
  <c r="D74" i="80"/>
  <c r="L74" i="80" s="1"/>
  <c r="X72" i="80"/>
  <c r="Z72" i="80" s="1"/>
  <c r="N72" i="80"/>
  <c r="L72" i="80"/>
  <c r="B72" i="80"/>
  <c r="T71" i="80"/>
  <c r="Z71" i="80" s="1"/>
  <c r="P71" i="80"/>
  <c r="X71" i="80" s="1"/>
  <c r="N71" i="80"/>
  <c r="H71" i="80"/>
  <c r="D71" i="80"/>
  <c r="L71" i="80" s="1"/>
  <c r="B71" i="80"/>
  <c r="Z70" i="80"/>
  <c r="X70" i="80"/>
  <c r="N70" i="80"/>
  <c r="L70" i="80"/>
  <c r="B70" i="80"/>
  <c r="T69" i="80"/>
  <c r="P69" i="80"/>
  <c r="X69" i="80" s="1"/>
  <c r="Z69" i="80" s="1"/>
  <c r="N69" i="80"/>
  <c r="L69" i="80"/>
  <c r="H69" i="80"/>
  <c r="D69" i="80"/>
  <c r="B69" i="80"/>
  <c r="Z68" i="80"/>
  <c r="X68" i="80"/>
  <c r="N68" i="80"/>
  <c r="L68" i="80"/>
  <c r="B68" i="80"/>
  <c r="X67" i="80"/>
  <c r="Z67" i="80" s="1"/>
  <c r="T67" i="80"/>
  <c r="P67" i="80"/>
  <c r="H67" i="80"/>
  <c r="D67" i="80"/>
  <c r="B67" i="80"/>
  <c r="X66" i="80"/>
  <c r="Z66" i="80" s="1"/>
  <c r="N66" i="80"/>
  <c r="L66" i="80"/>
  <c r="B66" i="80"/>
  <c r="X65" i="80"/>
  <c r="Z65" i="80" s="1"/>
  <c r="N65" i="80"/>
  <c r="L65" i="80"/>
  <c r="B65" i="80"/>
  <c r="Z64" i="80"/>
  <c r="X64" i="80"/>
  <c r="N64" i="80"/>
  <c r="L64" i="80"/>
  <c r="B64" i="80"/>
  <c r="X63" i="80"/>
  <c r="Z63" i="80" s="1"/>
  <c r="N63" i="80"/>
  <c r="L63" i="80"/>
  <c r="B63" i="80"/>
  <c r="Z62" i="80"/>
  <c r="X62" i="80"/>
  <c r="N62" i="80"/>
  <c r="L62" i="80"/>
  <c r="B62" i="80"/>
  <c r="Z61" i="80"/>
  <c r="X61" i="80"/>
  <c r="N61" i="80"/>
  <c r="L61" i="80"/>
  <c r="B61" i="80"/>
  <c r="T60" i="80"/>
  <c r="Z60" i="80" s="1"/>
  <c r="P60" i="80"/>
  <c r="X60" i="80" s="1"/>
  <c r="N60" i="80"/>
  <c r="L60" i="80"/>
  <c r="H60" i="80"/>
  <c r="D60" i="80"/>
  <c r="B60" i="80"/>
  <c r="X59" i="80"/>
  <c r="Z59" i="80" s="1"/>
  <c r="N59" i="80"/>
  <c r="L59" i="80"/>
  <c r="B59" i="80"/>
  <c r="X58" i="80"/>
  <c r="Z58" i="80" s="1"/>
  <c r="N58" i="80"/>
  <c r="L58" i="80"/>
  <c r="B58" i="80"/>
  <c r="Z57" i="80"/>
  <c r="T57" i="80"/>
  <c r="P57" i="80"/>
  <c r="X57" i="80" s="1"/>
  <c r="N57" i="80"/>
  <c r="L57" i="80"/>
  <c r="H57" i="80"/>
  <c r="D57" i="80"/>
  <c r="B57" i="80"/>
  <c r="Z56" i="80"/>
  <c r="X56" i="80"/>
  <c r="N56" i="80"/>
  <c r="L56" i="80"/>
  <c r="B56" i="80"/>
  <c r="X55" i="80"/>
  <c r="Z55" i="80" s="1"/>
  <c r="L55" i="80"/>
  <c r="N55" i="80" s="1"/>
  <c r="B55" i="80"/>
  <c r="Z54" i="80"/>
  <c r="X54" i="80"/>
  <c r="N54" i="80"/>
  <c r="L54" i="80"/>
  <c r="B54" i="80"/>
  <c r="Z53" i="80"/>
  <c r="T53" i="80"/>
  <c r="P53" i="80"/>
  <c r="X53" i="80" s="1"/>
  <c r="L53" i="80"/>
  <c r="N53" i="80" s="1"/>
  <c r="H53" i="80"/>
  <c r="D53" i="80"/>
  <c r="B53" i="80"/>
  <c r="Z52" i="80"/>
  <c r="X52" i="80"/>
  <c r="N52" i="80"/>
  <c r="L52" i="80"/>
  <c r="B52" i="80"/>
  <c r="X51" i="80"/>
  <c r="Z51" i="80" s="1"/>
  <c r="T51" i="80"/>
  <c r="P51" i="80"/>
  <c r="H51" i="80"/>
  <c r="D51" i="80"/>
  <c r="B51" i="80"/>
  <c r="X50" i="80"/>
  <c r="Z50" i="80" s="1"/>
  <c r="N50" i="80"/>
  <c r="L50" i="80"/>
  <c r="B50" i="80"/>
  <c r="T49" i="80"/>
  <c r="P49" i="80"/>
  <c r="H49" i="80"/>
  <c r="D49" i="80"/>
  <c r="L49" i="80" s="1"/>
  <c r="B49" i="80"/>
  <c r="X48" i="80"/>
  <c r="Z48" i="80" s="1"/>
  <c r="N48" i="80"/>
  <c r="L48" i="80"/>
  <c r="B48" i="80"/>
  <c r="T47" i="80"/>
  <c r="P47" i="80"/>
  <c r="X47" i="80" s="1"/>
  <c r="N47" i="80"/>
  <c r="H47" i="80"/>
  <c r="D47" i="80"/>
  <c r="L47" i="80" s="1"/>
  <c r="B47" i="80"/>
  <c r="Z46" i="80"/>
  <c r="X46" i="80"/>
  <c r="L46" i="80"/>
  <c r="N46" i="80" s="1"/>
  <c r="B46" i="80"/>
  <c r="T45" i="80"/>
  <c r="P45" i="80"/>
  <c r="X45" i="80" s="1"/>
  <c r="Z45" i="80" s="1"/>
  <c r="L45" i="80"/>
  <c r="N45" i="80" s="1"/>
  <c r="H45" i="80"/>
  <c r="D45" i="80"/>
  <c r="B45" i="80"/>
  <c r="Z44" i="80"/>
  <c r="X44" i="80"/>
  <c r="N44" i="80"/>
  <c r="L44" i="80"/>
  <c r="B44" i="80"/>
  <c r="X43" i="80"/>
  <c r="Z43" i="80" s="1"/>
  <c r="T43" i="80"/>
  <c r="P43" i="80"/>
  <c r="H43" i="80"/>
  <c r="D43" i="80"/>
  <c r="B43" i="80"/>
  <c r="X42" i="80"/>
  <c r="Z42" i="80" s="1"/>
  <c r="N42" i="80"/>
  <c r="L42" i="80"/>
  <c r="B42" i="80"/>
  <c r="T41" i="80"/>
  <c r="P41" i="80"/>
  <c r="H41" i="80"/>
  <c r="N41" i="80" s="1"/>
  <c r="D41" i="80"/>
  <c r="L41" i="80" s="1"/>
  <c r="B41" i="80"/>
  <c r="Z40" i="80"/>
  <c r="X40" i="80"/>
  <c r="N40" i="80"/>
  <c r="L40" i="80"/>
  <c r="B40" i="80"/>
  <c r="T39" i="80"/>
  <c r="Z39" i="80" s="1"/>
  <c r="P39" i="80"/>
  <c r="X39" i="80" s="1"/>
  <c r="N39" i="80"/>
  <c r="H39" i="80"/>
  <c r="D39" i="80"/>
  <c r="L39" i="80" s="1"/>
  <c r="B39" i="80"/>
  <c r="X38" i="80"/>
  <c r="Z38" i="80" s="1"/>
  <c r="N38" i="80"/>
  <c r="L38" i="80"/>
  <c r="B38" i="80"/>
  <c r="Z37" i="80"/>
  <c r="X37" i="80"/>
  <c r="N37" i="80"/>
  <c r="L37" i="80"/>
  <c r="B37" i="80"/>
  <c r="Z36" i="80"/>
  <c r="X36" i="80"/>
  <c r="N36" i="80"/>
  <c r="L36" i="80"/>
  <c r="B36" i="80"/>
  <c r="X35" i="80"/>
  <c r="Z35" i="80" s="1"/>
  <c r="N35" i="80"/>
  <c r="L35" i="80"/>
  <c r="B35" i="80"/>
  <c r="Z34" i="80"/>
  <c r="X34" i="80"/>
  <c r="N34" i="80"/>
  <c r="L34" i="80"/>
  <c r="B34" i="80"/>
  <c r="X33" i="80"/>
  <c r="Z33" i="80" s="1"/>
  <c r="N33" i="80"/>
  <c r="L33" i="80"/>
  <c r="B33" i="80"/>
  <c r="T32" i="80"/>
  <c r="P32" i="80"/>
  <c r="N32" i="80"/>
  <c r="H32" i="80"/>
  <c r="D32" i="80"/>
  <c r="L32" i="80" s="1"/>
  <c r="B32" i="80"/>
  <c r="X31" i="80"/>
  <c r="Z31" i="80" s="1"/>
  <c r="N31" i="80"/>
  <c r="L31" i="80"/>
  <c r="B31" i="80"/>
  <c r="Z30" i="80"/>
  <c r="X30" i="80"/>
  <c r="N30" i="80"/>
  <c r="L30" i="80"/>
  <c r="B30" i="80"/>
  <c r="X29" i="80"/>
  <c r="Z29" i="80" s="1"/>
  <c r="N29" i="80"/>
  <c r="L29" i="80"/>
  <c r="B29" i="80"/>
  <c r="Z28" i="80"/>
  <c r="X28" i="80"/>
  <c r="N28" i="80"/>
  <c r="L28" i="80"/>
  <c r="B28" i="80"/>
  <c r="Z27" i="80"/>
  <c r="X27" i="80"/>
  <c r="L27" i="80"/>
  <c r="N27" i="80" s="1"/>
  <c r="B27" i="80"/>
  <c r="Z26" i="80"/>
  <c r="X26" i="80"/>
  <c r="N26" i="80"/>
  <c r="L26" i="80"/>
  <c r="B26" i="80"/>
  <c r="Z25" i="80"/>
  <c r="X25" i="80"/>
  <c r="N25" i="80"/>
  <c r="L25" i="80"/>
  <c r="B25" i="80"/>
  <c r="Z24" i="80"/>
  <c r="X24" i="80"/>
  <c r="N24" i="80"/>
  <c r="L24" i="80"/>
  <c r="B24" i="80"/>
  <c r="T23" i="80"/>
  <c r="Z23" i="80" s="1"/>
  <c r="P23" i="80"/>
  <c r="X23" i="80" s="1"/>
  <c r="N23" i="80"/>
  <c r="H23" i="80"/>
  <c r="D23" i="80"/>
  <c r="L23" i="80" s="1"/>
  <c r="B23" i="80"/>
  <c r="Z22" i="80"/>
  <c r="X22" i="80"/>
  <c r="T22" i="80"/>
  <c r="P22" i="80"/>
  <c r="H22" i="80"/>
  <c r="D22" i="80"/>
  <c r="X18" i="80"/>
  <c r="Z18" i="80" s="1"/>
  <c r="L18" i="80"/>
  <c r="N18" i="80" s="1"/>
  <c r="B18" i="80"/>
  <c r="Z17" i="80"/>
  <c r="X17" i="80"/>
  <c r="N17" i="80"/>
  <c r="L17" i="80"/>
  <c r="B17" i="80"/>
  <c r="T16" i="80"/>
  <c r="P16" i="80"/>
  <c r="N16" i="80"/>
  <c r="L16" i="80"/>
  <c r="H16" i="80"/>
  <c r="D16" i="80"/>
  <c r="T14" i="80"/>
  <c r="P14" i="80"/>
  <c r="H14" i="80"/>
  <c r="N14" i="80" s="1"/>
  <c r="D14" i="80"/>
  <c r="L14" i="80" s="1"/>
  <c r="B14" i="80"/>
  <c r="X13" i="80"/>
  <c r="T13" i="80"/>
  <c r="P13" i="80"/>
  <c r="H13" i="80"/>
  <c r="N13" i="80" s="1"/>
  <c r="D13" i="80"/>
  <c r="L13" i="80" s="1"/>
  <c r="B13" i="80"/>
  <c r="D6" i="80"/>
  <c r="D4" i="80"/>
  <c r="X85" i="79"/>
  <c r="Z85" i="79" s="1"/>
  <c r="N85" i="79"/>
  <c r="L85" i="79"/>
  <c r="V81" i="79"/>
  <c r="T81" i="79"/>
  <c r="Z81" i="79" s="1"/>
  <c r="P81" i="79"/>
  <c r="H81" i="79"/>
  <c r="N81" i="79" s="1"/>
  <c r="D81" i="79"/>
  <c r="L81" i="79" s="1"/>
  <c r="X79" i="79"/>
  <c r="Z79" i="79" s="1"/>
  <c r="N79" i="79"/>
  <c r="L79" i="79"/>
  <c r="B79" i="79"/>
  <c r="T78" i="79"/>
  <c r="P78" i="79"/>
  <c r="X78" i="79" s="1"/>
  <c r="H78" i="79"/>
  <c r="D78" i="79"/>
  <c r="L78" i="79" s="1"/>
  <c r="N78" i="79" s="1"/>
  <c r="B78" i="79"/>
  <c r="X77" i="79"/>
  <c r="Z77" i="79" s="1"/>
  <c r="N77" i="79"/>
  <c r="L77" i="79"/>
  <c r="B77" i="79"/>
  <c r="Z76" i="79"/>
  <c r="T76" i="79"/>
  <c r="P76" i="79"/>
  <c r="X76" i="79" s="1"/>
  <c r="N76" i="79"/>
  <c r="L76" i="79"/>
  <c r="H76" i="79"/>
  <c r="D76" i="79"/>
  <c r="B76" i="79"/>
  <c r="Z75" i="79"/>
  <c r="X75" i="79"/>
  <c r="L75" i="79"/>
  <c r="N75" i="79" s="1"/>
  <c r="B75" i="79"/>
  <c r="X74" i="79"/>
  <c r="Z74" i="79" s="1"/>
  <c r="T74" i="79"/>
  <c r="P74" i="79"/>
  <c r="H74" i="79"/>
  <c r="D74" i="79"/>
  <c r="B74" i="79"/>
  <c r="X73" i="79"/>
  <c r="Z73" i="79" s="1"/>
  <c r="N73" i="79"/>
  <c r="L73" i="79"/>
  <c r="B73" i="79"/>
  <c r="Z72" i="79"/>
  <c r="X72" i="79"/>
  <c r="N72" i="79"/>
  <c r="L72" i="79"/>
  <c r="B72" i="79"/>
  <c r="Z71" i="79"/>
  <c r="X71" i="79"/>
  <c r="N71" i="79"/>
  <c r="L71" i="79"/>
  <c r="B71" i="79"/>
  <c r="X70" i="79"/>
  <c r="Z70" i="79" s="1"/>
  <c r="V70" i="79"/>
  <c r="N70" i="79"/>
  <c r="L70" i="79"/>
  <c r="B70" i="79"/>
  <c r="X69" i="79"/>
  <c r="Z69" i="79" s="1"/>
  <c r="N69" i="79"/>
  <c r="L69" i="79"/>
  <c r="B69" i="79"/>
  <c r="Z68" i="79"/>
  <c r="X68" i="79"/>
  <c r="N68" i="79"/>
  <c r="L68" i="79"/>
  <c r="B68" i="79"/>
  <c r="X67" i="79"/>
  <c r="Z67" i="79" s="1"/>
  <c r="N67" i="79"/>
  <c r="L67" i="79"/>
  <c r="B67" i="79"/>
  <c r="T66" i="79"/>
  <c r="Z66" i="79" s="1"/>
  <c r="P66" i="79"/>
  <c r="X66" i="79" s="1"/>
  <c r="N66" i="79"/>
  <c r="H66" i="79"/>
  <c r="D66" i="79"/>
  <c r="L66" i="79" s="1"/>
  <c r="B66" i="79"/>
  <c r="Z65" i="79"/>
  <c r="X65" i="79"/>
  <c r="N65" i="79"/>
  <c r="L65" i="79"/>
  <c r="B65" i="79"/>
  <c r="Z64" i="79"/>
  <c r="X64" i="79"/>
  <c r="N64" i="79"/>
  <c r="L64" i="79"/>
  <c r="B64" i="79"/>
  <c r="T63" i="79"/>
  <c r="P63" i="79"/>
  <c r="X63" i="79" s="1"/>
  <c r="N63" i="79"/>
  <c r="L63" i="79"/>
  <c r="H63" i="79"/>
  <c r="D63" i="79"/>
  <c r="B63" i="79"/>
  <c r="X62" i="79"/>
  <c r="Z62" i="79" s="1"/>
  <c r="N62" i="79"/>
  <c r="L62" i="79"/>
  <c r="B62" i="79"/>
  <c r="X61" i="79"/>
  <c r="Z61" i="79" s="1"/>
  <c r="L61" i="79"/>
  <c r="N61" i="79" s="1"/>
  <c r="B61" i="79"/>
  <c r="Z60" i="79"/>
  <c r="X60" i="79"/>
  <c r="N60" i="79"/>
  <c r="L60" i="79"/>
  <c r="B60" i="79"/>
  <c r="T59" i="79"/>
  <c r="P59" i="79"/>
  <c r="X59" i="79" s="1"/>
  <c r="L59" i="79"/>
  <c r="N59" i="79" s="1"/>
  <c r="H59" i="79"/>
  <c r="D59" i="79"/>
  <c r="B59" i="79"/>
  <c r="X58" i="79"/>
  <c r="Z58" i="79" s="1"/>
  <c r="N58" i="79"/>
  <c r="L58" i="79"/>
  <c r="B58" i="79"/>
  <c r="Z57" i="79"/>
  <c r="X57" i="79"/>
  <c r="T57" i="79"/>
  <c r="P57" i="79"/>
  <c r="H57" i="79"/>
  <c r="D57" i="79"/>
  <c r="B57" i="79"/>
  <c r="Z56" i="79"/>
  <c r="X56" i="79"/>
  <c r="N56" i="79"/>
  <c r="L56" i="79"/>
  <c r="B56" i="79"/>
  <c r="Z55" i="79"/>
  <c r="X55" i="79"/>
  <c r="V55" i="79"/>
  <c r="L55" i="79"/>
  <c r="N55" i="79" s="1"/>
  <c r="B55" i="79"/>
  <c r="X54" i="79"/>
  <c r="Z54" i="79" s="1"/>
  <c r="T54" i="79"/>
  <c r="P54" i="79"/>
  <c r="H54" i="79"/>
  <c r="D54" i="79"/>
  <c r="B54" i="79"/>
  <c r="X53" i="79"/>
  <c r="Z53" i="79" s="1"/>
  <c r="N53" i="79"/>
  <c r="L53" i="79"/>
  <c r="B53" i="79"/>
  <c r="T52" i="79"/>
  <c r="P52" i="79"/>
  <c r="H52" i="79"/>
  <c r="N52" i="79" s="1"/>
  <c r="D52" i="79"/>
  <c r="L52" i="79" s="1"/>
  <c r="B52" i="79"/>
  <c r="X51" i="79"/>
  <c r="Z51" i="79" s="1"/>
  <c r="N51" i="79"/>
  <c r="L51" i="79"/>
  <c r="B51" i="79"/>
  <c r="T50" i="79"/>
  <c r="P50" i="79"/>
  <c r="X50" i="79" s="1"/>
  <c r="N50" i="79"/>
  <c r="H50" i="79"/>
  <c r="D50" i="79"/>
  <c r="L50" i="79" s="1"/>
  <c r="B50" i="79"/>
  <c r="X49" i="79"/>
  <c r="Z49" i="79" s="1"/>
  <c r="N49" i="79"/>
  <c r="L49" i="79"/>
  <c r="B49" i="79"/>
  <c r="Z48" i="79"/>
  <c r="T48" i="79"/>
  <c r="P48" i="79"/>
  <c r="X48" i="79" s="1"/>
  <c r="N48" i="79"/>
  <c r="L48" i="79"/>
  <c r="H48" i="79"/>
  <c r="D48" i="79"/>
  <c r="B48" i="79"/>
  <c r="Z47" i="79"/>
  <c r="X47" i="79"/>
  <c r="N47" i="79"/>
  <c r="L47" i="79"/>
  <c r="B47" i="79"/>
  <c r="X46" i="79"/>
  <c r="Z46" i="79" s="1"/>
  <c r="V46" i="79"/>
  <c r="T46" i="79"/>
  <c r="P46" i="79"/>
  <c r="H46" i="79"/>
  <c r="D46" i="79"/>
  <c r="B46" i="79"/>
  <c r="X45" i="79"/>
  <c r="Z45" i="79" s="1"/>
  <c r="N45" i="79"/>
  <c r="L45" i="79"/>
  <c r="B45" i="79"/>
  <c r="Z44" i="79"/>
  <c r="X44" i="79"/>
  <c r="N44" i="79"/>
  <c r="L44" i="79"/>
  <c r="B44" i="79"/>
  <c r="T43" i="79"/>
  <c r="P43" i="79"/>
  <c r="H43" i="79"/>
  <c r="D43" i="79"/>
  <c r="L43" i="79" s="1"/>
  <c r="N43" i="79" s="1"/>
  <c r="B43" i="79"/>
  <c r="X42" i="79"/>
  <c r="Z42" i="79" s="1"/>
  <c r="N42" i="79"/>
  <c r="L42" i="79"/>
  <c r="B42" i="79"/>
  <c r="T41" i="79"/>
  <c r="P41" i="79"/>
  <c r="X41" i="79" s="1"/>
  <c r="Z41" i="79" s="1"/>
  <c r="H41" i="79"/>
  <c r="N41" i="79" s="1"/>
  <c r="D41" i="79"/>
  <c r="L41" i="79" s="1"/>
  <c r="B41" i="79"/>
  <c r="Z40" i="79"/>
  <c r="X40" i="79"/>
  <c r="N40" i="79"/>
  <c r="L40" i="79"/>
  <c r="B40" i="79"/>
  <c r="T39" i="79"/>
  <c r="Z39" i="79" s="1"/>
  <c r="P39" i="79"/>
  <c r="X39" i="79" s="1"/>
  <c r="N39" i="79"/>
  <c r="L39" i="79"/>
  <c r="H39" i="79"/>
  <c r="D39" i="79"/>
  <c r="B39" i="79"/>
  <c r="X38" i="79"/>
  <c r="Z38" i="79" s="1"/>
  <c r="N38" i="79"/>
  <c r="L38" i="79"/>
  <c r="B38" i="79"/>
  <c r="Z37" i="79"/>
  <c r="X37" i="79"/>
  <c r="T37" i="79"/>
  <c r="P37" i="79"/>
  <c r="H37" i="79"/>
  <c r="N37" i="79" s="1"/>
  <c r="D37" i="79"/>
  <c r="L37" i="79" s="1"/>
  <c r="B37" i="79"/>
  <c r="Z36" i="79"/>
  <c r="X36" i="79"/>
  <c r="N36" i="79"/>
  <c r="L36" i="79"/>
  <c r="B36" i="79"/>
  <c r="Z35" i="79"/>
  <c r="X35" i="79"/>
  <c r="N35" i="79"/>
  <c r="L35" i="79"/>
  <c r="B35" i="79"/>
  <c r="X34" i="79"/>
  <c r="Z34" i="79" s="1"/>
  <c r="V34" i="79"/>
  <c r="N34" i="79"/>
  <c r="L34" i="79"/>
  <c r="B34" i="79"/>
  <c r="X33" i="79"/>
  <c r="Z33" i="79" s="1"/>
  <c r="N33" i="79"/>
  <c r="L33" i="79"/>
  <c r="B33" i="79"/>
  <c r="T32" i="79"/>
  <c r="P32" i="79"/>
  <c r="X32" i="79" s="1"/>
  <c r="Z32" i="79" s="1"/>
  <c r="N32" i="79"/>
  <c r="L32" i="79"/>
  <c r="H32" i="79"/>
  <c r="D32" i="79"/>
  <c r="B32" i="79"/>
  <c r="Z31" i="79"/>
  <c r="X31" i="79"/>
  <c r="N31" i="79"/>
  <c r="L31" i="79"/>
  <c r="B31" i="79"/>
  <c r="X30" i="79"/>
  <c r="Z30" i="79" s="1"/>
  <c r="N30" i="79"/>
  <c r="L30" i="79"/>
  <c r="B30" i="79"/>
  <c r="X29" i="79"/>
  <c r="Z29" i="79" s="1"/>
  <c r="N29" i="79"/>
  <c r="L29" i="79"/>
  <c r="B29" i="79"/>
  <c r="Z28" i="79"/>
  <c r="X28" i="79"/>
  <c r="N28" i="79"/>
  <c r="L28" i="79"/>
  <c r="B28" i="79"/>
  <c r="Z27" i="79"/>
  <c r="X27" i="79"/>
  <c r="N27" i="79"/>
  <c r="L27" i="79"/>
  <c r="B27" i="79"/>
  <c r="X26" i="79"/>
  <c r="Z26" i="79" s="1"/>
  <c r="N26" i="79"/>
  <c r="L26" i="79"/>
  <c r="B26" i="79"/>
  <c r="X25" i="79"/>
  <c r="Z25" i="79" s="1"/>
  <c r="N25" i="79"/>
  <c r="L25" i="79"/>
  <c r="B25" i="79"/>
  <c r="Z24" i="79"/>
  <c r="X24" i="79"/>
  <c r="N24" i="79"/>
  <c r="L24" i="79"/>
  <c r="B24" i="79"/>
  <c r="T23" i="79"/>
  <c r="P23" i="79"/>
  <c r="H23" i="79"/>
  <c r="D23" i="79"/>
  <c r="L23" i="79" s="1"/>
  <c r="N23" i="79" s="1"/>
  <c r="B23" i="79"/>
  <c r="T22" i="79"/>
  <c r="P22" i="79"/>
  <c r="X22" i="79" s="1"/>
  <c r="N22" i="79"/>
  <c r="H22" i="79"/>
  <c r="D22" i="79"/>
  <c r="L22" i="79" s="1"/>
  <c r="X18" i="79"/>
  <c r="Z18" i="79" s="1"/>
  <c r="L18" i="79"/>
  <c r="N18" i="79" s="1"/>
  <c r="B18" i="79"/>
  <c r="Z17" i="79"/>
  <c r="X17" i="79"/>
  <c r="V17" i="79"/>
  <c r="N17" i="79"/>
  <c r="L17" i="79"/>
  <c r="B17" i="79"/>
  <c r="T16" i="79"/>
  <c r="P16" i="79"/>
  <c r="L16" i="79"/>
  <c r="H16" i="79"/>
  <c r="D16" i="79"/>
  <c r="T14" i="79"/>
  <c r="P14" i="79"/>
  <c r="N14" i="79"/>
  <c r="L14" i="79"/>
  <c r="H14" i="79"/>
  <c r="D14" i="79"/>
  <c r="B14" i="79"/>
  <c r="T13" i="79"/>
  <c r="P13" i="79"/>
  <c r="N13" i="79"/>
  <c r="H13" i="79"/>
  <c r="D13" i="79"/>
  <c r="B13" i="79"/>
  <c r="T12" i="79"/>
  <c r="V62" i="79" s="1"/>
  <c r="H12" i="79"/>
  <c r="D6" i="79"/>
  <c r="D4" i="79"/>
  <c r="J38" i="78"/>
  <c r="J35" i="78"/>
  <c r="X33" i="78"/>
  <c r="Z33" i="78" s="1"/>
  <c r="N33" i="78"/>
  <c r="L33" i="78"/>
  <c r="J31" i="78"/>
  <c r="X29" i="78"/>
  <c r="T29" i="78"/>
  <c r="Z29" i="78" s="1"/>
  <c r="P29" i="78"/>
  <c r="L29" i="78"/>
  <c r="H29" i="78"/>
  <c r="N29" i="78" s="1"/>
  <c r="D29" i="78"/>
  <c r="Z27" i="78"/>
  <c r="X27" i="78"/>
  <c r="N27" i="78"/>
  <c r="L27" i="78"/>
  <c r="B27" i="78"/>
  <c r="X26" i="78"/>
  <c r="Z26" i="78" s="1"/>
  <c r="T26" i="78"/>
  <c r="P26" i="78"/>
  <c r="L26" i="78"/>
  <c r="H26" i="78"/>
  <c r="N26" i="78" s="1"/>
  <c r="D26" i="78"/>
  <c r="B26" i="78"/>
  <c r="Z25" i="78"/>
  <c r="X25" i="78"/>
  <c r="N25" i="78"/>
  <c r="L25" i="78"/>
  <c r="B25" i="78"/>
  <c r="X24" i="78"/>
  <c r="T24" i="78"/>
  <c r="Z24" i="78" s="1"/>
  <c r="P24" i="78"/>
  <c r="H24" i="78"/>
  <c r="N24" i="78" s="1"/>
  <c r="D24" i="78"/>
  <c r="B24" i="78"/>
  <c r="X23" i="78"/>
  <c r="Z23" i="78" s="1"/>
  <c r="N23" i="78"/>
  <c r="L23" i="78"/>
  <c r="B23" i="78"/>
  <c r="T22" i="78"/>
  <c r="P22" i="78"/>
  <c r="N22" i="78"/>
  <c r="J22" i="78"/>
  <c r="H22" i="78"/>
  <c r="D22" i="78"/>
  <c r="L22" i="78" s="1"/>
  <c r="B22" i="78"/>
  <c r="X21" i="78"/>
  <c r="T21" i="78"/>
  <c r="Z21" i="78" s="1"/>
  <c r="P21" i="78"/>
  <c r="N21" i="78"/>
  <c r="H21" i="78"/>
  <c r="D21" i="78"/>
  <c r="X17" i="78"/>
  <c r="Z17" i="78" s="1"/>
  <c r="N17" i="78"/>
  <c r="L17" i="78"/>
  <c r="J17" i="78"/>
  <c r="B17" i="78"/>
  <c r="Z16" i="78"/>
  <c r="X16" i="78"/>
  <c r="N16" i="78"/>
  <c r="L16" i="78"/>
  <c r="B16" i="78"/>
  <c r="X15" i="78"/>
  <c r="T15" i="78"/>
  <c r="Z15" i="78" s="1"/>
  <c r="P15" i="78"/>
  <c r="L15" i="78"/>
  <c r="H15" i="78"/>
  <c r="N15" i="78" s="1"/>
  <c r="D15" i="78"/>
  <c r="T13" i="78"/>
  <c r="P13" i="78"/>
  <c r="L13" i="78"/>
  <c r="H13" i="78"/>
  <c r="N13" i="78" s="1"/>
  <c r="D13" i="78"/>
  <c r="B13" i="78"/>
  <c r="T12" i="78"/>
  <c r="N12" i="78"/>
  <c r="H12" i="78"/>
  <c r="J29" i="78" s="1"/>
  <c r="D12" i="78"/>
  <c r="F33" i="78" s="1"/>
  <c r="D6" i="78"/>
  <c r="D4" i="78"/>
  <c r="Z144" i="77"/>
  <c r="X144" i="77"/>
  <c r="L144" i="77"/>
  <c r="N144" i="77" s="1"/>
  <c r="X140" i="77"/>
  <c r="T140" i="77"/>
  <c r="Z140" i="77" s="1"/>
  <c r="P140" i="77"/>
  <c r="H140" i="77"/>
  <c r="N140" i="77" s="1"/>
  <c r="D140" i="77"/>
  <c r="L140" i="77" s="1"/>
  <c r="Z138" i="77"/>
  <c r="X138" i="77"/>
  <c r="L138" i="77"/>
  <c r="N138" i="77" s="1"/>
  <c r="B138" i="77"/>
  <c r="X137" i="77"/>
  <c r="T137" i="77"/>
  <c r="Z137" i="77" s="1"/>
  <c r="P137" i="77"/>
  <c r="L137" i="77"/>
  <c r="H137" i="77"/>
  <c r="D137" i="77"/>
  <c r="B137" i="77"/>
  <c r="X136" i="77"/>
  <c r="Z136" i="77" s="1"/>
  <c r="N136" i="77"/>
  <c r="L136" i="77"/>
  <c r="B136" i="77"/>
  <c r="X135" i="77"/>
  <c r="T135" i="77"/>
  <c r="P135" i="77"/>
  <c r="N135" i="77"/>
  <c r="H135" i="77"/>
  <c r="D135" i="77"/>
  <c r="L135" i="77" s="1"/>
  <c r="B135" i="77"/>
  <c r="X134" i="77"/>
  <c r="Z134" i="77" s="1"/>
  <c r="N134" i="77"/>
  <c r="L134" i="77"/>
  <c r="B134" i="77"/>
  <c r="Z133" i="77"/>
  <c r="T133" i="77"/>
  <c r="P133" i="77"/>
  <c r="X133" i="77" s="1"/>
  <c r="N133" i="77"/>
  <c r="H133" i="77"/>
  <c r="D133" i="77"/>
  <c r="L133" i="77" s="1"/>
  <c r="B133" i="77"/>
  <c r="Z132" i="77"/>
  <c r="X132" i="77"/>
  <c r="L132" i="77"/>
  <c r="N132" i="77" s="1"/>
  <c r="B132" i="77"/>
  <c r="T131" i="77"/>
  <c r="P131" i="77"/>
  <c r="X131" i="77" s="1"/>
  <c r="Z131" i="77" s="1"/>
  <c r="L131" i="77"/>
  <c r="H131" i="77"/>
  <c r="N131" i="77" s="1"/>
  <c r="D131" i="77"/>
  <c r="B131" i="77"/>
  <c r="Z130" i="77"/>
  <c r="X130" i="77"/>
  <c r="N130" i="77"/>
  <c r="L130" i="77"/>
  <c r="B130" i="77"/>
  <c r="X129" i="77"/>
  <c r="Z129" i="77" s="1"/>
  <c r="N129" i="77"/>
  <c r="L129" i="77"/>
  <c r="B129" i="77"/>
  <c r="Z128" i="77"/>
  <c r="X128" i="77"/>
  <c r="L128" i="77"/>
  <c r="N128" i="77" s="1"/>
  <c r="B128" i="77"/>
  <c r="X127" i="77"/>
  <c r="Z127" i="77" s="1"/>
  <c r="N127" i="77"/>
  <c r="L127" i="77"/>
  <c r="B127" i="77"/>
  <c r="Z126" i="77"/>
  <c r="X126" i="77"/>
  <c r="N126" i="77"/>
  <c r="L126" i="77"/>
  <c r="B126" i="77"/>
  <c r="Z125" i="77"/>
  <c r="X125" i="77"/>
  <c r="N125" i="77"/>
  <c r="L125" i="77"/>
  <c r="B125" i="77"/>
  <c r="T124" i="77"/>
  <c r="P124" i="77"/>
  <c r="X124" i="77" s="1"/>
  <c r="Z124" i="77" s="1"/>
  <c r="L124" i="77"/>
  <c r="H124" i="77"/>
  <c r="N124" i="77" s="1"/>
  <c r="D124" i="77"/>
  <c r="B124" i="77"/>
  <c r="X123" i="77"/>
  <c r="Z123" i="77" s="1"/>
  <c r="N123" i="77"/>
  <c r="L123" i="77"/>
  <c r="B123" i="77"/>
  <c r="X122" i="77"/>
  <c r="Z122" i="77" s="1"/>
  <c r="N122" i="77"/>
  <c r="L122" i="77"/>
  <c r="B122" i="77"/>
  <c r="T121" i="77"/>
  <c r="P121" i="77"/>
  <c r="N121" i="77"/>
  <c r="H121" i="77"/>
  <c r="D121" i="77"/>
  <c r="L121" i="77" s="1"/>
  <c r="B121" i="77"/>
  <c r="Z120" i="77"/>
  <c r="X120" i="77"/>
  <c r="L120" i="77"/>
  <c r="N120" i="77" s="1"/>
  <c r="B120" i="77"/>
  <c r="X119" i="77"/>
  <c r="Z119" i="77" s="1"/>
  <c r="L119" i="77"/>
  <c r="N119" i="77" s="1"/>
  <c r="B119" i="77"/>
  <c r="X118" i="77"/>
  <c r="Z118" i="77" s="1"/>
  <c r="N118" i="77"/>
  <c r="L118" i="77"/>
  <c r="B118" i="77"/>
  <c r="T117" i="77"/>
  <c r="P117" i="77"/>
  <c r="H117" i="77"/>
  <c r="D117" i="77"/>
  <c r="L117" i="77" s="1"/>
  <c r="N117" i="77" s="1"/>
  <c r="B117" i="77"/>
  <c r="Z116" i="77"/>
  <c r="X116" i="77"/>
  <c r="N116" i="77"/>
  <c r="L116" i="77"/>
  <c r="B116" i="77"/>
  <c r="Z115" i="77"/>
  <c r="X115" i="77"/>
  <c r="L115" i="77"/>
  <c r="N115" i="77" s="1"/>
  <c r="B115" i="77"/>
  <c r="Z114" i="77"/>
  <c r="X114" i="77"/>
  <c r="N114" i="77"/>
  <c r="L114" i="77"/>
  <c r="B114" i="77"/>
  <c r="T113" i="77"/>
  <c r="P113" i="77"/>
  <c r="H113" i="77"/>
  <c r="D113" i="77"/>
  <c r="L113" i="77" s="1"/>
  <c r="N113" i="77" s="1"/>
  <c r="B113" i="77"/>
  <c r="Z112" i="77"/>
  <c r="X112" i="77"/>
  <c r="L112" i="77"/>
  <c r="N112" i="77" s="1"/>
  <c r="B112" i="77"/>
  <c r="T111" i="77"/>
  <c r="P111" i="77"/>
  <c r="X111" i="77" s="1"/>
  <c r="Z111" i="77" s="1"/>
  <c r="L111" i="77"/>
  <c r="H111" i="77"/>
  <c r="N111" i="77" s="1"/>
  <c r="D111" i="77"/>
  <c r="B111" i="77"/>
  <c r="Z110" i="77"/>
  <c r="X110" i="77"/>
  <c r="L110" i="77"/>
  <c r="N110" i="77" s="1"/>
  <c r="B110" i="77"/>
  <c r="X109" i="77"/>
  <c r="T109" i="77"/>
  <c r="Z109" i="77" s="1"/>
  <c r="P109" i="77"/>
  <c r="L109" i="77"/>
  <c r="H109" i="77"/>
  <c r="D109" i="77"/>
  <c r="B109" i="77"/>
  <c r="X108" i="77"/>
  <c r="Z108" i="77" s="1"/>
  <c r="N108" i="77"/>
  <c r="L108" i="77"/>
  <c r="B108" i="77"/>
  <c r="X107" i="77"/>
  <c r="Z107" i="77" s="1"/>
  <c r="L107" i="77"/>
  <c r="N107" i="77" s="1"/>
  <c r="B107" i="77"/>
  <c r="Z106" i="77"/>
  <c r="X106" i="77"/>
  <c r="L106" i="77"/>
  <c r="N106" i="77" s="1"/>
  <c r="B106" i="77"/>
  <c r="X105" i="77"/>
  <c r="Z105" i="77" s="1"/>
  <c r="N105" i="77"/>
  <c r="L105" i="77"/>
  <c r="B105" i="77"/>
  <c r="Z104" i="77"/>
  <c r="X104" i="77"/>
  <c r="L104" i="77"/>
  <c r="N104" i="77" s="1"/>
  <c r="B104" i="77"/>
  <c r="X103" i="77"/>
  <c r="Z103" i="77" s="1"/>
  <c r="L103" i="77"/>
  <c r="N103" i="77" s="1"/>
  <c r="B103" i="77"/>
  <c r="X102" i="77"/>
  <c r="Z102" i="77" s="1"/>
  <c r="N102" i="77"/>
  <c r="L102" i="77"/>
  <c r="B102" i="77"/>
  <c r="Z101" i="77"/>
  <c r="X101" i="77"/>
  <c r="L101" i="77"/>
  <c r="N101" i="77" s="1"/>
  <c r="B101" i="77"/>
  <c r="Z100" i="77"/>
  <c r="X100" i="77"/>
  <c r="N100" i="77"/>
  <c r="L100" i="77"/>
  <c r="B100" i="77"/>
  <c r="X99" i="77"/>
  <c r="Z99" i="77" s="1"/>
  <c r="L99" i="77"/>
  <c r="N99" i="77" s="1"/>
  <c r="B99" i="77"/>
  <c r="Z98" i="77"/>
  <c r="X98" i="77"/>
  <c r="L98" i="77"/>
  <c r="N98" i="77" s="1"/>
  <c r="B98" i="77"/>
  <c r="X97" i="77"/>
  <c r="Z97" i="77" s="1"/>
  <c r="N97" i="77"/>
  <c r="L97" i="77"/>
  <c r="B97" i="77"/>
  <c r="Z96" i="77"/>
  <c r="X96" i="77"/>
  <c r="N96" i="77"/>
  <c r="L96" i="77"/>
  <c r="B96" i="77"/>
  <c r="T95" i="77"/>
  <c r="P95" i="77"/>
  <c r="X95" i="77" s="1"/>
  <c r="Z95" i="77" s="1"/>
  <c r="L95" i="77"/>
  <c r="H95" i="77"/>
  <c r="N95" i="77" s="1"/>
  <c r="D95" i="77"/>
  <c r="B95" i="77"/>
  <c r="Z94" i="77"/>
  <c r="X94" i="77"/>
  <c r="L94" i="77"/>
  <c r="N94" i="77" s="1"/>
  <c r="B94" i="77"/>
  <c r="X93" i="77"/>
  <c r="T93" i="77"/>
  <c r="Z93" i="77" s="1"/>
  <c r="P93" i="77"/>
  <c r="L93" i="77"/>
  <c r="H93" i="77"/>
  <c r="N93" i="77" s="1"/>
  <c r="D93" i="77"/>
  <c r="B93" i="77"/>
  <c r="Z92" i="77"/>
  <c r="X92" i="77"/>
  <c r="N92" i="77"/>
  <c r="L92" i="77"/>
  <c r="B92" i="77"/>
  <c r="X91" i="77"/>
  <c r="T91" i="77"/>
  <c r="P91" i="77"/>
  <c r="N91" i="77"/>
  <c r="H91" i="77"/>
  <c r="D91" i="77"/>
  <c r="B91" i="77"/>
  <c r="X90" i="77"/>
  <c r="Z90" i="77" s="1"/>
  <c r="N90" i="77"/>
  <c r="L90" i="77"/>
  <c r="B90" i="77"/>
  <c r="T89" i="77"/>
  <c r="P89" i="77"/>
  <c r="H89" i="77"/>
  <c r="N89" i="77" s="1"/>
  <c r="D89" i="77"/>
  <c r="L89" i="77" s="1"/>
  <c r="B89" i="77"/>
  <c r="Z88" i="77"/>
  <c r="X88" i="77"/>
  <c r="N88" i="77"/>
  <c r="L88" i="77"/>
  <c r="B88" i="77"/>
  <c r="X87" i="77"/>
  <c r="Z87" i="77" s="1"/>
  <c r="N87" i="77"/>
  <c r="L87" i="77"/>
  <c r="B87" i="77"/>
  <c r="X86" i="77"/>
  <c r="Z86" i="77" s="1"/>
  <c r="T86" i="77"/>
  <c r="P86" i="77"/>
  <c r="H86" i="77"/>
  <c r="D86" i="77"/>
  <c r="B86" i="77"/>
  <c r="X85" i="77"/>
  <c r="Z85" i="77" s="1"/>
  <c r="N85" i="77"/>
  <c r="L85" i="77"/>
  <c r="B85" i="77"/>
  <c r="T84" i="77"/>
  <c r="P84" i="77"/>
  <c r="H84" i="77"/>
  <c r="D84" i="77"/>
  <c r="L84" i="77" s="1"/>
  <c r="N84" i="77" s="1"/>
  <c r="B84" i="77"/>
  <c r="X83" i="77"/>
  <c r="Z83" i="77" s="1"/>
  <c r="N83" i="77"/>
  <c r="L83" i="77"/>
  <c r="B83" i="77"/>
  <c r="Z82" i="77"/>
  <c r="T82" i="77"/>
  <c r="P82" i="77"/>
  <c r="X82" i="77" s="1"/>
  <c r="H82" i="77"/>
  <c r="N82" i="77" s="1"/>
  <c r="D82" i="77"/>
  <c r="L82" i="77" s="1"/>
  <c r="B82" i="77"/>
  <c r="Z81" i="77"/>
  <c r="X81" i="77"/>
  <c r="N81" i="77"/>
  <c r="L81" i="77"/>
  <c r="B81" i="77"/>
  <c r="T80" i="77"/>
  <c r="Z80" i="77" s="1"/>
  <c r="P80" i="77"/>
  <c r="X80" i="77" s="1"/>
  <c r="N80" i="77"/>
  <c r="L80" i="77"/>
  <c r="H80" i="77"/>
  <c r="D80" i="77"/>
  <c r="B80" i="77"/>
  <c r="Z79" i="77"/>
  <c r="X79" i="77"/>
  <c r="N79" i="77"/>
  <c r="L79" i="77"/>
  <c r="B79" i="77"/>
  <c r="X78" i="77"/>
  <c r="Z78" i="77" s="1"/>
  <c r="N78" i="77"/>
  <c r="L78" i="77"/>
  <c r="B78" i="77"/>
  <c r="Z77" i="77"/>
  <c r="X77" i="77"/>
  <c r="N77" i="77"/>
  <c r="L77" i="77"/>
  <c r="B77" i="77"/>
  <c r="X76" i="77"/>
  <c r="Z76" i="77" s="1"/>
  <c r="N76" i="77"/>
  <c r="L76" i="77"/>
  <c r="B76" i="77"/>
  <c r="Z75" i="77"/>
  <c r="X75" i="77"/>
  <c r="N75" i="77"/>
  <c r="L75" i="77"/>
  <c r="B75" i="77"/>
  <c r="Z74" i="77"/>
  <c r="X74" i="77"/>
  <c r="L74" i="77"/>
  <c r="N74" i="77" s="1"/>
  <c r="B74" i="77"/>
  <c r="X73" i="77"/>
  <c r="T73" i="77"/>
  <c r="Z73" i="77" s="1"/>
  <c r="P73" i="77"/>
  <c r="L73" i="77"/>
  <c r="H73" i="77"/>
  <c r="N73" i="77" s="1"/>
  <c r="D73" i="77"/>
  <c r="B73" i="77"/>
  <c r="X72" i="77"/>
  <c r="Z72" i="77" s="1"/>
  <c r="N72" i="77"/>
  <c r="L72" i="77"/>
  <c r="B72" i="77"/>
  <c r="X71" i="77"/>
  <c r="Z71" i="77" s="1"/>
  <c r="L71" i="77"/>
  <c r="N71" i="77" s="1"/>
  <c r="B71" i="77"/>
  <c r="Z70" i="77"/>
  <c r="X70" i="77"/>
  <c r="L70" i="77"/>
  <c r="N70" i="77" s="1"/>
  <c r="B70" i="77"/>
  <c r="X69" i="77"/>
  <c r="Z69" i="77" s="1"/>
  <c r="N69" i="77"/>
  <c r="L69" i="77"/>
  <c r="B69" i="77"/>
  <c r="Z68" i="77"/>
  <c r="X68" i="77"/>
  <c r="L68" i="77"/>
  <c r="N68" i="77" s="1"/>
  <c r="B68" i="77"/>
  <c r="X67" i="77"/>
  <c r="Z67" i="77" s="1"/>
  <c r="L67" i="77"/>
  <c r="N67" i="77" s="1"/>
  <c r="B67" i="77"/>
  <c r="X66" i="77"/>
  <c r="Z66" i="77" s="1"/>
  <c r="N66" i="77"/>
  <c r="L66" i="77"/>
  <c r="B66" i="77"/>
  <c r="Z65" i="77"/>
  <c r="X65" i="77"/>
  <c r="L65" i="77"/>
  <c r="N65" i="77" s="1"/>
  <c r="B65" i="77"/>
  <c r="T64" i="77"/>
  <c r="P64" i="77"/>
  <c r="X64" i="77" s="1"/>
  <c r="L64" i="77"/>
  <c r="N64" i="77" s="1"/>
  <c r="H64" i="77"/>
  <c r="D64" i="77"/>
  <c r="B64" i="77"/>
  <c r="T63" i="77"/>
  <c r="P63" i="77"/>
  <c r="X63" i="77" s="1"/>
  <c r="L63" i="77"/>
  <c r="H63" i="77"/>
  <c r="N63" i="77" s="1"/>
  <c r="D63" i="77"/>
  <c r="X59" i="77"/>
  <c r="Z59" i="77" s="1"/>
  <c r="N59" i="77"/>
  <c r="L59" i="77"/>
  <c r="B59" i="77"/>
  <c r="X58" i="77"/>
  <c r="Z58" i="77" s="1"/>
  <c r="N58" i="77"/>
  <c r="L58" i="77"/>
  <c r="B58" i="77"/>
  <c r="Z57" i="77"/>
  <c r="X57" i="77"/>
  <c r="L57" i="77"/>
  <c r="N57" i="77" s="1"/>
  <c r="B57" i="77"/>
  <c r="Z56" i="77"/>
  <c r="X56" i="77"/>
  <c r="N56" i="77"/>
  <c r="L56" i="77"/>
  <c r="B56" i="77"/>
  <c r="X55" i="77"/>
  <c r="Z55" i="77" s="1"/>
  <c r="N55" i="77"/>
  <c r="L55" i="77"/>
  <c r="B55" i="77"/>
  <c r="Z54" i="77"/>
  <c r="X54" i="77"/>
  <c r="N54" i="77"/>
  <c r="L54" i="77"/>
  <c r="B54" i="77"/>
  <c r="X53" i="77"/>
  <c r="Z53" i="77" s="1"/>
  <c r="N53" i="77"/>
  <c r="L53" i="77"/>
  <c r="B53" i="77"/>
  <c r="Z52" i="77"/>
  <c r="X52" i="77"/>
  <c r="N52" i="77"/>
  <c r="L52" i="77"/>
  <c r="B52" i="77"/>
  <c r="X51" i="77"/>
  <c r="Z51" i="77" s="1"/>
  <c r="L51" i="77"/>
  <c r="N51" i="77" s="1"/>
  <c r="B51" i="77"/>
  <c r="X50" i="77"/>
  <c r="Z50" i="77" s="1"/>
  <c r="N50" i="77"/>
  <c r="L50" i="77"/>
  <c r="B50" i="77"/>
  <c r="Z49" i="77"/>
  <c r="X49" i="77"/>
  <c r="L49" i="77"/>
  <c r="N49" i="77" s="1"/>
  <c r="B49" i="77"/>
  <c r="Z48" i="77"/>
  <c r="X48" i="77"/>
  <c r="N48" i="77"/>
  <c r="L48" i="77"/>
  <c r="B48" i="77"/>
  <c r="X47" i="77"/>
  <c r="Z47" i="77" s="1"/>
  <c r="L47" i="77"/>
  <c r="N47" i="77" s="1"/>
  <c r="B47" i="77"/>
  <c r="Z46" i="77"/>
  <c r="X46" i="77"/>
  <c r="N46" i="77"/>
  <c r="L46" i="77"/>
  <c r="B46" i="77"/>
  <c r="Z45" i="77"/>
  <c r="X45" i="77"/>
  <c r="N45" i="77"/>
  <c r="L45" i="77"/>
  <c r="B45" i="77"/>
  <c r="Z44" i="77"/>
  <c r="X44" i="77"/>
  <c r="N44" i="77"/>
  <c r="L44" i="77"/>
  <c r="B44" i="77"/>
  <c r="X43" i="77"/>
  <c r="Z43" i="77" s="1"/>
  <c r="N43" i="77"/>
  <c r="L43" i="77"/>
  <c r="B43" i="77"/>
  <c r="X42" i="77"/>
  <c r="Z42" i="77" s="1"/>
  <c r="N42" i="77"/>
  <c r="L42" i="77"/>
  <c r="B42" i="77"/>
  <c r="Z41" i="77"/>
  <c r="X41" i="77"/>
  <c r="N41" i="77"/>
  <c r="L41" i="77"/>
  <c r="B41" i="77"/>
  <c r="T40" i="77"/>
  <c r="P40" i="77"/>
  <c r="X40" i="77" s="1"/>
  <c r="Z40" i="77" s="1"/>
  <c r="L40" i="77"/>
  <c r="N40" i="77" s="1"/>
  <c r="H40" i="77"/>
  <c r="D40" i="77"/>
  <c r="T38" i="77"/>
  <c r="P38" i="77"/>
  <c r="X38" i="77" s="1"/>
  <c r="Z38" i="77" s="1"/>
  <c r="H38" i="77"/>
  <c r="N38" i="77" s="1"/>
  <c r="D38" i="77"/>
  <c r="B38" i="77"/>
  <c r="T37" i="77"/>
  <c r="P37" i="77"/>
  <c r="L37" i="77"/>
  <c r="H37" i="77"/>
  <c r="N37" i="77" s="1"/>
  <c r="D37" i="77"/>
  <c r="B37" i="77"/>
  <c r="X36" i="77"/>
  <c r="T36" i="77"/>
  <c r="P36" i="77"/>
  <c r="N36" i="77"/>
  <c r="H36" i="77"/>
  <c r="D36" i="77"/>
  <c r="L36" i="77" s="1"/>
  <c r="B36" i="77"/>
  <c r="Z35" i="77"/>
  <c r="T35" i="77"/>
  <c r="P35" i="77"/>
  <c r="X35" i="77" s="1"/>
  <c r="L35" i="77"/>
  <c r="H35" i="77"/>
  <c r="N35" i="77" s="1"/>
  <c r="D35" i="77"/>
  <c r="B35" i="77"/>
  <c r="T34" i="77"/>
  <c r="P34" i="77"/>
  <c r="X34" i="77" s="1"/>
  <c r="N34" i="77"/>
  <c r="H34" i="77"/>
  <c r="D34" i="77"/>
  <c r="L34" i="77" s="1"/>
  <c r="B34" i="77"/>
  <c r="X33" i="77"/>
  <c r="T33" i="77"/>
  <c r="Z33" i="77" s="1"/>
  <c r="P33" i="77"/>
  <c r="H33" i="77"/>
  <c r="N33" i="77" s="1"/>
  <c r="D33" i="77"/>
  <c r="B33" i="77"/>
  <c r="Z32" i="77"/>
  <c r="T32" i="77"/>
  <c r="P32" i="77"/>
  <c r="X32" i="77" s="1"/>
  <c r="L32" i="77"/>
  <c r="H32" i="77"/>
  <c r="N32" i="77" s="1"/>
  <c r="D32" i="77"/>
  <c r="B32" i="77"/>
  <c r="X31" i="77"/>
  <c r="T31" i="77"/>
  <c r="Z31" i="77" s="1"/>
  <c r="P31" i="77"/>
  <c r="N31" i="77"/>
  <c r="H31" i="77"/>
  <c r="D31" i="77"/>
  <c r="L31" i="77" s="1"/>
  <c r="B31" i="77"/>
  <c r="Z30" i="77"/>
  <c r="T30" i="77"/>
  <c r="P30" i="77"/>
  <c r="X30" i="77" s="1"/>
  <c r="H30" i="77"/>
  <c r="N30" i="77" s="1"/>
  <c r="D30" i="77"/>
  <c r="B30" i="77"/>
  <c r="T29" i="77"/>
  <c r="P29" i="77"/>
  <c r="X29" i="77" s="1"/>
  <c r="L29" i="77"/>
  <c r="H29" i="77"/>
  <c r="N29" i="77" s="1"/>
  <c r="D29" i="77"/>
  <c r="B29" i="77"/>
  <c r="X28" i="77"/>
  <c r="T28" i="77"/>
  <c r="Z28" i="77" s="1"/>
  <c r="P28" i="77"/>
  <c r="N28" i="77"/>
  <c r="H28" i="77"/>
  <c r="D28" i="77"/>
  <c r="L28" i="77" s="1"/>
  <c r="B28" i="77"/>
  <c r="T27" i="77"/>
  <c r="P27" i="77"/>
  <c r="X27" i="77" s="1"/>
  <c r="Z27" i="77" s="1"/>
  <c r="L27" i="77"/>
  <c r="H27" i="77"/>
  <c r="N27" i="77" s="1"/>
  <c r="D27" i="77"/>
  <c r="B27" i="77"/>
  <c r="T26" i="77"/>
  <c r="Z26" i="77" s="1"/>
  <c r="P26" i="77"/>
  <c r="N26" i="77"/>
  <c r="H26" i="77"/>
  <c r="D26" i="77"/>
  <c r="L26" i="77" s="1"/>
  <c r="B26" i="77"/>
  <c r="X25" i="77"/>
  <c r="T25" i="77"/>
  <c r="P25" i="77"/>
  <c r="H25" i="77"/>
  <c r="N25" i="77" s="1"/>
  <c r="D25" i="77"/>
  <c r="B25" i="77"/>
  <c r="T24" i="77"/>
  <c r="P24" i="77"/>
  <c r="X24" i="77" s="1"/>
  <c r="Z24" i="77" s="1"/>
  <c r="L24" i="77"/>
  <c r="H24" i="77"/>
  <c r="N24" i="77" s="1"/>
  <c r="D24" i="77"/>
  <c r="B24" i="77"/>
  <c r="X23" i="77"/>
  <c r="T23" i="77"/>
  <c r="Z23" i="77" s="1"/>
  <c r="P23" i="77"/>
  <c r="N23" i="77"/>
  <c r="H23" i="77"/>
  <c r="D23" i="77"/>
  <c r="L23" i="77" s="1"/>
  <c r="B23" i="77"/>
  <c r="T22" i="77"/>
  <c r="P22" i="77"/>
  <c r="X22" i="77" s="1"/>
  <c r="Z22" i="77" s="1"/>
  <c r="H22" i="77"/>
  <c r="N22" i="77" s="1"/>
  <c r="D22" i="77"/>
  <c r="L22" i="77" s="1"/>
  <c r="B22" i="77"/>
  <c r="T21" i="77"/>
  <c r="P21" i="77"/>
  <c r="X21" i="77" s="1"/>
  <c r="L21" i="77"/>
  <c r="H21" i="77"/>
  <c r="N21" i="77" s="1"/>
  <c r="D21" i="77"/>
  <c r="B21" i="77"/>
  <c r="X20" i="77"/>
  <c r="T20" i="77"/>
  <c r="P20" i="77"/>
  <c r="N20" i="77"/>
  <c r="H20" i="77"/>
  <c r="D20" i="77"/>
  <c r="L20" i="77" s="1"/>
  <c r="B20" i="77"/>
  <c r="T19" i="77"/>
  <c r="P19" i="77"/>
  <c r="X19" i="77" s="1"/>
  <c r="Z19" i="77" s="1"/>
  <c r="L19" i="77"/>
  <c r="H19" i="77"/>
  <c r="N19" i="77" s="1"/>
  <c r="D19" i="77"/>
  <c r="B19" i="77"/>
  <c r="T18" i="77"/>
  <c r="P18" i="77"/>
  <c r="N18" i="77"/>
  <c r="H18" i="77"/>
  <c r="D18" i="77"/>
  <c r="L18" i="77" s="1"/>
  <c r="B18" i="77"/>
  <c r="X17" i="77"/>
  <c r="T17" i="77"/>
  <c r="Z17" i="77" s="1"/>
  <c r="P17" i="77"/>
  <c r="H17" i="77"/>
  <c r="D17" i="77"/>
  <c r="B17" i="77"/>
  <c r="T16" i="77"/>
  <c r="P16" i="77"/>
  <c r="X16" i="77" s="1"/>
  <c r="Z16" i="77" s="1"/>
  <c r="N16" i="77"/>
  <c r="L16" i="77"/>
  <c r="H16" i="77"/>
  <c r="D16" i="77"/>
  <c r="B16" i="77"/>
  <c r="X15" i="77"/>
  <c r="T15" i="77"/>
  <c r="Z15" i="77" s="1"/>
  <c r="P15" i="77"/>
  <c r="N15" i="77"/>
  <c r="H15" i="77"/>
  <c r="D15" i="77"/>
  <c r="L15" i="77" s="1"/>
  <c r="B15" i="77"/>
  <c r="T14" i="77"/>
  <c r="P14" i="77"/>
  <c r="X14" i="77" s="1"/>
  <c r="Z14" i="77" s="1"/>
  <c r="H14" i="77"/>
  <c r="D14" i="77"/>
  <c r="B14" i="77"/>
  <c r="T13" i="77"/>
  <c r="P13" i="77"/>
  <c r="L13" i="77"/>
  <c r="H13" i="77"/>
  <c r="N13" i="77" s="1"/>
  <c r="D13" i="77"/>
  <c r="B13" i="77"/>
  <c r="D6" i="77"/>
  <c r="D4" i="77"/>
  <c r="Z85" i="76"/>
  <c r="X85" i="76"/>
  <c r="N85" i="76"/>
  <c r="L85" i="76"/>
  <c r="F85" i="76"/>
  <c r="F83" i="76"/>
  <c r="T81" i="76"/>
  <c r="P81" i="76"/>
  <c r="N81" i="76"/>
  <c r="H81" i="76"/>
  <c r="D81" i="76"/>
  <c r="L81" i="76" s="1"/>
  <c r="Z79" i="76"/>
  <c r="X79" i="76"/>
  <c r="V79" i="76"/>
  <c r="N79" i="76"/>
  <c r="L79" i="76"/>
  <c r="B79" i="76"/>
  <c r="X78" i="76"/>
  <c r="T78" i="76"/>
  <c r="P78" i="76"/>
  <c r="N78" i="76"/>
  <c r="H78" i="76"/>
  <c r="D78" i="76"/>
  <c r="L78" i="76" s="1"/>
  <c r="B78" i="76"/>
  <c r="X77" i="76"/>
  <c r="Z77" i="76" s="1"/>
  <c r="N77" i="76"/>
  <c r="L77" i="76"/>
  <c r="B77" i="76"/>
  <c r="Z76" i="76"/>
  <c r="T76" i="76"/>
  <c r="P76" i="76"/>
  <c r="X76" i="76" s="1"/>
  <c r="H76" i="76"/>
  <c r="N76" i="76" s="1"/>
  <c r="D76" i="76"/>
  <c r="L76" i="76" s="1"/>
  <c r="B76" i="76"/>
  <c r="Z75" i="76"/>
  <c r="X75" i="76"/>
  <c r="N75" i="76"/>
  <c r="L75" i="76"/>
  <c r="B75" i="76"/>
  <c r="T74" i="76"/>
  <c r="P74" i="76"/>
  <c r="X74" i="76" s="1"/>
  <c r="L74" i="76"/>
  <c r="H74" i="76"/>
  <c r="N74" i="76" s="1"/>
  <c r="D74" i="76"/>
  <c r="B74" i="76"/>
  <c r="Z73" i="76"/>
  <c r="X73" i="76"/>
  <c r="N73" i="76"/>
  <c r="L73" i="76"/>
  <c r="B73" i="76"/>
  <c r="X72" i="76"/>
  <c r="Z72" i="76" s="1"/>
  <c r="N72" i="76"/>
  <c r="L72" i="76"/>
  <c r="B72" i="76"/>
  <c r="Z71" i="76"/>
  <c r="X71" i="76"/>
  <c r="N71" i="76"/>
  <c r="L71" i="76"/>
  <c r="B71" i="76"/>
  <c r="X70" i="76"/>
  <c r="Z70" i="76" s="1"/>
  <c r="V70" i="76"/>
  <c r="N70" i="76"/>
  <c r="L70" i="76"/>
  <c r="B70" i="76"/>
  <c r="X69" i="76"/>
  <c r="Z69" i="76" s="1"/>
  <c r="N69" i="76"/>
  <c r="L69" i="76"/>
  <c r="B69" i="76"/>
  <c r="Z68" i="76"/>
  <c r="T68" i="76"/>
  <c r="P68" i="76"/>
  <c r="X68" i="76" s="1"/>
  <c r="H68" i="76"/>
  <c r="N68" i="76" s="1"/>
  <c r="D68" i="76"/>
  <c r="L68" i="76" s="1"/>
  <c r="B68" i="76"/>
  <c r="Z67" i="76"/>
  <c r="X67" i="76"/>
  <c r="N67" i="76"/>
  <c r="L67" i="76"/>
  <c r="B67" i="76"/>
  <c r="T66" i="76"/>
  <c r="P66" i="76"/>
  <c r="X66" i="76" s="1"/>
  <c r="L66" i="76"/>
  <c r="H66" i="76"/>
  <c r="N66" i="76" s="1"/>
  <c r="D66" i="76"/>
  <c r="B66" i="76"/>
  <c r="Z65" i="76"/>
  <c r="X65" i="76"/>
  <c r="N65" i="76"/>
  <c r="L65" i="76"/>
  <c r="B65" i="76"/>
  <c r="X64" i="76"/>
  <c r="Z64" i="76" s="1"/>
  <c r="N64" i="76"/>
  <c r="L64" i="76"/>
  <c r="B64" i="76"/>
  <c r="Z63" i="76"/>
  <c r="X63" i="76"/>
  <c r="N63" i="76"/>
  <c r="L63" i="76"/>
  <c r="B63" i="76"/>
  <c r="X62" i="76"/>
  <c r="Z62" i="76" s="1"/>
  <c r="L62" i="76"/>
  <c r="N62" i="76" s="1"/>
  <c r="B62" i="76"/>
  <c r="X61" i="76"/>
  <c r="Z61" i="76" s="1"/>
  <c r="T61" i="76"/>
  <c r="P61" i="76"/>
  <c r="N61" i="76"/>
  <c r="H61" i="76"/>
  <c r="L61" i="76" s="1"/>
  <c r="D61" i="76"/>
  <c r="B61" i="76"/>
  <c r="X60" i="76"/>
  <c r="Z60" i="76" s="1"/>
  <c r="N60" i="76"/>
  <c r="L60" i="76"/>
  <c r="B60" i="76"/>
  <c r="Z59" i="76"/>
  <c r="X59" i="76"/>
  <c r="N59" i="76"/>
  <c r="L59" i="76"/>
  <c r="B59" i="76"/>
  <c r="X58" i="76"/>
  <c r="Z58" i="76" s="1"/>
  <c r="N58" i="76"/>
  <c r="L58" i="76"/>
  <c r="B58" i="76"/>
  <c r="X57" i="76"/>
  <c r="Z57" i="76" s="1"/>
  <c r="T57" i="76"/>
  <c r="P57" i="76"/>
  <c r="N57" i="76"/>
  <c r="H57" i="76"/>
  <c r="L57" i="76" s="1"/>
  <c r="D57" i="76"/>
  <c r="B57" i="76"/>
  <c r="X56" i="76"/>
  <c r="Z56" i="76" s="1"/>
  <c r="N56" i="76"/>
  <c r="L56" i="76"/>
  <c r="B56" i="76"/>
  <c r="Z55" i="76"/>
  <c r="T55" i="76"/>
  <c r="X55" i="76" s="1"/>
  <c r="P55" i="76"/>
  <c r="N55" i="76"/>
  <c r="H55" i="76"/>
  <c r="D55" i="76"/>
  <c r="L55" i="76" s="1"/>
  <c r="B55" i="76"/>
  <c r="X54" i="76"/>
  <c r="Z54" i="76" s="1"/>
  <c r="N54" i="76"/>
  <c r="L54" i="76"/>
  <c r="B54" i="76"/>
  <c r="T53" i="76"/>
  <c r="P53" i="76"/>
  <c r="X53" i="76" s="1"/>
  <c r="Z53" i="76" s="1"/>
  <c r="H53" i="76"/>
  <c r="D53" i="76"/>
  <c r="L53" i="76" s="1"/>
  <c r="B53" i="76"/>
  <c r="Z52" i="76"/>
  <c r="X52" i="76"/>
  <c r="N52" i="76"/>
  <c r="L52" i="76"/>
  <c r="B52" i="76"/>
  <c r="T51" i="76"/>
  <c r="P51" i="76"/>
  <c r="X51" i="76" s="1"/>
  <c r="N51" i="76"/>
  <c r="L51" i="76"/>
  <c r="H51" i="76"/>
  <c r="D51" i="76"/>
  <c r="B51" i="76"/>
  <c r="Z50" i="76"/>
  <c r="X50" i="76"/>
  <c r="L50" i="76"/>
  <c r="N50" i="76" s="1"/>
  <c r="B50" i="76"/>
  <c r="X49" i="76"/>
  <c r="T49" i="76"/>
  <c r="P49" i="76"/>
  <c r="H49" i="76"/>
  <c r="D49" i="76"/>
  <c r="B49" i="76"/>
  <c r="X48" i="76"/>
  <c r="Z48" i="76" s="1"/>
  <c r="N48" i="76"/>
  <c r="L48" i="76"/>
  <c r="B48" i="76"/>
  <c r="Z47" i="76"/>
  <c r="T47" i="76"/>
  <c r="X47" i="76" s="1"/>
  <c r="P47" i="76"/>
  <c r="N47" i="76"/>
  <c r="H47" i="76"/>
  <c r="D47" i="76"/>
  <c r="L47" i="76" s="1"/>
  <c r="B47" i="76"/>
  <c r="X46" i="76"/>
  <c r="Z46" i="76" s="1"/>
  <c r="N46" i="76"/>
  <c r="L46" i="76"/>
  <c r="B46" i="76"/>
  <c r="Z45" i="76"/>
  <c r="X45" i="76"/>
  <c r="V45" i="76"/>
  <c r="L45" i="76"/>
  <c r="N45" i="76" s="1"/>
  <c r="B45" i="76"/>
  <c r="X44" i="76"/>
  <c r="Z44" i="76" s="1"/>
  <c r="T44" i="76"/>
  <c r="P44" i="76"/>
  <c r="H44" i="76"/>
  <c r="D44" i="76"/>
  <c r="B44" i="76"/>
  <c r="X43" i="76"/>
  <c r="Z43" i="76" s="1"/>
  <c r="N43" i="76"/>
  <c r="L43" i="76"/>
  <c r="B43" i="76"/>
  <c r="T42" i="76"/>
  <c r="P42" i="76"/>
  <c r="H42" i="76"/>
  <c r="N42" i="76" s="1"/>
  <c r="D42" i="76"/>
  <c r="B42" i="76"/>
  <c r="X41" i="76"/>
  <c r="Z41" i="76" s="1"/>
  <c r="N41" i="76"/>
  <c r="L41" i="76"/>
  <c r="B41" i="76"/>
  <c r="T40" i="76"/>
  <c r="P40" i="76"/>
  <c r="N40" i="76"/>
  <c r="H40" i="76"/>
  <c r="D40" i="76"/>
  <c r="L40" i="76" s="1"/>
  <c r="B40" i="76"/>
  <c r="Z39" i="76"/>
  <c r="X39" i="76"/>
  <c r="N39" i="76"/>
  <c r="L39" i="76"/>
  <c r="B39" i="76"/>
  <c r="T38" i="76"/>
  <c r="P38" i="76"/>
  <c r="X38" i="76" s="1"/>
  <c r="Z38" i="76" s="1"/>
  <c r="N38" i="76"/>
  <c r="H38" i="76"/>
  <c r="L38" i="76" s="1"/>
  <c r="D38" i="76"/>
  <c r="B38" i="76"/>
  <c r="X37" i="76"/>
  <c r="Z37" i="76" s="1"/>
  <c r="N37" i="76"/>
  <c r="L37" i="76"/>
  <c r="B37" i="76"/>
  <c r="Z36" i="76"/>
  <c r="X36" i="76"/>
  <c r="N36" i="76"/>
  <c r="L36" i="76"/>
  <c r="B36" i="76"/>
  <c r="X35" i="76"/>
  <c r="Z35" i="76" s="1"/>
  <c r="N35" i="76"/>
  <c r="L35" i="76"/>
  <c r="F35" i="76"/>
  <c r="B35" i="76"/>
  <c r="Z34" i="76"/>
  <c r="X34" i="76"/>
  <c r="N34" i="76"/>
  <c r="L34" i="76"/>
  <c r="B34" i="76"/>
  <c r="Z33" i="76"/>
  <c r="X33" i="76"/>
  <c r="V33" i="76"/>
  <c r="L33" i="76"/>
  <c r="N33" i="76" s="1"/>
  <c r="B33" i="76"/>
  <c r="X32" i="76"/>
  <c r="T32" i="76"/>
  <c r="P32" i="76"/>
  <c r="H32" i="76"/>
  <c r="D32" i="76"/>
  <c r="B32" i="76"/>
  <c r="X31" i="76"/>
  <c r="Z31" i="76" s="1"/>
  <c r="N31" i="76"/>
  <c r="L31" i="76"/>
  <c r="F31" i="76"/>
  <c r="B31" i="76"/>
  <c r="Z30" i="76"/>
  <c r="X30" i="76"/>
  <c r="L30" i="76"/>
  <c r="N30" i="76" s="1"/>
  <c r="B30" i="76"/>
  <c r="Z29" i="76"/>
  <c r="X29" i="76"/>
  <c r="L29" i="76"/>
  <c r="N29" i="76" s="1"/>
  <c r="B29" i="76"/>
  <c r="X28" i="76"/>
  <c r="Z28" i="76" s="1"/>
  <c r="N28" i="76"/>
  <c r="L28" i="76"/>
  <c r="B28" i="76"/>
  <c r="Z27" i="76"/>
  <c r="X27" i="76"/>
  <c r="L27" i="76"/>
  <c r="N27" i="76" s="1"/>
  <c r="B27" i="76"/>
  <c r="X26" i="76"/>
  <c r="Z26" i="76" s="1"/>
  <c r="N26" i="76"/>
  <c r="L26" i="76"/>
  <c r="F26" i="76"/>
  <c r="B26" i="76"/>
  <c r="X25" i="76"/>
  <c r="Z25" i="76" s="1"/>
  <c r="N25" i="76"/>
  <c r="L25" i="76"/>
  <c r="B25" i="76"/>
  <c r="Z24" i="76"/>
  <c r="X24" i="76"/>
  <c r="L24" i="76"/>
  <c r="N24" i="76" s="1"/>
  <c r="B24" i="76"/>
  <c r="X23" i="76"/>
  <c r="T23" i="76"/>
  <c r="Z23" i="76" s="1"/>
  <c r="P23" i="76"/>
  <c r="L23" i="76"/>
  <c r="H23" i="76"/>
  <c r="D23" i="76"/>
  <c r="B23" i="76"/>
  <c r="T22" i="76"/>
  <c r="P22" i="76"/>
  <c r="X22" i="76" s="1"/>
  <c r="Z22" i="76" s="1"/>
  <c r="L22" i="76"/>
  <c r="H22" i="76"/>
  <c r="F22" i="76"/>
  <c r="D22" i="76"/>
  <c r="D20" i="76"/>
  <c r="X18" i="76"/>
  <c r="Z18" i="76" s="1"/>
  <c r="V18" i="76"/>
  <c r="N18" i="76"/>
  <c r="L18" i="76"/>
  <c r="F18" i="76"/>
  <c r="B18" i="76"/>
  <c r="X17" i="76"/>
  <c r="Z17" i="76" s="1"/>
  <c r="N17" i="76"/>
  <c r="L17" i="76"/>
  <c r="B17" i="76"/>
  <c r="Z16" i="76"/>
  <c r="T16" i="76"/>
  <c r="P16" i="76"/>
  <c r="X16" i="76" s="1"/>
  <c r="N16" i="76"/>
  <c r="H16" i="76"/>
  <c r="D16" i="76"/>
  <c r="L16" i="76" s="1"/>
  <c r="X14" i="76"/>
  <c r="T14" i="76"/>
  <c r="P14" i="76"/>
  <c r="N14" i="76"/>
  <c r="H14" i="76"/>
  <c r="D14" i="76"/>
  <c r="L14" i="76" s="1"/>
  <c r="B14" i="76"/>
  <c r="T13" i="76"/>
  <c r="P13" i="76"/>
  <c r="H13" i="76"/>
  <c r="N13" i="76" s="1"/>
  <c r="D13" i="76"/>
  <c r="B13" i="76"/>
  <c r="T12" i="76"/>
  <c r="V26" i="76" s="1"/>
  <c r="D12" i="76"/>
  <c r="D6" i="76"/>
  <c r="D4" i="76"/>
  <c r="Z29" i="75"/>
  <c r="X29" i="75"/>
  <c r="L29" i="75"/>
  <c r="N29" i="75" s="1"/>
  <c r="X25" i="75"/>
  <c r="T25" i="75"/>
  <c r="Z25" i="75" s="1"/>
  <c r="P25" i="75"/>
  <c r="H25" i="75"/>
  <c r="D25" i="75"/>
  <c r="Z23" i="75"/>
  <c r="T23" i="75"/>
  <c r="P23" i="75"/>
  <c r="X23" i="75" s="1"/>
  <c r="N23" i="75"/>
  <c r="H23" i="75"/>
  <c r="D23" i="75"/>
  <c r="L23" i="75" s="1"/>
  <c r="Z19" i="75"/>
  <c r="X19" i="75"/>
  <c r="N19" i="75"/>
  <c r="L19" i="75"/>
  <c r="B19" i="75"/>
  <c r="X18" i="75"/>
  <c r="Z18" i="75" s="1"/>
  <c r="N18" i="75"/>
  <c r="L18" i="75"/>
  <c r="B18" i="75"/>
  <c r="T17" i="75"/>
  <c r="P17" i="75"/>
  <c r="N17" i="75"/>
  <c r="H17" i="75"/>
  <c r="D17" i="75"/>
  <c r="L17" i="75" s="1"/>
  <c r="T15" i="75"/>
  <c r="P15" i="75"/>
  <c r="H15" i="75"/>
  <c r="D15" i="75"/>
  <c r="L15" i="75" s="1"/>
  <c r="N15" i="75" s="1"/>
  <c r="B15" i="75"/>
  <c r="X14" i="75"/>
  <c r="Z14" i="75" s="1"/>
  <c r="T14" i="75"/>
  <c r="P14" i="75"/>
  <c r="H14" i="75"/>
  <c r="D14" i="75"/>
  <c r="L14" i="75" s="1"/>
  <c r="B14" i="75"/>
  <c r="Z13" i="75"/>
  <c r="T13" i="75"/>
  <c r="P13" i="75"/>
  <c r="X13" i="75" s="1"/>
  <c r="L13" i="75"/>
  <c r="H13" i="75"/>
  <c r="D13" i="75"/>
  <c r="B13" i="75"/>
  <c r="D12" i="75"/>
  <c r="D6" i="75"/>
  <c r="D4" i="75"/>
  <c r="Z76" i="74"/>
  <c r="X76" i="74"/>
  <c r="V76" i="74"/>
  <c r="L76" i="74"/>
  <c r="N76" i="74" s="1"/>
  <c r="X72" i="74"/>
  <c r="T72" i="74"/>
  <c r="Z72" i="74" s="1"/>
  <c r="P72" i="74"/>
  <c r="N72" i="74"/>
  <c r="H72" i="74"/>
  <c r="D72" i="74"/>
  <c r="L72" i="74" s="1"/>
  <c r="Z70" i="74"/>
  <c r="X70" i="74"/>
  <c r="V70" i="74"/>
  <c r="L70" i="74"/>
  <c r="N70" i="74" s="1"/>
  <c r="B70" i="74"/>
  <c r="X69" i="74"/>
  <c r="T69" i="74"/>
  <c r="P69" i="74"/>
  <c r="H69" i="74"/>
  <c r="D69" i="74"/>
  <c r="B69" i="74"/>
  <c r="X68" i="74"/>
  <c r="Z68" i="74" s="1"/>
  <c r="N68" i="74"/>
  <c r="L68" i="74"/>
  <c r="B68" i="74"/>
  <c r="T67" i="74"/>
  <c r="P67" i="74"/>
  <c r="N67" i="74"/>
  <c r="H67" i="74"/>
  <c r="D67" i="74"/>
  <c r="L67" i="74" s="1"/>
  <c r="B67" i="74"/>
  <c r="X66" i="74"/>
  <c r="Z66" i="74" s="1"/>
  <c r="N66" i="74"/>
  <c r="L66" i="74"/>
  <c r="B66" i="74"/>
  <c r="Z65" i="74"/>
  <c r="T65" i="74"/>
  <c r="P65" i="74"/>
  <c r="X65" i="74" s="1"/>
  <c r="H65" i="74"/>
  <c r="D65" i="74"/>
  <c r="L65" i="74" s="1"/>
  <c r="N65" i="74" s="1"/>
  <c r="B65" i="74"/>
  <c r="Z64" i="74"/>
  <c r="X64" i="74"/>
  <c r="N64" i="74"/>
  <c r="L64" i="74"/>
  <c r="B64" i="74"/>
  <c r="X63" i="74"/>
  <c r="Z63" i="74" s="1"/>
  <c r="V63" i="74"/>
  <c r="L63" i="74"/>
  <c r="N63" i="74" s="1"/>
  <c r="B63" i="74"/>
  <c r="X62" i="74"/>
  <c r="Z62" i="74" s="1"/>
  <c r="N62" i="74"/>
  <c r="L62" i="74"/>
  <c r="B62" i="74"/>
  <c r="Z61" i="74"/>
  <c r="X61" i="74"/>
  <c r="N61" i="74"/>
  <c r="L61" i="74"/>
  <c r="B61" i="74"/>
  <c r="X60" i="74"/>
  <c r="Z60" i="74" s="1"/>
  <c r="N60" i="74"/>
  <c r="L60" i="74"/>
  <c r="B60" i="74"/>
  <c r="X59" i="74"/>
  <c r="Z59" i="74" s="1"/>
  <c r="N59" i="74"/>
  <c r="L59" i="74"/>
  <c r="B59" i="74"/>
  <c r="Z58" i="74"/>
  <c r="X58" i="74"/>
  <c r="V58" i="74"/>
  <c r="N58" i="74"/>
  <c r="L58" i="74"/>
  <c r="B58" i="74"/>
  <c r="X57" i="74"/>
  <c r="T57" i="74"/>
  <c r="Z57" i="74" s="1"/>
  <c r="P57" i="74"/>
  <c r="H57" i="74"/>
  <c r="D57" i="74"/>
  <c r="B57" i="74"/>
  <c r="X56" i="74"/>
  <c r="Z56" i="74" s="1"/>
  <c r="N56" i="74"/>
  <c r="L56" i="74"/>
  <c r="B56" i="74"/>
  <c r="X55" i="74"/>
  <c r="Z55" i="74" s="1"/>
  <c r="L55" i="74"/>
  <c r="N55" i="74" s="1"/>
  <c r="B55" i="74"/>
  <c r="Z54" i="74"/>
  <c r="X54" i="74"/>
  <c r="V54" i="74"/>
  <c r="N54" i="74"/>
  <c r="L54" i="74"/>
  <c r="B54" i="74"/>
  <c r="X53" i="74"/>
  <c r="T53" i="74"/>
  <c r="P53" i="74"/>
  <c r="H53" i="74"/>
  <c r="D53" i="74"/>
  <c r="B53" i="74"/>
  <c r="X52" i="74"/>
  <c r="Z52" i="74" s="1"/>
  <c r="N52" i="74"/>
  <c r="L52" i="74"/>
  <c r="B52" i="74"/>
  <c r="X51" i="74"/>
  <c r="Z51" i="74" s="1"/>
  <c r="L51" i="74"/>
  <c r="N51" i="74" s="1"/>
  <c r="B51" i="74"/>
  <c r="T50" i="74"/>
  <c r="P50" i="74"/>
  <c r="X50" i="74" s="1"/>
  <c r="Z50" i="74" s="1"/>
  <c r="L50" i="74"/>
  <c r="N50" i="74" s="1"/>
  <c r="H50" i="74"/>
  <c r="D50" i="74"/>
  <c r="B50" i="74"/>
  <c r="Z49" i="74"/>
  <c r="X49" i="74"/>
  <c r="L49" i="74"/>
  <c r="N49" i="74" s="1"/>
  <c r="B49" i="74"/>
  <c r="X48" i="74"/>
  <c r="Z48" i="74" s="1"/>
  <c r="T48" i="74"/>
  <c r="P48" i="74"/>
  <c r="L48" i="74"/>
  <c r="N48" i="74" s="1"/>
  <c r="H48" i="74"/>
  <c r="D48" i="74"/>
  <c r="B48" i="74"/>
  <c r="X47" i="74"/>
  <c r="Z47" i="74" s="1"/>
  <c r="N47" i="74"/>
  <c r="L47" i="74"/>
  <c r="B47" i="74"/>
  <c r="X46" i="74"/>
  <c r="Z46" i="74" s="1"/>
  <c r="T46" i="74"/>
  <c r="P46" i="74"/>
  <c r="H46" i="74"/>
  <c r="N46" i="74" s="1"/>
  <c r="D46" i="74"/>
  <c r="L46" i="74" s="1"/>
  <c r="B46" i="74"/>
  <c r="X45" i="74"/>
  <c r="Z45" i="74" s="1"/>
  <c r="N45" i="74"/>
  <c r="L45" i="74"/>
  <c r="B45" i="74"/>
  <c r="T44" i="74"/>
  <c r="Z44" i="74" s="1"/>
  <c r="P44" i="74"/>
  <c r="X44" i="74" s="1"/>
  <c r="H44" i="74"/>
  <c r="D44" i="74"/>
  <c r="L44" i="74" s="1"/>
  <c r="N44" i="74" s="1"/>
  <c r="B44" i="74"/>
  <c r="X43" i="74"/>
  <c r="Z43" i="74" s="1"/>
  <c r="N43" i="74"/>
  <c r="L43" i="74"/>
  <c r="B43" i="74"/>
  <c r="V42" i="74"/>
  <c r="T42" i="74"/>
  <c r="P42" i="74"/>
  <c r="X42" i="74" s="1"/>
  <c r="Z42" i="74" s="1"/>
  <c r="N42" i="74"/>
  <c r="L42" i="74"/>
  <c r="H42" i="74"/>
  <c r="D42" i="74"/>
  <c r="B42" i="74"/>
  <c r="Z41" i="74"/>
  <c r="X41" i="74"/>
  <c r="N41" i="74"/>
  <c r="L41" i="74"/>
  <c r="B41" i="74"/>
  <c r="X40" i="74"/>
  <c r="T40" i="74"/>
  <c r="Z40" i="74" s="1"/>
  <c r="P40" i="74"/>
  <c r="N40" i="74"/>
  <c r="L40" i="74"/>
  <c r="H40" i="74"/>
  <c r="D40" i="74"/>
  <c r="B40" i="74"/>
  <c r="X39" i="74"/>
  <c r="Z39" i="74" s="1"/>
  <c r="V39" i="74"/>
  <c r="N39" i="74"/>
  <c r="L39" i="74"/>
  <c r="B39" i="74"/>
  <c r="X38" i="74"/>
  <c r="T38" i="74"/>
  <c r="P38" i="74"/>
  <c r="N38" i="74"/>
  <c r="H38" i="74"/>
  <c r="D38" i="74"/>
  <c r="L38" i="74" s="1"/>
  <c r="B38" i="74"/>
  <c r="X37" i="74"/>
  <c r="Z37" i="74" s="1"/>
  <c r="N37" i="74"/>
  <c r="L37" i="74"/>
  <c r="B37" i="74"/>
  <c r="Z36" i="74"/>
  <c r="X36" i="74"/>
  <c r="N36" i="74"/>
  <c r="L36" i="74"/>
  <c r="B36" i="74"/>
  <c r="X35" i="74"/>
  <c r="Z35" i="74" s="1"/>
  <c r="V35" i="74"/>
  <c r="N35" i="74"/>
  <c r="L35" i="74"/>
  <c r="B35" i="74"/>
  <c r="X34" i="74"/>
  <c r="Z34" i="74" s="1"/>
  <c r="N34" i="74"/>
  <c r="L34" i="74"/>
  <c r="B34" i="74"/>
  <c r="Z33" i="74"/>
  <c r="X33" i="74"/>
  <c r="L33" i="74"/>
  <c r="N33" i="74" s="1"/>
  <c r="B33" i="74"/>
  <c r="X32" i="74"/>
  <c r="T32" i="74"/>
  <c r="Z32" i="74" s="1"/>
  <c r="P32" i="74"/>
  <c r="L32" i="74"/>
  <c r="H32" i="74"/>
  <c r="N32" i="74" s="1"/>
  <c r="D32" i="74"/>
  <c r="B32" i="74"/>
  <c r="X31" i="74"/>
  <c r="Z31" i="74" s="1"/>
  <c r="N31" i="74"/>
  <c r="L31" i="74"/>
  <c r="B31" i="74"/>
  <c r="X30" i="74"/>
  <c r="Z30" i="74" s="1"/>
  <c r="N30" i="74"/>
  <c r="L30" i="74"/>
  <c r="B30" i="74"/>
  <c r="Z29" i="74"/>
  <c r="X29" i="74"/>
  <c r="L29" i="74"/>
  <c r="N29" i="74" s="1"/>
  <c r="B29" i="74"/>
  <c r="X28" i="74"/>
  <c r="Z28" i="74" s="1"/>
  <c r="N28" i="74"/>
  <c r="L28" i="74"/>
  <c r="B28" i="74"/>
  <c r="Z27" i="74"/>
  <c r="X27" i="74"/>
  <c r="L27" i="74"/>
  <c r="N27" i="74" s="1"/>
  <c r="B27" i="74"/>
  <c r="Z26" i="74"/>
  <c r="X26" i="74"/>
  <c r="V26" i="74"/>
  <c r="L26" i="74"/>
  <c r="N26" i="74" s="1"/>
  <c r="B26" i="74"/>
  <c r="X25" i="74"/>
  <c r="Z25" i="74" s="1"/>
  <c r="N25" i="74"/>
  <c r="L25" i="74"/>
  <c r="B25" i="74"/>
  <c r="Z24" i="74"/>
  <c r="X24" i="74"/>
  <c r="L24" i="74"/>
  <c r="N24" i="74" s="1"/>
  <c r="B24" i="74"/>
  <c r="X23" i="74"/>
  <c r="Z23" i="74" s="1"/>
  <c r="T23" i="74"/>
  <c r="P23" i="74"/>
  <c r="L23" i="74"/>
  <c r="H23" i="74"/>
  <c r="N23" i="74" s="1"/>
  <c r="D23" i="74"/>
  <c r="B23" i="74"/>
  <c r="T22" i="74"/>
  <c r="P22" i="74"/>
  <c r="X22" i="74" s="1"/>
  <c r="Z22" i="74" s="1"/>
  <c r="L22" i="74"/>
  <c r="H22" i="74"/>
  <c r="N22" i="74" s="1"/>
  <c r="D22" i="74"/>
  <c r="Z18" i="74"/>
  <c r="X18" i="74"/>
  <c r="V18" i="74"/>
  <c r="L18" i="74"/>
  <c r="N18" i="74" s="1"/>
  <c r="B18" i="74"/>
  <c r="X17" i="74"/>
  <c r="Z17" i="74" s="1"/>
  <c r="N17" i="74"/>
  <c r="L17" i="74"/>
  <c r="B17" i="74"/>
  <c r="T16" i="74"/>
  <c r="P16" i="74"/>
  <c r="H16" i="74"/>
  <c r="N16" i="74" s="1"/>
  <c r="D16" i="74"/>
  <c r="L16" i="74" s="1"/>
  <c r="X14" i="74"/>
  <c r="T14" i="74"/>
  <c r="Z14" i="74" s="1"/>
  <c r="P14" i="74"/>
  <c r="N14" i="74"/>
  <c r="H14" i="74"/>
  <c r="D14" i="74"/>
  <c r="B14" i="74"/>
  <c r="T13" i="74"/>
  <c r="P13" i="74"/>
  <c r="H13" i="74"/>
  <c r="D13" i="74"/>
  <c r="B13" i="74"/>
  <c r="T12" i="74"/>
  <c r="V50" i="74" s="1"/>
  <c r="D6" i="74"/>
  <c r="D4" i="74"/>
  <c r="Z73" i="73"/>
  <c r="X73" i="73"/>
  <c r="L73" i="73"/>
  <c r="N73" i="73" s="1"/>
  <c r="X69" i="73"/>
  <c r="T69" i="73"/>
  <c r="Z69" i="73" s="1"/>
  <c r="P69" i="73"/>
  <c r="L69" i="73"/>
  <c r="H69" i="73"/>
  <c r="N69" i="73" s="1"/>
  <c r="D69" i="73"/>
  <c r="Z67" i="73"/>
  <c r="X67" i="73"/>
  <c r="L67" i="73"/>
  <c r="N67" i="73" s="1"/>
  <c r="B67" i="73"/>
  <c r="T66" i="73"/>
  <c r="P66" i="73"/>
  <c r="X66" i="73" s="1"/>
  <c r="Z66" i="73" s="1"/>
  <c r="L66" i="73"/>
  <c r="H66" i="73"/>
  <c r="N66" i="73" s="1"/>
  <c r="D66" i="73"/>
  <c r="B66" i="73"/>
  <c r="Z65" i="73"/>
  <c r="X65" i="73"/>
  <c r="L65" i="73"/>
  <c r="N65" i="73" s="1"/>
  <c r="B65" i="73"/>
  <c r="X64" i="73"/>
  <c r="T64" i="73"/>
  <c r="Z64" i="73" s="1"/>
  <c r="P64" i="73"/>
  <c r="H64" i="73"/>
  <c r="D64" i="73"/>
  <c r="B64" i="73"/>
  <c r="X63" i="73"/>
  <c r="Z63" i="73" s="1"/>
  <c r="N63" i="73"/>
  <c r="L63" i="73"/>
  <c r="B63" i="73"/>
  <c r="Z62" i="73"/>
  <c r="X62" i="73"/>
  <c r="N62" i="73"/>
  <c r="L62" i="73"/>
  <c r="B62" i="73"/>
  <c r="Z61" i="73"/>
  <c r="X61" i="73"/>
  <c r="N61" i="73"/>
  <c r="L61" i="73"/>
  <c r="B61" i="73"/>
  <c r="Z60" i="73"/>
  <c r="X60" i="73"/>
  <c r="N60" i="73"/>
  <c r="L60" i="73"/>
  <c r="B60" i="73"/>
  <c r="Z59" i="73"/>
  <c r="X59" i="73"/>
  <c r="N59" i="73"/>
  <c r="L59" i="73"/>
  <c r="B59" i="73"/>
  <c r="V58" i="73"/>
  <c r="T58" i="73"/>
  <c r="P58" i="73"/>
  <c r="X58" i="73" s="1"/>
  <c r="Z58" i="73" s="1"/>
  <c r="L58" i="73"/>
  <c r="H58" i="73"/>
  <c r="N58" i="73" s="1"/>
  <c r="D58" i="73"/>
  <c r="B58" i="73"/>
  <c r="Z57" i="73"/>
  <c r="X57" i="73"/>
  <c r="N57" i="73"/>
  <c r="L57" i="73"/>
  <c r="B57" i="73"/>
  <c r="X56" i="73"/>
  <c r="Z56" i="73" s="1"/>
  <c r="N56" i="73"/>
  <c r="L56" i="73"/>
  <c r="B56" i="73"/>
  <c r="Z55" i="73"/>
  <c r="X55" i="73"/>
  <c r="L55" i="73"/>
  <c r="N55" i="73" s="1"/>
  <c r="B55" i="73"/>
  <c r="T54" i="73"/>
  <c r="P54" i="73"/>
  <c r="X54" i="73" s="1"/>
  <c r="Z54" i="73" s="1"/>
  <c r="L54" i="73"/>
  <c r="H54" i="73"/>
  <c r="N54" i="73" s="1"/>
  <c r="D54" i="73"/>
  <c r="B54" i="73"/>
  <c r="Z53" i="73"/>
  <c r="X53" i="73"/>
  <c r="N53" i="73"/>
  <c r="L53" i="73"/>
  <c r="B53" i="73"/>
  <c r="X52" i="73"/>
  <c r="T52" i="73"/>
  <c r="P52" i="73"/>
  <c r="H52" i="73"/>
  <c r="D52" i="73"/>
  <c r="B52" i="73"/>
  <c r="X51" i="73"/>
  <c r="Z51" i="73" s="1"/>
  <c r="N51" i="73"/>
  <c r="L51" i="73"/>
  <c r="B51" i="73"/>
  <c r="Z50" i="73"/>
  <c r="X50" i="73"/>
  <c r="L50" i="73"/>
  <c r="N50" i="73" s="1"/>
  <c r="B50" i="73"/>
  <c r="Z49" i="73"/>
  <c r="X49" i="73"/>
  <c r="N49" i="73"/>
  <c r="L49" i="73"/>
  <c r="B49" i="73"/>
  <c r="X48" i="73"/>
  <c r="T48" i="73"/>
  <c r="P48" i="73"/>
  <c r="H48" i="73"/>
  <c r="D48" i="73"/>
  <c r="B48" i="73"/>
  <c r="X47" i="73"/>
  <c r="Z47" i="73" s="1"/>
  <c r="N47" i="73"/>
  <c r="L47" i="73"/>
  <c r="B47" i="73"/>
  <c r="T46" i="73"/>
  <c r="P46" i="73"/>
  <c r="N46" i="73"/>
  <c r="H46" i="73"/>
  <c r="D46" i="73"/>
  <c r="L46" i="73" s="1"/>
  <c r="B46" i="73"/>
  <c r="X45" i="73"/>
  <c r="Z45" i="73" s="1"/>
  <c r="N45" i="73"/>
  <c r="L45" i="73"/>
  <c r="B45" i="73"/>
  <c r="T44" i="73"/>
  <c r="P44" i="73"/>
  <c r="X44" i="73" s="1"/>
  <c r="Z44" i="73" s="1"/>
  <c r="H44" i="73"/>
  <c r="D44" i="73"/>
  <c r="L44" i="73" s="1"/>
  <c r="N44" i="73" s="1"/>
  <c r="B44" i="73"/>
  <c r="Z43" i="73"/>
  <c r="X43" i="73"/>
  <c r="N43" i="73"/>
  <c r="L43" i="73"/>
  <c r="B43" i="73"/>
  <c r="T42" i="73"/>
  <c r="P42" i="73"/>
  <c r="X42" i="73" s="1"/>
  <c r="Z42" i="73" s="1"/>
  <c r="L42" i="73"/>
  <c r="H42" i="73"/>
  <c r="N42" i="73" s="1"/>
  <c r="D42" i="73"/>
  <c r="B42" i="73"/>
  <c r="Z41" i="73"/>
  <c r="X41" i="73"/>
  <c r="V41" i="73"/>
  <c r="N41" i="73"/>
  <c r="L41" i="73"/>
  <c r="B41" i="73"/>
  <c r="X40" i="73"/>
  <c r="T40" i="73"/>
  <c r="Z40" i="73" s="1"/>
  <c r="P40" i="73"/>
  <c r="H40" i="73"/>
  <c r="D40" i="73"/>
  <c r="B40" i="73"/>
  <c r="X39" i="73"/>
  <c r="Z39" i="73" s="1"/>
  <c r="N39" i="73"/>
  <c r="L39" i="73"/>
  <c r="B39" i="73"/>
  <c r="T38" i="73"/>
  <c r="P38" i="73"/>
  <c r="N38" i="73"/>
  <c r="H38" i="73"/>
  <c r="D38" i="73"/>
  <c r="L38" i="73" s="1"/>
  <c r="B38" i="73"/>
  <c r="X37" i="73"/>
  <c r="Z37" i="73" s="1"/>
  <c r="N37" i="73"/>
  <c r="L37" i="73"/>
  <c r="B37" i="73"/>
  <c r="Z36" i="73"/>
  <c r="X36" i="73"/>
  <c r="N36" i="73"/>
  <c r="L36" i="73"/>
  <c r="B36" i="73"/>
  <c r="X35" i="73"/>
  <c r="Z35" i="73" s="1"/>
  <c r="N35" i="73"/>
  <c r="L35" i="73"/>
  <c r="B35" i="73"/>
  <c r="Z34" i="73"/>
  <c r="X34" i="73"/>
  <c r="N34" i="73"/>
  <c r="L34" i="73"/>
  <c r="B34" i="73"/>
  <c r="Z33" i="73"/>
  <c r="X33" i="73"/>
  <c r="N33" i="73"/>
  <c r="L33" i="73"/>
  <c r="B33" i="73"/>
  <c r="X32" i="73"/>
  <c r="T32" i="73"/>
  <c r="P32" i="73"/>
  <c r="H32" i="73"/>
  <c r="D32" i="73"/>
  <c r="B32" i="73"/>
  <c r="Z31" i="73"/>
  <c r="X31" i="73"/>
  <c r="N31" i="73"/>
  <c r="L31" i="73"/>
  <c r="F31" i="73"/>
  <c r="B31" i="73"/>
  <c r="Z30" i="73"/>
  <c r="X30" i="73"/>
  <c r="N30" i="73"/>
  <c r="L30" i="73"/>
  <c r="B30" i="73"/>
  <c r="Z29" i="73"/>
  <c r="X29" i="73"/>
  <c r="V29" i="73"/>
  <c r="N29" i="73"/>
  <c r="L29" i="73"/>
  <c r="B29" i="73"/>
  <c r="X28" i="73"/>
  <c r="Z28" i="73" s="1"/>
  <c r="N28" i="73"/>
  <c r="L28" i="73"/>
  <c r="B28" i="73"/>
  <c r="Z27" i="73"/>
  <c r="X27" i="73"/>
  <c r="L27" i="73"/>
  <c r="N27" i="73" s="1"/>
  <c r="B27" i="73"/>
  <c r="X26" i="73"/>
  <c r="Z26" i="73" s="1"/>
  <c r="N26" i="73"/>
  <c r="L26" i="73"/>
  <c r="B26" i="73"/>
  <c r="X25" i="73"/>
  <c r="Z25" i="73" s="1"/>
  <c r="N25" i="73"/>
  <c r="L25" i="73"/>
  <c r="B25" i="73"/>
  <c r="Z24" i="73"/>
  <c r="X24" i="73"/>
  <c r="N24" i="73"/>
  <c r="L24" i="73"/>
  <c r="B24" i="73"/>
  <c r="X23" i="73"/>
  <c r="T23" i="73"/>
  <c r="Z23" i="73" s="1"/>
  <c r="P23" i="73"/>
  <c r="L23" i="73"/>
  <c r="H23" i="73"/>
  <c r="N23" i="73" s="1"/>
  <c r="D23" i="73"/>
  <c r="B23" i="73"/>
  <c r="V22" i="73"/>
  <c r="T22" i="73"/>
  <c r="P22" i="73"/>
  <c r="X22" i="73" s="1"/>
  <c r="L22" i="73"/>
  <c r="H22" i="73"/>
  <c r="D22" i="73"/>
  <c r="X18" i="73"/>
  <c r="Z18" i="73" s="1"/>
  <c r="V18" i="73"/>
  <c r="L18" i="73"/>
  <c r="N18" i="73" s="1"/>
  <c r="F18" i="73"/>
  <c r="B18" i="73"/>
  <c r="X17" i="73"/>
  <c r="Z17" i="73" s="1"/>
  <c r="N17" i="73"/>
  <c r="L17" i="73"/>
  <c r="B17" i="73"/>
  <c r="T16" i="73"/>
  <c r="P16" i="73"/>
  <c r="X16" i="73" s="1"/>
  <c r="Z16" i="73" s="1"/>
  <c r="H16" i="73"/>
  <c r="N16" i="73" s="1"/>
  <c r="D16" i="73"/>
  <c r="L16" i="73" s="1"/>
  <c r="X14" i="73"/>
  <c r="T14" i="73"/>
  <c r="Z14" i="73" s="1"/>
  <c r="P14" i="73"/>
  <c r="N14" i="73"/>
  <c r="H14" i="73"/>
  <c r="D14" i="73"/>
  <c r="L14" i="73" s="1"/>
  <c r="B14" i="73"/>
  <c r="T13" i="73"/>
  <c r="P13" i="73"/>
  <c r="H13" i="73"/>
  <c r="N13" i="73" s="1"/>
  <c r="D13" i="73"/>
  <c r="B13" i="73"/>
  <c r="T12" i="73"/>
  <c r="D12" i="73"/>
  <c r="F22" i="73" s="1"/>
  <c r="D6" i="73"/>
  <c r="D4" i="73"/>
  <c r="Z70" i="72"/>
  <c r="X70" i="72"/>
  <c r="L70" i="72"/>
  <c r="N70" i="72" s="1"/>
  <c r="X66" i="72"/>
  <c r="T66" i="72"/>
  <c r="Z66" i="72" s="1"/>
  <c r="P66" i="72"/>
  <c r="H66" i="72"/>
  <c r="D66" i="72"/>
  <c r="B66" i="72"/>
  <c r="Z65" i="72"/>
  <c r="X65" i="72"/>
  <c r="T65" i="72"/>
  <c r="P65" i="72"/>
  <c r="N65" i="72"/>
  <c r="L65" i="72"/>
  <c r="H65" i="72"/>
  <c r="D65" i="72"/>
  <c r="B65" i="72"/>
  <c r="T64" i="72"/>
  <c r="P64" i="72"/>
  <c r="X64" i="72" s="1"/>
  <c r="L64" i="72"/>
  <c r="H64" i="72"/>
  <c r="N64" i="72" s="1"/>
  <c r="D64" i="72"/>
  <c r="B64" i="72"/>
  <c r="T63" i="72"/>
  <c r="P63" i="72"/>
  <c r="X63" i="72" s="1"/>
  <c r="Z63" i="72" s="1"/>
  <c r="N63" i="72"/>
  <c r="L63" i="72"/>
  <c r="H63" i="72"/>
  <c r="D63" i="72"/>
  <c r="B63" i="72"/>
  <c r="T62" i="72"/>
  <c r="P62" i="72"/>
  <c r="H62" i="72"/>
  <c r="N62" i="72" s="1"/>
  <c r="D62" i="72"/>
  <c r="L62" i="72" s="1"/>
  <c r="B62" i="72"/>
  <c r="T61" i="72"/>
  <c r="D61" i="72"/>
  <c r="X59" i="72"/>
  <c r="Z59" i="72" s="1"/>
  <c r="N59" i="72"/>
  <c r="L59" i="72"/>
  <c r="B59" i="72"/>
  <c r="T58" i="72"/>
  <c r="P58" i="72"/>
  <c r="X58" i="72" s="1"/>
  <c r="H58" i="72"/>
  <c r="D58" i="72"/>
  <c r="L58" i="72" s="1"/>
  <c r="N58" i="72" s="1"/>
  <c r="B58" i="72"/>
  <c r="X57" i="72"/>
  <c r="Z57" i="72" s="1"/>
  <c r="N57" i="72"/>
  <c r="L57" i="72"/>
  <c r="B57" i="72"/>
  <c r="Z56" i="72"/>
  <c r="X56" i="72"/>
  <c r="N56" i="72"/>
  <c r="L56" i="72"/>
  <c r="B56" i="72"/>
  <c r="T55" i="72"/>
  <c r="P55" i="72"/>
  <c r="X55" i="72" s="1"/>
  <c r="Z55" i="72" s="1"/>
  <c r="L55" i="72"/>
  <c r="N55" i="72" s="1"/>
  <c r="H55" i="72"/>
  <c r="D55" i="72"/>
  <c r="B55" i="72"/>
  <c r="X54" i="72"/>
  <c r="Z54" i="72" s="1"/>
  <c r="L54" i="72"/>
  <c r="N54" i="72" s="1"/>
  <c r="B54" i="72"/>
  <c r="X53" i="72"/>
  <c r="Z53" i="72" s="1"/>
  <c r="N53" i="72"/>
  <c r="L53" i="72"/>
  <c r="B53" i="72"/>
  <c r="Z52" i="72"/>
  <c r="X52" i="72"/>
  <c r="L52" i="72"/>
  <c r="N52" i="72" s="1"/>
  <c r="B52" i="72"/>
  <c r="T51" i="72"/>
  <c r="P51" i="72"/>
  <c r="X51" i="72" s="1"/>
  <c r="L51" i="72"/>
  <c r="N51" i="72" s="1"/>
  <c r="H51" i="72"/>
  <c r="D51" i="72"/>
  <c r="B51" i="72"/>
  <c r="X50" i="72"/>
  <c r="Z50" i="72" s="1"/>
  <c r="N50" i="72"/>
  <c r="L50" i="72"/>
  <c r="B50" i="72"/>
  <c r="X49" i="72"/>
  <c r="Z49" i="72" s="1"/>
  <c r="T49" i="72"/>
  <c r="P49" i="72"/>
  <c r="N49" i="72"/>
  <c r="H49" i="72"/>
  <c r="L49" i="72" s="1"/>
  <c r="D49" i="72"/>
  <c r="B49" i="72"/>
  <c r="X48" i="72"/>
  <c r="Z48" i="72" s="1"/>
  <c r="N48" i="72"/>
  <c r="L48" i="72"/>
  <c r="B48" i="72"/>
  <c r="Z47" i="72"/>
  <c r="X47" i="72"/>
  <c r="L47" i="72"/>
  <c r="N47" i="72" s="1"/>
  <c r="B47" i="72"/>
  <c r="X46" i="72"/>
  <c r="Z46" i="72" s="1"/>
  <c r="T46" i="72"/>
  <c r="P46" i="72"/>
  <c r="L46" i="72"/>
  <c r="H46" i="72"/>
  <c r="N46" i="72" s="1"/>
  <c r="D46" i="72"/>
  <c r="B46" i="72"/>
  <c r="X45" i="72"/>
  <c r="Z45" i="72" s="1"/>
  <c r="L45" i="72"/>
  <c r="N45" i="72" s="1"/>
  <c r="B45" i="72"/>
  <c r="X44" i="72"/>
  <c r="T44" i="72"/>
  <c r="P44" i="72"/>
  <c r="H44" i="72"/>
  <c r="D44" i="72"/>
  <c r="L44" i="72" s="1"/>
  <c r="B44" i="72"/>
  <c r="X43" i="72"/>
  <c r="Z43" i="72" s="1"/>
  <c r="N43" i="72"/>
  <c r="L43" i="72"/>
  <c r="B43" i="72"/>
  <c r="T42" i="72"/>
  <c r="P42" i="72"/>
  <c r="X42" i="72" s="1"/>
  <c r="N42" i="72"/>
  <c r="H42" i="72"/>
  <c r="D42" i="72"/>
  <c r="L42" i="72" s="1"/>
  <c r="B42" i="72"/>
  <c r="X41" i="72"/>
  <c r="Z41" i="72" s="1"/>
  <c r="N41" i="72"/>
  <c r="L41" i="72"/>
  <c r="B41" i="72"/>
  <c r="Z40" i="72"/>
  <c r="X40" i="72"/>
  <c r="N40" i="72"/>
  <c r="L40" i="72"/>
  <c r="B40" i="72"/>
  <c r="X39" i="72"/>
  <c r="Z39" i="72" s="1"/>
  <c r="N39" i="72"/>
  <c r="L39" i="72"/>
  <c r="B39" i="72"/>
  <c r="X38" i="72"/>
  <c r="Z38" i="72" s="1"/>
  <c r="N38" i="72"/>
  <c r="L38" i="72"/>
  <c r="B38" i="72"/>
  <c r="Z37" i="72"/>
  <c r="X37" i="72"/>
  <c r="N37" i="72"/>
  <c r="L37" i="72"/>
  <c r="B37" i="72"/>
  <c r="X36" i="72"/>
  <c r="T36" i="72"/>
  <c r="Z36" i="72" s="1"/>
  <c r="P36" i="72"/>
  <c r="H36" i="72"/>
  <c r="D36" i="72"/>
  <c r="B36" i="72"/>
  <c r="X35" i="72"/>
  <c r="Z35" i="72" s="1"/>
  <c r="N35" i="72"/>
  <c r="L35" i="72"/>
  <c r="B35" i="72"/>
  <c r="X34" i="72"/>
  <c r="Z34" i="72" s="1"/>
  <c r="N34" i="72"/>
  <c r="L34" i="72"/>
  <c r="B34" i="72"/>
  <c r="Z33" i="72"/>
  <c r="X33" i="72"/>
  <c r="N33" i="72"/>
  <c r="L33" i="72"/>
  <c r="B33" i="72"/>
  <c r="Z32" i="72"/>
  <c r="X32" i="72"/>
  <c r="N32" i="72"/>
  <c r="L32" i="72"/>
  <c r="B32" i="72"/>
  <c r="Z31" i="72"/>
  <c r="X31" i="72"/>
  <c r="N31" i="72"/>
  <c r="L31" i="72"/>
  <c r="B31" i="72"/>
  <c r="Z30" i="72"/>
  <c r="X30" i="72"/>
  <c r="N30" i="72"/>
  <c r="L30" i="72"/>
  <c r="B30" i="72"/>
  <c r="X29" i="72"/>
  <c r="Z29" i="72" s="1"/>
  <c r="N29" i="72"/>
  <c r="L29" i="72"/>
  <c r="B29" i="72"/>
  <c r="T28" i="72"/>
  <c r="P28" i="72"/>
  <c r="X28" i="72" s="1"/>
  <c r="Z28" i="72" s="1"/>
  <c r="H28" i="72"/>
  <c r="D28" i="72"/>
  <c r="L28" i="72" s="1"/>
  <c r="N28" i="72" s="1"/>
  <c r="B28" i="72"/>
  <c r="Z27" i="72"/>
  <c r="T27" i="72"/>
  <c r="X27" i="72" s="1"/>
  <c r="P27" i="72"/>
  <c r="H27" i="72"/>
  <c r="N27" i="72" s="1"/>
  <c r="D27" i="72"/>
  <c r="L27" i="72" s="1"/>
  <c r="Z23" i="72"/>
  <c r="X23" i="72"/>
  <c r="L23" i="72"/>
  <c r="N23" i="72" s="1"/>
  <c r="B23" i="72"/>
  <c r="Z22" i="72"/>
  <c r="X22" i="72"/>
  <c r="L22" i="72"/>
  <c r="N22" i="72" s="1"/>
  <c r="B22" i="72"/>
  <c r="X21" i="72"/>
  <c r="Z21" i="72" s="1"/>
  <c r="N21" i="72"/>
  <c r="L21" i="72"/>
  <c r="B21" i="72"/>
  <c r="Z20" i="72"/>
  <c r="X20" i="72"/>
  <c r="L20" i="72"/>
  <c r="N20" i="72" s="1"/>
  <c r="B20" i="72"/>
  <c r="X19" i="72"/>
  <c r="Z19" i="72" s="1"/>
  <c r="N19" i="72"/>
  <c r="L19" i="72"/>
  <c r="B19" i="72"/>
  <c r="T18" i="72"/>
  <c r="P18" i="72"/>
  <c r="N18" i="72"/>
  <c r="H18" i="72"/>
  <c r="D18" i="72"/>
  <c r="L18" i="72" s="1"/>
  <c r="T16" i="72"/>
  <c r="P16" i="72"/>
  <c r="H16" i="72"/>
  <c r="D16" i="72"/>
  <c r="L16" i="72" s="1"/>
  <c r="N16" i="72" s="1"/>
  <c r="B16" i="72"/>
  <c r="X15" i="72"/>
  <c r="Z15" i="72" s="1"/>
  <c r="T15" i="72"/>
  <c r="P15" i="72"/>
  <c r="H15" i="72"/>
  <c r="N15" i="72" s="1"/>
  <c r="D15" i="72"/>
  <c r="B15" i="72"/>
  <c r="T14" i="72"/>
  <c r="P14" i="72"/>
  <c r="X14" i="72" s="1"/>
  <c r="Z14" i="72" s="1"/>
  <c r="L14" i="72"/>
  <c r="H14" i="72"/>
  <c r="N14" i="72" s="1"/>
  <c r="D14" i="72"/>
  <c r="B14" i="72"/>
  <c r="T13" i="72"/>
  <c r="P13" i="72"/>
  <c r="H13" i="72"/>
  <c r="D13" i="72"/>
  <c r="B13" i="72"/>
  <c r="P12" i="72"/>
  <c r="R38" i="72" s="1"/>
  <c r="D6" i="72"/>
  <c r="D4" i="72"/>
  <c r="X123" i="71"/>
  <c r="Z123" i="71" s="1"/>
  <c r="N123" i="71"/>
  <c r="L123" i="71"/>
  <c r="T119" i="71"/>
  <c r="P119" i="71"/>
  <c r="X119" i="71" s="1"/>
  <c r="Z119" i="71" s="1"/>
  <c r="H119" i="71"/>
  <c r="D119" i="71"/>
  <c r="L119" i="71" s="1"/>
  <c r="N119" i="71" s="1"/>
  <c r="B119" i="71"/>
  <c r="T118" i="71"/>
  <c r="X118" i="71" s="1"/>
  <c r="P118" i="71"/>
  <c r="H118" i="71"/>
  <c r="N118" i="71" s="1"/>
  <c r="D118" i="71"/>
  <c r="L118" i="71" s="1"/>
  <c r="B118" i="71"/>
  <c r="T117" i="71"/>
  <c r="P117" i="71"/>
  <c r="N117" i="71"/>
  <c r="H117" i="71"/>
  <c r="D117" i="71"/>
  <c r="B117" i="71"/>
  <c r="X116" i="71"/>
  <c r="Z116" i="71" s="1"/>
  <c r="T116" i="71"/>
  <c r="P116" i="71"/>
  <c r="H116" i="71"/>
  <c r="L116" i="71" s="1"/>
  <c r="D116" i="71"/>
  <c r="B116" i="71"/>
  <c r="H115" i="71"/>
  <c r="Z113" i="71"/>
  <c r="X113" i="71"/>
  <c r="N113" i="71"/>
  <c r="L113" i="71"/>
  <c r="B113" i="71"/>
  <c r="T112" i="71"/>
  <c r="P112" i="71"/>
  <c r="X112" i="71" s="1"/>
  <c r="Z112" i="71" s="1"/>
  <c r="N112" i="71"/>
  <c r="L112" i="71"/>
  <c r="H112" i="71"/>
  <c r="D112" i="71"/>
  <c r="B112" i="71"/>
  <c r="Z111" i="71"/>
  <c r="X111" i="71"/>
  <c r="N111" i="71"/>
  <c r="L111" i="71"/>
  <c r="B111" i="71"/>
  <c r="X110" i="71"/>
  <c r="Z110" i="71" s="1"/>
  <c r="T110" i="71"/>
  <c r="P110" i="71"/>
  <c r="N110" i="71"/>
  <c r="H110" i="71"/>
  <c r="L110" i="71" s="1"/>
  <c r="D110" i="71"/>
  <c r="B110" i="71"/>
  <c r="X109" i="71"/>
  <c r="Z109" i="71" s="1"/>
  <c r="N109" i="71"/>
  <c r="L109" i="71"/>
  <c r="B109" i="71"/>
  <c r="Z108" i="71"/>
  <c r="T108" i="71"/>
  <c r="X108" i="71" s="1"/>
  <c r="P108" i="71"/>
  <c r="H108" i="71"/>
  <c r="D108" i="71"/>
  <c r="L108" i="71" s="1"/>
  <c r="B108" i="71"/>
  <c r="X107" i="71"/>
  <c r="Z107" i="71" s="1"/>
  <c r="N107" i="71"/>
  <c r="L107" i="71"/>
  <c r="B107" i="71"/>
  <c r="Z106" i="71"/>
  <c r="X106" i="71"/>
  <c r="N106" i="71"/>
  <c r="L106" i="71"/>
  <c r="B106" i="71"/>
  <c r="X105" i="71"/>
  <c r="Z105" i="71" s="1"/>
  <c r="N105" i="71"/>
  <c r="L105" i="71"/>
  <c r="B105" i="71"/>
  <c r="Z104" i="71"/>
  <c r="X104" i="71"/>
  <c r="N104" i="71"/>
  <c r="L104" i="71"/>
  <c r="B104" i="71"/>
  <c r="Z103" i="71"/>
  <c r="X103" i="71"/>
  <c r="N103" i="71"/>
  <c r="L103" i="71"/>
  <c r="B103" i="71"/>
  <c r="X102" i="71"/>
  <c r="T102" i="71"/>
  <c r="Z102" i="71" s="1"/>
  <c r="P102" i="71"/>
  <c r="H102" i="71"/>
  <c r="D102" i="71"/>
  <c r="B102" i="71"/>
  <c r="Z101" i="71"/>
  <c r="X101" i="71"/>
  <c r="N101" i="71"/>
  <c r="L101" i="71"/>
  <c r="B101" i="71"/>
  <c r="Z100" i="71"/>
  <c r="X100" i="71"/>
  <c r="N100" i="71"/>
  <c r="L100" i="71"/>
  <c r="B100" i="71"/>
  <c r="T99" i="71"/>
  <c r="P99" i="71"/>
  <c r="X99" i="71" s="1"/>
  <c r="Z99" i="71" s="1"/>
  <c r="L99" i="71"/>
  <c r="H99" i="71"/>
  <c r="N99" i="71" s="1"/>
  <c r="D99" i="71"/>
  <c r="B99" i="71"/>
  <c r="Z98" i="71"/>
  <c r="X98" i="71"/>
  <c r="N98" i="71"/>
  <c r="L98" i="71"/>
  <c r="B98" i="71"/>
  <c r="Z97" i="71"/>
  <c r="X97" i="71"/>
  <c r="N97" i="71"/>
  <c r="L97" i="71"/>
  <c r="B97" i="71"/>
  <c r="Z96" i="71"/>
  <c r="T96" i="71"/>
  <c r="X96" i="71" s="1"/>
  <c r="P96" i="71"/>
  <c r="H96" i="71"/>
  <c r="N96" i="71" s="1"/>
  <c r="D96" i="71"/>
  <c r="L96" i="71" s="1"/>
  <c r="B96" i="71"/>
  <c r="X95" i="71"/>
  <c r="Z95" i="71" s="1"/>
  <c r="N95" i="71"/>
  <c r="L95" i="71"/>
  <c r="B95" i="71"/>
  <c r="Z94" i="71"/>
  <c r="X94" i="71"/>
  <c r="L94" i="71"/>
  <c r="N94" i="71" s="1"/>
  <c r="B94" i="71"/>
  <c r="X93" i="71"/>
  <c r="Z93" i="71" s="1"/>
  <c r="N93" i="71"/>
  <c r="L93" i="71"/>
  <c r="B93" i="71"/>
  <c r="Z92" i="71"/>
  <c r="X92" i="71"/>
  <c r="L92" i="71"/>
  <c r="N92" i="71" s="1"/>
  <c r="B92" i="71"/>
  <c r="Z91" i="71"/>
  <c r="X91" i="71"/>
  <c r="L91" i="71"/>
  <c r="N91" i="71" s="1"/>
  <c r="B91" i="71"/>
  <c r="X90" i="71"/>
  <c r="Z90" i="71" s="1"/>
  <c r="N90" i="71"/>
  <c r="L90" i="71"/>
  <c r="B90" i="71"/>
  <c r="Z89" i="71"/>
  <c r="X89" i="71"/>
  <c r="L89" i="71"/>
  <c r="N89" i="71" s="1"/>
  <c r="B89" i="71"/>
  <c r="Z88" i="71"/>
  <c r="X88" i="71"/>
  <c r="N88" i="71"/>
  <c r="L88" i="71"/>
  <c r="B88" i="71"/>
  <c r="T87" i="71"/>
  <c r="P87" i="71"/>
  <c r="H87" i="71"/>
  <c r="D87" i="71"/>
  <c r="L87" i="71" s="1"/>
  <c r="N87" i="71" s="1"/>
  <c r="B87" i="71"/>
  <c r="X86" i="71"/>
  <c r="Z86" i="71" s="1"/>
  <c r="N86" i="71"/>
  <c r="L86" i="71"/>
  <c r="B86" i="71"/>
  <c r="T85" i="71"/>
  <c r="P85" i="71"/>
  <c r="X85" i="71" s="1"/>
  <c r="Z85" i="71" s="1"/>
  <c r="N85" i="71"/>
  <c r="H85" i="71"/>
  <c r="D85" i="71"/>
  <c r="L85" i="71" s="1"/>
  <c r="B85" i="71"/>
  <c r="Z84" i="71"/>
  <c r="X84" i="71"/>
  <c r="N84" i="71"/>
  <c r="L84" i="71"/>
  <c r="B84" i="71"/>
  <c r="Z83" i="71"/>
  <c r="X83" i="71"/>
  <c r="L83" i="71"/>
  <c r="N83" i="71" s="1"/>
  <c r="B83" i="71"/>
  <c r="X82" i="71"/>
  <c r="T82" i="71"/>
  <c r="P82" i="71"/>
  <c r="N82" i="71"/>
  <c r="H82" i="71"/>
  <c r="L82" i="71" s="1"/>
  <c r="D82" i="71"/>
  <c r="B82" i="71"/>
  <c r="X81" i="71"/>
  <c r="Z81" i="71" s="1"/>
  <c r="N81" i="71"/>
  <c r="L81" i="71"/>
  <c r="B81" i="71"/>
  <c r="Z80" i="71"/>
  <c r="T80" i="71"/>
  <c r="X80" i="71" s="1"/>
  <c r="P80" i="71"/>
  <c r="H80" i="71"/>
  <c r="D80" i="71"/>
  <c r="L80" i="71" s="1"/>
  <c r="B80" i="71"/>
  <c r="X79" i="71"/>
  <c r="Z79" i="71" s="1"/>
  <c r="N79" i="71"/>
  <c r="L79" i="71"/>
  <c r="B79" i="71"/>
  <c r="T78" i="71"/>
  <c r="Z78" i="71" s="1"/>
  <c r="P78" i="71"/>
  <c r="X78" i="71" s="1"/>
  <c r="H78" i="71"/>
  <c r="D78" i="71"/>
  <c r="L78" i="71" s="1"/>
  <c r="B78" i="71"/>
  <c r="Z77" i="71"/>
  <c r="X77" i="71"/>
  <c r="L77" i="71"/>
  <c r="N77" i="71" s="1"/>
  <c r="B77" i="71"/>
  <c r="T76" i="71"/>
  <c r="P76" i="71"/>
  <c r="X76" i="71" s="1"/>
  <c r="L76" i="71"/>
  <c r="H76" i="71"/>
  <c r="D76" i="71"/>
  <c r="B76" i="71"/>
  <c r="Z75" i="71"/>
  <c r="X75" i="71"/>
  <c r="N75" i="71"/>
  <c r="L75" i="71"/>
  <c r="B75" i="71"/>
  <c r="X74" i="71"/>
  <c r="Z74" i="71" s="1"/>
  <c r="N74" i="71"/>
  <c r="L74" i="71"/>
  <c r="B74" i="71"/>
  <c r="Z73" i="71"/>
  <c r="X73" i="71"/>
  <c r="N73" i="71"/>
  <c r="L73" i="71"/>
  <c r="B73" i="71"/>
  <c r="X72" i="71"/>
  <c r="Z72" i="71" s="1"/>
  <c r="N72" i="71"/>
  <c r="L72" i="71"/>
  <c r="B72" i="71"/>
  <c r="X71" i="71"/>
  <c r="Z71" i="71" s="1"/>
  <c r="N71" i="71"/>
  <c r="L71" i="71"/>
  <c r="B71" i="71"/>
  <c r="T70" i="71"/>
  <c r="P70" i="71"/>
  <c r="X70" i="71" s="1"/>
  <c r="H70" i="71"/>
  <c r="D70" i="71"/>
  <c r="L70" i="71" s="1"/>
  <c r="B70" i="71"/>
  <c r="Z69" i="71"/>
  <c r="X69" i="71"/>
  <c r="L69" i="71"/>
  <c r="N69" i="71" s="1"/>
  <c r="B69" i="71"/>
  <c r="X68" i="71"/>
  <c r="Z68" i="71" s="1"/>
  <c r="N68" i="71"/>
  <c r="L68" i="71"/>
  <c r="B68" i="71"/>
  <c r="X67" i="71"/>
  <c r="Z67" i="71" s="1"/>
  <c r="N67" i="71"/>
  <c r="L67" i="71"/>
  <c r="B67" i="71"/>
  <c r="Z66" i="71"/>
  <c r="X66" i="71"/>
  <c r="L66" i="71"/>
  <c r="N66" i="71" s="1"/>
  <c r="B66" i="71"/>
  <c r="X65" i="71"/>
  <c r="Z65" i="71" s="1"/>
  <c r="N65" i="71"/>
  <c r="L65" i="71"/>
  <c r="B65" i="71"/>
  <c r="Z64" i="71"/>
  <c r="X64" i="71"/>
  <c r="L64" i="71"/>
  <c r="N64" i="71" s="1"/>
  <c r="B64" i="71"/>
  <c r="Z63" i="71"/>
  <c r="X63" i="71"/>
  <c r="L63" i="71"/>
  <c r="N63" i="71" s="1"/>
  <c r="B63" i="71"/>
  <c r="X62" i="71"/>
  <c r="Z62" i="71" s="1"/>
  <c r="N62" i="71"/>
  <c r="L62" i="71"/>
  <c r="B62" i="71"/>
  <c r="Z61" i="71"/>
  <c r="X61" i="71"/>
  <c r="L61" i="71"/>
  <c r="N61" i="71" s="1"/>
  <c r="B61" i="71"/>
  <c r="T60" i="71"/>
  <c r="P60" i="71"/>
  <c r="X60" i="71" s="1"/>
  <c r="L60" i="71"/>
  <c r="H60" i="71"/>
  <c r="N60" i="71" s="1"/>
  <c r="D60" i="71"/>
  <c r="B60" i="71"/>
  <c r="T59" i="71"/>
  <c r="P59" i="71"/>
  <c r="X59" i="71" s="1"/>
  <c r="Z59" i="71" s="1"/>
  <c r="L59" i="71"/>
  <c r="H59" i="71"/>
  <c r="D59" i="71"/>
  <c r="Z55" i="71"/>
  <c r="X55" i="71"/>
  <c r="N55" i="71"/>
  <c r="L55" i="71"/>
  <c r="B55" i="71"/>
  <c r="X54" i="71"/>
  <c r="Z54" i="71" s="1"/>
  <c r="N54" i="71"/>
  <c r="L54" i="71"/>
  <c r="B54" i="71"/>
  <c r="Z53" i="71"/>
  <c r="X53" i="71"/>
  <c r="N53" i="71"/>
  <c r="L53" i="71"/>
  <c r="B53" i="71"/>
  <c r="X52" i="71"/>
  <c r="Z52" i="71" s="1"/>
  <c r="N52" i="71"/>
  <c r="L52" i="71"/>
  <c r="B52" i="71"/>
  <c r="X51" i="71"/>
  <c r="Z51" i="71" s="1"/>
  <c r="N51" i="71"/>
  <c r="L51" i="71"/>
  <c r="B51" i="71"/>
  <c r="Z50" i="71"/>
  <c r="X50" i="71"/>
  <c r="N50" i="71"/>
  <c r="L50" i="71"/>
  <c r="B50" i="71"/>
  <c r="X49" i="71"/>
  <c r="Z49" i="71" s="1"/>
  <c r="N49" i="71"/>
  <c r="L49" i="71"/>
  <c r="B49" i="71"/>
  <c r="Z48" i="71"/>
  <c r="X48" i="71"/>
  <c r="L48" i="71"/>
  <c r="N48" i="71" s="1"/>
  <c r="B48" i="71"/>
  <c r="Z47" i="71"/>
  <c r="X47" i="71"/>
  <c r="N47" i="71"/>
  <c r="L47" i="71"/>
  <c r="B47" i="71"/>
  <c r="X46" i="71"/>
  <c r="Z46" i="71" s="1"/>
  <c r="N46" i="71"/>
  <c r="L46" i="71"/>
  <c r="B46" i="71"/>
  <c r="Z45" i="71"/>
  <c r="X45" i="71"/>
  <c r="L45" i="71"/>
  <c r="N45" i="71" s="1"/>
  <c r="B45" i="71"/>
  <c r="X44" i="71"/>
  <c r="Z44" i="71" s="1"/>
  <c r="N44" i="71"/>
  <c r="L44" i="71"/>
  <c r="B44" i="71"/>
  <c r="X43" i="71"/>
  <c r="Z43" i="71" s="1"/>
  <c r="N43" i="71"/>
  <c r="L43" i="71"/>
  <c r="B43" i="71"/>
  <c r="Z42" i="71"/>
  <c r="X42" i="71"/>
  <c r="L42" i="71"/>
  <c r="N42" i="71" s="1"/>
  <c r="B42" i="71"/>
  <c r="X41" i="71"/>
  <c r="Z41" i="71" s="1"/>
  <c r="N41" i="71"/>
  <c r="L41" i="71"/>
  <c r="B41" i="71"/>
  <c r="Z40" i="71"/>
  <c r="X40" i="71"/>
  <c r="N40" i="71"/>
  <c r="L40" i="71"/>
  <c r="B40" i="71"/>
  <c r="T39" i="71"/>
  <c r="P39" i="71"/>
  <c r="X39" i="71" s="1"/>
  <c r="Z39" i="71" s="1"/>
  <c r="L39" i="71"/>
  <c r="H39" i="71"/>
  <c r="N39" i="71" s="1"/>
  <c r="D39" i="71"/>
  <c r="T37" i="71"/>
  <c r="P37" i="71"/>
  <c r="X37" i="71" s="1"/>
  <c r="Z37" i="71" s="1"/>
  <c r="H37" i="71"/>
  <c r="D37" i="71"/>
  <c r="B37" i="71"/>
  <c r="T36" i="71"/>
  <c r="P36" i="71"/>
  <c r="N36" i="71"/>
  <c r="L36" i="71"/>
  <c r="H36" i="71"/>
  <c r="D36" i="71"/>
  <c r="B36" i="71"/>
  <c r="X35" i="71"/>
  <c r="T35" i="71"/>
  <c r="Z35" i="71" s="1"/>
  <c r="P35" i="71"/>
  <c r="N35" i="71"/>
  <c r="H35" i="71"/>
  <c r="D35" i="71"/>
  <c r="L35" i="71" s="1"/>
  <c r="B35" i="71"/>
  <c r="T34" i="71"/>
  <c r="P34" i="71"/>
  <c r="X34" i="71" s="1"/>
  <c r="Z34" i="71" s="1"/>
  <c r="H34" i="71"/>
  <c r="N34" i="71" s="1"/>
  <c r="D34" i="71"/>
  <c r="B34" i="71"/>
  <c r="T33" i="71"/>
  <c r="P33" i="71"/>
  <c r="N33" i="71"/>
  <c r="H33" i="71"/>
  <c r="D33" i="71"/>
  <c r="L33" i="71" s="1"/>
  <c r="B33" i="71"/>
  <c r="X32" i="71"/>
  <c r="Z32" i="71" s="1"/>
  <c r="T32" i="71"/>
  <c r="P32" i="71"/>
  <c r="H32" i="71"/>
  <c r="N32" i="71" s="1"/>
  <c r="D32" i="71"/>
  <c r="B32" i="71"/>
  <c r="T31" i="71"/>
  <c r="P31" i="71"/>
  <c r="X31" i="71" s="1"/>
  <c r="Z31" i="71" s="1"/>
  <c r="L31" i="71"/>
  <c r="H31" i="71"/>
  <c r="N31" i="71" s="1"/>
  <c r="D31" i="71"/>
  <c r="B31" i="71"/>
  <c r="T30" i="71"/>
  <c r="P30" i="71"/>
  <c r="H30" i="71"/>
  <c r="D30" i="71"/>
  <c r="L30" i="71" s="1"/>
  <c r="N30" i="71" s="1"/>
  <c r="B30" i="71"/>
  <c r="T29" i="71"/>
  <c r="P29" i="71"/>
  <c r="X29" i="71" s="1"/>
  <c r="Z29" i="71" s="1"/>
  <c r="H29" i="71"/>
  <c r="D29" i="71"/>
  <c r="B29" i="71"/>
  <c r="T28" i="71"/>
  <c r="P28" i="71"/>
  <c r="L28" i="71"/>
  <c r="N28" i="71" s="1"/>
  <c r="H28" i="71"/>
  <c r="D28" i="71"/>
  <c r="B28" i="71"/>
  <c r="X27" i="71"/>
  <c r="T27" i="71"/>
  <c r="P27" i="71"/>
  <c r="N27" i="71"/>
  <c r="H27" i="71"/>
  <c r="D27" i="71"/>
  <c r="L27" i="71" s="1"/>
  <c r="B27" i="71"/>
  <c r="T26" i="71"/>
  <c r="P26" i="71"/>
  <c r="X26" i="71" s="1"/>
  <c r="Z26" i="71" s="1"/>
  <c r="H26" i="71"/>
  <c r="D26" i="71"/>
  <c r="B26" i="71"/>
  <c r="T25" i="71"/>
  <c r="P25" i="71"/>
  <c r="H25" i="71"/>
  <c r="D25" i="71"/>
  <c r="L25" i="71" s="1"/>
  <c r="N25" i="71" s="1"/>
  <c r="B25" i="71"/>
  <c r="X24" i="71"/>
  <c r="Z24" i="71" s="1"/>
  <c r="T24" i="71"/>
  <c r="P24" i="71"/>
  <c r="H24" i="71"/>
  <c r="N24" i="71" s="1"/>
  <c r="D24" i="71"/>
  <c r="B24" i="71"/>
  <c r="T23" i="71"/>
  <c r="P23" i="71"/>
  <c r="X23" i="71" s="1"/>
  <c r="Z23" i="71" s="1"/>
  <c r="L23" i="71"/>
  <c r="H23" i="71"/>
  <c r="D23" i="71"/>
  <c r="B23" i="71"/>
  <c r="T22" i="71"/>
  <c r="P22" i="71"/>
  <c r="H22" i="71"/>
  <c r="D22" i="71"/>
  <c r="L22" i="71" s="1"/>
  <c r="N22" i="71" s="1"/>
  <c r="B22" i="71"/>
  <c r="T21" i="71"/>
  <c r="P21" i="71"/>
  <c r="X21" i="71" s="1"/>
  <c r="Z21" i="71" s="1"/>
  <c r="H21" i="71"/>
  <c r="D21" i="71"/>
  <c r="B21" i="71"/>
  <c r="T20" i="71"/>
  <c r="P20" i="71"/>
  <c r="L20" i="71"/>
  <c r="N20" i="71" s="1"/>
  <c r="H20" i="71"/>
  <c r="D20" i="71"/>
  <c r="B20" i="71"/>
  <c r="X19" i="71"/>
  <c r="T19" i="71"/>
  <c r="P19" i="71"/>
  <c r="H19" i="71"/>
  <c r="D19" i="71"/>
  <c r="L19" i="71" s="1"/>
  <c r="N19" i="71" s="1"/>
  <c r="B19" i="71"/>
  <c r="T18" i="71"/>
  <c r="P18" i="71"/>
  <c r="X18" i="71" s="1"/>
  <c r="Z18" i="71" s="1"/>
  <c r="H18" i="71"/>
  <c r="N18" i="71" s="1"/>
  <c r="D18" i="71"/>
  <c r="B18" i="71"/>
  <c r="T17" i="71"/>
  <c r="P17" i="71"/>
  <c r="N17" i="71"/>
  <c r="H17" i="71"/>
  <c r="D17" i="71"/>
  <c r="L17" i="71" s="1"/>
  <c r="B17" i="71"/>
  <c r="X16" i="71"/>
  <c r="Z16" i="71" s="1"/>
  <c r="T16" i="71"/>
  <c r="P16" i="71"/>
  <c r="H16" i="71"/>
  <c r="D16" i="71"/>
  <c r="B16" i="71"/>
  <c r="T15" i="71"/>
  <c r="P15" i="71"/>
  <c r="X15" i="71" s="1"/>
  <c r="Z15" i="71" s="1"/>
  <c r="L15" i="71"/>
  <c r="H15" i="71"/>
  <c r="N15" i="71" s="1"/>
  <c r="D15" i="71"/>
  <c r="B15" i="71"/>
  <c r="T14" i="71"/>
  <c r="P14" i="71"/>
  <c r="H14" i="71"/>
  <c r="D14" i="71"/>
  <c r="B14" i="71"/>
  <c r="Z13" i="71"/>
  <c r="T13" i="71"/>
  <c r="P13" i="71"/>
  <c r="H13" i="71"/>
  <c r="D13" i="71"/>
  <c r="B13" i="71"/>
  <c r="D6" i="71"/>
  <c r="D4" i="71"/>
  <c r="Z90" i="70"/>
  <c r="X90" i="70"/>
  <c r="L90" i="70"/>
  <c r="N90" i="70" s="1"/>
  <c r="T86" i="70"/>
  <c r="P86" i="70"/>
  <c r="X86" i="70" s="1"/>
  <c r="Z86" i="70" s="1"/>
  <c r="L86" i="70"/>
  <c r="N86" i="70" s="1"/>
  <c r="H86" i="70"/>
  <c r="D86" i="70"/>
  <c r="B86" i="70"/>
  <c r="T85" i="70"/>
  <c r="L85" i="70"/>
  <c r="H85" i="70"/>
  <c r="N85" i="70" s="1"/>
  <c r="D85" i="70"/>
  <c r="Z83" i="70"/>
  <c r="X83" i="70"/>
  <c r="N83" i="70"/>
  <c r="L83" i="70"/>
  <c r="B83" i="70"/>
  <c r="T82" i="70"/>
  <c r="Z82" i="70" s="1"/>
  <c r="P82" i="70"/>
  <c r="X82" i="70" s="1"/>
  <c r="N82" i="70"/>
  <c r="H82" i="70"/>
  <c r="D82" i="70"/>
  <c r="L82" i="70" s="1"/>
  <c r="B82" i="70"/>
  <c r="Z81" i="70"/>
  <c r="X81" i="70"/>
  <c r="N81" i="70"/>
  <c r="L81" i="70"/>
  <c r="B81" i="70"/>
  <c r="T80" i="70"/>
  <c r="P80" i="70"/>
  <c r="X80" i="70" s="1"/>
  <c r="Z80" i="70" s="1"/>
  <c r="N80" i="70"/>
  <c r="L80" i="70"/>
  <c r="H80" i="70"/>
  <c r="D80" i="70"/>
  <c r="B80" i="70"/>
  <c r="Z79" i="70"/>
  <c r="X79" i="70"/>
  <c r="L79" i="70"/>
  <c r="N79" i="70" s="1"/>
  <c r="B79" i="70"/>
  <c r="X78" i="70"/>
  <c r="T78" i="70"/>
  <c r="P78" i="70"/>
  <c r="N78" i="70"/>
  <c r="H78" i="70"/>
  <c r="L78" i="70" s="1"/>
  <c r="D78" i="70"/>
  <c r="B78" i="70"/>
  <c r="X77" i="70"/>
  <c r="Z77" i="70" s="1"/>
  <c r="N77" i="70"/>
  <c r="L77" i="70"/>
  <c r="B77" i="70"/>
  <c r="Z76" i="70"/>
  <c r="X76" i="70"/>
  <c r="N76" i="70"/>
  <c r="L76" i="70"/>
  <c r="B76" i="70"/>
  <c r="Z75" i="70"/>
  <c r="X75" i="70"/>
  <c r="L75" i="70"/>
  <c r="N75" i="70" s="1"/>
  <c r="B75" i="70"/>
  <c r="X74" i="70"/>
  <c r="Z74" i="70" s="1"/>
  <c r="N74" i="70"/>
  <c r="L74" i="70"/>
  <c r="B74" i="70"/>
  <c r="Z73" i="70"/>
  <c r="X73" i="70"/>
  <c r="N73" i="70"/>
  <c r="L73" i="70"/>
  <c r="B73" i="70"/>
  <c r="X72" i="70"/>
  <c r="Z72" i="70" s="1"/>
  <c r="N72" i="70"/>
  <c r="L72" i="70"/>
  <c r="B72" i="70"/>
  <c r="T71" i="70"/>
  <c r="P71" i="70"/>
  <c r="N71" i="70"/>
  <c r="H71" i="70"/>
  <c r="D71" i="70"/>
  <c r="L71" i="70" s="1"/>
  <c r="B71" i="70"/>
  <c r="Z70" i="70"/>
  <c r="X70" i="70"/>
  <c r="N70" i="70"/>
  <c r="L70" i="70"/>
  <c r="B70" i="70"/>
  <c r="Z69" i="70"/>
  <c r="T69" i="70"/>
  <c r="P69" i="70"/>
  <c r="X69" i="70" s="1"/>
  <c r="N69" i="70"/>
  <c r="H69" i="70"/>
  <c r="D69" i="70"/>
  <c r="L69" i="70" s="1"/>
  <c r="B69" i="70"/>
  <c r="Z68" i="70"/>
  <c r="X68" i="70"/>
  <c r="N68" i="70"/>
  <c r="L68" i="70"/>
  <c r="B68" i="70"/>
  <c r="T67" i="70"/>
  <c r="P67" i="70"/>
  <c r="X67" i="70" s="1"/>
  <c r="Z67" i="70" s="1"/>
  <c r="L67" i="70"/>
  <c r="H67" i="70"/>
  <c r="N67" i="70" s="1"/>
  <c r="D67" i="70"/>
  <c r="B67" i="70"/>
  <c r="Z66" i="70"/>
  <c r="X66" i="70"/>
  <c r="N66" i="70"/>
  <c r="L66" i="70"/>
  <c r="B66" i="70"/>
  <c r="X65" i="70"/>
  <c r="Z65" i="70" s="1"/>
  <c r="N65" i="70"/>
  <c r="L65" i="70"/>
  <c r="B65" i="70"/>
  <c r="Z64" i="70"/>
  <c r="X64" i="70"/>
  <c r="N64" i="70"/>
  <c r="L64" i="70"/>
  <c r="B64" i="70"/>
  <c r="T63" i="70"/>
  <c r="P63" i="70"/>
  <c r="X63" i="70" s="1"/>
  <c r="Z63" i="70" s="1"/>
  <c r="L63" i="70"/>
  <c r="H63" i="70"/>
  <c r="D63" i="70"/>
  <c r="B63" i="70"/>
  <c r="Z62" i="70"/>
  <c r="X62" i="70"/>
  <c r="N62" i="70"/>
  <c r="L62" i="70"/>
  <c r="B62" i="70"/>
  <c r="X61" i="70"/>
  <c r="T61" i="70"/>
  <c r="P61" i="70"/>
  <c r="H61" i="70"/>
  <c r="D61" i="70"/>
  <c r="B61" i="70"/>
  <c r="Z60" i="70"/>
  <c r="X60" i="70"/>
  <c r="N60" i="70"/>
  <c r="L60" i="70"/>
  <c r="B60" i="70"/>
  <c r="X59" i="70"/>
  <c r="Z59" i="70" s="1"/>
  <c r="N59" i="70"/>
  <c r="L59" i="70"/>
  <c r="B59" i="70"/>
  <c r="T58" i="70"/>
  <c r="P58" i="70"/>
  <c r="X58" i="70" s="1"/>
  <c r="N58" i="70"/>
  <c r="H58" i="70"/>
  <c r="D58" i="70"/>
  <c r="L58" i="70" s="1"/>
  <c r="B58" i="70"/>
  <c r="Z57" i="70"/>
  <c r="X57" i="70"/>
  <c r="L57" i="70"/>
  <c r="N57" i="70" s="1"/>
  <c r="B57" i="70"/>
  <c r="T56" i="70"/>
  <c r="P56" i="70"/>
  <c r="X56" i="70" s="1"/>
  <c r="Z56" i="70" s="1"/>
  <c r="L56" i="70"/>
  <c r="N56" i="70" s="1"/>
  <c r="H56" i="70"/>
  <c r="D56" i="70"/>
  <c r="B56" i="70"/>
  <c r="Z55" i="70"/>
  <c r="X55" i="70"/>
  <c r="N55" i="70"/>
  <c r="L55" i="70"/>
  <c r="B55" i="70"/>
  <c r="X54" i="70"/>
  <c r="Z54" i="70" s="1"/>
  <c r="T54" i="70"/>
  <c r="P54" i="70"/>
  <c r="N54" i="70"/>
  <c r="H54" i="70"/>
  <c r="L54" i="70" s="1"/>
  <c r="D54" i="70"/>
  <c r="B54" i="70"/>
  <c r="X53" i="70"/>
  <c r="Z53" i="70" s="1"/>
  <c r="N53" i="70"/>
  <c r="L53" i="70"/>
  <c r="B53" i="70"/>
  <c r="Z52" i="70"/>
  <c r="T52" i="70"/>
  <c r="X52" i="70" s="1"/>
  <c r="P52" i="70"/>
  <c r="H52" i="70"/>
  <c r="D52" i="70"/>
  <c r="L52" i="70" s="1"/>
  <c r="B52" i="70"/>
  <c r="X51" i="70"/>
  <c r="Z51" i="70" s="1"/>
  <c r="N51" i="70"/>
  <c r="L51" i="70"/>
  <c r="B51" i="70"/>
  <c r="T50" i="70"/>
  <c r="P50" i="70"/>
  <c r="X50" i="70" s="1"/>
  <c r="H50" i="70"/>
  <c r="N50" i="70" s="1"/>
  <c r="D50" i="70"/>
  <c r="L50" i="70" s="1"/>
  <c r="B50" i="70"/>
  <c r="Z49" i="70"/>
  <c r="X49" i="70"/>
  <c r="N49" i="70"/>
  <c r="L49" i="70"/>
  <c r="B49" i="70"/>
  <c r="X48" i="70"/>
  <c r="Z48" i="70" s="1"/>
  <c r="N48" i="70"/>
  <c r="L48" i="70"/>
  <c r="B48" i="70"/>
  <c r="X47" i="70"/>
  <c r="Z47" i="70" s="1"/>
  <c r="N47" i="70"/>
  <c r="L47" i="70"/>
  <c r="B47" i="70"/>
  <c r="Z46" i="70"/>
  <c r="X46" i="70"/>
  <c r="L46" i="70"/>
  <c r="N46" i="70" s="1"/>
  <c r="B46" i="70"/>
  <c r="X45" i="70"/>
  <c r="T45" i="70"/>
  <c r="Z45" i="70" s="1"/>
  <c r="P45" i="70"/>
  <c r="H45" i="70"/>
  <c r="D45" i="70"/>
  <c r="B45" i="70"/>
  <c r="X44" i="70"/>
  <c r="Z44" i="70" s="1"/>
  <c r="N44" i="70"/>
  <c r="L44" i="70"/>
  <c r="B44" i="70"/>
  <c r="X43" i="70"/>
  <c r="Z43" i="70" s="1"/>
  <c r="N43" i="70"/>
  <c r="L43" i="70"/>
  <c r="B43" i="70"/>
  <c r="Z42" i="70"/>
  <c r="X42" i="70"/>
  <c r="L42" i="70"/>
  <c r="N42" i="70" s="1"/>
  <c r="B42" i="70"/>
  <c r="X41" i="70"/>
  <c r="Z41" i="70" s="1"/>
  <c r="N41" i="70"/>
  <c r="L41" i="70"/>
  <c r="B41" i="70"/>
  <c r="Z40" i="70"/>
  <c r="X40" i="70"/>
  <c r="L40" i="70"/>
  <c r="N40" i="70" s="1"/>
  <c r="B40" i="70"/>
  <c r="Z39" i="70"/>
  <c r="X39" i="70"/>
  <c r="L39" i="70"/>
  <c r="N39" i="70" s="1"/>
  <c r="B39" i="70"/>
  <c r="X38" i="70"/>
  <c r="Z38" i="70" s="1"/>
  <c r="N38" i="70"/>
  <c r="L38" i="70"/>
  <c r="B38" i="70"/>
  <c r="Z37" i="70"/>
  <c r="X37" i="70"/>
  <c r="L37" i="70"/>
  <c r="N37" i="70" s="1"/>
  <c r="B37" i="70"/>
  <c r="T36" i="70"/>
  <c r="P36" i="70"/>
  <c r="X36" i="70" s="1"/>
  <c r="L36" i="70"/>
  <c r="H36" i="70"/>
  <c r="D36" i="70"/>
  <c r="B36" i="70"/>
  <c r="T35" i="70"/>
  <c r="P35" i="70"/>
  <c r="X35" i="70" s="1"/>
  <c r="Z35" i="70" s="1"/>
  <c r="L35" i="70"/>
  <c r="H35" i="70"/>
  <c r="D35" i="70"/>
  <c r="Z31" i="70"/>
  <c r="T31" i="70"/>
  <c r="P31" i="70"/>
  <c r="X31" i="70" s="1"/>
  <c r="L31" i="70"/>
  <c r="H31" i="70"/>
  <c r="N31" i="70" s="1"/>
  <c r="D31" i="70"/>
  <c r="T29" i="70"/>
  <c r="P29" i="70"/>
  <c r="X29" i="70" s="1"/>
  <c r="Z29" i="70" s="1"/>
  <c r="H29" i="70"/>
  <c r="D29" i="70"/>
  <c r="B29" i="70"/>
  <c r="T28" i="70"/>
  <c r="P28" i="70"/>
  <c r="X28" i="70" s="1"/>
  <c r="N28" i="70"/>
  <c r="L28" i="70"/>
  <c r="H28" i="70"/>
  <c r="D28" i="70"/>
  <c r="B28" i="70"/>
  <c r="X27" i="70"/>
  <c r="T27" i="70"/>
  <c r="P27" i="70"/>
  <c r="N27" i="70"/>
  <c r="H27" i="70"/>
  <c r="D27" i="70"/>
  <c r="L27" i="70" s="1"/>
  <c r="B27" i="70"/>
  <c r="Z26" i="70"/>
  <c r="T26" i="70"/>
  <c r="P26" i="70"/>
  <c r="X26" i="70" s="1"/>
  <c r="H26" i="70"/>
  <c r="N26" i="70" s="1"/>
  <c r="D26" i="70"/>
  <c r="B26" i="70"/>
  <c r="T25" i="70"/>
  <c r="P25" i="70"/>
  <c r="N25" i="70"/>
  <c r="H25" i="70"/>
  <c r="D25" i="70"/>
  <c r="L25" i="70" s="1"/>
  <c r="B25" i="70"/>
  <c r="X24" i="70"/>
  <c r="Z24" i="70" s="1"/>
  <c r="T24" i="70"/>
  <c r="P24" i="70"/>
  <c r="H24" i="70"/>
  <c r="N24" i="70" s="1"/>
  <c r="D24" i="70"/>
  <c r="B24" i="70"/>
  <c r="Z23" i="70"/>
  <c r="T23" i="70"/>
  <c r="P23" i="70"/>
  <c r="X23" i="70" s="1"/>
  <c r="L23" i="70"/>
  <c r="H23" i="70"/>
  <c r="N23" i="70" s="1"/>
  <c r="D23" i="70"/>
  <c r="B23" i="70"/>
  <c r="T22" i="70"/>
  <c r="P22" i="70"/>
  <c r="N22" i="70"/>
  <c r="H22" i="70"/>
  <c r="D22" i="70"/>
  <c r="L22" i="70" s="1"/>
  <c r="B22" i="70"/>
  <c r="T21" i="70"/>
  <c r="P21" i="70"/>
  <c r="X21" i="70" s="1"/>
  <c r="Z21" i="70" s="1"/>
  <c r="H21" i="70"/>
  <c r="D21" i="70"/>
  <c r="B21" i="70"/>
  <c r="T20" i="70"/>
  <c r="P20" i="70"/>
  <c r="L20" i="70"/>
  <c r="N20" i="70" s="1"/>
  <c r="H20" i="70"/>
  <c r="D20" i="70"/>
  <c r="B20" i="70"/>
  <c r="X19" i="70"/>
  <c r="T19" i="70"/>
  <c r="Z19" i="70" s="1"/>
  <c r="P19" i="70"/>
  <c r="N19" i="70"/>
  <c r="H19" i="70"/>
  <c r="D19" i="70"/>
  <c r="L19" i="70" s="1"/>
  <c r="B19" i="70"/>
  <c r="T18" i="70"/>
  <c r="P18" i="70"/>
  <c r="X18" i="70" s="1"/>
  <c r="Z18" i="70" s="1"/>
  <c r="H18" i="70"/>
  <c r="N18" i="70" s="1"/>
  <c r="D18" i="70"/>
  <c r="B18" i="70"/>
  <c r="T17" i="70"/>
  <c r="P17" i="70"/>
  <c r="N17" i="70"/>
  <c r="H17" i="70"/>
  <c r="D17" i="70"/>
  <c r="L17" i="70" s="1"/>
  <c r="B17" i="70"/>
  <c r="X16" i="70"/>
  <c r="Z16" i="70" s="1"/>
  <c r="T16" i="70"/>
  <c r="P16" i="70"/>
  <c r="H16" i="70"/>
  <c r="N16" i="70" s="1"/>
  <c r="D16" i="70"/>
  <c r="L16" i="70" s="1"/>
  <c r="B16" i="70"/>
  <c r="Z15" i="70"/>
  <c r="T15" i="70"/>
  <c r="P15" i="70"/>
  <c r="X15" i="70" s="1"/>
  <c r="L15" i="70"/>
  <c r="H15" i="70"/>
  <c r="D15" i="70"/>
  <c r="B15" i="70"/>
  <c r="T14" i="70"/>
  <c r="P14" i="70"/>
  <c r="H14" i="70"/>
  <c r="D14" i="70"/>
  <c r="B14" i="70"/>
  <c r="Z13" i="70"/>
  <c r="T13" i="70"/>
  <c r="P13" i="70"/>
  <c r="H13" i="70"/>
  <c r="D13" i="70"/>
  <c r="B13" i="70"/>
  <c r="D6" i="70"/>
  <c r="D4" i="70"/>
  <c r="Z148" i="69"/>
  <c r="X148" i="69"/>
  <c r="L148" i="69"/>
  <c r="N148" i="69" s="1"/>
  <c r="Z144" i="69"/>
  <c r="T144" i="69"/>
  <c r="P144" i="69"/>
  <c r="X144" i="69" s="1"/>
  <c r="N144" i="69"/>
  <c r="L144" i="69"/>
  <c r="H144" i="69"/>
  <c r="D144" i="69"/>
  <c r="B144" i="69"/>
  <c r="T143" i="69"/>
  <c r="P143" i="69"/>
  <c r="X143" i="69" s="1"/>
  <c r="Z143" i="69" s="1"/>
  <c r="L143" i="69"/>
  <c r="H143" i="69"/>
  <c r="H141" i="69" s="1"/>
  <c r="D143" i="69"/>
  <c r="B143" i="69"/>
  <c r="T142" i="69"/>
  <c r="Z142" i="69" s="1"/>
  <c r="P142" i="69"/>
  <c r="X142" i="69" s="1"/>
  <c r="H142" i="69"/>
  <c r="N142" i="69" s="1"/>
  <c r="D142" i="69"/>
  <c r="L142" i="69" s="1"/>
  <c r="B142" i="69"/>
  <c r="X139" i="69"/>
  <c r="Z139" i="69" s="1"/>
  <c r="N139" i="69"/>
  <c r="L139" i="69"/>
  <c r="B139" i="69"/>
  <c r="Z138" i="69"/>
  <c r="X138" i="69"/>
  <c r="N138" i="69"/>
  <c r="L138" i="69"/>
  <c r="B138" i="69"/>
  <c r="T137" i="69"/>
  <c r="P137" i="69"/>
  <c r="X137" i="69" s="1"/>
  <c r="Z137" i="69" s="1"/>
  <c r="L137" i="69"/>
  <c r="H137" i="69"/>
  <c r="N137" i="69" s="1"/>
  <c r="D137" i="69"/>
  <c r="B137" i="69"/>
  <c r="Z136" i="69"/>
  <c r="X136" i="69"/>
  <c r="N136" i="69"/>
  <c r="L136" i="69"/>
  <c r="B136" i="69"/>
  <c r="X135" i="69"/>
  <c r="T135" i="69"/>
  <c r="P135" i="69"/>
  <c r="H135" i="69"/>
  <c r="D135" i="69"/>
  <c r="B135" i="69"/>
  <c r="X134" i="69"/>
  <c r="Z134" i="69" s="1"/>
  <c r="N134" i="69"/>
  <c r="L134" i="69"/>
  <c r="B134" i="69"/>
  <c r="T133" i="69"/>
  <c r="P133" i="69"/>
  <c r="H133" i="69"/>
  <c r="D133" i="69"/>
  <c r="L133" i="69" s="1"/>
  <c r="N133" i="69" s="1"/>
  <c r="B133" i="69"/>
  <c r="X132" i="69"/>
  <c r="Z132" i="69" s="1"/>
  <c r="N132" i="69"/>
  <c r="L132" i="69"/>
  <c r="B132" i="69"/>
  <c r="Z131" i="69"/>
  <c r="X131" i="69"/>
  <c r="L131" i="69"/>
  <c r="N131" i="69" s="1"/>
  <c r="B131" i="69"/>
  <c r="X130" i="69"/>
  <c r="Z130" i="69" s="1"/>
  <c r="N130" i="69"/>
  <c r="L130" i="69"/>
  <c r="B130" i="69"/>
  <c r="Z129" i="69"/>
  <c r="X129" i="69"/>
  <c r="N129" i="69"/>
  <c r="L129" i="69"/>
  <c r="B129" i="69"/>
  <c r="Z128" i="69"/>
  <c r="X128" i="69"/>
  <c r="N128" i="69"/>
  <c r="L128" i="69"/>
  <c r="B128" i="69"/>
  <c r="X127" i="69"/>
  <c r="T127" i="69"/>
  <c r="Z127" i="69" s="1"/>
  <c r="P127" i="69"/>
  <c r="H127" i="69"/>
  <c r="D127" i="69"/>
  <c r="B127" i="69"/>
  <c r="X126" i="69"/>
  <c r="Z126" i="69" s="1"/>
  <c r="N126" i="69"/>
  <c r="L126" i="69"/>
  <c r="B126" i="69"/>
  <c r="X125" i="69"/>
  <c r="Z125" i="69" s="1"/>
  <c r="N125" i="69"/>
  <c r="L125" i="69"/>
  <c r="B125" i="69"/>
  <c r="T124" i="69"/>
  <c r="Z124" i="69" s="1"/>
  <c r="P124" i="69"/>
  <c r="X124" i="69" s="1"/>
  <c r="H124" i="69"/>
  <c r="D124" i="69"/>
  <c r="L124" i="69" s="1"/>
  <c r="N124" i="69" s="1"/>
  <c r="B124" i="69"/>
  <c r="Z123" i="69"/>
  <c r="X123" i="69"/>
  <c r="N123" i="69"/>
  <c r="L123" i="69"/>
  <c r="B123" i="69"/>
  <c r="X122" i="69"/>
  <c r="Z122" i="69" s="1"/>
  <c r="N122" i="69"/>
  <c r="L122" i="69"/>
  <c r="B122" i="69"/>
  <c r="T121" i="69"/>
  <c r="P121" i="69"/>
  <c r="N121" i="69"/>
  <c r="H121" i="69"/>
  <c r="D121" i="69"/>
  <c r="L121" i="69" s="1"/>
  <c r="B121" i="69"/>
  <c r="X120" i="69"/>
  <c r="Z120" i="69" s="1"/>
  <c r="N120" i="69"/>
  <c r="L120" i="69"/>
  <c r="B120" i="69"/>
  <c r="Z119" i="69"/>
  <c r="T119" i="69"/>
  <c r="P119" i="69"/>
  <c r="X119" i="69" s="1"/>
  <c r="N119" i="69"/>
  <c r="H119" i="69"/>
  <c r="D119" i="69"/>
  <c r="L119" i="69" s="1"/>
  <c r="B119" i="69"/>
  <c r="Z118" i="69"/>
  <c r="X118" i="69"/>
  <c r="N118" i="69"/>
  <c r="L118" i="69"/>
  <c r="B118" i="69"/>
  <c r="T117" i="69"/>
  <c r="P117" i="69"/>
  <c r="X117" i="69" s="1"/>
  <c r="Z117" i="69" s="1"/>
  <c r="L117" i="69"/>
  <c r="H117" i="69"/>
  <c r="N117" i="69" s="1"/>
  <c r="D117" i="69"/>
  <c r="B117" i="69"/>
  <c r="Z116" i="69"/>
  <c r="X116" i="69"/>
  <c r="L116" i="69"/>
  <c r="N116" i="69" s="1"/>
  <c r="B116" i="69"/>
  <c r="X115" i="69"/>
  <c r="Z115" i="69" s="1"/>
  <c r="N115" i="69"/>
  <c r="L115" i="69"/>
  <c r="B115" i="69"/>
  <c r="Z114" i="69"/>
  <c r="X114" i="69"/>
  <c r="L114" i="69"/>
  <c r="N114" i="69" s="1"/>
  <c r="B114" i="69"/>
  <c r="Z113" i="69"/>
  <c r="X113" i="69"/>
  <c r="L113" i="69"/>
  <c r="N113" i="69" s="1"/>
  <c r="B113" i="69"/>
  <c r="X112" i="69"/>
  <c r="Z112" i="69" s="1"/>
  <c r="N112" i="69"/>
  <c r="L112" i="69"/>
  <c r="B112" i="69"/>
  <c r="Z111" i="69"/>
  <c r="X111" i="69"/>
  <c r="L111" i="69"/>
  <c r="N111" i="69" s="1"/>
  <c r="B111" i="69"/>
  <c r="Z110" i="69"/>
  <c r="X110" i="69"/>
  <c r="N110" i="69"/>
  <c r="L110" i="69"/>
  <c r="B110" i="69"/>
  <c r="T109" i="69"/>
  <c r="P109" i="69"/>
  <c r="H109" i="69"/>
  <c r="D109" i="69"/>
  <c r="L109" i="69" s="1"/>
  <c r="N109" i="69" s="1"/>
  <c r="B109" i="69"/>
  <c r="X108" i="69"/>
  <c r="Z108" i="69" s="1"/>
  <c r="N108" i="69"/>
  <c r="L108" i="69"/>
  <c r="B108" i="69"/>
  <c r="Z107" i="69"/>
  <c r="X107" i="69"/>
  <c r="L107" i="69"/>
  <c r="N107" i="69" s="1"/>
  <c r="B107" i="69"/>
  <c r="T106" i="69"/>
  <c r="P106" i="69"/>
  <c r="X106" i="69" s="1"/>
  <c r="Z106" i="69" s="1"/>
  <c r="L106" i="69"/>
  <c r="N106" i="69" s="1"/>
  <c r="H106" i="69"/>
  <c r="D106" i="69"/>
  <c r="B106" i="69"/>
  <c r="Z105" i="69"/>
  <c r="X105" i="69"/>
  <c r="N105" i="69"/>
  <c r="L105" i="69"/>
  <c r="B105" i="69"/>
  <c r="X104" i="69"/>
  <c r="Z104" i="69" s="1"/>
  <c r="T104" i="69"/>
  <c r="P104" i="69"/>
  <c r="N104" i="69"/>
  <c r="H104" i="69"/>
  <c r="L104" i="69" s="1"/>
  <c r="D104" i="69"/>
  <c r="B104" i="69"/>
  <c r="X103" i="69"/>
  <c r="Z103" i="69" s="1"/>
  <c r="N103" i="69"/>
  <c r="L103" i="69"/>
  <c r="B103" i="69"/>
  <c r="Z102" i="69"/>
  <c r="X102" i="69"/>
  <c r="L102" i="69"/>
  <c r="N102" i="69" s="1"/>
  <c r="B102" i="69"/>
  <c r="T101" i="69"/>
  <c r="P101" i="69"/>
  <c r="X101" i="69" s="1"/>
  <c r="Z101" i="69" s="1"/>
  <c r="L101" i="69"/>
  <c r="H101" i="69"/>
  <c r="D101" i="69"/>
  <c r="B101" i="69"/>
  <c r="Z100" i="69"/>
  <c r="X100" i="69"/>
  <c r="N100" i="69"/>
  <c r="L100" i="69"/>
  <c r="B100" i="69"/>
  <c r="X99" i="69"/>
  <c r="T99" i="69"/>
  <c r="Z99" i="69" s="1"/>
  <c r="P99" i="69"/>
  <c r="H99" i="69"/>
  <c r="D99" i="69"/>
  <c r="B99" i="69"/>
  <c r="X98" i="69"/>
  <c r="Z98" i="69" s="1"/>
  <c r="N98" i="69"/>
  <c r="L98" i="69"/>
  <c r="B98" i="69"/>
  <c r="X97" i="69"/>
  <c r="Z97" i="69" s="1"/>
  <c r="N97" i="69"/>
  <c r="L97" i="69"/>
  <c r="B97" i="69"/>
  <c r="Z96" i="69"/>
  <c r="X96" i="69"/>
  <c r="N96" i="69"/>
  <c r="L96" i="69"/>
  <c r="B96" i="69"/>
  <c r="X95" i="69"/>
  <c r="Z95" i="69" s="1"/>
  <c r="N95" i="69"/>
  <c r="L95" i="69"/>
  <c r="B95" i="69"/>
  <c r="Z94" i="69"/>
  <c r="X94" i="69"/>
  <c r="L94" i="69"/>
  <c r="N94" i="69" s="1"/>
  <c r="B94" i="69"/>
  <c r="Z93" i="69"/>
  <c r="X93" i="69"/>
  <c r="L93" i="69"/>
  <c r="N93" i="69" s="1"/>
  <c r="B93" i="69"/>
  <c r="X92" i="69"/>
  <c r="Z92" i="69" s="1"/>
  <c r="T92" i="69"/>
  <c r="P92" i="69"/>
  <c r="N92" i="69"/>
  <c r="H92" i="69"/>
  <c r="L92" i="69" s="1"/>
  <c r="D92" i="69"/>
  <c r="B92" i="69"/>
  <c r="X91" i="69"/>
  <c r="Z91" i="69" s="1"/>
  <c r="N91" i="69"/>
  <c r="L91" i="69"/>
  <c r="B91" i="69"/>
  <c r="Z90" i="69"/>
  <c r="X90" i="69"/>
  <c r="L90" i="69"/>
  <c r="N90" i="69" s="1"/>
  <c r="B90" i="69"/>
  <c r="Z89" i="69"/>
  <c r="X89" i="69"/>
  <c r="L89" i="69"/>
  <c r="N89" i="69" s="1"/>
  <c r="B89" i="69"/>
  <c r="X88" i="69"/>
  <c r="Z88" i="69" s="1"/>
  <c r="N88" i="69"/>
  <c r="L88" i="69"/>
  <c r="B88" i="69"/>
  <c r="Z87" i="69"/>
  <c r="X87" i="69"/>
  <c r="L87" i="69"/>
  <c r="N87" i="69" s="1"/>
  <c r="B87" i="69"/>
  <c r="X86" i="69"/>
  <c r="Z86" i="69" s="1"/>
  <c r="N86" i="69"/>
  <c r="L86" i="69"/>
  <c r="B86" i="69"/>
  <c r="X85" i="69"/>
  <c r="Z85" i="69" s="1"/>
  <c r="N85" i="69"/>
  <c r="L85" i="69"/>
  <c r="B85" i="69"/>
  <c r="Z84" i="69"/>
  <c r="X84" i="69"/>
  <c r="L84" i="69"/>
  <c r="N84" i="69" s="1"/>
  <c r="B84" i="69"/>
  <c r="X83" i="69"/>
  <c r="T83" i="69"/>
  <c r="Z83" i="69" s="1"/>
  <c r="P83" i="69"/>
  <c r="H83" i="69"/>
  <c r="D83" i="69"/>
  <c r="B83" i="69"/>
  <c r="T82" i="69"/>
  <c r="P82" i="69"/>
  <c r="X82" i="69" s="1"/>
  <c r="L82" i="69"/>
  <c r="H82" i="69"/>
  <c r="N82" i="69" s="1"/>
  <c r="D82" i="69"/>
  <c r="X78" i="69"/>
  <c r="Z78" i="69" s="1"/>
  <c r="N78" i="69"/>
  <c r="L78" i="69"/>
  <c r="B78" i="69"/>
  <c r="X77" i="69"/>
  <c r="Z77" i="69" s="1"/>
  <c r="N77" i="69"/>
  <c r="L77" i="69"/>
  <c r="B77" i="69"/>
  <c r="Z76" i="69"/>
  <c r="X76" i="69"/>
  <c r="N76" i="69"/>
  <c r="L76" i="69"/>
  <c r="B76" i="69"/>
  <c r="X75" i="69"/>
  <c r="Z75" i="69" s="1"/>
  <c r="N75" i="69"/>
  <c r="L75" i="69"/>
  <c r="B75" i="69"/>
  <c r="Z74" i="69"/>
  <c r="X74" i="69"/>
  <c r="L74" i="69"/>
  <c r="N74" i="69" s="1"/>
  <c r="B74" i="69"/>
  <c r="Z73" i="69"/>
  <c r="X73" i="69"/>
  <c r="L73" i="69"/>
  <c r="N73" i="69" s="1"/>
  <c r="B73" i="69"/>
  <c r="Z72" i="69"/>
  <c r="X72" i="69"/>
  <c r="N72" i="69"/>
  <c r="L72" i="69"/>
  <c r="B72" i="69"/>
  <c r="Z71" i="69"/>
  <c r="X71" i="69"/>
  <c r="N71" i="69"/>
  <c r="L71" i="69"/>
  <c r="B71" i="69"/>
  <c r="Z70" i="69"/>
  <c r="X70" i="69"/>
  <c r="N70" i="69"/>
  <c r="L70" i="69"/>
  <c r="B70" i="69"/>
  <c r="Z69" i="69"/>
  <c r="X69" i="69"/>
  <c r="N69" i="69"/>
  <c r="L69" i="69"/>
  <c r="B69" i="69"/>
  <c r="Z68" i="69"/>
  <c r="X68" i="69"/>
  <c r="N68" i="69"/>
  <c r="L68" i="69"/>
  <c r="B68" i="69"/>
  <c r="X67" i="69"/>
  <c r="Z67" i="69" s="1"/>
  <c r="N67" i="69"/>
  <c r="L67" i="69"/>
  <c r="B67" i="69"/>
  <c r="Z66" i="69"/>
  <c r="X66" i="69"/>
  <c r="L66" i="69"/>
  <c r="N66" i="69" s="1"/>
  <c r="B66" i="69"/>
  <c r="Z65" i="69"/>
  <c r="X65" i="69"/>
  <c r="L65" i="69"/>
  <c r="N65" i="69" s="1"/>
  <c r="B65" i="69"/>
  <c r="X64" i="69"/>
  <c r="Z64" i="69" s="1"/>
  <c r="N64" i="69"/>
  <c r="L64" i="69"/>
  <c r="B64" i="69"/>
  <c r="Z63" i="69"/>
  <c r="X63" i="69"/>
  <c r="L63" i="69"/>
  <c r="N63" i="69" s="1"/>
  <c r="B63" i="69"/>
  <c r="X62" i="69"/>
  <c r="Z62" i="69" s="1"/>
  <c r="N62" i="69"/>
  <c r="L62" i="69"/>
  <c r="B62" i="69"/>
  <c r="X61" i="69"/>
  <c r="Z61" i="69" s="1"/>
  <c r="N61" i="69"/>
  <c r="L61" i="69"/>
  <c r="B61" i="69"/>
  <c r="Z60" i="69"/>
  <c r="X60" i="69"/>
  <c r="L60" i="69"/>
  <c r="N60" i="69" s="1"/>
  <c r="B60" i="69"/>
  <c r="Z59" i="69"/>
  <c r="X59" i="69"/>
  <c r="N59" i="69"/>
  <c r="L59" i="69"/>
  <c r="B59" i="69"/>
  <c r="Z58" i="69"/>
  <c r="X58" i="69"/>
  <c r="N58" i="69"/>
  <c r="L58" i="69"/>
  <c r="B58" i="69"/>
  <c r="Z57" i="69"/>
  <c r="X57" i="69"/>
  <c r="N57" i="69"/>
  <c r="L57" i="69"/>
  <c r="B57" i="69"/>
  <c r="Z56" i="69"/>
  <c r="X56" i="69"/>
  <c r="N56" i="69"/>
  <c r="L56" i="69"/>
  <c r="B56" i="69"/>
  <c r="Z55" i="69"/>
  <c r="X55" i="69"/>
  <c r="N55" i="69"/>
  <c r="L55" i="69"/>
  <c r="B55" i="69"/>
  <c r="Z54" i="69"/>
  <c r="X54" i="69"/>
  <c r="N54" i="69"/>
  <c r="L54" i="69"/>
  <c r="B54" i="69"/>
  <c r="T53" i="69"/>
  <c r="P53" i="69"/>
  <c r="H53" i="69"/>
  <c r="D53" i="69"/>
  <c r="L53" i="69" s="1"/>
  <c r="N53" i="69" s="1"/>
  <c r="T51" i="69"/>
  <c r="P51" i="69"/>
  <c r="H51" i="69"/>
  <c r="D51" i="69"/>
  <c r="L51" i="69" s="1"/>
  <c r="N51" i="69" s="1"/>
  <c r="B51" i="69"/>
  <c r="X50" i="69"/>
  <c r="Z50" i="69" s="1"/>
  <c r="T50" i="69"/>
  <c r="P50" i="69"/>
  <c r="H50" i="69"/>
  <c r="D50" i="69"/>
  <c r="B50" i="69"/>
  <c r="T49" i="69"/>
  <c r="P49" i="69"/>
  <c r="X49" i="69" s="1"/>
  <c r="Z49" i="69" s="1"/>
  <c r="L49" i="69"/>
  <c r="H49" i="69"/>
  <c r="N49" i="69" s="1"/>
  <c r="D49" i="69"/>
  <c r="B49" i="69"/>
  <c r="T48" i="69"/>
  <c r="Z48" i="69" s="1"/>
  <c r="P48" i="69"/>
  <c r="N48" i="69"/>
  <c r="H48" i="69"/>
  <c r="D48" i="69"/>
  <c r="L48" i="69" s="1"/>
  <c r="B48" i="69"/>
  <c r="T47" i="69"/>
  <c r="P47" i="69"/>
  <c r="X47" i="69" s="1"/>
  <c r="Z47" i="69" s="1"/>
  <c r="H47" i="69"/>
  <c r="D47" i="69"/>
  <c r="B47" i="69"/>
  <c r="T46" i="69"/>
  <c r="P46" i="69"/>
  <c r="N46" i="69"/>
  <c r="L46" i="69"/>
  <c r="H46" i="69"/>
  <c r="D46" i="69"/>
  <c r="B46" i="69"/>
  <c r="X45" i="69"/>
  <c r="T45" i="69"/>
  <c r="P45" i="69"/>
  <c r="N45" i="69"/>
  <c r="H45" i="69"/>
  <c r="D45" i="69"/>
  <c r="L45" i="69" s="1"/>
  <c r="B45" i="69"/>
  <c r="T44" i="69"/>
  <c r="P44" i="69"/>
  <c r="X44" i="69" s="1"/>
  <c r="Z44" i="69" s="1"/>
  <c r="H44" i="69"/>
  <c r="D44" i="69"/>
  <c r="B44" i="69"/>
  <c r="T43" i="69"/>
  <c r="P43" i="69"/>
  <c r="H43" i="69"/>
  <c r="D43" i="69"/>
  <c r="L43" i="69" s="1"/>
  <c r="N43" i="69" s="1"/>
  <c r="B43" i="69"/>
  <c r="X42" i="69"/>
  <c r="Z42" i="69" s="1"/>
  <c r="T42" i="69"/>
  <c r="P42" i="69"/>
  <c r="H42" i="69"/>
  <c r="D42" i="69"/>
  <c r="L42" i="69" s="1"/>
  <c r="B42" i="69"/>
  <c r="Z41" i="69"/>
  <c r="T41" i="69"/>
  <c r="P41" i="69"/>
  <c r="X41" i="69" s="1"/>
  <c r="L41" i="69"/>
  <c r="H41" i="69"/>
  <c r="N41" i="69" s="1"/>
  <c r="D41" i="69"/>
  <c r="B41" i="69"/>
  <c r="T40" i="69"/>
  <c r="Z40" i="69" s="1"/>
  <c r="P40" i="69"/>
  <c r="N40" i="69"/>
  <c r="H40" i="69"/>
  <c r="D40" i="69"/>
  <c r="L40" i="69" s="1"/>
  <c r="B40" i="69"/>
  <c r="Z39" i="69"/>
  <c r="T39" i="69"/>
  <c r="P39" i="69"/>
  <c r="X39" i="69" s="1"/>
  <c r="H39" i="69"/>
  <c r="D39" i="69"/>
  <c r="B39" i="69"/>
  <c r="T38" i="69"/>
  <c r="P38" i="69"/>
  <c r="L38" i="69"/>
  <c r="N38" i="69" s="1"/>
  <c r="H38" i="69"/>
  <c r="D38" i="69"/>
  <c r="B38" i="69"/>
  <c r="X37" i="69"/>
  <c r="T37" i="69"/>
  <c r="P37" i="69"/>
  <c r="H37" i="69"/>
  <c r="D37" i="69"/>
  <c r="L37" i="69" s="1"/>
  <c r="N37" i="69" s="1"/>
  <c r="B37" i="69"/>
  <c r="Z36" i="69"/>
  <c r="T36" i="69"/>
  <c r="P36" i="69"/>
  <c r="X36" i="69" s="1"/>
  <c r="H36" i="69"/>
  <c r="N36" i="69" s="1"/>
  <c r="D36" i="69"/>
  <c r="B36" i="69"/>
  <c r="T35" i="69"/>
  <c r="P35" i="69"/>
  <c r="H35" i="69"/>
  <c r="D35" i="69"/>
  <c r="L35" i="69" s="1"/>
  <c r="N35" i="69" s="1"/>
  <c r="B35" i="69"/>
  <c r="X34" i="69"/>
  <c r="Z34" i="69" s="1"/>
  <c r="T34" i="69"/>
  <c r="P34" i="69"/>
  <c r="H34" i="69"/>
  <c r="D34" i="69"/>
  <c r="B34" i="69"/>
  <c r="T33" i="69"/>
  <c r="P33" i="69"/>
  <c r="X33" i="69" s="1"/>
  <c r="Z33" i="69" s="1"/>
  <c r="L33" i="69"/>
  <c r="H33" i="69"/>
  <c r="D33" i="69"/>
  <c r="B33" i="69"/>
  <c r="T32" i="69"/>
  <c r="Z32" i="69" s="1"/>
  <c r="P32" i="69"/>
  <c r="N32" i="69"/>
  <c r="H32" i="69"/>
  <c r="D32" i="69"/>
  <c r="L32" i="69" s="1"/>
  <c r="B32" i="69"/>
  <c r="Z31" i="69"/>
  <c r="T31" i="69"/>
  <c r="P31" i="69"/>
  <c r="X31" i="69" s="1"/>
  <c r="H31" i="69"/>
  <c r="D31" i="69"/>
  <c r="B31" i="69"/>
  <c r="T30" i="69"/>
  <c r="Z30" i="69" s="1"/>
  <c r="P30" i="69"/>
  <c r="N30" i="69"/>
  <c r="L30" i="69"/>
  <c r="H30" i="69"/>
  <c r="D30" i="69"/>
  <c r="B30" i="69"/>
  <c r="X29" i="69"/>
  <c r="T29" i="69"/>
  <c r="Z29" i="69" s="1"/>
  <c r="P29" i="69"/>
  <c r="N29" i="69"/>
  <c r="H29" i="69"/>
  <c r="D29" i="69"/>
  <c r="L29" i="69" s="1"/>
  <c r="B29" i="69"/>
  <c r="Z28" i="69"/>
  <c r="T28" i="69"/>
  <c r="P28" i="69"/>
  <c r="X28" i="69" s="1"/>
  <c r="H28" i="69"/>
  <c r="N28" i="69" s="1"/>
  <c r="D28" i="69"/>
  <c r="B28" i="69"/>
  <c r="T27" i="69"/>
  <c r="P27" i="69"/>
  <c r="N27" i="69"/>
  <c r="H27" i="69"/>
  <c r="D27" i="69"/>
  <c r="L27" i="69" s="1"/>
  <c r="B27" i="69"/>
  <c r="Z26" i="69"/>
  <c r="X26" i="69"/>
  <c r="T26" i="69"/>
  <c r="P26" i="69"/>
  <c r="H26" i="69"/>
  <c r="N26" i="69" s="1"/>
  <c r="D26" i="69"/>
  <c r="L26" i="69" s="1"/>
  <c r="B26" i="69"/>
  <c r="Z25" i="69"/>
  <c r="T25" i="69"/>
  <c r="P25" i="69"/>
  <c r="X25" i="69" s="1"/>
  <c r="L25" i="69"/>
  <c r="H25" i="69"/>
  <c r="N25" i="69" s="1"/>
  <c r="D25" i="69"/>
  <c r="B25" i="69"/>
  <c r="T24" i="69"/>
  <c r="P24" i="69"/>
  <c r="H24" i="69"/>
  <c r="D24" i="69"/>
  <c r="L24" i="69" s="1"/>
  <c r="N24" i="69" s="1"/>
  <c r="B24" i="69"/>
  <c r="T23" i="69"/>
  <c r="P23" i="69"/>
  <c r="H23" i="69"/>
  <c r="D23" i="69"/>
  <c r="B23" i="69"/>
  <c r="T22" i="69"/>
  <c r="P22" i="69"/>
  <c r="X22" i="69" s="1"/>
  <c r="L22" i="69"/>
  <c r="N22" i="69" s="1"/>
  <c r="H22" i="69"/>
  <c r="D22" i="69"/>
  <c r="B22" i="69"/>
  <c r="X21" i="69"/>
  <c r="T21" i="69"/>
  <c r="Z21" i="69" s="1"/>
  <c r="P21" i="69"/>
  <c r="N21" i="69"/>
  <c r="H21" i="69"/>
  <c r="D21" i="69"/>
  <c r="L21" i="69" s="1"/>
  <c r="B21" i="69"/>
  <c r="T20" i="69"/>
  <c r="P20" i="69"/>
  <c r="X20" i="69" s="1"/>
  <c r="Z20" i="69" s="1"/>
  <c r="H20" i="69"/>
  <c r="D20" i="69"/>
  <c r="B20" i="69"/>
  <c r="T19" i="69"/>
  <c r="P19" i="69"/>
  <c r="H19" i="69"/>
  <c r="D19" i="69"/>
  <c r="L19" i="69" s="1"/>
  <c r="N19" i="69" s="1"/>
  <c r="B19" i="69"/>
  <c r="Z18" i="69"/>
  <c r="X18" i="69"/>
  <c r="T18" i="69"/>
  <c r="P18" i="69"/>
  <c r="H18" i="69"/>
  <c r="N18" i="69" s="1"/>
  <c r="D18" i="69"/>
  <c r="B18" i="69"/>
  <c r="Z17" i="69"/>
  <c r="T17" i="69"/>
  <c r="P17" i="69"/>
  <c r="X17" i="69" s="1"/>
  <c r="L17" i="69"/>
  <c r="H17" i="69"/>
  <c r="N17" i="69" s="1"/>
  <c r="D17" i="69"/>
  <c r="B17" i="69"/>
  <c r="T16" i="69"/>
  <c r="Z16" i="69" s="1"/>
  <c r="P16" i="69"/>
  <c r="N16" i="69"/>
  <c r="H16" i="69"/>
  <c r="D16" i="69"/>
  <c r="L16" i="69" s="1"/>
  <c r="B16" i="69"/>
  <c r="Z15" i="69"/>
  <c r="T15" i="69"/>
  <c r="P15" i="69"/>
  <c r="X15" i="69" s="1"/>
  <c r="H15" i="69"/>
  <c r="D15" i="69"/>
  <c r="B15" i="69"/>
  <c r="T14" i="69"/>
  <c r="Z14" i="69" s="1"/>
  <c r="P14" i="69"/>
  <c r="N14" i="69"/>
  <c r="L14" i="69"/>
  <c r="H14" i="69"/>
  <c r="D14" i="69"/>
  <c r="B14" i="69"/>
  <c r="X13" i="69"/>
  <c r="T13" i="69"/>
  <c r="Z13" i="69" s="1"/>
  <c r="P13" i="69"/>
  <c r="N13" i="69"/>
  <c r="H13" i="69"/>
  <c r="D13" i="69"/>
  <c r="L13" i="69" s="1"/>
  <c r="B13" i="69"/>
  <c r="D6" i="69"/>
  <c r="D4" i="69"/>
  <c r="X101" i="68"/>
  <c r="Z101" i="68" s="1"/>
  <c r="N101" i="68"/>
  <c r="L101" i="68"/>
  <c r="T97" i="68"/>
  <c r="Z97" i="68" s="1"/>
  <c r="P97" i="68"/>
  <c r="X97" i="68" s="1"/>
  <c r="H97" i="68"/>
  <c r="N97" i="68" s="1"/>
  <c r="D97" i="68"/>
  <c r="L97" i="68" s="1"/>
  <c r="X95" i="68"/>
  <c r="Z95" i="68" s="1"/>
  <c r="N95" i="68"/>
  <c r="L95" i="68"/>
  <c r="B95" i="68"/>
  <c r="Z94" i="68"/>
  <c r="T94" i="68"/>
  <c r="P94" i="68"/>
  <c r="X94" i="68" s="1"/>
  <c r="N94" i="68"/>
  <c r="H94" i="68"/>
  <c r="D94" i="68"/>
  <c r="L94" i="68" s="1"/>
  <c r="B94" i="68"/>
  <c r="Z93" i="68"/>
  <c r="X93" i="68"/>
  <c r="N93" i="68"/>
  <c r="L93" i="68"/>
  <c r="B93" i="68"/>
  <c r="T92" i="68"/>
  <c r="P92" i="68"/>
  <c r="X92" i="68" s="1"/>
  <c r="Z92" i="68" s="1"/>
  <c r="L92" i="68"/>
  <c r="H92" i="68"/>
  <c r="N92" i="68" s="1"/>
  <c r="D92" i="68"/>
  <c r="B92" i="68"/>
  <c r="Z91" i="68"/>
  <c r="X91" i="68"/>
  <c r="N91" i="68"/>
  <c r="L91" i="68"/>
  <c r="B91" i="68"/>
  <c r="X90" i="68"/>
  <c r="Z90" i="68" s="1"/>
  <c r="N90" i="68"/>
  <c r="L90" i="68"/>
  <c r="B90" i="68"/>
  <c r="Z89" i="68"/>
  <c r="T89" i="68"/>
  <c r="X89" i="68" s="1"/>
  <c r="P89" i="68"/>
  <c r="H89" i="68"/>
  <c r="N89" i="68" s="1"/>
  <c r="D89" i="68"/>
  <c r="L89" i="68" s="1"/>
  <c r="B89" i="68"/>
  <c r="X88" i="68"/>
  <c r="Z88" i="68" s="1"/>
  <c r="N88" i="68"/>
  <c r="L88" i="68"/>
  <c r="B88" i="68"/>
  <c r="T87" i="68"/>
  <c r="Z87" i="68" s="1"/>
  <c r="P87" i="68"/>
  <c r="X87" i="68" s="1"/>
  <c r="H87" i="68"/>
  <c r="N87" i="68" s="1"/>
  <c r="D87" i="68"/>
  <c r="L87" i="68" s="1"/>
  <c r="B87" i="68"/>
  <c r="Z86" i="68"/>
  <c r="X86" i="68"/>
  <c r="L86" i="68"/>
  <c r="N86" i="68" s="1"/>
  <c r="B86" i="68"/>
  <c r="X85" i="68"/>
  <c r="Z85" i="68" s="1"/>
  <c r="N85" i="68"/>
  <c r="L85" i="68"/>
  <c r="B85" i="68"/>
  <c r="X84" i="68"/>
  <c r="Z84" i="68" s="1"/>
  <c r="N84" i="68"/>
  <c r="L84" i="68"/>
  <c r="B84" i="68"/>
  <c r="Z83" i="68"/>
  <c r="X83" i="68"/>
  <c r="L83" i="68"/>
  <c r="N83" i="68" s="1"/>
  <c r="B83" i="68"/>
  <c r="X82" i="68"/>
  <c r="Z82" i="68" s="1"/>
  <c r="N82" i="68"/>
  <c r="L82" i="68"/>
  <c r="B82" i="68"/>
  <c r="Z81" i="68"/>
  <c r="X81" i="68"/>
  <c r="L81" i="68"/>
  <c r="N81" i="68" s="1"/>
  <c r="B81" i="68"/>
  <c r="Z80" i="68"/>
  <c r="X80" i="68"/>
  <c r="L80" i="68"/>
  <c r="N80" i="68" s="1"/>
  <c r="B80" i="68"/>
  <c r="X79" i="68"/>
  <c r="Z79" i="68" s="1"/>
  <c r="N79" i="68"/>
  <c r="L79" i="68"/>
  <c r="B79" i="68"/>
  <c r="Z78" i="68"/>
  <c r="X78" i="68"/>
  <c r="L78" i="68"/>
  <c r="N78" i="68" s="1"/>
  <c r="B78" i="68"/>
  <c r="T77" i="68"/>
  <c r="Z77" i="68" s="1"/>
  <c r="P77" i="68"/>
  <c r="X77" i="68" s="1"/>
  <c r="L77" i="68"/>
  <c r="N77" i="68" s="1"/>
  <c r="H77" i="68"/>
  <c r="D77" i="68"/>
  <c r="B77" i="68"/>
  <c r="Z76" i="68"/>
  <c r="X76" i="68"/>
  <c r="N76" i="68"/>
  <c r="L76" i="68"/>
  <c r="B76" i="68"/>
  <c r="X75" i="68"/>
  <c r="T75" i="68"/>
  <c r="P75" i="68"/>
  <c r="N75" i="68"/>
  <c r="H75" i="68"/>
  <c r="L75" i="68" s="1"/>
  <c r="D75" i="68"/>
  <c r="B75" i="68"/>
  <c r="Z74" i="68"/>
  <c r="X74" i="68"/>
  <c r="N74" i="68"/>
  <c r="L74" i="68"/>
  <c r="B74" i="68"/>
  <c r="Z73" i="68"/>
  <c r="X73" i="68"/>
  <c r="L73" i="68"/>
  <c r="N73" i="68" s="1"/>
  <c r="B73" i="68"/>
  <c r="T72" i="68"/>
  <c r="P72" i="68"/>
  <c r="X72" i="68" s="1"/>
  <c r="Z72" i="68" s="1"/>
  <c r="L72" i="68"/>
  <c r="N72" i="68" s="1"/>
  <c r="H72" i="68"/>
  <c r="D72" i="68"/>
  <c r="B72" i="68"/>
  <c r="X71" i="68"/>
  <c r="Z71" i="68" s="1"/>
  <c r="N71" i="68"/>
  <c r="L71" i="68"/>
  <c r="B71" i="68"/>
  <c r="X70" i="68"/>
  <c r="Z70" i="68" s="1"/>
  <c r="T70" i="68"/>
  <c r="P70" i="68"/>
  <c r="H70" i="68"/>
  <c r="D70" i="68"/>
  <c r="B70" i="68"/>
  <c r="Z69" i="68"/>
  <c r="X69" i="68"/>
  <c r="N69" i="68"/>
  <c r="L69" i="68"/>
  <c r="B69" i="68"/>
  <c r="X68" i="68"/>
  <c r="Z68" i="68" s="1"/>
  <c r="N68" i="68"/>
  <c r="L68" i="68"/>
  <c r="B68" i="68"/>
  <c r="X67" i="68"/>
  <c r="Z67" i="68" s="1"/>
  <c r="L67" i="68"/>
  <c r="N67" i="68" s="1"/>
  <c r="B67" i="68"/>
  <c r="X66" i="68"/>
  <c r="Z66" i="68" s="1"/>
  <c r="T66" i="68"/>
  <c r="P66" i="68"/>
  <c r="H66" i="68"/>
  <c r="D66" i="68"/>
  <c r="B66" i="68"/>
  <c r="Z65" i="68"/>
  <c r="X65" i="68"/>
  <c r="N65" i="68"/>
  <c r="L65" i="68"/>
  <c r="B65" i="68"/>
  <c r="X64" i="68"/>
  <c r="Z64" i="68" s="1"/>
  <c r="N64" i="68"/>
  <c r="L64" i="68"/>
  <c r="B64" i="68"/>
  <c r="Z63" i="68"/>
  <c r="X63" i="68"/>
  <c r="L63" i="68"/>
  <c r="N63" i="68" s="1"/>
  <c r="B63" i="68"/>
  <c r="X62" i="68"/>
  <c r="Z62" i="68" s="1"/>
  <c r="N62" i="68"/>
  <c r="L62" i="68"/>
  <c r="B62" i="68"/>
  <c r="Z61" i="68"/>
  <c r="X61" i="68"/>
  <c r="N61" i="68"/>
  <c r="L61" i="68"/>
  <c r="B61" i="68"/>
  <c r="Z60" i="68"/>
  <c r="X60" i="68"/>
  <c r="L60" i="68"/>
  <c r="N60" i="68" s="1"/>
  <c r="B60" i="68"/>
  <c r="X59" i="68"/>
  <c r="Z59" i="68" s="1"/>
  <c r="L59" i="68"/>
  <c r="N59" i="68" s="1"/>
  <c r="B59" i="68"/>
  <c r="Z58" i="68"/>
  <c r="X58" i="68"/>
  <c r="L58" i="68"/>
  <c r="N58" i="68" s="1"/>
  <c r="B58" i="68"/>
  <c r="Z57" i="68"/>
  <c r="X57" i="68"/>
  <c r="N57" i="68"/>
  <c r="L57" i="68"/>
  <c r="B57" i="68"/>
  <c r="T56" i="68"/>
  <c r="P56" i="68"/>
  <c r="H56" i="68"/>
  <c r="D56" i="68"/>
  <c r="L56" i="68" s="1"/>
  <c r="N56" i="68" s="1"/>
  <c r="B56" i="68"/>
  <c r="X55" i="68"/>
  <c r="T55" i="68"/>
  <c r="Z55" i="68" s="1"/>
  <c r="P55" i="68"/>
  <c r="H55" i="68"/>
  <c r="L55" i="68" s="1"/>
  <c r="D55" i="68"/>
  <c r="X51" i="68"/>
  <c r="Z51" i="68" s="1"/>
  <c r="N51" i="68"/>
  <c r="L51" i="68"/>
  <c r="B51" i="68"/>
  <c r="Z50" i="68"/>
  <c r="X50" i="68"/>
  <c r="N50" i="68"/>
  <c r="L50" i="68"/>
  <c r="B50" i="68"/>
  <c r="X49" i="68"/>
  <c r="Z49" i="68" s="1"/>
  <c r="N49" i="68"/>
  <c r="L49" i="68"/>
  <c r="B49" i="68"/>
  <c r="Z48" i="68"/>
  <c r="X48" i="68"/>
  <c r="N48" i="68"/>
  <c r="L48" i="68"/>
  <c r="B48" i="68"/>
  <c r="X47" i="68"/>
  <c r="Z47" i="68" s="1"/>
  <c r="N47" i="68"/>
  <c r="L47" i="68"/>
  <c r="B47" i="68"/>
  <c r="X46" i="68"/>
  <c r="Z46" i="68" s="1"/>
  <c r="N46" i="68"/>
  <c r="L46" i="68"/>
  <c r="B46" i="68"/>
  <c r="Z45" i="68"/>
  <c r="X45" i="68"/>
  <c r="L45" i="68"/>
  <c r="N45" i="68" s="1"/>
  <c r="B45" i="68"/>
  <c r="Z44" i="68"/>
  <c r="X44" i="68"/>
  <c r="N44" i="68"/>
  <c r="L44" i="68"/>
  <c r="B44" i="68"/>
  <c r="X43" i="68"/>
  <c r="Z43" i="68" s="1"/>
  <c r="N43" i="68"/>
  <c r="L43" i="68"/>
  <c r="B43" i="68"/>
  <c r="Z42" i="68"/>
  <c r="X42" i="68"/>
  <c r="N42" i="68"/>
  <c r="L42" i="68"/>
  <c r="B42" i="68"/>
  <c r="X41" i="68"/>
  <c r="Z41" i="68" s="1"/>
  <c r="L41" i="68"/>
  <c r="N41" i="68" s="1"/>
  <c r="B41" i="68"/>
  <c r="Z40" i="68"/>
  <c r="X40" i="68"/>
  <c r="N40" i="68"/>
  <c r="L40" i="68"/>
  <c r="B40" i="68"/>
  <c r="X39" i="68"/>
  <c r="Z39" i="68" s="1"/>
  <c r="N39" i="68"/>
  <c r="L39" i="68"/>
  <c r="B39" i="68"/>
  <c r="Z38" i="68"/>
  <c r="X38" i="68"/>
  <c r="N38" i="68"/>
  <c r="L38" i="68"/>
  <c r="B38" i="68"/>
  <c r="Z37" i="68"/>
  <c r="X37" i="68"/>
  <c r="N37" i="68"/>
  <c r="L37" i="68"/>
  <c r="B37" i="68"/>
  <c r="T36" i="68"/>
  <c r="P36" i="68"/>
  <c r="H36" i="68"/>
  <c r="D36" i="68"/>
  <c r="L36" i="68" s="1"/>
  <c r="N36" i="68" s="1"/>
  <c r="T34" i="68"/>
  <c r="P34" i="68"/>
  <c r="X34" i="68" s="1"/>
  <c r="N34" i="68"/>
  <c r="H34" i="68"/>
  <c r="D34" i="68"/>
  <c r="L34" i="68" s="1"/>
  <c r="B34" i="68"/>
  <c r="T33" i="68"/>
  <c r="Z33" i="68" s="1"/>
  <c r="P33" i="68"/>
  <c r="X33" i="68" s="1"/>
  <c r="H33" i="68"/>
  <c r="D33" i="68"/>
  <c r="B33" i="68"/>
  <c r="T32" i="68"/>
  <c r="P32" i="68"/>
  <c r="X32" i="68" s="1"/>
  <c r="L32" i="68"/>
  <c r="H32" i="68"/>
  <c r="N32" i="68" s="1"/>
  <c r="D32" i="68"/>
  <c r="B32" i="68"/>
  <c r="X31" i="68"/>
  <c r="T31" i="68"/>
  <c r="Z31" i="68" s="1"/>
  <c r="P31" i="68"/>
  <c r="N31" i="68"/>
  <c r="H31" i="68"/>
  <c r="D31" i="68"/>
  <c r="L31" i="68" s="1"/>
  <c r="B31" i="68"/>
  <c r="T30" i="68"/>
  <c r="P30" i="68"/>
  <c r="X30" i="68" s="1"/>
  <c r="Z30" i="68" s="1"/>
  <c r="H30" i="68"/>
  <c r="N30" i="68" s="1"/>
  <c r="D30" i="68"/>
  <c r="L30" i="68" s="1"/>
  <c r="B30" i="68"/>
  <c r="T29" i="68"/>
  <c r="P29" i="68"/>
  <c r="X29" i="68" s="1"/>
  <c r="H29" i="68"/>
  <c r="N29" i="68" s="1"/>
  <c r="D29" i="68"/>
  <c r="L29" i="68" s="1"/>
  <c r="B29" i="68"/>
  <c r="X28" i="68"/>
  <c r="T28" i="68"/>
  <c r="Z28" i="68" s="1"/>
  <c r="P28" i="68"/>
  <c r="H28" i="68"/>
  <c r="N28" i="68" s="1"/>
  <c r="D28" i="68"/>
  <c r="L28" i="68" s="1"/>
  <c r="B28" i="68"/>
  <c r="Z27" i="68"/>
  <c r="T27" i="68"/>
  <c r="P27" i="68"/>
  <c r="X27" i="68" s="1"/>
  <c r="L27" i="68"/>
  <c r="H27" i="68"/>
  <c r="N27" i="68" s="1"/>
  <c r="D27" i="68"/>
  <c r="B27" i="68"/>
  <c r="T26" i="68"/>
  <c r="P26" i="68"/>
  <c r="X26" i="68" s="1"/>
  <c r="H26" i="68"/>
  <c r="D26" i="68"/>
  <c r="L26" i="68" s="1"/>
  <c r="N26" i="68" s="1"/>
  <c r="B26" i="68"/>
  <c r="T25" i="68"/>
  <c r="Z25" i="68" s="1"/>
  <c r="P25" i="68"/>
  <c r="X25" i="68" s="1"/>
  <c r="H25" i="68"/>
  <c r="D25" i="68"/>
  <c r="B25" i="68"/>
  <c r="T24" i="68"/>
  <c r="Z24" i="68" s="1"/>
  <c r="P24" i="68"/>
  <c r="X24" i="68" s="1"/>
  <c r="L24" i="68"/>
  <c r="H24" i="68"/>
  <c r="N24" i="68" s="1"/>
  <c r="D24" i="68"/>
  <c r="B24" i="68"/>
  <c r="X23" i="68"/>
  <c r="T23" i="68"/>
  <c r="Z23" i="68" s="1"/>
  <c r="P23" i="68"/>
  <c r="H23" i="68"/>
  <c r="D23" i="68"/>
  <c r="L23" i="68" s="1"/>
  <c r="N23" i="68" s="1"/>
  <c r="B23" i="68"/>
  <c r="T22" i="68"/>
  <c r="P22" i="68"/>
  <c r="X22" i="68" s="1"/>
  <c r="Z22" i="68" s="1"/>
  <c r="H22" i="68"/>
  <c r="D22" i="68"/>
  <c r="L22" i="68" s="1"/>
  <c r="B22" i="68"/>
  <c r="T21" i="68"/>
  <c r="P21" i="68"/>
  <c r="X21" i="68" s="1"/>
  <c r="H21" i="68"/>
  <c r="D21" i="68"/>
  <c r="L21" i="68" s="1"/>
  <c r="B21" i="68"/>
  <c r="X20" i="68"/>
  <c r="T20" i="68"/>
  <c r="Z20" i="68" s="1"/>
  <c r="P20" i="68"/>
  <c r="H20" i="68"/>
  <c r="N20" i="68" s="1"/>
  <c r="D20" i="68"/>
  <c r="L20" i="68" s="1"/>
  <c r="B20" i="68"/>
  <c r="Z19" i="68"/>
  <c r="T19" i="68"/>
  <c r="P19" i="68"/>
  <c r="X19" i="68" s="1"/>
  <c r="L19" i="68"/>
  <c r="H19" i="68"/>
  <c r="N19" i="68" s="1"/>
  <c r="D19" i="68"/>
  <c r="B19" i="68"/>
  <c r="T18" i="68"/>
  <c r="P18" i="68"/>
  <c r="X18" i="68" s="1"/>
  <c r="H18" i="68"/>
  <c r="D18" i="68"/>
  <c r="L18" i="68" s="1"/>
  <c r="N18" i="68" s="1"/>
  <c r="B18" i="68"/>
  <c r="T17" i="68"/>
  <c r="Z17" i="68" s="1"/>
  <c r="P17" i="68"/>
  <c r="X17" i="68" s="1"/>
  <c r="H17" i="68"/>
  <c r="D17" i="68"/>
  <c r="B17" i="68"/>
  <c r="T16" i="68"/>
  <c r="P16" i="68"/>
  <c r="X16" i="68" s="1"/>
  <c r="L16" i="68"/>
  <c r="H16" i="68"/>
  <c r="D16" i="68"/>
  <c r="B16" i="68"/>
  <c r="X15" i="68"/>
  <c r="T15" i="68"/>
  <c r="Z15" i="68" s="1"/>
  <c r="P15" i="68"/>
  <c r="N15" i="68"/>
  <c r="H15" i="68"/>
  <c r="D15" i="68"/>
  <c r="L15" i="68" s="1"/>
  <c r="B15" i="68"/>
  <c r="T14" i="68"/>
  <c r="P14" i="68"/>
  <c r="X14" i="68" s="1"/>
  <c r="Z14" i="68" s="1"/>
  <c r="H14" i="68"/>
  <c r="N14" i="68" s="1"/>
  <c r="D14" i="68"/>
  <c r="L14" i="68" s="1"/>
  <c r="B14" i="68"/>
  <c r="T13" i="68"/>
  <c r="P13" i="68"/>
  <c r="H13" i="68"/>
  <c r="N13" i="68" s="1"/>
  <c r="D13" i="68"/>
  <c r="L13" i="68" s="1"/>
  <c r="B13" i="68"/>
  <c r="D6" i="68"/>
  <c r="D4" i="68"/>
  <c r="Z78" i="67"/>
  <c r="X78" i="67"/>
  <c r="N78" i="67"/>
  <c r="L78" i="67"/>
  <c r="T74" i="67"/>
  <c r="P74" i="67"/>
  <c r="N74" i="67"/>
  <c r="H74" i="67"/>
  <c r="D74" i="67"/>
  <c r="L74" i="67" s="1"/>
  <c r="Z72" i="67"/>
  <c r="X72" i="67"/>
  <c r="N72" i="67"/>
  <c r="L72" i="67"/>
  <c r="B72" i="67"/>
  <c r="T71" i="67"/>
  <c r="P71" i="67"/>
  <c r="N71" i="67"/>
  <c r="H71" i="67"/>
  <c r="D71" i="67"/>
  <c r="L71" i="67" s="1"/>
  <c r="B71" i="67"/>
  <c r="X70" i="67"/>
  <c r="Z70" i="67" s="1"/>
  <c r="N70" i="67"/>
  <c r="L70" i="67"/>
  <c r="B70" i="67"/>
  <c r="T69" i="67"/>
  <c r="P69" i="67"/>
  <c r="X69" i="67" s="1"/>
  <c r="Z69" i="67" s="1"/>
  <c r="H69" i="67"/>
  <c r="D69" i="67"/>
  <c r="L69" i="67" s="1"/>
  <c r="N69" i="67" s="1"/>
  <c r="B69" i="67"/>
  <c r="Z68" i="67"/>
  <c r="X68" i="67"/>
  <c r="N68" i="67"/>
  <c r="L68" i="67"/>
  <c r="B68" i="67"/>
  <c r="Z67" i="67"/>
  <c r="X67" i="67"/>
  <c r="N67" i="67"/>
  <c r="L67" i="67"/>
  <c r="B67" i="67"/>
  <c r="X66" i="67"/>
  <c r="Z66" i="67" s="1"/>
  <c r="N66" i="67"/>
  <c r="L66" i="67"/>
  <c r="B66" i="67"/>
  <c r="Z65" i="67"/>
  <c r="X65" i="67"/>
  <c r="N65" i="67"/>
  <c r="L65" i="67"/>
  <c r="B65" i="67"/>
  <c r="Z64" i="67"/>
  <c r="X64" i="67"/>
  <c r="N64" i="67"/>
  <c r="L64" i="67"/>
  <c r="B64" i="67"/>
  <c r="X63" i="67"/>
  <c r="Z63" i="67" s="1"/>
  <c r="N63" i="67"/>
  <c r="L63" i="67"/>
  <c r="J63" i="67"/>
  <c r="B63" i="67"/>
  <c r="T62" i="67"/>
  <c r="P62" i="67"/>
  <c r="X62" i="67" s="1"/>
  <c r="Z62" i="67" s="1"/>
  <c r="N62" i="67"/>
  <c r="H62" i="67"/>
  <c r="D62" i="67"/>
  <c r="L62" i="67" s="1"/>
  <c r="B62" i="67"/>
  <c r="Z61" i="67"/>
  <c r="X61" i="67"/>
  <c r="N61" i="67"/>
  <c r="L61" i="67"/>
  <c r="B61" i="67"/>
  <c r="T60" i="67"/>
  <c r="P60" i="67"/>
  <c r="X60" i="67" s="1"/>
  <c r="Z60" i="67" s="1"/>
  <c r="N60" i="67"/>
  <c r="L60" i="67"/>
  <c r="H60" i="67"/>
  <c r="D60" i="67"/>
  <c r="B60" i="67"/>
  <c r="Z59" i="67"/>
  <c r="X59" i="67"/>
  <c r="N59" i="67"/>
  <c r="L59" i="67"/>
  <c r="B59" i="67"/>
  <c r="X58" i="67"/>
  <c r="Z58" i="67" s="1"/>
  <c r="N58" i="67"/>
  <c r="L58" i="67"/>
  <c r="B58" i="67"/>
  <c r="Z57" i="67"/>
  <c r="X57" i="67"/>
  <c r="N57" i="67"/>
  <c r="L57" i="67"/>
  <c r="B57" i="67"/>
  <c r="T56" i="67"/>
  <c r="P56" i="67"/>
  <c r="X56" i="67" s="1"/>
  <c r="Z56" i="67" s="1"/>
  <c r="L56" i="67"/>
  <c r="N56" i="67" s="1"/>
  <c r="H56" i="67"/>
  <c r="D56" i="67"/>
  <c r="B56" i="67"/>
  <c r="Z55" i="67"/>
  <c r="X55" i="67"/>
  <c r="N55" i="67"/>
  <c r="L55" i="67"/>
  <c r="B55" i="67"/>
  <c r="X54" i="67"/>
  <c r="Z54" i="67" s="1"/>
  <c r="T54" i="67"/>
  <c r="P54" i="67"/>
  <c r="H54" i="67"/>
  <c r="D54" i="67"/>
  <c r="B54" i="67"/>
  <c r="X53" i="67"/>
  <c r="Z53" i="67" s="1"/>
  <c r="N53" i="67"/>
  <c r="L53" i="67"/>
  <c r="B53" i="67"/>
  <c r="T52" i="67"/>
  <c r="P52" i="67"/>
  <c r="H52" i="67"/>
  <c r="N52" i="67" s="1"/>
  <c r="D52" i="67"/>
  <c r="L52" i="67" s="1"/>
  <c r="B52" i="67"/>
  <c r="X51" i="67"/>
  <c r="Z51" i="67" s="1"/>
  <c r="N51" i="67"/>
  <c r="L51" i="67"/>
  <c r="B51" i="67"/>
  <c r="T50" i="67"/>
  <c r="P50" i="67"/>
  <c r="X50" i="67" s="1"/>
  <c r="N50" i="67"/>
  <c r="H50" i="67"/>
  <c r="D50" i="67"/>
  <c r="L50" i="67" s="1"/>
  <c r="B50" i="67"/>
  <c r="Z49" i="67"/>
  <c r="X49" i="67"/>
  <c r="L49" i="67"/>
  <c r="N49" i="67" s="1"/>
  <c r="B49" i="67"/>
  <c r="T48" i="67"/>
  <c r="P48" i="67"/>
  <c r="X48" i="67" s="1"/>
  <c r="Z48" i="67" s="1"/>
  <c r="L48" i="67"/>
  <c r="H48" i="67"/>
  <c r="N48" i="67" s="1"/>
  <c r="D48" i="67"/>
  <c r="B48" i="67"/>
  <c r="Z47" i="67"/>
  <c r="X47" i="67"/>
  <c r="N47" i="67"/>
  <c r="L47" i="67"/>
  <c r="B47" i="67"/>
  <c r="X46" i="67"/>
  <c r="T46" i="67"/>
  <c r="Z46" i="67" s="1"/>
  <c r="P46" i="67"/>
  <c r="H46" i="67"/>
  <c r="D46" i="67"/>
  <c r="B46" i="67"/>
  <c r="X45" i="67"/>
  <c r="Z45" i="67" s="1"/>
  <c r="N45" i="67"/>
  <c r="L45" i="67"/>
  <c r="B45" i="67"/>
  <c r="T44" i="67"/>
  <c r="P44" i="67"/>
  <c r="H44" i="67"/>
  <c r="N44" i="67" s="1"/>
  <c r="D44" i="67"/>
  <c r="L44" i="67" s="1"/>
  <c r="B44" i="67"/>
  <c r="X43" i="67"/>
  <c r="Z43" i="67" s="1"/>
  <c r="N43" i="67"/>
  <c r="L43" i="67"/>
  <c r="B43" i="67"/>
  <c r="Z42" i="67"/>
  <c r="X42" i="67"/>
  <c r="N42" i="67"/>
  <c r="L42" i="67"/>
  <c r="B42" i="67"/>
  <c r="X41" i="67"/>
  <c r="Z41" i="67" s="1"/>
  <c r="N41" i="67"/>
  <c r="L41" i="67"/>
  <c r="B41" i="67"/>
  <c r="Z40" i="67"/>
  <c r="X40" i="67"/>
  <c r="N40" i="67"/>
  <c r="L40" i="67"/>
  <c r="B40" i="67"/>
  <c r="Z39" i="67"/>
  <c r="X39" i="67"/>
  <c r="N39" i="67"/>
  <c r="L39" i="67"/>
  <c r="B39" i="67"/>
  <c r="X38" i="67"/>
  <c r="Z38" i="67" s="1"/>
  <c r="N38" i="67"/>
  <c r="L38" i="67"/>
  <c r="B38" i="67"/>
  <c r="T37" i="67"/>
  <c r="P37" i="67"/>
  <c r="X37" i="67" s="1"/>
  <c r="Z37" i="67" s="1"/>
  <c r="H37" i="67"/>
  <c r="D37" i="67"/>
  <c r="L37" i="67" s="1"/>
  <c r="N37" i="67" s="1"/>
  <c r="B37" i="67"/>
  <c r="Z36" i="67"/>
  <c r="X36" i="67"/>
  <c r="N36" i="67"/>
  <c r="L36" i="67"/>
  <c r="B36" i="67"/>
  <c r="Z35" i="67"/>
  <c r="X35" i="67"/>
  <c r="L35" i="67"/>
  <c r="N35" i="67" s="1"/>
  <c r="B35" i="67"/>
  <c r="X34" i="67"/>
  <c r="Z34" i="67" s="1"/>
  <c r="N34" i="67"/>
  <c r="L34" i="67"/>
  <c r="B34" i="67"/>
  <c r="Z33" i="67"/>
  <c r="X33" i="67"/>
  <c r="L33" i="67"/>
  <c r="N33" i="67" s="1"/>
  <c r="B33" i="67"/>
  <c r="Z32" i="67"/>
  <c r="X32" i="67"/>
  <c r="N32" i="67"/>
  <c r="L32" i="67"/>
  <c r="B32" i="67"/>
  <c r="X31" i="67"/>
  <c r="Z31" i="67" s="1"/>
  <c r="N31" i="67"/>
  <c r="L31" i="67"/>
  <c r="B31" i="67"/>
  <c r="Z30" i="67"/>
  <c r="X30" i="67"/>
  <c r="L30" i="67"/>
  <c r="N30" i="67" s="1"/>
  <c r="B30" i="67"/>
  <c r="X29" i="67"/>
  <c r="Z29" i="67" s="1"/>
  <c r="N29" i="67"/>
  <c r="L29" i="67"/>
  <c r="B29" i="67"/>
  <c r="Z28" i="67"/>
  <c r="T28" i="67"/>
  <c r="X28" i="67" s="1"/>
  <c r="P28" i="67"/>
  <c r="H28" i="67"/>
  <c r="D28" i="67"/>
  <c r="L28" i="67" s="1"/>
  <c r="B28" i="67"/>
  <c r="T27" i="67"/>
  <c r="P27" i="67"/>
  <c r="H27" i="67"/>
  <c r="D27" i="67"/>
  <c r="L27" i="67" s="1"/>
  <c r="N27" i="67" s="1"/>
  <c r="X23" i="67"/>
  <c r="Z23" i="67" s="1"/>
  <c r="N23" i="67"/>
  <c r="L23" i="67"/>
  <c r="B23" i="67"/>
  <c r="Z22" i="67"/>
  <c r="X22" i="67"/>
  <c r="L22" i="67"/>
  <c r="N22" i="67" s="1"/>
  <c r="B22" i="67"/>
  <c r="X21" i="67"/>
  <c r="Z21" i="67" s="1"/>
  <c r="T21" i="67"/>
  <c r="P21" i="67"/>
  <c r="H21" i="67"/>
  <c r="D21" i="67"/>
  <c r="Z19" i="67"/>
  <c r="T19" i="67"/>
  <c r="P19" i="67"/>
  <c r="X19" i="67" s="1"/>
  <c r="L19" i="67"/>
  <c r="H19" i="67"/>
  <c r="N19" i="67" s="1"/>
  <c r="D19" i="67"/>
  <c r="B19" i="67"/>
  <c r="T18" i="67"/>
  <c r="P18" i="67"/>
  <c r="X18" i="67" s="1"/>
  <c r="H18" i="67"/>
  <c r="D18" i="67"/>
  <c r="L18" i="67" s="1"/>
  <c r="N18" i="67" s="1"/>
  <c r="B18" i="67"/>
  <c r="T17" i="67"/>
  <c r="Z17" i="67" s="1"/>
  <c r="P17" i="67"/>
  <c r="X17" i="67" s="1"/>
  <c r="H17" i="67"/>
  <c r="N17" i="67" s="1"/>
  <c r="D17" i="67"/>
  <c r="B17" i="67"/>
  <c r="T16" i="67"/>
  <c r="P16" i="67"/>
  <c r="X16" i="67" s="1"/>
  <c r="L16" i="67"/>
  <c r="H16" i="67"/>
  <c r="N16" i="67" s="1"/>
  <c r="D16" i="67"/>
  <c r="B16" i="67"/>
  <c r="X15" i="67"/>
  <c r="T15" i="67"/>
  <c r="P15" i="67"/>
  <c r="N15" i="67"/>
  <c r="H15" i="67"/>
  <c r="D15" i="67"/>
  <c r="L15" i="67" s="1"/>
  <c r="B15" i="67"/>
  <c r="Z14" i="67"/>
  <c r="T14" i="67"/>
  <c r="P14" i="67"/>
  <c r="X14" i="67" s="1"/>
  <c r="H14" i="67"/>
  <c r="N14" i="67" s="1"/>
  <c r="D14" i="67"/>
  <c r="L14" i="67" s="1"/>
  <c r="B14" i="67"/>
  <c r="T13" i="67"/>
  <c r="P13" i="67"/>
  <c r="H13" i="67"/>
  <c r="N13" i="67" s="1"/>
  <c r="D13" i="67"/>
  <c r="B13" i="67"/>
  <c r="H12" i="67"/>
  <c r="D6" i="67"/>
  <c r="D4" i="67"/>
  <c r="Z134" i="66"/>
  <c r="X134" i="66"/>
  <c r="N134" i="66"/>
  <c r="L134" i="66"/>
  <c r="Z130" i="66"/>
  <c r="T130" i="66"/>
  <c r="X130" i="66" s="1"/>
  <c r="P130" i="66"/>
  <c r="H130" i="66"/>
  <c r="D130" i="66"/>
  <c r="L130" i="66" s="1"/>
  <c r="N130" i="66" s="1"/>
  <c r="B130" i="66"/>
  <c r="T129" i="66"/>
  <c r="P129" i="66"/>
  <c r="H129" i="66"/>
  <c r="D129" i="66"/>
  <c r="B129" i="66"/>
  <c r="X128" i="66"/>
  <c r="T128" i="66"/>
  <c r="P128" i="66"/>
  <c r="P127" i="66" s="1"/>
  <c r="N128" i="66"/>
  <c r="H128" i="66"/>
  <c r="L128" i="66" s="1"/>
  <c r="D128" i="66"/>
  <c r="B128" i="66"/>
  <c r="H127" i="66"/>
  <c r="Z125" i="66"/>
  <c r="X125" i="66"/>
  <c r="N125" i="66"/>
  <c r="L125" i="66"/>
  <c r="B125" i="66"/>
  <c r="T124" i="66"/>
  <c r="Z124" i="66" s="1"/>
  <c r="P124" i="66"/>
  <c r="X124" i="66" s="1"/>
  <c r="L124" i="66"/>
  <c r="H124" i="66"/>
  <c r="N124" i="66" s="1"/>
  <c r="D124" i="66"/>
  <c r="B124" i="66"/>
  <c r="Z123" i="66"/>
  <c r="X123" i="66"/>
  <c r="N123" i="66"/>
  <c r="L123" i="66"/>
  <c r="B123" i="66"/>
  <c r="X122" i="66"/>
  <c r="T122" i="66"/>
  <c r="P122" i="66"/>
  <c r="N122" i="66"/>
  <c r="H122" i="66"/>
  <c r="L122" i="66" s="1"/>
  <c r="D122" i="66"/>
  <c r="B122" i="66"/>
  <c r="X121" i="66"/>
  <c r="Z121" i="66" s="1"/>
  <c r="N121" i="66"/>
  <c r="L121" i="66"/>
  <c r="B121" i="66"/>
  <c r="Z120" i="66"/>
  <c r="X120" i="66"/>
  <c r="N120" i="66"/>
  <c r="L120" i="66"/>
  <c r="B120" i="66"/>
  <c r="T119" i="66"/>
  <c r="P119" i="66"/>
  <c r="X119" i="66" s="1"/>
  <c r="Z119" i="66" s="1"/>
  <c r="L119" i="66"/>
  <c r="N119" i="66" s="1"/>
  <c r="H119" i="66"/>
  <c r="D119" i="66"/>
  <c r="B119" i="66"/>
  <c r="Z118" i="66"/>
  <c r="X118" i="66"/>
  <c r="L118" i="66"/>
  <c r="N118" i="66" s="1"/>
  <c r="B118" i="66"/>
  <c r="X117" i="66"/>
  <c r="Z117" i="66" s="1"/>
  <c r="N117" i="66"/>
  <c r="L117" i="66"/>
  <c r="B117" i="66"/>
  <c r="Z116" i="66"/>
  <c r="X116" i="66"/>
  <c r="N116" i="66"/>
  <c r="L116" i="66"/>
  <c r="B116" i="66"/>
  <c r="T115" i="66"/>
  <c r="P115" i="66"/>
  <c r="X115" i="66" s="1"/>
  <c r="Z115" i="66" s="1"/>
  <c r="L115" i="66"/>
  <c r="N115" i="66" s="1"/>
  <c r="H115" i="66"/>
  <c r="D115" i="66"/>
  <c r="B115" i="66"/>
  <c r="Z114" i="66"/>
  <c r="X114" i="66"/>
  <c r="N114" i="66"/>
  <c r="L114" i="66"/>
  <c r="B114" i="66"/>
  <c r="X113" i="66"/>
  <c r="Z113" i="66" s="1"/>
  <c r="N113" i="66"/>
  <c r="L113" i="66"/>
  <c r="B113" i="66"/>
  <c r="Z112" i="66"/>
  <c r="T112" i="66"/>
  <c r="X112" i="66" s="1"/>
  <c r="P112" i="66"/>
  <c r="H112" i="66"/>
  <c r="D112" i="66"/>
  <c r="L112" i="66" s="1"/>
  <c r="N112" i="66" s="1"/>
  <c r="B112" i="66"/>
  <c r="Z111" i="66"/>
  <c r="X111" i="66"/>
  <c r="N111" i="66"/>
  <c r="L111" i="66"/>
  <c r="B111" i="66"/>
  <c r="Z110" i="66"/>
  <c r="X110" i="66"/>
  <c r="L110" i="66"/>
  <c r="N110" i="66" s="1"/>
  <c r="B110" i="66"/>
  <c r="X109" i="66"/>
  <c r="Z109" i="66" s="1"/>
  <c r="N109" i="66"/>
  <c r="L109" i="66"/>
  <c r="B109" i="66"/>
  <c r="T108" i="66"/>
  <c r="P108" i="66"/>
  <c r="X108" i="66" s="1"/>
  <c r="H108" i="66"/>
  <c r="D108" i="66"/>
  <c r="L108" i="66" s="1"/>
  <c r="N108" i="66" s="1"/>
  <c r="B108" i="66"/>
  <c r="X107" i="66"/>
  <c r="Z107" i="66" s="1"/>
  <c r="N107" i="66"/>
  <c r="L107" i="66"/>
  <c r="B107" i="66"/>
  <c r="Z106" i="66"/>
  <c r="X106" i="66"/>
  <c r="L106" i="66"/>
  <c r="N106" i="66" s="1"/>
  <c r="B106" i="66"/>
  <c r="X105" i="66"/>
  <c r="Z105" i="66" s="1"/>
  <c r="N105" i="66"/>
  <c r="L105" i="66"/>
  <c r="B105" i="66"/>
  <c r="Z104" i="66"/>
  <c r="X104" i="66"/>
  <c r="N104" i="66"/>
  <c r="L104" i="66"/>
  <c r="B104" i="66"/>
  <c r="Z103" i="66"/>
  <c r="X103" i="66"/>
  <c r="L103" i="66"/>
  <c r="N103" i="66" s="1"/>
  <c r="B103" i="66"/>
  <c r="X102" i="66"/>
  <c r="Z102" i="66" s="1"/>
  <c r="N102" i="66"/>
  <c r="L102" i="66"/>
  <c r="B102" i="66"/>
  <c r="Z101" i="66"/>
  <c r="X101" i="66"/>
  <c r="L101" i="66"/>
  <c r="N101" i="66" s="1"/>
  <c r="B101" i="66"/>
  <c r="X100" i="66"/>
  <c r="Z100" i="66" s="1"/>
  <c r="N100" i="66"/>
  <c r="L100" i="66"/>
  <c r="B100" i="66"/>
  <c r="Z99" i="66"/>
  <c r="X99" i="66"/>
  <c r="N99" i="66"/>
  <c r="L99" i="66"/>
  <c r="B99" i="66"/>
  <c r="T98" i="66"/>
  <c r="P98" i="66"/>
  <c r="X98" i="66" s="1"/>
  <c r="Z98" i="66" s="1"/>
  <c r="H98" i="66"/>
  <c r="D98" i="66"/>
  <c r="B98" i="66"/>
  <c r="Z97" i="66"/>
  <c r="X97" i="66"/>
  <c r="L97" i="66"/>
  <c r="N97" i="66" s="1"/>
  <c r="B97" i="66"/>
  <c r="T96" i="66"/>
  <c r="Z96" i="66" s="1"/>
  <c r="P96" i="66"/>
  <c r="X96" i="66" s="1"/>
  <c r="L96" i="66"/>
  <c r="H96" i="66"/>
  <c r="D96" i="66"/>
  <c r="B96" i="66"/>
  <c r="Z95" i="66"/>
  <c r="X95" i="66"/>
  <c r="L95" i="66"/>
  <c r="N95" i="66" s="1"/>
  <c r="B95" i="66"/>
  <c r="X94" i="66"/>
  <c r="Z94" i="66" s="1"/>
  <c r="L94" i="66"/>
  <c r="N94" i="66" s="1"/>
  <c r="B94" i="66"/>
  <c r="T93" i="66"/>
  <c r="P93" i="66"/>
  <c r="X93" i="66" s="1"/>
  <c r="Z93" i="66" s="1"/>
  <c r="H93" i="66"/>
  <c r="D93" i="66"/>
  <c r="L93" i="66" s="1"/>
  <c r="N93" i="66" s="1"/>
  <c r="B93" i="66"/>
  <c r="Z92" i="66"/>
  <c r="X92" i="66"/>
  <c r="N92" i="66"/>
  <c r="L92" i="66"/>
  <c r="B92" i="66"/>
  <c r="T91" i="66"/>
  <c r="P91" i="66"/>
  <c r="X91" i="66" s="1"/>
  <c r="Z91" i="66" s="1"/>
  <c r="L91" i="66"/>
  <c r="N91" i="66" s="1"/>
  <c r="H91" i="66"/>
  <c r="D91" i="66"/>
  <c r="B91" i="66"/>
  <c r="X90" i="66"/>
  <c r="Z90" i="66" s="1"/>
  <c r="N90" i="66"/>
  <c r="L90" i="66"/>
  <c r="B90" i="66"/>
  <c r="X89" i="66"/>
  <c r="Z89" i="66" s="1"/>
  <c r="T89" i="66"/>
  <c r="P89" i="66"/>
  <c r="H89" i="66"/>
  <c r="D89" i="66"/>
  <c r="B89" i="66"/>
  <c r="Z88" i="66"/>
  <c r="X88" i="66"/>
  <c r="N88" i="66"/>
  <c r="L88" i="66"/>
  <c r="B88" i="66"/>
  <c r="X87" i="66"/>
  <c r="Z87" i="66" s="1"/>
  <c r="N87" i="66"/>
  <c r="L87" i="66"/>
  <c r="B87" i="66"/>
  <c r="T86" i="66"/>
  <c r="P86" i="66"/>
  <c r="X86" i="66" s="1"/>
  <c r="Z86" i="66" s="1"/>
  <c r="H86" i="66"/>
  <c r="D86" i="66"/>
  <c r="L86" i="66" s="1"/>
  <c r="B86" i="66"/>
  <c r="Z85" i="66"/>
  <c r="X85" i="66"/>
  <c r="N85" i="66"/>
  <c r="L85" i="66"/>
  <c r="B85" i="66"/>
  <c r="T84" i="66"/>
  <c r="Z84" i="66" s="1"/>
  <c r="P84" i="66"/>
  <c r="X84" i="66" s="1"/>
  <c r="L84" i="66"/>
  <c r="H84" i="66"/>
  <c r="N84" i="66" s="1"/>
  <c r="D84" i="66"/>
  <c r="B84" i="66"/>
  <c r="Z83" i="66"/>
  <c r="X83" i="66"/>
  <c r="N83" i="66"/>
  <c r="L83" i="66"/>
  <c r="B83" i="66"/>
  <c r="X82" i="66"/>
  <c r="Z82" i="66" s="1"/>
  <c r="L82" i="66"/>
  <c r="N82" i="66" s="1"/>
  <c r="B82" i="66"/>
  <c r="Z81" i="66"/>
  <c r="X81" i="66"/>
  <c r="L81" i="66"/>
  <c r="N81" i="66" s="1"/>
  <c r="B81" i="66"/>
  <c r="X80" i="66"/>
  <c r="Z80" i="66" s="1"/>
  <c r="N80" i="66"/>
  <c r="L80" i="66"/>
  <c r="B80" i="66"/>
  <c r="Z79" i="66"/>
  <c r="X79" i="66"/>
  <c r="N79" i="66"/>
  <c r="L79" i="66"/>
  <c r="B79" i="66"/>
  <c r="X78" i="66"/>
  <c r="Z78" i="66" s="1"/>
  <c r="L78" i="66"/>
  <c r="N78" i="66" s="1"/>
  <c r="B78" i="66"/>
  <c r="Z77" i="66"/>
  <c r="X77" i="66"/>
  <c r="N77" i="66"/>
  <c r="L77" i="66"/>
  <c r="B77" i="66"/>
  <c r="T76" i="66"/>
  <c r="P76" i="66"/>
  <c r="X76" i="66" s="1"/>
  <c r="Z76" i="66" s="1"/>
  <c r="H76" i="66"/>
  <c r="N76" i="66" s="1"/>
  <c r="D76" i="66"/>
  <c r="L76" i="66" s="1"/>
  <c r="B76" i="66"/>
  <c r="Z75" i="66"/>
  <c r="X75" i="66"/>
  <c r="N75" i="66"/>
  <c r="L75" i="66"/>
  <c r="B75" i="66"/>
  <c r="X74" i="66"/>
  <c r="Z74" i="66" s="1"/>
  <c r="L74" i="66"/>
  <c r="N74" i="66" s="1"/>
  <c r="B74" i="66"/>
  <c r="X73" i="66"/>
  <c r="Z73" i="66" s="1"/>
  <c r="N73" i="66"/>
  <c r="L73" i="66"/>
  <c r="B73" i="66"/>
  <c r="Z72" i="66"/>
  <c r="X72" i="66"/>
  <c r="N72" i="66"/>
  <c r="L72" i="66"/>
  <c r="B72" i="66"/>
  <c r="Z71" i="66"/>
  <c r="X71" i="66"/>
  <c r="L71" i="66"/>
  <c r="N71" i="66" s="1"/>
  <c r="B71" i="66"/>
  <c r="Z70" i="66"/>
  <c r="X70" i="66"/>
  <c r="L70" i="66"/>
  <c r="N70" i="66" s="1"/>
  <c r="B70" i="66"/>
  <c r="Z69" i="66"/>
  <c r="X69" i="66"/>
  <c r="L69" i="66"/>
  <c r="N69" i="66" s="1"/>
  <c r="B69" i="66"/>
  <c r="Z68" i="66"/>
  <c r="X68" i="66"/>
  <c r="N68" i="66"/>
  <c r="L68" i="66"/>
  <c r="B68" i="66"/>
  <c r="X67" i="66"/>
  <c r="Z67" i="66" s="1"/>
  <c r="N67" i="66"/>
  <c r="L67" i="66"/>
  <c r="B67" i="66"/>
  <c r="T66" i="66"/>
  <c r="P66" i="66"/>
  <c r="X66" i="66" s="1"/>
  <c r="Z66" i="66" s="1"/>
  <c r="L66" i="66"/>
  <c r="N66" i="66" s="1"/>
  <c r="H66" i="66"/>
  <c r="D66" i="66"/>
  <c r="B66" i="66"/>
  <c r="T65" i="66"/>
  <c r="P65" i="66"/>
  <c r="X65" i="66" s="1"/>
  <c r="Z65" i="66" s="1"/>
  <c r="H65" i="66"/>
  <c r="N65" i="66" s="1"/>
  <c r="D65" i="66"/>
  <c r="L65" i="66" s="1"/>
  <c r="Z61" i="66"/>
  <c r="X61" i="66"/>
  <c r="N61" i="66"/>
  <c r="L61" i="66"/>
  <c r="B61" i="66"/>
  <c r="Z60" i="66"/>
  <c r="X60" i="66"/>
  <c r="N60" i="66"/>
  <c r="L60" i="66"/>
  <c r="B60" i="66"/>
  <c r="X59" i="66"/>
  <c r="Z59" i="66" s="1"/>
  <c r="N59" i="66"/>
  <c r="L59" i="66"/>
  <c r="B59" i="66"/>
  <c r="Z58" i="66"/>
  <c r="X58" i="66"/>
  <c r="L58" i="66"/>
  <c r="N58" i="66" s="1"/>
  <c r="B58" i="66"/>
  <c r="X57" i="66"/>
  <c r="Z57" i="66" s="1"/>
  <c r="N57" i="66"/>
  <c r="L57" i="66"/>
  <c r="B57" i="66"/>
  <c r="Z56" i="66"/>
  <c r="X56" i="66"/>
  <c r="N56" i="66"/>
  <c r="L56" i="66"/>
  <c r="B56" i="66"/>
  <c r="Z55" i="66"/>
  <c r="X55" i="66"/>
  <c r="L55" i="66"/>
  <c r="N55" i="66" s="1"/>
  <c r="B55" i="66"/>
  <c r="X54" i="66"/>
  <c r="Z54" i="66" s="1"/>
  <c r="N54" i="66"/>
  <c r="L54" i="66"/>
  <c r="B54" i="66"/>
  <c r="Z53" i="66"/>
  <c r="X53" i="66"/>
  <c r="L53" i="66"/>
  <c r="N53" i="66" s="1"/>
  <c r="B53" i="66"/>
  <c r="Z52" i="66"/>
  <c r="X52" i="66"/>
  <c r="N52" i="66"/>
  <c r="L52" i="66"/>
  <c r="B52" i="66"/>
  <c r="X51" i="66"/>
  <c r="Z51" i="66" s="1"/>
  <c r="N51" i="66"/>
  <c r="L51" i="66"/>
  <c r="B51" i="66"/>
  <c r="Z50" i="66"/>
  <c r="X50" i="66"/>
  <c r="L50" i="66"/>
  <c r="N50" i="66" s="1"/>
  <c r="B50" i="66"/>
  <c r="X49" i="66"/>
  <c r="Z49" i="66" s="1"/>
  <c r="N49" i="66"/>
  <c r="L49" i="66"/>
  <c r="B49" i="66"/>
  <c r="Z48" i="66"/>
  <c r="X48" i="66"/>
  <c r="N48" i="66"/>
  <c r="L48" i="66"/>
  <c r="B48" i="66"/>
  <c r="Z47" i="66"/>
  <c r="X47" i="66"/>
  <c r="L47" i="66"/>
  <c r="N47" i="66" s="1"/>
  <c r="B47" i="66"/>
  <c r="X46" i="66"/>
  <c r="Z46" i="66" s="1"/>
  <c r="N46" i="66"/>
  <c r="L46" i="66"/>
  <c r="B46" i="66"/>
  <c r="Z45" i="66"/>
  <c r="X45" i="66"/>
  <c r="N45" i="66"/>
  <c r="L45" i="66"/>
  <c r="B45" i="66"/>
  <c r="T44" i="66"/>
  <c r="P44" i="66"/>
  <c r="X44" i="66" s="1"/>
  <c r="Z44" i="66" s="1"/>
  <c r="L44" i="66"/>
  <c r="H44" i="66"/>
  <c r="N44" i="66" s="1"/>
  <c r="D44" i="66"/>
  <c r="T42" i="66"/>
  <c r="P42" i="66"/>
  <c r="X42" i="66" s="1"/>
  <c r="Z42" i="66" s="1"/>
  <c r="H42" i="66"/>
  <c r="N42" i="66" s="1"/>
  <c r="D42" i="66"/>
  <c r="L42" i="66" s="1"/>
  <c r="B42" i="66"/>
  <c r="T41" i="66"/>
  <c r="P41" i="66"/>
  <c r="H41" i="66"/>
  <c r="N41" i="66" s="1"/>
  <c r="D41" i="66"/>
  <c r="L41" i="66" s="1"/>
  <c r="B41" i="66"/>
  <c r="X40" i="66"/>
  <c r="T40" i="66"/>
  <c r="P40" i="66"/>
  <c r="H40" i="66"/>
  <c r="D40" i="66"/>
  <c r="B40" i="66"/>
  <c r="T39" i="66"/>
  <c r="P39" i="66"/>
  <c r="X39" i="66" s="1"/>
  <c r="Z39" i="66" s="1"/>
  <c r="L39" i="66"/>
  <c r="H39" i="66"/>
  <c r="N39" i="66" s="1"/>
  <c r="D39" i="66"/>
  <c r="B39" i="66"/>
  <c r="T38" i="66"/>
  <c r="Z38" i="66" s="1"/>
  <c r="P38" i="66"/>
  <c r="X38" i="66" s="1"/>
  <c r="N38" i="66"/>
  <c r="H38" i="66"/>
  <c r="D38" i="66"/>
  <c r="L38" i="66" s="1"/>
  <c r="B38" i="66"/>
  <c r="T37" i="66"/>
  <c r="Z37" i="66" s="1"/>
  <c r="P37" i="66"/>
  <c r="X37" i="66" s="1"/>
  <c r="H37" i="66"/>
  <c r="D37" i="66"/>
  <c r="B37" i="66"/>
  <c r="T36" i="66"/>
  <c r="P36" i="66"/>
  <c r="L36" i="66"/>
  <c r="H36" i="66"/>
  <c r="N36" i="66" s="1"/>
  <c r="D36" i="66"/>
  <c r="B36" i="66"/>
  <c r="X35" i="66"/>
  <c r="T35" i="66"/>
  <c r="Z35" i="66" s="1"/>
  <c r="P35" i="66"/>
  <c r="N35" i="66"/>
  <c r="H35" i="66"/>
  <c r="D35" i="66"/>
  <c r="L35" i="66" s="1"/>
  <c r="B35" i="66"/>
  <c r="T34" i="66"/>
  <c r="P34" i="66"/>
  <c r="X34" i="66" s="1"/>
  <c r="Z34" i="66" s="1"/>
  <c r="H34" i="66"/>
  <c r="N34" i="66" s="1"/>
  <c r="D34" i="66"/>
  <c r="L34" i="66" s="1"/>
  <c r="B34" i="66"/>
  <c r="T33" i="66"/>
  <c r="P33" i="66"/>
  <c r="H33" i="66"/>
  <c r="N33" i="66" s="1"/>
  <c r="D33" i="66"/>
  <c r="L33" i="66" s="1"/>
  <c r="B33" i="66"/>
  <c r="X32" i="66"/>
  <c r="T32" i="66"/>
  <c r="P32" i="66"/>
  <c r="H32" i="66"/>
  <c r="N32" i="66" s="1"/>
  <c r="D32" i="66"/>
  <c r="B32" i="66"/>
  <c r="T31" i="66"/>
  <c r="P31" i="66"/>
  <c r="X31" i="66" s="1"/>
  <c r="Z31" i="66" s="1"/>
  <c r="L31" i="66"/>
  <c r="H31" i="66"/>
  <c r="D31" i="66"/>
  <c r="B31" i="66"/>
  <c r="T30" i="66"/>
  <c r="Z30" i="66" s="1"/>
  <c r="P30" i="66"/>
  <c r="X30" i="66" s="1"/>
  <c r="N30" i="66"/>
  <c r="H30" i="66"/>
  <c r="D30" i="66"/>
  <c r="L30" i="66" s="1"/>
  <c r="B30" i="66"/>
  <c r="T29" i="66"/>
  <c r="Z29" i="66" s="1"/>
  <c r="P29" i="66"/>
  <c r="X29" i="66" s="1"/>
  <c r="H29" i="66"/>
  <c r="D29" i="66"/>
  <c r="B29" i="66"/>
  <c r="T28" i="66"/>
  <c r="P28" i="66"/>
  <c r="L28" i="66"/>
  <c r="H28" i="66"/>
  <c r="N28" i="66" s="1"/>
  <c r="D28" i="66"/>
  <c r="B28" i="66"/>
  <c r="X27" i="66"/>
  <c r="T27" i="66"/>
  <c r="Z27" i="66" s="1"/>
  <c r="P27" i="66"/>
  <c r="N27" i="66"/>
  <c r="H27" i="66"/>
  <c r="D27" i="66"/>
  <c r="L27" i="66" s="1"/>
  <c r="B27" i="66"/>
  <c r="T26" i="66"/>
  <c r="P26" i="66"/>
  <c r="X26" i="66" s="1"/>
  <c r="Z26" i="66" s="1"/>
  <c r="H26" i="66"/>
  <c r="N26" i="66" s="1"/>
  <c r="D26" i="66"/>
  <c r="L26" i="66" s="1"/>
  <c r="B26" i="66"/>
  <c r="T25" i="66"/>
  <c r="P25" i="66"/>
  <c r="H25" i="66"/>
  <c r="N25" i="66" s="1"/>
  <c r="D25" i="66"/>
  <c r="L25" i="66" s="1"/>
  <c r="B25" i="66"/>
  <c r="X24" i="66"/>
  <c r="T24" i="66"/>
  <c r="P24" i="66"/>
  <c r="H24" i="66"/>
  <c r="N24" i="66" s="1"/>
  <c r="D24" i="66"/>
  <c r="B24" i="66"/>
  <c r="T23" i="66"/>
  <c r="P23" i="66"/>
  <c r="X23" i="66" s="1"/>
  <c r="Z23" i="66" s="1"/>
  <c r="L23" i="66"/>
  <c r="N23" i="66" s="1"/>
  <c r="H23" i="66"/>
  <c r="D23" i="66"/>
  <c r="B23" i="66"/>
  <c r="T22" i="66"/>
  <c r="Z22" i="66" s="1"/>
  <c r="P22" i="66"/>
  <c r="X22" i="66" s="1"/>
  <c r="N22" i="66"/>
  <c r="H22" i="66"/>
  <c r="D22" i="66"/>
  <c r="L22" i="66" s="1"/>
  <c r="B22" i="66"/>
  <c r="T21" i="66"/>
  <c r="Z21" i="66" s="1"/>
  <c r="P21" i="66"/>
  <c r="X21" i="66" s="1"/>
  <c r="H21" i="66"/>
  <c r="N21" i="66" s="1"/>
  <c r="D21" i="66"/>
  <c r="B21" i="66"/>
  <c r="T20" i="66"/>
  <c r="P20" i="66"/>
  <c r="L20" i="66"/>
  <c r="H20" i="66"/>
  <c r="N20" i="66" s="1"/>
  <c r="D20" i="66"/>
  <c r="B20" i="66"/>
  <c r="X19" i="66"/>
  <c r="Z19" i="66" s="1"/>
  <c r="T19" i="66"/>
  <c r="P19" i="66"/>
  <c r="H19" i="66"/>
  <c r="D19" i="66"/>
  <c r="L19" i="66" s="1"/>
  <c r="N19" i="66" s="1"/>
  <c r="B19" i="66"/>
  <c r="T18" i="66"/>
  <c r="P18" i="66"/>
  <c r="X18" i="66" s="1"/>
  <c r="Z18" i="66" s="1"/>
  <c r="H18" i="66"/>
  <c r="N18" i="66" s="1"/>
  <c r="D18" i="66"/>
  <c r="L18" i="66" s="1"/>
  <c r="B18" i="66"/>
  <c r="T17" i="66"/>
  <c r="P17" i="66"/>
  <c r="H17" i="66"/>
  <c r="N17" i="66" s="1"/>
  <c r="D17" i="66"/>
  <c r="L17" i="66" s="1"/>
  <c r="B17" i="66"/>
  <c r="X16" i="66"/>
  <c r="T16" i="66"/>
  <c r="P16" i="66"/>
  <c r="H16" i="66"/>
  <c r="D16" i="66"/>
  <c r="B16" i="66"/>
  <c r="T15" i="66"/>
  <c r="P15" i="66"/>
  <c r="X15" i="66" s="1"/>
  <c r="Z15" i="66" s="1"/>
  <c r="L15" i="66"/>
  <c r="N15" i="66" s="1"/>
  <c r="H15" i="66"/>
  <c r="D15" i="66"/>
  <c r="B15" i="66"/>
  <c r="T14" i="66"/>
  <c r="Z14" i="66" s="1"/>
  <c r="P14" i="66"/>
  <c r="X14" i="66" s="1"/>
  <c r="N14" i="66"/>
  <c r="H14" i="66"/>
  <c r="D14" i="66"/>
  <c r="L14" i="66" s="1"/>
  <c r="B14" i="66"/>
  <c r="T13" i="66"/>
  <c r="Z13" i="66" s="1"/>
  <c r="P13" i="66"/>
  <c r="H13" i="66"/>
  <c r="D13" i="66"/>
  <c r="B13" i="66"/>
  <c r="D6" i="66"/>
  <c r="D4" i="66"/>
  <c r="Z70" i="65"/>
  <c r="X70" i="65"/>
  <c r="N70" i="65"/>
  <c r="L70" i="65"/>
  <c r="T66" i="65"/>
  <c r="Z66" i="65" s="1"/>
  <c r="P66" i="65"/>
  <c r="X66" i="65" s="1"/>
  <c r="L66" i="65"/>
  <c r="H66" i="65"/>
  <c r="N66" i="65" s="1"/>
  <c r="D66" i="65"/>
  <c r="Z64" i="65"/>
  <c r="X64" i="65"/>
  <c r="N64" i="65"/>
  <c r="L64" i="65"/>
  <c r="B64" i="65"/>
  <c r="V63" i="65"/>
  <c r="T63" i="65"/>
  <c r="Z63" i="65" s="1"/>
  <c r="P63" i="65"/>
  <c r="X63" i="65" s="1"/>
  <c r="L63" i="65"/>
  <c r="N63" i="65" s="1"/>
  <c r="H63" i="65"/>
  <c r="D63" i="65"/>
  <c r="B63" i="65"/>
  <c r="X62" i="65"/>
  <c r="Z62" i="65" s="1"/>
  <c r="V62" i="65"/>
  <c r="N62" i="65"/>
  <c r="L62" i="65"/>
  <c r="B62" i="65"/>
  <c r="X61" i="65"/>
  <c r="Z61" i="65" s="1"/>
  <c r="N61" i="65"/>
  <c r="L61" i="65"/>
  <c r="B61" i="65"/>
  <c r="Z60" i="65"/>
  <c r="X60" i="65"/>
  <c r="N60" i="65"/>
  <c r="L60" i="65"/>
  <c r="B60" i="65"/>
  <c r="T59" i="65"/>
  <c r="Z59" i="65" s="1"/>
  <c r="P59" i="65"/>
  <c r="X59" i="65" s="1"/>
  <c r="N59" i="65"/>
  <c r="L59" i="65"/>
  <c r="H59" i="65"/>
  <c r="D59" i="65"/>
  <c r="B59" i="65"/>
  <c r="X58" i="65"/>
  <c r="Z58" i="65" s="1"/>
  <c r="V58" i="65"/>
  <c r="N58" i="65"/>
  <c r="L58" i="65"/>
  <c r="B58" i="65"/>
  <c r="X57" i="65"/>
  <c r="Z57" i="65" s="1"/>
  <c r="N57" i="65"/>
  <c r="L57" i="65"/>
  <c r="B57" i="65"/>
  <c r="Z56" i="65"/>
  <c r="X56" i="65"/>
  <c r="N56" i="65"/>
  <c r="L56" i="65"/>
  <c r="B56" i="65"/>
  <c r="T55" i="65"/>
  <c r="Z55" i="65" s="1"/>
  <c r="P55" i="65"/>
  <c r="X55" i="65" s="1"/>
  <c r="L55" i="65"/>
  <c r="N55" i="65" s="1"/>
  <c r="H55" i="65"/>
  <c r="D55" i="65"/>
  <c r="B55" i="65"/>
  <c r="X54" i="65"/>
  <c r="Z54" i="65" s="1"/>
  <c r="V54" i="65"/>
  <c r="N54" i="65"/>
  <c r="L54" i="65"/>
  <c r="B54" i="65"/>
  <c r="X53" i="65"/>
  <c r="Z53" i="65" s="1"/>
  <c r="N53" i="65"/>
  <c r="L53" i="65"/>
  <c r="B53" i="65"/>
  <c r="T52" i="65"/>
  <c r="P52" i="65"/>
  <c r="H52" i="65"/>
  <c r="D52" i="65"/>
  <c r="L52" i="65" s="1"/>
  <c r="N52" i="65" s="1"/>
  <c r="B52" i="65"/>
  <c r="X51" i="65"/>
  <c r="Z51" i="65" s="1"/>
  <c r="N51" i="65"/>
  <c r="L51" i="65"/>
  <c r="B51" i="65"/>
  <c r="T50" i="65"/>
  <c r="P50" i="65"/>
  <c r="X50" i="65" s="1"/>
  <c r="Z50" i="65" s="1"/>
  <c r="N50" i="65"/>
  <c r="H50" i="65"/>
  <c r="L50" i="65" s="1"/>
  <c r="D50" i="65"/>
  <c r="B50" i="65"/>
  <c r="Z49" i="65"/>
  <c r="X49" i="65"/>
  <c r="N49" i="65"/>
  <c r="L49" i="65"/>
  <c r="B49" i="65"/>
  <c r="T48" i="65"/>
  <c r="X48" i="65" s="1"/>
  <c r="Z48" i="65" s="1"/>
  <c r="P48" i="65"/>
  <c r="L48" i="65"/>
  <c r="H48" i="65"/>
  <c r="N48" i="65" s="1"/>
  <c r="D48" i="65"/>
  <c r="B48" i="65"/>
  <c r="X47" i="65"/>
  <c r="Z47" i="65" s="1"/>
  <c r="N47" i="65"/>
  <c r="L47" i="65"/>
  <c r="B47" i="65"/>
  <c r="X46" i="65"/>
  <c r="T46" i="65"/>
  <c r="Z46" i="65" s="1"/>
  <c r="P46" i="65"/>
  <c r="N46" i="65"/>
  <c r="H46" i="65"/>
  <c r="L46" i="65" s="1"/>
  <c r="D46" i="65"/>
  <c r="B46" i="65"/>
  <c r="X45" i="65"/>
  <c r="Z45" i="65" s="1"/>
  <c r="N45" i="65"/>
  <c r="L45" i="65"/>
  <c r="B45" i="65"/>
  <c r="T44" i="65"/>
  <c r="P44" i="65"/>
  <c r="X44" i="65" s="1"/>
  <c r="Z44" i="65" s="1"/>
  <c r="H44" i="65"/>
  <c r="D44" i="65"/>
  <c r="L44" i="65" s="1"/>
  <c r="N44" i="65" s="1"/>
  <c r="B44" i="65"/>
  <c r="X43" i="65"/>
  <c r="Z43" i="65" s="1"/>
  <c r="N43" i="65"/>
  <c r="L43" i="65"/>
  <c r="B43" i="65"/>
  <c r="T42" i="65"/>
  <c r="P42" i="65"/>
  <c r="X42" i="65" s="1"/>
  <c r="Z42" i="65" s="1"/>
  <c r="N42" i="65"/>
  <c r="H42" i="65"/>
  <c r="D42" i="65"/>
  <c r="L42" i="65" s="1"/>
  <c r="B42" i="65"/>
  <c r="Z41" i="65"/>
  <c r="X41" i="65"/>
  <c r="N41" i="65"/>
  <c r="L41" i="65"/>
  <c r="B41" i="65"/>
  <c r="T40" i="65"/>
  <c r="P40" i="65"/>
  <c r="X40" i="65" s="1"/>
  <c r="Z40" i="65" s="1"/>
  <c r="L40" i="65"/>
  <c r="H40" i="65"/>
  <c r="N40" i="65" s="1"/>
  <c r="D40" i="65"/>
  <c r="B40" i="65"/>
  <c r="Z39" i="65"/>
  <c r="X39" i="65"/>
  <c r="N39" i="65"/>
  <c r="L39" i="65"/>
  <c r="B39" i="65"/>
  <c r="X38" i="65"/>
  <c r="T38" i="65"/>
  <c r="P38" i="65"/>
  <c r="H38" i="65"/>
  <c r="L38" i="65" s="1"/>
  <c r="D38" i="65"/>
  <c r="B38" i="65"/>
  <c r="X37" i="65"/>
  <c r="Z37" i="65" s="1"/>
  <c r="N37" i="65"/>
  <c r="L37" i="65"/>
  <c r="B37" i="65"/>
  <c r="Z36" i="65"/>
  <c r="X36" i="65"/>
  <c r="N36" i="65"/>
  <c r="L36" i="65"/>
  <c r="B36" i="65"/>
  <c r="Z35" i="65"/>
  <c r="X35" i="65"/>
  <c r="N35" i="65"/>
  <c r="L35" i="65"/>
  <c r="B35" i="65"/>
  <c r="X34" i="65"/>
  <c r="Z34" i="65" s="1"/>
  <c r="N34" i="65"/>
  <c r="L34" i="65"/>
  <c r="B34" i="65"/>
  <c r="Z33" i="65"/>
  <c r="X33" i="65"/>
  <c r="N33" i="65"/>
  <c r="L33" i="65"/>
  <c r="B33" i="65"/>
  <c r="T32" i="65"/>
  <c r="Z32" i="65" s="1"/>
  <c r="P32" i="65"/>
  <c r="X32" i="65" s="1"/>
  <c r="L32" i="65"/>
  <c r="H32" i="65"/>
  <c r="N32" i="65" s="1"/>
  <c r="D32" i="65"/>
  <c r="B32" i="65"/>
  <c r="Z31" i="65"/>
  <c r="X31" i="65"/>
  <c r="N31" i="65"/>
  <c r="L31" i="65"/>
  <c r="B31" i="65"/>
  <c r="X30" i="65"/>
  <c r="Z30" i="65" s="1"/>
  <c r="N30" i="65"/>
  <c r="L30" i="65"/>
  <c r="B30" i="65"/>
  <c r="Z29" i="65"/>
  <c r="X29" i="65"/>
  <c r="N29" i="65"/>
  <c r="L29" i="65"/>
  <c r="B29" i="65"/>
  <c r="Z28" i="65"/>
  <c r="X28" i="65"/>
  <c r="N28" i="65"/>
  <c r="L28" i="65"/>
  <c r="B28" i="65"/>
  <c r="Z27" i="65"/>
  <c r="X27" i="65"/>
  <c r="N27" i="65"/>
  <c r="L27" i="65"/>
  <c r="B27" i="65"/>
  <c r="X26" i="65"/>
  <c r="Z26" i="65" s="1"/>
  <c r="N26" i="65"/>
  <c r="L26" i="65"/>
  <c r="B26" i="65"/>
  <c r="X25" i="65"/>
  <c r="Z25" i="65" s="1"/>
  <c r="N25" i="65"/>
  <c r="L25" i="65"/>
  <c r="B25" i="65"/>
  <c r="Z24" i="65"/>
  <c r="X24" i="65"/>
  <c r="N24" i="65"/>
  <c r="L24" i="65"/>
  <c r="B24" i="65"/>
  <c r="V23" i="65"/>
  <c r="T23" i="65"/>
  <c r="Z23" i="65" s="1"/>
  <c r="P23" i="65"/>
  <c r="X23" i="65" s="1"/>
  <c r="L23" i="65"/>
  <c r="N23" i="65" s="1"/>
  <c r="H23" i="65"/>
  <c r="D23" i="65"/>
  <c r="B23" i="65"/>
  <c r="V22" i="65"/>
  <c r="T22" i="65"/>
  <c r="Z22" i="65" s="1"/>
  <c r="P22" i="65"/>
  <c r="X22" i="65" s="1"/>
  <c r="H22" i="65"/>
  <c r="N22" i="65" s="1"/>
  <c r="D22" i="65"/>
  <c r="L22" i="65" s="1"/>
  <c r="X18" i="65"/>
  <c r="Z18" i="65" s="1"/>
  <c r="L18" i="65"/>
  <c r="N18" i="65" s="1"/>
  <c r="B18" i="65"/>
  <c r="X17" i="65"/>
  <c r="Z17" i="65" s="1"/>
  <c r="N17" i="65"/>
  <c r="L17" i="65"/>
  <c r="B17" i="65"/>
  <c r="Z16" i="65"/>
  <c r="T16" i="65"/>
  <c r="X16" i="65" s="1"/>
  <c r="P16" i="65"/>
  <c r="H16" i="65"/>
  <c r="D16" i="65"/>
  <c r="L16" i="65" s="1"/>
  <c r="T14" i="65"/>
  <c r="P14" i="65"/>
  <c r="X14" i="65" s="1"/>
  <c r="Z14" i="65" s="1"/>
  <c r="N14" i="65"/>
  <c r="H14" i="65"/>
  <c r="D14" i="65"/>
  <c r="L14" i="65" s="1"/>
  <c r="B14" i="65"/>
  <c r="T13" i="65"/>
  <c r="P13" i="65"/>
  <c r="H13" i="65"/>
  <c r="D13" i="65"/>
  <c r="D12" i="65" s="1"/>
  <c r="B13" i="65"/>
  <c r="T12" i="65"/>
  <c r="D6" i="65"/>
  <c r="D4" i="65"/>
  <c r="Z145" i="64"/>
  <c r="X145" i="64"/>
  <c r="N145" i="64"/>
  <c r="L145" i="64"/>
  <c r="T141" i="64"/>
  <c r="P141" i="64"/>
  <c r="X141" i="64" s="1"/>
  <c r="L141" i="64"/>
  <c r="H141" i="64"/>
  <c r="N141" i="64" s="1"/>
  <c r="D141" i="64"/>
  <c r="D140" i="64" s="1"/>
  <c r="L140" i="64" s="1"/>
  <c r="B141" i="64"/>
  <c r="N140" i="64"/>
  <c r="H140" i="64"/>
  <c r="X138" i="64"/>
  <c r="Z138" i="64" s="1"/>
  <c r="N138" i="64"/>
  <c r="L138" i="64"/>
  <c r="B138" i="64"/>
  <c r="T137" i="64"/>
  <c r="Z137" i="64" s="1"/>
  <c r="P137" i="64"/>
  <c r="X137" i="64" s="1"/>
  <c r="H137" i="64"/>
  <c r="N137" i="64" s="1"/>
  <c r="D137" i="64"/>
  <c r="L137" i="64" s="1"/>
  <c r="B137" i="64"/>
  <c r="Z136" i="64"/>
  <c r="X136" i="64"/>
  <c r="L136" i="64"/>
  <c r="N136" i="64" s="1"/>
  <c r="B136" i="64"/>
  <c r="T135" i="64"/>
  <c r="P135" i="64"/>
  <c r="X135" i="64" s="1"/>
  <c r="L135" i="64"/>
  <c r="H135" i="64"/>
  <c r="N135" i="64" s="1"/>
  <c r="D135" i="64"/>
  <c r="B135" i="64"/>
  <c r="Z134" i="64"/>
  <c r="X134" i="64"/>
  <c r="N134" i="64"/>
  <c r="L134" i="64"/>
  <c r="B134" i="64"/>
  <c r="X133" i="64"/>
  <c r="Z133" i="64" s="1"/>
  <c r="N133" i="64"/>
  <c r="L133" i="64"/>
  <c r="B133" i="64"/>
  <c r="Z132" i="64"/>
  <c r="X132" i="64"/>
  <c r="N132" i="64"/>
  <c r="L132" i="64"/>
  <c r="B132" i="64"/>
  <c r="Z131" i="64"/>
  <c r="X131" i="64"/>
  <c r="N131" i="64"/>
  <c r="L131" i="64"/>
  <c r="B131" i="64"/>
  <c r="T130" i="64"/>
  <c r="P130" i="64"/>
  <c r="X130" i="64" s="1"/>
  <c r="N130" i="64"/>
  <c r="H130" i="64"/>
  <c r="D130" i="64"/>
  <c r="L130" i="64" s="1"/>
  <c r="B130" i="64"/>
  <c r="X129" i="64"/>
  <c r="Z129" i="64" s="1"/>
  <c r="L129" i="64"/>
  <c r="N129" i="64" s="1"/>
  <c r="B129" i="64"/>
  <c r="Z128" i="64"/>
  <c r="X128" i="64"/>
  <c r="L128" i="64"/>
  <c r="N128" i="64" s="1"/>
  <c r="B128" i="64"/>
  <c r="T127" i="64"/>
  <c r="P127" i="64"/>
  <c r="X127" i="64" s="1"/>
  <c r="L127" i="64"/>
  <c r="N127" i="64" s="1"/>
  <c r="H127" i="64"/>
  <c r="D127" i="64"/>
  <c r="B127" i="64"/>
  <c r="Z126" i="64"/>
  <c r="X126" i="64"/>
  <c r="N126" i="64"/>
  <c r="L126" i="64"/>
  <c r="B126" i="64"/>
  <c r="X125" i="64"/>
  <c r="Z125" i="64" s="1"/>
  <c r="L125" i="64"/>
  <c r="N125" i="64" s="1"/>
  <c r="B125" i="64"/>
  <c r="Z124" i="64"/>
  <c r="T124" i="64"/>
  <c r="P124" i="64"/>
  <c r="X124" i="64" s="1"/>
  <c r="N124" i="64"/>
  <c r="L124" i="64"/>
  <c r="H124" i="64"/>
  <c r="D124" i="64"/>
  <c r="B124" i="64"/>
  <c r="Z123" i="64"/>
  <c r="X123" i="64"/>
  <c r="N123" i="64"/>
  <c r="L123" i="64"/>
  <c r="B123" i="64"/>
  <c r="Z122" i="64"/>
  <c r="X122" i="64"/>
  <c r="T122" i="64"/>
  <c r="P122" i="64"/>
  <c r="L122" i="64"/>
  <c r="N122" i="64" s="1"/>
  <c r="H122" i="64"/>
  <c r="D122" i="64"/>
  <c r="B122" i="64"/>
  <c r="X121" i="64"/>
  <c r="Z121" i="64" s="1"/>
  <c r="L121" i="64"/>
  <c r="N121" i="64" s="1"/>
  <c r="B121" i="64"/>
  <c r="X120" i="64"/>
  <c r="Z120" i="64" s="1"/>
  <c r="N120" i="64"/>
  <c r="L120" i="64"/>
  <c r="B120" i="64"/>
  <c r="Z119" i="64"/>
  <c r="X119" i="64"/>
  <c r="N119" i="64"/>
  <c r="L119" i="64"/>
  <c r="B119" i="64"/>
  <c r="Z118" i="64"/>
  <c r="X118" i="64"/>
  <c r="L118" i="64"/>
  <c r="N118" i="64" s="1"/>
  <c r="B118" i="64"/>
  <c r="X117" i="64"/>
  <c r="Z117" i="64" s="1"/>
  <c r="L117" i="64"/>
  <c r="N117" i="64" s="1"/>
  <c r="B117" i="64"/>
  <c r="Z116" i="64"/>
  <c r="X116" i="64"/>
  <c r="L116" i="64"/>
  <c r="N116" i="64" s="1"/>
  <c r="B116" i="64"/>
  <c r="Z115" i="64"/>
  <c r="X115" i="64"/>
  <c r="N115" i="64"/>
  <c r="L115" i="64"/>
  <c r="B115" i="64"/>
  <c r="X114" i="64"/>
  <c r="Z114" i="64" s="1"/>
  <c r="N114" i="64"/>
  <c r="L114" i="64"/>
  <c r="B114" i="64"/>
  <c r="X113" i="64"/>
  <c r="Z113" i="64" s="1"/>
  <c r="L113" i="64"/>
  <c r="N113" i="64" s="1"/>
  <c r="B113" i="64"/>
  <c r="X112" i="64"/>
  <c r="Z112" i="64" s="1"/>
  <c r="N112" i="64"/>
  <c r="L112" i="64"/>
  <c r="B112" i="64"/>
  <c r="Z111" i="64"/>
  <c r="X111" i="64"/>
  <c r="N111" i="64"/>
  <c r="L111" i="64"/>
  <c r="B111" i="64"/>
  <c r="Z110" i="64"/>
  <c r="X110" i="64"/>
  <c r="L110" i="64"/>
  <c r="N110" i="64" s="1"/>
  <c r="B110" i="64"/>
  <c r="X109" i="64"/>
  <c r="Z109" i="64" s="1"/>
  <c r="L109" i="64"/>
  <c r="N109" i="64" s="1"/>
  <c r="B109" i="64"/>
  <c r="Z108" i="64"/>
  <c r="X108" i="64"/>
  <c r="L108" i="64"/>
  <c r="N108" i="64" s="1"/>
  <c r="B108" i="64"/>
  <c r="Z107" i="64"/>
  <c r="X107" i="64"/>
  <c r="N107" i="64"/>
  <c r="L107" i="64"/>
  <c r="B107" i="64"/>
  <c r="X106" i="64"/>
  <c r="Z106" i="64" s="1"/>
  <c r="N106" i="64"/>
  <c r="L106" i="64"/>
  <c r="B106" i="64"/>
  <c r="X105" i="64"/>
  <c r="Z105" i="64" s="1"/>
  <c r="L105" i="64"/>
  <c r="N105" i="64" s="1"/>
  <c r="B105" i="64"/>
  <c r="X104" i="64"/>
  <c r="Z104" i="64" s="1"/>
  <c r="N104" i="64"/>
  <c r="L104" i="64"/>
  <c r="B104" i="64"/>
  <c r="Z103" i="64"/>
  <c r="X103" i="64"/>
  <c r="N103" i="64"/>
  <c r="L103" i="64"/>
  <c r="B103" i="64"/>
  <c r="Z102" i="64"/>
  <c r="X102" i="64"/>
  <c r="L102" i="64"/>
  <c r="N102" i="64" s="1"/>
  <c r="B102" i="64"/>
  <c r="X101" i="64"/>
  <c r="T101" i="64"/>
  <c r="Z101" i="64" s="1"/>
  <c r="P101" i="64"/>
  <c r="H101" i="64"/>
  <c r="L101" i="64" s="1"/>
  <c r="D101" i="64"/>
  <c r="B101" i="64"/>
  <c r="X100" i="64"/>
  <c r="Z100" i="64" s="1"/>
  <c r="N100" i="64"/>
  <c r="L100" i="64"/>
  <c r="B100" i="64"/>
  <c r="T99" i="64"/>
  <c r="X99" i="64" s="1"/>
  <c r="P99" i="64"/>
  <c r="H99" i="64"/>
  <c r="N99" i="64" s="1"/>
  <c r="D99" i="64"/>
  <c r="L99" i="64" s="1"/>
  <c r="B99" i="64"/>
  <c r="Z98" i="64"/>
  <c r="X98" i="64"/>
  <c r="N98" i="64"/>
  <c r="L98" i="64"/>
  <c r="B98" i="64"/>
  <c r="X97" i="64"/>
  <c r="Z97" i="64" s="1"/>
  <c r="N97" i="64"/>
  <c r="L97" i="64"/>
  <c r="B97" i="64"/>
  <c r="X96" i="64"/>
  <c r="Z96" i="64" s="1"/>
  <c r="T96" i="64"/>
  <c r="P96" i="64"/>
  <c r="H96" i="64"/>
  <c r="D96" i="64"/>
  <c r="B96" i="64"/>
  <c r="X95" i="64"/>
  <c r="Z95" i="64" s="1"/>
  <c r="N95" i="64"/>
  <c r="L95" i="64"/>
  <c r="B95" i="64"/>
  <c r="T94" i="64"/>
  <c r="P94" i="64"/>
  <c r="N94" i="64"/>
  <c r="H94" i="64"/>
  <c r="D94" i="64"/>
  <c r="L94" i="64" s="1"/>
  <c r="B94" i="64"/>
  <c r="X93" i="64"/>
  <c r="Z93" i="64" s="1"/>
  <c r="N93" i="64"/>
  <c r="L93" i="64"/>
  <c r="B93" i="64"/>
  <c r="T92" i="64"/>
  <c r="P92" i="64"/>
  <c r="X92" i="64" s="1"/>
  <c r="Z92" i="64" s="1"/>
  <c r="N92" i="64"/>
  <c r="H92" i="64"/>
  <c r="D92" i="64"/>
  <c r="L92" i="64" s="1"/>
  <c r="B92" i="64"/>
  <c r="Z91" i="64"/>
  <c r="X91" i="64"/>
  <c r="N91" i="64"/>
  <c r="L91" i="64"/>
  <c r="B91" i="64"/>
  <c r="Z90" i="64"/>
  <c r="X90" i="64"/>
  <c r="N90" i="64"/>
  <c r="L90" i="64"/>
  <c r="B90" i="64"/>
  <c r="X89" i="64"/>
  <c r="Z89" i="64" s="1"/>
  <c r="N89" i="64"/>
  <c r="L89" i="64"/>
  <c r="B89" i="64"/>
  <c r="Z88" i="64"/>
  <c r="X88" i="64"/>
  <c r="N88" i="64"/>
  <c r="L88" i="64"/>
  <c r="B88" i="64"/>
  <c r="T87" i="64"/>
  <c r="Z87" i="64" s="1"/>
  <c r="P87" i="64"/>
  <c r="X87" i="64" s="1"/>
  <c r="L87" i="64"/>
  <c r="H87" i="64"/>
  <c r="N87" i="64" s="1"/>
  <c r="D87" i="64"/>
  <c r="B87" i="64"/>
  <c r="Z86" i="64"/>
  <c r="X86" i="64"/>
  <c r="N86" i="64"/>
  <c r="L86" i="64"/>
  <c r="B86" i="64"/>
  <c r="X85" i="64"/>
  <c r="Z85" i="64" s="1"/>
  <c r="N85" i="64"/>
  <c r="L85" i="64"/>
  <c r="B85" i="64"/>
  <c r="Z84" i="64"/>
  <c r="X84" i="64"/>
  <c r="N84" i="64"/>
  <c r="L84" i="64"/>
  <c r="B84" i="64"/>
  <c r="Z83" i="64"/>
  <c r="X83" i="64"/>
  <c r="N83" i="64"/>
  <c r="L83" i="64"/>
  <c r="B83" i="64"/>
  <c r="Z82" i="64"/>
  <c r="X82" i="64"/>
  <c r="N82" i="64"/>
  <c r="L82" i="64"/>
  <c r="B82" i="64"/>
  <c r="X81" i="64"/>
  <c r="Z81" i="64" s="1"/>
  <c r="N81" i="64"/>
  <c r="L81" i="64"/>
  <c r="B81" i="64"/>
  <c r="X80" i="64"/>
  <c r="Z80" i="64" s="1"/>
  <c r="N80" i="64"/>
  <c r="L80" i="64"/>
  <c r="B80" i="64"/>
  <c r="X79" i="64"/>
  <c r="Z79" i="64" s="1"/>
  <c r="N79" i="64"/>
  <c r="L79" i="64"/>
  <c r="B79" i="64"/>
  <c r="Z78" i="64"/>
  <c r="T78" i="64"/>
  <c r="P78" i="64"/>
  <c r="X78" i="64" s="1"/>
  <c r="N78" i="64"/>
  <c r="L78" i="64"/>
  <c r="H78" i="64"/>
  <c r="D78" i="64"/>
  <c r="B78" i="64"/>
  <c r="T77" i="64"/>
  <c r="P77" i="64"/>
  <c r="X77" i="64" s="1"/>
  <c r="H77" i="64"/>
  <c r="D77" i="64"/>
  <c r="X73" i="64"/>
  <c r="Z73" i="64" s="1"/>
  <c r="N73" i="64"/>
  <c r="L73" i="64"/>
  <c r="B73" i="64"/>
  <c r="Z72" i="64"/>
  <c r="X72" i="64"/>
  <c r="N72" i="64"/>
  <c r="L72" i="64"/>
  <c r="B72" i="64"/>
  <c r="X71" i="64"/>
  <c r="Z71" i="64" s="1"/>
  <c r="L71" i="64"/>
  <c r="N71" i="64" s="1"/>
  <c r="B71" i="64"/>
  <c r="Z70" i="64"/>
  <c r="X70" i="64"/>
  <c r="N70" i="64"/>
  <c r="L70" i="64"/>
  <c r="B70" i="64"/>
  <c r="Z69" i="64"/>
  <c r="X69" i="64"/>
  <c r="L69" i="64"/>
  <c r="N69" i="64" s="1"/>
  <c r="B69" i="64"/>
  <c r="Z68" i="64"/>
  <c r="X68" i="64"/>
  <c r="N68" i="64"/>
  <c r="L68" i="64"/>
  <c r="B68" i="64"/>
  <c r="X67" i="64"/>
  <c r="Z67" i="64" s="1"/>
  <c r="N67" i="64"/>
  <c r="L67" i="64"/>
  <c r="B67" i="64"/>
  <c r="Z66" i="64"/>
  <c r="X66" i="64"/>
  <c r="N66" i="64"/>
  <c r="L66" i="64"/>
  <c r="B66" i="64"/>
  <c r="X65" i="64"/>
  <c r="Z65" i="64" s="1"/>
  <c r="N65" i="64"/>
  <c r="L65" i="64"/>
  <c r="B65" i="64"/>
  <c r="Z64" i="64"/>
  <c r="X64" i="64"/>
  <c r="N64" i="64"/>
  <c r="L64" i="64"/>
  <c r="B64" i="64"/>
  <c r="X63" i="64"/>
  <c r="Z63" i="64" s="1"/>
  <c r="N63" i="64"/>
  <c r="L63" i="64"/>
  <c r="B63" i="64"/>
  <c r="Z62" i="64"/>
  <c r="X62" i="64"/>
  <c r="N62" i="64"/>
  <c r="L62" i="64"/>
  <c r="B62" i="64"/>
  <c r="Z61" i="64"/>
  <c r="X61" i="64"/>
  <c r="N61" i="64"/>
  <c r="L61" i="64"/>
  <c r="B61" i="64"/>
  <c r="Z60" i="64"/>
  <c r="X60" i="64"/>
  <c r="N60" i="64"/>
  <c r="L60" i="64"/>
  <c r="B60" i="64"/>
  <c r="X59" i="64"/>
  <c r="Z59" i="64" s="1"/>
  <c r="N59" i="64"/>
  <c r="L59" i="64"/>
  <c r="B59" i="64"/>
  <c r="Z58" i="64"/>
  <c r="X58" i="64"/>
  <c r="N58" i="64"/>
  <c r="L58" i="64"/>
  <c r="B58" i="64"/>
  <c r="X57" i="64"/>
  <c r="Z57" i="64" s="1"/>
  <c r="N57" i="64"/>
  <c r="L57" i="64"/>
  <c r="B57" i="64"/>
  <c r="Z56" i="64"/>
  <c r="X56" i="64"/>
  <c r="N56" i="64"/>
  <c r="L56" i="64"/>
  <c r="B56" i="64"/>
  <c r="X55" i="64"/>
  <c r="Z55" i="64" s="1"/>
  <c r="N55" i="64"/>
  <c r="L55" i="64"/>
  <c r="B55" i="64"/>
  <c r="X54" i="64"/>
  <c r="Z54" i="64" s="1"/>
  <c r="N54" i="64"/>
  <c r="L54" i="64"/>
  <c r="B54" i="64"/>
  <c r="Z53" i="64"/>
  <c r="X53" i="64"/>
  <c r="N53" i="64"/>
  <c r="L53" i="64"/>
  <c r="B53" i="64"/>
  <c r="Z52" i="64"/>
  <c r="X52" i="64"/>
  <c r="N52" i="64"/>
  <c r="L52" i="64"/>
  <c r="B52" i="64"/>
  <c r="T51" i="64"/>
  <c r="P51" i="64"/>
  <c r="X51" i="64" s="1"/>
  <c r="Z51" i="64" s="1"/>
  <c r="N51" i="64"/>
  <c r="H51" i="64"/>
  <c r="L51" i="64" s="1"/>
  <c r="D51" i="64"/>
  <c r="X49" i="64"/>
  <c r="T49" i="64"/>
  <c r="P49" i="64"/>
  <c r="N49" i="64"/>
  <c r="L49" i="64"/>
  <c r="H49" i="64"/>
  <c r="D49" i="64"/>
  <c r="B49" i="64"/>
  <c r="Z48" i="64"/>
  <c r="X48" i="64"/>
  <c r="T48" i="64"/>
  <c r="P48" i="64"/>
  <c r="N48" i="64"/>
  <c r="H48" i="64"/>
  <c r="D48" i="64"/>
  <c r="L48" i="64" s="1"/>
  <c r="B48" i="64"/>
  <c r="T47" i="64"/>
  <c r="P47" i="64"/>
  <c r="X47" i="64" s="1"/>
  <c r="Z47" i="64" s="1"/>
  <c r="H47" i="64"/>
  <c r="N47" i="64" s="1"/>
  <c r="D47" i="64"/>
  <c r="L47" i="64" s="1"/>
  <c r="B47" i="64"/>
  <c r="T46" i="64"/>
  <c r="P46" i="64"/>
  <c r="H46" i="64"/>
  <c r="N46" i="64" s="1"/>
  <c r="D46" i="64"/>
  <c r="B46" i="64"/>
  <c r="X45" i="64"/>
  <c r="Z45" i="64" s="1"/>
  <c r="T45" i="64"/>
  <c r="P45" i="64"/>
  <c r="H45" i="64"/>
  <c r="N45" i="64" s="1"/>
  <c r="D45" i="64"/>
  <c r="B45" i="64"/>
  <c r="T44" i="64"/>
  <c r="P44" i="64"/>
  <c r="X44" i="64" s="1"/>
  <c r="Z44" i="64" s="1"/>
  <c r="N44" i="64"/>
  <c r="L44" i="64"/>
  <c r="H44" i="64"/>
  <c r="D44" i="64"/>
  <c r="B44" i="64"/>
  <c r="T43" i="64"/>
  <c r="P43" i="64"/>
  <c r="X43" i="64" s="1"/>
  <c r="N43" i="64"/>
  <c r="H43" i="64"/>
  <c r="D43" i="64"/>
  <c r="L43" i="64" s="1"/>
  <c r="B43" i="64"/>
  <c r="T42" i="64"/>
  <c r="P42" i="64"/>
  <c r="H42" i="64"/>
  <c r="D42" i="64"/>
  <c r="B42" i="64"/>
  <c r="X41" i="64"/>
  <c r="T41" i="64"/>
  <c r="P41" i="64"/>
  <c r="N41" i="64"/>
  <c r="L41" i="64"/>
  <c r="H41" i="64"/>
  <c r="D41" i="64"/>
  <c r="B41" i="64"/>
  <c r="Z40" i="64"/>
  <c r="X40" i="64"/>
  <c r="T40" i="64"/>
  <c r="P40" i="64"/>
  <c r="N40" i="64"/>
  <c r="H40" i="64"/>
  <c r="D40" i="64"/>
  <c r="L40" i="64" s="1"/>
  <c r="B40" i="64"/>
  <c r="Z39" i="64"/>
  <c r="T39" i="64"/>
  <c r="P39" i="64"/>
  <c r="X39" i="64" s="1"/>
  <c r="H39" i="64"/>
  <c r="N39" i="64" s="1"/>
  <c r="D39" i="64"/>
  <c r="L39" i="64" s="1"/>
  <c r="B39" i="64"/>
  <c r="T38" i="64"/>
  <c r="P38" i="64"/>
  <c r="H38" i="64"/>
  <c r="N38" i="64" s="1"/>
  <c r="D38" i="64"/>
  <c r="B38" i="64"/>
  <c r="X37" i="64"/>
  <c r="Z37" i="64" s="1"/>
  <c r="T37" i="64"/>
  <c r="P37" i="64"/>
  <c r="L37" i="64"/>
  <c r="H37" i="64"/>
  <c r="N37" i="64" s="1"/>
  <c r="D37" i="64"/>
  <c r="B37" i="64"/>
  <c r="Z36" i="64"/>
  <c r="T36" i="64"/>
  <c r="P36" i="64"/>
  <c r="X36" i="64" s="1"/>
  <c r="N36" i="64"/>
  <c r="L36" i="64"/>
  <c r="H36" i="64"/>
  <c r="D36" i="64"/>
  <c r="B36" i="64"/>
  <c r="T35" i="64"/>
  <c r="P35" i="64"/>
  <c r="X35" i="64" s="1"/>
  <c r="N35" i="64"/>
  <c r="H35" i="64"/>
  <c r="D35" i="64"/>
  <c r="L35" i="64" s="1"/>
  <c r="B35" i="64"/>
  <c r="T34" i="64"/>
  <c r="P34" i="64"/>
  <c r="H34" i="64"/>
  <c r="D34" i="64"/>
  <c r="B34" i="64"/>
  <c r="T33" i="64"/>
  <c r="P33" i="64"/>
  <c r="N33" i="64"/>
  <c r="L33" i="64"/>
  <c r="H33" i="64"/>
  <c r="D33" i="64"/>
  <c r="B33" i="64"/>
  <c r="X32" i="64"/>
  <c r="Z32" i="64" s="1"/>
  <c r="T32" i="64"/>
  <c r="P32" i="64"/>
  <c r="N32" i="64"/>
  <c r="H32" i="64"/>
  <c r="D32" i="64"/>
  <c r="L32" i="64" s="1"/>
  <c r="B32" i="64"/>
  <c r="T31" i="64"/>
  <c r="P31" i="64"/>
  <c r="X31" i="64" s="1"/>
  <c r="Z31" i="64" s="1"/>
  <c r="H31" i="64"/>
  <c r="N31" i="64" s="1"/>
  <c r="D31" i="64"/>
  <c r="L31" i="64" s="1"/>
  <c r="B31" i="64"/>
  <c r="T30" i="64"/>
  <c r="P30" i="64"/>
  <c r="H30" i="64"/>
  <c r="N30" i="64" s="1"/>
  <c r="D30" i="64"/>
  <c r="L30" i="64" s="1"/>
  <c r="B30" i="64"/>
  <c r="X29" i="64"/>
  <c r="Z29" i="64" s="1"/>
  <c r="T29" i="64"/>
  <c r="P29" i="64"/>
  <c r="L29" i="64"/>
  <c r="H29" i="64"/>
  <c r="N29" i="64" s="1"/>
  <c r="D29" i="64"/>
  <c r="B29" i="64"/>
  <c r="Z28" i="64"/>
  <c r="T28" i="64"/>
  <c r="P28" i="64"/>
  <c r="X28" i="64" s="1"/>
  <c r="N28" i="64"/>
  <c r="L28" i="64"/>
  <c r="H28" i="64"/>
  <c r="D28" i="64"/>
  <c r="B28" i="64"/>
  <c r="T27" i="64"/>
  <c r="P27" i="64"/>
  <c r="X27" i="64" s="1"/>
  <c r="N27" i="64"/>
  <c r="H27" i="64"/>
  <c r="D27" i="64"/>
  <c r="L27" i="64" s="1"/>
  <c r="B27" i="64"/>
  <c r="T26" i="64"/>
  <c r="P26" i="64"/>
  <c r="X26" i="64" s="1"/>
  <c r="H26" i="64"/>
  <c r="D26" i="64"/>
  <c r="B26" i="64"/>
  <c r="X25" i="64"/>
  <c r="T25" i="64"/>
  <c r="P25" i="64"/>
  <c r="N25" i="64"/>
  <c r="L25" i="64"/>
  <c r="H25" i="64"/>
  <c r="D25" i="64"/>
  <c r="B25" i="64"/>
  <c r="Z24" i="64"/>
  <c r="X24" i="64"/>
  <c r="T24" i="64"/>
  <c r="P24" i="64"/>
  <c r="N24" i="64"/>
  <c r="H24" i="64"/>
  <c r="D24" i="64"/>
  <c r="L24" i="64" s="1"/>
  <c r="B24" i="64"/>
  <c r="Z23" i="64"/>
  <c r="T23" i="64"/>
  <c r="P23" i="64"/>
  <c r="X23" i="64" s="1"/>
  <c r="H23" i="64"/>
  <c r="N23" i="64" s="1"/>
  <c r="D23" i="64"/>
  <c r="L23" i="64" s="1"/>
  <c r="B23" i="64"/>
  <c r="T22" i="64"/>
  <c r="P22" i="64"/>
  <c r="H22" i="64"/>
  <c r="N22" i="64" s="1"/>
  <c r="D22" i="64"/>
  <c r="B22" i="64"/>
  <c r="X21" i="64"/>
  <c r="Z21" i="64" s="1"/>
  <c r="T21" i="64"/>
  <c r="P21" i="64"/>
  <c r="L21" i="64"/>
  <c r="H21" i="64"/>
  <c r="N21" i="64" s="1"/>
  <c r="D21" i="64"/>
  <c r="B21" i="64"/>
  <c r="T20" i="64"/>
  <c r="P20" i="64"/>
  <c r="X20" i="64" s="1"/>
  <c r="Z20" i="64" s="1"/>
  <c r="N20" i="64"/>
  <c r="L20" i="64"/>
  <c r="H20" i="64"/>
  <c r="D20" i="64"/>
  <c r="B20" i="64"/>
  <c r="T19" i="64"/>
  <c r="P19" i="64"/>
  <c r="X19" i="64" s="1"/>
  <c r="N19" i="64"/>
  <c r="H19" i="64"/>
  <c r="D19" i="64"/>
  <c r="L19" i="64" s="1"/>
  <c r="B19" i="64"/>
  <c r="T18" i="64"/>
  <c r="P18" i="64"/>
  <c r="H18" i="64"/>
  <c r="D18" i="64"/>
  <c r="B18" i="64"/>
  <c r="T17" i="64"/>
  <c r="P17" i="64"/>
  <c r="N17" i="64"/>
  <c r="L17" i="64"/>
  <c r="H17" i="64"/>
  <c r="D17" i="64"/>
  <c r="B17" i="64"/>
  <c r="X16" i="64"/>
  <c r="Z16" i="64" s="1"/>
  <c r="T16" i="64"/>
  <c r="P16" i="64"/>
  <c r="N16" i="64"/>
  <c r="H16" i="64"/>
  <c r="D16" i="64"/>
  <c r="L16" i="64" s="1"/>
  <c r="B16" i="64"/>
  <c r="Z15" i="64"/>
  <c r="T15" i="64"/>
  <c r="P15" i="64"/>
  <c r="X15" i="64" s="1"/>
  <c r="H15" i="64"/>
  <c r="N15" i="64" s="1"/>
  <c r="D15" i="64"/>
  <c r="L15" i="64" s="1"/>
  <c r="B15" i="64"/>
  <c r="T14" i="64"/>
  <c r="P14" i="64"/>
  <c r="H14" i="64"/>
  <c r="N14" i="64" s="1"/>
  <c r="D14" i="64"/>
  <c r="L14" i="64" s="1"/>
  <c r="B14" i="64"/>
  <c r="Z13" i="64"/>
  <c r="X13" i="64"/>
  <c r="T13" i="64"/>
  <c r="P13" i="64"/>
  <c r="L13" i="64"/>
  <c r="H13" i="64"/>
  <c r="D13" i="64"/>
  <c r="D12" i="64" s="1"/>
  <c r="B13" i="64"/>
  <c r="D6" i="64"/>
  <c r="D4" i="64"/>
  <c r="F65" i="63"/>
  <c r="F62" i="63"/>
  <c r="Z60" i="63"/>
  <c r="X60" i="63"/>
  <c r="N60" i="63"/>
  <c r="L60" i="63"/>
  <c r="F58" i="63"/>
  <c r="Z56" i="63"/>
  <c r="X56" i="63"/>
  <c r="T56" i="63"/>
  <c r="P56" i="63"/>
  <c r="N56" i="63"/>
  <c r="L56" i="63"/>
  <c r="H56" i="63"/>
  <c r="F56" i="63"/>
  <c r="D56" i="63"/>
  <c r="Z54" i="63"/>
  <c r="X54" i="63"/>
  <c r="V54" i="63"/>
  <c r="N54" i="63"/>
  <c r="L54" i="63"/>
  <c r="B54" i="63"/>
  <c r="X53" i="63"/>
  <c r="T53" i="63"/>
  <c r="Z53" i="63" s="1"/>
  <c r="P53" i="63"/>
  <c r="H53" i="63"/>
  <c r="N53" i="63" s="1"/>
  <c r="F53" i="63"/>
  <c r="D53" i="63"/>
  <c r="B53" i="63"/>
  <c r="Z52" i="63"/>
  <c r="X52" i="63"/>
  <c r="N52" i="63"/>
  <c r="L52" i="63"/>
  <c r="F52" i="63"/>
  <c r="B52" i="63"/>
  <c r="T51" i="63"/>
  <c r="P51" i="63"/>
  <c r="X51" i="63" s="1"/>
  <c r="L51" i="63"/>
  <c r="N51" i="63" s="1"/>
  <c r="H51" i="63"/>
  <c r="D51" i="63"/>
  <c r="B51" i="63"/>
  <c r="Z50" i="63"/>
  <c r="X50" i="63"/>
  <c r="N50" i="63"/>
  <c r="L50" i="63"/>
  <c r="F50" i="63"/>
  <c r="B50" i="63"/>
  <c r="X49" i="63"/>
  <c r="Z49" i="63" s="1"/>
  <c r="L49" i="63"/>
  <c r="N49" i="63" s="1"/>
  <c r="F49" i="63"/>
  <c r="B49" i="63"/>
  <c r="Z48" i="63"/>
  <c r="X48" i="63"/>
  <c r="N48" i="63"/>
  <c r="L48" i="63"/>
  <c r="F48" i="63"/>
  <c r="B48" i="63"/>
  <c r="T47" i="63"/>
  <c r="P47" i="63"/>
  <c r="X47" i="63" s="1"/>
  <c r="H47" i="63"/>
  <c r="D47" i="63"/>
  <c r="L47" i="63" s="1"/>
  <c r="N47" i="63" s="1"/>
  <c r="B47" i="63"/>
  <c r="Z46" i="63"/>
  <c r="X46" i="63"/>
  <c r="N46" i="63"/>
  <c r="L46" i="63"/>
  <c r="F46" i="63"/>
  <c r="B46" i="63"/>
  <c r="X45" i="63"/>
  <c r="Z45" i="63" s="1"/>
  <c r="L45" i="63"/>
  <c r="N45" i="63" s="1"/>
  <c r="F45" i="63"/>
  <c r="B45" i="63"/>
  <c r="Z44" i="63"/>
  <c r="T44" i="63"/>
  <c r="P44" i="63"/>
  <c r="X44" i="63" s="1"/>
  <c r="N44" i="63"/>
  <c r="L44" i="63"/>
  <c r="H44" i="63"/>
  <c r="F44" i="63"/>
  <c r="D44" i="63"/>
  <c r="B44" i="63"/>
  <c r="Z43" i="63"/>
  <c r="X43" i="63"/>
  <c r="N43" i="63"/>
  <c r="L43" i="63"/>
  <c r="F43" i="63"/>
  <c r="B43" i="63"/>
  <c r="Z42" i="63"/>
  <c r="X42" i="63"/>
  <c r="T42" i="63"/>
  <c r="P42" i="63"/>
  <c r="N42" i="63"/>
  <c r="L42" i="63"/>
  <c r="H42" i="63"/>
  <c r="F42" i="63"/>
  <c r="D42" i="63"/>
  <c r="B42" i="63"/>
  <c r="X41" i="63"/>
  <c r="Z41" i="63" s="1"/>
  <c r="V41" i="63"/>
  <c r="L41" i="63"/>
  <c r="N41" i="63" s="1"/>
  <c r="F41" i="63"/>
  <c r="B41" i="63"/>
  <c r="X40" i="63"/>
  <c r="Z40" i="63" s="1"/>
  <c r="T40" i="63"/>
  <c r="P40" i="63"/>
  <c r="H40" i="63"/>
  <c r="F40" i="63"/>
  <c r="D40" i="63"/>
  <c r="B40" i="63"/>
  <c r="X39" i="63"/>
  <c r="Z39" i="63" s="1"/>
  <c r="N39" i="63"/>
  <c r="L39" i="63"/>
  <c r="F39" i="63"/>
  <c r="B39" i="63"/>
  <c r="T38" i="63"/>
  <c r="P38" i="63"/>
  <c r="X38" i="63" s="1"/>
  <c r="H38" i="63"/>
  <c r="F38" i="63"/>
  <c r="D38" i="63"/>
  <c r="L38" i="63" s="1"/>
  <c r="N38" i="63" s="1"/>
  <c r="B38" i="63"/>
  <c r="X37" i="63"/>
  <c r="Z37" i="63" s="1"/>
  <c r="N37" i="63"/>
  <c r="L37" i="63"/>
  <c r="F37" i="63"/>
  <c r="B37" i="63"/>
  <c r="Z36" i="63"/>
  <c r="T36" i="63"/>
  <c r="P36" i="63"/>
  <c r="X36" i="63" s="1"/>
  <c r="N36" i="63"/>
  <c r="L36" i="63"/>
  <c r="H36" i="63"/>
  <c r="F36" i="63"/>
  <c r="D36" i="63"/>
  <c r="B36" i="63"/>
  <c r="Z35" i="63"/>
  <c r="X35" i="63"/>
  <c r="N35" i="63"/>
  <c r="L35" i="63"/>
  <c r="F35" i="63"/>
  <c r="B35" i="63"/>
  <c r="Z34" i="63"/>
  <c r="X34" i="63"/>
  <c r="N34" i="63"/>
  <c r="L34" i="63"/>
  <c r="F34" i="63"/>
  <c r="B34" i="63"/>
  <c r="X33" i="63"/>
  <c r="Z33" i="63" s="1"/>
  <c r="L33" i="63"/>
  <c r="N33" i="63" s="1"/>
  <c r="F33" i="63"/>
  <c r="B33" i="63"/>
  <c r="Z32" i="63"/>
  <c r="X32" i="63"/>
  <c r="N32" i="63"/>
  <c r="L32" i="63"/>
  <c r="F32" i="63"/>
  <c r="B32" i="63"/>
  <c r="X31" i="63"/>
  <c r="Z31" i="63" s="1"/>
  <c r="R31" i="63"/>
  <c r="N31" i="63"/>
  <c r="L31" i="63"/>
  <c r="F31" i="63"/>
  <c r="B31" i="63"/>
  <c r="Z30" i="63"/>
  <c r="X30" i="63"/>
  <c r="R30" i="63"/>
  <c r="N30" i="63"/>
  <c r="L30" i="63"/>
  <c r="B30" i="63"/>
  <c r="T29" i="63"/>
  <c r="P29" i="63"/>
  <c r="X29" i="63" s="1"/>
  <c r="H29" i="63"/>
  <c r="F29" i="63"/>
  <c r="D29" i="63"/>
  <c r="L29" i="63" s="1"/>
  <c r="B29" i="63"/>
  <c r="Z28" i="63"/>
  <c r="X28" i="63"/>
  <c r="L28" i="63"/>
  <c r="N28" i="63" s="1"/>
  <c r="F28" i="63"/>
  <c r="B28" i="63"/>
  <c r="X27" i="63"/>
  <c r="Z27" i="63" s="1"/>
  <c r="N27" i="63"/>
  <c r="L27" i="63"/>
  <c r="F27" i="63"/>
  <c r="B27" i="63"/>
  <c r="Z26" i="63"/>
  <c r="X26" i="63"/>
  <c r="N26" i="63"/>
  <c r="L26" i="63"/>
  <c r="B26" i="63"/>
  <c r="Z25" i="63"/>
  <c r="X25" i="63"/>
  <c r="N25" i="63"/>
  <c r="L25" i="63"/>
  <c r="F25" i="63"/>
  <c r="B25" i="63"/>
  <c r="Z24" i="63"/>
  <c r="X24" i="63"/>
  <c r="N24" i="63"/>
  <c r="L24" i="63"/>
  <c r="B24" i="63"/>
  <c r="Z23" i="63"/>
  <c r="X23" i="63"/>
  <c r="L23" i="63"/>
  <c r="N23" i="63" s="1"/>
  <c r="F23" i="63"/>
  <c r="B23" i="63"/>
  <c r="Z22" i="63"/>
  <c r="X22" i="63"/>
  <c r="N22" i="63"/>
  <c r="L22" i="63"/>
  <c r="F22" i="63"/>
  <c r="B22" i="63"/>
  <c r="X21" i="63"/>
  <c r="Z21" i="63" s="1"/>
  <c r="L21" i="63"/>
  <c r="N21" i="63" s="1"/>
  <c r="F21" i="63"/>
  <c r="B21" i="63"/>
  <c r="Z20" i="63"/>
  <c r="X20" i="63"/>
  <c r="N20" i="63"/>
  <c r="L20" i="63"/>
  <c r="F20" i="63"/>
  <c r="B20" i="63"/>
  <c r="T19" i="63"/>
  <c r="P19" i="63"/>
  <c r="X19" i="63" s="1"/>
  <c r="H19" i="63"/>
  <c r="D19" i="63"/>
  <c r="L19" i="63" s="1"/>
  <c r="N19" i="63" s="1"/>
  <c r="B19" i="63"/>
  <c r="Z18" i="63"/>
  <c r="X18" i="63"/>
  <c r="T18" i="63"/>
  <c r="P18" i="63"/>
  <c r="N18" i="63"/>
  <c r="L18" i="63"/>
  <c r="H18" i="63"/>
  <c r="F18" i="63"/>
  <c r="D18" i="63"/>
  <c r="T16" i="63"/>
  <c r="Z16" i="63" s="1"/>
  <c r="F16" i="63"/>
  <c r="D16" i="63"/>
  <c r="Z14" i="63"/>
  <c r="X14" i="63"/>
  <c r="T14" i="63"/>
  <c r="P14" i="63"/>
  <c r="N14" i="63"/>
  <c r="L14" i="63"/>
  <c r="H14" i="63"/>
  <c r="F14" i="63"/>
  <c r="D14" i="63"/>
  <c r="T12" i="63"/>
  <c r="V65" i="63" s="1"/>
  <c r="P12" i="63"/>
  <c r="H12" i="63"/>
  <c r="J44" i="63" s="1"/>
  <c r="D12" i="63"/>
  <c r="F60" i="63" s="1"/>
  <c r="D6" i="63"/>
  <c r="D4" i="63"/>
  <c r="J114" i="62"/>
  <c r="J111" i="62"/>
  <c r="Z109" i="62"/>
  <c r="X109" i="62"/>
  <c r="N109" i="62"/>
  <c r="L109" i="62"/>
  <c r="J107" i="62"/>
  <c r="Z105" i="62"/>
  <c r="T105" i="62"/>
  <c r="R105" i="62"/>
  <c r="P105" i="62"/>
  <c r="X105" i="62" s="1"/>
  <c r="N105" i="62"/>
  <c r="L105" i="62"/>
  <c r="J105" i="62"/>
  <c r="H105" i="62"/>
  <c r="D105" i="62"/>
  <c r="B105" i="62"/>
  <c r="Z104" i="62"/>
  <c r="T104" i="62"/>
  <c r="X104" i="62" s="1"/>
  <c r="P104" i="62"/>
  <c r="J104" i="62"/>
  <c r="H104" i="62"/>
  <c r="N104" i="62" s="1"/>
  <c r="D104" i="62"/>
  <c r="L104" i="62" s="1"/>
  <c r="B104" i="62"/>
  <c r="V103" i="62"/>
  <c r="T103" i="62"/>
  <c r="P103" i="62"/>
  <c r="X103" i="62" s="1"/>
  <c r="H103" i="62"/>
  <c r="D103" i="62"/>
  <c r="B103" i="62"/>
  <c r="P102" i="62"/>
  <c r="H102" i="62"/>
  <c r="X100" i="62"/>
  <c r="Z100" i="62" s="1"/>
  <c r="V100" i="62"/>
  <c r="L100" i="62"/>
  <c r="N100" i="62" s="1"/>
  <c r="B100" i="62"/>
  <c r="Z99" i="62"/>
  <c r="X99" i="62"/>
  <c r="T99" i="62"/>
  <c r="P99" i="62"/>
  <c r="J99" i="62"/>
  <c r="H99" i="62"/>
  <c r="D99" i="62"/>
  <c r="B99" i="62"/>
  <c r="X98" i="62"/>
  <c r="Z98" i="62" s="1"/>
  <c r="N98" i="62"/>
  <c r="L98" i="62"/>
  <c r="B98" i="62"/>
  <c r="Z97" i="62"/>
  <c r="X97" i="62"/>
  <c r="V97" i="62"/>
  <c r="N97" i="62"/>
  <c r="L97" i="62"/>
  <c r="J97" i="62"/>
  <c r="B97" i="62"/>
  <c r="X96" i="62"/>
  <c r="Z96" i="62" s="1"/>
  <c r="V96" i="62"/>
  <c r="N96" i="62"/>
  <c r="L96" i="62"/>
  <c r="B96" i="62"/>
  <c r="X95" i="62"/>
  <c r="Z95" i="62" s="1"/>
  <c r="V95" i="62"/>
  <c r="T95" i="62"/>
  <c r="R95" i="62"/>
  <c r="P95" i="62"/>
  <c r="J95" i="62"/>
  <c r="H95" i="62"/>
  <c r="N95" i="62" s="1"/>
  <c r="D95" i="62"/>
  <c r="B95" i="62"/>
  <c r="X94" i="62"/>
  <c r="Z94" i="62" s="1"/>
  <c r="N94" i="62"/>
  <c r="L94" i="62"/>
  <c r="B94" i="62"/>
  <c r="V93" i="62"/>
  <c r="T93" i="62"/>
  <c r="P93" i="62"/>
  <c r="X93" i="62" s="1"/>
  <c r="N93" i="62"/>
  <c r="H93" i="62"/>
  <c r="D93" i="62"/>
  <c r="L93" i="62" s="1"/>
  <c r="B93" i="62"/>
  <c r="X92" i="62"/>
  <c r="Z92" i="62" s="1"/>
  <c r="L92" i="62"/>
  <c r="N92" i="62" s="1"/>
  <c r="J92" i="62"/>
  <c r="B92" i="62"/>
  <c r="Z91" i="62"/>
  <c r="T91" i="62"/>
  <c r="P91" i="62"/>
  <c r="X91" i="62" s="1"/>
  <c r="N91" i="62"/>
  <c r="L91" i="62"/>
  <c r="J91" i="62"/>
  <c r="H91" i="62"/>
  <c r="D91" i="62"/>
  <c r="B91" i="62"/>
  <c r="Z90" i="62"/>
  <c r="X90" i="62"/>
  <c r="N90" i="62"/>
  <c r="L90" i="62"/>
  <c r="B90" i="62"/>
  <c r="Z89" i="62"/>
  <c r="X89" i="62"/>
  <c r="V89" i="62"/>
  <c r="N89" i="62"/>
  <c r="L89" i="62"/>
  <c r="J89" i="62"/>
  <c r="B89" i="62"/>
  <c r="X88" i="62"/>
  <c r="Z88" i="62" s="1"/>
  <c r="N88" i="62"/>
  <c r="L88" i="62"/>
  <c r="J88" i="62"/>
  <c r="B88" i="62"/>
  <c r="Z87" i="62"/>
  <c r="X87" i="62"/>
  <c r="N87" i="62"/>
  <c r="L87" i="62"/>
  <c r="B87" i="62"/>
  <c r="X86" i="62"/>
  <c r="Z86" i="62" s="1"/>
  <c r="N86" i="62"/>
  <c r="L86" i="62"/>
  <c r="B86" i="62"/>
  <c r="Z85" i="62"/>
  <c r="X85" i="62"/>
  <c r="V85" i="62"/>
  <c r="N85" i="62"/>
  <c r="L85" i="62"/>
  <c r="J85" i="62"/>
  <c r="B85" i="62"/>
  <c r="X84" i="62"/>
  <c r="Z84" i="62" s="1"/>
  <c r="V84" i="62"/>
  <c r="N84" i="62"/>
  <c r="L84" i="62"/>
  <c r="B84" i="62"/>
  <c r="Z83" i="62"/>
  <c r="X83" i="62"/>
  <c r="V83" i="62"/>
  <c r="T83" i="62"/>
  <c r="P83" i="62"/>
  <c r="J83" i="62"/>
  <c r="H83" i="62"/>
  <c r="D83" i="62"/>
  <c r="L83" i="62" s="1"/>
  <c r="B83" i="62"/>
  <c r="X82" i="62"/>
  <c r="Z82" i="62" s="1"/>
  <c r="N82" i="62"/>
  <c r="L82" i="62"/>
  <c r="B82" i="62"/>
  <c r="Z81" i="62"/>
  <c r="X81" i="62"/>
  <c r="V81" i="62"/>
  <c r="N81" i="62"/>
  <c r="L81" i="62"/>
  <c r="J81" i="62"/>
  <c r="B81" i="62"/>
  <c r="X80" i="62"/>
  <c r="V80" i="62"/>
  <c r="T80" i="62"/>
  <c r="Z80" i="62" s="1"/>
  <c r="P80" i="62"/>
  <c r="H80" i="62"/>
  <c r="N80" i="62" s="1"/>
  <c r="D80" i="62"/>
  <c r="B80" i="62"/>
  <c r="Z79" i="62"/>
  <c r="X79" i="62"/>
  <c r="N79" i="62"/>
  <c r="L79" i="62"/>
  <c r="B79" i="62"/>
  <c r="X78" i="62"/>
  <c r="Z78" i="62" s="1"/>
  <c r="N78" i="62"/>
  <c r="L78" i="62"/>
  <c r="B78" i="62"/>
  <c r="Z77" i="62"/>
  <c r="X77" i="62"/>
  <c r="V77" i="62"/>
  <c r="N77" i="62"/>
  <c r="L77" i="62"/>
  <c r="J77" i="62"/>
  <c r="B77" i="62"/>
  <c r="V76" i="62"/>
  <c r="T76" i="62"/>
  <c r="P76" i="62"/>
  <c r="X76" i="62" s="1"/>
  <c r="H76" i="62"/>
  <c r="D76" i="62"/>
  <c r="B76" i="62"/>
  <c r="Z75" i="62"/>
  <c r="X75" i="62"/>
  <c r="N75" i="62"/>
  <c r="L75" i="62"/>
  <c r="B75" i="62"/>
  <c r="X74" i="62"/>
  <c r="Z74" i="62" s="1"/>
  <c r="N74" i="62"/>
  <c r="L74" i="62"/>
  <c r="B74" i="62"/>
  <c r="Z73" i="62"/>
  <c r="X73" i="62"/>
  <c r="V73" i="62"/>
  <c r="N73" i="62"/>
  <c r="L73" i="62"/>
  <c r="J73" i="62"/>
  <c r="B73" i="62"/>
  <c r="X72" i="62"/>
  <c r="Z72" i="62" s="1"/>
  <c r="V72" i="62"/>
  <c r="L72" i="62"/>
  <c r="N72" i="62" s="1"/>
  <c r="B72" i="62"/>
  <c r="Z71" i="62"/>
  <c r="X71" i="62"/>
  <c r="V71" i="62"/>
  <c r="T71" i="62"/>
  <c r="P71" i="62"/>
  <c r="J71" i="62"/>
  <c r="H71" i="62"/>
  <c r="D71" i="62"/>
  <c r="L71" i="62" s="1"/>
  <c r="B71" i="62"/>
  <c r="X70" i="62"/>
  <c r="Z70" i="62" s="1"/>
  <c r="N70" i="62"/>
  <c r="L70" i="62"/>
  <c r="B70" i="62"/>
  <c r="V69" i="62"/>
  <c r="T69" i="62"/>
  <c r="P69" i="62"/>
  <c r="X69" i="62" s="1"/>
  <c r="H69" i="62"/>
  <c r="D69" i="62"/>
  <c r="L69" i="62" s="1"/>
  <c r="N69" i="62" s="1"/>
  <c r="B69" i="62"/>
  <c r="X68" i="62"/>
  <c r="Z68" i="62" s="1"/>
  <c r="L68" i="62"/>
  <c r="N68" i="62" s="1"/>
  <c r="J68" i="62"/>
  <c r="B68" i="62"/>
  <c r="T67" i="62"/>
  <c r="P67" i="62"/>
  <c r="X67" i="62" s="1"/>
  <c r="Z67" i="62" s="1"/>
  <c r="N67" i="62"/>
  <c r="L67" i="62"/>
  <c r="J67" i="62"/>
  <c r="H67" i="62"/>
  <c r="D67" i="62"/>
  <c r="B67" i="62"/>
  <c r="Z66" i="62"/>
  <c r="X66" i="62"/>
  <c r="V66" i="62"/>
  <c r="L66" i="62"/>
  <c r="N66" i="62" s="1"/>
  <c r="B66" i="62"/>
  <c r="Z65" i="62"/>
  <c r="X65" i="62"/>
  <c r="V65" i="62"/>
  <c r="T65" i="62"/>
  <c r="P65" i="62"/>
  <c r="N65" i="62"/>
  <c r="L65" i="62"/>
  <c r="H65" i="62"/>
  <c r="D65" i="62"/>
  <c r="B65" i="62"/>
  <c r="X64" i="62"/>
  <c r="Z64" i="62" s="1"/>
  <c r="V64" i="62"/>
  <c r="L64" i="62"/>
  <c r="N64" i="62" s="1"/>
  <c r="B64" i="62"/>
  <c r="X63" i="62"/>
  <c r="Z63" i="62" s="1"/>
  <c r="V63" i="62"/>
  <c r="T63" i="62"/>
  <c r="R63" i="62"/>
  <c r="P63" i="62"/>
  <c r="J63" i="62"/>
  <c r="H63" i="62"/>
  <c r="D63" i="62"/>
  <c r="B63" i="62"/>
  <c r="X62" i="62"/>
  <c r="Z62" i="62" s="1"/>
  <c r="N62" i="62"/>
  <c r="L62" i="62"/>
  <c r="B62" i="62"/>
  <c r="V61" i="62"/>
  <c r="T61" i="62"/>
  <c r="P61" i="62"/>
  <c r="X61" i="62" s="1"/>
  <c r="N61" i="62"/>
  <c r="H61" i="62"/>
  <c r="D61" i="62"/>
  <c r="L61" i="62" s="1"/>
  <c r="B61" i="62"/>
  <c r="X60" i="62"/>
  <c r="Z60" i="62" s="1"/>
  <c r="L60" i="62"/>
  <c r="N60" i="62" s="1"/>
  <c r="J60" i="62"/>
  <c r="B60" i="62"/>
  <c r="Z59" i="62"/>
  <c r="T59" i="62"/>
  <c r="P59" i="62"/>
  <c r="X59" i="62" s="1"/>
  <c r="N59" i="62"/>
  <c r="L59" i="62"/>
  <c r="J59" i="62"/>
  <c r="H59" i="62"/>
  <c r="D59" i="62"/>
  <c r="B59" i="62"/>
  <c r="Z58" i="62"/>
  <c r="X58" i="62"/>
  <c r="V58" i="62"/>
  <c r="N58" i="62"/>
  <c r="L58" i="62"/>
  <c r="F58" i="62"/>
  <c r="B58" i="62"/>
  <c r="Z57" i="62"/>
  <c r="X57" i="62"/>
  <c r="V57" i="62"/>
  <c r="T57" i="62"/>
  <c r="P57" i="62"/>
  <c r="N57" i="62"/>
  <c r="L57" i="62"/>
  <c r="H57" i="62"/>
  <c r="D57" i="62"/>
  <c r="B57" i="62"/>
  <c r="X56" i="62"/>
  <c r="Z56" i="62" s="1"/>
  <c r="V56" i="62"/>
  <c r="L56" i="62"/>
  <c r="N56" i="62" s="1"/>
  <c r="B56" i="62"/>
  <c r="X55" i="62"/>
  <c r="Z55" i="62" s="1"/>
  <c r="V55" i="62"/>
  <c r="T55" i="62"/>
  <c r="P55" i="62"/>
  <c r="J55" i="62"/>
  <c r="H55" i="62"/>
  <c r="D55" i="62"/>
  <c r="B55" i="62"/>
  <c r="X54" i="62"/>
  <c r="Z54" i="62" s="1"/>
  <c r="N54" i="62"/>
  <c r="L54" i="62"/>
  <c r="B54" i="62"/>
  <c r="V53" i="62"/>
  <c r="T53" i="62"/>
  <c r="P53" i="62"/>
  <c r="N53" i="62"/>
  <c r="H53" i="62"/>
  <c r="D53" i="62"/>
  <c r="L53" i="62" s="1"/>
  <c r="B53" i="62"/>
  <c r="X52" i="62"/>
  <c r="Z52" i="62" s="1"/>
  <c r="L52" i="62"/>
  <c r="N52" i="62" s="1"/>
  <c r="J52" i="62"/>
  <c r="B52" i="62"/>
  <c r="Z51" i="62"/>
  <c r="X51" i="62"/>
  <c r="N51" i="62"/>
  <c r="L51" i="62"/>
  <c r="B51" i="62"/>
  <c r="T50" i="62"/>
  <c r="P50" i="62"/>
  <c r="L50" i="62"/>
  <c r="N50" i="62" s="1"/>
  <c r="H50" i="62"/>
  <c r="D50" i="62"/>
  <c r="B50" i="62"/>
  <c r="Z49" i="62"/>
  <c r="X49" i="62"/>
  <c r="V49" i="62"/>
  <c r="N49" i="62"/>
  <c r="L49" i="62"/>
  <c r="J49" i="62"/>
  <c r="B49" i="62"/>
  <c r="X48" i="62"/>
  <c r="Z48" i="62" s="1"/>
  <c r="L48" i="62"/>
  <c r="N48" i="62" s="1"/>
  <c r="J48" i="62"/>
  <c r="B48" i="62"/>
  <c r="Z47" i="62"/>
  <c r="X47" i="62"/>
  <c r="L47" i="62"/>
  <c r="N47" i="62" s="1"/>
  <c r="B47" i="62"/>
  <c r="T46" i="62"/>
  <c r="P46" i="62"/>
  <c r="L46" i="62"/>
  <c r="N46" i="62" s="1"/>
  <c r="H46" i="62"/>
  <c r="D46" i="62"/>
  <c r="B46" i="62"/>
  <c r="Z45" i="62"/>
  <c r="X45" i="62"/>
  <c r="V45" i="62"/>
  <c r="N45" i="62"/>
  <c r="L45" i="62"/>
  <c r="J45" i="62"/>
  <c r="B45" i="62"/>
  <c r="T44" i="62"/>
  <c r="P44" i="62"/>
  <c r="X44" i="62" s="1"/>
  <c r="Z44" i="62" s="1"/>
  <c r="H44" i="62"/>
  <c r="L44" i="62" s="1"/>
  <c r="D44" i="62"/>
  <c r="B44" i="62"/>
  <c r="Z43" i="62"/>
  <c r="X43" i="62"/>
  <c r="V43" i="62"/>
  <c r="N43" i="62"/>
  <c r="L43" i="62"/>
  <c r="B43" i="62"/>
  <c r="Z42" i="62"/>
  <c r="X42" i="62"/>
  <c r="V42" i="62"/>
  <c r="L42" i="62"/>
  <c r="N42" i="62" s="1"/>
  <c r="B42" i="62"/>
  <c r="Z41" i="62"/>
  <c r="X41" i="62"/>
  <c r="V41" i="62"/>
  <c r="T41" i="62"/>
  <c r="P41" i="62"/>
  <c r="N41" i="62"/>
  <c r="L41" i="62"/>
  <c r="H41" i="62"/>
  <c r="D41" i="62"/>
  <c r="B41" i="62"/>
  <c r="X40" i="62"/>
  <c r="Z40" i="62" s="1"/>
  <c r="V40" i="62"/>
  <c r="L40" i="62"/>
  <c r="N40" i="62" s="1"/>
  <c r="B40" i="62"/>
  <c r="X39" i="62"/>
  <c r="Z39" i="62" s="1"/>
  <c r="V39" i="62"/>
  <c r="T39" i="62"/>
  <c r="R39" i="62"/>
  <c r="P39" i="62"/>
  <c r="J39" i="62"/>
  <c r="H39" i="62"/>
  <c r="D39" i="62"/>
  <c r="B39" i="62"/>
  <c r="X38" i="62"/>
  <c r="Z38" i="62" s="1"/>
  <c r="N38" i="62"/>
  <c r="L38" i="62"/>
  <c r="B38" i="62"/>
  <c r="Z37" i="62"/>
  <c r="X37" i="62"/>
  <c r="V37" i="62"/>
  <c r="N37" i="62"/>
  <c r="L37" i="62"/>
  <c r="J37" i="62"/>
  <c r="B37" i="62"/>
  <c r="X36" i="62"/>
  <c r="Z36" i="62" s="1"/>
  <c r="V36" i="62"/>
  <c r="N36" i="62"/>
  <c r="L36" i="62"/>
  <c r="B36" i="62"/>
  <c r="X35" i="62"/>
  <c r="Z35" i="62" s="1"/>
  <c r="V35" i="62"/>
  <c r="N35" i="62"/>
  <c r="L35" i="62"/>
  <c r="B35" i="62"/>
  <c r="Z34" i="62"/>
  <c r="X34" i="62"/>
  <c r="V34" i="62"/>
  <c r="R34" i="62"/>
  <c r="N34" i="62"/>
  <c r="L34" i="62"/>
  <c r="B34" i="62"/>
  <c r="Z33" i="62"/>
  <c r="X33" i="62"/>
  <c r="V33" i="62"/>
  <c r="N33" i="62"/>
  <c r="L33" i="62"/>
  <c r="J33" i="62"/>
  <c r="B33" i="62"/>
  <c r="X32" i="62"/>
  <c r="Z32" i="62" s="1"/>
  <c r="N32" i="62"/>
  <c r="L32" i="62"/>
  <c r="J32" i="62"/>
  <c r="B32" i="62"/>
  <c r="V31" i="62"/>
  <c r="T31" i="62"/>
  <c r="P31" i="62"/>
  <c r="X31" i="62" s="1"/>
  <c r="Z31" i="62" s="1"/>
  <c r="N31" i="62"/>
  <c r="L31" i="62"/>
  <c r="J31" i="62"/>
  <c r="H31" i="62"/>
  <c r="D31" i="62"/>
  <c r="B31" i="62"/>
  <c r="Z30" i="62"/>
  <c r="X30" i="62"/>
  <c r="V30" i="62"/>
  <c r="R30" i="62"/>
  <c r="N30" i="62"/>
  <c r="L30" i="62"/>
  <c r="B30" i="62"/>
  <c r="Z29" i="62"/>
  <c r="X29" i="62"/>
  <c r="V29" i="62"/>
  <c r="N29" i="62"/>
  <c r="L29" i="62"/>
  <c r="J29" i="62"/>
  <c r="B29" i="62"/>
  <c r="X28" i="62"/>
  <c r="Z28" i="62" s="1"/>
  <c r="L28" i="62"/>
  <c r="N28" i="62" s="1"/>
  <c r="J28" i="62"/>
  <c r="B28" i="62"/>
  <c r="Z27" i="62"/>
  <c r="X27" i="62"/>
  <c r="V27" i="62"/>
  <c r="N27" i="62"/>
  <c r="L27" i="62"/>
  <c r="B27" i="62"/>
  <c r="Z26" i="62"/>
  <c r="X26" i="62"/>
  <c r="N26" i="62"/>
  <c r="L26" i="62"/>
  <c r="B26" i="62"/>
  <c r="Z25" i="62"/>
  <c r="X25" i="62"/>
  <c r="V25" i="62"/>
  <c r="N25" i="62"/>
  <c r="L25" i="62"/>
  <c r="J25" i="62"/>
  <c r="B25" i="62"/>
  <c r="Z24" i="62"/>
  <c r="X24" i="62"/>
  <c r="V24" i="62"/>
  <c r="L24" i="62"/>
  <c r="N24" i="62" s="1"/>
  <c r="B24" i="62"/>
  <c r="X23" i="62"/>
  <c r="Z23" i="62" s="1"/>
  <c r="V23" i="62"/>
  <c r="N23" i="62"/>
  <c r="L23" i="62"/>
  <c r="B23" i="62"/>
  <c r="Z22" i="62"/>
  <c r="X22" i="62"/>
  <c r="V22" i="62"/>
  <c r="R22" i="62"/>
  <c r="L22" i="62"/>
  <c r="N22" i="62" s="1"/>
  <c r="F22" i="62"/>
  <c r="B22" i="62"/>
  <c r="Z21" i="62"/>
  <c r="X21" i="62"/>
  <c r="V21" i="62"/>
  <c r="N21" i="62"/>
  <c r="L21" i="62"/>
  <c r="J21" i="62"/>
  <c r="F21" i="62"/>
  <c r="B21" i="62"/>
  <c r="X20" i="62"/>
  <c r="Z20" i="62" s="1"/>
  <c r="T20" i="62"/>
  <c r="P20" i="62"/>
  <c r="H20" i="62"/>
  <c r="L20" i="62" s="1"/>
  <c r="D20" i="62"/>
  <c r="B20" i="62"/>
  <c r="X19" i="62"/>
  <c r="Z19" i="62" s="1"/>
  <c r="V19" i="62"/>
  <c r="T19" i="62"/>
  <c r="R19" i="62"/>
  <c r="P19" i="62"/>
  <c r="J19" i="62"/>
  <c r="H19" i="62"/>
  <c r="D19" i="62"/>
  <c r="V17" i="62"/>
  <c r="P17" i="62"/>
  <c r="J17" i="62"/>
  <c r="Z15" i="62"/>
  <c r="X15" i="62"/>
  <c r="V15" i="62"/>
  <c r="N15" i="62"/>
  <c r="L15" i="62"/>
  <c r="B15" i="62"/>
  <c r="Z14" i="62"/>
  <c r="V14" i="62"/>
  <c r="T14" i="62"/>
  <c r="X14" i="62" s="1"/>
  <c r="P14" i="62"/>
  <c r="J14" i="62"/>
  <c r="H14" i="62"/>
  <c r="N14" i="62" s="1"/>
  <c r="D14" i="62"/>
  <c r="L14" i="62" s="1"/>
  <c r="Z12" i="62"/>
  <c r="T12" i="62"/>
  <c r="V102" i="62" s="1"/>
  <c r="P12" i="62"/>
  <c r="N12" i="62"/>
  <c r="H12" i="62"/>
  <c r="J100" i="62" s="1"/>
  <c r="D12" i="62"/>
  <c r="F80" i="62" s="1"/>
  <c r="D6" i="62"/>
  <c r="D4" i="62"/>
  <c r="V58" i="61"/>
  <c r="R58" i="61"/>
  <c r="F58" i="61"/>
  <c r="Z53" i="61"/>
  <c r="X53" i="61"/>
  <c r="V53" i="61"/>
  <c r="R53" i="61"/>
  <c r="N53" i="61"/>
  <c r="L53" i="61"/>
  <c r="V51" i="61"/>
  <c r="R51" i="61"/>
  <c r="P51" i="61"/>
  <c r="F51" i="61"/>
  <c r="Z49" i="61"/>
  <c r="T49" i="61"/>
  <c r="P49" i="61"/>
  <c r="X49" i="61" s="1"/>
  <c r="H49" i="61"/>
  <c r="D49" i="61"/>
  <c r="X47" i="61"/>
  <c r="Z47" i="61" s="1"/>
  <c r="V47" i="61"/>
  <c r="R47" i="61"/>
  <c r="N47" i="61"/>
  <c r="L47" i="61"/>
  <c r="B47" i="61"/>
  <c r="Z46" i="61"/>
  <c r="X46" i="61"/>
  <c r="V46" i="61"/>
  <c r="T46" i="61"/>
  <c r="R46" i="61"/>
  <c r="P46" i="61"/>
  <c r="J46" i="61"/>
  <c r="H46" i="61"/>
  <c r="N46" i="61" s="1"/>
  <c r="D46" i="61"/>
  <c r="L46" i="61" s="1"/>
  <c r="B46" i="61"/>
  <c r="X45" i="61"/>
  <c r="Z45" i="61" s="1"/>
  <c r="R45" i="61"/>
  <c r="N45" i="61"/>
  <c r="L45" i="61"/>
  <c r="F45" i="61"/>
  <c r="B45" i="61"/>
  <c r="V44" i="61"/>
  <c r="T44" i="61"/>
  <c r="R44" i="61"/>
  <c r="P44" i="61"/>
  <c r="X44" i="61" s="1"/>
  <c r="H44" i="61"/>
  <c r="F44" i="61"/>
  <c r="D44" i="61"/>
  <c r="L44" i="61" s="1"/>
  <c r="N44" i="61" s="1"/>
  <c r="B44" i="61"/>
  <c r="X43" i="61"/>
  <c r="Z43" i="61" s="1"/>
  <c r="N43" i="61"/>
  <c r="L43" i="61"/>
  <c r="J43" i="61"/>
  <c r="B43" i="61"/>
  <c r="Z42" i="61"/>
  <c r="X42" i="61"/>
  <c r="N42" i="61"/>
  <c r="L42" i="61"/>
  <c r="B42" i="61"/>
  <c r="T41" i="61"/>
  <c r="R41" i="61"/>
  <c r="P41" i="61"/>
  <c r="X41" i="61" s="1"/>
  <c r="H41" i="61"/>
  <c r="D41" i="61"/>
  <c r="L41" i="61" s="1"/>
  <c r="N41" i="61" s="1"/>
  <c r="B41" i="61"/>
  <c r="X40" i="61"/>
  <c r="Z40" i="61" s="1"/>
  <c r="V40" i="61"/>
  <c r="N40" i="61"/>
  <c r="L40" i="61"/>
  <c r="J40" i="61"/>
  <c r="F40" i="61"/>
  <c r="B40" i="61"/>
  <c r="T39" i="61"/>
  <c r="P39" i="61"/>
  <c r="X39" i="61" s="1"/>
  <c r="Z39" i="61" s="1"/>
  <c r="H39" i="61"/>
  <c r="L39" i="61" s="1"/>
  <c r="D39" i="61"/>
  <c r="B39" i="61"/>
  <c r="Z38" i="61"/>
  <c r="X38" i="61"/>
  <c r="V38" i="61"/>
  <c r="R38" i="61"/>
  <c r="N38" i="61"/>
  <c r="L38" i="61"/>
  <c r="B38" i="61"/>
  <c r="Z37" i="61"/>
  <c r="V37" i="61"/>
  <c r="T37" i="61"/>
  <c r="X37" i="61" s="1"/>
  <c r="P37" i="61"/>
  <c r="J37" i="61"/>
  <c r="H37" i="61"/>
  <c r="N37" i="61" s="1"/>
  <c r="D37" i="61"/>
  <c r="L37" i="61" s="1"/>
  <c r="B37" i="61"/>
  <c r="Z36" i="61"/>
  <c r="X36" i="61"/>
  <c r="V36" i="61"/>
  <c r="R36" i="61"/>
  <c r="L36" i="61"/>
  <c r="N36" i="61" s="1"/>
  <c r="J36" i="61"/>
  <c r="B36" i="61"/>
  <c r="X35" i="61"/>
  <c r="V35" i="61"/>
  <c r="T35" i="61"/>
  <c r="R35" i="61"/>
  <c r="P35" i="61"/>
  <c r="H35" i="61"/>
  <c r="F35" i="61"/>
  <c r="D35" i="61"/>
  <c r="L35" i="61" s="1"/>
  <c r="B35" i="61"/>
  <c r="Z34" i="61"/>
  <c r="X34" i="61"/>
  <c r="N34" i="61"/>
  <c r="L34" i="61"/>
  <c r="B34" i="61"/>
  <c r="T33" i="61"/>
  <c r="R33" i="61"/>
  <c r="P33" i="61"/>
  <c r="L33" i="61"/>
  <c r="N33" i="61" s="1"/>
  <c r="H33" i="61"/>
  <c r="D33" i="61"/>
  <c r="B33" i="61"/>
  <c r="X32" i="61"/>
  <c r="Z32" i="61" s="1"/>
  <c r="V32" i="61"/>
  <c r="N32" i="61"/>
  <c r="L32" i="61"/>
  <c r="J32" i="61"/>
  <c r="F32" i="61"/>
  <c r="B32" i="61"/>
  <c r="X31" i="61"/>
  <c r="Z31" i="61" s="1"/>
  <c r="R31" i="61"/>
  <c r="N31" i="61"/>
  <c r="L31" i="61"/>
  <c r="J31" i="61"/>
  <c r="B31" i="61"/>
  <c r="Z30" i="61"/>
  <c r="X30" i="61"/>
  <c r="N30" i="61"/>
  <c r="L30" i="61"/>
  <c r="B30" i="61"/>
  <c r="X29" i="61"/>
  <c r="Z29" i="61" s="1"/>
  <c r="R29" i="61"/>
  <c r="N29" i="61"/>
  <c r="L29" i="61"/>
  <c r="J29" i="61"/>
  <c r="F29" i="61"/>
  <c r="B29" i="61"/>
  <c r="V28" i="61"/>
  <c r="T28" i="61"/>
  <c r="R28" i="61"/>
  <c r="P28" i="61"/>
  <c r="X28" i="61" s="1"/>
  <c r="H28" i="61"/>
  <c r="F28" i="61"/>
  <c r="D28" i="61"/>
  <c r="L28" i="61" s="1"/>
  <c r="N28" i="61" s="1"/>
  <c r="B28" i="61"/>
  <c r="X27" i="61"/>
  <c r="Z27" i="61" s="1"/>
  <c r="R27" i="61"/>
  <c r="N27" i="61"/>
  <c r="L27" i="61"/>
  <c r="J27" i="61"/>
  <c r="B27" i="61"/>
  <c r="Z26" i="61"/>
  <c r="X26" i="61"/>
  <c r="N26" i="61"/>
  <c r="L26" i="61"/>
  <c r="B26" i="61"/>
  <c r="X25" i="61"/>
  <c r="Z25" i="61" s="1"/>
  <c r="R25" i="61"/>
  <c r="N25" i="61"/>
  <c r="L25" i="61"/>
  <c r="J25" i="61"/>
  <c r="F25" i="61"/>
  <c r="B25" i="61"/>
  <c r="Z24" i="61"/>
  <c r="X24" i="61"/>
  <c r="V24" i="61"/>
  <c r="R24" i="61"/>
  <c r="N24" i="61"/>
  <c r="L24" i="61"/>
  <c r="J24" i="61"/>
  <c r="B24" i="61"/>
  <c r="Z23" i="61"/>
  <c r="X23" i="61"/>
  <c r="V23" i="61"/>
  <c r="R23" i="61"/>
  <c r="L23" i="61"/>
  <c r="N23" i="61" s="1"/>
  <c r="B23" i="61"/>
  <c r="Z22" i="61"/>
  <c r="X22" i="61"/>
  <c r="V22" i="61"/>
  <c r="R22" i="61"/>
  <c r="N22" i="61"/>
  <c r="L22" i="61"/>
  <c r="B22" i="61"/>
  <c r="Z21" i="61"/>
  <c r="X21" i="61"/>
  <c r="V21" i="61"/>
  <c r="R21" i="61"/>
  <c r="L21" i="61"/>
  <c r="N21" i="61" s="1"/>
  <c r="F21" i="61"/>
  <c r="B21" i="61"/>
  <c r="X20" i="61"/>
  <c r="Z20" i="61" s="1"/>
  <c r="V20" i="61"/>
  <c r="R20" i="61"/>
  <c r="N20" i="61"/>
  <c r="L20" i="61"/>
  <c r="J20" i="61"/>
  <c r="F20" i="61"/>
  <c r="B20" i="61"/>
  <c r="T19" i="61"/>
  <c r="P19" i="61"/>
  <c r="X19" i="61" s="1"/>
  <c r="Z19" i="61" s="1"/>
  <c r="N19" i="61"/>
  <c r="J19" i="61"/>
  <c r="H19" i="61"/>
  <c r="L19" i="61" s="1"/>
  <c r="D19" i="61"/>
  <c r="B19" i="61"/>
  <c r="X18" i="61"/>
  <c r="Z18" i="61" s="1"/>
  <c r="V18" i="61"/>
  <c r="T18" i="61"/>
  <c r="R18" i="61"/>
  <c r="P18" i="61"/>
  <c r="J18" i="61"/>
  <c r="H18" i="61"/>
  <c r="D18" i="61"/>
  <c r="R16" i="61"/>
  <c r="P16" i="61"/>
  <c r="J16" i="61"/>
  <c r="Z14" i="61"/>
  <c r="X14" i="61"/>
  <c r="V14" i="61"/>
  <c r="T14" i="61"/>
  <c r="R14" i="61"/>
  <c r="P14" i="61"/>
  <c r="J14" i="61"/>
  <c r="H14" i="61"/>
  <c r="N14" i="61" s="1"/>
  <c r="D14" i="61"/>
  <c r="Z12" i="61"/>
  <c r="T12" i="61"/>
  <c r="V55" i="61" s="1"/>
  <c r="P12" i="61"/>
  <c r="R40" i="61" s="1"/>
  <c r="N12" i="61"/>
  <c r="L12" i="61"/>
  <c r="H12" i="61"/>
  <c r="J53" i="61" s="1"/>
  <c r="D12" i="61"/>
  <c r="F55" i="61" s="1"/>
  <c r="D6" i="61"/>
  <c r="D4" i="61"/>
  <c r="V58" i="60"/>
  <c r="R58" i="60"/>
  <c r="V55" i="60"/>
  <c r="Z53" i="60"/>
  <c r="X53" i="60"/>
  <c r="V53" i="60"/>
  <c r="R53" i="60"/>
  <c r="N53" i="60"/>
  <c r="L53" i="60"/>
  <c r="V51" i="60"/>
  <c r="R51" i="60"/>
  <c r="F51" i="60"/>
  <c r="Z49" i="60"/>
  <c r="X49" i="60"/>
  <c r="V49" i="60"/>
  <c r="T49" i="60"/>
  <c r="P49" i="60"/>
  <c r="N49" i="60"/>
  <c r="L49" i="60"/>
  <c r="H49" i="60"/>
  <c r="F49" i="60"/>
  <c r="D49" i="60"/>
  <c r="Z47" i="60"/>
  <c r="X47" i="60"/>
  <c r="V47" i="60"/>
  <c r="R47" i="60"/>
  <c r="N47" i="60"/>
  <c r="L47" i="60"/>
  <c r="B47" i="60"/>
  <c r="V46" i="60"/>
  <c r="T46" i="60"/>
  <c r="R46" i="60"/>
  <c r="P46" i="60"/>
  <c r="X46" i="60" s="1"/>
  <c r="H46" i="60"/>
  <c r="N46" i="60" s="1"/>
  <c r="F46" i="60"/>
  <c r="D46" i="60"/>
  <c r="L46" i="60" s="1"/>
  <c r="B46" i="60"/>
  <c r="Z45" i="60"/>
  <c r="X45" i="60"/>
  <c r="L45" i="60"/>
  <c r="N45" i="60" s="1"/>
  <c r="B45" i="60"/>
  <c r="T44" i="60"/>
  <c r="R44" i="60"/>
  <c r="P44" i="60"/>
  <c r="L44" i="60"/>
  <c r="N44" i="60" s="1"/>
  <c r="H44" i="60"/>
  <c r="D44" i="60"/>
  <c r="B44" i="60"/>
  <c r="X43" i="60"/>
  <c r="Z43" i="60" s="1"/>
  <c r="V43" i="60"/>
  <c r="N43" i="60"/>
  <c r="L43" i="60"/>
  <c r="F43" i="60"/>
  <c r="B43" i="60"/>
  <c r="Z42" i="60"/>
  <c r="X42" i="60"/>
  <c r="N42" i="60"/>
  <c r="L42" i="60"/>
  <c r="B42" i="60"/>
  <c r="Z41" i="60"/>
  <c r="X41" i="60"/>
  <c r="N41" i="60"/>
  <c r="L41" i="60"/>
  <c r="F41" i="60"/>
  <c r="B41" i="60"/>
  <c r="T40" i="60"/>
  <c r="R40" i="60"/>
  <c r="P40" i="60"/>
  <c r="X40" i="60" s="1"/>
  <c r="N40" i="60"/>
  <c r="L40" i="60"/>
  <c r="H40" i="60"/>
  <c r="D40" i="60"/>
  <c r="B40" i="60"/>
  <c r="X39" i="60"/>
  <c r="Z39" i="60" s="1"/>
  <c r="V39" i="60"/>
  <c r="N39" i="60"/>
  <c r="L39" i="60"/>
  <c r="J39" i="60"/>
  <c r="B39" i="60"/>
  <c r="T38" i="60"/>
  <c r="P38" i="60"/>
  <c r="X38" i="60" s="1"/>
  <c r="Z38" i="60" s="1"/>
  <c r="N38" i="60"/>
  <c r="J38" i="60"/>
  <c r="H38" i="60"/>
  <c r="L38" i="60" s="1"/>
  <c r="D38" i="60"/>
  <c r="B38" i="60"/>
  <c r="X37" i="60"/>
  <c r="Z37" i="60" s="1"/>
  <c r="V37" i="60"/>
  <c r="R37" i="60"/>
  <c r="N37" i="60"/>
  <c r="L37" i="60"/>
  <c r="B37" i="60"/>
  <c r="Z36" i="60"/>
  <c r="X36" i="60"/>
  <c r="V36" i="60"/>
  <c r="R36" i="60"/>
  <c r="L36" i="60"/>
  <c r="N36" i="60" s="1"/>
  <c r="F36" i="60"/>
  <c r="B36" i="60"/>
  <c r="X35" i="60"/>
  <c r="Z35" i="60" s="1"/>
  <c r="V35" i="60"/>
  <c r="N35" i="60"/>
  <c r="L35" i="60"/>
  <c r="F35" i="60"/>
  <c r="B35" i="60"/>
  <c r="X34" i="60"/>
  <c r="Z34" i="60" s="1"/>
  <c r="T34" i="60"/>
  <c r="P34" i="60"/>
  <c r="N34" i="60"/>
  <c r="H34" i="60"/>
  <c r="L34" i="60" s="1"/>
  <c r="D34" i="60"/>
  <c r="B34" i="60"/>
  <c r="Z33" i="60"/>
  <c r="X33" i="60"/>
  <c r="V33" i="60"/>
  <c r="R33" i="60"/>
  <c r="N33" i="60"/>
  <c r="L33" i="60"/>
  <c r="B33" i="60"/>
  <c r="V32" i="60"/>
  <c r="T32" i="60"/>
  <c r="X32" i="60" s="1"/>
  <c r="P32" i="60"/>
  <c r="L32" i="60"/>
  <c r="H32" i="60"/>
  <c r="F32" i="60"/>
  <c r="D32" i="60"/>
  <c r="B32" i="60"/>
  <c r="Z31" i="60"/>
  <c r="X31" i="60"/>
  <c r="V31" i="60"/>
  <c r="R31" i="60"/>
  <c r="L31" i="60"/>
  <c r="N31" i="60" s="1"/>
  <c r="J31" i="60"/>
  <c r="B31" i="60"/>
  <c r="V30" i="60"/>
  <c r="T30" i="60"/>
  <c r="R30" i="60"/>
  <c r="P30" i="60"/>
  <c r="X30" i="60" s="1"/>
  <c r="H30" i="60"/>
  <c r="F30" i="60"/>
  <c r="D30" i="60"/>
  <c r="B30" i="60"/>
  <c r="Z29" i="60"/>
  <c r="X29" i="60"/>
  <c r="L29" i="60"/>
  <c r="N29" i="60" s="1"/>
  <c r="F29" i="60"/>
  <c r="B29" i="60"/>
  <c r="T28" i="60"/>
  <c r="R28" i="60"/>
  <c r="P28" i="60"/>
  <c r="X28" i="60" s="1"/>
  <c r="L28" i="60"/>
  <c r="N28" i="60" s="1"/>
  <c r="H28" i="60"/>
  <c r="D28" i="60"/>
  <c r="B28" i="60"/>
  <c r="X27" i="60"/>
  <c r="Z27" i="60" s="1"/>
  <c r="V27" i="60"/>
  <c r="N27" i="60"/>
  <c r="L27" i="60"/>
  <c r="F27" i="60"/>
  <c r="B27" i="60"/>
  <c r="Z26" i="60"/>
  <c r="X26" i="60"/>
  <c r="L26" i="60"/>
  <c r="N26" i="60" s="1"/>
  <c r="B26" i="60"/>
  <c r="Z25" i="60"/>
  <c r="X25" i="60"/>
  <c r="L25" i="60"/>
  <c r="N25" i="60" s="1"/>
  <c r="B25" i="60"/>
  <c r="X24" i="60"/>
  <c r="Z24" i="60" s="1"/>
  <c r="R24" i="60"/>
  <c r="N24" i="60"/>
  <c r="L24" i="60"/>
  <c r="F24" i="60"/>
  <c r="B24" i="60"/>
  <c r="Z23" i="60"/>
  <c r="X23" i="60"/>
  <c r="V23" i="60"/>
  <c r="R23" i="60"/>
  <c r="L23" i="60"/>
  <c r="N23" i="60" s="1"/>
  <c r="B23" i="60"/>
  <c r="X22" i="60"/>
  <c r="Z22" i="60" s="1"/>
  <c r="V22" i="60"/>
  <c r="R22" i="60"/>
  <c r="L22" i="60"/>
  <c r="N22" i="60" s="1"/>
  <c r="B22" i="60"/>
  <c r="X21" i="60"/>
  <c r="Z21" i="60" s="1"/>
  <c r="V21" i="60"/>
  <c r="R21" i="60"/>
  <c r="N21" i="60"/>
  <c r="L21" i="60"/>
  <c r="B21" i="60"/>
  <c r="Z20" i="60"/>
  <c r="X20" i="60"/>
  <c r="V20" i="60"/>
  <c r="R20" i="60"/>
  <c r="L20" i="60"/>
  <c r="N20" i="60" s="1"/>
  <c r="F20" i="60"/>
  <c r="B20" i="60"/>
  <c r="X19" i="60"/>
  <c r="Z19" i="60" s="1"/>
  <c r="V19" i="60"/>
  <c r="T19" i="60"/>
  <c r="P19" i="60"/>
  <c r="L19" i="60"/>
  <c r="H19" i="60"/>
  <c r="N19" i="60" s="1"/>
  <c r="D19" i="60"/>
  <c r="B19" i="60"/>
  <c r="V18" i="60"/>
  <c r="T18" i="60"/>
  <c r="R18" i="60"/>
  <c r="P18" i="60"/>
  <c r="X18" i="60" s="1"/>
  <c r="H18" i="60"/>
  <c r="F18" i="60"/>
  <c r="D18" i="60"/>
  <c r="L18" i="60" s="1"/>
  <c r="V14" i="60"/>
  <c r="T14" i="60"/>
  <c r="R14" i="60"/>
  <c r="P14" i="60"/>
  <c r="P16" i="60" s="1"/>
  <c r="P51" i="60" s="1"/>
  <c r="H14" i="60"/>
  <c r="N14" i="60" s="1"/>
  <c r="D14" i="60"/>
  <c r="Z12" i="60"/>
  <c r="X12" i="60"/>
  <c r="T12" i="60"/>
  <c r="V42" i="60" s="1"/>
  <c r="P12" i="60"/>
  <c r="R43" i="60" s="1"/>
  <c r="L12" i="60"/>
  <c r="H12" i="60"/>
  <c r="J42" i="60" s="1"/>
  <c r="D12" i="60"/>
  <c r="F58" i="60" s="1"/>
  <c r="D6" i="60"/>
  <c r="D4" i="60"/>
  <c r="R68" i="59"/>
  <c r="V65" i="59"/>
  <c r="Z63" i="59"/>
  <c r="X63" i="59"/>
  <c r="R63" i="59"/>
  <c r="N63" i="59"/>
  <c r="L63" i="59"/>
  <c r="R61" i="59"/>
  <c r="V59" i="59"/>
  <c r="T59" i="59"/>
  <c r="Z59" i="59" s="1"/>
  <c r="P59" i="59"/>
  <c r="L59" i="59"/>
  <c r="H59" i="59"/>
  <c r="N59" i="59" s="1"/>
  <c r="F59" i="59"/>
  <c r="D59" i="59"/>
  <c r="X57" i="59"/>
  <c r="Z57" i="59" s="1"/>
  <c r="R57" i="59"/>
  <c r="N57" i="59"/>
  <c r="L57" i="59"/>
  <c r="F57" i="59"/>
  <c r="B57" i="59"/>
  <c r="Z56" i="59"/>
  <c r="X56" i="59"/>
  <c r="V56" i="59"/>
  <c r="R56" i="59"/>
  <c r="N56" i="59"/>
  <c r="L56" i="59"/>
  <c r="B56" i="59"/>
  <c r="V55" i="59"/>
  <c r="T55" i="59"/>
  <c r="R55" i="59"/>
  <c r="P55" i="59"/>
  <c r="X55" i="59" s="1"/>
  <c r="H55" i="59"/>
  <c r="N55" i="59" s="1"/>
  <c r="F55" i="59"/>
  <c r="D55" i="59"/>
  <c r="L55" i="59" s="1"/>
  <c r="B55" i="59"/>
  <c r="Z54" i="59"/>
  <c r="X54" i="59"/>
  <c r="L54" i="59"/>
  <c r="N54" i="59" s="1"/>
  <c r="F54" i="59"/>
  <c r="B54" i="59"/>
  <c r="T53" i="59"/>
  <c r="R53" i="59"/>
  <c r="P53" i="59"/>
  <c r="X53" i="59" s="1"/>
  <c r="L53" i="59"/>
  <c r="N53" i="59" s="1"/>
  <c r="H53" i="59"/>
  <c r="D53" i="59"/>
  <c r="B53" i="59"/>
  <c r="X52" i="59"/>
  <c r="Z52" i="59" s="1"/>
  <c r="V52" i="59"/>
  <c r="N52" i="59"/>
  <c r="L52" i="59"/>
  <c r="F52" i="59"/>
  <c r="B52" i="59"/>
  <c r="X51" i="59"/>
  <c r="Z51" i="59" s="1"/>
  <c r="L51" i="59"/>
  <c r="N51" i="59" s="1"/>
  <c r="F51" i="59"/>
  <c r="B51" i="59"/>
  <c r="Z50" i="59"/>
  <c r="T50" i="59"/>
  <c r="R50" i="59"/>
  <c r="P50" i="59"/>
  <c r="X50" i="59" s="1"/>
  <c r="N50" i="59"/>
  <c r="L50" i="59"/>
  <c r="J50" i="59"/>
  <c r="H50" i="59"/>
  <c r="D50" i="59"/>
  <c r="B50" i="59"/>
  <c r="X49" i="59"/>
  <c r="Z49" i="59" s="1"/>
  <c r="V49" i="59"/>
  <c r="R49" i="59"/>
  <c r="L49" i="59"/>
  <c r="N49" i="59" s="1"/>
  <c r="B49" i="59"/>
  <c r="Z48" i="59"/>
  <c r="X48" i="59"/>
  <c r="V48" i="59"/>
  <c r="T48" i="59"/>
  <c r="P48" i="59"/>
  <c r="H48" i="59"/>
  <c r="L48" i="59" s="1"/>
  <c r="N48" i="59" s="1"/>
  <c r="D48" i="59"/>
  <c r="B48" i="59"/>
  <c r="X47" i="59"/>
  <c r="Z47" i="59" s="1"/>
  <c r="V47" i="59"/>
  <c r="R47" i="59"/>
  <c r="N47" i="59"/>
  <c r="L47" i="59"/>
  <c r="B47" i="59"/>
  <c r="X46" i="59"/>
  <c r="Z46" i="59" s="1"/>
  <c r="V46" i="59"/>
  <c r="R46" i="59"/>
  <c r="N46" i="59"/>
  <c r="L46" i="59"/>
  <c r="B46" i="59"/>
  <c r="X45" i="59"/>
  <c r="Z45" i="59" s="1"/>
  <c r="V45" i="59"/>
  <c r="R45" i="59"/>
  <c r="L45" i="59"/>
  <c r="N45" i="59" s="1"/>
  <c r="B45" i="59"/>
  <c r="Z44" i="59"/>
  <c r="X44" i="59"/>
  <c r="V44" i="59"/>
  <c r="T44" i="59"/>
  <c r="P44" i="59"/>
  <c r="H44" i="59"/>
  <c r="L44" i="59" s="1"/>
  <c r="N44" i="59" s="1"/>
  <c r="D44" i="59"/>
  <c r="B44" i="59"/>
  <c r="X43" i="59"/>
  <c r="Z43" i="59" s="1"/>
  <c r="V43" i="59"/>
  <c r="R43" i="59"/>
  <c r="N43" i="59"/>
  <c r="L43" i="59"/>
  <c r="B43" i="59"/>
  <c r="V42" i="59"/>
  <c r="T42" i="59"/>
  <c r="R42" i="59"/>
  <c r="P42" i="59"/>
  <c r="H42" i="59"/>
  <c r="F42" i="59"/>
  <c r="D42" i="59"/>
  <c r="L42" i="59" s="1"/>
  <c r="B42" i="59"/>
  <c r="Z41" i="59"/>
  <c r="X41" i="59"/>
  <c r="R41" i="59"/>
  <c r="N41" i="59"/>
  <c r="L41" i="59"/>
  <c r="F41" i="59"/>
  <c r="B41" i="59"/>
  <c r="V40" i="59"/>
  <c r="T40" i="59"/>
  <c r="Z40" i="59" s="1"/>
  <c r="R40" i="59"/>
  <c r="P40" i="59"/>
  <c r="X40" i="59" s="1"/>
  <c r="N40" i="59"/>
  <c r="H40" i="59"/>
  <c r="F40" i="59"/>
  <c r="D40" i="59"/>
  <c r="L40" i="59" s="1"/>
  <c r="B40" i="59"/>
  <c r="X39" i="59"/>
  <c r="Z39" i="59" s="1"/>
  <c r="L39" i="59"/>
  <c r="N39" i="59" s="1"/>
  <c r="F39" i="59"/>
  <c r="B39" i="59"/>
  <c r="T38" i="59"/>
  <c r="R38" i="59"/>
  <c r="P38" i="59"/>
  <c r="X38" i="59" s="1"/>
  <c r="Z38" i="59" s="1"/>
  <c r="N38" i="59"/>
  <c r="L38" i="59"/>
  <c r="H38" i="59"/>
  <c r="D38" i="59"/>
  <c r="B38" i="59"/>
  <c r="X37" i="59"/>
  <c r="Z37" i="59" s="1"/>
  <c r="V37" i="59"/>
  <c r="R37" i="59"/>
  <c r="N37" i="59"/>
  <c r="L37" i="59"/>
  <c r="F37" i="59"/>
  <c r="B37" i="59"/>
  <c r="X36" i="59"/>
  <c r="Z36" i="59" s="1"/>
  <c r="V36" i="59"/>
  <c r="T36" i="59"/>
  <c r="P36" i="59"/>
  <c r="N36" i="59"/>
  <c r="L36" i="59"/>
  <c r="J36" i="59"/>
  <c r="H36" i="59"/>
  <c r="F36" i="59"/>
  <c r="D36" i="59"/>
  <c r="B36" i="59"/>
  <c r="X35" i="59"/>
  <c r="Z35" i="59" s="1"/>
  <c r="V35" i="59"/>
  <c r="R35" i="59"/>
  <c r="N35" i="59"/>
  <c r="L35" i="59"/>
  <c r="B35" i="59"/>
  <c r="Z34" i="59"/>
  <c r="X34" i="59"/>
  <c r="V34" i="59"/>
  <c r="R34" i="59"/>
  <c r="N34" i="59"/>
  <c r="L34" i="59"/>
  <c r="B34" i="59"/>
  <c r="X33" i="59"/>
  <c r="Z33" i="59" s="1"/>
  <c r="V33" i="59"/>
  <c r="R33" i="59"/>
  <c r="N33" i="59"/>
  <c r="L33" i="59"/>
  <c r="F33" i="59"/>
  <c r="B33" i="59"/>
  <c r="X32" i="59"/>
  <c r="Z32" i="59" s="1"/>
  <c r="V32" i="59"/>
  <c r="N32" i="59"/>
  <c r="L32" i="59"/>
  <c r="F32" i="59"/>
  <c r="B32" i="59"/>
  <c r="X31" i="59"/>
  <c r="Z31" i="59" s="1"/>
  <c r="L31" i="59"/>
  <c r="N31" i="59" s="1"/>
  <c r="F31" i="59"/>
  <c r="B31" i="59"/>
  <c r="Z30" i="59"/>
  <c r="T30" i="59"/>
  <c r="R30" i="59"/>
  <c r="P30" i="59"/>
  <c r="X30" i="59" s="1"/>
  <c r="L30" i="59"/>
  <c r="N30" i="59" s="1"/>
  <c r="H30" i="59"/>
  <c r="D30" i="59"/>
  <c r="B30" i="59"/>
  <c r="X29" i="59"/>
  <c r="Z29" i="59" s="1"/>
  <c r="V29" i="59"/>
  <c r="R29" i="59"/>
  <c r="L29" i="59"/>
  <c r="N29" i="59" s="1"/>
  <c r="F29" i="59"/>
  <c r="B29" i="59"/>
  <c r="X28" i="59"/>
  <c r="Z28" i="59" s="1"/>
  <c r="V28" i="59"/>
  <c r="N28" i="59"/>
  <c r="L28" i="59"/>
  <c r="F28" i="59"/>
  <c r="B28" i="59"/>
  <c r="X27" i="59"/>
  <c r="Z27" i="59" s="1"/>
  <c r="L27" i="59"/>
  <c r="N27" i="59" s="1"/>
  <c r="F27" i="59"/>
  <c r="B27" i="59"/>
  <c r="Z26" i="59"/>
  <c r="X26" i="59"/>
  <c r="L26" i="59"/>
  <c r="N26" i="59" s="1"/>
  <c r="B26" i="59"/>
  <c r="X25" i="59"/>
  <c r="Z25" i="59" s="1"/>
  <c r="R25" i="59"/>
  <c r="N25" i="59"/>
  <c r="L25" i="59"/>
  <c r="F25" i="59"/>
  <c r="B25" i="59"/>
  <c r="Z24" i="59"/>
  <c r="X24" i="59"/>
  <c r="V24" i="59"/>
  <c r="R24" i="59"/>
  <c r="L24" i="59"/>
  <c r="N24" i="59" s="1"/>
  <c r="B24" i="59"/>
  <c r="Z23" i="59"/>
  <c r="X23" i="59"/>
  <c r="V23" i="59"/>
  <c r="R23" i="59"/>
  <c r="L23" i="59"/>
  <c r="N23" i="59" s="1"/>
  <c r="B23" i="59"/>
  <c r="X22" i="59"/>
  <c r="Z22" i="59" s="1"/>
  <c r="V22" i="59"/>
  <c r="R22" i="59"/>
  <c r="N22" i="59"/>
  <c r="L22" i="59"/>
  <c r="B22" i="59"/>
  <c r="Z21" i="59"/>
  <c r="X21" i="59"/>
  <c r="V21" i="59"/>
  <c r="R21" i="59"/>
  <c r="L21" i="59"/>
  <c r="N21" i="59" s="1"/>
  <c r="F21" i="59"/>
  <c r="B21" i="59"/>
  <c r="Z20" i="59"/>
  <c r="X20" i="59"/>
  <c r="V20" i="59"/>
  <c r="N20" i="59"/>
  <c r="L20" i="59"/>
  <c r="F20" i="59"/>
  <c r="B20" i="59"/>
  <c r="Z19" i="59"/>
  <c r="X19" i="59"/>
  <c r="T19" i="59"/>
  <c r="P19" i="59"/>
  <c r="N19" i="59"/>
  <c r="L19" i="59"/>
  <c r="J19" i="59"/>
  <c r="H19" i="59"/>
  <c r="D19" i="59"/>
  <c r="B19" i="59"/>
  <c r="V18" i="59"/>
  <c r="T18" i="59"/>
  <c r="R18" i="59"/>
  <c r="P18" i="59"/>
  <c r="H18" i="59"/>
  <c r="D18" i="59"/>
  <c r="R16" i="59"/>
  <c r="P16" i="59"/>
  <c r="X14" i="59"/>
  <c r="V14" i="59"/>
  <c r="T14" i="59"/>
  <c r="Z14" i="59" s="1"/>
  <c r="R14" i="59"/>
  <c r="P14" i="59"/>
  <c r="H14" i="59"/>
  <c r="N14" i="59" s="1"/>
  <c r="D14" i="59"/>
  <c r="Z12" i="59"/>
  <c r="T12" i="59"/>
  <c r="V51" i="59" s="1"/>
  <c r="P12" i="59"/>
  <c r="R65" i="59" s="1"/>
  <c r="H12" i="59"/>
  <c r="J39" i="59" s="1"/>
  <c r="D12" i="59"/>
  <c r="D6" i="59"/>
  <c r="D4" i="59"/>
  <c r="V78" i="58"/>
  <c r="Z76" i="58"/>
  <c r="X76" i="58"/>
  <c r="V76" i="58"/>
  <c r="N76" i="58"/>
  <c r="L76" i="58"/>
  <c r="Z72" i="58"/>
  <c r="X72" i="58"/>
  <c r="T72" i="58"/>
  <c r="P72" i="58"/>
  <c r="N72" i="58"/>
  <c r="L72" i="58"/>
  <c r="H72" i="58"/>
  <c r="D72" i="58"/>
  <c r="Z70" i="58"/>
  <c r="X70" i="58"/>
  <c r="N70" i="58"/>
  <c r="L70" i="58"/>
  <c r="B70" i="58"/>
  <c r="V69" i="58"/>
  <c r="T69" i="58"/>
  <c r="P69" i="58"/>
  <c r="X69" i="58" s="1"/>
  <c r="H69" i="58"/>
  <c r="N69" i="58" s="1"/>
  <c r="D69" i="58"/>
  <c r="L69" i="58" s="1"/>
  <c r="B69" i="58"/>
  <c r="Z68" i="58"/>
  <c r="X68" i="58"/>
  <c r="N68" i="58"/>
  <c r="L68" i="58"/>
  <c r="B68" i="58"/>
  <c r="T67" i="58"/>
  <c r="R67" i="58"/>
  <c r="P67" i="58"/>
  <c r="N67" i="58"/>
  <c r="L67" i="58"/>
  <c r="H67" i="58"/>
  <c r="D67" i="58"/>
  <c r="B67" i="58"/>
  <c r="X66" i="58"/>
  <c r="Z66" i="58" s="1"/>
  <c r="N66" i="58"/>
  <c r="L66" i="58"/>
  <c r="B66" i="58"/>
  <c r="X65" i="58"/>
  <c r="Z65" i="58" s="1"/>
  <c r="T65" i="58"/>
  <c r="P65" i="58"/>
  <c r="H65" i="58"/>
  <c r="D65" i="58"/>
  <c r="B65" i="58"/>
  <c r="Z64" i="58"/>
  <c r="X64" i="58"/>
  <c r="N64" i="58"/>
  <c r="L64" i="58"/>
  <c r="B64" i="58"/>
  <c r="Z63" i="58"/>
  <c r="X63" i="58"/>
  <c r="N63" i="58"/>
  <c r="L63" i="58"/>
  <c r="B63" i="58"/>
  <c r="Z62" i="58"/>
  <c r="X62" i="58"/>
  <c r="N62" i="58"/>
  <c r="L62" i="58"/>
  <c r="B62" i="58"/>
  <c r="Z61" i="58"/>
  <c r="X61" i="58"/>
  <c r="L61" i="58"/>
  <c r="N61" i="58" s="1"/>
  <c r="B61" i="58"/>
  <c r="Z60" i="58"/>
  <c r="X60" i="58"/>
  <c r="N60" i="58"/>
  <c r="L60" i="58"/>
  <c r="B60" i="58"/>
  <c r="T59" i="58"/>
  <c r="P59" i="58"/>
  <c r="N59" i="58"/>
  <c r="H59" i="58"/>
  <c r="D59" i="58"/>
  <c r="L59" i="58" s="1"/>
  <c r="B59" i="58"/>
  <c r="X58" i="58"/>
  <c r="Z58" i="58" s="1"/>
  <c r="N58" i="58"/>
  <c r="L58" i="58"/>
  <c r="B58" i="58"/>
  <c r="T57" i="58"/>
  <c r="P57" i="58"/>
  <c r="X57" i="58" s="1"/>
  <c r="Z57" i="58" s="1"/>
  <c r="N57" i="58"/>
  <c r="L57" i="58"/>
  <c r="H57" i="58"/>
  <c r="D57" i="58"/>
  <c r="B57" i="58"/>
  <c r="X56" i="58"/>
  <c r="Z56" i="58" s="1"/>
  <c r="N56" i="58"/>
  <c r="L56" i="58"/>
  <c r="B56" i="58"/>
  <c r="X55" i="58"/>
  <c r="Z55" i="58" s="1"/>
  <c r="L55" i="58"/>
  <c r="N55" i="58" s="1"/>
  <c r="B55" i="58"/>
  <c r="Z54" i="58"/>
  <c r="X54" i="58"/>
  <c r="V54" i="58"/>
  <c r="T54" i="58"/>
  <c r="P54" i="58"/>
  <c r="L54" i="58"/>
  <c r="H54" i="58"/>
  <c r="N54" i="58" s="1"/>
  <c r="F54" i="58"/>
  <c r="D54" i="58"/>
  <c r="B54" i="58"/>
  <c r="X53" i="58"/>
  <c r="Z53" i="58" s="1"/>
  <c r="N53" i="58"/>
  <c r="L53" i="58"/>
  <c r="F53" i="58"/>
  <c r="B53" i="58"/>
  <c r="X52" i="58"/>
  <c r="Z52" i="58" s="1"/>
  <c r="N52" i="58"/>
  <c r="L52" i="58"/>
  <c r="J52" i="58"/>
  <c r="B52" i="58"/>
  <c r="Z51" i="58"/>
  <c r="X51" i="58"/>
  <c r="N51" i="58"/>
  <c r="L51" i="58"/>
  <c r="B51" i="58"/>
  <c r="X50" i="58"/>
  <c r="T50" i="58"/>
  <c r="Z50" i="58" s="1"/>
  <c r="R50" i="58"/>
  <c r="P50" i="58"/>
  <c r="L50" i="58"/>
  <c r="N50" i="58" s="1"/>
  <c r="H50" i="58"/>
  <c r="D50" i="58"/>
  <c r="B50" i="58"/>
  <c r="X49" i="58"/>
  <c r="Z49" i="58" s="1"/>
  <c r="L49" i="58"/>
  <c r="N49" i="58" s="1"/>
  <c r="F49" i="58"/>
  <c r="B49" i="58"/>
  <c r="X48" i="58"/>
  <c r="Z48" i="58" s="1"/>
  <c r="T48" i="58"/>
  <c r="P48" i="58"/>
  <c r="H48" i="58"/>
  <c r="D48" i="58"/>
  <c r="L48" i="58" s="1"/>
  <c r="N48" i="58" s="1"/>
  <c r="B48" i="58"/>
  <c r="X47" i="58"/>
  <c r="Z47" i="58" s="1"/>
  <c r="N47" i="58"/>
  <c r="L47" i="58"/>
  <c r="B47" i="58"/>
  <c r="T46" i="58"/>
  <c r="P46" i="58"/>
  <c r="X46" i="58" s="1"/>
  <c r="Z46" i="58" s="1"/>
  <c r="N46" i="58"/>
  <c r="J46" i="58"/>
  <c r="H46" i="58"/>
  <c r="D46" i="58"/>
  <c r="L46" i="58" s="1"/>
  <c r="B46" i="58"/>
  <c r="X45" i="58"/>
  <c r="Z45" i="58" s="1"/>
  <c r="R45" i="58"/>
  <c r="L45" i="58"/>
  <c r="N45" i="58" s="1"/>
  <c r="B45" i="58"/>
  <c r="V44" i="58"/>
  <c r="T44" i="58"/>
  <c r="P44" i="58"/>
  <c r="X44" i="58" s="1"/>
  <c r="Z44" i="58" s="1"/>
  <c r="L44" i="58"/>
  <c r="H44" i="58"/>
  <c r="N44" i="58" s="1"/>
  <c r="F44" i="58"/>
  <c r="D44" i="58"/>
  <c r="B44" i="58"/>
  <c r="Z43" i="58"/>
  <c r="X43" i="58"/>
  <c r="N43" i="58"/>
  <c r="L43" i="58"/>
  <c r="B43" i="58"/>
  <c r="X42" i="58"/>
  <c r="T42" i="58"/>
  <c r="Z42" i="58" s="1"/>
  <c r="R42" i="58"/>
  <c r="P42" i="58"/>
  <c r="L42" i="58"/>
  <c r="H42" i="58"/>
  <c r="N42" i="58" s="1"/>
  <c r="D42" i="58"/>
  <c r="B42" i="58"/>
  <c r="X41" i="58"/>
  <c r="Z41" i="58" s="1"/>
  <c r="N41" i="58"/>
  <c r="L41" i="58"/>
  <c r="F41" i="58"/>
  <c r="B41" i="58"/>
  <c r="X40" i="58"/>
  <c r="T40" i="58"/>
  <c r="Z40" i="58" s="1"/>
  <c r="P40" i="58"/>
  <c r="N40" i="58"/>
  <c r="H40" i="58"/>
  <c r="D40" i="58"/>
  <c r="L40" i="58" s="1"/>
  <c r="B40" i="58"/>
  <c r="X39" i="58"/>
  <c r="Z39" i="58" s="1"/>
  <c r="N39" i="58"/>
  <c r="L39" i="58"/>
  <c r="B39" i="58"/>
  <c r="Z38" i="58"/>
  <c r="T38" i="58"/>
  <c r="P38" i="58"/>
  <c r="X38" i="58" s="1"/>
  <c r="N38" i="58"/>
  <c r="J38" i="58"/>
  <c r="H38" i="58"/>
  <c r="D38" i="58"/>
  <c r="L38" i="58" s="1"/>
  <c r="B38" i="58"/>
  <c r="X37" i="58"/>
  <c r="Z37" i="58" s="1"/>
  <c r="R37" i="58"/>
  <c r="N37" i="58"/>
  <c r="L37" i="58"/>
  <c r="B37" i="58"/>
  <c r="V36" i="58"/>
  <c r="T36" i="58"/>
  <c r="P36" i="58"/>
  <c r="X36" i="58" s="1"/>
  <c r="Z36" i="58" s="1"/>
  <c r="L36" i="58"/>
  <c r="H36" i="58"/>
  <c r="N36" i="58" s="1"/>
  <c r="F36" i="58"/>
  <c r="D36" i="58"/>
  <c r="B36" i="58"/>
  <c r="Z35" i="58"/>
  <c r="X35" i="58"/>
  <c r="N35" i="58"/>
  <c r="L35" i="58"/>
  <c r="B35" i="58"/>
  <c r="X34" i="58"/>
  <c r="Z34" i="58" s="1"/>
  <c r="V34" i="58"/>
  <c r="N34" i="58"/>
  <c r="L34" i="58"/>
  <c r="B34" i="58"/>
  <c r="X33" i="58"/>
  <c r="Z33" i="58" s="1"/>
  <c r="R33" i="58"/>
  <c r="L33" i="58"/>
  <c r="N33" i="58" s="1"/>
  <c r="B33" i="58"/>
  <c r="Z32" i="58"/>
  <c r="X32" i="58"/>
  <c r="V32" i="58"/>
  <c r="N32" i="58"/>
  <c r="L32" i="58"/>
  <c r="B32" i="58"/>
  <c r="X31" i="58"/>
  <c r="Z31" i="58" s="1"/>
  <c r="N31" i="58"/>
  <c r="L31" i="58"/>
  <c r="B31" i="58"/>
  <c r="Z30" i="58"/>
  <c r="T30" i="58"/>
  <c r="P30" i="58"/>
  <c r="X30" i="58" s="1"/>
  <c r="J30" i="58"/>
  <c r="H30" i="58"/>
  <c r="D30" i="58"/>
  <c r="L30" i="58" s="1"/>
  <c r="N30" i="58" s="1"/>
  <c r="B30" i="58"/>
  <c r="X29" i="58"/>
  <c r="Z29" i="58" s="1"/>
  <c r="R29" i="58"/>
  <c r="L29" i="58"/>
  <c r="N29" i="58" s="1"/>
  <c r="B29" i="58"/>
  <c r="Z28" i="58"/>
  <c r="X28" i="58"/>
  <c r="V28" i="58"/>
  <c r="L28" i="58"/>
  <c r="N28" i="58" s="1"/>
  <c r="B28" i="58"/>
  <c r="X27" i="58"/>
  <c r="Z27" i="58" s="1"/>
  <c r="N27" i="58"/>
  <c r="L27" i="58"/>
  <c r="B27" i="58"/>
  <c r="Z26" i="58"/>
  <c r="X26" i="58"/>
  <c r="L26" i="58"/>
  <c r="N26" i="58" s="1"/>
  <c r="B26" i="58"/>
  <c r="X25" i="58"/>
  <c r="Z25" i="58" s="1"/>
  <c r="V25" i="58"/>
  <c r="N25" i="58"/>
  <c r="L25" i="58"/>
  <c r="F25" i="58"/>
  <c r="B25" i="58"/>
  <c r="X24" i="58"/>
  <c r="Z24" i="58" s="1"/>
  <c r="N24" i="58"/>
  <c r="L24" i="58"/>
  <c r="J24" i="58"/>
  <c r="B24" i="58"/>
  <c r="Z23" i="58"/>
  <c r="X23" i="58"/>
  <c r="L23" i="58"/>
  <c r="N23" i="58" s="1"/>
  <c r="B23" i="58"/>
  <c r="X22" i="58"/>
  <c r="Z22" i="58" s="1"/>
  <c r="V22" i="58"/>
  <c r="N22" i="58"/>
  <c r="L22" i="58"/>
  <c r="B22" i="58"/>
  <c r="X21" i="58"/>
  <c r="Z21" i="58" s="1"/>
  <c r="R21" i="58"/>
  <c r="L21" i="58"/>
  <c r="N21" i="58" s="1"/>
  <c r="B21" i="58"/>
  <c r="Z20" i="58"/>
  <c r="X20" i="58"/>
  <c r="V20" i="58"/>
  <c r="L20" i="58"/>
  <c r="N20" i="58" s="1"/>
  <c r="B20" i="58"/>
  <c r="X19" i="58"/>
  <c r="Z19" i="58" s="1"/>
  <c r="T19" i="58"/>
  <c r="P19" i="58"/>
  <c r="H19" i="58"/>
  <c r="D19" i="58"/>
  <c r="B19" i="58"/>
  <c r="V18" i="58"/>
  <c r="T18" i="58"/>
  <c r="R18" i="58"/>
  <c r="P18" i="58"/>
  <c r="H18" i="58"/>
  <c r="F18" i="58"/>
  <c r="D18" i="58"/>
  <c r="L18" i="58" s="1"/>
  <c r="J16" i="58"/>
  <c r="V14" i="58"/>
  <c r="T14" i="58"/>
  <c r="T16" i="58" s="1"/>
  <c r="T74" i="58" s="1"/>
  <c r="R14" i="58"/>
  <c r="P14" i="58"/>
  <c r="H14" i="58"/>
  <c r="N14" i="58" s="1"/>
  <c r="F14" i="58"/>
  <c r="D14" i="58"/>
  <c r="L14" i="58" s="1"/>
  <c r="Z12" i="58"/>
  <c r="T12" i="58"/>
  <c r="V64" i="58" s="1"/>
  <c r="P12" i="58"/>
  <c r="R64" i="58" s="1"/>
  <c r="H12" i="58"/>
  <c r="J49" i="58" s="1"/>
  <c r="D12" i="58"/>
  <c r="D6" i="58"/>
  <c r="D4" i="58"/>
  <c r="V74" i="57"/>
  <c r="F74" i="57"/>
  <c r="Z72" i="57"/>
  <c r="X72" i="57"/>
  <c r="N72" i="57"/>
  <c r="L72" i="57"/>
  <c r="J72" i="57"/>
  <c r="Z68" i="57"/>
  <c r="X68" i="57"/>
  <c r="T68" i="57"/>
  <c r="P68" i="57"/>
  <c r="H68" i="57"/>
  <c r="N68" i="57" s="1"/>
  <c r="F68" i="57"/>
  <c r="D68" i="57"/>
  <c r="Z66" i="57"/>
  <c r="X66" i="57"/>
  <c r="N66" i="57"/>
  <c r="L66" i="57"/>
  <c r="J66" i="57"/>
  <c r="B66" i="57"/>
  <c r="T65" i="57"/>
  <c r="Z65" i="57" s="1"/>
  <c r="P65" i="57"/>
  <c r="X65" i="57" s="1"/>
  <c r="N65" i="57"/>
  <c r="H65" i="57"/>
  <c r="D65" i="57"/>
  <c r="L65" i="57" s="1"/>
  <c r="B65" i="57"/>
  <c r="Z64" i="57"/>
  <c r="X64" i="57"/>
  <c r="N64" i="57"/>
  <c r="L64" i="57"/>
  <c r="J64" i="57"/>
  <c r="B64" i="57"/>
  <c r="T63" i="57"/>
  <c r="P63" i="57"/>
  <c r="X63" i="57" s="1"/>
  <c r="Z63" i="57" s="1"/>
  <c r="N63" i="57"/>
  <c r="L63" i="57"/>
  <c r="H63" i="57"/>
  <c r="D63" i="57"/>
  <c r="B63" i="57"/>
  <c r="Z62" i="57"/>
  <c r="X62" i="57"/>
  <c r="L62" i="57"/>
  <c r="N62" i="57" s="1"/>
  <c r="B62" i="57"/>
  <c r="X61" i="57"/>
  <c r="Z61" i="57" s="1"/>
  <c r="T61" i="57"/>
  <c r="P61" i="57"/>
  <c r="J61" i="57"/>
  <c r="H61" i="57"/>
  <c r="D61" i="57"/>
  <c r="B61" i="57"/>
  <c r="X60" i="57"/>
  <c r="Z60" i="57" s="1"/>
  <c r="R60" i="57"/>
  <c r="N60" i="57"/>
  <c r="L60" i="57"/>
  <c r="B60" i="57"/>
  <c r="X59" i="57"/>
  <c r="Z59" i="57" s="1"/>
  <c r="R59" i="57"/>
  <c r="N59" i="57"/>
  <c r="L59" i="57"/>
  <c r="J59" i="57"/>
  <c r="B59" i="57"/>
  <c r="Z58" i="57"/>
  <c r="X58" i="57"/>
  <c r="N58" i="57"/>
  <c r="L58" i="57"/>
  <c r="B58" i="57"/>
  <c r="X57" i="57"/>
  <c r="Z57" i="57" s="1"/>
  <c r="T57" i="57"/>
  <c r="R57" i="57"/>
  <c r="P57" i="57"/>
  <c r="J57" i="57"/>
  <c r="H57" i="57"/>
  <c r="D57" i="57"/>
  <c r="B57" i="57"/>
  <c r="X56" i="57"/>
  <c r="Z56" i="57" s="1"/>
  <c r="R56" i="57"/>
  <c r="N56" i="57"/>
  <c r="L56" i="57"/>
  <c r="B56" i="57"/>
  <c r="T55" i="57"/>
  <c r="P55" i="57"/>
  <c r="J55" i="57"/>
  <c r="H55" i="57"/>
  <c r="N55" i="57" s="1"/>
  <c r="D55" i="57"/>
  <c r="L55" i="57" s="1"/>
  <c r="B55" i="57"/>
  <c r="X54" i="57"/>
  <c r="Z54" i="57" s="1"/>
  <c r="R54" i="57"/>
  <c r="N54" i="57"/>
  <c r="L54" i="57"/>
  <c r="J54" i="57"/>
  <c r="B54" i="57"/>
  <c r="T53" i="57"/>
  <c r="R53" i="57"/>
  <c r="P53" i="57"/>
  <c r="X53" i="57" s="1"/>
  <c r="J53" i="57"/>
  <c r="H53" i="57"/>
  <c r="N53" i="57" s="1"/>
  <c r="D53" i="57"/>
  <c r="L53" i="57" s="1"/>
  <c r="B53" i="57"/>
  <c r="Z52" i="57"/>
  <c r="X52" i="57"/>
  <c r="R52" i="57"/>
  <c r="N52" i="57"/>
  <c r="L52" i="57"/>
  <c r="J52" i="57"/>
  <c r="B52" i="57"/>
  <c r="X51" i="57"/>
  <c r="Z51" i="57" s="1"/>
  <c r="L51" i="57"/>
  <c r="N51" i="57" s="1"/>
  <c r="J51" i="57"/>
  <c r="F51" i="57"/>
  <c r="B51" i="57"/>
  <c r="X50" i="57"/>
  <c r="Z50" i="57" s="1"/>
  <c r="R50" i="57"/>
  <c r="N50" i="57"/>
  <c r="L50" i="57"/>
  <c r="J50" i="57"/>
  <c r="B50" i="57"/>
  <c r="T49" i="57"/>
  <c r="Z49" i="57" s="1"/>
  <c r="R49" i="57"/>
  <c r="P49" i="57"/>
  <c r="X49" i="57" s="1"/>
  <c r="J49" i="57"/>
  <c r="H49" i="57"/>
  <c r="D49" i="57"/>
  <c r="L49" i="57" s="1"/>
  <c r="N49" i="57" s="1"/>
  <c r="B49" i="57"/>
  <c r="Z48" i="57"/>
  <c r="X48" i="57"/>
  <c r="R48" i="57"/>
  <c r="N48" i="57"/>
  <c r="L48" i="57"/>
  <c r="J48" i="57"/>
  <c r="B48" i="57"/>
  <c r="T47" i="57"/>
  <c r="R47" i="57"/>
  <c r="P47" i="57"/>
  <c r="X47" i="57" s="1"/>
  <c r="Z47" i="57" s="1"/>
  <c r="N47" i="57"/>
  <c r="L47" i="57"/>
  <c r="H47" i="57"/>
  <c r="D47" i="57"/>
  <c r="B47" i="57"/>
  <c r="Z46" i="57"/>
  <c r="X46" i="57"/>
  <c r="V46" i="57"/>
  <c r="L46" i="57"/>
  <c r="N46" i="57" s="1"/>
  <c r="B46" i="57"/>
  <c r="X45" i="57"/>
  <c r="Z45" i="57" s="1"/>
  <c r="T45" i="57"/>
  <c r="R45" i="57"/>
  <c r="P45" i="57"/>
  <c r="J45" i="57"/>
  <c r="H45" i="57"/>
  <c r="D45" i="57"/>
  <c r="B45" i="57"/>
  <c r="X44" i="57"/>
  <c r="Z44" i="57" s="1"/>
  <c r="R44" i="57"/>
  <c r="N44" i="57"/>
  <c r="L44" i="57"/>
  <c r="J44" i="57"/>
  <c r="B44" i="57"/>
  <c r="Z43" i="57"/>
  <c r="X43" i="57"/>
  <c r="R43" i="57"/>
  <c r="N43" i="57"/>
  <c r="L43" i="57"/>
  <c r="J43" i="57"/>
  <c r="B43" i="57"/>
  <c r="Z42" i="57"/>
  <c r="X42" i="57"/>
  <c r="T42" i="57"/>
  <c r="R42" i="57"/>
  <c r="P42" i="57"/>
  <c r="J42" i="57"/>
  <c r="H42" i="57"/>
  <c r="F42" i="57"/>
  <c r="D42" i="57"/>
  <c r="B42" i="57"/>
  <c r="Z41" i="57"/>
  <c r="X41" i="57"/>
  <c r="R41" i="57"/>
  <c r="L41" i="57"/>
  <c r="N41" i="57" s="1"/>
  <c r="B41" i="57"/>
  <c r="T40" i="57"/>
  <c r="R40" i="57"/>
  <c r="P40" i="57"/>
  <c r="H40" i="57"/>
  <c r="D40" i="57"/>
  <c r="L40" i="57" s="1"/>
  <c r="B40" i="57"/>
  <c r="X39" i="57"/>
  <c r="Z39" i="57" s="1"/>
  <c r="N39" i="57"/>
  <c r="L39" i="57"/>
  <c r="J39" i="57"/>
  <c r="F39" i="57"/>
  <c r="B39" i="57"/>
  <c r="T38" i="57"/>
  <c r="R38" i="57"/>
  <c r="P38" i="57"/>
  <c r="X38" i="57" s="1"/>
  <c r="N38" i="57"/>
  <c r="J38" i="57"/>
  <c r="H38" i="57"/>
  <c r="D38" i="57"/>
  <c r="L38" i="57" s="1"/>
  <c r="B38" i="57"/>
  <c r="X37" i="57"/>
  <c r="Z37" i="57" s="1"/>
  <c r="R37" i="57"/>
  <c r="N37" i="57"/>
  <c r="L37" i="57"/>
  <c r="J37" i="57"/>
  <c r="B37" i="57"/>
  <c r="T36" i="57"/>
  <c r="P36" i="57"/>
  <c r="X36" i="57" s="1"/>
  <c r="Z36" i="57" s="1"/>
  <c r="N36" i="57"/>
  <c r="L36" i="57"/>
  <c r="J36" i="57"/>
  <c r="H36" i="57"/>
  <c r="D36" i="57"/>
  <c r="B36" i="57"/>
  <c r="X35" i="57"/>
  <c r="Z35" i="57" s="1"/>
  <c r="R35" i="57"/>
  <c r="N35" i="57"/>
  <c r="L35" i="57"/>
  <c r="J35" i="57"/>
  <c r="B35" i="57"/>
  <c r="Z34" i="57"/>
  <c r="X34" i="57"/>
  <c r="T34" i="57"/>
  <c r="R34" i="57"/>
  <c r="P34" i="57"/>
  <c r="J34" i="57"/>
  <c r="H34" i="57"/>
  <c r="N34" i="57" s="1"/>
  <c r="F34" i="57"/>
  <c r="D34" i="57"/>
  <c r="B34" i="57"/>
  <c r="Z33" i="57"/>
  <c r="X33" i="57"/>
  <c r="R33" i="57"/>
  <c r="N33" i="57"/>
  <c r="L33" i="57"/>
  <c r="B33" i="57"/>
  <c r="X32" i="57"/>
  <c r="Z32" i="57" s="1"/>
  <c r="R32" i="57"/>
  <c r="N32" i="57"/>
  <c r="L32" i="57"/>
  <c r="J32" i="57"/>
  <c r="B32" i="57"/>
  <c r="X31" i="57"/>
  <c r="Z31" i="57" s="1"/>
  <c r="R31" i="57"/>
  <c r="N31" i="57"/>
  <c r="L31" i="57"/>
  <c r="J31" i="57"/>
  <c r="B31" i="57"/>
  <c r="Z30" i="57"/>
  <c r="X30" i="57"/>
  <c r="V30" i="57"/>
  <c r="N30" i="57"/>
  <c r="L30" i="57"/>
  <c r="B30" i="57"/>
  <c r="X29" i="57"/>
  <c r="Z29" i="57" s="1"/>
  <c r="R29" i="57"/>
  <c r="N29" i="57"/>
  <c r="L29" i="57"/>
  <c r="J29" i="57"/>
  <c r="B29" i="57"/>
  <c r="T28" i="57"/>
  <c r="P28" i="57"/>
  <c r="X28" i="57" s="1"/>
  <c r="Z28" i="57" s="1"/>
  <c r="N28" i="57"/>
  <c r="L28" i="57"/>
  <c r="J28" i="57"/>
  <c r="H28" i="57"/>
  <c r="D28" i="57"/>
  <c r="B28" i="57"/>
  <c r="X27" i="57"/>
  <c r="Z27" i="57" s="1"/>
  <c r="R27" i="57"/>
  <c r="L27" i="57"/>
  <c r="N27" i="57" s="1"/>
  <c r="J27" i="57"/>
  <c r="B27" i="57"/>
  <c r="Z26" i="57"/>
  <c r="X26" i="57"/>
  <c r="L26" i="57"/>
  <c r="N26" i="57" s="1"/>
  <c r="B26" i="57"/>
  <c r="X25" i="57"/>
  <c r="Z25" i="57" s="1"/>
  <c r="R25" i="57"/>
  <c r="N25" i="57"/>
  <c r="L25" i="57"/>
  <c r="J25" i="57"/>
  <c r="B25" i="57"/>
  <c r="Z24" i="57"/>
  <c r="X24" i="57"/>
  <c r="R24" i="57"/>
  <c r="L24" i="57"/>
  <c r="N24" i="57" s="1"/>
  <c r="J24" i="57"/>
  <c r="B24" i="57"/>
  <c r="Z23" i="57"/>
  <c r="X23" i="57"/>
  <c r="L23" i="57"/>
  <c r="N23" i="57" s="1"/>
  <c r="J23" i="57"/>
  <c r="F23" i="57"/>
  <c r="B23" i="57"/>
  <c r="X22" i="57"/>
  <c r="Z22" i="57" s="1"/>
  <c r="R22" i="57"/>
  <c r="N22" i="57"/>
  <c r="L22" i="57"/>
  <c r="J22" i="57"/>
  <c r="B22" i="57"/>
  <c r="Z21" i="57"/>
  <c r="X21" i="57"/>
  <c r="R21" i="57"/>
  <c r="L21" i="57"/>
  <c r="N21" i="57" s="1"/>
  <c r="B21" i="57"/>
  <c r="X20" i="57"/>
  <c r="Z20" i="57" s="1"/>
  <c r="R20" i="57"/>
  <c r="N20" i="57"/>
  <c r="L20" i="57"/>
  <c r="J20" i="57"/>
  <c r="B20" i="57"/>
  <c r="T19" i="57"/>
  <c r="P19" i="57"/>
  <c r="J19" i="57"/>
  <c r="H19" i="57"/>
  <c r="D19" i="57"/>
  <c r="L19" i="57" s="1"/>
  <c r="B19" i="57"/>
  <c r="T18" i="57"/>
  <c r="Z18" i="57" s="1"/>
  <c r="R18" i="57"/>
  <c r="P18" i="57"/>
  <c r="X18" i="57" s="1"/>
  <c r="J18" i="57"/>
  <c r="H18" i="57"/>
  <c r="D18" i="57"/>
  <c r="L18" i="57" s="1"/>
  <c r="N18" i="57" s="1"/>
  <c r="V16" i="57"/>
  <c r="R16" i="57"/>
  <c r="J16" i="57"/>
  <c r="H16" i="57"/>
  <c r="H70" i="57" s="1"/>
  <c r="H74" i="57" s="1"/>
  <c r="F16" i="57"/>
  <c r="T14" i="57"/>
  <c r="Z14" i="57" s="1"/>
  <c r="R14" i="57"/>
  <c r="P14" i="57"/>
  <c r="P16" i="57" s="1"/>
  <c r="N14" i="57"/>
  <c r="J14" i="57"/>
  <c r="H14" i="57"/>
  <c r="D14" i="57"/>
  <c r="L14" i="57" s="1"/>
  <c r="T12" i="57"/>
  <c r="V68" i="57" s="1"/>
  <c r="P12" i="57"/>
  <c r="R62" i="57" s="1"/>
  <c r="N12" i="57"/>
  <c r="H12" i="57"/>
  <c r="J63" i="57" s="1"/>
  <c r="D12" i="57"/>
  <c r="F72" i="57" s="1"/>
  <c r="D6" i="57"/>
  <c r="D4" i="57"/>
  <c r="Z72" i="56"/>
  <c r="X72" i="56"/>
  <c r="N72" i="56"/>
  <c r="L72" i="56"/>
  <c r="J70" i="56"/>
  <c r="X68" i="56"/>
  <c r="T68" i="56"/>
  <c r="Z68" i="56" s="1"/>
  <c r="P68" i="56"/>
  <c r="H68" i="56"/>
  <c r="N68" i="56" s="1"/>
  <c r="D68" i="56"/>
  <c r="L68" i="56" s="1"/>
  <c r="Z66" i="56"/>
  <c r="X66" i="56"/>
  <c r="N66" i="56"/>
  <c r="L66" i="56"/>
  <c r="B66" i="56"/>
  <c r="T65" i="56"/>
  <c r="P65" i="56"/>
  <c r="X65" i="56" s="1"/>
  <c r="Z65" i="56" s="1"/>
  <c r="N65" i="56"/>
  <c r="L65" i="56"/>
  <c r="H65" i="56"/>
  <c r="D65" i="56"/>
  <c r="B65" i="56"/>
  <c r="X64" i="56"/>
  <c r="Z64" i="56" s="1"/>
  <c r="N64" i="56"/>
  <c r="L64" i="56"/>
  <c r="B64" i="56"/>
  <c r="X63" i="56"/>
  <c r="Z63" i="56" s="1"/>
  <c r="T63" i="56"/>
  <c r="P63" i="56"/>
  <c r="H63" i="56"/>
  <c r="D63" i="56"/>
  <c r="B63" i="56"/>
  <c r="X62" i="56"/>
  <c r="Z62" i="56" s="1"/>
  <c r="N62" i="56"/>
  <c r="L62" i="56"/>
  <c r="B62" i="56"/>
  <c r="T61" i="56"/>
  <c r="P61" i="56"/>
  <c r="H61" i="56"/>
  <c r="D61" i="56"/>
  <c r="L61" i="56" s="1"/>
  <c r="B61" i="56"/>
  <c r="X60" i="56"/>
  <c r="Z60" i="56" s="1"/>
  <c r="N60" i="56"/>
  <c r="L60" i="56"/>
  <c r="B60" i="56"/>
  <c r="Z59" i="56"/>
  <c r="X59" i="56"/>
  <c r="L59" i="56"/>
  <c r="N59" i="56" s="1"/>
  <c r="B59" i="56"/>
  <c r="X58" i="56"/>
  <c r="Z58" i="56" s="1"/>
  <c r="N58" i="56"/>
  <c r="L58" i="56"/>
  <c r="B58" i="56"/>
  <c r="Z57" i="56"/>
  <c r="X57" i="56"/>
  <c r="R57" i="56"/>
  <c r="N57" i="56"/>
  <c r="L57" i="56"/>
  <c r="B57" i="56"/>
  <c r="X56" i="56"/>
  <c r="Z56" i="56" s="1"/>
  <c r="T56" i="56"/>
  <c r="P56" i="56"/>
  <c r="L56" i="56"/>
  <c r="H56" i="56"/>
  <c r="N56" i="56" s="1"/>
  <c r="D56" i="56"/>
  <c r="B56" i="56"/>
  <c r="Z55" i="56"/>
  <c r="X55" i="56"/>
  <c r="L55" i="56"/>
  <c r="N55" i="56" s="1"/>
  <c r="B55" i="56"/>
  <c r="X54" i="56"/>
  <c r="T54" i="56"/>
  <c r="Z54" i="56" s="1"/>
  <c r="P54" i="56"/>
  <c r="H54" i="56"/>
  <c r="D54" i="56"/>
  <c r="L54" i="56" s="1"/>
  <c r="B54" i="56"/>
  <c r="X53" i="56"/>
  <c r="Z53" i="56" s="1"/>
  <c r="N53" i="56"/>
  <c r="L53" i="56"/>
  <c r="B53" i="56"/>
  <c r="X52" i="56"/>
  <c r="Z52" i="56" s="1"/>
  <c r="L52" i="56"/>
  <c r="N52" i="56" s="1"/>
  <c r="J52" i="56"/>
  <c r="B52" i="56"/>
  <c r="Z51" i="56"/>
  <c r="X51" i="56"/>
  <c r="N51" i="56"/>
  <c r="L51" i="56"/>
  <c r="B51" i="56"/>
  <c r="X50" i="56"/>
  <c r="T50" i="56"/>
  <c r="P50" i="56"/>
  <c r="H50" i="56"/>
  <c r="D50" i="56"/>
  <c r="L50" i="56" s="1"/>
  <c r="B50" i="56"/>
  <c r="X49" i="56"/>
  <c r="Z49" i="56" s="1"/>
  <c r="N49" i="56"/>
  <c r="L49" i="56"/>
  <c r="B49" i="56"/>
  <c r="X48" i="56"/>
  <c r="Z48" i="56" s="1"/>
  <c r="N48" i="56"/>
  <c r="L48" i="56"/>
  <c r="J48" i="56"/>
  <c r="B48" i="56"/>
  <c r="Z47" i="56"/>
  <c r="X47" i="56"/>
  <c r="N47" i="56"/>
  <c r="L47" i="56"/>
  <c r="B47" i="56"/>
  <c r="X46" i="56"/>
  <c r="T46" i="56"/>
  <c r="P46" i="56"/>
  <c r="H46" i="56"/>
  <c r="N46" i="56" s="1"/>
  <c r="D46" i="56"/>
  <c r="L46" i="56" s="1"/>
  <c r="B46" i="56"/>
  <c r="X45" i="56"/>
  <c r="Z45" i="56" s="1"/>
  <c r="N45" i="56"/>
  <c r="L45" i="56"/>
  <c r="J45" i="56"/>
  <c r="B45" i="56"/>
  <c r="T44" i="56"/>
  <c r="P44" i="56"/>
  <c r="X44" i="56" s="1"/>
  <c r="N44" i="56"/>
  <c r="H44" i="56"/>
  <c r="D44" i="56"/>
  <c r="L44" i="56" s="1"/>
  <c r="B44" i="56"/>
  <c r="Z43" i="56"/>
  <c r="X43" i="56"/>
  <c r="N43" i="56"/>
  <c r="L43" i="56"/>
  <c r="J43" i="56"/>
  <c r="B43" i="56"/>
  <c r="T42" i="56"/>
  <c r="P42" i="56"/>
  <c r="X42" i="56" s="1"/>
  <c r="Z42" i="56" s="1"/>
  <c r="N42" i="56"/>
  <c r="L42" i="56"/>
  <c r="J42" i="56"/>
  <c r="H42" i="56"/>
  <c r="D42" i="56"/>
  <c r="B42" i="56"/>
  <c r="Z41" i="56"/>
  <c r="X41" i="56"/>
  <c r="N41" i="56"/>
  <c r="L41" i="56"/>
  <c r="B41" i="56"/>
  <c r="V40" i="56"/>
  <c r="T40" i="56"/>
  <c r="P40" i="56"/>
  <c r="X40" i="56" s="1"/>
  <c r="Z40" i="56" s="1"/>
  <c r="H40" i="56"/>
  <c r="N40" i="56" s="1"/>
  <c r="D40" i="56"/>
  <c r="B40" i="56"/>
  <c r="Z39" i="56"/>
  <c r="X39" i="56"/>
  <c r="L39" i="56"/>
  <c r="N39" i="56" s="1"/>
  <c r="B39" i="56"/>
  <c r="X38" i="56"/>
  <c r="T38" i="56"/>
  <c r="P38" i="56"/>
  <c r="H38" i="56"/>
  <c r="D38" i="56"/>
  <c r="L38" i="56" s="1"/>
  <c r="B38" i="56"/>
  <c r="X37" i="56"/>
  <c r="Z37" i="56" s="1"/>
  <c r="L37" i="56"/>
  <c r="N37" i="56" s="1"/>
  <c r="J37" i="56"/>
  <c r="B37" i="56"/>
  <c r="T36" i="56"/>
  <c r="P36" i="56"/>
  <c r="X36" i="56" s="1"/>
  <c r="H36" i="56"/>
  <c r="N36" i="56" s="1"/>
  <c r="D36" i="56"/>
  <c r="L36" i="56" s="1"/>
  <c r="B36" i="56"/>
  <c r="X35" i="56"/>
  <c r="Z35" i="56" s="1"/>
  <c r="N35" i="56"/>
  <c r="L35" i="56"/>
  <c r="J35" i="56"/>
  <c r="B35" i="56"/>
  <c r="Z34" i="56"/>
  <c r="T34" i="56"/>
  <c r="P34" i="56"/>
  <c r="X34" i="56" s="1"/>
  <c r="J34" i="56"/>
  <c r="H34" i="56"/>
  <c r="D34" i="56"/>
  <c r="L34" i="56" s="1"/>
  <c r="N34" i="56" s="1"/>
  <c r="B34" i="56"/>
  <c r="X33" i="56"/>
  <c r="Z33" i="56" s="1"/>
  <c r="N33" i="56"/>
  <c r="L33" i="56"/>
  <c r="J33" i="56"/>
  <c r="B33" i="56"/>
  <c r="X32" i="56"/>
  <c r="Z32" i="56" s="1"/>
  <c r="T32" i="56"/>
  <c r="P32" i="56"/>
  <c r="J32" i="56"/>
  <c r="H32" i="56"/>
  <c r="D32" i="56"/>
  <c r="B32" i="56"/>
  <c r="Z31" i="56"/>
  <c r="X31" i="56"/>
  <c r="N31" i="56"/>
  <c r="L31" i="56"/>
  <c r="B31" i="56"/>
  <c r="X30" i="56"/>
  <c r="Z30" i="56" s="1"/>
  <c r="N30" i="56"/>
  <c r="L30" i="56"/>
  <c r="F30" i="56"/>
  <c r="B30" i="56"/>
  <c r="Z29" i="56"/>
  <c r="X29" i="56"/>
  <c r="L29" i="56"/>
  <c r="N29" i="56" s="1"/>
  <c r="J29" i="56"/>
  <c r="B29" i="56"/>
  <c r="X28" i="56"/>
  <c r="Z28" i="56" s="1"/>
  <c r="T28" i="56"/>
  <c r="P28" i="56"/>
  <c r="J28" i="56"/>
  <c r="H28" i="56"/>
  <c r="D28" i="56"/>
  <c r="B28" i="56"/>
  <c r="Z27" i="56"/>
  <c r="X27" i="56"/>
  <c r="N27" i="56"/>
  <c r="L27" i="56"/>
  <c r="B27" i="56"/>
  <c r="X26" i="56"/>
  <c r="Z26" i="56" s="1"/>
  <c r="N26" i="56"/>
  <c r="L26" i="56"/>
  <c r="F26" i="56"/>
  <c r="B26" i="56"/>
  <c r="Z25" i="56"/>
  <c r="X25" i="56"/>
  <c r="L25" i="56"/>
  <c r="N25" i="56" s="1"/>
  <c r="J25" i="56"/>
  <c r="B25" i="56"/>
  <c r="X24" i="56"/>
  <c r="Z24" i="56" s="1"/>
  <c r="L24" i="56"/>
  <c r="N24" i="56" s="1"/>
  <c r="B24" i="56"/>
  <c r="Z23" i="56"/>
  <c r="X23" i="56"/>
  <c r="N23" i="56"/>
  <c r="L23" i="56"/>
  <c r="B23" i="56"/>
  <c r="Z22" i="56"/>
  <c r="X22" i="56"/>
  <c r="R22" i="56"/>
  <c r="L22" i="56"/>
  <c r="N22" i="56" s="1"/>
  <c r="B22" i="56"/>
  <c r="X21" i="56"/>
  <c r="Z21" i="56" s="1"/>
  <c r="V21" i="56"/>
  <c r="L21" i="56"/>
  <c r="N21" i="56" s="1"/>
  <c r="J21" i="56"/>
  <c r="B21" i="56"/>
  <c r="X20" i="56"/>
  <c r="Z20" i="56" s="1"/>
  <c r="R20" i="56"/>
  <c r="L20" i="56"/>
  <c r="N20" i="56" s="1"/>
  <c r="J20" i="56"/>
  <c r="B20" i="56"/>
  <c r="T19" i="56"/>
  <c r="R19" i="56"/>
  <c r="P19" i="56"/>
  <c r="L19" i="56"/>
  <c r="N19" i="56" s="1"/>
  <c r="J19" i="56"/>
  <c r="H19" i="56"/>
  <c r="D19" i="56"/>
  <c r="B19" i="56"/>
  <c r="T18" i="56"/>
  <c r="P18" i="56"/>
  <c r="L18" i="56"/>
  <c r="N18" i="56" s="1"/>
  <c r="J18" i="56"/>
  <c r="H18" i="56"/>
  <c r="F18" i="56"/>
  <c r="D18" i="56"/>
  <c r="H16" i="56"/>
  <c r="Z14" i="56"/>
  <c r="T14" i="56"/>
  <c r="P14" i="56"/>
  <c r="X14" i="56" s="1"/>
  <c r="N14" i="56"/>
  <c r="L14" i="56"/>
  <c r="H14" i="56"/>
  <c r="D14" i="56"/>
  <c r="T12" i="56"/>
  <c r="P12" i="56"/>
  <c r="N12" i="56"/>
  <c r="H12" i="56"/>
  <c r="J77" i="56" s="1"/>
  <c r="D12" i="56"/>
  <c r="F53" i="56" s="1"/>
  <c r="D6" i="56"/>
  <c r="D4" i="56"/>
  <c r="V41" i="55"/>
  <c r="R41" i="55"/>
  <c r="Z36" i="55"/>
  <c r="X36" i="55"/>
  <c r="N36" i="55"/>
  <c r="L36" i="55"/>
  <c r="V34" i="55"/>
  <c r="R34" i="55"/>
  <c r="T32" i="55"/>
  <c r="Z32" i="55" s="1"/>
  <c r="P32" i="55"/>
  <c r="N32" i="55"/>
  <c r="H32" i="55"/>
  <c r="D32" i="55"/>
  <c r="L32" i="55" s="1"/>
  <c r="X30" i="55"/>
  <c r="Z30" i="55" s="1"/>
  <c r="N30" i="55"/>
  <c r="L30" i="55"/>
  <c r="B30" i="55"/>
  <c r="X29" i="55"/>
  <c r="Z29" i="55" s="1"/>
  <c r="R29" i="55"/>
  <c r="N29" i="55"/>
  <c r="L29" i="55"/>
  <c r="B29" i="55"/>
  <c r="V28" i="55"/>
  <c r="T28" i="55"/>
  <c r="P28" i="55"/>
  <c r="N28" i="55"/>
  <c r="H28" i="55"/>
  <c r="D28" i="55"/>
  <c r="L28" i="55" s="1"/>
  <c r="B28" i="55"/>
  <c r="X27" i="55"/>
  <c r="Z27" i="55" s="1"/>
  <c r="N27" i="55"/>
  <c r="L27" i="55"/>
  <c r="B27" i="55"/>
  <c r="X26" i="55"/>
  <c r="Z26" i="55" s="1"/>
  <c r="T26" i="55"/>
  <c r="R26" i="55"/>
  <c r="P26" i="55"/>
  <c r="L26" i="55"/>
  <c r="J26" i="55"/>
  <c r="H26" i="55"/>
  <c r="N26" i="55" s="1"/>
  <c r="D26" i="55"/>
  <c r="B26" i="55"/>
  <c r="Z25" i="55"/>
  <c r="X25" i="55"/>
  <c r="V25" i="55"/>
  <c r="R25" i="55"/>
  <c r="L25" i="55"/>
  <c r="N25" i="55" s="1"/>
  <c r="B25" i="55"/>
  <c r="V24" i="55"/>
  <c r="T24" i="55"/>
  <c r="R24" i="55"/>
  <c r="P24" i="55"/>
  <c r="H24" i="55"/>
  <c r="D24" i="55"/>
  <c r="L24" i="55" s="1"/>
  <c r="N24" i="55" s="1"/>
  <c r="B24" i="55"/>
  <c r="X23" i="55"/>
  <c r="Z23" i="55" s="1"/>
  <c r="N23" i="55"/>
  <c r="L23" i="55"/>
  <c r="B23" i="55"/>
  <c r="X22" i="55"/>
  <c r="Z22" i="55" s="1"/>
  <c r="T22" i="55"/>
  <c r="R22" i="55"/>
  <c r="P22" i="55"/>
  <c r="H22" i="55"/>
  <c r="D22" i="55"/>
  <c r="L22" i="55" s="1"/>
  <c r="B22" i="55"/>
  <c r="Z21" i="55"/>
  <c r="X21" i="55"/>
  <c r="R21" i="55"/>
  <c r="N21" i="55"/>
  <c r="L21" i="55"/>
  <c r="J21" i="55"/>
  <c r="B21" i="55"/>
  <c r="Z20" i="55"/>
  <c r="X20" i="55"/>
  <c r="R20" i="55"/>
  <c r="L20" i="55"/>
  <c r="N20" i="55" s="1"/>
  <c r="J20" i="55"/>
  <c r="B20" i="55"/>
  <c r="T19" i="55"/>
  <c r="R19" i="55"/>
  <c r="P19" i="55"/>
  <c r="X19" i="55" s="1"/>
  <c r="Z19" i="55" s="1"/>
  <c r="L19" i="55"/>
  <c r="N19" i="55" s="1"/>
  <c r="H19" i="55"/>
  <c r="D19" i="55"/>
  <c r="B19" i="55"/>
  <c r="V18" i="55"/>
  <c r="T18" i="55"/>
  <c r="P18" i="55"/>
  <c r="X18" i="55" s="1"/>
  <c r="Z18" i="55" s="1"/>
  <c r="H18" i="55"/>
  <c r="D18" i="55"/>
  <c r="L18" i="55" s="1"/>
  <c r="R16" i="55"/>
  <c r="J16" i="55"/>
  <c r="V14" i="55"/>
  <c r="T14" i="55"/>
  <c r="Z14" i="55" s="1"/>
  <c r="P14" i="55"/>
  <c r="H14" i="55"/>
  <c r="N14" i="55" s="1"/>
  <c r="D14" i="55"/>
  <c r="L14" i="55" s="1"/>
  <c r="X12" i="55"/>
  <c r="T12" i="55"/>
  <c r="V21" i="55" s="1"/>
  <c r="P12" i="55"/>
  <c r="H12" i="55"/>
  <c r="D12" i="55"/>
  <c r="D6" i="55"/>
  <c r="D4" i="55"/>
  <c r="V31" i="54"/>
  <c r="X29" i="54"/>
  <c r="T29" i="54"/>
  <c r="P29" i="54"/>
  <c r="J29" i="54"/>
  <c r="H29" i="54"/>
  <c r="D29" i="54"/>
  <c r="L29" i="54" s="1"/>
  <c r="V28" i="54"/>
  <c r="T28" i="54"/>
  <c r="P28" i="54"/>
  <c r="X28" i="54" s="1"/>
  <c r="L28" i="54"/>
  <c r="N28" i="54" s="1"/>
  <c r="H28" i="54"/>
  <c r="D28" i="54"/>
  <c r="J26" i="54"/>
  <c r="Z24" i="54"/>
  <c r="X24" i="54"/>
  <c r="V24" i="54"/>
  <c r="N24" i="54"/>
  <c r="L24" i="54"/>
  <c r="F24" i="54"/>
  <c r="V22" i="54"/>
  <c r="X20" i="54"/>
  <c r="T20" i="54"/>
  <c r="Z20" i="54" s="1"/>
  <c r="P20" i="54"/>
  <c r="J20" i="54"/>
  <c r="H20" i="54"/>
  <c r="N20" i="54" s="1"/>
  <c r="D20" i="54"/>
  <c r="V18" i="54"/>
  <c r="T18" i="54"/>
  <c r="Z18" i="54" s="1"/>
  <c r="P18" i="54"/>
  <c r="X18" i="54" s="1"/>
  <c r="L18" i="54"/>
  <c r="H18" i="54"/>
  <c r="N18" i="54" s="1"/>
  <c r="D18" i="54"/>
  <c r="T16" i="54"/>
  <c r="T22" i="54" s="1"/>
  <c r="J16" i="54"/>
  <c r="H16" i="54"/>
  <c r="D16" i="54"/>
  <c r="D22" i="54" s="1"/>
  <c r="V14" i="54"/>
  <c r="T14" i="54"/>
  <c r="Z14" i="54" s="1"/>
  <c r="P14" i="54"/>
  <c r="X14" i="54" s="1"/>
  <c r="L14" i="54"/>
  <c r="H14" i="54"/>
  <c r="N14" i="54" s="1"/>
  <c r="D14" i="54"/>
  <c r="Z12" i="54"/>
  <c r="X12" i="54"/>
  <c r="T12" i="54"/>
  <c r="V29" i="54" s="1"/>
  <c r="P12" i="54"/>
  <c r="R29" i="54" s="1"/>
  <c r="H12" i="54"/>
  <c r="J24" i="54" s="1"/>
  <c r="D12" i="54"/>
  <c r="F29" i="54" s="1"/>
  <c r="D6" i="54"/>
  <c r="D4" i="54"/>
  <c r="B39" i="53"/>
  <c r="B38" i="53"/>
  <c r="T34" i="53"/>
  <c r="Z34" i="53" s="1"/>
  <c r="P34" i="53"/>
  <c r="H34" i="53"/>
  <c r="N34" i="53" s="1"/>
  <c r="D34" i="53"/>
  <c r="T33" i="53"/>
  <c r="Z33" i="53" s="1"/>
  <c r="P33" i="53"/>
  <c r="H33" i="53"/>
  <c r="N33" i="53" s="1"/>
  <c r="D33" i="53"/>
  <c r="T29" i="53"/>
  <c r="Z29" i="53" s="1"/>
  <c r="P29" i="53"/>
  <c r="H29" i="53"/>
  <c r="N29" i="53" s="1"/>
  <c r="D29" i="53"/>
  <c r="T25" i="53"/>
  <c r="Z25" i="53" s="1"/>
  <c r="P25" i="53"/>
  <c r="H25" i="53"/>
  <c r="N25" i="53" s="1"/>
  <c r="D25" i="53"/>
  <c r="B25" i="53"/>
  <c r="T24" i="53"/>
  <c r="Z24" i="53" s="1"/>
  <c r="P24" i="53"/>
  <c r="H24" i="53"/>
  <c r="N24" i="53" s="1"/>
  <c r="D24" i="53"/>
  <c r="T22" i="53"/>
  <c r="Z22" i="53" s="1"/>
  <c r="P22" i="53"/>
  <c r="H22" i="53"/>
  <c r="N22" i="53" s="1"/>
  <c r="D22" i="53"/>
  <c r="B22" i="53"/>
  <c r="T21" i="53"/>
  <c r="Z21" i="53" s="1"/>
  <c r="P21" i="53"/>
  <c r="H21" i="53"/>
  <c r="N21" i="53" s="1"/>
  <c r="D21" i="53"/>
  <c r="B21" i="53"/>
  <c r="T20" i="53"/>
  <c r="Z20" i="53" s="1"/>
  <c r="P20" i="53"/>
  <c r="H20" i="53"/>
  <c r="N20" i="53" s="1"/>
  <c r="D20" i="53"/>
  <c r="T16" i="53"/>
  <c r="Z16" i="53" s="1"/>
  <c r="P16" i="53"/>
  <c r="H16" i="53"/>
  <c r="N16" i="53" s="1"/>
  <c r="D16" i="53"/>
  <c r="B16" i="53"/>
  <c r="T15" i="53"/>
  <c r="Z15" i="53" s="1"/>
  <c r="P15" i="53"/>
  <c r="H15" i="53"/>
  <c r="D15" i="53"/>
  <c r="T13" i="53"/>
  <c r="Z13" i="53" s="1"/>
  <c r="P13" i="53"/>
  <c r="H13" i="53"/>
  <c r="N13" i="53" s="1"/>
  <c r="D13" i="53"/>
  <c r="B13" i="53"/>
  <c r="T12" i="53"/>
  <c r="V34" i="53" s="1"/>
  <c r="P12" i="53"/>
  <c r="R20" i="53" s="1"/>
  <c r="H12" i="53"/>
  <c r="J21" i="53" s="1"/>
  <c r="D12" i="53"/>
  <c r="D5" i="53"/>
  <c r="D4" i="53"/>
  <c r="B39" i="52"/>
  <c r="B38" i="52"/>
  <c r="T34" i="52"/>
  <c r="Z34" i="52" s="1"/>
  <c r="P34" i="52"/>
  <c r="H34" i="52"/>
  <c r="N34" i="52" s="1"/>
  <c r="D34" i="52"/>
  <c r="T33" i="52"/>
  <c r="Z33" i="52" s="1"/>
  <c r="P33" i="52"/>
  <c r="H33" i="52"/>
  <c r="N33" i="52" s="1"/>
  <c r="D33" i="52"/>
  <c r="T29" i="52"/>
  <c r="Z29" i="52" s="1"/>
  <c r="P29" i="52"/>
  <c r="H29" i="52"/>
  <c r="N29" i="52" s="1"/>
  <c r="D29" i="52"/>
  <c r="T25" i="52"/>
  <c r="Z25" i="52" s="1"/>
  <c r="P25" i="52"/>
  <c r="H25" i="52"/>
  <c r="N25" i="52" s="1"/>
  <c r="D25" i="52"/>
  <c r="B25" i="52"/>
  <c r="T24" i="52"/>
  <c r="Z24" i="52" s="1"/>
  <c r="P24" i="52"/>
  <c r="H24" i="52"/>
  <c r="N24" i="52" s="1"/>
  <c r="D24" i="52"/>
  <c r="T22" i="52"/>
  <c r="Z22" i="52" s="1"/>
  <c r="P22" i="52"/>
  <c r="H22" i="52"/>
  <c r="N22" i="52" s="1"/>
  <c r="D22" i="52"/>
  <c r="B22" i="52"/>
  <c r="T21" i="52"/>
  <c r="Z21" i="52" s="1"/>
  <c r="P21" i="52"/>
  <c r="H21" i="52"/>
  <c r="N21" i="52" s="1"/>
  <c r="D21" i="52"/>
  <c r="B21" i="52"/>
  <c r="T20" i="52"/>
  <c r="Z20" i="52" s="1"/>
  <c r="P20" i="52"/>
  <c r="H20" i="52"/>
  <c r="N20" i="52" s="1"/>
  <c r="D20" i="52"/>
  <c r="T16" i="52"/>
  <c r="Z16" i="52" s="1"/>
  <c r="P16" i="52"/>
  <c r="H16" i="52"/>
  <c r="N16" i="52" s="1"/>
  <c r="D16" i="52"/>
  <c r="B16" i="52"/>
  <c r="T15" i="52"/>
  <c r="Z15" i="52" s="1"/>
  <c r="P15" i="52"/>
  <c r="H15" i="52"/>
  <c r="N15" i="52" s="1"/>
  <c r="D15" i="52"/>
  <c r="T13" i="52"/>
  <c r="Z13" i="52" s="1"/>
  <c r="P13" i="52"/>
  <c r="H13" i="52"/>
  <c r="N13" i="52" s="1"/>
  <c r="D13" i="52"/>
  <c r="B13" i="52"/>
  <c r="T12" i="52"/>
  <c r="P12" i="52"/>
  <c r="R22" i="52" s="1"/>
  <c r="H12" i="52"/>
  <c r="J24" i="52" s="1"/>
  <c r="D12" i="52"/>
  <c r="D5" i="52"/>
  <c r="D4" i="52"/>
  <c r="Z123" i="51"/>
  <c r="X123" i="51"/>
  <c r="L123" i="51"/>
  <c r="N123" i="51" s="1"/>
  <c r="X119" i="51"/>
  <c r="T119" i="51"/>
  <c r="Z119" i="51" s="1"/>
  <c r="P119" i="51"/>
  <c r="H119" i="51"/>
  <c r="D119" i="51"/>
  <c r="L119" i="51" s="1"/>
  <c r="B119" i="51"/>
  <c r="T118" i="51"/>
  <c r="P118" i="51"/>
  <c r="N118" i="51"/>
  <c r="H118" i="51"/>
  <c r="D118" i="51"/>
  <c r="L118" i="51" s="1"/>
  <c r="B118" i="51"/>
  <c r="X117" i="51"/>
  <c r="T117" i="51"/>
  <c r="Z117" i="51" s="1"/>
  <c r="P117" i="51"/>
  <c r="L117" i="51"/>
  <c r="H117" i="51"/>
  <c r="N117" i="51" s="1"/>
  <c r="D117" i="51"/>
  <c r="B117" i="51"/>
  <c r="X116" i="51"/>
  <c r="Z116" i="51" s="1"/>
  <c r="T116" i="51"/>
  <c r="P116" i="51"/>
  <c r="H116" i="51"/>
  <c r="D116" i="51"/>
  <c r="B116" i="51"/>
  <c r="P115" i="51"/>
  <c r="X113" i="51"/>
  <c r="Z113" i="51" s="1"/>
  <c r="N113" i="51"/>
  <c r="L113" i="51"/>
  <c r="B113" i="51"/>
  <c r="T112" i="51"/>
  <c r="P112" i="51"/>
  <c r="X112" i="51" s="1"/>
  <c r="Z112" i="51" s="1"/>
  <c r="N112" i="51"/>
  <c r="L112" i="51"/>
  <c r="H112" i="51"/>
  <c r="D112" i="51"/>
  <c r="B112" i="51"/>
  <c r="X111" i="51"/>
  <c r="Z111" i="51" s="1"/>
  <c r="N111" i="51"/>
  <c r="L111" i="51"/>
  <c r="B111" i="51"/>
  <c r="X110" i="51"/>
  <c r="Z110" i="51" s="1"/>
  <c r="T110" i="51"/>
  <c r="P110" i="51"/>
  <c r="H110" i="51"/>
  <c r="N110" i="51" s="1"/>
  <c r="D110" i="51"/>
  <c r="B110" i="51"/>
  <c r="Z109" i="51"/>
  <c r="X109" i="51"/>
  <c r="L109" i="51"/>
  <c r="N109" i="51" s="1"/>
  <c r="B109" i="51"/>
  <c r="T108" i="51"/>
  <c r="P108" i="51"/>
  <c r="H108" i="51"/>
  <c r="D108" i="51"/>
  <c r="L108" i="51" s="1"/>
  <c r="N108" i="51" s="1"/>
  <c r="B108" i="51"/>
  <c r="X107" i="51"/>
  <c r="Z107" i="51" s="1"/>
  <c r="N107" i="51"/>
  <c r="L107" i="51"/>
  <c r="B107" i="51"/>
  <c r="Z106" i="51"/>
  <c r="X106" i="51"/>
  <c r="N106" i="51"/>
  <c r="L106" i="51"/>
  <c r="B106" i="51"/>
  <c r="Z105" i="51"/>
  <c r="X105" i="51"/>
  <c r="L105" i="51"/>
  <c r="N105" i="51" s="1"/>
  <c r="B105" i="51"/>
  <c r="Z104" i="51"/>
  <c r="X104" i="51"/>
  <c r="N104" i="51"/>
  <c r="L104" i="51"/>
  <c r="B104" i="51"/>
  <c r="Z103" i="51"/>
  <c r="X103" i="51"/>
  <c r="N103" i="51"/>
  <c r="L103" i="51"/>
  <c r="B103" i="51"/>
  <c r="X102" i="51"/>
  <c r="Z102" i="51" s="1"/>
  <c r="T102" i="51"/>
  <c r="P102" i="51"/>
  <c r="H102" i="51"/>
  <c r="D102" i="51"/>
  <c r="B102" i="51"/>
  <c r="Z101" i="51"/>
  <c r="X101" i="51"/>
  <c r="N101" i="51"/>
  <c r="L101" i="51"/>
  <c r="B101" i="51"/>
  <c r="X100" i="51"/>
  <c r="Z100" i="51" s="1"/>
  <c r="N100" i="51"/>
  <c r="L100" i="51"/>
  <c r="B100" i="51"/>
  <c r="T99" i="51"/>
  <c r="P99" i="51"/>
  <c r="H99" i="51"/>
  <c r="N99" i="51" s="1"/>
  <c r="D99" i="51"/>
  <c r="L99" i="51" s="1"/>
  <c r="B99" i="51"/>
  <c r="Z98" i="51"/>
  <c r="X98" i="51"/>
  <c r="N98" i="51"/>
  <c r="L98" i="51"/>
  <c r="B98" i="51"/>
  <c r="Z97" i="51"/>
  <c r="X97" i="51"/>
  <c r="N97" i="51"/>
  <c r="L97" i="51"/>
  <c r="B97" i="51"/>
  <c r="T96" i="51"/>
  <c r="P96" i="51"/>
  <c r="N96" i="51"/>
  <c r="H96" i="51"/>
  <c r="D96" i="51"/>
  <c r="L96" i="51" s="1"/>
  <c r="B96" i="51"/>
  <c r="X95" i="51"/>
  <c r="Z95" i="51" s="1"/>
  <c r="L95" i="51"/>
  <c r="N95" i="51" s="1"/>
  <c r="B95" i="51"/>
  <c r="Z94" i="51"/>
  <c r="X94" i="51"/>
  <c r="L94" i="51"/>
  <c r="N94" i="51" s="1"/>
  <c r="B94" i="51"/>
  <c r="Z93" i="51"/>
  <c r="X93" i="51"/>
  <c r="L93" i="51"/>
  <c r="N93" i="51" s="1"/>
  <c r="B93" i="51"/>
  <c r="X92" i="51"/>
  <c r="Z92" i="51" s="1"/>
  <c r="N92" i="51"/>
  <c r="L92" i="51"/>
  <c r="B92" i="51"/>
  <c r="X91" i="51"/>
  <c r="Z91" i="51" s="1"/>
  <c r="L91" i="51"/>
  <c r="N91" i="51" s="1"/>
  <c r="B91" i="51"/>
  <c r="X90" i="51"/>
  <c r="Z90" i="51" s="1"/>
  <c r="N90" i="51"/>
  <c r="L90" i="51"/>
  <c r="B90" i="51"/>
  <c r="X89" i="51"/>
  <c r="Z89" i="51" s="1"/>
  <c r="N89" i="51"/>
  <c r="L89" i="51"/>
  <c r="B89" i="51"/>
  <c r="Z88" i="51"/>
  <c r="X88" i="51"/>
  <c r="N88" i="51"/>
  <c r="L88" i="51"/>
  <c r="B88" i="51"/>
  <c r="X87" i="51"/>
  <c r="T87" i="51"/>
  <c r="Z87" i="51" s="1"/>
  <c r="P87" i="51"/>
  <c r="L87" i="51"/>
  <c r="H87" i="51"/>
  <c r="D87" i="51"/>
  <c r="B87" i="51"/>
  <c r="X86" i="51"/>
  <c r="Z86" i="51" s="1"/>
  <c r="N86" i="51"/>
  <c r="L86" i="51"/>
  <c r="B86" i="51"/>
  <c r="X85" i="51"/>
  <c r="T85" i="51"/>
  <c r="Z85" i="51" s="1"/>
  <c r="P85" i="51"/>
  <c r="H85" i="51"/>
  <c r="N85" i="51" s="1"/>
  <c r="D85" i="51"/>
  <c r="L85" i="51" s="1"/>
  <c r="B85" i="51"/>
  <c r="Z84" i="51"/>
  <c r="X84" i="51"/>
  <c r="N84" i="51"/>
  <c r="L84" i="51"/>
  <c r="B84" i="51"/>
  <c r="X83" i="51"/>
  <c r="Z83" i="51" s="1"/>
  <c r="L83" i="51"/>
  <c r="N83" i="51" s="1"/>
  <c r="B83" i="51"/>
  <c r="X82" i="51"/>
  <c r="Z82" i="51" s="1"/>
  <c r="T82" i="51"/>
  <c r="P82" i="51"/>
  <c r="H82" i="51"/>
  <c r="D82" i="51"/>
  <c r="B82" i="51"/>
  <c r="Z81" i="51"/>
  <c r="X81" i="51"/>
  <c r="L81" i="51"/>
  <c r="N81" i="51" s="1"/>
  <c r="B81" i="51"/>
  <c r="T80" i="51"/>
  <c r="P80" i="51"/>
  <c r="H80" i="51"/>
  <c r="D80" i="51"/>
  <c r="L80" i="51" s="1"/>
  <c r="N80" i="51" s="1"/>
  <c r="B80" i="51"/>
  <c r="X79" i="51"/>
  <c r="Z79" i="51" s="1"/>
  <c r="L79" i="51"/>
  <c r="N79" i="51" s="1"/>
  <c r="B79" i="51"/>
  <c r="T78" i="51"/>
  <c r="P78" i="51"/>
  <c r="X78" i="51" s="1"/>
  <c r="Z78" i="51" s="1"/>
  <c r="H78" i="51"/>
  <c r="D78" i="51"/>
  <c r="L78" i="51" s="1"/>
  <c r="N78" i="51" s="1"/>
  <c r="B78" i="51"/>
  <c r="X77" i="51"/>
  <c r="Z77" i="51" s="1"/>
  <c r="N77" i="51"/>
  <c r="L77" i="51"/>
  <c r="B77" i="51"/>
  <c r="T76" i="51"/>
  <c r="P76" i="51"/>
  <c r="X76" i="51" s="1"/>
  <c r="Z76" i="51" s="1"/>
  <c r="L76" i="51"/>
  <c r="N76" i="51" s="1"/>
  <c r="H76" i="51"/>
  <c r="D76" i="51"/>
  <c r="B76" i="51"/>
  <c r="X75" i="51"/>
  <c r="Z75" i="51" s="1"/>
  <c r="N75" i="51"/>
  <c r="L75" i="51"/>
  <c r="B75" i="51"/>
  <c r="X74" i="51"/>
  <c r="Z74" i="51" s="1"/>
  <c r="N74" i="51"/>
  <c r="L74" i="51"/>
  <c r="B74" i="51"/>
  <c r="X73" i="51"/>
  <c r="Z73" i="51" s="1"/>
  <c r="N73" i="51"/>
  <c r="L73" i="51"/>
  <c r="B73" i="51"/>
  <c r="Z72" i="51"/>
  <c r="X72" i="51"/>
  <c r="L72" i="51"/>
  <c r="N72" i="51" s="1"/>
  <c r="B72" i="51"/>
  <c r="X71" i="51"/>
  <c r="Z71" i="51" s="1"/>
  <c r="L71" i="51"/>
  <c r="N71" i="51" s="1"/>
  <c r="B71" i="51"/>
  <c r="T70" i="51"/>
  <c r="P70" i="51"/>
  <c r="X70" i="51" s="1"/>
  <c r="Z70" i="51" s="1"/>
  <c r="H70" i="51"/>
  <c r="D70" i="51"/>
  <c r="L70" i="51" s="1"/>
  <c r="N70" i="51" s="1"/>
  <c r="B70" i="51"/>
  <c r="X69" i="51"/>
  <c r="Z69" i="51" s="1"/>
  <c r="N69" i="51"/>
  <c r="L69" i="51"/>
  <c r="B69" i="51"/>
  <c r="Z68" i="51"/>
  <c r="X68" i="51"/>
  <c r="L68" i="51"/>
  <c r="N68" i="51" s="1"/>
  <c r="B68" i="51"/>
  <c r="X67" i="51"/>
  <c r="Z67" i="51" s="1"/>
  <c r="L67" i="51"/>
  <c r="N67" i="51" s="1"/>
  <c r="B67" i="51"/>
  <c r="Z66" i="51"/>
  <c r="X66" i="51"/>
  <c r="L66" i="51"/>
  <c r="N66" i="51" s="1"/>
  <c r="B66" i="51"/>
  <c r="Z65" i="51"/>
  <c r="X65" i="51"/>
  <c r="L65" i="51"/>
  <c r="N65" i="51" s="1"/>
  <c r="B65" i="51"/>
  <c r="Z64" i="51"/>
  <c r="X64" i="51"/>
  <c r="N64" i="51"/>
  <c r="L64" i="51"/>
  <c r="B64" i="51"/>
  <c r="X63" i="51"/>
  <c r="Z63" i="51" s="1"/>
  <c r="L63" i="51"/>
  <c r="N63" i="51" s="1"/>
  <c r="B63" i="51"/>
  <c r="X62" i="51"/>
  <c r="Z62" i="51" s="1"/>
  <c r="N62" i="51"/>
  <c r="L62" i="51"/>
  <c r="B62" i="51"/>
  <c r="X61" i="51"/>
  <c r="Z61" i="51" s="1"/>
  <c r="N61" i="51"/>
  <c r="L61" i="51"/>
  <c r="B61" i="51"/>
  <c r="Z60" i="51"/>
  <c r="T60" i="51"/>
  <c r="P60" i="51"/>
  <c r="X60" i="51" s="1"/>
  <c r="L60" i="51"/>
  <c r="N60" i="51" s="1"/>
  <c r="H60" i="51"/>
  <c r="D60" i="51"/>
  <c r="B60" i="51"/>
  <c r="T59" i="51"/>
  <c r="P59" i="51"/>
  <c r="H59" i="51"/>
  <c r="D59" i="51"/>
  <c r="L59" i="51" s="1"/>
  <c r="X55" i="51"/>
  <c r="Z55" i="51" s="1"/>
  <c r="N55" i="51"/>
  <c r="L55" i="51"/>
  <c r="B55" i="51"/>
  <c r="X54" i="51"/>
  <c r="Z54" i="51" s="1"/>
  <c r="N54" i="51"/>
  <c r="L54" i="51"/>
  <c r="B54" i="51"/>
  <c r="X53" i="51"/>
  <c r="Z53" i="51" s="1"/>
  <c r="N53" i="51"/>
  <c r="L53" i="51"/>
  <c r="B53" i="51"/>
  <c r="Z52" i="51"/>
  <c r="X52" i="51"/>
  <c r="N52" i="51"/>
  <c r="L52" i="51"/>
  <c r="B52" i="51"/>
  <c r="X51" i="51"/>
  <c r="Z51" i="51" s="1"/>
  <c r="N51" i="51"/>
  <c r="L51" i="51"/>
  <c r="B51" i="51"/>
  <c r="Z50" i="51"/>
  <c r="X50" i="51"/>
  <c r="N50" i="51"/>
  <c r="L50" i="51"/>
  <c r="B50" i="51"/>
  <c r="Z49" i="51"/>
  <c r="X49" i="51"/>
  <c r="L49" i="51"/>
  <c r="N49" i="51" s="1"/>
  <c r="B49" i="51"/>
  <c r="X48" i="51"/>
  <c r="Z48" i="51" s="1"/>
  <c r="N48" i="51"/>
  <c r="L48" i="51"/>
  <c r="B48" i="51"/>
  <c r="X47" i="51"/>
  <c r="Z47" i="51" s="1"/>
  <c r="N47" i="51"/>
  <c r="L47" i="51"/>
  <c r="B47" i="51"/>
  <c r="X46" i="51"/>
  <c r="Z46" i="51" s="1"/>
  <c r="N46" i="51"/>
  <c r="L46" i="51"/>
  <c r="B46" i="51"/>
  <c r="X45" i="51"/>
  <c r="Z45" i="51" s="1"/>
  <c r="N45" i="51"/>
  <c r="L45" i="51"/>
  <c r="B45" i="51"/>
  <c r="Z44" i="51"/>
  <c r="X44" i="51"/>
  <c r="N44" i="51"/>
  <c r="L44" i="51"/>
  <c r="B44" i="51"/>
  <c r="X43" i="51"/>
  <c r="Z43" i="51" s="1"/>
  <c r="L43" i="51"/>
  <c r="N43" i="51" s="1"/>
  <c r="B43" i="51"/>
  <c r="Z42" i="51"/>
  <c r="X42" i="51"/>
  <c r="L42" i="51"/>
  <c r="N42" i="51" s="1"/>
  <c r="B42" i="51"/>
  <c r="Z41" i="51"/>
  <c r="X41" i="51"/>
  <c r="L41" i="51"/>
  <c r="N41" i="51" s="1"/>
  <c r="B41" i="51"/>
  <c r="Z40" i="51"/>
  <c r="X40" i="51"/>
  <c r="N40" i="51"/>
  <c r="L40" i="51"/>
  <c r="B40" i="51"/>
  <c r="T39" i="51"/>
  <c r="P39" i="51"/>
  <c r="H39" i="51"/>
  <c r="D39" i="51"/>
  <c r="L39" i="51" s="1"/>
  <c r="X37" i="51"/>
  <c r="T37" i="51"/>
  <c r="Z37" i="51" s="1"/>
  <c r="P37" i="51"/>
  <c r="H37" i="51"/>
  <c r="N37" i="51" s="1"/>
  <c r="D37" i="51"/>
  <c r="L37" i="51" s="1"/>
  <c r="B37" i="51"/>
  <c r="T36" i="51"/>
  <c r="P36" i="51"/>
  <c r="X36" i="51" s="1"/>
  <c r="Z36" i="51" s="1"/>
  <c r="H36" i="51"/>
  <c r="D36" i="51"/>
  <c r="B36" i="51"/>
  <c r="T35" i="51"/>
  <c r="P35" i="51"/>
  <c r="X35" i="51" s="1"/>
  <c r="N35" i="51"/>
  <c r="L35" i="51"/>
  <c r="H35" i="51"/>
  <c r="D35" i="51"/>
  <c r="B35" i="51"/>
  <c r="T34" i="51"/>
  <c r="P34" i="51"/>
  <c r="X34" i="51" s="1"/>
  <c r="N34" i="51"/>
  <c r="H34" i="51"/>
  <c r="D34" i="51"/>
  <c r="L34" i="51" s="1"/>
  <c r="B34" i="51"/>
  <c r="T33" i="51"/>
  <c r="P33" i="51"/>
  <c r="X33" i="51" s="1"/>
  <c r="L33" i="51"/>
  <c r="H33" i="51"/>
  <c r="N33" i="51" s="1"/>
  <c r="D33" i="51"/>
  <c r="B33" i="51"/>
  <c r="T32" i="51"/>
  <c r="P32" i="51"/>
  <c r="N32" i="51"/>
  <c r="H32" i="51"/>
  <c r="D32" i="51"/>
  <c r="L32" i="51" s="1"/>
  <c r="B32" i="51"/>
  <c r="X31" i="51"/>
  <c r="Z31" i="51" s="1"/>
  <c r="T31" i="51"/>
  <c r="P31" i="51"/>
  <c r="H31" i="51"/>
  <c r="N31" i="51" s="1"/>
  <c r="D31" i="51"/>
  <c r="L31" i="51" s="1"/>
  <c r="B31" i="51"/>
  <c r="T30" i="51"/>
  <c r="P30" i="51"/>
  <c r="X30" i="51" s="1"/>
  <c r="Z30" i="51" s="1"/>
  <c r="H30" i="51"/>
  <c r="D30" i="51"/>
  <c r="L30" i="51" s="1"/>
  <c r="B30" i="51"/>
  <c r="X29" i="51"/>
  <c r="T29" i="51"/>
  <c r="Z29" i="51" s="1"/>
  <c r="P29" i="51"/>
  <c r="H29" i="51"/>
  <c r="D29" i="51"/>
  <c r="L29" i="51" s="1"/>
  <c r="B29" i="51"/>
  <c r="T28" i="51"/>
  <c r="P28" i="51"/>
  <c r="X28" i="51" s="1"/>
  <c r="Z28" i="51" s="1"/>
  <c r="H28" i="51"/>
  <c r="D28" i="51"/>
  <c r="B28" i="51"/>
  <c r="T27" i="51"/>
  <c r="P27" i="51"/>
  <c r="X27" i="51" s="1"/>
  <c r="N27" i="51"/>
  <c r="L27" i="51"/>
  <c r="H27" i="51"/>
  <c r="D27" i="51"/>
  <c r="B27" i="51"/>
  <c r="T26" i="51"/>
  <c r="P26" i="51"/>
  <c r="X26" i="51" s="1"/>
  <c r="N26" i="51"/>
  <c r="H26" i="51"/>
  <c r="D26" i="51"/>
  <c r="L26" i="51" s="1"/>
  <c r="B26" i="51"/>
  <c r="T25" i="51"/>
  <c r="P25" i="51"/>
  <c r="X25" i="51" s="1"/>
  <c r="L25" i="51"/>
  <c r="H25" i="51"/>
  <c r="N25" i="51" s="1"/>
  <c r="D25" i="51"/>
  <c r="B25" i="51"/>
  <c r="T24" i="51"/>
  <c r="P24" i="51"/>
  <c r="N24" i="51"/>
  <c r="H24" i="51"/>
  <c r="D24" i="51"/>
  <c r="L24" i="51" s="1"/>
  <c r="B24" i="51"/>
  <c r="X23" i="51"/>
  <c r="Z23" i="51" s="1"/>
  <c r="T23" i="51"/>
  <c r="P23" i="51"/>
  <c r="H23" i="51"/>
  <c r="N23" i="51" s="1"/>
  <c r="D23" i="51"/>
  <c r="L23" i="51" s="1"/>
  <c r="B23" i="51"/>
  <c r="T22" i="51"/>
  <c r="P22" i="51"/>
  <c r="X22" i="51" s="1"/>
  <c r="Z22" i="51" s="1"/>
  <c r="H22" i="51"/>
  <c r="D22" i="51"/>
  <c r="L22" i="51" s="1"/>
  <c r="B22" i="51"/>
  <c r="X21" i="51"/>
  <c r="T21" i="51"/>
  <c r="Z21" i="51" s="1"/>
  <c r="P21" i="51"/>
  <c r="H21" i="51"/>
  <c r="D21" i="51"/>
  <c r="L21" i="51" s="1"/>
  <c r="B21" i="51"/>
  <c r="T20" i="51"/>
  <c r="P20" i="51"/>
  <c r="X20" i="51" s="1"/>
  <c r="Z20" i="51" s="1"/>
  <c r="H20" i="51"/>
  <c r="D20" i="51"/>
  <c r="B20" i="51"/>
  <c r="T19" i="51"/>
  <c r="P19" i="51"/>
  <c r="X19" i="51" s="1"/>
  <c r="L19" i="51"/>
  <c r="N19" i="51" s="1"/>
  <c r="H19" i="51"/>
  <c r="D19" i="51"/>
  <c r="B19" i="51"/>
  <c r="T18" i="51"/>
  <c r="Z18" i="51" s="1"/>
  <c r="P18" i="51"/>
  <c r="X18" i="51" s="1"/>
  <c r="N18" i="51"/>
  <c r="H18" i="51"/>
  <c r="D18" i="51"/>
  <c r="L18" i="51" s="1"/>
  <c r="B18" i="51"/>
  <c r="T17" i="51"/>
  <c r="Z17" i="51" s="1"/>
  <c r="P17" i="51"/>
  <c r="X17" i="51" s="1"/>
  <c r="L17" i="51"/>
  <c r="H17" i="51"/>
  <c r="N17" i="51" s="1"/>
  <c r="D17" i="51"/>
  <c r="B17" i="51"/>
  <c r="T16" i="51"/>
  <c r="P16" i="51"/>
  <c r="H16" i="51"/>
  <c r="D16" i="51"/>
  <c r="L16" i="51" s="1"/>
  <c r="N16" i="51" s="1"/>
  <c r="B16" i="51"/>
  <c r="X15" i="51"/>
  <c r="Z15" i="51" s="1"/>
  <c r="T15" i="51"/>
  <c r="P15" i="51"/>
  <c r="P12" i="51" s="1"/>
  <c r="R108" i="51" s="1"/>
  <c r="H15" i="51"/>
  <c r="D15" i="51"/>
  <c r="L15" i="51" s="1"/>
  <c r="B15" i="51"/>
  <c r="T14" i="51"/>
  <c r="P14" i="51"/>
  <c r="X14" i="51" s="1"/>
  <c r="Z14" i="51" s="1"/>
  <c r="H14" i="51"/>
  <c r="D14" i="51"/>
  <c r="L14" i="51" s="1"/>
  <c r="B14" i="51"/>
  <c r="X13" i="51"/>
  <c r="T13" i="51"/>
  <c r="Z13" i="51" s="1"/>
  <c r="P13" i="51"/>
  <c r="H13" i="51"/>
  <c r="N13" i="51" s="1"/>
  <c r="D13" i="51"/>
  <c r="B13" i="51"/>
  <c r="H12" i="51"/>
  <c r="D4" i="51"/>
  <c r="B39" i="50"/>
  <c r="B38" i="50"/>
  <c r="T34" i="50"/>
  <c r="Z34" i="50" s="1"/>
  <c r="P34" i="50"/>
  <c r="H34" i="50"/>
  <c r="D34" i="50"/>
  <c r="T33" i="50"/>
  <c r="Z33" i="50" s="1"/>
  <c r="P33" i="50"/>
  <c r="H33" i="50"/>
  <c r="N33" i="50" s="1"/>
  <c r="D33" i="50"/>
  <c r="T29" i="50"/>
  <c r="Z29" i="50" s="1"/>
  <c r="P29" i="50"/>
  <c r="H29" i="50"/>
  <c r="N29" i="50" s="1"/>
  <c r="D29" i="50"/>
  <c r="T25" i="50"/>
  <c r="Z25" i="50" s="1"/>
  <c r="P25" i="50"/>
  <c r="H25" i="50"/>
  <c r="N25" i="50" s="1"/>
  <c r="D25" i="50"/>
  <c r="B25" i="50"/>
  <c r="T24" i="50"/>
  <c r="Z24" i="50" s="1"/>
  <c r="P24" i="50"/>
  <c r="H24" i="50"/>
  <c r="N24" i="50" s="1"/>
  <c r="D24" i="50"/>
  <c r="T22" i="50"/>
  <c r="Z22" i="50" s="1"/>
  <c r="P22" i="50"/>
  <c r="H22" i="50"/>
  <c r="N22" i="50" s="1"/>
  <c r="D22" i="50"/>
  <c r="B22" i="50"/>
  <c r="T21" i="50"/>
  <c r="Z21" i="50" s="1"/>
  <c r="P21" i="50"/>
  <c r="H21" i="50"/>
  <c r="N21" i="50" s="1"/>
  <c r="D21" i="50"/>
  <c r="B21" i="50"/>
  <c r="T20" i="50"/>
  <c r="Z20" i="50" s="1"/>
  <c r="P20" i="50"/>
  <c r="H20" i="50"/>
  <c r="N20" i="50" s="1"/>
  <c r="D20" i="50"/>
  <c r="T16" i="50"/>
  <c r="Z16" i="50" s="1"/>
  <c r="P16" i="50"/>
  <c r="H16" i="50"/>
  <c r="N16" i="50" s="1"/>
  <c r="D16" i="50"/>
  <c r="B16" i="50"/>
  <c r="T15" i="50"/>
  <c r="P15" i="50"/>
  <c r="H15" i="50"/>
  <c r="N15" i="50" s="1"/>
  <c r="D15" i="50"/>
  <c r="T13" i="50"/>
  <c r="Z13" i="50" s="1"/>
  <c r="P13" i="50"/>
  <c r="H13" i="50"/>
  <c r="N13" i="50" s="1"/>
  <c r="D13" i="50"/>
  <c r="B13" i="50"/>
  <c r="T12" i="50"/>
  <c r="V34" i="50" s="1"/>
  <c r="P12" i="50"/>
  <c r="R36" i="50" s="1"/>
  <c r="H12" i="50"/>
  <c r="J16" i="50" s="1"/>
  <c r="D12" i="50"/>
  <c r="F34" i="50" s="1"/>
  <c r="D5" i="50"/>
  <c r="D4" i="50"/>
  <c r="B39" i="49"/>
  <c r="B38" i="49"/>
  <c r="T34" i="49"/>
  <c r="Z34" i="49" s="1"/>
  <c r="P34" i="49"/>
  <c r="H34" i="49"/>
  <c r="N34" i="49" s="1"/>
  <c r="D34" i="49"/>
  <c r="T33" i="49"/>
  <c r="Z33" i="49" s="1"/>
  <c r="P33" i="49"/>
  <c r="H33" i="49"/>
  <c r="N33" i="49" s="1"/>
  <c r="D33" i="49"/>
  <c r="T29" i="49"/>
  <c r="Z29" i="49" s="1"/>
  <c r="P29" i="49"/>
  <c r="H29" i="49"/>
  <c r="N29" i="49" s="1"/>
  <c r="D29" i="49"/>
  <c r="T25" i="49"/>
  <c r="Z25" i="49" s="1"/>
  <c r="P25" i="49"/>
  <c r="H25" i="49"/>
  <c r="N25" i="49" s="1"/>
  <c r="D25" i="49"/>
  <c r="B25" i="49"/>
  <c r="T24" i="49"/>
  <c r="Z24" i="49" s="1"/>
  <c r="P24" i="49"/>
  <c r="H24" i="49"/>
  <c r="N24" i="49" s="1"/>
  <c r="D24" i="49"/>
  <c r="T22" i="49"/>
  <c r="Z22" i="49" s="1"/>
  <c r="P22" i="49"/>
  <c r="H22" i="49"/>
  <c r="N22" i="49" s="1"/>
  <c r="D22" i="49"/>
  <c r="B22" i="49"/>
  <c r="T21" i="49"/>
  <c r="Z21" i="49" s="1"/>
  <c r="P21" i="49"/>
  <c r="H21" i="49"/>
  <c r="N21" i="49" s="1"/>
  <c r="D21" i="49"/>
  <c r="B21" i="49"/>
  <c r="T20" i="49"/>
  <c r="Z20" i="49" s="1"/>
  <c r="P20" i="49"/>
  <c r="H20" i="49"/>
  <c r="N20" i="49" s="1"/>
  <c r="D20" i="49"/>
  <c r="T16" i="49"/>
  <c r="Z16" i="49" s="1"/>
  <c r="P16" i="49"/>
  <c r="H16" i="49"/>
  <c r="D16" i="49"/>
  <c r="B16" i="49"/>
  <c r="T15" i="49"/>
  <c r="Z15" i="49" s="1"/>
  <c r="P15" i="49"/>
  <c r="H15" i="49"/>
  <c r="N15" i="49" s="1"/>
  <c r="D15" i="49"/>
  <c r="T13" i="49"/>
  <c r="Z13" i="49" s="1"/>
  <c r="P13" i="49"/>
  <c r="H13" i="49"/>
  <c r="D13" i="49"/>
  <c r="B13" i="49"/>
  <c r="T12" i="49"/>
  <c r="V22" i="49" s="1"/>
  <c r="P12" i="49"/>
  <c r="H12" i="49"/>
  <c r="J20" i="49" s="1"/>
  <c r="D12" i="49"/>
  <c r="F22" i="49" s="1"/>
  <c r="D5" i="49"/>
  <c r="D4" i="49"/>
  <c r="X71" i="48"/>
  <c r="Z71" i="48" s="1"/>
  <c r="R71" i="48"/>
  <c r="L71" i="48"/>
  <c r="N71" i="48" s="1"/>
  <c r="X67" i="48"/>
  <c r="T67" i="48"/>
  <c r="Z67" i="48" s="1"/>
  <c r="P67" i="48"/>
  <c r="P66" i="48" s="1"/>
  <c r="X66" i="48" s="1"/>
  <c r="Z66" i="48" s="1"/>
  <c r="L67" i="48"/>
  <c r="H67" i="48"/>
  <c r="N67" i="48" s="1"/>
  <c r="D67" i="48"/>
  <c r="B67" i="48"/>
  <c r="V66" i="48"/>
  <c r="T66" i="48"/>
  <c r="F66" i="48"/>
  <c r="D66" i="48"/>
  <c r="Z64" i="48"/>
  <c r="X64" i="48"/>
  <c r="N64" i="48"/>
  <c r="L64" i="48"/>
  <c r="J64" i="48"/>
  <c r="B64" i="48"/>
  <c r="T63" i="48"/>
  <c r="Z63" i="48" s="1"/>
  <c r="P63" i="48"/>
  <c r="X63" i="48" s="1"/>
  <c r="N63" i="48"/>
  <c r="L63" i="48"/>
  <c r="H63" i="48"/>
  <c r="D63" i="48"/>
  <c r="B63" i="48"/>
  <c r="Z62" i="48"/>
  <c r="X62" i="48"/>
  <c r="V62" i="48"/>
  <c r="L62" i="48"/>
  <c r="N62" i="48" s="1"/>
  <c r="B62" i="48"/>
  <c r="X61" i="48"/>
  <c r="Z61" i="48" s="1"/>
  <c r="T61" i="48"/>
  <c r="P61" i="48"/>
  <c r="L61" i="48"/>
  <c r="H61" i="48"/>
  <c r="N61" i="48" s="1"/>
  <c r="D61" i="48"/>
  <c r="B61" i="48"/>
  <c r="X60" i="48"/>
  <c r="Z60" i="48" s="1"/>
  <c r="V60" i="48"/>
  <c r="N60" i="48"/>
  <c r="L60" i="48"/>
  <c r="B60" i="48"/>
  <c r="X59" i="48"/>
  <c r="Z59" i="48" s="1"/>
  <c r="N59" i="48"/>
  <c r="L59" i="48"/>
  <c r="B59" i="48"/>
  <c r="Z58" i="48"/>
  <c r="X58" i="48"/>
  <c r="V58" i="48"/>
  <c r="N58" i="48"/>
  <c r="L58" i="48"/>
  <c r="B58" i="48"/>
  <c r="X57" i="48"/>
  <c r="T57" i="48"/>
  <c r="Z57" i="48" s="1"/>
  <c r="P57" i="48"/>
  <c r="L57" i="48"/>
  <c r="H57" i="48"/>
  <c r="D57" i="48"/>
  <c r="B57" i="48"/>
  <c r="X56" i="48"/>
  <c r="Z56" i="48" s="1"/>
  <c r="V56" i="48"/>
  <c r="N56" i="48"/>
  <c r="L56" i="48"/>
  <c r="B56" i="48"/>
  <c r="X55" i="48"/>
  <c r="T55" i="48"/>
  <c r="Z55" i="48" s="1"/>
  <c r="P55" i="48"/>
  <c r="H55" i="48"/>
  <c r="N55" i="48" s="1"/>
  <c r="D55" i="48"/>
  <c r="L55" i="48" s="1"/>
  <c r="B55" i="48"/>
  <c r="X54" i="48"/>
  <c r="Z54" i="48" s="1"/>
  <c r="N54" i="48"/>
  <c r="L54" i="48"/>
  <c r="B54" i="48"/>
  <c r="X53" i="48"/>
  <c r="Z53" i="48" s="1"/>
  <c r="R53" i="48"/>
  <c r="N53" i="48"/>
  <c r="L53" i="48"/>
  <c r="B53" i="48"/>
  <c r="X52" i="48"/>
  <c r="Z52" i="48" s="1"/>
  <c r="V52" i="48"/>
  <c r="N52" i="48"/>
  <c r="L52" i="48"/>
  <c r="B52" i="48"/>
  <c r="X51" i="48"/>
  <c r="T51" i="48"/>
  <c r="Z51" i="48" s="1"/>
  <c r="P51" i="48"/>
  <c r="H51" i="48"/>
  <c r="D51" i="48"/>
  <c r="B51" i="48"/>
  <c r="X50" i="48"/>
  <c r="Z50" i="48" s="1"/>
  <c r="N50" i="48"/>
  <c r="L50" i="48"/>
  <c r="B50" i="48"/>
  <c r="T49" i="48"/>
  <c r="P49" i="48"/>
  <c r="X49" i="48" s="1"/>
  <c r="H49" i="48"/>
  <c r="D49" i="48"/>
  <c r="L49" i="48" s="1"/>
  <c r="B49" i="48"/>
  <c r="Z48" i="48"/>
  <c r="X48" i="48"/>
  <c r="L48" i="48"/>
  <c r="N48" i="48" s="1"/>
  <c r="J48" i="48"/>
  <c r="B48" i="48"/>
  <c r="T47" i="48"/>
  <c r="P47" i="48"/>
  <c r="X47" i="48" s="1"/>
  <c r="L47" i="48"/>
  <c r="H47" i="48"/>
  <c r="N47" i="48" s="1"/>
  <c r="D47" i="48"/>
  <c r="B47" i="48"/>
  <c r="Z46" i="48"/>
  <c r="X46" i="48"/>
  <c r="V46" i="48"/>
  <c r="N46" i="48"/>
  <c r="L46" i="48"/>
  <c r="B46" i="48"/>
  <c r="X45" i="48"/>
  <c r="T45" i="48"/>
  <c r="Z45" i="48" s="1"/>
  <c r="P45" i="48"/>
  <c r="L45" i="48"/>
  <c r="H45" i="48"/>
  <c r="N45" i="48" s="1"/>
  <c r="D45" i="48"/>
  <c r="B45" i="48"/>
  <c r="Z44" i="48"/>
  <c r="X44" i="48"/>
  <c r="V44" i="48"/>
  <c r="N44" i="48"/>
  <c r="L44" i="48"/>
  <c r="B44" i="48"/>
  <c r="Z43" i="48"/>
  <c r="X43" i="48"/>
  <c r="N43" i="48"/>
  <c r="L43" i="48"/>
  <c r="B43" i="48"/>
  <c r="Z42" i="48"/>
  <c r="V42" i="48"/>
  <c r="T42" i="48"/>
  <c r="P42" i="48"/>
  <c r="X42" i="48" s="1"/>
  <c r="N42" i="48"/>
  <c r="L42" i="48"/>
  <c r="J42" i="48"/>
  <c r="H42" i="48"/>
  <c r="D42" i="48"/>
  <c r="B42" i="48"/>
  <c r="X41" i="48"/>
  <c r="Z41" i="48" s="1"/>
  <c r="V41" i="48"/>
  <c r="R41" i="48"/>
  <c r="N41" i="48"/>
  <c r="L41" i="48"/>
  <c r="B41" i="48"/>
  <c r="X40" i="48"/>
  <c r="Z40" i="48" s="1"/>
  <c r="V40" i="48"/>
  <c r="T40" i="48"/>
  <c r="P40" i="48"/>
  <c r="H40" i="48"/>
  <c r="N40" i="48" s="1"/>
  <c r="D40" i="48"/>
  <c r="B40" i="48"/>
  <c r="X39" i="48"/>
  <c r="Z39" i="48" s="1"/>
  <c r="L39" i="48"/>
  <c r="N39" i="48" s="1"/>
  <c r="B39" i="48"/>
  <c r="T38" i="48"/>
  <c r="R38" i="48"/>
  <c r="P38" i="48"/>
  <c r="H38" i="48"/>
  <c r="D38" i="48"/>
  <c r="L38" i="48" s="1"/>
  <c r="N38" i="48" s="1"/>
  <c r="B38" i="48"/>
  <c r="X37" i="48"/>
  <c r="Z37" i="48" s="1"/>
  <c r="N37" i="48"/>
  <c r="L37" i="48"/>
  <c r="F37" i="48"/>
  <c r="B37" i="48"/>
  <c r="T36" i="48"/>
  <c r="P36" i="48"/>
  <c r="X36" i="48" s="1"/>
  <c r="Z36" i="48" s="1"/>
  <c r="N36" i="48"/>
  <c r="H36" i="48"/>
  <c r="D36" i="48"/>
  <c r="L36" i="48" s="1"/>
  <c r="B36" i="48"/>
  <c r="X35" i="48"/>
  <c r="Z35" i="48" s="1"/>
  <c r="R35" i="48"/>
  <c r="N35" i="48"/>
  <c r="L35" i="48"/>
  <c r="B35" i="48"/>
  <c r="Z34" i="48"/>
  <c r="X34" i="48"/>
  <c r="V34" i="48"/>
  <c r="N34" i="48"/>
  <c r="L34" i="48"/>
  <c r="B34" i="48"/>
  <c r="X33" i="48"/>
  <c r="Z33" i="48" s="1"/>
  <c r="L33" i="48"/>
  <c r="N33" i="48" s="1"/>
  <c r="B33" i="48"/>
  <c r="Z32" i="48"/>
  <c r="X32" i="48"/>
  <c r="L32" i="48"/>
  <c r="N32" i="48" s="1"/>
  <c r="J32" i="48"/>
  <c r="B32" i="48"/>
  <c r="Z31" i="48"/>
  <c r="X31" i="48"/>
  <c r="N31" i="48"/>
  <c r="L31" i="48"/>
  <c r="B31" i="48"/>
  <c r="T30" i="48"/>
  <c r="R30" i="48"/>
  <c r="P30" i="48"/>
  <c r="H30" i="48"/>
  <c r="D30" i="48"/>
  <c r="L30" i="48" s="1"/>
  <c r="N30" i="48" s="1"/>
  <c r="B30" i="48"/>
  <c r="X29" i="48"/>
  <c r="Z29" i="48" s="1"/>
  <c r="L29" i="48"/>
  <c r="N29" i="48" s="1"/>
  <c r="B29" i="48"/>
  <c r="Z28" i="48"/>
  <c r="X28" i="48"/>
  <c r="L28" i="48"/>
  <c r="N28" i="48" s="1"/>
  <c r="J28" i="48"/>
  <c r="B28" i="48"/>
  <c r="Z27" i="48"/>
  <c r="X27" i="48"/>
  <c r="L27" i="48"/>
  <c r="N27" i="48" s="1"/>
  <c r="B27" i="48"/>
  <c r="Z26" i="48"/>
  <c r="X26" i="48"/>
  <c r="N26" i="48"/>
  <c r="L26" i="48"/>
  <c r="B26" i="48"/>
  <c r="X25" i="48"/>
  <c r="Z25" i="48" s="1"/>
  <c r="V25" i="48"/>
  <c r="R25" i="48"/>
  <c r="L25" i="48"/>
  <c r="N25" i="48" s="1"/>
  <c r="B25" i="48"/>
  <c r="Z24" i="48"/>
  <c r="X24" i="48"/>
  <c r="V24" i="48"/>
  <c r="N24" i="48"/>
  <c r="L24" i="48"/>
  <c r="B24" i="48"/>
  <c r="X23" i="48"/>
  <c r="Z23" i="48" s="1"/>
  <c r="R23" i="48"/>
  <c r="N23" i="48"/>
  <c r="L23" i="48"/>
  <c r="B23" i="48"/>
  <c r="Z22" i="48"/>
  <c r="X22" i="48"/>
  <c r="V22" i="48"/>
  <c r="L22" i="48"/>
  <c r="N22" i="48" s="1"/>
  <c r="B22" i="48"/>
  <c r="X21" i="48"/>
  <c r="Z21" i="48" s="1"/>
  <c r="L21" i="48"/>
  <c r="N21" i="48" s="1"/>
  <c r="F21" i="48"/>
  <c r="B21" i="48"/>
  <c r="T20" i="48"/>
  <c r="P20" i="48"/>
  <c r="X20" i="48" s="1"/>
  <c r="Z20" i="48" s="1"/>
  <c r="H20" i="48"/>
  <c r="D20" i="48"/>
  <c r="L20" i="48" s="1"/>
  <c r="N20" i="48" s="1"/>
  <c r="B20" i="48"/>
  <c r="X19" i="48"/>
  <c r="T19" i="48"/>
  <c r="P19" i="48"/>
  <c r="H19" i="48"/>
  <c r="D19" i="48"/>
  <c r="P17" i="48"/>
  <c r="X15" i="48"/>
  <c r="T15" i="48"/>
  <c r="Z15" i="48" s="1"/>
  <c r="P15" i="48"/>
  <c r="H15" i="48"/>
  <c r="N15" i="48" s="1"/>
  <c r="D15" i="48"/>
  <c r="L15" i="48" s="1"/>
  <c r="T13" i="48"/>
  <c r="Z13" i="48" s="1"/>
  <c r="P13" i="48"/>
  <c r="X13" i="48" s="1"/>
  <c r="L13" i="48"/>
  <c r="N13" i="48" s="1"/>
  <c r="H13" i="48"/>
  <c r="D13" i="48"/>
  <c r="D12" i="48" s="1"/>
  <c r="B13" i="48"/>
  <c r="T12" i="48"/>
  <c r="V59" i="48" s="1"/>
  <c r="P12" i="48"/>
  <c r="H12" i="48"/>
  <c r="D4" i="48"/>
  <c r="B39" i="47"/>
  <c r="B38" i="47"/>
  <c r="T34" i="47"/>
  <c r="Z34" i="47" s="1"/>
  <c r="P34" i="47"/>
  <c r="H34" i="47"/>
  <c r="N34" i="47" s="1"/>
  <c r="D34" i="47"/>
  <c r="T33" i="47"/>
  <c r="Z33" i="47" s="1"/>
  <c r="P33" i="47"/>
  <c r="H33" i="47"/>
  <c r="N33" i="47" s="1"/>
  <c r="D33" i="47"/>
  <c r="T29" i="47"/>
  <c r="Z29" i="47" s="1"/>
  <c r="P29" i="47"/>
  <c r="H29" i="47"/>
  <c r="N29" i="47" s="1"/>
  <c r="D29" i="47"/>
  <c r="T25" i="47"/>
  <c r="Z25" i="47" s="1"/>
  <c r="P25" i="47"/>
  <c r="H25" i="47"/>
  <c r="N25" i="47" s="1"/>
  <c r="D25" i="47"/>
  <c r="B25" i="47"/>
  <c r="T24" i="47"/>
  <c r="Z24" i="47" s="1"/>
  <c r="P24" i="47"/>
  <c r="H24" i="47"/>
  <c r="N24" i="47" s="1"/>
  <c r="D24" i="47"/>
  <c r="T22" i="47"/>
  <c r="Z22" i="47" s="1"/>
  <c r="P22" i="47"/>
  <c r="H22" i="47"/>
  <c r="N22" i="47" s="1"/>
  <c r="D22" i="47"/>
  <c r="B22" i="47"/>
  <c r="T21" i="47"/>
  <c r="Z21" i="47" s="1"/>
  <c r="P21" i="47"/>
  <c r="H21" i="47"/>
  <c r="N21" i="47" s="1"/>
  <c r="D21" i="47"/>
  <c r="B21" i="47"/>
  <c r="T20" i="47"/>
  <c r="Z20" i="47" s="1"/>
  <c r="P20" i="47"/>
  <c r="H20" i="47"/>
  <c r="N20" i="47" s="1"/>
  <c r="D20" i="47"/>
  <c r="T16" i="47"/>
  <c r="Z16" i="47" s="1"/>
  <c r="P16" i="47"/>
  <c r="H16" i="47"/>
  <c r="N16" i="47" s="1"/>
  <c r="D16" i="47"/>
  <c r="B16" i="47"/>
  <c r="T15" i="47"/>
  <c r="Z15" i="47" s="1"/>
  <c r="P15" i="47"/>
  <c r="H15" i="47"/>
  <c r="N15" i="47" s="1"/>
  <c r="D15" i="47"/>
  <c r="T13" i="47"/>
  <c r="Z13" i="47" s="1"/>
  <c r="P13" i="47"/>
  <c r="H13" i="47"/>
  <c r="N13" i="47" s="1"/>
  <c r="D13" i="47"/>
  <c r="B13" i="47"/>
  <c r="T12" i="47"/>
  <c r="V36" i="47" s="1"/>
  <c r="P12" i="47"/>
  <c r="R21" i="47" s="1"/>
  <c r="H12" i="47"/>
  <c r="J22" i="47" s="1"/>
  <c r="D12" i="47"/>
  <c r="F36" i="47" s="1"/>
  <c r="D5" i="47"/>
  <c r="D4" i="47"/>
  <c r="B39" i="46"/>
  <c r="B38" i="46"/>
  <c r="T34" i="46"/>
  <c r="Z34" i="46" s="1"/>
  <c r="P34" i="46"/>
  <c r="H34" i="46"/>
  <c r="N34" i="46" s="1"/>
  <c r="D34" i="46"/>
  <c r="T33" i="46"/>
  <c r="Z33" i="46" s="1"/>
  <c r="P33" i="46"/>
  <c r="H33" i="46"/>
  <c r="N33" i="46" s="1"/>
  <c r="D33" i="46"/>
  <c r="T29" i="46"/>
  <c r="Z29" i="46" s="1"/>
  <c r="P29" i="46"/>
  <c r="H29" i="46"/>
  <c r="N29" i="46" s="1"/>
  <c r="D29" i="46"/>
  <c r="T25" i="46"/>
  <c r="Z25" i="46" s="1"/>
  <c r="P25" i="46"/>
  <c r="H25" i="46"/>
  <c r="N25" i="46" s="1"/>
  <c r="D25" i="46"/>
  <c r="B25" i="46"/>
  <c r="T24" i="46"/>
  <c r="Z24" i="46" s="1"/>
  <c r="P24" i="46"/>
  <c r="H24" i="46"/>
  <c r="N24" i="46" s="1"/>
  <c r="D24" i="46"/>
  <c r="T22" i="46"/>
  <c r="Z22" i="46" s="1"/>
  <c r="P22" i="46"/>
  <c r="H22" i="46"/>
  <c r="D22" i="46"/>
  <c r="B22" i="46"/>
  <c r="T21" i="46"/>
  <c r="Z21" i="46" s="1"/>
  <c r="P21" i="46"/>
  <c r="H21" i="46"/>
  <c r="N21" i="46" s="1"/>
  <c r="D21" i="46"/>
  <c r="B21" i="46"/>
  <c r="T20" i="46"/>
  <c r="Z20" i="46" s="1"/>
  <c r="P20" i="46"/>
  <c r="H20" i="46"/>
  <c r="N20" i="46" s="1"/>
  <c r="D20" i="46"/>
  <c r="T16" i="46"/>
  <c r="Z16" i="46" s="1"/>
  <c r="P16" i="46"/>
  <c r="H16" i="46"/>
  <c r="N16" i="46" s="1"/>
  <c r="D16" i="46"/>
  <c r="B16" i="46"/>
  <c r="T15" i="46"/>
  <c r="Z15" i="46" s="1"/>
  <c r="P15" i="46"/>
  <c r="H15" i="46"/>
  <c r="N15" i="46" s="1"/>
  <c r="D15" i="46"/>
  <c r="T13" i="46"/>
  <c r="Z13" i="46" s="1"/>
  <c r="P13" i="46"/>
  <c r="H13" i="46"/>
  <c r="N13" i="46" s="1"/>
  <c r="D13" i="46"/>
  <c r="B13" i="46"/>
  <c r="T12" i="46"/>
  <c r="V18" i="46" s="1"/>
  <c r="P12" i="46"/>
  <c r="H12" i="46"/>
  <c r="J22" i="46" s="1"/>
  <c r="D12" i="46"/>
  <c r="D5" i="46"/>
  <c r="D4" i="46"/>
  <c r="X98" i="45"/>
  <c r="Z98" i="45" s="1"/>
  <c r="L98" i="45"/>
  <c r="N98" i="45" s="1"/>
  <c r="T94" i="45"/>
  <c r="Z94" i="45" s="1"/>
  <c r="P94" i="45"/>
  <c r="X94" i="45" s="1"/>
  <c r="L94" i="45"/>
  <c r="H94" i="45"/>
  <c r="N94" i="45" s="1"/>
  <c r="D94" i="45"/>
  <c r="Z92" i="45"/>
  <c r="X92" i="45"/>
  <c r="N92" i="45"/>
  <c r="L92" i="45"/>
  <c r="B92" i="45"/>
  <c r="Z91" i="45"/>
  <c r="X91" i="45"/>
  <c r="N91" i="45"/>
  <c r="L91" i="45"/>
  <c r="B91" i="45"/>
  <c r="X90" i="45"/>
  <c r="T90" i="45"/>
  <c r="P90" i="45"/>
  <c r="H90" i="45"/>
  <c r="N90" i="45" s="1"/>
  <c r="D90" i="45"/>
  <c r="B90" i="45"/>
  <c r="X89" i="45"/>
  <c r="Z89" i="45" s="1"/>
  <c r="N89" i="45"/>
  <c r="L89" i="45"/>
  <c r="B89" i="45"/>
  <c r="T88" i="45"/>
  <c r="P88" i="45"/>
  <c r="H88" i="45"/>
  <c r="D88" i="45"/>
  <c r="L88" i="45" s="1"/>
  <c r="B88" i="45"/>
  <c r="Z87" i="45"/>
  <c r="X87" i="45"/>
  <c r="N87" i="45"/>
  <c r="L87" i="45"/>
  <c r="B87" i="45"/>
  <c r="T86" i="45"/>
  <c r="P86" i="45"/>
  <c r="H86" i="45"/>
  <c r="N86" i="45" s="1"/>
  <c r="D86" i="45"/>
  <c r="L86" i="45" s="1"/>
  <c r="B86" i="45"/>
  <c r="Z85" i="45"/>
  <c r="X85" i="45"/>
  <c r="N85" i="45"/>
  <c r="L85" i="45"/>
  <c r="B85" i="45"/>
  <c r="X84" i="45"/>
  <c r="Z84" i="45" s="1"/>
  <c r="N84" i="45"/>
  <c r="L84" i="45"/>
  <c r="B84" i="45"/>
  <c r="Z83" i="45"/>
  <c r="X83" i="45"/>
  <c r="N83" i="45"/>
  <c r="L83" i="45"/>
  <c r="J83" i="45"/>
  <c r="B83" i="45"/>
  <c r="X82" i="45"/>
  <c r="Z82" i="45" s="1"/>
  <c r="L82" i="45"/>
  <c r="N82" i="45" s="1"/>
  <c r="B82" i="45"/>
  <c r="X81" i="45"/>
  <c r="Z81" i="45" s="1"/>
  <c r="N81" i="45"/>
  <c r="L81" i="45"/>
  <c r="B81" i="45"/>
  <c r="X80" i="45"/>
  <c r="Z80" i="45" s="1"/>
  <c r="L80" i="45"/>
  <c r="N80" i="45" s="1"/>
  <c r="B80" i="45"/>
  <c r="Z79" i="45"/>
  <c r="X79" i="45"/>
  <c r="N79" i="45"/>
  <c r="L79" i="45"/>
  <c r="B79" i="45"/>
  <c r="X78" i="45"/>
  <c r="Z78" i="45" s="1"/>
  <c r="L78" i="45"/>
  <c r="N78" i="45" s="1"/>
  <c r="B78" i="45"/>
  <c r="Z77" i="45"/>
  <c r="X77" i="45"/>
  <c r="N77" i="45"/>
  <c r="L77" i="45"/>
  <c r="B77" i="45"/>
  <c r="T76" i="45"/>
  <c r="Z76" i="45" s="1"/>
  <c r="P76" i="45"/>
  <c r="X76" i="45" s="1"/>
  <c r="L76" i="45"/>
  <c r="H76" i="45"/>
  <c r="N76" i="45" s="1"/>
  <c r="D76" i="45"/>
  <c r="B76" i="45"/>
  <c r="Z75" i="45"/>
  <c r="X75" i="45"/>
  <c r="N75" i="45"/>
  <c r="L75" i="45"/>
  <c r="B75" i="45"/>
  <c r="X74" i="45"/>
  <c r="T74" i="45"/>
  <c r="Z74" i="45" s="1"/>
  <c r="P74" i="45"/>
  <c r="L74" i="45"/>
  <c r="H74" i="45"/>
  <c r="N74" i="45" s="1"/>
  <c r="D74" i="45"/>
  <c r="B74" i="45"/>
  <c r="X73" i="45"/>
  <c r="Z73" i="45" s="1"/>
  <c r="N73" i="45"/>
  <c r="L73" i="45"/>
  <c r="B73" i="45"/>
  <c r="X72" i="45"/>
  <c r="Z72" i="45" s="1"/>
  <c r="L72" i="45"/>
  <c r="N72" i="45" s="1"/>
  <c r="B72" i="45"/>
  <c r="Z71" i="45"/>
  <c r="X71" i="45"/>
  <c r="N71" i="45"/>
  <c r="L71" i="45"/>
  <c r="B71" i="45"/>
  <c r="X70" i="45"/>
  <c r="Z70" i="45" s="1"/>
  <c r="L70" i="45"/>
  <c r="N70" i="45" s="1"/>
  <c r="B70" i="45"/>
  <c r="Z69" i="45"/>
  <c r="T69" i="45"/>
  <c r="P69" i="45"/>
  <c r="X69" i="45" s="1"/>
  <c r="N69" i="45"/>
  <c r="L69" i="45"/>
  <c r="H69" i="45"/>
  <c r="D69" i="45"/>
  <c r="B69" i="45"/>
  <c r="Z68" i="45"/>
  <c r="X68" i="45"/>
  <c r="N68" i="45"/>
  <c r="L68" i="45"/>
  <c r="B68" i="45"/>
  <c r="Z67" i="45"/>
  <c r="X67" i="45"/>
  <c r="N67" i="45"/>
  <c r="L67" i="45"/>
  <c r="B67" i="45"/>
  <c r="X66" i="45"/>
  <c r="Z66" i="45" s="1"/>
  <c r="N66" i="45"/>
  <c r="L66" i="45"/>
  <c r="J66" i="45"/>
  <c r="B66" i="45"/>
  <c r="Z65" i="45"/>
  <c r="T65" i="45"/>
  <c r="P65" i="45"/>
  <c r="X65" i="45" s="1"/>
  <c r="N65" i="45"/>
  <c r="L65" i="45"/>
  <c r="J65" i="45"/>
  <c r="H65" i="45"/>
  <c r="D65" i="45"/>
  <c r="B65" i="45"/>
  <c r="X64" i="45"/>
  <c r="Z64" i="45" s="1"/>
  <c r="L64" i="45"/>
  <c r="N64" i="45" s="1"/>
  <c r="B64" i="45"/>
  <c r="Z63" i="45"/>
  <c r="X63" i="45"/>
  <c r="T63" i="45"/>
  <c r="P63" i="45"/>
  <c r="L63" i="45"/>
  <c r="N63" i="45" s="1"/>
  <c r="H63" i="45"/>
  <c r="D63" i="45"/>
  <c r="B63" i="45"/>
  <c r="X62" i="45"/>
  <c r="Z62" i="45" s="1"/>
  <c r="L62" i="45"/>
  <c r="N62" i="45" s="1"/>
  <c r="B62" i="45"/>
  <c r="X61" i="45"/>
  <c r="Z61" i="45" s="1"/>
  <c r="T61" i="45"/>
  <c r="P61" i="45"/>
  <c r="H61" i="45"/>
  <c r="D61" i="45"/>
  <c r="L61" i="45" s="1"/>
  <c r="B61" i="45"/>
  <c r="X60" i="45"/>
  <c r="Z60" i="45" s="1"/>
  <c r="N60" i="45"/>
  <c r="L60" i="45"/>
  <c r="B60" i="45"/>
  <c r="T59" i="45"/>
  <c r="P59" i="45"/>
  <c r="X59" i="45" s="1"/>
  <c r="N59" i="45"/>
  <c r="H59" i="45"/>
  <c r="D59" i="45"/>
  <c r="L59" i="45" s="1"/>
  <c r="B59" i="45"/>
  <c r="X58" i="45"/>
  <c r="Z58" i="45" s="1"/>
  <c r="L58" i="45"/>
  <c r="N58" i="45" s="1"/>
  <c r="B58" i="45"/>
  <c r="Z57" i="45"/>
  <c r="T57" i="45"/>
  <c r="P57" i="45"/>
  <c r="X57" i="45" s="1"/>
  <c r="N57" i="45"/>
  <c r="L57" i="45"/>
  <c r="H57" i="45"/>
  <c r="D57" i="45"/>
  <c r="B57" i="45"/>
  <c r="Z56" i="45"/>
  <c r="X56" i="45"/>
  <c r="N56" i="45"/>
  <c r="L56" i="45"/>
  <c r="B56" i="45"/>
  <c r="Z55" i="45"/>
  <c r="X55" i="45"/>
  <c r="T55" i="45"/>
  <c r="P55" i="45"/>
  <c r="N55" i="45"/>
  <c r="L55" i="45"/>
  <c r="H55" i="45"/>
  <c r="D55" i="45"/>
  <c r="B55" i="45"/>
  <c r="X54" i="45"/>
  <c r="Z54" i="45" s="1"/>
  <c r="N54" i="45"/>
  <c r="L54" i="45"/>
  <c r="B54" i="45"/>
  <c r="X53" i="45"/>
  <c r="Z53" i="45" s="1"/>
  <c r="T53" i="45"/>
  <c r="P53" i="45"/>
  <c r="H53" i="45"/>
  <c r="N53" i="45" s="1"/>
  <c r="D53" i="45"/>
  <c r="B53" i="45"/>
  <c r="X52" i="45"/>
  <c r="Z52" i="45" s="1"/>
  <c r="L52" i="45"/>
  <c r="N52" i="45" s="1"/>
  <c r="B52" i="45"/>
  <c r="T51" i="45"/>
  <c r="P51" i="45"/>
  <c r="N51" i="45"/>
  <c r="H51" i="45"/>
  <c r="D51" i="45"/>
  <c r="L51" i="45" s="1"/>
  <c r="B51" i="45"/>
  <c r="X50" i="45"/>
  <c r="Z50" i="45" s="1"/>
  <c r="N50" i="45"/>
  <c r="L50" i="45"/>
  <c r="B50" i="45"/>
  <c r="Z49" i="45"/>
  <c r="T49" i="45"/>
  <c r="P49" i="45"/>
  <c r="X49" i="45" s="1"/>
  <c r="N49" i="45"/>
  <c r="L49" i="45"/>
  <c r="H49" i="45"/>
  <c r="D49" i="45"/>
  <c r="B49" i="45"/>
  <c r="Z48" i="45"/>
  <c r="X48" i="45"/>
  <c r="N48" i="45"/>
  <c r="L48" i="45"/>
  <c r="B48" i="45"/>
  <c r="Z47" i="45"/>
  <c r="X47" i="45"/>
  <c r="T47" i="45"/>
  <c r="P47" i="45"/>
  <c r="N47" i="45"/>
  <c r="L47" i="45"/>
  <c r="H47" i="45"/>
  <c r="D47" i="45"/>
  <c r="B47" i="45"/>
  <c r="X46" i="45"/>
  <c r="Z46" i="45" s="1"/>
  <c r="N46" i="45"/>
  <c r="L46" i="45"/>
  <c r="B46" i="45"/>
  <c r="X45" i="45"/>
  <c r="Z45" i="45" s="1"/>
  <c r="T45" i="45"/>
  <c r="P45" i="45"/>
  <c r="H45" i="45"/>
  <c r="N45" i="45" s="1"/>
  <c r="D45" i="45"/>
  <c r="B45" i="45"/>
  <c r="Z44" i="45"/>
  <c r="X44" i="45"/>
  <c r="N44" i="45"/>
  <c r="L44" i="45"/>
  <c r="B44" i="45"/>
  <c r="X43" i="45"/>
  <c r="Z43" i="45" s="1"/>
  <c r="N43" i="45"/>
  <c r="L43" i="45"/>
  <c r="B43" i="45"/>
  <c r="X42" i="45"/>
  <c r="Z42" i="45" s="1"/>
  <c r="N42" i="45"/>
  <c r="L42" i="45"/>
  <c r="B42" i="45"/>
  <c r="Z41" i="45"/>
  <c r="X41" i="45"/>
  <c r="N41" i="45"/>
  <c r="L41" i="45"/>
  <c r="B41" i="45"/>
  <c r="X40" i="45"/>
  <c r="Z40" i="45" s="1"/>
  <c r="N40" i="45"/>
  <c r="L40" i="45"/>
  <c r="B40" i="45"/>
  <c r="Z39" i="45"/>
  <c r="X39" i="45"/>
  <c r="L39" i="45"/>
  <c r="N39" i="45" s="1"/>
  <c r="B39" i="45"/>
  <c r="X38" i="45"/>
  <c r="Z38" i="45" s="1"/>
  <c r="L38" i="45"/>
  <c r="N38" i="45" s="1"/>
  <c r="B38" i="45"/>
  <c r="T37" i="45"/>
  <c r="P37" i="45"/>
  <c r="L37" i="45"/>
  <c r="H37" i="45"/>
  <c r="N37" i="45" s="1"/>
  <c r="D37" i="45"/>
  <c r="B37" i="45"/>
  <c r="Z36" i="45"/>
  <c r="X36" i="45"/>
  <c r="N36" i="45"/>
  <c r="L36" i="45"/>
  <c r="B36" i="45"/>
  <c r="X35" i="45"/>
  <c r="Z35" i="45" s="1"/>
  <c r="L35" i="45"/>
  <c r="N35" i="45" s="1"/>
  <c r="B35" i="45"/>
  <c r="X34" i="45"/>
  <c r="Z34" i="45" s="1"/>
  <c r="N34" i="45"/>
  <c r="L34" i="45"/>
  <c r="B34" i="45"/>
  <c r="X33" i="45"/>
  <c r="Z33" i="45" s="1"/>
  <c r="L33" i="45"/>
  <c r="N33" i="45" s="1"/>
  <c r="J33" i="45"/>
  <c r="B33" i="45"/>
  <c r="Z32" i="45"/>
  <c r="X32" i="45"/>
  <c r="L32" i="45"/>
  <c r="N32" i="45" s="1"/>
  <c r="B32" i="45"/>
  <c r="Z31" i="45"/>
  <c r="X31" i="45"/>
  <c r="N31" i="45"/>
  <c r="L31" i="45"/>
  <c r="B31" i="45"/>
  <c r="Z30" i="45"/>
  <c r="X30" i="45"/>
  <c r="L30" i="45"/>
  <c r="N30" i="45" s="1"/>
  <c r="B30" i="45"/>
  <c r="X29" i="45"/>
  <c r="Z29" i="45" s="1"/>
  <c r="L29" i="45"/>
  <c r="N29" i="45" s="1"/>
  <c r="B29" i="45"/>
  <c r="X28" i="45"/>
  <c r="Z28" i="45" s="1"/>
  <c r="N28" i="45"/>
  <c r="L28" i="45"/>
  <c r="B28" i="45"/>
  <c r="Z27" i="45"/>
  <c r="T27" i="45"/>
  <c r="P27" i="45"/>
  <c r="X27" i="45" s="1"/>
  <c r="J27" i="45"/>
  <c r="H27" i="45"/>
  <c r="D27" i="45"/>
  <c r="L27" i="45" s="1"/>
  <c r="N27" i="45" s="1"/>
  <c r="B27" i="45"/>
  <c r="T26" i="45"/>
  <c r="P26" i="45"/>
  <c r="X26" i="45" s="1"/>
  <c r="H26" i="45"/>
  <c r="D26" i="45"/>
  <c r="L26" i="45" s="1"/>
  <c r="N26" i="45" s="1"/>
  <c r="Z22" i="45"/>
  <c r="X22" i="45"/>
  <c r="L22" i="45"/>
  <c r="N22" i="45" s="1"/>
  <c r="B22" i="45"/>
  <c r="X21" i="45"/>
  <c r="Z21" i="45" s="1"/>
  <c r="L21" i="45"/>
  <c r="N21" i="45" s="1"/>
  <c r="B21" i="45"/>
  <c r="X20" i="45"/>
  <c r="Z20" i="45" s="1"/>
  <c r="T20" i="45"/>
  <c r="P20" i="45"/>
  <c r="H20" i="45"/>
  <c r="D20" i="45"/>
  <c r="T18" i="45"/>
  <c r="P18" i="45"/>
  <c r="X18" i="45" s="1"/>
  <c r="Z18" i="45" s="1"/>
  <c r="N18" i="45"/>
  <c r="L18" i="45"/>
  <c r="H18" i="45"/>
  <c r="D18" i="45"/>
  <c r="B18" i="45"/>
  <c r="T17" i="45"/>
  <c r="P17" i="45"/>
  <c r="X17" i="45" s="1"/>
  <c r="N17" i="45"/>
  <c r="H17" i="45"/>
  <c r="D17" i="45"/>
  <c r="L17" i="45" s="1"/>
  <c r="B17" i="45"/>
  <c r="T16" i="45"/>
  <c r="P16" i="45"/>
  <c r="X16" i="45" s="1"/>
  <c r="H16" i="45"/>
  <c r="D16" i="45"/>
  <c r="B16" i="45"/>
  <c r="T15" i="45"/>
  <c r="P15" i="45"/>
  <c r="L15" i="45"/>
  <c r="N15" i="45" s="1"/>
  <c r="H15" i="45"/>
  <c r="D15" i="45"/>
  <c r="B15" i="45"/>
  <c r="X14" i="45"/>
  <c r="Z14" i="45" s="1"/>
  <c r="T14" i="45"/>
  <c r="P14" i="45"/>
  <c r="N14" i="45"/>
  <c r="H14" i="45"/>
  <c r="D14" i="45"/>
  <c r="L14" i="45" s="1"/>
  <c r="B14" i="45"/>
  <c r="T13" i="45"/>
  <c r="P13" i="45"/>
  <c r="X13" i="45" s="1"/>
  <c r="Z13" i="45" s="1"/>
  <c r="H13" i="45"/>
  <c r="N13" i="45" s="1"/>
  <c r="D13" i="45"/>
  <c r="L13" i="45" s="1"/>
  <c r="B13" i="45"/>
  <c r="H12" i="45"/>
  <c r="D12" i="45"/>
  <c r="D4" i="45"/>
  <c r="B39" i="44"/>
  <c r="B38" i="44"/>
  <c r="T34" i="44"/>
  <c r="Z34" i="44" s="1"/>
  <c r="P34" i="44"/>
  <c r="H34" i="44"/>
  <c r="N34" i="44" s="1"/>
  <c r="D34" i="44"/>
  <c r="T33" i="44"/>
  <c r="Z33" i="44" s="1"/>
  <c r="P33" i="44"/>
  <c r="H33" i="44"/>
  <c r="N33" i="44" s="1"/>
  <c r="D33" i="44"/>
  <c r="T29" i="44"/>
  <c r="Z29" i="44" s="1"/>
  <c r="P29" i="44"/>
  <c r="H29" i="44"/>
  <c r="N29" i="44" s="1"/>
  <c r="D29" i="44"/>
  <c r="T25" i="44"/>
  <c r="Z25" i="44" s="1"/>
  <c r="P25" i="44"/>
  <c r="H25" i="44"/>
  <c r="N25" i="44" s="1"/>
  <c r="D25" i="44"/>
  <c r="B25" i="44"/>
  <c r="T24" i="44"/>
  <c r="Z24" i="44" s="1"/>
  <c r="P24" i="44"/>
  <c r="H24" i="44"/>
  <c r="N24" i="44" s="1"/>
  <c r="D24" i="44"/>
  <c r="T22" i="44"/>
  <c r="Z22" i="44" s="1"/>
  <c r="P22" i="44"/>
  <c r="H22" i="44"/>
  <c r="N22" i="44" s="1"/>
  <c r="D22" i="44"/>
  <c r="B22" i="44"/>
  <c r="T21" i="44"/>
  <c r="Z21" i="44" s="1"/>
  <c r="P21" i="44"/>
  <c r="H21" i="44"/>
  <c r="N21" i="44" s="1"/>
  <c r="D21" i="44"/>
  <c r="B21" i="44"/>
  <c r="T20" i="44"/>
  <c r="Z20" i="44" s="1"/>
  <c r="P20" i="44"/>
  <c r="H20" i="44"/>
  <c r="N20" i="44" s="1"/>
  <c r="D20" i="44"/>
  <c r="T16" i="44"/>
  <c r="Z16" i="44" s="1"/>
  <c r="P16" i="44"/>
  <c r="H16" i="44"/>
  <c r="N16" i="44" s="1"/>
  <c r="D16" i="44"/>
  <c r="B16" i="44"/>
  <c r="T15" i="44"/>
  <c r="Z15" i="44" s="1"/>
  <c r="P15" i="44"/>
  <c r="H15" i="44"/>
  <c r="D15" i="44"/>
  <c r="T13" i="44"/>
  <c r="Z13" i="44" s="1"/>
  <c r="P13" i="44"/>
  <c r="H13" i="44"/>
  <c r="N13" i="44" s="1"/>
  <c r="D13" i="44"/>
  <c r="B13" i="44"/>
  <c r="T12" i="44"/>
  <c r="V20" i="44" s="1"/>
  <c r="P12" i="44"/>
  <c r="R22" i="44" s="1"/>
  <c r="H12" i="44"/>
  <c r="J24" i="44" s="1"/>
  <c r="D12" i="44"/>
  <c r="D5" i="44"/>
  <c r="D4" i="44"/>
  <c r="B39" i="43"/>
  <c r="B38" i="43"/>
  <c r="T34" i="43"/>
  <c r="Z34" i="43" s="1"/>
  <c r="P34" i="43"/>
  <c r="H34" i="43"/>
  <c r="N34" i="43" s="1"/>
  <c r="D34" i="43"/>
  <c r="T33" i="43"/>
  <c r="Z33" i="43" s="1"/>
  <c r="P33" i="43"/>
  <c r="H33" i="43"/>
  <c r="N33" i="43" s="1"/>
  <c r="D33" i="43"/>
  <c r="T29" i="43"/>
  <c r="Z29" i="43" s="1"/>
  <c r="P29" i="43"/>
  <c r="H29" i="43"/>
  <c r="N29" i="43" s="1"/>
  <c r="D29" i="43"/>
  <c r="T25" i="43"/>
  <c r="Z25" i="43" s="1"/>
  <c r="P25" i="43"/>
  <c r="H25" i="43"/>
  <c r="N25" i="43" s="1"/>
  <c r="D25" i="43"/>
  <c r="B25" i="43"/>
  <c r="T24" i="43"/>
  <c r="Z24" i="43" s="1"/>
  <c r="P24" i="43"/>
  <c r="H24" i="43"/>
  <c r="N24" i="43" s="1"/>
  <c r="D24" i="43"/>
  <c r="L24" i="43" s="1"/>
  <c r="T22" i="43"/>
  <c r="Z22" i="43" s="1"/>
  <c r="P22" i="43"/>
  <c r="H22" i="43"/>
  <c r="N22" i="43" s="1"/>
  <c r="D22" i="43"/>
  <c r="B22" i="43"/>
  <c r="T21" i="43"/>
  <c r="Z21" i="43" s="1"/>
  <c r="P21" i="43"/>
  <c r="H21" i="43"/>
  <c r="N21" i="43" s="1"/>
  <c r="D21" i="43"/>
  <c r="B21" i="43"/>
  <c r="T20" i="43"/>
  <c r="Z20" i="43" s="1"/>
  <c r="P20" i="43"/>
  <c r="H20" i="43"/>
  <c r="N20" i="43" s="1"/>
  <c r="D20" i="43"/>
  <c r="T16" i="43"/>
  <c r="Z16" i="43" s="1"/>
  <c r="P16" i="43"/>
  <c r="H16" i="43"/>
  <c r="N16" i="43" s="1"/>
  <c r="D16" i="43"/>
  <c r="B16" i="43"/>
  <c r="T15" i="43"/>
  <c r="P15" i="43"/>
  <c r="H15" i="43"/>
  <c r="N15" i="43" s="1"/>
  <c r="D15" i="43"/>
  <c r="T13" i="43"/>
  <c r="Z13" i="43" s="1"/>
  <c r="P13" i="43"/>
  <c r="H13" i="43"/>
  <c r="N13" i="43" s="1"/>
  <c r="D13" i="43"/>
  <c r="B13" i="43"/>
  <c r="T12" i="43"/>
  <c r="V24" i="43" s="1"/>
  <c r="P12" i="43"/>
  <c r="R36" i="43" s="1"/>
  <c r="H12" i="43"/>
  <c r="D12" i="43"/>
  <c r="F24" i="43" s="1"/>
  <c r="D5" i="43"/>
  <c r="D4" i="43"/>
  <c r="X126" i="42"/>
  <c r="Z126" i="42" s="1"/>
  <c r="N126" i="42"/>
  <c r="L126" i="42"/>
  <c r="Z122" i="42"/>
  <c r="T122" i="42"/>
  <c r="P122" i="42"/>
  <c r="X122" i="42" s="1"/>
  <c r="H122" i="42"/>
  <c r="D122" i="42"/>
  <c r="L122" i="42" s="1"/>
  <c r="N122" i="42" s="1"/>
  <c r="B122" i="42"/>
  <c r="T121" i="42"/>
  <c r="P121" i="42"/>
  <c r="X121" i="42" s="1"/>
  <c r="H121" i="42"/>
  <c r="D121" i="42"/>
  <c r="L121" i="42" s="1"/>
  <c r="N121" i="42" s="1"/>
  <c r="B121" i="42"/>
  <c r="X120" i="42"/>
  <c r="T120" i="42"/>
  <c r="Z120" i="42" s="1"/>
  <c r="P120" i="42"/>
  <c r="P119" i="42" s="1"/>
  <c r="H120" i="42"/>
  <c r="D120" i="42"/>
  <c r="L120" i="42" s="1"/>
  <c r="N120" i="42" s="1"/>
  <c r="B120" i="42"/>
  <c r="H119" i="42"/>
  <c r="Z117" i="42"/>
  <c r="X117" i="42"/>
  <c r="L117" i="42"/>
  <c r="N117" i="42" s="1"/>
  <c r="B117" i="42"/>
  <c r="T116" i="42"/>
  <c r="P116" i="42"/>
  <c r="L116" i="42"/>
  <c r="H116" i="42"/>
  <c r="N116" i="42" s="1"/>
  <c r="D116" i="42"/>
  <c r="B116" i="42"/>
  <c r="X115" i="42"/>
  <c r="Z115" i="42" s="1"/>
  <c r="N115" i="42"/>
  <c r="L115" i="42"/>
  <c r="B115" i="42"/>
  <c r="X114" i="42"/>
  <c r="Z114" i="42" s="1"/>
  <c r="N114" i="42"/>
  <c r="L114" i="42"/>
  <c r="B114" i="42"/>
  <c r="Z113" i="42"/>
  <c r="X113" i="42"/>
  <c r="N113" i="42"/>
  <c r="L113" i="42"/>
  <c r="B113" i="42"/>
  <c r="T112" i="42"/>
  <c r="P112" i="42"/>
  <c r="L112" i="42"/>
  <c r="H112" i="42"/>
  <c r="N112" i="42" s="1"/>
  <c r="D112" i="42"/>
  <c r="B112" i="42"/>
  <c r="X111" i="42"/>
  <c r="Z111" i="42" s="1"/>
  <c r="N111" i="42"/>
  <c r="L111" i="42"/>
  <c r="B111" i="42"/>
  <c r="X110" i="42"/>
  <c r="T110" i="42"/>
  <c r="Z110" i="42" s="1"/>
  <c r="P110" i="42"/>
  <c r="N110" i="42"/>
  <c r="H110" i="42"/>
  <c r="D110" i="42"/>
  <c r="L110" i="42" s="1"/>
  <c r="B110" i="42"/>
  <c r="X109" i="42"/>
  <c r="Z109" i="42" s="1"/>
  <c r="N109" i="42"/>
  <c r="L109" i="42"/>
  <c r="B109" i="42"/>
  <c r="T108" i="42"/>
  <c r="P108" i="42"/>
  <c r="X108" i="42" s="1"/>
  <c r="Z108" i="42" s="1"/>
  <c r="H108" i="42"/>
  <c r="D108" i="42"/>
  <c r="L108" i="42" s="1"/>
  <c r="N108" i="42" s="1"/>
  <c r="B108" i="42"/>
  <c r="Z107" i="42"/>
  <c r="X107" i="42"/>
  <c r="N107" i="42"/>
  <c r="L107" i="42"/>
  <c r="B107" i="42"/>
  <c r="X106" i="42"/>
  <c r="Z106" i="42" s="1"/>
  <c r="N106" i="42"/>
  <c r="L106" i="42"/>
  <c r="B106" i="42"/>
  <c r="X105" i="42"/>
  <c r="Z105" i="42" s="1"/>
  <c r="N105" i="42"/>
  <c r="L105" i="42"/>
  <c r="B105" i="42"/>
  <c r="Z104" i="42"/>
  <c r="X104" i="42"/>
  <c r="N104" i="42"/>
  <c r="L104" i="42"/>
  <c r="B104" i="42"/>
  <c r="X103" i="42"/>
  <c r="Z103" i="42" s="1"/>
  <c r="N103" i="42"/>
  <c r="L103" i="42"/>
  <c r="B103" i="42"/>
  <c r="X102" i="42"/>
  <c r="Z102" i="42" s="1"/>
  <c r="L102" i="42"/>
  <c r="N102" i="42" s="1"/>
  <c r="B102" i="42"/>
  <c r="Z101" i="42"/>
  <c r="X101" i="42"/>
  <c r="N101" i="42"/>
  <c r="L101" i="42"/>
  <c r="B101" i="42"/>
  <c r="X100" i="42"/>
  <c r="Z100" i="42" s="1"/>
  <c r="N100" i="42"/>
  <c r="L100" i="42"/>
  <c r="B100" i="42"/>
  <c r="Z99" i="42"/>
  <c r="X99" i="42"/>
  <c r="N99" i="42"/>
  <c r="L99" i="42"/>
  <c r="B99" i="42"/>
  <c r="X98" i="42"/>
  <c r="Z98" i="42" s="1"/>
  <c r="L98" i="42"/>
  <c r="N98" i="42" s="1"/>
  <c r="B98" i="42"/>
  <c r="X97" i="42"/>
  <c r="Z97" i="42" s="1"/>
  <c r="T97" i="42"/>
  <c r="P97" i="42"/>
  <c r="H97" i="42"/>
  <c r="D97" i="42"/>
  <c r="B97" i="42"/>
  <c r="X96" i="42"/>
  <c r="Z96" i="42" s="1"/>
  <c r="N96" i="42"/>
  <c r="L96" i="42"/>
  <c r="B96" i="42"/>
  <c r="Z95" i="42"/>
  <c r="X95" i="42"/>
  <c r="N95" i="42"/>
  <c r="L95" i="42"/>
  <c r="B95" i="42"/>
  <c r="T94" i="42"/>
  <c r="P94" i="42"/>
  <c r="X94" i="42" s="1"/>
  <c r="Z94" i="42" s="1"/>
  <c r="H94" i="42"/>
  <c r="N94" i="42" s="1"/>
  <c r="D94" i="42"/>
  <c r="B94" i="42"/>
  <c r="Z93" i="42"/>
  <c r="X93" i="42"/>
  <c r="N93" i="42"/>
  <c r="L93" i="42"/>
  <c r="B93" i="42"/>
  <c r="X92" i="42"/>
  <c r="Z92" i="42" s="1"/>
  <c r="N92" i="42"/>
  <c r="L92" i="42"/>
  <c r="B92" i="42"/>
  <c r="Z91" i="42"/>
  <c r="X91" i="42"/>
  <c r="L91" i="42"/>
  <c r="N91" i="42" s="1"/>
  <c r="B91" i="42"/>
  <c r="X90" i="42"/>
  <c r="Z90" i="42" s="1"/>
  <c r="N90" i="42"/>
  <c r="L90" i="42"/>
  <c r="B90" i="42"/>
  <c r="X89" i="42"/>
  <c r="Z89" i="42" s="1"/>
  <c r="N89" i="42"/>
  <c r="L89" i="42"/>
  <c r="B89" i="42"/>
  <c r="Z88" i="42"/>
  <c r="T88" i="42"/>
  <c r="P88" i="42"/>
  <c r="X88" i="42" s="1"/>
  <c r="H88" i="42"/>
  <c r="D88" i="42"/>
  <c r="L88" i="42" s="1"/>
  <c r="N88" i="42" s="1"/>
  <c r="B88" i="42"/>
  <c r="Z87" i="42"/>
  <c r="X87" i="42"/>
  <c r="N87" i="42"/>
  <c r="L87" i="42"/>
  <c r="B87" i="42"/>
  <c r="X86" i="42"/>
  <c r="Z86" i="42" s="1"/>
  <c r="N86" i="42"/>
  <c r="L86" i="42"/>
  <c r="B86" i="42"/>
  <c r="X85" i="42"/>
  <c r="Z85" i="42" s="1"/>
  <c r="T85" i="42"/>
  <c r="P85" i="42"/>
  <c r="H85" i="42"/>
  <c r="D85" i="42"/>
  <c r="B85" i="42"/>
  <c r="X84" i="42"/>
  <c r="Z84" i="42" s="1"/>
  <c r="N84" i="42"/>
  <c r="L84" i="42"/>
  <c r="B84" i="42"/>
  <c r="Z83" i="42"/>
  <c r="X83" i="42"/>
  <c r="L83" i="42"/>
  <c r="N83" i="42" s="1"/>
  <c r="B83" i="42"/>
  <c r="X82" i="42"/>
  <c r="Z82" i="42" s="1"/>
  <c r="N82" i="42"/>
  <c r="L82" i="42"/>
  <c r="B82" i="42"/>
  <c r="X81" i="42"/>
  <c r="Z81" i="42" s="1"/>
  <c r="N81" i="42"/>
  <c r="L81" i="42"/>
  <c r="B81" i="42"/>
  <c r="T80" i="42"/>
  <c r="P80" i="42"/>
  <c r="X80" i="42" s="1"/>
  <c r="Z80" i="42" s="1"/>
  <c r="H80" i="42"/>
  <c r="D80" i="42"/>
  <c r="L80" i="42" s="1"/>
  <c r="N80" i="42" s="1"/>
  <c r="B80" i="42"/>
  <c r="Z79" i="42"/>
  <c r="X79" i="42"/>
  <c r="L79" i="42"/>
  <c r="N79" i="42" s="1"/>
  <c r="B79" i="42"/>
  <c r="T78" i="42"/>
  <c r="P78" i="42"/>
  <c r="X78" i="42" s="1"/>
  <c r="Z78" i="42" s="1"/>
  <c r="H78" i="42"/>
  <c r="D78" i="42"/>
  <c r="B78" i="42"/>
  <c r="Z77" i="42"/>
  <c r="X77" i="42"/>
  <c r="N77" i="42"/>
  <c r="L77" i="42"/>
  <c r="B77" i="42"/>
  <c r="T76" i="42"/>
  <c r="P76" i="42"/>
  <c r="L76" i="42"/>
  <c r="H76" i="42"/>
  <c r="N76" i="42" s="1"/>
  <c r="D76" i="42"/>
  <c r="B76" i="42"/>
  <c r="X75" i="42"/>
  <c r="Z75" i="42" s="1"/>
  <c r="N75" i="42"/>
  <c r="L75" i="42"/>
  <c r="B75" i="42"/>
  <c r="X74" i="42"/>
  <c r="T74" i="42"/>
  <c r="Z74" i="42" s="1"/>
  <c r="P74" i="42"/>
  <c r="N74" i="42"/>
  <c r="H74" i="42"/>
  <c r="D74" i="42"/>
  <c r="L74" i="42" s="1"/>
  <c r="B74" i="42"/>
  <c r="X73" i="42"/>
  <c r="Z73" i="42" s="1"/>
  <c r="N73" i="42"/>
  <c r="L73" i="42"/>
  <c r="B73" i="42"/>
  <c r="Z72" i="42"/>
  <c r="T72" i="42"/>
  <c r="P72" i="42"/>
  <c r="X72" i="42" s="1"/>
  <c r="H72" i="42"/>
  <c r="D72" i="42"/>
  <c r="L72" i="42" s="1"/>
  <c r="N72" i="42" s="1"/>
  <c r="B72" i="42"/>
  <c r="Z71" i="42"/>
  <c r="X71" i="42"/>
  <c r="L71" i="42"/>
  <c r="N71" i="42" s="1"/>
  <c r="B71" i="42"/>
  <c r="X70" i="42"/>
  <c r="Z70" i="42" s="1"/>
  <c r="N70" i="42"/>
  <c r="L70" i="42"/>
  <c r="B70" i="42"/>
  <c r="X69" i="42"/>
  <c r="Z69" i="42" s="1"/>
  <c r="T69" i="42"/>
  <c r="P69" i="42"/>
  <c r="H69" i="42"/>
  <c r="D69" i="42"/>
  <c r="B69" i="42"/>
  <c r="X68" i="42"/>
  <c r="Z68" i="42" s="1"/>
  <c r="N68" i="42"/>
  <c r="L68" i="42"/>
  <c r="B68" i="42"/>
  <c r="T67" i="42"/>
  <c r="P67" i="42"/>
  <c r="N67" i="42"/>
  <c r="H67" i="42"/>
  <c r="D67" i="42"/>
  <c r="L67" i="42" s="1"/>
  <c r="B67" i="42"/>
  <c r="X66" i="42"/>
  <c r="Z66" i="42" s="1"/>
  <c r="L66" i="42"/>
  <c r="N66" i="42" s="1"/>
  <c r="B66" i="42"/>
  <c r="T65" i="42"/>
  <c r="P65" i="42"/>
  <c r="X65" i="42" s="1"/>
  <c r="Z65" i="42" s="1"/>
  <c r="H65" i="42"/>
  <c r="N65" i="42" s="1"/>
  <c r="D65" i="42"/>
  <c r="L65" i="42" s="1"/>
  <c r="B65" i="42"/>
  <c r="Z64" i="42"/>
  <c r="X64" i="42"/>
  <c r="N64" i="42"/>
  <c r="L64" i="42"/>
  <c r="B64" i="42"/>
  <c r="T63" i="42"/>
  <c r="Z63" i="42" s="1"/>
  <c r="P63" i="42"/>
  <c r="X63" i="42" s="1"/>
  <c r="N63" i="42"/>
  <c r="L63" i="42"/>
  <c r="H63" i="42"/>
  <c r="D63" i="42"/>
  <c r="B63" i="42"/>
  <c r="X62" i="42"/>
  <c r="Z62" i="42" s="1"/>
  <c r="N62" i="42"/>
  <c r="L62" i="42"/>
  <c r="B62" i="42"/>
  <c r="X61" i="42"/>
  <c r="Z61" i="42" s="1"/>
  <c r="T61" i="42"/>
  <c r="P61" i="42"/>
  <c r="H61" i="42"/>
  <c r="D61" i="42"/>
  <c r="B61" i="42"/>
  <c r="X60" i="42"/>
  <c r="Z60" i="42" s="1"/>
  <c r="N60" i="42"/>
  <c r="L60" i="42"/>
  <c r="B60" i="42"/>
  <c r="T59" i="42"/>
  <c r="P59" i="42"/>
  <c r="N59" i="42"/>
  <c r="H59" i="42"/>
  <c r="D59" i="42"/>
  <c r="L59" i="42" s="1"/>
  <c r="B59" i="42"/>
  <c r="X58" i="42"/>
  <c r="Z58" i="42" s="1"/>
  <c r="N58" i="42"/>
  <c r="L58" i="42"/>
  <c r="B58" i="42"/>
  <c r="Z57" i="42"/>
  <c r="X57" i="42"/>
  <c r="L57" i="42"/>
  <c r="N57" i="42" s="1"/>
  <c r="B57" i="42"/>
  <c r="X56" i="42"/>
  <c r="Z56" i="42" s="1"/>
  <c r="N56" i="42"/>
  <c r="L56" i="42"/>
  <c r="B56" i="42"/>
  <c r="T55" i="42"/>
  <c r="P55" i="42"/>
  <c r="H55" i="42"/>
  <c r="D55" i="42"/>
  <c r="L55" i="42" s="1"/>
  <c r="N55" i="42" s="1"/>
  <c r="B55" i="42"/>
  <c r="X54" i="42"/>
  <c r="Z54" i="42" s="1"/>
  <c r="L54" i="42"/>
  <c r="N54" i="42" s="1"/>
  <c r="B54" i="42"/>
  <c r="T53" i="42"/>
  <c r="P53" i="42"/>
  <c r="X53" i="42" s="1"/>
  <c r="Z53" i="42" s="1"/>
  <c r="H53" i="42"/>
  <c r="D53" i="42"/>
  <c r="L53" i="42" s="1"/>
  <c r="B53" i="42"/>
  <c r="Z52" i="42"/>
  <c r="X52" i="42"/>
  <c r="N52" i="42"/>
  <c r="L52" i="42"/>
  <c r="B52" i="42"/>
  <c r="T51" i="42"/>
  <c r="P51" i="42"/>
  <c r="X51" i="42" s="1"/>
  <c r="N51" i="42"/>
  <c r="L51" i="42"/>
  <c r="H51" i="42"/>
  <c r="D51" i="42"/>
  <c r="B51" i="42"/>
  <c r="X50" i="42"/>
  <c r="Z50" i="42" s="1"/>
  <c r="N50" i="42"/>
  <c r="L50" i="42"/>
  <c r="B50" i="42"/>
  <c r="X49" i="42"/>
  <c r="Z49" i="42" s="1"/>
  <c r="T49" i="42"/>
  <c r="P49" i="42"/>
  <c r="H49" i="42"/>
  <c r="D49" i="42"/>
  <c r="B49" i="42"/>
  <c r="X48" i="42"/>
  <c r="Z48" i="42" s="1"/>
  <c r="N48" i="42"/>
  <c r="L48" i="42"/>
  <c r="B48" i="42"/>
  <c r="Z47" i="42"/>
  <c r="X47" i="42"/>
  <c r="N47" i="42"/>
  <c r="L47" i="42"/>
  <c r="B47" i="42"/>
  <c r="X46" i="42"/>
  <c r="Z46" i="42" s="1"/>
  <c r="N46" i="42"/>
  <c r="L46" i="42"/>
  <c r="B46" i="42"/>
  <c r="X45" i="42"/>
  <c r="Z45" i="42" s="1"/>
  <c r="N45" i="42"/>
  <c r="L45" i="42"/>
  <c r="B45" i="42"/>
  <c r="Z44" i="42"/>
  <c r="X44" i="42"/>
  <c r="N44" i="42"/>
  <c r="L44" i="42"/>
  <c r="B44" i="42"/>
  <c r="X43" i="42"/>
  <c r="Z43" i="42" s="1"/>
  <c r="N43" i="42"/>
  <c r="L43" i="42"/>
  <c r="B43" i="42"/>
  <c r="X42" i="42"/>
  <c r="Z42" i="42" s="1"/>
  <c r="L42" i="42"/>
  <c r="N42" i="42" s="1"/>
  <c r="B42" i="42"/>
  <c r="T41" i="42"/>
  <c r="P41" i="42"/>
  <c r="X41" i="42" s="1"/>
  <c r="Z41" i="42" s="1"/>
  <c r="H41" i="42"/>
  <c r="N41" i="42" s="1"/>
  <c r="D41" i="42"/>
  <c r="L41" i="42" s="1"/>
  <c r="B41" i="42"/>
  <c r="Z40" i="42"/>
  <c r="X40" i="42"/>
  <c r="L40" i="42"/>
  <c r="N40" i="42" s="1"/>
  <c r="B40" i="42"/>
  <c r="X39" i="42"/>
  <c r="Z39" i="42" s="1"/>
  <c r="N39" i="42"/>
  <c r="L39" i="42"/>
  <c r="B39" i="42"/>
  <c r="X38" i="42"/>
  <c r="Z38" i="42" s="1"/>
  <c r="L38" i="42"/>
  <c r="N38" i="42" s="1"/>
  <c r="B38" i="42"/>
  <c r="Z37" i="42"/>
  <c r="X37" i="42"/>
  <c r="N37" i="42"/>
  <c r="L37" i="42"/>
  <c r="B37" i="42"/>
  <c r="X36" i="42"/>
  <c r="Z36" i="42" s="1"/>
  <c r="N36" i="42"/>
  <c r="L36" i="42"/>
  <c r="B36" i="42"/>
  <c r="Z35" i="42"/>
  <c r="X35" i="42"/>
  <c r="L35" i="42"/>
  <c r="N35" i="42" s="1"/>
  <c r="B35" i="42"/>
  <c r="X34" i="42"/>
  <c r="Z34" i="42" s="1"/>
  <c r="L34" i="42"/>
  <c r="N34" i="42" s="1"/>
  <c r="B34" i="42"/>
  <c r="X33" i="42"/>
  <c r="Z33" i="42" s="1"/>
  <c r="N33" i="42"/>
  <c r="L33" i="42"/>
  <c r="B33" i="42"/>
  <c r="Z32" i="42"/>
  <c r="X32" i="42"/>
  <c r="L32" i="42"/>
  <c r="N32" i="42" s="1"/>
  <c r="B32" i="42"/>
  <c r="T31" i="42"/>
  <c r="P31" i="42"/>
  <c r="X31" i="42" s="1"/>
  <c r="L31" i="42"/>
  <c r="N31" i="42" s="1"/>
  <c r="H31" i="42"/>
  <c r="D31" i="42"/>
  <c r="B31" i="42"/>
  <c r="T30" i="42"/>
  <c r="P30" i="42"/>
  <c r="X30" i="42" s="1"/>
  <c r="Z30" i="42" s="1"/>
  <c r="H30" i="42"/>
  <c r="D30" i="42"/>
  <c r="X26" i="42"/>
  <c r="Z26" i="42" s="1"/>
  <c r="L26" i="42"/>
  <c r="N26" i="42" s="1"/>
  <c r="B26" i="42"/>
  <c r="X25" i="42"/>
  <c r="Z25" i="42" s="1"/>
  <c r="N25" i="42"/>
  <c r="L25" i="42"/>
  <c r="B25" i="42"/>
  <c r="Z24" i="42"/>
  <c r="T24" i="42"/>
  <c r="P24" i="42"/>
  <c r="X24" i="42" s="1"/>
  <c r="H24" i="42"/>
  <c r="D24" i="42"/>
  <c r="L24" i="42" s="1"/>
  <c r="N24" i="42" s="1"/>
  <c r="T22" i="42"/>
  <c r="P22" i="42"/>
  <c r="X22" i="42" s="1"/>
  <c r="N22" i="42"/>
  <c r="H22" i="42"/>
  <c r="D22" i="42"/>
  <c r="L22" i="42" s="1"/>
  <c r="B22" i="42"/>
  <c r="T21" i="42"/>
  <c r="P21" i="42"/>
  <c r="X21" i="42" s="1"/>
  <c r="H21" i="42"/>
  <c r="N21" i="42" s="1"/>
  <c r="D21" i="42"/>
  <c r="B21" i="42"/>
  <c r="T20" i="42"/>
  <c r="T12" i="42" s="1"/>
  <c r="P20" i="42"/>
  <c r="N20" i="42"/>
  <c r="L20" i="42"/>
  <c r="H20" i="42"/>
  <c r="D20" i="42"/>
  <c r="B20" i="42"/>
  <c r="X19" i="42"/>
  <c r="Z19" i="42" s="1"/>
  <c r="T19" i="42"/>
  <c r="P19" i="42"/>
  <c r="N19" i="42"/>
  <c r="H19" i="42"/>
  <c r="D19" i="42"/>
  <c r="L19" i="42" s="1"/>
  <c r="B19" i="42"/>
  <c r="Z18" i="42"/>
  <c r="T18" i="42"/>
  <c r="P18" i="42"/>
  <c r="X18" i="42" s="1"/>
  <c r="H18" i="42"/>
  <c r="N18" i="42" s="1"/>
  <c r="D18" i="42"/>
  <c r="L18" i="42" s="1"/>
  <c r="B18" i="42"/>
  <c r="T17" i="42"/>
  <c r="P17" i="42"/>
  <c r="H17" i="42"/>
  <c r="N17" i="42" s="1"/>
  <c r="D17" i="42"/>
  <c r="L17" i="42" s="1"/>
  <c r="B17" i="42"/>
  <c r="X16" i="42"/>
  <c r="Z16" i="42" s="1"/>
  <c r="T16" i="42"/>
  <c r="P16" i="42"/>
  <c r="H16" i="42"/>
  <c r="D16" i="42"/>
  <c r="B16" i="42"/>
  <c r="T15" i="42"/>
  <c r="P15" i="42"/>
  <c r="X15" i="42" s="1"/>
  <c r="Z15" i="42" s="1"/>
  <c r="N15" i="42"/>
  <c r="L15" i="42"/>
  <c r="H15" i="42"/>
  <c r="D15" i="42"/>
  <c r="B15" i="42"/>
  <c r="T14" i="42"/>
  <c r="P14" i="42"/>
  <c r="X14" i="42" s="1"/>
  <c r="N14" i="42"/>
  <c r="H14" i="42"/>
  <c r="D14" i="42"/>
  <c r="L14" i="42" s="1"/>
  <c r="B14" i="42"/>
  <c r="T13" i="42"/>
  <c r="P13" i="42"/>
  <c r="H13" i="42"/>
  <c r="N13" i="42" s="1"/>
  <c r="D13" i="42"/>
  <c r="B13" i="42"/>
  <c r="D4" i="42"/>
  <c r="B39" i="41"/>
  <c r="B38" i="41"/>
  <c r="T34" i="41"/>
  <c r="P34" i="41"/>
  <c r="H34" i="41"/>
  <c r="N34" i="41" s="1"/>
  <c r="D34" i="41"/>
  <c r="T33" i="41"/>
  <c r="Z33" i="41" s="1"/>
  <c r="P33" i="41"/>
  <c r="H33" i="41"/>
  <c r="N33" i="41" s="1"/>
  <c r="D33" i="41"/>
  <c r="T29" i="41"/>
  <c r="Z29" i="41" s="1"/>
  <c r="P29" i="41"/>
  <c r="H29" i="41"/>
  <c r="N29" i="41" s="1"/>
  <c r="D29" i="41"/>
  <c r="T25" i="41"/>
  <c r="Z25" i="41" s="1"/>
  <c r="P25" i="41"/>
  <c r="H25" i="41"/>
  <c r="N25" i="41" s="1"/>
  <c r="D25" i="41"/>
  <c r="B25" i="41"/>
  <c r="T24" i="41"/>
  <c r="Z24" i="41" s="1"/>
  <c r="P24" i="41"/>
  <c r="H24" i="41"/>
  <c r="N24" i="41" s="1"/>
  <c r="D24" i="41"/>
  <c r="T22" i="41"/>
  <c r="Z22" i="41" s="1"/>
  <c r="P22" i="41"/>
  <c r="H22" i="41"/>
  <c r="N22" i="41" s="1"/>
  <c r="D22" i="41"/>
  <c r="B22" i="41"/>
  <c r="T21" i="41"/>
  <c r="Z21" i="41" s="1"/>
  <c r="P21" i="41"/>
  <c r="H21" i="41"/>
  <c r="D21" i="41"/>
  <c r="B21" i="41"/>
  <c r="T20" i="41"/>
  <c r="Z20" i="41" s="1"/>
  <c r="P20" i="41"/>
  <c r="H20" i="41"/>
  <c r="N20" i="41" s="1"/>
  <c r="D20" i="41"/>
  <c r="T16" i="41"/>
  <c r="Z16" i="41" s="1"/>
  <c r="P16" i="41"/>
  <c r="H16" i="41"/>
  <c r="N16" i="41" s="1"/>
  <c r="D16" i="41"/>
  <c r="B16" i="41"/>
  <c r="T15" i="41"/>
  <c r="Z15" i="41" s="1"/>
  <c r="P15" i="41"/>
  <c r="H15" i="41"/>
  <c r="D15" i="41"/>
  <c r="T13" i="41"/>
  <c r="Z13" i="41" s="1"/>
  <c r="P13" i="41"/>
  <c r="H13" i="41"/>
  <c r="N13" i="41" s="1"/>
  <c r="D13" i="41"/>
  <c r="B13" i="41"/>
  <c r="T12" i="41"/>
  <c r="V24" i="41" s="1"/>
  <c r="P12" i="41"/>
  <c r="R33" i="41" s="1"/>
  <c r="H12" i="41"/>
  <c r="J24" i="41" s="1"/>
  <c r="D12" i="41"/>
  <c r="F21" i="41" s="1"/>
  <c r="D5" i="41"/>
  <c r="D4" i="41"/>
  <c r="B39" i="40"/>
  <c r="B38" i="40"/>
  <c r="T34" i="40"/>
  <c r="Z34" i="40" s="1"/>
  <c r="P34" i="40"/>
  <c r="H34" i="40"/>
  <c r="N34" i="40" s="1"/>
  <c r="D34" i="40"/>
  <c r="T33" i="40"/>
  <c r="Z33" i="40" s="1"/>
  <c r="P33" i="40"/>
  <c r="H33" i="40"/>
  <c r="N33" i="40" s="1"/>
  <c r="D33" i="40"/>
  <c r="T29" i="40"/>
  <c r="Z29" i="40" s="1"/>
  <c r="P29" i="40"/>
  <c r="H29" i="40"/>
  <c r="N29" i="40" s="1"/>
  <c r="D29" i="40"/>
  <c r="T25" i="40"/>
  <c r="Z25" i="40" s="1"/>
  <c r="P25" i="40"/>
  <c r="H25" i="40"/>
  <c r="N25" i="40" s="1"/>
  <c r="D25" i="40"/>
  <c r="B25" i="40"/>
  <c r="T24" i="40"/>
  <c r="Z24" i="40" s="1"/>
  <c r="P24" i="40"/>
  <c r="H24" i="40"/>
  <c r="D24" i="40"/>
  <c r="T22" i="40"/>
  <c r="Z22" i="40" s="1"/>
  <c r="P22" i="40"/>
  <c r="H22" i="40"/>
  <c r="N22" i="40" s="1"/>
  <c r="D22" i="40"/>
  <c r="B22" i="40"/>
  <c r="T21" i="40"/>
  <c r="Z21" i="40" s="1"/>
  <c r="P21" i="40"/>
  <c r="H21" i="40"/>
  <c r="N21" i="40" s="1"/>
  <c r="D21" i="40"/>
  <c r="B21" i="40"/>
  <c r="T20" i="40"/>
  <c r="P20" i="40"/>
  <c r="H20" i="40"/>
  <c r="N20" i="40" s="1"/>
  <c r="D20" i="40"/>
  <c r="T16" i="40"/>
  <c r="P16" i="40"/>
  <c r="H16" i="40"/>
  <c r="N16" i="40" s="1"/>
  <c r="D16" i="40"/>
  <c r="B16" i="40"/>
  <c r="T15" i="40"/>
  <c r="Z15" i="40" s="1"/>
  <c r="P15" i="40"/>
  <c r="H15" i="40"/>
  <c r="N15" i="40" s="1"/>
  <c r="D15" i="40"/>
  <c r="T13" i="40"/>
  <c r="P13" i="40"/>
  <c r="H13" i="40"/>
  <c r="N13" i="40" s="1"/>
  <c r="D13" i="40"/>
  <c r="B13" i="40"/>
  <c r="T12" i="40"/>
  <c r="V24" i="40" s="1"/>
  <c r="P12" i="40"/>
  <c r="R20" i="40" s="1"/>
  <c r="H12" i="40"/>
  <c r="J18" i="40" s="1"/>
  <c r="D12" i="40"/>
  <c r="F24" i="40" s="1"/>
  <c r="D5" i="40"/>
  <c r="D4" i="40"/>
  <c r="X134" i="39"/>
  <c r="Z134" i="39" s="1"/>
  <c r="N134" i="39"/>
  <c r="L134" i="39"/>
  <c r="T130" i="39"/>
  <c r="P130" i="39"/>
  <c r="H130" i="39"/>
  <c r="D130" i="39"/>
  <c r="B130" i="39"/>
  <c r="T129" i="39"/>
  <c r="P129" i="39"/>
  <c r="P127" i="39" s="1"/>
  <c r="N129" i="39"/>
  <c r="H129" i="39"/>
  <c r="D129" i="39"/>
  <c r="L129" i="39" s="1"/>
  <c r="B129" i="39"/>
  <c r="X128" i="39"/>
  <c r="Z128" i="39" s="1"/>
  <c r="T128" i="39"/>
  <c r="P128" i="39"/>
  <c r="H128" i="39"/>
  <c r="D128" i="39"/>
  <c r="B128" i="39"/>
  <c r="Z125" i="39"/>
  <c r="X125" i="39"/>
  <c r="L125" i="39"/>
  <c r="N125" i="39" s="1"/>
  <c r="B125" i="39"/>
  <c r="T124" i="39"/>
  <c r="P124" i="39"/>
  <c r="X124" i="39" s="1"/>
  <c r="L124" i="39"/>
  <c r="N124" i="39" s="1"/>
  <c r="H124" i="39"/>
  <c r="D124" i="39"/>
  <c r="B124" i="39"/>
  <c r="X123" i="39"/>
  <c r="Z123" i="39" s="1"/>
  <c r="N123" i="39"/>
  <c r="L123" i="39"/>
  <c r="B123" i="39"/>
  <c r="X122" i="39"/>
  <c r="Z122" i="39" s="1"/>
  <c r="N122" i="39"/>
  <c r="L122" i="39"/>
  <c r="B122" i="39"/>
  <c r="Z121" i="39"/>
  <c r="X121" i="39"/>
  <c r="N121" i="39"/>
  <c r="L121" i="39"/>
  <c r="B121" i="39"/>
  <c r="T120" i="39"/>
  <c r="P120" i="39"/>
  <c r="X120" i="39" s="1"/>
  <c r="N120" i="39"/>
  <c r="L120" i="39"/>
  <c r="H120" i="39"/>
  <c r="D120" i="39"/>
  <c r="B120" i="39"/>
  <c r="X119" i="39"/>
  <c r="Z119" i="39" s="1"/>
  <c r="N119" i="39"/>
  <c r="L119" i="39"/>
  <c r="B119" i="39"/>
  <c r="X118" i="39"/>
  <c r="Z118" i="39" s="1"/>
  <c r="T118" i="39"/>
  <c r="P118" i="39"/>
  <c r="H118" i="39"/>
  <c r="D118" i="39"/>
  <c r="B118" i="39"/>
  <c r="X117" i="39"/>
  <c r="Z117" i="39" s="1"/>
  <c r="N117" i="39"/>
  <c r="L117" i="39"/>
  <c r="B117" i="39"/>
  <c r="T116" i="39"/>
  <c r="P116" i="39"/>
  <c r="H116" i="39"/>
  <c r="D116" i="39"/>
  <c r="L116" i="39" s="1"/>
  <c r="N116" i="39" s="1"/>
  <c r="B116" i="39"/>
  <c r="X115" i="39"/>
  <c r="Z115" i="39" s="1"/>
  <c r="N115" i="39"/>
  <c r="L115" i="39"/>
  <c r="B115" i="39"/>
  <c r="Z114" i="39"/>
  <c r="X114" i="39"/>
  <c r="L114" i="39"/>
  <c r="N114" i="39" s="1"/>
  <c r="B114" i="39"/>
  <c r="X113" i="39"/>
  <c r="Z113" i="39" s="1"/>
  <c r="N113" i="39"/>
  <c r="L113" i="39"/>
  <c r="B113" i="39"/>
  <c r="Z112" i="39"/>
  <c r="X112" i="39"/>
  <c r="N112" i="39"/>
  <c r="L112" i="39"/>
  <c r="B112" i="39"/>
  <c r="X111" i="39"/>
  <c r="Z111" i="39" s="1"/>
  <c r="N111" i="39"/>
  <c r="L111" i="39"/>
  <c r="B111" i="39"/>
  <c r="X110" i="39"/>
  <c r="Z110" i="39" s="1"/>
  <c r="N110" i="39"/>
  <c r="L110" i="39"/>
  <c r="B110" i="39"/>
  <c r="Z109" i="39"/>
  <c r="X109" i="39"/>
  <c r="N109" i="39"/>
  <c r="L109" i="39"/>
  <c r="B109" i="39"/>
  <c r="X108" i="39"/>
  <c r="Z108" i="39" s="1"/>
  <c r="N108" i="39"/>
  <c r="L108" i="39"/>
  <c r="B108" i="39"/>
  <c r="X107" i="39"/>
  <c r="Z107" i="39" s="1"/>
  <c r="N107" i="39"/>
  <c r="L107" i="39"/>
  <c r="B107" i="39"/>
  <c r="Z106" i="39"/>
  <c r="X106" i="39"/>
  <c r="L106" i="39"/>
  <c r="N106" i="39" s="1"/>
  <c r="B106" i="39"/>
  <c r="T105" i="39"/>
  <c r="P105" i="39"/>
  <c r="H105" i="39"/>
  <c r="N105" i="39" s="1"/>
  <c r="D105" i="39"/>
  <c r="L105" i="39" s="1"/>
  <c r="B105" i="39"/>
  <c r="X104" i="39"/>
  <c r="Z104" i="39" s="1"/>
  <c r="N104" i="39"/>
  <c r="L104" i="39"/>
  <c r="B104" i="39"/>
  <c r="X103" i="39"/>
  <c r="Z103" i="39" s="1"/>
  <c r="N103" i="39"/>
  <c r="L103" i="39"/>
  <c r="B103" i="39"/>
  <c r="T102" i="39"/>
  <c r="P102" i="39"/>
  <c r="X102" i="39" s="1"/>
  <c r="Z102" i="39" s="1"/>
  <c r="N102" i="39"/>
  <c r="H102" i="39"/>
  <c r="D102" i="39"/>
  <c r="L102" i="39" s="1"/>
  <c r="B102" i="39"/>
  <c r="Z101" i="39"/>
  <c r="X101" i="39"/>
  <c r="N101" i="39"/>
  <c r="L101" i="39"/>
  <c r="B101" i="39"/>
  <c r="X100" i="39"/>
  <c r="Z100" i="39" s="1"/>
  <c r="N100" i="39"/>
  <c r="L100" i="39"/>
  <c r="B100" i="39"/>
  <c r="X99" i="39"/>
  <c r="Z99" i="39" s="1"/>
  <c r="L99" i="39"/>
  <c r="N99" i="39" s="1"/>
  <c r="B99" i="39"/>
  <c r="Z98" i="39"/>
  <c r="X98" i="39"/>
  <c r="N98" i="39"/>
  <c r="L98" i="39"/>
  <c r="B98" i="39"/>
  <c r="X97" i="39"/>
  <c r="Z97" i="39" s="1"/>
  <c r="N97" i="39"/>
  <c r="L97" i="39"/>
  <c r="B97" i="39"/>
  <c r="T96" i="39"/>
  <c r="P96" i="39"/>
  <c r="H96" i="39"/>
  <c r="D96" i="39"/>
  <c r="L96" i="39" s="1"/>
  <c r="N96" i="39" s="1"/>
  <c r="B96" i="39"/>
  <c r="X95" i="39"/>
  <c r="Z95" i="39" s="1"/>
  <c r="N95" i="39"/>
  <c r="L95" i="39"/>
  <c r="B95" i="39"/>
  <c r="Z94" i="39"/>
  <c r="X94" i="39"/>
  <c r="N94" i="39"/>
  <c r="L94" i="39"/>
  <c r="B94" i="39"/>
  <c r="T93" i="39"/>
  <c r="P93" i="39"/>
  <c r="H93" i="39"/>
  <c r="N93" i="39" s="1"/>
  <c r="D93" i="39"/>
  <c r="L93" i="39" s="1"/>
  <c r="B93" i="39"/>
  <c r="X92" i="39"/>
  <c r="Z92" i="39" s="1"/>
  <c r="N92" i="39"/>
  <c r="L92" i="39"/>
  <c r="B92" i="39"/>
  <c r="X91" i="39"/>
  <c r="Z91" i="39" s="1"/>
  <c r="L91" i="39"/>
  <c r="N91" i="39" s="1"/>
  <c r="B91" i="39"/>
  <c r="Z90" i="39"/>
  <c r="X90" i="39"/>
  <c r="N90" i="39"/>
  <c r="L90" i="39"/>
  <c r="B90" i="39"/>
  <c r="X89" i="39"/>
  <c r="Z89" i="39" s="1"/>
  <c r="N89" i="39"/>
  <c r="L89" i="39"/>
  <c r="B89" i="39"/>
  <c r="T88" i="39"/>
  <c r="P88" i="39"/>
  <c r="H88" i="39"/>
  <c r="D88" i="39"/>
  <c r="L88" i="39" s="1"/>
  <c r="N88" i="39" s="1"/>
  <c r="B88" i="39"/>
  <c r="X87" i="39"/>
  <c r="Z87" i="39" s="1"/>
  <c r="L87" i="39"/>
  <c r="N87" i="39" s="1"/>
  <c r="B87" i="39"/>
  <c r="T86" i="39"/>
  <c r="P86" i="39"/>
  <c r="X86" i="39" s="1"/>
  <c r="Z86" i="39" s="1"/>
  <c r="H86" i="39"/>
  <c r="D86" i="39"/>
  <c r="L86" i="39" s="1"/>
  <c r="B86" i="39"/>
  <c r="Z85" i="39"/>
  <c r="X85" i="39"/>
  <c r="N85" i="39"/>
  <c r="L85" i="39"/>
  <c r="B85" i="39"/>
  <c r="T84" i="39"/>
  <c r="P84" i="39"/>
  <c r="X84" i="39" s="1"/>
  <c r="N84" i="39"/>
  <c r="L84" i="39"/>
  <c r="H84" i="39"/>
  <c r="D84" i="39"/>
  <c r="B84" i="39"/>
  <c r="X83" i="39"/>
  <c r="Z83" i="39" s="1"/>
  <c r="L83" i="39"/>
  <c r="N83" i="39" s="1"/>
  <c r="B83" i="39"/>
  <c r="X82" i="39"/>
  <c r="Z82" i="39" s="1"/>
  <c r="T82" i="39"/>
  <c r="P82" i="39"/>
  <c r="H82" i="39"/>
  <c r="D82" i="39"/>
  <c r="B82" i="39"/>
  <c r="X81" i="39"/>
  <c r="Z81" i="39" s="1"/>
  <c r="N81" i="39"/>
  <c r="L81" i="39"/>
  <c r="B81" i="39"/>
  <c r="T80" i="39"/>
  <c r="P80" i="39"/>
  <c r="H80" i="39"/>
  <c r="D80" i="39"/>
  <c r="L80" i="39" s="1"/>
  <c r="N80" i="39" s="1"/>
  <c r="B80" i="39"/>
  <c r="X79" i="39"/>
  <c r="Z79" i="39" s="1"/>
  <c r="L79" i="39"/>
  <c r="N79" i="39" s="1"/>
  <c r="B79" i="39"/>
  <c r="Z78" i="39"/>
  <c r="X78" i="39"/>
  <c r="N78" i="39"/>
  <c r="L78" i="39"/>
  <c r="B78" i="39"/>
  <c r="T77" i="39"/>
  <c r="P77" i="39"/>
  <c r="H77" i="39"/>
  <c r="N77" i="39" s="1"/>
  <c r="D77" i="39"/>
  <c r="L77" i="39" s="1"/>
  <c r="B77" i="39"/>
  <c r="X76" i="39"/>
  <c r="Z76" i="39" s="1"/>
  <c r="N76" i="39"/>
  <c r="L76" i="39"/>
  <c r="B76" i="39"/>
  <c r="X75" i="39"/>
  <c r="Z75" i="39" s="1"/>
  <c r="N75" i="39"/>
  <c r="L75" i="39"/>
  <c r="B75" i="39"/>
  <c r="T74" i="39"/>
  <c r="P74" i="39"/>
  <c r="X74" i="39" s="1"/>
  <c r="Z74" i="39" s="1"/>
  <c r="N74" i="39"/>
  <c r="H74" i="39"/>
  <c r="D74" i="39"/>
  <c r="L74" i="39" s="1"/>
  <c r="B74" i="39"/>
  <c r="Z73" i="39"/>
  <c r="X73" i="39"/>
  <c r="L73" i="39"/>
  <c r="N73" i="39" s="1"/>
  <c r="B73" i="39"/>
  <c r="T72" i="39"/>
  <c r="Z72" i="39" s="1"/>
  <c r="P72" i="39"/>
  <c r="X72" i="39" s="1"/>
  <c r="L72" i="39"/>
  <c r="N72" i="39" s="1"/>
  <c r="H72" i="39"/>
  <c r="D72" i="39"/>
  <c r="B72" i="39"/>
  <c r="X71" i="39"/>
  <c r="Z71" i="39" s="1"/>
  <c r="N71" i="39"/>
  <c r="L71" i="39"/>
  <c r="B71" i="39"/>
  <c r="X70" i="39"/>
  <c r="Z70" i="39" s="1"/>
  <c r="T70" i="39"/>
  <c r="P70" i="39"/>
  <c r="H70" i="39"/>
  <c r="D70" i="39"/>
  <c r="B70" i="39"/>
  <c r="X69" i="39"/>
  <c r="Z69" i="39" s="1"/>
  <c r="N69" i="39"/>
  <c r="L69" i="39"/>
  <c r="B69" i="39"/>
  <c r="T68" i="39"/>
  <c r="P68" i="39"/>
  <c r="N68" i="39"/>
  <c r="H68" i="39"/>
  <c r="D68" i="39"/>
  <c r="L68" i="39" s="1"/>
  <c r="B68" i="39"/>
  <c r="X67" i="39"/>
  <c r="Z67" i="39" s="1"/>
  <c r="N67" i="39"/>
  <c r="L67" i="39"/>
  <c r="B67" i="39"/>
  <c r="T66" i="39"/>
  <c r="P66" i="39"/>
  <c r="X66" i="39" s="1"/>
  <c r="Z66" i="39" s="1"/>
  <c r="H66" i="39"/>
  <c r="N66" i="39" s="1"/>
  <c r="D66" i="39"/>
  <c r="L66" i="39" s="1"/>
  <c r="B66" i="39"/>
  <c r="Z65" i="39"/>
  <c r="X65" i="39"/>
  <c r="N65" i="39"/>
  <c r="L65" i="39"/>
  <c r="B65" i="39"/>
  <c r="X64" i="39"/>
  <c r="Z64" i="39" s="1"/>
  <c r="L64" i="39"/>
  <c r="N64" i="39" s="1"/>
  <c r="B64" i="39"/>
  <c r="X63" i="39"/>
  <c r="Z63" i="39" s="1"/>
  <c r="L63" i="39"/>
  <c r="N63" i="39" s="1"/>
  <c r="B63" i="39"/>
  <c r="T62" i="39"/>
  <c r="P62" i="39"/>
  <c r="X62" i="39" s="1"/>
  <c r="Z62" i="39" s="1"/>
  <c r="H62" i="39"/>
  <c r="D62" i="39"/>
  <c r="L62" i="39" s="1"/>
  <c r="N62" i="39" s="1"/>
  <c r="B62" i="39"/>
  <c r="Z61" i="39"/>
  <c r="X61" i="39"/>
  <c r="L61" i="39"/>
  <c r="N61" i="39" s="1"/>
  <c r="B61" i="39"/>
  <c r="T60" i="39"/>
  <c r="Z60" i="39" s="1"/>
  <c r="P60" i="39"/>
  <c r="X60" i="39" s="1"/>
  <c r="L60" i="39"/>
  <c r="N60" i="39" s="1"/>
  <c r="H60" i="39"/>
  <c r="D60" i="39"/>
  <c r="B60" i="39"/>
  <c r="X59" i="39"/>
  <c r="Z59" i="39" s="1"/>
  <c r="N59" i="39"/>
  <c r="L59" i="39"/>
  <c r="B59" i="39"/>
  <c r="X58" i="39"/>
  <c r="Z58" i="39" s="1"/>
  <c r="T58" i="39"/>
  <c r="P58" i="39"/>
  <c r="H58" i="39"/>
  <c r="D58" i="39"/>
  <c r="B58" i="39"/>
  <c r="X57" i="39"/>
  <c r="Z57" i="39" s="1"/>
  <c r="N57" i="39"/>
  <c r="L57" i="39"/>
  <c r="B57" i="39"/>
  <c r="T56" i="39"/>
  <c r="P56" i="39"/>
  <c r="N56" i="39"/>
  <c r="H56" i="39"/>
  <c r="D56" i="39"/>
  <c r="L56" i="39" s="1"/>
  <c r="B56" i="39"/>
  <c r="X55" i="39"/>
  <c r="Z55" i="39" s="1"/>
  <c r="N55" i="39"/>
  <c r="L55" i="39"/>
  <c r="B55" i="39"/>
  <c r="Z54" i="39"/>
  <c r="X54" i="39"/>
  <c r="N54" i="39"/>
  <c r="L54" i="39"/>
  <c r="B54" i="39"/>
  <c r="X53" i="39"/>
  <c r="Z53" i="39" s="1"/>
  <c r="N53" i="39"/>
  <c r="L53" i="39"/>
  <c r="B53" i="39"/>
  <c r="X52" i="39"/>
  <c r="Z52" i="39" s="1"/>
  <c r="N52" i="39"/>
  <c r="L52" i="39"/>
  <c r="B52" i="39"/>
  <c r="X51" i="39"/>
  <c r="Z51" i="39" s="1"/>
  <c r="N51" i="39"/>
  <c r="L51" i="39"/>
  <c r="B51" i="39"/>
  <c r="X50" i="39"/>
  <c r="Z50" i="39" s="1"/>
  <c r="N50" i="39"/>
  <c r="L50" i="39"/>
  <c r="B50" i="39"/>
  <c r="Z49" i="39"/>
  <c r="X49" i="39"/>
  <c r="L49" i="39"/>
  <c r="N49" i="39" s="1"/>
  <c r="B49" i="39"/>
  <c r="T48" i="39"/>
  <c r="Z48" i="39" s="1"/>
  <c r="P48" i="39"/>
  <c r="X48" i="39" s="1"/>
  <c r="L48" i="39"/>
  <c r="N48" i="39" s="1"/>
  <c r="H48" i="39"/>
  <c r="D48" i="39"/>
  <c r="B48" i="39"/>
  <c r="X47" i="39"/>
  <c r="Z47" i="39" s="1"/>
  <c r="L47" i="39"/>
  <c r="N47" i="39" s="1"/>
  <c r="B47" i="39"/>
  <c r="X46" i="39"/>
  <c r="Z46" i="39" s="1"/>
  <c r="N46" i="39"/>
  <c r="L46" i="39"/>
  <c r="B46" i="39"/>
  <c r="Z45" i="39"/>
  <c r="X45" i="39"/>
  <c r="L45" i="39"/>
  <c r="N45" i="39" s="1"/>
  <c r="B45" i="39"/>
  <c r="X44" i="39"/>
  <c r="Z44" i="39" s="1"/>
  <c r="N44" i="39"/>
  <c r="L44" i="39"/>
  <c r="B44" i="39"/>
  <c r="X43" i="39"/>
  <c r="Z43" i="39" s="1"/>
  <c r="L43" i="39"/>
  <c r="N43" i="39" s="1"/>
  <c r="B43" i="39"/>
  <c r="Z42" i="39"/>
  <c r="X42" i="39"/>
  <c r="N42" i="39"/>
  <c r="L42" i="39"/>
  <c r="B42" i="39"/>
  <c r="X41" i="39"/>
  <c r="Z41" i="39" s="1"/>
  <c r="N41" i="39"/>
  <c r="L41" i="39"/>
  <c r="B41" i="39"/>
  <c r="X40" i="39"/>
  <c r="Z40" i="39" s="1"/>
  <c r="L40" i="39"/>
  <c r="N40" i="39" s="1"/>
  <c r="B40" i="39"/>
  <c r="X39" i="39"/>
  <c r="Z39" i="39" s="1"/>
  <c r="L39" i="39"/>
  <c r="N39" i="39" s="1"/>
  <c r="B39" i="39"/>
  <c r="X38" i="39"/>
  <c r="Z38" i="39" s="1"/>
  <c r="T38" i="39"/>
  <c r="P38" i="39"/>
  <c r="H38" i="39"/>
  <c r="D38" i="39"/>
  <c r="L38" i="39" s="1"/>
  <c r="B38" i="39"/>
  <c r="T37" i="39"/>
  <c r="P37" i="39"/>
  <c r="L37" i="39"/>
  <c r="H37" i="39"/>
  <c r="D37" i="39"/>
  <c r="X33" i="39"/>
  <c r="Z33" i="39" s="1"/>
  <c r="N33" i="39"/>
  <c r="L33" i="39"/>
  <c r="B33" i="39"/>
  <c r="Z32" i="39"/>
  <c r="X32" i="39"/>
  <c r="L32" i="39"/>
  <c r="N32" i="39" s="1"/>
  <c r="B32" i="39"/>
  <c r="X31" i="39"/>
  <c r="Z31" i="39" s="1"/>
  <c r="T31" i="39"/>
  <c r="P31" i="39"/>
  <c r="H31" i="39"/>
  <c r="D31" i="39"/>
  <c r="X29" i="39"/>
  <c r="Z29" i="39" s="1"/>
  <c r="T29" i="39"/>
  <c r="P29" i="39"/>
  <c r="L29" i="39"/>
  <c r="H29" i="39"/>
  <c r="N29" i="39" s="1"/>
  <c r="D29" i="39"/>
  <c r="B29" i="39"/>
  <c r="T28" i="39"/>
  <c r="P28" i="39"/>
  <c r="X28" i="39" s="1"/>
  <c r="Z28" i="39" s="1"/>
  <c r="N28" i="39"/>
  <c r="L28" i="39"/>
  <c r="H28" i="39"/>
  <c r="D28" i="39"/>
  <c r="B28" i="39"/>
  <c r="T27" i="39"/>
  <c r="P27" i="39"/>
  <c r="X27" i="39" s="1"/>
  <c r="N27" i="39"/>
  <c r="H27" i="39"/>
  <c r="D27" i="39"/>
  <c r="L27" i="39" s="1"/>
  <c r="B27" i="39"/>
  <c r="T26" i="39"/>
  <c r="P26" i="39"/>
  <c r="X26" i="39" s="1"/>
  <c r="H26" i="39"/>
  <c r="D26" i="39"/>
  <c r="B26" i="39"/>
  <c r="T25" i="39"/>
  <c r="P25" i="39"/>
  <c r="N25" i="39"/>
  <c r="L25" i="39"/>
  <c r="H25" i="39"/>
  <c r="D25" i="39"/>
  <c r="B25" i="39"/>
  <c r="X24" i="39"/>
  <c r="Z24" i="39" s="1"/>
  <c r="T24" i="39"/>
  <c r="P24" i="39"/>
  <c r="N24" i="39"/>
  <c r="H24" i="39"/>
  <c r="D24" i="39"/>
  <c r="L24" i="39" s="1"/>
  <c r="B24" i="39"/>
  <c r="Z23" i="39"/>
  <c r="T23" i="39"/>
  <c r="P23" i="39"/>
  <c r="X23" i="39" s="1"/>
  <c r="H23" i="39"/>
  <c r="D23" i="39"/>
  <c r="L23" i="39" s="1"/>
  <c r="B23" i="39"/>
  <c r="T22" i="39"/>
  <c r="P22" i="39"/>
  <c r="H22" i="39"/>
  <c r="N22" i="39" s="1"/>
  <c r="D22" i="39"/>
  <c r="B22" i="39"/>
  <c r="T21" i="39"/>
  <c r="P21" i="39"/>
  <c r="X21" i="39" s="1"/>
  <c r="Z21" i="39" s="1"/>
  <c r="L21" i="39"/>
  <c r="H21" i="39"/>
  <c r="D21" i="39"/>
  <c r="B21" i="39"/>
  <c r="T20" i="39"/>
  <c r="Z20" i="39" s="1"/>
  <c r="P20" i="39"/>
  <c r="X20" i="39" s="1"/>
  <c r="N20" i="39"/>
  <c r="L20" i="39"/>
  <c r="H20" i="39"/>
  <c r="D20" i="39"/>
  <c r="B20" i="39"/>
  <c r="T19" i="39"/>
  <c r="P19" i="39"/>
  <c r="X19" i="39" s="1"/>
  <c r="N19" i="39"/>
  <c r="H19" i="39"/>
  <c r="D19" i="39"/>
  <c r="L19" i="39" s="1"/>
  <c r="B19" i="39"/>
  <c r="Z18" i="39"/>
  <c r="T18" i="39"/>
  <c r="P18" i="39"/>
  <c r="X18" i="39" s="1"/>
  <c r="H18" i="39"/>
  <c r="D18" i="39"/>
  <c r="B18" i="39"/>
  <c r="X17" i="39"/>
  <c r="T17" i="39"/>
  <c r="P17" i="39"/>
  <c r="N17" i="39"/>
  <c r="H17" i="39"/>
  <c r="D17" i="39"/>
  <c r="L17" i="39" s="1"/>
  <c r="B17" i="39"/>
  <c r="Z16" i="39"/>
  <c r="X16" i="39"/>
  <c r="T16" i="39"/>
  <c r="P16" i="39"/>
  <c r="H16" i="39"/>
  <c r="N16" i="39" s="1"/>
  <c r="D16" i="39"/>
  <c r="L16" i="39" s="1"/>
  <c r="B16" i="39"/>
  <c r="Z15" i="39"/>
  <c r="T15" i="39"/>
  <c r="P15" i="39"/>
  <c r="X15" i="39" s="1"/>
  <c r="H15" i="39"/>
  <c r="N15" i="39" s="1"/>
  <c r="D15" i="39"/>
  <c r="L15" i="39" s="1"/>
  <c r="B15" i="39"/>
  <c r="T14" i="39"/>
  <c r="P14" i="39"/>
  <c r="N14" i="39"/>
  <c r="H14" i="39"/>
  <c r="D14" i="39"/>
  <c r="B14" i="39"/>
  <c r="T13" i="39"/>
  <c r="P13" i="39"/>
  <c r="P12" i="39" s="1"/>
  <c r="L13" i="39"/>
  <c r="H13" i="39"/>
  <c r="D13" i="39"/>
  <c r="B13" i="39"/>
  <c r="D4" i="39"/>
  <c r="B39" i="38"/>
  <c r="B38" i="38"/>
  <c r="T34" i="38"/>
  <c r="Z34" i="38" s="1"/>
  <c r="P34" i="38"/>
  <c r="X34" i="38" s="1"/>
  <c r="H34" i="38"/>
  <c r="N34" i="38" s="1"/>
  <c r="D34" i="38"/>
  <c r="T33" i="38"/>
  <c r="Z33" i="38" s="1"/>
  <c r="P33" i="38"/>
  <c r="H33" i="38"/>
  <c r="N33" i="38" s="1"/>
  <c r="D33" i="38"/>
  <c r="T29" i="38"/>
  <c r="Z29" i="38" s="1"/>
  <c r="P29" i="38"/>
  <c r="H29" i="38"/>
  <c r="N29" i="38" s="1"/>
  <c r="D29" i="38"/>
  <c r="T25" i="38"/>
  <c r="Z25" i="38" s="1"/>
  <c r="P25" i="38"/>
  <c r="H25" i="38"/>
  <c r="N25" i="38" s="1"/>
  <c r="D25" i="38"/>
  <c r="B25" i="38"/>
  <c r="T24" i="38"/>
  <c r="Z24" i="38" s="1"/>
  <c r="P24" i="38"/>
  <c r="H24" i="38"/>
  <c r="N24" i="38" s="1"/>
  <c r="D24" i="38"/>
  <c r="T22" i="38"/>
  <c r="Z22" i="38" s="1"/>
  <c r="P22" i="38"/>
  <c r="H22" i="38"/>
  <c r="N22" i="38" s="1"/>
  <c r="D22" i="38"/>
  <c r="B22" i="38"/>
  <c r="T21" i="38"/>
  <c r="Z21" i="38" s="1"/>
  <c r="P21" i="38"/>
  <c r="H21" i="38"/>
  <c r="N21" i="38" s="1"/>
  <c r="D21" i="38"/>
  <c r="B21" i="38"/>
  <c r="T20" i="38"/>
  <c r="P20" i="38"/>
  <c r="H20" i="38"/>
  <c r="D20" i="38"/>
  <c r="T16" i="38"/>
  <c r="Z16" i="38" s="1"/>
  <c r="P16" i="38"/>
  <c r="H16" i="38"/>
  <c r="N16" i="38" s="1"/>
  <c r="D16" i="38"/>
  <c r="B16" i="38"/>
  <c r="T15" i="38"/>
  <c r="Z15" i="38" s="1"/>
  <c r="P15" i="38"/>
  <c r="H15" i="38"/>
  <c r="N15" i="38" s="1"/>
  <c r="D15" i="38"/>
  <c r="T13" i="38"/>
  <c r="Z13" i="38" s="1"/>
  <c r="P13" i="38"/>
  <c r="H13" i="38"/>
  <c r="N13" i="38" s="1"/>
  <c r="D13" i="38"/>
  <c r="B13" i="38"/>
  <c r="T12" i="38"/>
  <c r="V16" i="38" s="1"/>
  <c r="P12" i="38"/>
  <c r="H12" i="38"/>
  <c r="J20" i="38" s="1"/>
  <c r="D12" i="38"/>
  <c r="F24" i="38" s="1"/>
  <c r="D5" i="38"/>
  <c r="D4" i="38"/>
  <c r="B39" i="37"/>
  <c r="B38" i="37"/>
  <c r="T34" i="37"/>
  <c r="Z34" i="37" s="1"/>
  <c r="P34" i="37"/>
  <c r="H34" i="37"/>
  <c r="N34" i="37" s="1"/>
  <c r="D34" i="37"/>
  <c r="T33" i="37"/>
  <c r="Z33" i="37" s="1"/>
  <c r="P33" i="37"/>
  <c r="H33" i="37"/>
  <c r="N33" i="37" s="1"/>
  <c r="D33" i="37"/>
  <c r="T29" i="37"/>
  <c r="Z29" i="37" s="1"/>
  <c r="P29" i="37"/>
  <c r="H29" i="37"/>
  <c r="N29" i="37" s="1"/>
  <c r="D29" i="37"/>
  <c r="T25" i="37"/>
  <c r="Z25" i="37" s="1"/>
  <c r="P25" i="37"/>
  <c r="H25" i="37"/>
  <c r="N25" i="37" s="1"/>
  <c r="D25" i="37"/>
  <c r="B25" i="37"/>
  <c r="T24" i="37"/>
  <c r="Z24" i="37" s="1"/>
  <c r="P24" i="37"/>
  <c r="H24" i="37"/>
  <c r="N24" i="37" s="1"/>
  <c r="D24" i="37"/>
  <c r="T22" i="37"/>
  <c r="Z22" i="37" s="1"/>
  <c r="P22" i="37"/>
  <c r="H22" i="37"/>
  <c r="N22" i="37" s="1"/>
  <c r="D22" i="37"/>
  <c r="L22" i="37" s="1"/>
  <c r="B22" i="37"/>
  <c r="T21" i="37"/>
  <c r="Z21" i="37" s="1"/>
  <c r="P21" i="37"/>
  <c r="H21" i="37"/>
  <c r="N21" i="37" s="1"/>
  <c r="D21" i="37"/>
  <c r="B21" i="37"/>
  <c r="T20" i="37"/>
  <c r="Z20" i="37" s="1"/>
  <c r="P20" i="37"/>
  <c r="H20" i="37"/>
  <c r="N20" i="37" s="1"/>
  <c r="D20" i="37"/>
  <c r="T16" i="37"/>
  <c r="Z16" i="37" s="1"/>
  <c r="P16" i="37"/>
  <c r="H16" i="37"/>
  <c r="N16" i="37" s="1"/>
  <c r="D16" i="37"/>
  <c r="B16" i="37"/>
  <c r="T15" i="37"/>
  <c r="Z15" i="37" s="1"/>
  <c r="P15" i="37"/>
  <c r="H15" i="37"/>
  <c r="N15" i="37" s="1"/>
  <c r="D15" i="37"/>
  <c r="T13" i="37"/>
  <c r="Z13" i="37" s="1"/>
  <c r="P13" i="37"/>
  <c r="H13" i="37"/>
  <c r="N13" i="37" s="1"/>
  <c r="D13" i="37"/>
  <c r="B13" i="37"/>
  <c r="T12" i="37"/>
  <c r="P12" i="37"/>
  <c r="H12" i="37"/>
  <c r="J36" i="37" s="1"/>
  <c r="D12" i="37"/>
  <c r="F16" i="37" s="1"/>
  <c r="D5" i="37"/>
  <c r="D4" i="37"/>
  <c r="Z129" i="36"/>
  <c r="X129" i="36"/>
  <c r="L129" i="36"/>
  <c r="N129" i="36" s="1"/>
  <c r="T125" i="36"/>
  <c r="P125" i="36"/>
  <c r="X125" i="36" s="1"/>
  <c r="H125" i="36"/>
  <c r="D125" i="36"/>
  <c r="L125" i="36" s="1"/>
  <c r="N125" i="36" s="1"/>
  <c r="B125" i="36"/>
  <c r="X124" i="36"/>
  <c r="Z124" i="36" s="1"/>
  <c r="T124" i="36"/>
  <c r="P124" i="36"/>
  <c r="N124" i="36"/>
  <c r="L124" i="36"/>
  <c r="H124" i="36"/>
  <c r="D124" i="36"/>
  <c r="B124" i="36"/>
  <c r="X123" i="36"/>
  <c r="T123" i="36"/>
  <c r="Z123" i="36" s="1"/>
  <c r="P123" i="36"/>
  <c r="H123" i="36"/>
  <c r="D123" i="36"/>
  <c r="L123" i="36" s="1"/>
  <c r="B123" i="36"/>
  <c r="P122" i="36"/>
  <c r="Z120" i="36"/>
  <c r="X120" i="36"/>
  <c r="L120" i="36"/>
  <c r="N120" i="36" s="1"/>
  <c r="B120" i="36"/>
  <c r="Z119" i="36"/>
  <c r="X119" i="36"/>
  <c r="T119" i="36"/>
  <c r="P119" i="36"/>
  <c r="L119" i="36"/>
  <c r="H119" i="36"/>
  <c r="N119" i="36" s="1"/>
  <c r="D119" i="36"/>
  <c r="B119" i="36"/>
  <c r="Z118" i="36"/>
  <c r="X118" i="36"/>
  <c r="N118" i="36"/>
  <c r="L118" i="36"/>
  <c r="B118" i="36"/>
  <c r="X117" i="36"/>
  <c r="Z117" i="36" s="1"/>
  <c r="N117" i="36"/>
  <c r="L117" i="36"/>
  <c r="B117" i="36"/>
  <c r="Z116" i="36"/>
  <c r="X116" i="36"/>
  <c r="N116" i="36"/>
  <c r="L116" i="36"/>
  <c r="B116" i="36"/>
  <c r="Z115" i="36"/>
  <c r="X115" i="36"/>
  <c r="T115" i="36"/>
  <c r="P115" i="36"/>
  <c r="L115" i="36"/>
  <c r="H115" i="36"/>
  <c r="N115" i="36" s="1"/>
  <c r="D115" i="36"/>
  <c r="B115" i="36"/>
  <c r="Z114" i="36"/>
  <c r="X114" i="36"/>
  <c r="L114" i="36"/>
  <c r="N114" i="36" s="1"/>
  <c r="B114" i="36"/>
  <c r="X113" i="36"/>
  <c r="T113" i="36"/>
  <c r="Z113" i="36" s="1"/>
  <c r="P113" i="36"/>
  <c r="H113" i="36"/>
  <c r="D113" i="36"/>
  <c r="L113" i="36" s="1"/>
  <c r="B113" i="36"/>
  <c r="X112" i="36"/>
  <c r="Z112" i="36" s="1"/>
  <c r="N112" i="36"/>
  <c r="L112" i="36"/>
  <c r="B112" i="36"/>
  <c r="T111" i="36"/>
  <c r="Z111" i="36" s="1"/>
  <c r="P111" i="36"/>
  <c r="X111" i="36" s="1"/>
  <c r="H111" i="36"/>
  <c r="D111" i="36"/>
  <c r="L111" i="36" s="1"/>
  <c r="N111" i="36" s="1"/>
  <c r="B111" i="36"/>
  <c r="X110" i="36"/>
  <c r="Z110" i="36" s="1"/>
  <c r="N110" i="36"/>
  <c r="L110" i="36"/>
  <c r="B110" i="36"/>
  <c r="Z109" i="36"/>
  <c r="X109" i="36"/>
  <c r="N109" i="36"/>
  <c r="L109" i="36"/>
  <c r="B109" i="36"/>
  <c r="Z108" i="36"/>
  <c r="X108" i="36"/>
  <c r="N108" i="36"/>
  <c r="L108" i="36"/>
  <c r="B108" i="36"/>
  <c r="X107" i="36"/>
  <c r="Z107" i="36" s="1"/>
  <c r="N107" i="36"/>
  <c r="L107" i="36"/>
  <c r="B107" i="36"/>
  <c r="Z106" i="36"/>
  <c r="X106" i="36"/>
  <c r="L106" i="36"/>
  <c r="N106" i="36" s="1"/>
  <c r="B106" i="36"/>
  <c r="X105" i="36"/>
  <c r="Z105" i="36" s="1"/>
  <c r="N105" i="36"/>
  <c r="L105" i="36"/>
  <c r="B105" i="36"/>
  <c r="Z104" i="36"/>
  <c r="X104" i="36"/>
  <c r="N104" i="36"/>
  <c r="L104" i="36"/>
  <c r="B104" i="36"/>
  <c r="Z103" i="36"/>
  <c r="X103" i="36"/>
  <c r="L103" i="36"/>
  <c r="N103" i="36" s="1"/>
  <c r="B103" i="36"/>
  <c r="X102" i="36"/>
  <c r="Z102" i="36" s="1"/>
  <c r="N102" i="36"/>
  <c r="L102" i="36"/>
  <c r="B102" i="36"/>
  <c r="Z101" i="36"/>
  <c r="X101" i="36"/>
  <c r="L101" i="36"/>
  <c r="N101" i="36" s="1"/>
  <c r="B101" i="36"/>
  <c r="T100" i="36"/>
  <c r="Z100" i="36" s="1"/>
  <c r="P100" i="36"/>
  <c r="X100" i="36" s="1"/>
  <c r="L100" i="36"/>
  <c r="N100" i="36" s="1"/>
  <c r="H100" i="36"/>
  <c r="D100" i="36"/>
  <c r="B100" i="36"/>
  <c r="Z99" i="36"/>
  <c r="X99" i="36"/>
  <c r="N99" i="36"/>
  <c r="L99" i="36"/>
  <c r="B99" i="36"/>
  <c r="X98" i="36"/>
  <c r="Z98" i="36" s="1"/>
  <c r="N98" i="36"/>
  <c r="L98" i="36"/>
  <c r="B98" i="36"/>
  <c r="T97" i="36"/>
  <c r="P97" i="36"/>
  <c r="X97" i="36" s="1"/>
  <c r="Z97" i="36" s="1"/>
  <c r="N97" i="36"/>
  <c r="L97" i="36"/>
  <c r="H97" i="36"/>
  <c r="D97" i="36"/>
  <c r="B97" i="36"/>
  <c r="Z96" i="36"/>
  <c r="X96" i="36"/>
  <c r="L96" i="36"/>
  <c r="N96" i="36" s="1"/>
  <c r="B96" i="36"/>
  <c r="Z95" i="36"/>
  <c r="X95" i="36"/>
  <c r="L95" i="36"/>
  <c r="N95" i="36" s="1"/>
  <c r="B95" i="36"/>
  <c r="X94" i="36"/>
  <c r="Z94" i="36" s="1"/>
  <c r="L94" i="36"/>
  <c r="N94" i="36" s="1"/>
  <c r="B94" i="36"/>
  <c r="Z93" i="36"/>
  <c r="X93" i="36"/>
  <c r="N93" i="36"/>
  <c r="L93" i="36"/>
  <c r="B93" i="36"/>
  <c r="Z92" i="36"/>
  <c r="X92" i="36"/>
  <c r="N92" i="36"/>
  <c r="L92" i="36"/>
  <c r="B92" i="36"/>
  <c r="T91" i="36"/>
  <c r="Z91" i="36" s="1"/>
  <c r="P91" i="36"/>
  <c r="X91" i="36" s="1"/>
  <c r="H91" i="36"/>
  <c r="D91" i="36"/>
  <c r="L91" i="36" s="1"/>
  <c r="N91" i="36" s="1"/>
  <c r="B91" i="36"/>
  <c r="Z90" i="36"/>
  <c r="X90" i="36"/>
  <c r="N90" i="36"/>
  <c r="L90" i="36"/>
  <c r="B90" i="36"/>
  <c r="Z89" i="36"/>
  <c r="X89" i="36"/>
  <c r="N89" i="36"/>
  <c r="L89" i="36"/>
  <c r="B89" i="36"/>
  <c r="T88" i="36"/>
  <c r="P88" i="36"/>
  <c r="X88" i="36" s="1"/>
  <c r="N88" i="36"/>
  <c r="L88" i="36"/>
  <c r="H88" i="36"/>
  <c r="D88" i="36"/>
  <c r="B88" i="36"/>
  <c r="Z87" i="36"/>
  <c r="X87" i="36"/>
  <c r="N87" i="36"/>
  <c r="L87" i="36"/>
  <c r="B87" i="36"/>
  <c r="Z86" i="36"/>
  <c r="X86" i="36"/>
  <c r="L86" i="36"/>
  <c r="N86" i="36" s="1"/>
  <c r="B86" i="36"/>
  <c r="Z85" i="36"/>
  <c r="X85" i="36"/>
  <c r="N85" i="36"/>
  <c r="L85" i="36"/>
  <c r="B85" i="36"/>
  <c r="Z84" i="36"/>
  <c r="X84" i="36"/>
  <c r="N84" i="36"/>
  <c r="L84" i="36"/>
  <c r="B84" i="36"/>
  <c r="T83" i="36"/>
  <c r="P83" i="36"/>
  <c r="X83" i="36" s="1"/>
  <c r="H83" i="36"/>
  <c r="D83" i="36"/>
  <c r="L83" i="36" s="1"/>
  <c r="N83" i="36" s="1"/>
  <c r="B83" i="36"/>
  <c r="Z82" i="36"/>
  <c r="X82" i="36"/>
  <c r="L82" i="36"/>
  <c r="N82" i="36" s="1"/>
  <c r="B82" i="36"/>
  <c r="T81" i="36"/>
  <c r="P81" i="36"/>
  <c r="X81" i="36" s="1"/>
  <c r="Z81" i="36" s="1"/>
  <c r="N81" i="36"/>
  <c r="L81" i="36"/>
  <c r="H81" i="36"/>
  <c r="D81" i="36"/>
  <c r="B81" i="36"/>
  <c r="Z80" i="36"/>
  <c r="X80" i="36"/>
  <c r="N80" i="36"/>
  <c r="L80" i="36"/>
  <c r="B80" i="36"/>
  <c r="Z79" i="36"/>
  <c r="X79" i="36"/>
  <c r="T79" i="36"/>
  <c r="P79" i="36"/>
  <c r="L79" i="36"/>
  <c r="H79" i="36"/>
  <c r="N79" i="36" s="1"/>
  <c r="D79" i="36"/>
  <c r="B79" i="36"/>
  <c r="X78" i="36"/>
  <c r="Z78" i="36" s="1"/>
  <c r="N78" i="36"/>
  <c r="L78" i="36"/>
  <c r="B78" i="36"/>
  <c r="X77" i="36"/>
  <c r="T77" i="36"/>
  <c r="Z77" i="36" s="1"/>
  <c r="P77" i="36"/>
  <c r="H77" i="36"/>
  <c r="N77" i="36" s="1"/>
  <c r="D77" i="36"/>
  <c r="L77" i="36" s="1"/>
  <c r="B77" i="36"/>
  <c r="Z76" i="36"/>
  <c r="X76" i="36"/>
  <c r="N76" i="36"/>
  <c r="L76" i="36"/>
  <c r="B76" i="36"/>
  <c r="T75" i="36"/>
  <c r="Z75" i="36" s="1"/>
  <c r="P75" i="36"/>
  <c r="X75" i="36" s="1"/>
  <c r="H75" i="36"/>
  <c r="D75" i="36"/>
  <c r="L75" i="36" s="1"/>
  <c r="N75" i="36" s="1"/>
  <c r="B75" i="36"/>
  <c r="Z74" i="36"/>
  <c r="X74" i="36"/>
  <c r="N74" i="36"/>
  <c r="L74" i="36"/>
  <c r="B74" i="36"/>
  <c r="T73" i="36"/>
  <c r="P73" i="36"/>
  <c r="X73" i="36" s="1"/>
  <c r="Z73" i="36" s="1"/>
  <c r="L73" i="36"/>
  <c r="N73" i="36" s="1"/>
  <c r="H73" i="36"/>
  <c r="D73" i="36"/>
  <c r="B73" i="36"/>
  <c r="Z72" i="36"/>
  <c r="X72" i="36"/>
  <c r="N72" i="36"/>
  <c r="L72" i="36"/>
  <c r="B72" i="36"/>
  <c r="X71" i="36"/>
  <c r="Z71" i="36" s="1"/>
  <c r="N71" i="36"/>
  <c r="L71" i="36"/>
  <c r="B71" i="36"/>
  <c r="Z70" i="36"/>
  <c r="X70" i="36"/>
  <c r="T70" i="36"/>
  <c r="P70" i="36"/>
  <c r="N70" i="36"/>
  <c r="L70" i="36"/>
  <c r="H70" i="36"/>
  <c r="D70" i="36"/>
  <c r="B70" i="36"/>
  <c r="X69" i="36"/>
  <c r="Z69" i="36" s="1"/>
  <c r="N69" i="36"/>
  <c r="L69" i="36"/>
  <c r="B69" i="36"/>
  <c r="Z68" i="36"/>
  <c r="X68" i="36"/>
  <c r="T68" i="36"/>
  <c r="P68" i="36"/>
  <c r="H68" i="36"/>
  <c r="N68" i="36" s="1"/>
  <c r="D68" i="36"/>
  <c r="L68" i="36" s="1"/>
  <c r="B68" i="36"/>
  <c r="X67" i="36"/>
  <c r="Z67" i="36" s="1"/>
  <c r="N67" i="36"/>
  <c r="L67" i="36"/>
  <c r="B67" i="36"/>
  <c r="T66" i="36"/>
  <c r="P66" i="36"/>
  <c r="X66" i="36" s="1"/>
  <c r="H66" i="36"/>
  <c r="N66" i="36" s="1"/>
  <c r="D66" i="36"/>
  <c r="L66" i="36" s="1"/>
  <c r="B66" i="36"/>
  <c r="Z65" i="36"/>
  <c r="X65" i="36"/>
  <c r="N65" i="36"/>
  <c r="L65" i="36"/>
  <c r="B65" i="36"/>
  <c r="T64" i="36"/>
  <c r="Z64" i="36" s="1"/>
  <c r="P64" i="36"/>
  <c r="X64" i="36" s="1"/>
  <c r="N64" i="36"/>
  <c r="L64" i="36"/>
  <c r="H64" i="36"/>
  <c r="D64" i="36"/>
  <c r="B64" i="36"/>
  <c r="Z63" i="36"/>
  <c r="X63" i="36"/>
  <c r="N63" i="36"/>
  <c r="L63" i="36"/>
  <c r="B63" i="36"/>
  <c r="Z62" i="36"/>
  <c r="X62" i="36"/>
  <c r="T62" i="36"/>
  <c r="P62" i="36"/>
  <c r="N62" i="36"/>
  <c r="L62" i="36"/>
  <c r="H62" i="36"/>
  <c r="D62" i="36"/>
  <c r="B62" i="36"/>
  <c r="X61" i="36"/>
  <c r="Z61" i="36" s="1"/>
  <c r="N61" i="36"/>
  <c r="L61" i="36"/>
  <c r="B61" i="36"/>
  <c r="Z60" i="36"/>
  <c r="X60" i="36"/>
  <c r="T60" i="36"/>
  <c r="P60" i="36"/>
  <c r="H60" i="36"/>
  <c r="N60" i="36" s="1"/>
  <c r="D60" i="36"/>
  <c r="L60" i="36" s="1"/>
  <c r="B60" i="36"/>
  <c r="X59" i="36"/>
  <c r="Z59" i="36" s="1"/>
  <c r="N59" i="36"/>
  <c r="L59" i="36"/>
  <c r="B59" i="36"/>
  <c r="X58" i="36"/>
  <c r="Z58" i="36" s="1"/>
  <c r="N58" i="36"/>
  <c r="L58" i="36"/>
  <c r="B58" i="36"/>
  <c r="X57" i="36"/>
  <c r="Z57" i="36" s="1"/>
  <c r="N57" i="36"/>
  <c r="L57" i="36"/>
  <c r="B57" i="36"/>
  <c r="Z56" i="36"/>
  <c r="X56" i="36"/>
  <c r="T56" i="36"/>
  <c r="P56" i="36"/>
  <c r="H56" i="36"/>
  <c r="N56" i="36" s="1"/>
  <c r="D56" i="36"/>
  <c r="L56" i="36" s="1"/>
  <c r="B56" i="36"/>
  <c r="X55" i="36"/>
  <c r="Z55" i="36" s="1"/>
  <c r="N55" i="36"/>
  <c r="L55" i="36"/>
  <c r="B55" i="36"/>
  <c r="T54" i="36"/>
  <c r="P54" i="36"/>
  <c r="X54" i="36" s="1"/>
  <c r="H54" i="36"/>
  <c r="D54" i="36"/>
  <c r="L54" i="36" s="1"/>
  <c r="B54" i="36"/>
  <c r="Z53" i="36"/>
  <c r="X53" i="36"/>
  <c r="N53" i="36"/>
  <c r="L53" i="36"/>
  <c r="B53" i="36"/>
  <c r="T52" i="36"/>
  <c r="P52" i="36"/>
  <c r="X52" i="36" s="1"/>
  <c r="N52" i="36"/>
  <c r="L52" i="36"/>
  <c r="H52" i="36"/>
  <c r="D52" i="36"/>
  <c r="B52" i="36"/>
  <c r="Z51" i="36"/>
  <c r="X51" i="36"/>
  <c r="N51" i="36"/>
  <c r="L51" i="36"/>
  <c r="B51" i="36"/>
  <c r="Z50" i="36"/>
  <c r="X50" i="36"/>
  <c r="T50" i="36"/>
  <c r="P50" i="36"/>
  <c r="N50" i="36"/>
  <c r="L50" i="36"/>
  <c r="H50" i="36"/>
  <c r="D50" i="36"/>
  <c r="B50" i="36"/>
  <c r="X49" i="36"/>
  <c r="Z49" i="36" s="1"/>
  <c r="N49" i="36"/>
  <c r="L49" i="36"/>
  <c r="B49" i="36"/>
  <c r="Z48" i="36"/>
  <c r="X48" i="36"/>
  <c r="N48" i="36"/>
  <c r="L48" i="36"/>
  <c r="B48" i="36"/>
  <c r="Z47" i="36"/>
  <c r="X47" i="36"/>
  <c r="N47" i="36"/>
  <c r="L47" i="36"/>
  <c r="B47" i="36"/>
  <c r="X46" i="36"/>
  <c r="Z46" i="36" s="1"/>
  <c r="N46" i="36"/>
  <c r="L46" i="36"/>
  <c r="B46" i="36"/>
  <c r="Z45" i="36"/>
  <c r="X45" i="36"/>
  <c r="L45" i="36"/>
  <c r="N45" i="36" s="1"/>
  <c r="B45" i="36"/>
  <c r="X44" i="36"/>
  <c r="Z44" i="36" s="1"/>
  <c r="N44" i="36"/>
  <c r="L44" i="36"/>
  <c r="B44" i="36"/>
  <c r="X43" i="36"/>
  <c r="Z43" i="36" s="1"/>
  <c r="N43" i="36"/>
  <c r="L43" i="36"/>
  <c r="B43" i="36"/>
  <c r="T42" i="36"/>
  <c r="P42" i="36"/>
  <c r="X42" i="36" s="1"/>
  <c r="H42" i="36"/>
  <c r="D42" i="36"/>
  <c r="L42" i="36" s="1"/>
  <c r="B42" i="36"/>
  <c r="Z41" i="36"/>
  <c r="X41" i="36"/>
  <c r="L41" i="36"/>
  <c r="N41" i="36" s="1"/>
  <c r="B41" i="36"/>
  <c r="X40" i="36"/>
  <c r="Z40" i="36" s="1"/>
  <c r="N40" i="36"/>
  <c r="L40" i="36"/>
  <c r="B40" i="36"/>
  <c r="X39" i="36"/>
  <c r="Z39" i="36" s="1"/>
  <c r="N39" i="36"/>
  <c r="L39" i="36"/>
  <c r="B39" i="36"/>
  <c r="X38" i="36"/>
  <c r="Z38" i="36" s="1"/>
  <c r="L38" i="36"/>
  <c r="N38" i="36" s="1"/>
  <c r="B38" i="36"/>
  <c r="X37" i="36"/>
  <c r="Z37" i="36" s="1"/>
  <c r="N37" i="36"/>
  <c r="L37" i="36"/>
  <c r="B37" i="36"/>
  <c r="Z36" i="36"/>
  <c r="X36" i="36"/>
  <c r="L36" i="36"/>
  <c r="N36" i="36" s="1"/>
  <c r="B36" i="36"/>
  <c r="Z35" i="36"/>
  <c r="X35" i="36"/>
  <c r="L35" i="36"/>
  <c r="N35" i="36" s="1"/>
  <c r="B35" i="36"/>
  <c r="X34" i="36"/>
  <c r="Z34" i="36" s="1"/>
  <c r="L34" i="36"/>
  <c r="N34" i="36" s="1"/>
  <c r="B34" i="36"/>
  <c r="Z33" i="36"/>
  <c r="X33" i="36"/>
  <c r="L33" i="36"/>
  <c r="N33" i="36" s="1"/>
  <c r="B33" i="36"/>
  <c r="T32" i="36"/>
  <c r="P32" i="36"/>
  <c r="X32" i="36" s="1"/>
  <c r="L32" i="36"/>
  <c r="N32" i="36" s="1"/>
  <c r="H32" i="36"/>
  <c r="D32" i="36"/>
  <c r="B32" i="36"/>
  <c r="Z31" i="36"/>
  <c r="X31" i="36"/>
  <c r="T31" i="36"/>
  <c r="P31" i="36"/>
  <c r="L31" i="36"/>
  <c r="H31" i="36"/>
  <c r="D31" i="36"/>
  <c r="X27" i="36"/>
  <c r="Z27" i="36" s="1"/>
  <c r="L27" i="36"/>
  <c r="N27" i="36" s="1"/>
  <c r="B27" i="36"/>
  <c r="Z26" i="36"/>
  <c r="X26" i="36"/>
  <c r="N26" i="36"/>
  <c r="L26" i="36"/>
  <c r="B26" i="36"/>
  <c r="T25" i="36"/>
  <c r="P25" i="36"/>
  <c r="X25" i="36" s="1"/>
  <c r="Z25" i="36" s="1"/>
  <c r="L25" i="36"/>
  <c r="N25" i="36" s="1"/>
  <c r="H25" i="36"/>
  <c r="D25" i="36"/>
  <c r="X23" i="36"/>
  <c r="T23" i="36"/>
  <c r="Z23" i="36" s="1"/>
  <c r="P23" i="36"/>
  <c r="N23" i="36"/>
  <c r="H23" i="36"/>
  <c r="D23" i="36"/>
  <c r="L23" i="36" s="1"/>
  <c r="B23" i="36"/>
  <c r="Z22" i="36"/>
  <c r="T22" i="36"/>
  <c r="X22" i="36" s="1"/>
  <c r="P22" i="36"/>
  <c r="H22" i="36"/>
  <c r="N22" i="36" s="1"/>
  <c r="D22" i="36"/>
  <c r="L22" i="36" s="1"/>
  <c r="B22" i="36"/>
  <c r="X21" i="36"/>
  <c r="Z21" i="36" s="1"/>
  <c r="T21" i="36"/>
  <c r="P21" i="36"/>
  <c r="H21" i="36"/>
  <c r="N21" i="36" s="1"/>
  <c r="D21" i="36"/>
  <c r="L21" i="36" s="1"/>
  <c r="B21" i="36"/>
  <c r="Z20" i="36"/>
  <c r="X20" i="36"/>
  <c r="T20" i="36"/>
  <c r="P20" i="36"/>
  <c r="H20" i="36"/>
  <c r="D20" i="36"/>
  <c r="B20" i="36"/>
  <c r="T19" i="36"/>
  <c r="P19" i="36"/>
  <c r="X19" i="36" s="1"/>
  <c r="Z19" i="36" s="1"/>
  <c r="L19" i="36"/>
  <c r="H19" i="36"/>
  <c r="N19" i="36" s="1"/>
  <c r="D19" i="36"/>
  <c r="B19" i="36"/>
  <c r="T18" i="36"/>
  <c r="P18" i="36"/>
  <c r="X18" i="36" s="1"/>
  <c r="H18" i="36"/>
  <c r="L18" i="36" s="1"/>
  <c r="D18" i="36"/>
  <c r="B18" i="36"/>
  <c r="T17" i="36"/>
  <c r="P17" i="36"/>
  <c r="X17" i="36" s="1"/>
  <c r="N17" i="36"/>
  <c r="L17" i="36"/>
  <c r="H17" i="36"/>
  <c r="D17" i="36"/>
  <c r="B17" i="36"/>
  <c r="T16" i="36"/>
  <c r="P16" i="36"/>
  <c r="X16" i="36" s="1"/>
  <c r="N16" i="36"/>
  <c r="L16" i="36"/>
  <c r="H16" i="36"/>
  <c r="D16" i="36"/>
  <c r="B16" i="36"/>
  <c r="X15" i="36"/>
  <c r="T15" i="36"/>
  <c r="P15" i="36"/>
  <c r="H15" i="36"/>
  <c r="D15" i="36"/>
  <c r="L15" i="36" s="1"/>
  <c r="N15" i="36" s="1"/>
  <c r="B15" i="36"/>
  <c r="T14" i="36"/>
  <c r="X14" i="36" s="1"/>
  <c r="P14" i="36"/>
  <c r="H14" i="36"/>
  <c r="N14" i="36" s="1"/>
  <c r="D14" i="36"/>
  <c r="L14" i="36" s="1"/>
  <c r="B14" i="36"/>
  <c r="X13" i="36"/>
  <c r="Z13" i="36" s="1"/>
  <c r="T13" i="36"/>
  <c r="T12" i="36" s="1"/>
  <c r="P13" i="36"/>
  <c r="H13" i="36"/>
  <c r="N13" i="36" s="1"/>
  <c r="D13" i="36"/>
  <c r="B13" i="36"/>
  <c r="H12" i="36"/>
  <c r="J26" i="36" s="1"/>
  <c r="D4" i="36"/>
  <c r="B39" i="35"/>
  <c r="B38" i="35"/>
  <c r="T34" i="35"/>
  <c r="Z34" i="35" s="1"/>
  <c r="P34" i="35"/>
  <c r="H34" i="35"/>
  <c r="D34" i="35"/>
  <c r="T33" i="35"/>
  <c r="Z33" i="35" s="1"/>
  <c r="P33" i="35"/>
  <c r="H33" i="35"/>
  <c r="N33" i="35" s="1"/>
  <c r="D33" i="35"/>
  <c r="T29" i="35"/>
  <c r="Z29" i="35" s="1"/>
  <c r="P29" i="35"/>
  <c r="H29" i="35"/>
  <c r="N29" i="35" s="1"/>
  <c r="D29" i="35"/>
  <c r="T25" i="35"/>
  <c r="Z25" i="35" s="1"/>
  <c r="P25" i="35"/>
  <c r="H25" i="35"/>
  <c r="N25" i="35" s="1"/>
  <c r="D25" i="35"/>
  <c r="B25" i="35"/>
  <c r="T24" i="35"/>
  <c r="Z24" i="35" s="1"/>
  <c r="P24" i="35"/>
  <c r="X24" i="35" s="1"/>
  <c r="H24" i="35"/>
  <c r="N24" i="35" s="1"/>
  <c r="D24" i="35"/>
  <c r="T22" i="35"/>
  <c r="Z22" i="35" s="1"/>
  <c r="P22" i="35"/>
  <c r="H22" i="35"/>
  <c r="N22" i="35" s="1"/>
  <c r="D22" i="35"/>
  <c r="B22" i="35"/>
  <c r="T21" i="35"/>
  <c r="Z21" i="35" s="1"/>
  <c r="P21" i="35"/>
  <c r="H21" i="35"/>
  <c r="N21" i="35" s="1"/>
  <c r="D21" i="35"/>
  <c r="B21" i="35"/>
  <c r="T20" i="35"/>
  <c r="Z20" i="35" s="1"/>
  <c r="P20" i="35"/>
  <c r="H20" i="35"/>
  <c r="N20" i="35" s="1"/>
  <c r="D20" i="35"/>
  <c r="T16" i="35"/>
  <c r="Z16" i="35" s="1"/>
  <c r="P16" i="35"/>
  <c r="H16" i="35"/>
  <c r="N16" i="35" s="1"/>
  <c r="D16" i="35"/>
  <c r="B16" i="35"/>
  <c r="T15" i="35"/>
  <c r="Z15" i="35" s="1"/>
  <c r="P15" i="35"/>
  <c r="H15" i="35"/>
  <c r="N15" i="35" s="1"/>
  <c r="D15" i="35"/>
  <c r="T13" i="35"/>
  <c r="Z13" i="35" s="1"/>
  <c r="P13" i="35"/>
  <c r="H13" i="35"/>
  <c r="N13" i="35" s="1"/>
  <c r="D13" i="35"/>
  <c r="B13" i="35"/>
  <c r="T12" i="35"/>
  <c r="V20" i="35" s="1"/>
  <c r="P12" i="35"/>
  <c r="R34" i="35" s="1"/>
  <c r="H12" i="35"/>
  <c r="J27" i="35" s="1"/>
  <c r="D12" i="35"/>
  <c r="F18" i="35" s="1"/>
  <c r="D5" i="35"/>
  <c r="D4" i="35"/>
  <c r="B39" i="34"/>
  <c r="B38" i="34"/>
  <c r="T34" i="34"/>
  <c r="Z34" i="34" s="1"/>
  <c r="P34" i="34"/>
  <c r="X34" i="34" s="1"/>
  <c r="H34" i="34"/>
  <c r="N34" i="34" s="1"/>
  <c r="D34" i="34"/>
  <c r="T33" i="34"/>
  <c r="Z33" i="34" s="1"/>
  <c r="P33" i="34"/>
  <c r="H33" i="34"/>
  <c r="N33" i="34" s="1"/>
  <c r="D33" i="34"/>
  <c r="T29" i="34"/>
  <c r="Z29" i="34" s="1"/>
  <c r="P29" i="34"/>
  <c r="X29" i="34" s="1"/>
  <c r="H29" i="34"/>
  <c r="N29" i="34" s="1"/>
  <c r="D29" i="34"/>
  <c r="T25" i="34"/>
  <c r="Z25" i="34" s="1"/>
  <c r="P25" i="34"/>
  <c r="H25" i="34"/>
  <c r="N25" i="34" s="1"/>
  <c r="D25" i="34"/>
  <c r="B25" i="34"/>
  <c r="T24" i="34"/>
  <c r="Z24" i="34" s="1"/>
  <c r="P24" i="34"/>
  <c r="H24" i="34"/>
  <c r="N24" i="34" s="1"/>
  <c r="D24" i="34"/>
  <c r="T22" i="34"/>
  <c r="Z22" i="34" s="1"/>
  <c r="P22" i="34"/>
  <c r="H22" i="34"/>
  <c r="N22" i="34" s="1"/>
  <c r="D22" i="34"/>
  <c r="B22" i="34"/>
  <c r="T21" i="34"/>
  <c r="Z21" i="34" s="1"/>
  <c r="P21" i="34"/>
  <c r="H21" i="34"/>
  <c r="N21" i="34" s="1"/>
  <c r="D21" i="34"/>
  <c r="B21" i="34"/>
  <c r="T20" i="34"/>
  <c r="Z20" i="34" s="1"/>
  <c r="P20" i="34"/>
  <c r="H20" i="34"/>
  <c r="D20" i="34"/>
  <c r="T16" i="34"/>
  <c r="Z16" i="34" s="1"/>
  <c r="P16" i="34"/>
  <c r="H16" i="34"/>
  <c r="D16" i="34"/>
  <c r="B16" i="34"/>
  <c r="T15" i="34"/>
  <c r="Z15" i="34" s="1"/>
  <c r="P15" i="34"/>
  <c r="H15" i="34"/>
  <c r="N15" i="34" s="1"/>
  <c r="D15" i="34"/>
  <c r="T13" i="34"/>
  <c r="Z13" i="34" s="1"/>
  <c r="P13" i="34"/>
  <c r="H13" i="34"/>
  <c r="N13" i="34" s="1"/>
  <c r="D13" i="34"/>
  <c r="B13" i="34"/>
  <c r="T12" i="34"/>
  <c r="P12" i="34"/>
  <c r="R27" i="34" s="1"/>
  <c r="H12" i="34"/>
  <c r="D12" i="34"/>
  <c r="F36" i="34" s="1"/>
  <c r="D5" i="34"/>
  <c r="D4" i="34"/>
  <c r="X108" i="33"/>
  <c r="Z108" i="33" s="1"/>
  <c r="N108" i="33"/>
  <c r="L108" i="33"/>
  <c r="T104" i="33"/>
  <c r="P104" i="33"/>
  <c r="X104" i="33" s="1"/>
  <c r="Z104" i="33" s="1"/>
  <c r="H104" i="33"/>
  <c r="L104" i="33" s="1"/>
  <c r="D104" i="33"/>
  <c r="B104" i="33"/>
  <c r="T103" i="33"/>
  <c r="P103" i="33"/>
  <c r="X103" i="33" s="1"/>
  <c r="Z103" i="33" s="1"/>
  <c r="N103" i="33"/>
  <c r="H103" i="33"/>
  <c r="D103" i="33"/>
  <c r="L103" i="33" s="1"/>
  <c r="B103" i="33"/>
  <c r="T102" i="33"/>
  <c r="P102" i="33"/>
  <c r="X102" i="33" s="1"/>
  <c r="H102" i="33"/>
  <c r="D102" i="33"/>
  <c r="B102" i="33"/>
  <c r="X101" i="33"/>
  <c r="T101" i="33"/>
  <c r="Z101" i="33" s="1"/>
  <c r="P101" i="33"/>
  <c r="N101" i="33"/>
  <c r="H101" i="33"/>
  <c r="D101" i="33"/>
  <c r="L101" i="33" s="1"/>
  <c r="B101" i="33"/>
  <c r="X100" i="33"/>
  <c r="Z100" i="33" s="1"/>
  <c r="T100" i="33"/>
  <c r="P100" i="33"/>
  <c r="H100" i="33"/>
  <c r="N100" i="33" s="1"/>
  <c r="D100" i="33"/>
  <c r="B100" i="33"/>
  <c r="X99" i="33"/>
  <c r="Z99" i="33" s="1"/>
  <c r="T99" i="33"/>
  <c r="P99" i="33"/>
  <c r="L99" i="33"/>
  <c r="H99" i="33"/>
  <c r="N99" i="33" s="1"/>
  <c r="D99" i="33"/>
  <c r="B99" i="33"/>
  <c r="Z96" i="33"/>
  <c r="X96" i="33"/>
  <c r="N96" i="33"/>
  <c r="L96" i="33"/>
  <c r="B96" i="33"/>
  <c r="T95" i="33"/>
  <c r="Z95" i="33" s="1"/>
  <c r="P95" i="33"/>
  <c r="X95" i="33" s="1"/>
  <c r="N95" i="33"/>
  <c r="L95" i="33"/>
  <c r="H95" i="33"/>
  <c r="D95" i="33"/>
  <c r="B95" i="33"/>
  <c r="Z94" i="33"/>
  <c r="X94" i="33"/>
  <c r="N94" i="33"/>
  <c r="L94" i="33"/>
  <c r="B94" i="33"/>
  <c r="X93" i="33"/>
  <c r="Z93" i="33" s="1"/>
  <c r="T93" i="33"/>
  <c r="P93" i="33"/>
  <c r="L93" i="33"/>
  <c r="H93" i="33"/>
  <c r="N93" i="33" s="1"/>
  <c r="D93" i="33"/>
  <c r="B93" i="33"/>
  <c r="X92" i="33"/>
  <c r="Z92" i="33" s="1"/>
  <c r="N92" i="33"/>
  <c r="L92" i="33"/>
  <c r="B92" i="33"/>
  <c r="X91" i="33"/>
  <c r="T91" i="33"/>
  <c r="Z91" i="33" s="1"/>
  <c r="P91" i="33"/>
  <c r="H91" i="33"/>
  <c r="D91" i="33"/>
  <c r="L91" i="33" s="1"/>
  <c r="N91" i="33" s="1"/>
  <c r="B91" i="33"/>
  <c r="X90" i="33"/>
  <c r="Z90" i="33" s="1"/>
  <c r="N90" i="33"/>
  <c r="L90" i="33"/>
  <c r="B90" i="33"/>
  <c r="Z89" i="33"/>
  <c r="X89" i="33"/>
  <c r="N89" i="33"/>
  <c r="L89" i="33"/>
  <c r="B89" i="33"/>
  <c r="X88" i="33"/>
  <c r="Z88" i="33" s="1"/>
  <c r="N88" i="33"/>
  <c r="L88" i="33"/>
  <c r="B88" i="33"/>
  <c r="X87" i="33"/>
  <c r="Z87" i="33" s="1"/>
  <c r="N87" i="33"/>
  <c r="L87" i="33"/>
  <c r="B87" i="33"/>
  <c r="Z86" i="33"/>
  <c r="X86" i="33"/>
  <c r="N86" i="33"/>
  <c r="L86" i="33"/>
  <c r="B86" i="33"/>
  <c r="X85" i="33"/>
  <c r="Z85" i="33" s="1"/>
  <c r="N85" i="33"/>
  <c r="L85" i="33"/>
  <c r="B85" i="33"/>
  <c r="T84" i="33"/>
  <c r="P84" i="33"/>
  <c r="H84" i="33"/>
  <c r="D84" i="33"/>
  <c r="L84" i="33" s="1"/>
  <c r="N84" i="33" s="1"/>
  <c r="B84" i="33"/>
  <c r="Z83" i="33"/>
  <c r="X83" i="33"/>
  <c r="N83" i="33"/>
  <c r="L83" i="33"/>
  <c r="B83" i="33"/>
  <c r="Z82" i="33"/>
  <c r="T82" i="33"/>
  <c r="P82" i="33"/>
  <c r="X82" i="33" s="1"/>
  <c r="L82" i="33"/>
  <c r="H82" i="33"/>
  <c r="N82" i="33" s="1"/>
  <c r="D82" i="33"/>
  <c r="B82" i="33"/>
  <c r="Z81" i="33"/>
  <c r="X81" i="33"/>
  <c r="N81" i="33"/>
  <c r="L81" i="33"/>
  <c r="B81" i="33"/>
  <c r="X80" i="33"/>
  <c r="T80" i="33"/>
  <c r="Z80" i="33" s="1"/>
  <c r="P80" i="33"/>
  <c r="L80" i="33"/>
  <c r="H80" i="33"/>
  <c r="N80" i="33" s="1"/>
  <c r="D80" i="33"/>
  <c r="B80" i="33"/>
  <c r="X79" i="33"/>
  <c r="Z79" i="33" s="1"/>
  <c r="N79" i="33"/>
  <c r="L79" i="33"/>
  <c r="B79" i="33"/>
  <c r="X78" i="33"/>
  <c r="Z78" i="33" s="1"/>
  <c r="N78" i="33"/>
  <c r="L78" i="33"/>
  <c r="B78" i="33"/>
  <c r="Z77" i="33"/>
  <c r="X77" i="33"/>
  <c r="N77" i="33"/>
  <c r="L77" i="33"/>
  <c r="B77" i="33"/>
  <c r="X76" i="33"/>
  <c r="T76" i="33"/>
  <c r="Z76" i="33" s="1"/>
  <c r="P76" i="33"/>
  <c r="L76" i="33"/>
  <c r="H76" i="33"/>
  <c r="N76" i="33" s="1"/>
  <c r="D76" i="33"/>
  <c r="B76" i="33"/>
  <c r="X75" i="33"/>
  <c r="Z75" i="33" s="1"/>
  <c r="L75" i="33"/>
  <c r="N75" i="33" s="1"/>
  <c r="B75" i="33"/>
  <c r="X74" i="33"/>
  <c r="Z74" i="33" s="1"/>
  <c r="N74" i="33"/>
  <c r="L74" i="33"/>
  <c r="B74" i="33"/>
  <c r="Z73" i="33"/>
  <c r="X73" i="33"/>
  <c r="L73" i="33"/>
  <c r="N73" i="33" s="1"/>
  <c r="B73" i="33"/>
  <c r="X72" i="33"/>
  <c r="T72" i="33"/>
  <c r="Z72" i="33" s="1"/>
  <c r="P72" i="33"/>
  <c r="L72" i="33"/>
  <c r="H72" i="33"/>
  <c r="D72" i="33"/>
  <c r="B72" i="33"/>
  <c r="X71" i="33"/>
  <c r="Z71" i="33" s="1"/>
  <c r="N71" i="33"/>
  <c r="L71" i="33"/>
  <c r="B71" i="33"/>
  <c r="X70" i="33"/>
  <c r="T70" i="33"/>
  <c r="P70" i="33"/>
  <c r="H70" i="33"/>
  <c r="N70" i="33" s="1"/>
  <c r="D70" i="33"/>
  <c r="B70" i="33"/>
  <c r="X69" i="33"/>
  <c r="Z69" i="33" s="1"/>
  <c r="N69" i="33"/>
  <c r="L69" i="33"/>
  <c r="B69" i="33"/>
  <c r="Z68" i="33"/>
  <c r="X68" i="33"/>
  <c r="L68" i="33"/>
  <c r="N68" i="33" s="1"/>
  <c r="B68" i="33"/>
  <c r="T67" i="33"/>
  <c r="P67" i="33"/>
  <c r="X67" i="33" s="1"/>
  <c r="Z67" i="33" s="1"/>
  <c r="L67" i="33"/>
  <c r="N67" i="33" s="1"/>
  <c r="H67" i="33"/>
  <c r="D67" i="33"/>
  <c r="B67" i="33"/>
  <c r="Z66" i="33"/>
  <c r="X66" i="33"/>
  <c r="L66" i="33"/>
  <c r="N66" i="33" s="1"/>
  <c r="B66" i="33"/>
  <c r="X65" i="33"/>
  <c r="Z65" i="33" s="1"/>
  <c r="T65" i="33"/>
  <c r="P65" i="33"/>
  <c r="L65" i="33"/>
  <c r="H65" i="33"/>
  <c r="N65" i="33" s="1"/>
  <c r="D65" i="33"/>
  <c r="B65" i="33"/>
  <c r="X64" i="33"/>
  <c r="Z64" i="33" s="1"/>
  <c r="N64" i="33"/>
  <c r="L64" i="33"/>
  <c r="B64" i="33"/>
  <c r="X63" i="33"/>
  <c r="T63" i="33"/>
  <c r="Z63" i="33" s="1"/>
  <c r="P63" i="33"/>
  <c r="H63" i="33"/>
  <c r="D63" i="33"/>
  <c r="L63" i="33" s="1"/>
  <c r="N63" i="33" s="1"/>
  <c r="B63" i="33"/>
  <c r="X62" i="33"/>
  <c r="Z62" i="33" s="1"/>
  <c r="N62" i="33"/>
  <c r="L62" i="33"/>
  <c r="B62" i="33"/>
  <c r="T61" i="33"/>
  <c r="P61" i="33"/>
  <c r="X61" i="33" s="1"/>
  <c r="Z61" i="33" s="1"/>
  <c r="H61" i="33"/>
  <c r="N61" i="33" s="1"/>
  <c r="D61" i="33"/>
  <c r="L61" i="33" s="1"/>
  <c r="B61" i="33"/>
  <c r="Z60" i="33"/>
  <c r="X60" i="33"/>
  <c r="N60" i="33"/>
  <c r="L60" i="33"/>
  <c r="B60" i="33"/>
  <c r="T59" i="33"/>
  <c r="P59" i="33"/>
  <c r="X59" i="33" s="1"/>
  <c r="L59" i="33"/>
  <c r="H59" i="33"/>
  <c r="N59" i="33" s="1"/>
  <c r="D59" i="33"/>
  <c r="B59" i="33"/>
  <c r="Z58" i="33"/>
  <c r="X58" i="33"/>
  <c r="N58" i="33"/>
  <c r="L58" i="33"/>
  <c r="B58" i="33"/>
  <c r="X57" i="33"/>
  <c r="Z57" i="33" s="1"/>
  <c r="N57" i="33"/>
  <c r="L57" i="33"/>
  <c r="B57" i="33"/>
  <c r="Z56" i="33"/>
  <c r="X56" i="33"/>
  <c r="N56" i="33"/>
  <c r="L56" i="33"/>
  <c r="B56" i="33"/>
  <c r="X55" i="33"/>
  <c r="Z55" i="33" s="1"/>
  <c r="N55" i="33"/>
  <c r="L55" i="33"/>
  <c r="B55" i="33"/>
  <c r="X54" i="33"/>
  <c r="Z54" i="33" s="1"/>
  <c r="N54" i="33"/>
  <c r="L54" i="33"/>
  <c r="B54" i="33"/>
  <c r="Z53" i="33"/>
  <c r="T53" i="33"/>
  <c r="P53" i="33"/>
  <c r="X53" i="33" s="1"/>
  <c r="H53" i="33"/>
  <c r="D53" i="33"/>
  <c r="L53" i="33" s="1"/>
  <c r="N53" i="33" s="1"/>
  <c r="B53" i="33"/>
  <c r="Z52" i="33"/>
  <c r="X52" i="33"/>
  <c r="L52" i="33"/>
  <c r="N52" i="33" s="1"/>
  <c r="B52" i="33"/>
  <c r="X51" i="33"/>
  <c r="Z51" i="33" s="1"/>
  <c r="L51" i="33"/>
  <c r="N51" i="33" s="1"/>
  <c r="B51" i="33"/>
  <c r="X50" i="33"/>
  <c r="Z50" i="33" s="1"/>
  <c r="N50" i="33"/>
  <c r="L50" i="33"/>
  <c r="B50" i="33"/>
  <c r="Z49" i="33"/>
  <c r="X49" i="33"/>
  <c r="L49" i="33"/>
  <c r="N49" i="33" s="1"/>
  <c r="B49" i="33"/>
  <c r="Z48" i="33"/>
  <c r="X48" i="33"/>
  <c r="N48" i="33"/>
  <c r="L48" i="33"/>
  <c r="B48" i="33"/>
  <c r="X47" i="33"/>
  <c r="Z47" i="33" s="1"/>
  <c r="L47" i="33"/>
  <c r="N47" i="33" s="1"/>
  <c r="B47" i="33"/>
  <c r="Z46" i="33"/>
  <c r="X46" i="33"/>
  <c r="L46" i="33"/>
  <c r="N46" i="33" s="1"/>
  <c r="B46" i="33"/>
  <c r="X45" i="33"/>
  <c r="Z45" i="33" s="1"/>
  <c r="N45" i="33"/>
  <c r="L45" i="33"/>
  <c r="B45" i="33"/>
  <c r="T44" i="33"/>
  <c r="Z44" i="33" s="1"/>
  <c r="P44" i="33"/>
  <c r="X44" i="33" s="1"/>
  <c r="H44" i="33"/>
  <c r="D44" i="33"/>
  <c r="L44" i="33" s="1"/>
  <c r="N44" i="33" s="1"/>
  <c r="B44" i="33"/>
  <c r="T43" i="33"/>
  <c r="Z43" i="33" s="1"/>
  <c r="P43" i="33"/>
  <c r="X43" i="33" s="1"/>
  <c r="H43" i="33"/>
  <c r="D43" i="33"/>
  <c r="L43" i="33" s="1"/>
  <c r="N43" i="33" s="1"/>
  <c r="X39" i="33"/>
  <c r="Z39" i="33" s="1"/>
  <c r="L39" i="33"/>
  <c r="N39" i="33" s="1"/>
  <c r="B39" i="33"/>
  <c r="Z38" i="33"/>
  <c r="X38" i="33"/>
  <c r="L38" i="33"/>
  <c r="N38" i="33" s="1"/>
  <c r="B38" i="33"/>
  <c r="X37" i="33"/>
  <c r="Z37" i="33" s="1"/>
  <c r="N37" i="33"/>
  <c r="L37" i="33"/>
  <c r="B37" i="33"/>
  <c r="Z36" i="33"/>
  <c r="X36" i="33"/>
  <c r="L36" i="33"/>
  <c r="N36" i="33" s="1"/>
  <c r="B36" i="33"/>
  <c r="X35" i="33"/>
  <c r="Z35" i="33" s="1"/>
  <c r="L35" i="33"/>
  <c r="N35" i="33" s="1"/>
  <c r="B35" i="33"/>
  <c r="X34" i="33"/>
  <c r="Z34" i="33" s="1"/>
  <c r="T34" i="33"/>
  <c r="P34" i="33"/>
  <c r="H34" i="33"/>
  <c r="D34" i="33"/>
  <c r="L34" i="33" s="1"/>
  <c r="T32" i="33"/>
  <c r="P32" i="33"/>
  <c r="N32" i="33"/>
  <c r="L32" i="33"/>
  <c r="H32" i="33"/>
  <c r="D32" i="33"/>
  <c r="B32" i="33"/>
  <c r="X31" i="33"/>
  <c r="Z31" i="33" s="1"/>
  <c r="T31" i="33"/>
  <c r="P31" i="33"/>
  <c r="N31" i="33"/>
  <c r="H31" i="33"/>
  <c r="D31" i="33"/>
  <c r="L31" i="33" s="1"/>
  <c r="B31" i="33"/>
  <c r="T30" i="33"/>
  <c r="P30" i="33"/>
  <c r="X30" i="33" s="1"/>
  <c r="Z30" i="33" s="1"/>
  <c r="H30" i="33"/>
  <c r="N30" i="33" s="1"/>
  <c r="D30" i="33"/>
  <c r="L30" i="33" s="1"/>
  <c r="B30" i="33"/>
  <c r="T29" i="33"/>
  <c r="P29" i="33"/>
  <c r="H29" i="33"/>
  <c r="N29" i="33" s="1"/>
  <c r="D29" i="33"/>
  <c r="L29" i="33" s="1"/>
  <c r="B29" i="33"/>
  <c r="X28" i="33"/>
  <c r="Z28" i="33" s="1"/>
  <c r="T28" i="33"/>
  <c r="P28" i="33"/>
  <c r="H28" i="33"/>
  <c r="D28" i="33"/>
  <c r="B28" i="33"/>
  <c r="T27" i="33"/>
  <c r="P27" i="33"/>
  <c r="X27" i="33" s="1"/>
  <c r="Z27" i="33" s="1"/>
  <c r="N27" i="33"/>
  <c r="L27" i="33"/>
  <c r="H27" i="33"/>
  <c r="D27" i="33"/>
  <c r="B27" i="33"/>
  <c r="T26" i="33"/>
  <c r="P26" i="33"/>
  <c r="X26" i="33" s="1"/>
  <c r="N26" i="33"/>
  <c r="H26" i="33"/>
  <c r="D26" i="33"/>
  <c r="L26" i="33" s="1"/>
  <c r="B26" i="33"/>
  <c r="T25" i="33"/>
  <c r="P25" i="33"/>
  <c r="X25" i="33" s="1"/>
  <c r="H25" i="33"/>
  <c r="D25" i="33"/>
  <c r="B25" i="33"/>
  <c r="T24" i="33"/>
  <c r="P24" i="33"/>
  <c r="N24" i="33"/>
  <c r="L24" i="33"/>
  <c r="H24" i="33"/>
  <c r="D24" i="33"/>
  <c r="B24" i="33"/>
  <c r="X23" i="33"/>
  <c r="Z23" i="33" s="1"/>
  <c r="T23" i="33"/>
  <c r="P23" i="33"/>
  <c r="N23" i="33"/>
  <c r="H23" i="33"/>
  <c r="D23" i="33"/>
  <c r="L23" i="33" s="1"/>
  <c r="B23" i="33"/>
  <c r="T22" i="33"/>
  <c r="P22" i="33"/>
  <c r="X22" i="33" s="1"/>
  <c r="Z22" i="33" s="1"/>
  <c r="H22" i="33"/>
  <c r="D22" i="33"/>
  <c r="L22" i="33" s="1"/>
  <c r="B22" i="33"/>
  <c r="T21" i="33"/>
  <c r="P21" i="33"/>
  <c r="H21" i="33"/>
  <c r="D21" i="33"/>
  <c r="L21" i="33" s="1"/>
  <c r="B21" i="33"/>
  <c r="X20" i="33"/>
  <c r="Z20" i="33" s="1"/>
  <c r="T20" i="33"/>
  <c r="P20" i="33"/>
  <c r="H20" i="33"/>
  <c r="N20" i="33" s="1"/>
  <c r="D20" i="33"/>
  <c r="B20" i="33"/>
  <c r="Z19" i="33"/>
  <c r="T19" i="33"/>
  <c r="P19" i="33"/>
  <c r="X19" i="33" s="1"/>
  <c r="L19" i="33"/>
  <c r="N19" i="33" s="1"/>
  <c r="H19" i="33"/>
  <c r="D19" i="33"/>
  <c r="B19" i="33"/>
  <c r="T18" i="33"/>
  <c r="P18" i="33"/>
  <c r="X18" i="33" s="1"/>
  <c r="N18" i="33"/>
  <c r="H18" i="33"/>
  <c r="D18" i="33"/>
  <c r="L18" i="33" s="1"/>
  <c r="B18" i="33"/>
  <c r="T17" i="33"/>
  <c r="P17" i="33"/>
  <c r="X17" i="33" s="1"/>
  <c r="H17" i="33"/>
  <c r="D17" i="33"/>
  <c r="B17" i="33"/>
  <c r="T16" i="33"/>
  <c r="P16" i="33"/>
  <c r="N16" i="33"/>
  <c r="L16" i="33"/>
  <c r="H16" i="33"/>
  <c r="D16" i="33"/>
  <c r="B16" i="33"/>
  <c r="X15" i="33"/>
  <c r="Z15" i="33" s="1"/>
  <c r="T15" i="33"/>
  <c r="P15" i="33"/>
  <c r="H15" i="33"/>
  <c r="D15" i="33"/>
  <c r="L15" i="33" s="1"/>
  <c r="N15" i="33" s="1"/>
  <c r="B15" i="33"/>
  <c r="T14" i="33"/>
  <c r="P14" i="33"/>
  <c r="H14" i="33"/>
  <c r="D14" i="33"/>
  <c r="L14" i="33" s="1"/>
  <c r="B14" i="33"/>
  <c r="T13" i="33"/>
  <c r="P13" i="33"/>
  <c r="H13" i="33"/>
  <c r="N13" i="33" s="1"/>
  <c r="D13" i="33"/>
  <c r="L13" i="33" s="1"/>
  <c r="B13" i="33"/>
  <c r="D4" i="33"/>
  <c r="B39" i="32"/>
  <c r="B38" i="32"/>
  <c r="T34" i="32"/>
  <c r="Z34" i="32" s="1"/>
  <c r="P34" i="32"/>
  <c r="H34" i="32"/>
  <c r="N34" i="32" s="1"/>
  <c r="D34" i="32"/>
  <c r="T33" i="32"/>
  <c r="Z33" i="32" s="1"/>
  <c r="P33" i="32"/>
  <c r="H33" i="32"/>
  <c r="N33" i="32" s="1"/>
  <c r="D33" i="32"/>
  <c r="T29" i="32"/>
  <c r="Z29" i="32" s="1"/>
  <c r="P29" i="32"/>
  <c r="H29" i="32"/>
  <c r="N29" i="32" s="1"/>
  <c r="D29" i="32"/>
  <c r="T25" i="32"/>
  <c r="Z25" i="32" s="1"/>
  <c r="P25" i="32"/>
  <c r="H25" i="32"/>
  <c r="N25" i="32" s="1"/>
  <c r="D25" i="32"/>
  <c r="B25" i="32"/>
  <c r="T24" i="32"/>
  <c r="Z24" i="32" s="1"/>
  <c r="P24" i="32"/>
  <c r="H24" i="32"/>
  <c r="N24" i="32" s="1"/>
  <c r="D24" i="32"/>
  <c r="T22" i="32"/>
  <c r="Z22" i="32" s="1"/>
  <c r="P22" i="32"/>
  <c r="X22" i="32" s="1"/>
  <c r="H22" i="32"/>
  <c r="N22" i="32" s="1"/>
  <c r="D22" i="32"/>
  <c r="B22" i="32"/>
  <c r="T21" i="32"/>
  <c r="Z21" i="32" s="1"/>
  <c r="P21" i="32"/>
  <c r="H21" i="32"/>
  <c r="N21" i="32" s="1"/>
  <c r="D21" i="32"/>
  <c r="B21" i="32"/>
  <c r="T20" i="32"/>
  <c r="Z20" i="32" s="1"/>
  <c r="P20" i="32"/>
  <c r="H20" i="32"/>
  <c r="N20" i="32" s="1"/>
  <c r="D20" i="32"/>
  <c r="T16" i="32"/>
  <c r="Z16" i="32" s="1"/>
  <c r="P16" i="32"/>
  <c r="H16" i="32"/>
  <c r="N16" i="32" s="1"/>
  <c r="D16" i="32"/>
  <c r="B16" i="32"/>
  <c r="T15" i="32"/>
  <c r="Z15" i="32" s="1"/>
  <c r="P15" i="32"/>
  <c r="H15" i="32"/>
  <c r="N15" i="32" s="1"/>
  <c r="D15" i="32"/>
  <c r="T13" i="32"/>
  <c r="P13" i="32"/>
  <c r="H13" i="32"/>
  <c r="N13" i="32" s="1"/>
  <c r="D13" i="32"/>
  <c r="B13" i="32"/>
  <c r="T12" i="32"/>
  <c r="V21" i="32" s="1"/>
  <c r="P12" i="32"/>
  <c r="R34" i="32" s="1"/>
  <c r="H12" i="32"/>
  <c r="D12" i="32"/>
  <c r="F21" i="32" s="1"/>
  <c r="D5" i="32"/>
  <c r="D4" i="32"/>
  <c r="B39" i="31"/>
  <c r="B38" i="31"/>
  <c r="T34" i="31"/>
  <c r="Z34" i="31" s="1"/>
  <c r="P34" i="31"/>
  <c r="H34" i="31"/>
  <c r="N34" i="31" s="1"/>
  <c r="D34" i="31"/>
  <c r="T33" i="31"/>
  <c r="Z33" i="31" s="1"/>
  <c r="P33" i="31"/>
  <c r="H33" i="31"/>
  <c r="D33" i="31"/>
  <c r="T29" i="31"/>
  <c r="Z29" i="31" s="1"/>
  <c r="P29" i="31"/>
  <c r="H29" i="31"/>
  <c r="D29" i="31"/>
  <c r="T25" i="31"/>
  <c r="Z25" i="31" s="1"/>
  <c r="P25" i="31"/>
  <c r="H25" i="31"/>
  <c r="D25" i="31"/>
  <c r="B25" i="31"/>
  <c r="T24" i="31"/>
  <c r="Z24" i="31" s="1"/>
  <c r="P24" i="31"/>
  <c r="H24" i="31"/>
  <c r="N24" i="31" s="1"/>
  <c r="D24" i="31"/>
  <c r="T22" i="31"/>
  <c r="Z22" i="31" s="1"/>
  <c r="P22" i="31"/>
  <c r="H22" i="31"/>
  <c r="N22" i="31" s="1"/>
  <c r="D22" i="31"/>
  <c r="B22" i="31"/>
  <c r="T21" i="31"/>
  <c r="P21" i="31"/>
  <c r="H21" i="31"/>
  <c r="N21" i="31" s="1"/>
  <c r="D21" i="31"/>
  <c r="B21" i="31"/>
  <c r="T20" i="31"/>
  <c r="Z20" i="31" s="1"/>
  <c r="P20" i="31"/>
  <c r="H20" i="31"/>
  <c r="N20" i="31" s="1"/>
  <c r="D20" i="31"/>
  <c r="T16" i="31"/>
  <c r="Z16" i="31" s="1"/>
  <c r="P16" i="31"/>
  <c r="H16" i="31"/>
  <c r="N16" i="31" s="1"/>
  <c r="D16" i="31"/>
  <c r="B16" i="31"/>
  <c r="T15" i="31"/>
  <c r="Z15" i="31" s="1"/>
  <c r="P15" i="31"/>
  <c r="H15" i="31"/>
  <c r="D15" i="31"/>
  <c r="T13" i="31"/>
  <c r="P13" i="31"/>
  <c r="H13" i="31"/>
  <c r="D13" i="31"/>
  <c r="B13" i="31"/>
  <c r="T12" i="31"/>
  <c r="V24" i="31" s="1"/>
  <c r="P12" i="31"/>
  <c r="R20" i="31" s="1"/>
  <c r="H12" i="31"/>
  <c r="J18" i="31" s="1"/>
  <c r="D12" i="31"/>
  <c r="F24" i="31" s="1"/>
  <c r="D5" i="31"/>
  <c r="D4" i="31"/>
  <c r="X182" i="30"/>
  <c r="Z182" i="30" s="1"/>
  <c r="L182" i="30"/>
  <c r="N182" i="30" s="1"/>
  <c r="Z178" i="30"/>
  <c r="T178" i="30"/>
  <c r="P178" i="30"/>
  <c r="X178" i="30" s="1"/>
  <c r="L178" i="30"/>
  <c r="H178" i="30"/>
  <c r="N178" i="30" s="1"/>
  <c r="D178" i="30"/>
  <c r="B178" i="30"/>
  <c r="T177" i="30"/>
  <c r="P177" i="30"/>
  <c r="X177" i="30" s="1"/>
  <c r="Z177" i="30" s="1"/>
  <c r="L177" i="30"/>
  <c r="H177" i="30"/>
  <c r="N177" i="30" s="1"/>
  <c r="D177" i="30"/>
  <c r="B177" i="30"/>
  <c r="Z176" i="30"/>
  <c r="T176" i="30"/>
  <c r="P176" i="30"/>
  <c r="H176" i="30"/>
  <c r="N176" i="30" s="1"/>
  <c r="D176" i="30"/>
  <c r="L176" i="30" s="1"/>
  <c r="B176" i="30"/>
  <c r="T175" i="30"/>
  <c r="D175" i="30"/>
  <c r="X173" i="30"/>
  <c r="Z173" i="30" s="1"/>
  <c r="N173" i="30"/>
  <c r="L173" i="30"/>
  <c r="B173" i="30"/>
  <c r="T172" i="30"/>
  <c r="P172" i="30"/>
  <c r="N172" i="30"/>
  <c r="H172" i="30"/>
  <c r="D172" i="30"/>
  <c r="L172" i="30" s="1"/>
  <c r="B172" i="30"/>
  <c r="X171" i="30"/>
  <c r="Z171" i="30" s="1"/>
  <c r="N171" i="30"/>
  <c r="L171" i="30"/>
  <c r="B171" i="30"/>
  <c r="Z170" i="30"/>
  <c r="X170" i="30"/>
  <c r="N170" i="30"/>
  <c r="L170" i="30"/>
  <c r="B170" i="30"/>
  <c r="T169" i="30"/>
  <c r="P169" i="30"/>
  <c r="X169" i="30" s="1"/>
  <c r="N169" i="30"/>
  <c r="L169" i="30"/>
  <c r="H169" i="30"/>
  <c r="D169" i="30"/>
  <c r="B169" i="30"/>
  <c r="X168" i="30"/>
  <c r="Z168" i="30" s="1"/>
  <c r="N168" i="30"/>
  <c r="L168" i="30"/>
  <c r="B168" i="30"/>
  <c r="X167" i="30"/>
  <c r="Z167" i="30" s="1"/>
  <c r="T167" i="30"/>
  <c r="P167" i="30"/>
  <c r="N167" i="30"/>
  <c r="H167" i="30"/>
  <c r="D167" i="30"/>
  <c r="L167" i="30" s="1"/>
  <c r="B167" i="30"/>
  <c r="X166" i="30"/>
  <c r="Z166" i="30" s="1"/>
  <c r="N166" i="30"/>
  <c r="L166" i="30"/>
  <c r="B166" i="30"/>
  <c r="T165" i="30"/>
  <c r="P165" i="30"/>
  <c r="N165" i="30"/>
  <c r="H165" i="30"/>
  <c r="D165" i="30"/>
  <c r="L165" i="30" s="1"/>
  <c r="B165" i="30"/>
  <c r="X164" i="30"/>
  <c r="Z164" i="30" s="1"/>
  <c r="N164" i="30"/>
  <c r="L164" i="30"/>
  <c r="B164" i="30"/>
  <c r="Z163" i="30"/>
  <c r="X163" i="30"/>
  <c r="L163" i="30"/>
  <c r="N163" i="30" s="1"/>
  <c r="B163" i="30"/>
  <c r="X162" i="30"/>
  <c r="Z162" i="30" s="1"/>
  <c r="N162" i="30"/>
  <c r="L162" i="30"/>
  <c r="B162" i="30"/>
  <c r="Z161" i="30"/>
  <c r="X161" i="30"/>
  <c r="N161" i="30"/>
  <c r="L161" i="30"/>
  <c r="B161" i="30"/>
  <c r="Z160" i="30"/>
  <c r="X160" i="30"/>
  <c r="N160" i="30"/>
  <c r="L160" i="30"/>
  <c r="B160" i="30"/>
  <c r="X159" i="30"/>
  <c r="Z159" i="30" s="1"/>
  <c r="N159" i="30"/>
  <c r="L159" i="30"/>
  <c r="B159" i="30"/>
  <c r="Z158" i="30"/>
  <c r="T158" i="30"/>
  <c r="P158" i="30"/>
  <c r="X158" i="30" s="1"/>
  <c r="L158" i="30"/>
  <c r="N158" i="30" s="1"/>
  <c r="H158" i="30"/>
  <c r="D158" i="30"/>
  <c r="B158" i="30"/>
  <c r="Z157" i="30"/>
  <c r="X157" i="30"/>
  <c r="N157" i="30"/>
  <c r="L157" i="30"/>
  <c r="B157" i="30"/>
  <c r="X156" i="30"/>
  <c r="Z156" i="30" s="1"/>
  <c r="L156" i="30"/>
  <c r="N156" i="30" s="1"/>
  <c r="B156" i="30"/>
  <c r="T155" i="30"/>
  <c r="P155" i="30"/>
  <c r="X155" i="30" s="1"/>
  <c r="L155" i="30"/>
  <c r="N155" i="30" s="1"/>
  <c r="H155" i="30"/>
  <c r="D155" i="30"/>
  <c r="B155" i="30"/>
  <c r="X154" i="30"/>
  <c r="Z154" i="30" s="1"/>
  <c r="N154" i="30"/>
  <c r="L154" i="30"/>
  <c r="B154" i="30"/>
  <c r="Z153" i="30"/>
  <c r="X153" i="30"/>
  <c r="L153" i="30"/>
  <c r="N153" i="30" s="1"/>
  <c r="B153" i="30"/>
  <c r="Z152" i="30"/>
  <c r="X152" i="30"/>
  <c r="N152" i="30"/>
  <c r="L152" i="30"/>
  <c r="B152" i="30"/>
  <c r="T151" i="30"/>
  <c r="X151" i="30" s="1"/>
  <c r="Z151" i="30" s="1"/>
  <c r="P151" i="30"/>
  <c r="L151" i="30"/>
  <c r="H151" i="30"/>
  <c r="N151" i="30" s="1"/>
  <c r="D151" i="30"/>
  <c r="B151" i="30"/>
  <c r="Z150" i="30"/>
  <c r="X150" i="30"/>
  <c r="N150" i="30"/>
  <c r="L150" i="30"/>
  <c r="B150" i="30"/>
  <c r="X149" i="30"/>
  <c r="Z149" i="30" s="1"/>
  <c r="N149" i="30"/>
  <c r="L149" i="30"/>
  <c r="B149" i="30"/>
  <c r="Z148" i="30"/>
  <c r="X148" i="30"/>
  <c r="T148" i="30"/>
  <c r="P148" i="30"/>
  <c r="H148" i="30"/>
  <c r="N148" i="30" s="1"/>
  <c r="D148" i="30"/>
  <c r="L148" i="30" s="1"/>
  <c r="B148" i="30"/>
  <c r="X147" i="30"/>
  <c r="Z147" i="30" s="1"/>
  <c r="N147" i="30"/>
  <c r="L147" i="30"/>
  <c r="B147" i="30"/>
  <c r="Z146" i="30"/>
  <c r="X146" i="30"/>
  <c r="N146" i="30"/>
  <c r="L146" i="30"/>
  <c r="B146" i="30"/>
  <c r="Z145" i="30"/>
  <c r="X145" i="30"/>
  <c r="N145" i="30"/>
  <c r="L145" i="30"/>
  <c r="B145" i="30"/>
  <c r="Z144" i="30"/>
  <c r="X144" i="30"/>
  <c r="T144" i="30"/>
  <c r="P144" i="30"/>
  <c r="H144" i="30"/>
  <c r="N144" i="30" s="1"/>
  <c r="D144" i="30"/>
  <c r="L144" i="30" s="1"/>
  <c r="B144" i="30"/>
  <c r="X143" i="30"/>
  <c r="Z143" i="30" s="1"/>
  <c r="L143" i="30"/>
  <c r="N143" i="30" s="1"/>
  <c r="B143" i="30"/>
  <c r="T142" i="30"/>
  <c r="P142" i="30"/>
  <c r="X142" i="30" s="1"/>
  <c r="H142" i="30"/>
  <c r="D142" i="30"/>
  <c r="L142" i="30" s="1"/>
  <c r="N142" i="30" s="1"/>
  <c r="B142" i="30"/>
  <c r="X141" i="30"/>
  <c r="Z141" i="30" s="1"/>
  <c r="L141" i="30"/>
  <c r="N141" i="30" s="1"/>
  <c r="B141" i="30"/>
  <c r="T140" i="30"/>
  <c r="P140" i="30"/>
  <c r="X140" i="30" s="1"/>
  <c r="Z140" i="30" s="1"/>
  <c r="N140" i="30"/>
  <c r="L140" i="30"/>
  <c r="H140" i="30"/>
  <c r="D140" i="30"/>
  <c r="B140" i="30"/>
  <c r="X139" i="30"/>
  <c r="Z139" i="30" s="1"/>
  <c r="L139" i="30"/>
  <c r="N139" i="30" s="1"/>
  <c r="B139" i="30"/>
  <c r="Z138" i="30"/>
  <c r="X138" i="30"/>
  <c r="N138" i="30"/>
  <c r="L138" i="30"/>
  <c r="B138" i="30"/>
  <c r="X137" i="30"/>
  <c r="Z137" i="30" s="1"/>
  <c r="L137" i="30"/>
  <c r="N137" i="30" s="1"/>
  <c r="B137" i="30"/>
  <c r="Z136" i="30"/>
  <c r="X136" i="30"/>
  <c r="N136" i="30"/>
  <c r="L136" i="30"/>
  <c r="B136" i="30"/>
  <c r="Z135" i="30"/>
  <c r="X135" i="30"/>
  <c r="L135" i="30"/>
  <c r="N135" i="30" s="1"/>
  <c r="B135" i="30"/>
  <c r="Z134" i="30"/>
  <c r="X134" i="30"/>
  <c r="N134" i="30"/>
  <c r="L134" i="30"/>
  <c r="B134" i="30"/>
  <c r="X133" i="30"/>
  <c r="Z133" i="30" s="1"/>
  <c r="L133" i="30"/>
  <c r="N133" i="30" s="1"/>
  <c r="B133" i="30"/>
  <c r="Z132" i="30"/>
  <c r="X132" i="30"/>
  <c r="N132" i="30"/>
  <c r="L132" i="30"/>
  <c r="B132" i="30"/>
  <c r="Z131" i="30"/>
  <c r="X131" i="30"/>
  <c r="N131" i="30"/>
  <c r="L131" i="30"/>
  <c r="B131" i="30"/>
  <c r="X130" i="30"/>
  <c r="Z130" i="30" s="1"/>
  <c r="N130" i="30"/>
  <c r="L130" i="30"/>
  <c r="B130" i="30"/>
  <c r="X129" i="30"/>
  <c r="Z129" i="30" s="1"/>
  <c r="L129" i="30"/>
  <c r="N129" i="30" s="1"/>
  <c r="B129" i="30"/>
  <c r="Z128" i="30"/>
  <c r="X128" i="30"/>
  <c r="N128" i="30"/>
  <c r="L128" i="30"/>
  <c r="B128" i="30"/>
  <c r="Z127" i="30"/>
  <c r="X127" i="30"/>
  <c r="N127" i="30"/>
  <c r="L127" i="30"/>
  <c r="B127" i="30"/>
  <c r="T126" i="30"/>
  <c r="P126" i="30"/>
  <c r="X126" i="30" s="1"/>
  <c r="H126" i="30"/>
  <c r="D126" i="30"/>
  <c r="L126" i="30" s="1"/>
  <c r="N126" i="30" s="1"/>
  <c r="B126" i="30"/>
  <c r="X125" i="30"/>
  <c r="Z125" i="30" s="1"/>
  <c r="L125" i="30"/>
  <c r="N125" i="30" s="1"/>
  <c r="B125" i="30"/>
  <c r="T124" i="30"/>
  <c r="P124" i="30"/>
  <c r="X124" i="30" s="1"/>
  <c r="Z124" i="30" s="1"/>
  <c r="L124" i="30"/>
  <c r="N124" i="30" s="1"/>
  <c r="H124" i="30"/>
  <c r="D124" i="30"/>
  <c r="B124" i="30"/>
  <c r="Z123" i="30"/>
  <c r="X123" i="30"/>
  <c r="N123" i="30"/>
  <c r="L123" i="30"/>
  <c r="B123" i="30"/>
  <c r="X122" i="30"/>
  <c r="Z122" i="30" s="1"/>
  <c r="T122" i="30"/>
  <c r="P122" i="30"/>
  <c r="N122" i="30"/>
  <c r="H122" i="30"/>
  <c r="L122" i="30" s="1"/>
  <c r="D122" i="30"/>
  <c r="B122" i="30"/>
  <c r="X121" i="30"/>
  <c r="Z121" i="30" s="1"/>
  <c r="N121" i="30"/>
  <c r="L121" i="30"/>
  <c r="B121" i="30"/>
  <c r="Z120" i="30"/>
  <c r="X120" i="30"/>
  <c r="N120" i="30"/>
  <c r="L120" i="30"/>
  <c r="B120" i="30"/>
  <c r="T119" i="30"/>
  <c r="X119" i="30" s="1"/>
  <c r="Z119" i="30" s="1"/>
  <c r="P119" i="30"/>
  <c r="L119" i="30"/>
  <c r="H119" i="30"/>
  <c r="N119" i="30" s="1"/>
  <c r="D119" i="30"/>
  <c r="B119" i="30"/>
  <c r="X118" i="30"/>
  <c r="Z118" i="30" s="1"/>
  <c r="N118" i="30"/>
  <c r="L118" i="30"/>
  <c r="B118" i="30"/>
  <c r="X117" i="30"/>
  <c r="T117" i="30"/>
  <c r="Z117" i="30" s="1"/>
  <c r="P117" i="30"/>
  <c r="H117" i="30"/>
  <c r="N117" i="30" s="1"/>
  <c r="D117" i="30"/>
  <c r="L117" i="30" s="1"/>
  <c r="B117" i="30"/>
  <c r="X116" i="30"/>
  <c r="Z116" i="30" s="1"/>
  <c r="N116" i="30"/>
  <c r="L116" i="30"/>
  <c r="B116" i="30"/>
  <c r="Z115" i="30"/>
  <c r="X115" i="30"/>
  <c r="N115" i="30"/>
  <c r="L115" i="30"/>
  <c r="B115" i="30"/>
  <c r="T114" i="30"/>
  <c r="P114" i="30"/>
  <c r="X114" i="30" s="1"/>
  <c r="L114" i="30"/>
  <c r="N114" i="30" s="1"/>
  <c r="H114" i="30"/>
  <c r="D114" i="30"/>
  <c r="B114" i="30"/>
  <c r="X113" i="30"/>
  <c r="Z113" i="30" s="1"/>
  <c r="L113" i="30"/>
  <c r="N113" i="30" s="1"/>
  <c r="B113" i="30"/>
  <c r="X112" i="30"/>
  <c r="Z112" i="30" s="1"/>
  <c r="T112" i="30"/>
  <c r="P112" i="30"/>
  <c r="H112" i="30"/>
  <c r="D112" i="30"/>
  <c r="B112" i="30"/>
  <c r="Z111" i="30"/>
  <c r="X111" i="30"/>
  <c r="N111" i="30"/>
  <c r="L111" i="30"/>
  <c r="B111" i="30"/>
  <c r="T110" i="30"/>
  <c r="P110" i="30"/>
  <c r="N110" i="30"/>
  <c r="H110" i="30"/>
  <c r="D110" i="30"/>
  <c r="L110" i="30" s="1"/>
  <c r="B110" i="30"/>
  <c r="X109" i="30"/>
  <c r="Z109" i="30" s="1"/>
  <c r="N109" i="30"/>
  <c r="L109" i="30"/>
  <c r="B109" i="30"/>
  <c r="T108" i="30"/>
  <c r="P108" i="30"/>
  <c r="X108" i="30" s="1"/>
  <c r="Z108" i="30" s="1"/>
  <c r="H108" i="30"/>
  <c r="N108" i="30" s="1"/>
  <c r="D108" i="30"/>
  <c r="L108" i="30" s="1"/>
  <c r="B108" i="30"/>
  <c r="Z107" i="30"/>
  <c r="X107" i="30"/>
  <c r="N107" i="30"/>
  <c r="L107" i="30"/>
  <c r="B107" i="30"/>
  <c r="X106" i="30"/>
  <c r="Z106" i="30" s="1"/>
  <c r="L106" i="30"/>
  <c r="N106" i="30" s="1"/>
  <c r="B106" i="30"/>
  <c r="X105" i="30"/>
  <c r="Z105" i="30" s="1"/>
  <c r="N105" i="30"/>
  <c r="L105" i="30"/>
  <c r="B105" i="30"/>
  <c r="Z104" i="30"/>
  <c r="X104" i="30"/>
  <c r="L104" i="30"/>
  <c r="N104" i="30" s="1"/>
  <c r="B104" i="30"/>
  <c r="Z103" i="30"/>
  <c r="X103" i="30"/>
  <c r="N103" i="30"/>
  <c r="L103" i="30"/>
  <c r="B103" i="30"/>
  <c r="X102" i="30"/>
  <c r="Z102" i="30" s="1"/>
  <c r="L102" i="30"/>
  <c r="N102" i="30" s="1"/>
  <c r="B102" i="30"/>
  <c r="T101" i="30"/>
  <c r="P101" i="30"/>
  <c r="X101" i="30" s="1"/>
  <c r="Z101" i="30" s="1"/>
  <c r="H101" i="30"/>
  <c r="L101" i="30" s="1"/>
  <c r="N101" i="30" s="1"/>
  <c r="D101" i="30"/>
  <c r="B101" i="30"/>
  <c r="Z100" i="30"/>
  <c r="X100" i="30"/>
  <c r="L100" i="30"/>
  <c r="N100" i="30" s="1"/>
  <c r="B100" i="30"/>
  <c r="Z99" i="30"/>
  <c r="X99" i="30"/>
  <c r="N99" i="30"/>
  <c r="L99" i="30"/>
  <c r="B99" i="30"/>
  <c r="X98" i="30"/>
  <c r="Z98" i="30" s="1"/>
  <c r="L98" i="30"/>
  <c r="N98" i="30" s="1"/>
  <c r="B98" i="30"/>
  <c r="X97" i="30"/>
  <c r="Z97" i="30" s="1"/>
  <c r="L97" i="30"/>
  <c r="N97" i="30" s="1"/>
  <c r="B97" i="30"/>
  <c r="Z96" i="30"/>
  <c r="X96" i="30"/>
  <c r="N96" i="30"/>
  <c r="L96" i="30"/>
  <c r="B96" i="30"/>
  <c r="Z95" i="30"/>
  <c r="X95" i="30"/>
  <c r="N95" i="30"/>
  <c r="L95" i="30"/>
  <c r="B95" i="30"/>
  <c r="X94" i="30"/>
  <c r="Z94" i="30" s="1"/>
  <c r="L94" i="30"/>
  <c r="N94" i="30" s="1"/>
  <c r="B94" i="30"/>
  <c r="X93" i="30"/>
  <c r="Z93" i="30" s="1"/>
  <c r="N93" i="30"/>
  <c r="L93" i="30"/>
  <c r="B93" i="30"/>
  <c r="T92" i="30"/>
  <c r="P92" i="30"/>
  <c r="X92" i="30" s="1"/>
  <c r="Z92" i="30" s="1"/>
  <c r="H92" i="30"/>
  <c r="D92" i="30"/>
  <c r="L92" i="30" s="1"/>
  <c r="B92" i="30"/>
  <c r="T91" i="30"/>
  <c r="Z91" i="30" s="1"/>
  <c r="P91" i="30"/>
  <c r="X91" i="30" s="1"/>
  <c r="H91" i="30"/>
  <c r="N91" i="30" s="1"/>
  <c r="D91" i="30"/>
  <c r="L91" i="30" s="1"/>
  <c r="X87" i="30"/>
  <c r="Z87" i="30" s="1"/>
  <c r="L87" i="30"/>
  <c r="N87" i="30" s="1"/>
  <c r="B87" i="30"/>
  <c r="Z86" i="30"/>
  <c r="X86" i="30"/>
  <c r="N86" i="30"/>
  <c r="L86" i="30"/>
  <c r="B86" i="30"/>
  <c r="X85" i="30"/>
  <c r="Z85" i="30" s="1"/>
  <c r="N85" i="30"/>
  <c r="L85" i="30"/>
  <c r="B85" i="30"/>
  <c r="Z84" i="30"/>
  <c r="X84" i="30"/>
  <c r="N84" i="30"/>
  <c r="L84" i="30"/>
  <c r="B84" i="30"/>
  <c r="X83" i="30"/>
  <c r="Z83" i="30" s="1"/>
  <c r="L83" i="30"/>
  <c r="N83" i="30" s="1"/>
  <c r="B83" i="30"/>
  <c r="Z82" i="30"/>
  <c r="X82" i="30"/>
  <c r="N82" i="30"/>
  <c r="L82" i="30"/>
  <c r="B82" i="30"/>
  <c r="Z81" i="30"/>
  <c r="X81" i="30"/>
  <c r="N81" i="30"/>
  <c r="L81" i="30"/>
  <c r="B81" i="30"/>
  <c r="Z80" i="30"/>
  <c r="X80" i="30"/>
  <c r="N80" i="30"/>
  <c r="L80" i="30"/>
  <c r="B80" i="30"/>
  <c r="Z79" i="30"/>
  <c r="X79" i="30"/>
  <c r="N79" i="30"/>
  <c r="L79" i="30"/>
  <c r="B79" i="30"/>
  <c r="Z78" i="30"/>
  <c r="X78" i="30"/>
  <c r="N78" i="30"/>
  <c r="L78" i="30"/>
  <c r="B78" i="30"/>
  <c r="X77" i="30"/>
  <c r="Z77" i="30" s="1"/>
  <c r="N77" i="30"/>
  <c r="L77" i="30"/>
  <c r="B77" i="30"/>
  <c r="Z76" i="30"/>
  <c r="X76" i="30"/>
  <c r="L76" i="30"/>
  <c r="N76" i="30" s="1"/>
  <c r="B76" i="30"/>
  <c r="X75" i="30"/>
  <c r="Z75" i="30" s="1"/>
  <c r="L75" i="30"/>
  <c r="N75" i="30" s="1"/>
  <c r="B75" i="30"/>
  <c r="Z74" i="30"/>
  <c r="X74" i="30"/>
  <c r="N74" i="30"/>
  <c r="L74" i="30"/>
  <c r="B74" i="30"/>
  <c r="X73" i="30"/>
  <c r="Z73" i="30" s="1"/>
  <c r="N73" i="30"/>
  <c r="L73" i="30"/>
  <c r="B73" i="30"/>
  <c r="Z72" i="30"/>
  <c r="X72" i="30"/>
  <c r="N72" i="30"/>
  <c r="L72" i="30"/>
  <c r="B72" i="30"/>
  <c r="X71" i="30"/>
  <c r="Z71" i="30" s="1"/>
  <c r="N71" i="30"/>
  <c r="L71" i="30"/>
  <c r="B71" i="30"/>
  <c r="Z70" i="30"/>
  <c r="X70" i="30"/>
  <c r="N70" i="30"/>
  <c r="L70" i="30"/>
  <c r="B70" i="30"/>
  <c r="X69" i="30"/>
  <c r="Z69" i="30" s="1"/>
  <c r="N69" i="30"/>
  <c r="L69" i="30"/>
  <c r="B69" i="30"/>
  <c r="Z68" i="30"/>
  <c r="X68" i="30"/>
  <c r="N68" i="30"/>
  <c r="L68" i="30"/>
  <c r="B68" i="30"/>
  <c r="X67" i="30"/>
  <c r="Z67" i="30" s="1"/>
  <c r="L67" i="30"/>
  <c r="N67" i="30" s="1"/>
  <c r="B67" i="30"/>
  <c r="Z66" i="30"/>
  <c r="X66" i="30"/>
  <c r="N66" i="30"/>
  <c r="L66" i="30"/>
  <c r="B66" i="30"/>
  <c r="X65" i="30"/>
  <c r="Z65" i="30" s="1"/>
  <c r="L65" i="30"/>
  <c r="N65" i="30" s="1"/>
  <c r="B65" i="30"/>
  <c r="X64" i="30"/>
  <c r="Z64" i="30" s="1"/>
  <c r="N64" i="30"/>
  <c r="L64" i="30"/>
  <c r="B64" i="30"/>
  <c r="Z63" i="30"/>
  <c r="X63" i="30"/>
  <c r="N63" i="30"/>
  <c r="L63" i="30"/>
  <c r="B63" i="30"/>
  <c r="Z62" i="30"/>
  <c r="X62" i="30"/>
  <c r="N62" i="30"/>
  <c r="L62" i="30"/>
  <c r="B62" i="30"/>
  <c r="X61" i="30"/>
  <c r="Z61" i="30" s="1"/>
  <c r="N61" i="30"/>
  <c r="L61" i="30"/>
  <c r="B61" i="30"/>
  <c r="Z60" i="30"/>
  <c r="X60" i="30"/>
  <c r="N60" i="30"/>
  <c r="L60" i="30"/>
  <c r="B60" i="30"/>
  <c r="X59" i="30"/>
  <c r="Z59" i="30" s="1"/>
  <c r="N59" i="30"/>
  <c r="L59" i="30"/>
  <c r="B59" i="30"/>
  <c r="Z58" i="30"/>
  <c r="X58" i="30"/>
  <c r="N58" i="30"/>
  <c r="L58" i="30"/>
  <c r="B58" i="30"/>
  <c r="T57" i="30"/>
  <c r="P57" i="30"/>
  <c r="X57" i="30" s="1"/>
  <c r="L57" i="30"/>
  <c r="H57" i="30"/>
  <c r="N57" i="30" s="1"/>
  <c r="D57" i="30"/>
  <c r="X55" i="30"/>
  <c r="T55" i="30"/>
  <c r="Z55" i="30" s="1"/>
  <c r="P55" i="30"/>
  <c r="H55" i="30"/>
  <c r="D55" i="30"/>
  <c r="L55" i="30" s="1"/>
  <c r="B55" i="30"/>
  <c r="T54" i="30"/>
  <c r="X54" i="30" s="1"/>
  <c r="Z54" i="30" s="1"/>
  <c r="P54" i="30"/>
  <c r="H54" i="30"/>
  <c r="D54" i="30"/>
  <c r="B54" i="30"/>
  <c r="X53" i="30"/>
  <c r="Z53" i="30" s="1"/>
  <c r="T53" i="30"/>
  <c r="P53" i="30"/>
  <c r="H53" i="30"/>
  <c r="D53" i="30"/>
  <c r="L53" i="30" s="1"/>
  <c r="N53" i="30" s="1"/>
  <c r="B53" i="30"/>
  <c r="Z52" i="30"/>
  <c r="T52" i="30"/>
  <c r="P52" i="30"/>
  <c r="X52" i="30" s="1"/>
  <c r="H52" i="30"/>
  <c r="N52" i="30" s="1"/>
  <c r="D52" i="30"/>
  <c r="L52" i="30" s="1"/>
  <c r="B52" i="30"/>
  <c r="T51" i="30"/>
  <c r="P51" i="30"/>
  <c r="X51" i="30" s="1"/>
  <c r="H51" i="30"/>
  <c r="N51" i="30" s="1"/>
  <c r="D51" i="30"/>
  <c r="L51" i="30" s="1"/>
  <c r="B51" i="30"/>
  <c r="T50" i="30"/>
  <c r="P50" i="30"/>
  <c r="H50" i="30"/>
  <c r="D50" i="30"/>
  <c r="B50" i="30"/>
  <c r="T49" i="30"/>
  <c r="P49" i="30"/>
  <c r="X49" i="30" s="1"/>
  <c r="Z49" i="30" s="1"/>
  <c r="N49" i="30"/>
  <c r="L49" i="30"/>
  <c r="H49" i="30"/>
  <c r="D49" i="30"/>
  <c r="B49" i="30"/>
  <c r="T48" i="30"/>
  <c r="Z48" i="30" s="1"/>
  <c r="P48" i="30"/>
  <c r="X48" i="30" s="1"/>
  <c r="H48" i="30"/>
  <c r="D48" i="30"/>
  <c r="L48" i="30" s="1"/>
  <c r="N48" i="30" s="1"/>
  <c r="B48" i="30"/>
  <c r="T47" i="30"/>
  <c r="P47" i="30"/>
  <c r="X47" i="30" s="1"/>
  <c r="H47" i="30"/>
  <c r="D47" i="30"/>
  <c r="L47" i="30" s="1"/>
  <c r="B47" i="30"/>
  <c r="T46" i="30"/>
  <c r="P46" i="30"/>
  <c r="H46" i="30"/>
  <c r="D46" i="30"/>
  <c r="B46" i="30"/>
  <c r="X45" i="30"/>
  <c r="Z45" i="30" s="1"/>
  <c r="T45" i="30"/>
  <c r="P45" i="30"/>
  <c r="H45" i="30"/>
  <c r="D45" i="30"/>
  <c r="L45" i="30" s="1"/>
  <c r="N45" i="30" s="1"/>
  <c r="B45" i="30"/>
  <c r="Z44" i="30"/>
  <c r="T44" i="30"/>
  <c r="P44" i="30"/>
  <c r="X44" i="30" s="1"/>
  <c r="H44" i="30"/>
  <c r="N44" i="30" s="1"/>
  <c r="D44" i="30"/>
  <c r="L44" i="30" s="1"/>
  <c r="B44" i="30"/>
  <c r="T43" i="30"/>
  <c r="Z43" i="30" s="1"/>
  <c r="P43" i="30"/>
  <c r="X43" i="30" s="1"/>
  <c r="H43" i="30"/>
  <c r="N43" i="30" s="1"/>
  <c r="D43" i="30"/>
  <c r="L43" i="30" s="1"/>
  <c r="B43" i="30"/>
  <c r="T42" i="30"/>
  <c r="P42" i="30"/>
  <c r="H42" i="30"/>
  <c r="N42" i="30" s="1"/>
  <c r="D42" i="30"/>
  <c r="B42" i="30"/>
  <c r="T41" i="30"/>
  <c r="P41" i="30"/>
  <c r="X41" i="30" s="1"/>
  <c r="Z41" i="30" s="1"/>
  <c r="L41" i="30"/>
  <c r="N41" i="30" s="1"/>
  <c r="H41" i="30"/>
  <c r="D41" i="30"/>
  <c r="B41" i="30"/>
  <c r="T40" i="30"/>
  <c r="P40" i="30"/>
  <c r="X40" i="30" s="1"/>
  <c r="H40" i="30"/>
  <c r="D40" i="30"/>
  <c r="L40" i="30" s="1"/>
  <c r="N40" i="30" s="1"/>
  <c r="B40" i="30"/>
  <c r="T39" i="30"/>
  <c r="Z39" i="30" s="1"/>
  <c r="P39" i="30"/>
  <c r="X39" i="30" s="1"/>
  <c r="H39" i="30"/>
  <c r="N39" i="30" s="1"/>
  <c r="D39" i="30"/>
  <c r="L39" i="30" s="1"/>
  <c r="B39" i="30"/>
  <c r="T38" i="30"/>
  <c r="P38" i="30"/>
  <c r="H38" i="30"/>
  <c r="D38" i="30"/>
  <c r="B38" i="30"/>
  <c r="X37" i="30"/>
  <c r="Z37" i="30" s="1"/>
  <c r="T37" i="30"/>
  <c r="P37" i="30"/>
  <c r="H37" i="30"/>
  <c r="D37" i="30"/>
  <c r="L37" i="30" s="1"/>
  <c r="N37" i="30" s="1"/>
  <c r="B37" i="30"/>
  <c r="T36" i="30"/>
  <c r="P36" i="30"/>
  <c r="X36" i="30" s="1"/>
  <c r="Z36" i="30" s="1"/>
  <c r="H36" i="30"/>
  <c r="N36" i="30" s="1"/>
  <c r="D36" i="30"/>
  <c r="L36" i="30" s="1"/>
  <c r="B36" i="30"/>
  <c r="T35" i="30"/>
  <c r="P35" i="30"/>
  <c r="X35" i="30" s="1"/>
  <c r="H35" i="30"/>
  <c r="N35" i="30" s="1"/>
  <c r="D35" i="30"/>
  <c r="L35" i="30" s="1"/>
  <c r="B35" i="30"/>
  <c r="T34" i="30"/>
  <c r="Z34" i="30" s="1"/>
  <c r="P34" i="30"/>
  <c r="H34" i="30"/>
  <c r="N34" i="30" s="1"/>
  <c r="D34" i="30"/>
  <c r="B34" i="30"/>
  <c r="Z33" i="30"/>
  <c r="T33" i="30"/>
  <c r="P33" i="30"/>
  <c r="X33" i="30" s="1"/>
  <c r="N33" i="30"/>
  <c r="L33" i="30"/>
  <c r="H33" i="30"/>
  <c r="D33" i="30"/>
  <c r="B33" i="30"/>
  <c r="T32" i="30"/>
  <c r="Z32" i="30" s="1"/>
  <c r="P32" i="30"/>
  <c r="X32" i="30" s="1"/>
  <c r="N32" i="30"/>
  <c r="H32" i="30"/>
  <c r="D32" i="30"/>
  <c r="L32" i="30" s="1"/>
  <c r="B32" i="30"/>
  <c r="T31" i="30"/>
  <c r="Z31" i="30" s="1"/>
  <c r="P31" i="30"/>
  <c r="X31" i="30" s="1"/>
  <c r="H31" i="30"/>
  <c r="N31" i="30" s="1"/>
  <c r="D31" i="30"/>
  <c r="L31" i="30" s="1"/>
  <c r="B31" i="30"/>
  <c r="T30" i="30"/>
  <c r="Z30" i="30" s="1"/>
  <c r="P30" i="30"/>
  <c r="H30" i="30"/>
  <c r="N30" i="30" s="1"/>
  <c r="D30" i="30"/>
  <c r="B30" i="30"/>
  <c r="Z29" i="30"/>
  <c r="X29" i="30"/>
  <c r="T29" i="30"/>
  <c r="P29" i="30"/>
  <c r="N29" i="30"/>
  <c r="H29" i="30"/>
  <c r="D29" i="30"/>
  <c r="L29" i="30" s="1"/>
  <c r="B29" i="30"/>
  <c r="Z28" i="30"/>
  <c r="T28" i="30"/>
  <c r="P28" i="30"/>
  <c r="X28" i="30" s="1"/>
  <c r="H28" i="30"/>
  <c r="N28" i="30" s="1"/>
  <c r="D28" i="30"/>
  <c r="L28" i="30" s="1"/>
  <c r="B28" i="30"/>
  <c r="T27" i="30"/>
  <c r="P27" i="30"/>
  <c r="X27" i="30" s="1"/>
  <c r="H27" i="30"/>
  <c r="N27" i="30" s="1"/>
  <c r="D27" i="30"/>
  <c r="L27" i="30" s="1"/>
  <c r="B27" i="30"/>
  <c r="T26" i="30"/>
  <c r="P26" i="30"/>
  <c r="H26" i="30"/>
  <c r="N26" i="30" s="1"/>
  <c r="D26" i="30"/>
  <c r="B26" i="30"/>
  <c r="T25" i="30"/>
  <c r="P25" i="30"/>
  <c r="X25" i="30" s="1"/>
  <c r="Z25" i="30" s="1"/>
  <c r="L25" i="30"/>
  <c r="N25" i="30" s="1"/>
  <c r="H25" i="30"/>
  <c r="D25" i="30"/>
  <c r="B25" i="30"/>
  <c r="T24" i="30"/>
  <c r="P24" i="30"/>
  <c r="X24" i="30" s="1"/>
  <c r="H24" i="30"/>
  <c r="D24" i="30"/>
  <c r="L24" i="30" s="1"/>
  <c r="N24" i="30" s="1"/>
  <c r="B24" i="30"/>
  <c r="T23" i="30"/>
  <c r="Z23" i="30" s="1"/>
  <c r="P23" i="30"/>
  <c r="X23" i="30" s="1"/>
  <c r="H23" i="30"/>
  <c r="D23" i="30"/>
  <c r="L23" i="30" s="1"/>
  <c r="B23" i="30"/>
  <c r="T22" i="30"/>
  <c r="P22" i="30"/>
  <c r="H22" i="30"/>
  <c r="D22" i="30"/>
  <c r="B22" i="30"/>
  <c r="X21" i="30"/>
  <c r="Z21" i="30" s="1"/>
  <c r="T21" i="30"/>
  <c r="P21" i="30"/>
  <c r="H21" i="30"/>
  <c r="D21" i="30"/>
  <c r="L21" i="30" s="1"/>
  <c r="N21" i="30" s="1"/>
  <c r="B21" i="30"/>
  <c r="T20" i="30"/>
  <c r="P20" i="30"/>
  <c r="X20" i="30" s="1"/>
  <c r="Z20" i="30" s="1"/>
  <c r="H20" i="30"/>
  <c r="D20" i="30"/>
  <c r="L20" i="30" s="1"/>
  <c r="B20" i="30"/>
  <c r="T19" i="30"/>
  <c r="Z19" i="30" s="1"/>
  <c r="P19" i="30"/>
  <c r="X19" i="30" s="1"/>
  <c r="H19" i="30"/>
  <c r="N19" i="30" s="1"/>
  <c r="D19" i="30"/>
  <c r="L19" i="30" s="1"/>
  <c r="B19" i="30"/>
  <c r="T18" i="30"/>
  <c r="Z18" i="30" s="1"/>
  <c r="P18" i="30"/>
  <c r="H18" i="30"/>
  <c r="N18" i="30" s="1"/>
  <c r="D18" i="30"/>
  <c r="B18" i="30"/>
  <c r="Z17" i="30"/>
  <c r="T17" i="30"/>
  <c r="P17" i="30"/>
  <c r="X17" i="30" s="1"/>
  <c r="N17" i="30"/>
  <c r="L17" i="30"/>
  <c r="H17" i="30"/>
  <c r="D17" i="30"/>
  <c r="B17" i="30"/>
  <c r="T16" i="30"/>
  <c r="P16" i="30"/>
  <c r="X16" i="30" s="1"/>
  <c r="N16" i="30"/>
  <c r="H16" i="30"/>
  <c r="D16" i="30"/>
  <c r="L16" i="30" s="1"/>
  <c r="B16" i="30"/>
  <c r="T15" i="30"/>
  <c r="P15" i="30"/>
  <c r="P12" i="30" s="1"/>
  <c r="H15" i="30"/>
  <c r="N15" i="30" s="1"/>
  <c r="D15" i="30"/>
  <c r="L15" i="30" s="1"/>
  <c r="B15" i="30"/>
  <c r="T14" i="30"/>
  <c r="T12" i="30" s="1"/>
  <c r="P14" i="30"/>
  <c r="H14" i="30"/>
  <c r="N14" i="30" s="1"/>
  <c r="D14" i="30"/>
  <c r="B14" i="30"/>
  <c r="Z13" i="30"/>
  <c r="X13" i="30"/>
  <c r="T13" i="30"/>
  <c r="P13" i="30"/>
  <c r="N13" i="30"/>
  <c r="H13" i="30"/>
  <c r="D13" i="30"/>
  <c r="L13" i="30" s="1"/>
  <c r="B13" i="30"/>
  <c r="D4" i="30"/>
  <c r="B39" i="29"/>
  <c r="B38" i="29"/>
  <c r="T34" i="29"/>
  <c r="Z34" i="29" s="1"/>
  <c r="P34" i="29"/>
  <c r="H34" i="29"/>
  <c r="N34" i="29" s="1"/>
  <c r="D34" i="29"/>
  <c r="T33" i="29"/>
  <c r="Z33" i="29" s="1"/>
  <c r="P33" i="29"/>
  <c r="H33" i="29"/>
  <c r="N33" i="29" s="1"/>
  <c r="D33" i="29"/>
  <c r="T29" i="29"/>
  <c r="Z29" i="29" s="1"/>
  <c r="P29" i="29"/>
  <c r="H29" i="29"/>
  <c r="N29" i="29" s="1"/>
  <c r="D29" i="29"/>
  <c r="T25" i="29"/>
  <c r="Z25" i="29" s="1"/>
  <c r="P25" i="29"/>
  <c r="H25" i="29"/>
  <c r="N25" i="29" s="1"/>
  <c r="D25" i="29"/>
  <c r="B25" i="29"/>
  <c r="T24" i="29"/>
  <c r="Z24" i="29" s="1"/>
  <c r="P24" i="29"/>
  <c r="H24" i="29"/>
  <c r="N24" i="29" s="1"/>
  <c r="D24" i="29"/>
  <c r="T22" i="29"/>
  <c r="Z22" i="29" s="1"/>
  <c r="P22" i="29"/>
  <c r="H22" i="29"/>
  <c r="N22" i="29" s="1"/>
  <c r="D22" i="29"/>
  <c r="B22" i="29"/>
  <c r="T21" i="29"/>
  <c r="Z21" i="29" s="1"/>
  <c r="P21" i="29"/>
  <c r="H21" i="29"/>
  <c r="N21" i="29" s="1"/>
  <c r="D21" i="29"/>
  <c r="B21" i="29"/>
  <c r="T20" i="29"/>
  <c r="Z20" i="29" s="1"/>
  <c r="P20" i="29"/>
  <c r="H20" i="29"/>
  <c r="N20" i="29" s="1"/>
  <c r="D20" i="29"/>
  <c r="T16" i="29"/>
  <c r="Z16" i="29" s="1"/>
  <c r="P16" i="29"/>
  <c r="H16" i="29"/>
  <c r="N16" i="29" s="1"/>
  <c r="D16" i="29"/>
  <c r="B16" i="29"/>
  <c r="T15" i="29"/>
  <c r="Z15" i="29" s="1"/>
  <c r="P15" i="29"/>
  <c r="H15" i="29"/>
  <c r="N15" i="29" s="1"/>
  <c r="D15" i="29"/>
  <c r="T13" i="29"/>
  <c r="Z13" i="29" s="1"/>
  <c r="P13" i="29"/>
  <c r="H13" i="29"/>
  <c r="N13" i="29" s="1"/>
  <c r="D13" i="29"/>
  <c r="B13" i="29"/>
  <c r="T12" i="29"/>
  <c r="V22" i="29" s="1"/>
  <c r="P12" i="29"/>
  <c r="R20" i="29" s="1"/>
  <c r="H12" i="29"/>
  <c r="J18" i="29" s="1"/>
  <c r="D12" i="29"/>
  <c r="F24" i="29" s="1"/>
  <c r="D5" i="29"/>
  <c r="D4" i="29"/>
  <c r="B39" i="28"/>
  <c r="B38" i="28"/>
  <c r="T34" i="28"/>
  <c r="Z34" i="28" s="1"/>
  <c r="P34" i="28"/>
  <c r="H34" i="28"/>
  <c r="N34" i="28" s="1"/>
  <c r="D34" i="28"/>
  <c r="T33" i="28"/>
  <c r="Z33" i="28" s="1"/>
  <c r="P33" i="28"/>
  <c r="H33" i="28"/>
  <c r="N33" i="28" s="1"/>
  <c r="D33" i="28"/>
  <c r="T29" i="28"/>
  <c r="Z29" i="28" s="1"/>
  <c r="P29" i="28"/>
  <c r="H29" i="28"/>
  <c r="N29" i="28" s="1"/>
  <c r="D29" i="28"/>
  <c r="T25" i="28"/>
  <c r="Z25" i="28" s="1"/>
  <c r="P25" i="28"/>
  <c r="H25" i="28"/>
  <c r="N25" i="28" s="1"/>
  <c r="D25" i="28"/>
  <c r="B25" i="28"/>
  <c r="T24" i="28"/>
  <c r="Z24" i="28" s="1"/>
  <c r="P24" i="28"/>
  <c r="H24" i="28"/>
  <c r="N24" i="28" s="1"/>
  <c r="D24" i="28"/>
  <c r="T22" i="28"/>
  <c r="Z22" i="28" s="1"/>
  <c r="P22" i="28"/>
  <c r="H22" i="28"/>
  <c r="N22" i="28" s="1"/>
  <c r="D22" i="28"/>
  <c r="B22" i="28"/>
  <c r="T21" i="28"/>
  <c r="Z21" i="28" s="1"/>
  <c r="P21" i="28"/>
  <c r="H21" i="28"/>
  <c r="N21" i="28" s="1"/>
  <c r="D21" i="28"/>
  <c r="B21" i="28"/>
  <c r="T20" i="28"/>
  <c r="Z20" i="28" s="1"/>
  <c r="P20" i="28"/>
  <c r="H20" i="28"/>
  <c r="N20" i="28" s="1"/>
  <c r="D20" i="28"/>
  <c r="T16" i="28"/>
  <c r="Z16" i="28" s="1"/>
  <c r="P16" i="28"/>
  <c r="H16" i="28"/>
  <c r="N16" i="28" s="1"/>
  <c r="D16" i="28"/>
  <c r="B16" i="28"/>
  <c r="T15" i="28"/>
  <c r="Z15" i="28" s="1"/>
  <c r="P15" i="28"/>
  <c r="H15" i="28"/>
  <c r="N15" i="28" s="1"/>
  <c r="D15" i="28"/>
  <c r="T13" i="28"/>
  <c r="Z13" i="28" s="1"/>
  <c r="P13" i="28"/>
  <c r="H13" i="28"/>
  <c r="N13" i="28" s="1"/>
  <c r="D13" i="28"/>
  <c r="B13" i="28"/>
  <c r="T12" i="28"/>
  <c r="V34" i="28" s="1"/>
  <c r="P12" i="28"/>
  <c r="H12" i="28"/>
  <c r="J21" i="28" s="1"/>
  <c r="D12" i="28"/>
  <c r="F34" i="28" s="1"/>
  <c r="D5" i="28"/>
  <c r="D4" i="28"/>
  <c r="Z135" i="27"/>
  <c r="X135" i="27"/>
  <c r="L135" i="27"/>
  <c r="N135" i="27" s="1"/>
  <c r="X131" i="27"/>
  <c r="Z131" i="27" s="1"/>
  <c r="T131" i="27"/>
  <c r="P131" i="27"/>
  <c r="H131" i="27"/>
  <c r="D131" i="27"/>
  <c r="B131" i="27"/>
  <c r="T130" i="27"/>
  <c r="P130" i="27"/>
  <c r="H130" i="27"/>
  <c r="D130" i="27"/>
  <c r="L130" i="27" s="1"/>
  <c r="N130" i="27" s="1"/>
  <c r="B130" i="27"/>
  <c r="T129" i="27"/>
  <c r="P129" i="27"/>
  <c r="X129" i="27" s="1"/>
  <c r="L129" i="27"/>
  <c r="N129" i="27" s="1"/>
  <c r="H129" i="27"/>
  <c r="D129" i="27"/>
  <c r="D128" i="27" s="1"/>
  <c r="B129" i="27"/>
  <c r="Z126" i="27"/>
  <c r="X126" i="27"/>
  <c r="N126" i="27"/>
  <c r="L126" i="27"/>
  <c r="B126" i="27"/>
  <c r="T125" i="27"/>
  <c r="Z125" i="27" s="1"/>
  <c r="P125" i="27"/>
  <c r="X125" i="27" s="1"/>
  <c r="H125" i="27"/>
  <c r="N125" i="27" s="1"/>
  <c r="D125" i="27"/>
  <c r="L125" i="27" s="1"/>
  <c r="B125" i="27"/>
  <c r="Z124" i="27"/>
  <c r="X124" i="27"/>
  <c r="N124" i="27"/>
  <c r="L124" i="27"/>
  <c r="B124" i="27"/>
  <c r="T123" i="27"/>
  <c r="Z123" i="27" s="1"/>
  <c r="P123" i="27"/>
  <c r="X123" i="27" s="1"/>
  <c r="N123" i="27"/>
  <c r="L123" i="27"/>
  <c r="H123" i="27"/>
  <c r="D123" i="27"/>
  <c r="B123" i="27"/>
  <c r="Z122" i="27"/>
  <c r="X122" i="27"/>
  <c r="N122" i="27"/>
  <c r="L122" i="27"/>
  <c r="B122" i="27"/>
  <c r="X121" i="27"/>
  <c r="Z121" i="27" s="1"/>
  <c r="N121" i="27"/>
  <c r="L121" i="27"/>
  <c r="B121" i="27"/>
  <c r="T120" i="27"/>
  <c r="P120" i="27"/>
  <c r="X120" i="27" s="1"/>
  <c r="Z120" i="27" s="1"/>
  <c r="N120" i="27"/>
  <c r="L120" i="27"/>
  <c r="H120" i="27"/>
  <c r="D120" i="27"/>
  <c r="B120" i="27"/>
  <c r="X119" i="27"/>
  <c r="Z119" i="27" s="1"/>
  <c r="L119" i="27"/>
  <c r="N119" i="27" s="1"/>
  <c r="B119" i="27"/>
  <c r="Z118" i="27"/>
  <c r="X118" i="27"/>
  <c r="N118" i="27"/>
  <c r="L118" i="27"/>
  <c r="B118" i="27"/>
  <c r="X117" i="27"/>
  <c r="Z117" i="27" s="1"/>
  <c r="N117" i="27"/>
  <c r="L117" i="27"/>
  <c r="B117" i="27"/>
  <c r="T116" i="27"/>
  <c r="P116" i="27"/>
  <c r="X116" i="27" s="1"/>
  <c r="Z116" i="27" s="1"/>
  <c r="N116" i="27"/>
  <c r="L116" i="27"/>
  <c r="H116" i="27"/>
  <c r="D116" i="27"/>
  <c r="B116" i="27"/>
  <c r="X115" i="27"/>
  <c r="Z115" i="27" s="1"/>
  <c r="N115" i="27"/>
  <c r="L115" i="27"/>
  <c r="B115" i="27"/>
  <c r="Z114" i="27"/>
  <c r="X114" i="27"/>
  <c r="N114" i="27"/>
  <c r="L114" i="27"/>
  <c r="B114" i="27"/>
  <c r="X113" i="27"/>
  <c r="Z113" i="27" s="1"/>
  <c r="T113" i="27"/>
  <c r="P113" i="27"/>
  <c r="H113" i="27"/>
  <c r="D113" i="27"/>
  <c r="B113" i="27"/>
  <c r="Z112" i="27"/>
  <c r="X112" i="27"/>
  <c r="N112" i="27"/>
  <c r="L112" i="27"/>
  <c r="B112" i="27"/>
  <c r="X111" i="27"/>
  <c r="Z111" i="27" s="1"/>
  <c r="L111" i="27"/>
  <c r="N111" i="27" s="1"/>
  <c r="B111" i="27"/>
  <c r="Z110" i="27"/>
  <c r="X110" i="27"/>
  <c r="N110" i="27"/>
  <c r="L110" i="27"/>
  <c r="B110" i="27"/>
  <c r="X109" i="27"/>
  <c r="Z109" i="27" s="1"/>
  <c r="T109" i="27"/>
  <c r="P109" i="27"/>
  <c r="H109" i="27"/>
  <c r="D109" i="27"/>
  <c r="B109" i="27"/>
  <c r="Z108" i="27"/>
  <c r="X108" i="27"/>
  <c r="N108" i="27"/>
  <c r="L108" i="27"/>
  <c r="B108" i="27"/>
  <c r="X107" i="27"/>
  <c r="Z107" i="27" s="1"/>
  <c r="L107" i="27"/>
  <c r="N107" i="27" s="1"/>
  <c r="B107" i="27"/>
  <c r="Z106" i="27"/>
  <c r="X106" i="27"/>
  <c r="N106" i="27"/>
  <c r="L106" i="27"/>
  <c r="B106" i="27"/>
  <c r="X105" i="27"/>
  <c r="Z105" i="27" s="1"/>
  <c r="L105" i="27"/>
  <c r="N105" i="27" s="1"/>
  <c r="B105" i="27"/>
  <c r="Z104" i="27"/>
  <c r="X104" i="27"/>
  <c r="N104" i="27"/>
  <c r="L104" i="27"/>
  <c r="B104" i="27"/>
  <c r="X103" i="27"/>
  <c r="Z103" i="27" s="1"/>
  <c r="L103" i="27"/>
  <c r="N103" i="27" s="1"/>
  <c r="B103" i="27"/>
  <c r="Z102" i="27"/>
  <c r="X102" i="27"/>
  <c r="N102" i="27"/>
  <c r="L102" i="27"/>
  <c r="B102" i="27"/>
  <c r="X101" i="27"/>
  <c r="Z101" i="27" s="1"/>
  <c r="L101" i="27"/>
  <c r="N101" i="27" s="1"/>
  <c r="B101" i="27"/>
  <c r="Z100" i="27"/>
  <c r="X100" i="27"/>
  <c r="N100" i="27"/>
  <c r="L100" i="27"/>
  <c r="B100" i="27"/>
  <c r="T99" i="27"/>
  <c r="P99" i="27"/>
  <c r="H99" i="27"/>
  <c r="D99" i="27"/>
  <c r="L99" i="27" s="1"/>
  <c r="B99" i="27"/>
  <c r="Z98" i="27"/>
  <c r="X98" i="27"/>
  <c r="N98" i="27"/>
  <c r="L98" i="27"/>
  <c r="B98" i="27"/>
  <c r="T97" i="27"/>
  <c r="P97" i="27"/>
  <c r="X97" i="27" s="1"/>
  <c r="H97" i="27"/>
  <c r="D97" i="27"/>
  <c r="L97" i="27" s="1"/>
  <c r="B97" i="27"/>
  <c r="Z96" i="27"/>
  <c r="X96" i="27"/>
  <c r="N96" i="27"/>
  <c r="L96" i="27"/>
  <c r="B96" i="27"/>
  <c r="X95" i="27"/>
  <c r="Z95" i="27" s="1"/>
  <c r="L95" i="27"/>
  <c r="N95" i="27" s="1"/>
  <c r="B95" i="27"/>
  <c r="T94" i="27"/>
  <c r="P94" i="27"/>
  <c r="X94" i="27" s="1"/>
  <c r="Z94" i="27" s="1"/>
  <c r="N94" i="27"/>
  <c r="L94" i="27"/>
  <c r="H94" i="27"/>
  <c r="D94" i="27"/>
  <c r="B94" i="27"/>
  <c r="X93" i="27"/>
  <c r="Z93" i="27" s="1"/>
  <c r="N93" i="27"/>
  <c r="L93" i="27"/>
  <c r="B93" i="27"/>
  <c r="Z92" i="27"/>
  <c r="X92" i="27"/>
  <c r="T92" i="27"/>
  <c r="P92" i="27"/>
  <c r="N92" i="27"/>
  <c r="L92" i="27"/>
  <c r="H92" i="27"/>
  <c r="D92" i="27"/>
  <c r="B92" i="27"/>
  <c r="X91" i="27"/>
  <c r="Z91" i="27" s="1"/>
  <c r="N91" i="27"/>
  <c r="L91" i="27"/>
  <c r="B91" i="27"/>
  <c r="Z90" i="27"/>
  <c r="X90" i="27"/>
  <c r="T90" i="27"/>
  <c r="P90" i="27"/>
  <c r="H90" i="27"/>
  <c r="N90" i="27" s="1"/>
  <c r="D90" i="27"/>
  <c r="L90" i="27" s="1"/>
  <c r="B90" i="27"/>
  <c r="X89" i="27"/>
  <c r="Z89" i="27" s="1"/>
  <c r="N89" i="27"/>
  <c r="L89" i="27"/>
  <c r="B89" i="27"/>
  <c r="Z88" i="27"/>
  <c r="X88" i="27"/>
  <c r="N88" i="27"/>
  <c r="L88" i="27"/>
  <c r="B88" i="27"/>
  <c r="T87" i="27"/>
  <c r="P87" i="27"/>
  <c r="H87" i="27"/>
  <c r="N87" i="27" s="1"/>
  <c r="D87" i="27"/>
  <c r="L87" i="27" s="1"/>
  <c r="B87" i="27"/>
  <c r="Z86" i="27"/>
  <c r="X86" i="27"/>
  <c r="N86" i="27"/>
  <c r="L86" i="27"/>
  <c r="B86" i="27"/>
  <c r="T85" i="27"/>
  <c r="Z85" i="27" s="1"/>
  <c r="P85" i="27"/>
  <c r="X85" i="27" s="1"/>
  <c r="N85" i="27"/>
  <c r="H85" i="27"/>
  <c r="D85" i="27"/>
  <c r="L85" i="27" s="1"/>
  <c r="B85" i="27"/>
  <c r="Z84" i="27"/>
  <c r="X84" i="27"/>
  <c r="N84" i="27"/>
  <c r="L84" i="27"/>
  <c r="B84" i="27"/>
  <c r="X83" i="27"/>
  <c r="Z83" i="27" s="1"/>
  <c r="L83" i="27"/>
  <c r="N83" i="27" s="1"/>
  <c r="B83" i="27"/>
  <c r="Z82" i="27"/>
  <c r="X82" i="27"/>
  <c r="N82" i="27"/>
  <c r="L82" i="27"/>
  <c r="B82" i="27"/>
  <c r="X81" i="27"/>
  <c r="Z81" i="27" s="1"/>
  <c r="L81" i="27"/>
  <c r="N81" i="27" s="1"/>
  <c r="B81" i="27"/>
  <c r="Z80" i="27"/>
  <c r="X80" i="27"/>
  <c r="N80" i="27"/>
  <c r="L80" i="27"/>
  <c r="B80" i="27"/>
  <c r="X79" i="27"/>
  <c r="Z79" i="27" s="1"/>
  <c r="L79" i="27"/>
  <c r="N79" i="27" s="1"/>
  <c r="B79" i="27"/>
  <c r="Z78" i="27"/>
  <c r="X78" i="27"/>
  <c r="N78" i="27"/>
  <c r="L78" i="27"/>
  <c r="B78" i="27"/>
  <c r="X77" i="27"/>
  <c r="T77" i="27"/>
  <c r="Z77" i="27" s="1"/>
  <c r="P77" i="27"/>
  <c r="H77" i="27"/>
  <c r="D77" i="27"/>
  <c r="B77" i="27"/>
  <c r="Z76" i="27"/>
  <c r="X76" i="27"/>
  <c r="N76" i="27"/>
  <c r="L76" i="27"/>
  <c r="B76" i="27"/>
  <c r="X75" i="27"/>
  <c r="Z75" i="27" s="1"/>
  <c r="L75" i="27"/>
  <c r="N75" i="27" s="1"/>
  <c r="B75" i="27"/>
  <c r="Z74" i="27"/>
  <c r="X74" i="27"/>
  <c r="N74" i="27"/>
  <c r="L74" i="27"/>
  <c r="B74" i="27"/>
  <c r="X73" i="27"/>
  <c r="Z73" i="27" s="1"/>
  <c r="L73" i="27"/>
  <c r="N73" i="27" s="1"/>
  <c r="B73" i="27"/>
  <c r="Z72" i="27"/>
  <c r="X72" i="27"/>
  <c r="N72" i="27"/>
  <c r="L72" i="27"/>
  <c r="B72" i="27"/>
  <c r="Z71" i="27"/>
  <c r="X71" i="27"/>
  <c r="L71" i="27"/>
  <c r="N71" i="27" s="1"/>
  <c r="B71" i="27"/>
  <c r="Z70" i="27"/>
  <c r="X70" i="27"/>
  <c r="N70" i="27"/>
  <c r="L70" i="27"/>
  <c r="B70" i="27"/>
  <c r="X69" i="27"/>
  <c r="Z69" i="27" s="1"/>
  <c r="L69" i="27"/>
  <c r="N69" i="27" s="1"/>
  <c r="B69" i="27"/>
  <c r="Z68" i="27"/>
  <c r="X68" i="27"/>
  <c r="N68" i="27"/>
  <c r="L68" i="27"/>
  <c r="B68" i="27"/>
  <c r="T67" i="27"/>
  <c r="P67" i="27"/>
  <c r="H67" i="27"/>
  <c r="D67" i="27"/>
  <c r="L67" i="27" s="1"/>
  <c r="B67" i="27"/>
  <c r="T66" i="27"/>
  <c r="Z66" i="27" s="1"/>
  <c r="P66" i="27"/>
  <c r="X66" i="27" s="1"/>
  <c r="H66" i="27"/>
  <c r="D66" i="27"/>
  <c r="L66" i="27" s="1"/>
  <c r="N66" i="27" s="1"/>
  <c r="X62" i="27"/>
  <c r="Z62" i="27" s="1"/>
  <c r="N62" i="27"/>
  <c r="L62" i="27"/>
  <c r="B62" i="27"/>
  <c r="Z61" i="27"/>
  <c r="X61" i="27"/>
  <c r="N61" i="27"/>
  <c r="L61" i="27"/>
  <c r="B61" i="27"/>
  <c r="X60" i="27"/>
  <c r="Z60" i="27" s="1"/>
  <c r="N60" i="27"/>
  <c r="L60" i="27"/>
  <c r="B60" i="27"/>
  <c r="Z59" i="27"/>
  <c r="X59" i="27"/>
  <c r="L59" i="27"/>
  <c r="N59" i="27" s="1"/>
  <c r="B59" i="27"/>
  <c r="X58" i="27"/>
  <c r="Z58" i="27" s="1"/>
  <c r="L58" i="27"/>
  <c r="N58" i="27" s="1"/>
  <c r="B58" i="27"/>
  <c r="X57" i="27"/>
  <c r="Z57" i="27" s="1"/>
  <c r="N57" i="27"/>
  <c r="L57" i="27"/>
  <c r="B57" i="27"/>
  <c r="Z56" i="27"/>
  <c r="X56" i="27"/>
  <c r="L56" i="27"/>
  <c r="N56" i="27" s="1"/>
  <c r="B56" i="27"/>
  <c r="X55" i="27"/>
  <c r="Z55" i="27" s="1"/>
  <c r="N55" i="27"/>
  <c r="L55" i="27"/>
  <c r="B55" i="27"/>
  <c r="X54" i="27"/>
  <c r="Z54" i="27" s="1"/>
  <c r="L54" i="27"/>
  <c r="N54" i="27" s="1"/>
  <c r="B54" i="27"/>
  <c r="Z53" i="27"/>
  <c r="X53" i="27"/>
  <c r="L53" i="27"/>
  <c r="N53" i="27" s="1"/>
  <c r="B53" i="27"/>
  <c r="X52" i="27"/>
  <c r="Z52" i="27" s="1"/>
  <c r="N52" i="27"/>
  <c r="L52" i="27"/>
  <c r="B52" i="27"/>
  <c r="Z51" i="27"/>
  <c r="X51" i="27"/>
  <c r="L51" i="27"/>
  <c r="N51" i="27" s="1"/>
  <c r="B51" i="27"/>
  <c r="X50" i="27"/>
  <c r="Z50" i="27" s="1"/>
  <c r="L50" i="27"/>
  <c r="N50" i="27" s="1"/>
  <c r="B50" i="27"/>
  <c r="X49" i="27"/>
  <c r="Z49" i="27" s="1"/>
  <c r="N49" i="27"/>
  <c r="L49" i="27"/>
  <c r="B49" i="27"/>
  <c r="Z48" i="27"/>
  <c r="X48" i="27"/>
  <c r="L48" i="27"/>
  <c r="N48" i="27" s="1"/>
  <c r="B48" i="27"/>
  <c r="X47" i="27"/>
  <c r="Z47" i="27" s="1"/>
  <c r="N47" i="27"/>
  <c r="L47" i="27"/>
  <c r="B47" i="27"/>
  <c r="Z46" i="27"/>
  <c r="X46" i="27"/>
  <c r="N46" i="27"/>
  <c r="L46" i="27"/>
  <c r="B46" i="27"/>
  <c r="T45" i="27"/>
  <c r="P45" i="27"/>
  <c r="X45" i="27" s="1"/>
  <c r="H45" i="27"/>
  <c r="D45" i="27"/>
  <c r="L45" i="27" s="1"/>
  <c r="N45" i="27" s="1"/>
  <c r="X43" i="27"/>
  <c r="Z43" i="27" s="1"/>
  <c r="T43" i="27"/>
  <c r="P43" i="27"/>
  <c r="H43" i="27"/>
  <c r="N43" i="27" s="1"/>
  <c r="D43" i="27"/>
  <c r="L43" i="27" s="1"/>
  <c r="B43" i="27"/>
  <c r="T42" i="27"/>
  <c r="P42" i="27"/>
  <c r="X42" i="27" s="1"/>
  <c r="Z42" i="27" s="1"/>
  <c r="L42" i="27"/>
  <c r="H42" i="27"/>
  <c r="N42" i="27" s="1"/>
  <c r="D42" i="27"/>
  <c r="B42" i="27"/>
  <c r="X41" i="27"/>
  <c r="T41" i="27"/>
  <c r="Z41" i="27" s="1"/>
  <c r="P41" i="27"/>
  <c r="H41" i="27"/>
  <c r="D41" i="27"/>
  <c r="L41" i="27" s="1"/>
  <c r="N41" i="27" s="1"/>
  <c r="B41" i="27"/>
  <c r="T40" i="27"/>
  <c r="P40" i="27"/>
  <c r="X40" i="27" s="1"/>
  <c r="Z40" i="27" s="1"/>
  <c r="H40" i="27"/>
  <c r="N40" i="27" s="1"/>
  <c r="D40" i="27"/>
  <c r="B40" i="27"/>
  <c r="T39" i="27"/>
  <c r="Z39" i="27" s="1"/>
  <c r="P39" i="27"/>
  <c r="X39" i="27" s="1"/>
  <c r="L39" i="27"/>
  <c r="N39" i="27" s="1"/>
  <c r="H39" i="27"/>
  <c r="D39" i="27"/>
  <c r="B39" i="27"/>
  <c r="X38" i="27"/>
  <c r="T38" i="27"/>
  <c r="Z38" i="27" s="1"/>
  <c r="P38" i="27"/>
  <c r="H38" i="27"/>
  <c r="D38" i="27"/>
  <c r="L38" i="27" s="1"/>
  <c r="N38" i="27" s="1"/>
  <c r="B38" i="27"/>
  <c r="T37" i="27"/>
  <c r="P37" i="27"/>
  <c r="X37" i="27" s="1"/>
  <c r="Z37" i="27" s="1"/>
  <c r="L37" i="27"/>
  <c r="H37" i="27"/>
  <c r="N37" i="27" s="1"/>
  <c r="D37" i="27"/>
  <c r="B37" i="27"/>
  <c r="T36" i="27"/>
  <c r="P36" i="27"/>
  <c r="N36" i="27"/>
  <c r="H36" i="27"/>
  <c r="D36" i="27"/>
  <c r="L36" i="27" s="1"/>
  <c r="B36" i="27"/>
  <c r="X35" i="27"/>
  <c r="Z35" i="27" s="1"/>
  <c r="T35" i="27"/>
  <c r="P35" i="27"/>
  <c r="H35" i="27"/>
  <c r="D35" i="27"/>
  <c r="L35" i="27" s="1"/>
  <c r="B35" i="27"/>
  <c r="T34" i="27"/>
  <c r="P34" i="27"/>
  <c r="X34" i="27" s="1"/>
  <c r="Z34" i="27" s="1"/>
  <c r="L34" i="27"/>
  <c r="H34" i="27"/>
  <c r="N34" i="27" s="1"/>
  <c r="D34" i="27"/>
  <c r="B34" i="27"/>
  <c r="X33" i="27"/>
  <c r="T33" i="27"/>
  <c r="Z33" i="27" s="1"/>
  <c r="P33" i="27"/>
  <c r="N33" i="27"/>
  <c r="H33" i="27"/>
  <c r="D33" i="27"/>
  <c r="L33" i="27" s="1"/>
  <c r="B33" i="27"/>
  <c r="T32" i="27"/>
  <c r="P32" i="27"/>
  <c r="X32" i="27" s="1"/>
  <c r="Z32" i="27" s="1"/>
  <c r="H32" i="27"/>
  <c r="D32" i="27"/>
  <c r="B32" i="27"/>
  <c r="T31" i="27"/>
  <c r="Z31" i="27" s="1"/>
  <c r="P31" i="27"/>
  <c r="X31" i="27" s="1"/>
  <c r="N31" i="27"/>
  <c r="L31" i="27"/>
  <c r="H31" i="27"/>
  <c r="D31" i="27"/>
  <c r="B31" i="27"/>
  <c r="X30" i="27"/>
  <c r="T30" i="27"/>
  <c r="Z30" i="27" s="1"/>
  <c r="P30" i="27"/>
  <c r="H30" i="27"/>
  <c r="D30" i="27"/>
  <c r="L30" i="27" s="1"/>
  <c r="N30" i="27" s="1"/>
  <c r="B30" i="27"/>
  <c r="T29" i="27"/>
  <c r="P29" i="27"/>
  <c r="X29" i="27" s="1"/>
  <c r="Z29" i="27" s="1"/>
  <c r="L29" i="27"/>
  <c r="H29" i="27"/>
  <c r="N29" i="27" s="1"/>
  <c r="D29" i="27"/>
  <c r="B29" i="27"/>
  <c r="T28" i="27"/>
  <c r="P28" i="27"/>
  <c r="N28" i="27"/>
  <c r="H28" i="27"/>
  <c r="D28" i="27"/>
  <c r="L28" i="27" s="1"/>
  <c r="B28" i="27"/>
  <c r="X27" i="27"/>
  <c r="Z27" i="27" s="1"/>
  <c r="T27" i="27"/>
  <c r="P27" i="27"/>
  <c r="H27" i="27"/>
  <c r="N27" i="27" s="1"/>
  <c r="D27" i="27"/>
  <c r="L27" i="27" s="1"/>
  <c r="B27" i="27"/>
  <c r="T26" i="27"/>
  <c r="P26" i="27"/>
  <c r="X26" i="27" s="1"/>
  <c r="Z26" i="27" s="1"/>
  <c r="L26" i="27"/>
  <c r="H26" i="27"/>
  <c r="N26" i="27" s="1"/>
  <c r="D26" i="27"/>
  <c r="B26" i="27"/>
  <c r="X25" i="27"/>
  <c r="T25" i="27"/>
  <c r="Z25" i="27" s="1"/>
  <c r="P25" i="27"/>
  <c r="N25" i="27"/>
  <c r="H25" i="27"/>
  <c r="D25" i="27"/>
  <c r="L25" i="27" s="1"/>
  <c r="B25" i="27"/>
  <c r="T24" i="27"/>
  <c r="P24" i="27"/>
  <c r="X24" i="27" s="1"/>
  <c r="Z24" i="27" s="1"/>
  <c r="H24" i="27"/>
  <c r="D24" i="27"/>
  <c r="B24" i="27"/>
  <c r="T23" i="27"/>
  <c r="P23" i="27"/>
  <c r="X23" i="27" s="1"/>
  <c r="L23" i="27"/>
  <c r="N23" i="27" s="1"/>
  <c r="H23" i="27"/>
  <c r="D23" i="27"/>
  <c r="B23" i="27"/>
  <c r="X22" i="27"/>
  <c r="T22" i="27"/>
  <c r="Z22" i="27" s="1"/>
  <c r="P22" i="27"/>
  <c r="H22" i="27"/>
  <c r="D22" i="27"/>
  <c r="L22" i="27" s="1"/>
  <c r="N22" i="27" s="1"/>
  <c r="B22" i="27"/>
  <c r="T21" i="27"/>
  <c r="P21" i="27"/>
  <c r="X21" i="27" s="1"/>
  <c r="Z21" i="27" s="1"/>
  <c r="L21" i="27"/>
  <c r="H21" i="27"/>
  <c r="N21" i="27" s="1"/>
  <c r="D21" i="27"/>
  <c r="B21" i="27"/>
  <c r="T20" i="27"/>
  <c r="P20" i="27"/>
  <c r="H20" i="27"/>
  <c r="D20" i="27"/>
  <c r="L20" i="27" s="1"/>
  <c r="N20" i="27" s="1"/>
  <c r="B20" i="27"/>
  <c r="X19" i="27"/>
  <c r="Z19" i="27" s="1"/>
  <c r="T19" i="27"/>
  <c r="P19" i="27"/>
  <c r="H19" i="27"/>
  <c r="D19" i="27"/>
  <c r="L19" i="27" s="1"/>
  <c r="B19" i="27"/>
  <c r="T18" i="27"/>
  <c r="P18" i="27"/>
  <c r="X18" i="27" s="1"/>
  <c r="Z18" i="27" s="1"/>
  <c r="H18" i="27"/>
  <c r="N18" i="27" s="1"/>
  <c r="D18" i="27"/>
  <c r="L18" i="27" s="1"/>
  <c r="B18" i="27"/>
  <c r="X17" i="27"/>
  <c r="T17" i="27"/>
  <c r="Z17" i="27" s="1"/>
  <c r="P17" i="27"/>
  <c r="H17" i="27"/>
  <c r="N17" i="27" s="1"/>
  <c r="D17" i="27"/>
  <c r="D12" i="27" s="1"/>
  <c r="B17" i="27"/>
  <c r="T16" i="27"/>
  <c r="P16" i="27"/>
  <c r="X16" i="27" s="1"/>
  <c r="Z16" i="27" s="1"/>
  <c r="H16" i="27"/>
  <c r="D16" i="27"/>
  <c r="B16" i="27"/>
  <c r="T15" i="27"/>
  <c r="Z15" i="27" s="1"/>
  <c r="P15" i="27"/>
  <c r="X15" i="27" s="1"/>
  <c r="L15" i="27"/>
  <c r="N15" i="27" s="1"/>
  <c r="H15" i="27"/>
  <c r="D15" i="27"/>
  <c r="B15" i="27"/>
  <c r="T14" i="27"/>
  <c r="Z14" i="27" s="1"/>
  <c r="P14" i="27"/>
  <c r="X14" i="27" s="1"/>
  <c r="H14" i="27"/>
  <c r="D14" i="27"/>
  <c r="L14" i="27" s="1"/>
  <c r="N14" i="27" s="1"/>
  <c r="B14" i="27"/>
  <c r="T13" i="27"/>
  <c r="Z13" i="27" s="1"/>
  <c r="P13" i="27"/>
  <c r="X13" i="27" s="1"/>
  <c r="L13" i="27"/>
  <c r="H13" i="27"/>
  <c r="H12" i="27" s="1"/>
  <c r="D13" i="27"/>
  <c r="B13" i="27"/>
  <c r="T12" i="27"/>
  <c r="V124" i="27" s="1"/>
  <c r="D4" i="27"/>
  <c r="B39" i="26"/>
  <c r="B38" i="26"/>
  <c r="T34" i="26"/>
  <c r="Z34" i="26" s="1"/>
  <c r="P34" i="26"/>
  <c r="H34" i="26"/>
  <c r="N34" i="26" s="1"/>
  <c r="D34" i="26"/>
  <c r="T33" i="26"/>
  <c r="Z33" i="26" s="1"/>
  <c r="P33" i="26"/>
  <c r="H33" i="26"/>
  <c r="N33" i="26" s="1"/>
  <c r="D33" i="26"/>
  <c r="T29" i="26"/>
  <c r="Z29" i="26" s="1"/>
  <c r="P29" i="26"/>
  <c r="H29" i="26"/>
  <c r="N29" i="26" s="1"/>
  <c r="D29" i="26"/>
  <c r="T25" i="26"/>
  <c r="Z25" i="26" s="1"/>
  <c r="P25" i="26"/>
  <c r="H25" i="26"/>
  <c r="N25" i="26" s="1"/>
  <c r="D25" i="26"/>
  <c r="B25" i="26"/>
  <c r="T24" i="26"/>
  <c r="Z24" i="26" s="1"/>
  <c r="P24" i="26"/>
  <c r="H24" i="26"/>
  <c r="N24" i="26" s="1"/>
  <c r="D24" i="26"/>
  <c r="T22" i="26"/>
  <c r="Z22" i="26" s="1"/>
  <c r="P22" i="26"/>
  <c r="H22" i="26"/>
  <c r="N22" i="26" s="1"/>
  <c r="D22" i="26"/>
  <c r="B22" i="26"/>
  <c r="T21" i="26"/>
  <c r="Z21" i="26" s="1"/>
  <c r="P21" i="26"/>
  <c r="H21" i="26"/>
  <c r="N21" i="26" s="1"/>
  <c r="D21" i="26"/>
  <c r="B21" i="26"/>
  <c r="T20" i="26"/>
  <c r="Z20" i="26" s="1"/>
  <c r="P20" i="26"/>
  <c r="H20" i="26"/>
  <c r="N20" i="26" s="1"/>
  <c r="D20" i="26"/>
  <c r="T16" i="26"/>
  <c r="Z16" i="26" s="1"/>
  <c r="P16" i="26"/>
  <c r="H16" i="26"/>
  <c r="N16" i="26" s="1"/>
  <c r="D16" i="26"/>
  <c r="B16" i="26"/>
  <c r="T15" i="26"/>
  <c r="Z15" i="26" s="1"/>
  <c r="P15" i="26"/>
  <c r="H15" i="26"/>
  <c r="N15" i="26" s="1"/>
  <c r="D15" i="26"/>
  <c r="T13" i="26"/>
  <c r="Z13" i="26" s="1"/>
  <c r="P13" i="26"/>
  <c r="H13" i="26"/>
  <c r="N13" i="26" s="1"/>
  <c r="D13" i="26"/>
  <c r="B13" i="26"/>
  <c r="T12" i="26"/>
  <c r="V18" i="26" s="1"/>
  <c r="P12" i="26"/>
  <c r="R24" i="26" s="1"/>
  <c r="H12" i="26"/>
  <c r="J22" i="26" s="1"/>
  <c r="D12" i="26"/>
  <c r="F18" i="26" s="1"/>
  <c r="D5" i="26"/>
  <c r="D4" i="26"/>
  <c r="B39" i="25"/>
  <c r="B38" i="25"/>
  <c r="T34" i="25"/>
  <c r="Z34" i="25" s="1"/>
  <c r="P34" i="25"/>
  <c r="H34" i="25"/>
  <c r="N34" i="25" s="1"/>
  <c r="D34" i="25"/>
  <c r="T33" i="25"/>
  <c r="Z33" i="25" s="1"/>
  <c r="P33" i="25"/>
  <c r="H33" i="25"/>
  <c r="N33" i="25" s="1"/>
  <c r="D33" i="25"/>
  <c r="T29" i="25"/>
  <c r="Z29" i="25" s="1"/>
  <c r="P29" i="25"/>
  <c r="H29" i="25"/>
  <c r="N29" i="25" s="1"/>
  <c r="D29" i="25"/>
  <c r="T25" i="25"/>
  <c r="Z25" i="25" s="1"/>
  <c r="P25" i="25"/>
  <c r="H25" i="25"/>
  <c r="N25" i="25" s="1"/>
  <c r="D25" i="25"/>
  <c r="B25" i="25"/>
  <c r="T24" i="25"/>
  <c r="Z24" i="25" s="1"/>
  <c r="P24" i="25"/>
  <c r="H24" i="25"/>
  <c r="N24" i="25" s="1"/>
  <c r="D24" i="25"/>
  <c r="T22" i="25"/>
  <c r="Z22" i="25" s="1"/>
  <c r="P22" i="25"/>
  <c r="H22" i="25"/>
  <c r="N22" i="25" s="1"/>
  <c r="D22" i="25"/>
  <c r="B22" i="25"/>
  <c r="T21" i="25"/>
  <c r="Z21" i="25" s="1"/>
  <c r="P21" i="25"/>
  <c r="H21" i="25"/>
  <c r="N21" i="25" s="1"/>
  <c r="D21" i="25"/>
  <c r="B21" i="25"/>
  <c r="T20" i="25"/>
  <c r="Z20" i="25" s="1"/>
  <c r="P20" i="25"/>
  <c r="H20" i="25"/>
  <c r="N20" i="25" s="1"/>
  <c r="D20" i="25"/>
  <c r="T16" i="25"/>
  <c r="Z16" i="25" s="1"/>
  <c r="P16" i="25"/>
  <c r="H16" i="25"/>
  <c r="N16" i="25" s="1"/>
  <c r="D16" i="25"/>
  <c r="B16" i="25"/>
  <c r="T15" i="25"/>
  <c r="Z15" i="25" s="1"/>
  <c r="P15" i="25"/>
  <c r="H15" i="25"/>
  <c r="N15" i="25" s="1"/>
  <c r="D15" i="25"/>
  <c r="T13" i="25"/>
  <c r="Z13" i="25" s="1"/>
  <c r="P13" i="25"/>
  <c r="H13" i="25"/>
  <c r="N13" i="25" s="1"/>
  <c r="D13" i="25"/>
  <c r="B13" i="25"/>
  <c r="T12" i="25"/>
  <c r="V21" i="25" s="1"/>
  <c r="P12" i="25"/>
  <c r="R34" i="25" s="1"/>
  <c r="H12" i="25"/>
  <c r="J36" i="25" s="1"/>
  <c r="D12" i="25"/>
  <c r="D5" i="25"/>
  <c r="D4" i="25"/>
  <c r="X162" i="24"/>
  <c r="Z162" i="24" s="1"/>
  <c r="N162" i="24"/>
  <c r="L162" i="24"/>
  <c r="T158" i="24"/>
  <c r="P158" i="24"/>
  <c r="H158" i="24"/>
  <c r="N158" i="24" s="1"/>
  <c r="D158" i="24"/>
  <c r="L158" i="24" s="1"/>
  <c r="B158" i="24"/>
  <c r="P157" i="24"/>
  <c r="X155" i="24"/>
  <c r="Z155" i="24" s="1"/>
  <c r="N155" i="24"/>
  <c r="L155" i="24"/>
  <c r="B155" i="24"/>
  <c r="X154" i="24"/>
  <c r="Z154" i="24" s="1"/>
  <c r="T154" i="24"/>
  <c r="P154" i="24"/>
  <c r="H154" i="24"/>
  <c r="N154" i="24" s="1"/>
  <c r="D154" i="24"/>
  <c r="B154" i="24"/>
  <c r="X153" i="24"/>
  <c r="Z153" i="24" s="1"/>
  <c r="N153" i="24"/>
  <c r="L153" i="24"/>
  <c r="B153" i="24"/>
  <c r="T152" i="24"/>
  <c r="P152" i="24"/>
  <c r="X152" i="24" s="1"/>
  <c r="H152" i="24"/>
  <c r="N152" i="24" s="1"/>
  <c r="D152" i="24"/>
  <c r="L152" i="24" s="1"/>
  <c r="B152" i="24"/>
  <c r="Z151" i="24"/>
  <c r="X151" i="24"/>
  <c r="L151" i="24"/>
  <c r="N151" i="24" s="1"/>
  <c r="B151" i="24"/>
  <c r="T150" i="24"/>
  <c r="Z150" i="24" s="1"/>
  <c r="P150" i="24"/>
  <c r="X150" i="24" s="1"/>
  <c r="H150" i="24"/>
  <c r="N150" i="24" s="1"/>
  <c r="D150" i="24"/>
  <c r="L150" i="24" s="1"/>
  <c r="B150" i="24"/>
  <c r="Z149" i="24"/>
  <c r="X149" i="24"/>
  <c r="N149" i="24"/>
  <c r="L149" i="24"/>
  <c r="B149" i="24"/>
  <c r="X148" i="24"/>
  <c r="Z148" i="24" s="1"/>
  <c r="N148" i="24"/>
  <c r="L148" i="24"/>
  <c r="B148" i="24"/>
  <c r="Z147" i="24"/>
  <c r="X147" i="24"/>
  <c r="N147" i="24"/>
  <c r="L147" i="24"/>
  <c r="B147" i="24"/>
  <c r="Z146" i="24"/>
  <c r="X146" i="24"/>
  <c r="N146" i="24"/>
  <c r="L146" i="24"/>
  <c r="B146" i="24"/>
  <c r="T145" i="24"/>
  <c r="Z145" i="24" s="1"/>
  <c r="P145" i="24"/>
  <c r="X145" i="24" s="1"/>
  <c r="N145" i="24"/>
  <c r="H145" i="24"/>
  <c r="D145" i="24"/>
  <c r="L145" i="24" s="1"/>
  <c r="B145" i="24"/>
  <c r="X144" i="24"/>
  <c r="Z144" i="24" s="1"/>
  <c r="N144" i="24"/>
  <c r="L144" i="24"/>
  <c r="B144" i="24"/>
  <c r="T143" i="24"/>
  <c r="P143" i="24"/>
  <c r="X143" i="24" s="1"/>
  <c r="Z143" i="24" s="1"/>
  <c r="N143" i="24"/>
  <c r="L143" i="24"/>
  <c r="H143" i="24"/>
  <c r="D143" i="24"/>
  <c r="B143" i="24"/>
  <c r="X142" i="24"/>
  <c r="Z142" i="24" s="1"/>
  <c r="L142" i="24"/>
  <c r="N142" i="24" s="1"/>
  <c r="B142" i="24"/>
  <c r="Z141" i="24"/>
  <c r="X141" i="24"/>
  <c r="L141" i="24"/>
  <c r="N141" i="24" s="1"/>
  <c r="B141" i="24"/>
  <c r="Z140" i="24"/>
  <c r="X140" i="24"/>
  <c r="T140" i="24"/>
  <c r="P140" i="24"/>
  <c r="L140" i="24"/>
  <c r="N140" i="24" s="1"/>
  <c r="H140" i="24"/>
  <c r="D140" i="24"/>
  <c r="B140" i="24"/>
  <c r="X139" i="24"/>
  <c r="Z139" i="24" s="1"/>
  <c r="N139" i="24"/>
  <c r="L139" i="24"/>
  <c r="B139" i="24"/>
  <c r="X138" i="24"/>
  <c r="Z138" i="24" s="1"/>
  <c r="L138" i="24"/>
  <c r="N138" i="24" s="1"/>
  <c r="B138" i="24"/>
  <c r="T137" i="24"/>
  <c r="P137" i="24"/>
  <c r="X137" i="24" s="1"/>
  <c r="Z137" i="24" s="1"/>
  <c r="L137" i="24"/>
  <c r="H137" i="24"/>
  <c r="N137" i="24" s="1"/>
  <c r="D137" i="24"/>
  <c r="B137" i="24"/>
  <c r="X136" i="24"/>
  <c r="Z136" i="24" s="1"/>
  <c r="N136" i="24"/>
  <c r="L136" i="24"/>
  <c r="B136" i="24"/>
  <c r="X135" i="24"/>
  <c r="T135" i="24"/>
  <c r="Z135" i="24" s="1"/>
  <c r="P135" i="24"/>
  <c r="H135" i="24"/>
  <c r="D135" i="24"/>
  <c r="B135" i="24"/>
  <c r="X134" i="24"/>
  <c r="Z134" i="24" s="1"/>
  <c r="L134" i="24"/>
  <c r="N134" i="24" s="1"/>
  <c r="B134" i="24"/>
  <c r="X133" i="24"/>
  <c r="Z133" i="24" s="1"/>
  <c r="N133" i="24"/>
  <c r="L133" i="24"/>
  <c r="B133" i="24"/>
  <c r="Z132" i="24"/>
  <c r="X132" i="24"/>
  <c r="N132" i="24"/>
  <c r="L132" i="24"/>
  <c r="B132" i="24"/>
  <c r="X131" i="24"/>
  <c r="Z131" i="24" s="1"/>
  <c r="N131" i="24"/>
  <c r="L131" i="24"/>
  <c r="B131" i="24"/>
  <c r="X130" i="24"/>
  <c r="Z130" i="24" s="1"/>
  <c r="L130" i="24"/>
  <c r="N130" i="24" s="1"/>
  <c r="B130" i="24"/>
  <c r="Z129" i="24"/>
  <c r="X129" i="24"/>
  <c r="L129" i="24"/>
  <c r="N129" i="24" s="1"/>
  <c r="B129" i="24"/>
  <c r="Z128" i="24"/>
  <c r="X128" i="24"/>
  <c r="N128" i="24"/>
  <c r="L128" i="24"/>
  <c r="B128" i="24"/>
  <c r="Z127" i="24"/>
  <c r="X127" i="24"/>
  <c r="L127" i="24"/>
  <c r="N127" i="24" s="1"/>
  <c r="B127" i="24"/>
  <c r="X126" i="24"/>
  <c r="Z126" i="24" s="1"/>
  <c r="L126" i="24"/>
  <c r="N126" i="24" s="1"/>
  <c r="B126" i="24"/>
  <c r="X125" i="24"/>
  <c r="Z125" i="24" s="1"/>
  <c r="N125" i="24"/>
  <c r="L125" i="24"/>
  <c r="B125" i="24"/>
  <c r="Z124" i="24"/>
  <c r="X124" i="24"/>
  <c r="N124" i="24"/>
  <c r="L124" i="24"/>
  <c r="B124" i="24"/>
  <c r="X123" i="24"/>
  <c r="Z123" i="24" s="1"/>
  <c r="N123" i="24"/>
  <c r="L123" i="24"/>
  <c r="B123" i="24"/>
  <c r="X122" i="24"/>
  <c r="Z122" i="24" s="1"/>
  <c r="L122" i="24"/>
  <c r="N122" i="24" s="1"/>
  <c r="B122" i="24"/>
  <c r="Z121" i="24"/>
  <c r="X121" i="24"/>
  <c r="L121" i="24"/>
  <c r="N121" i="24" s="1"/>
  <c r="B121" i="24"/>
  <c r="Z120" i="24"/>
  <c r="X120" i="24"/>
  <c r="N120" i="24"/>
  <c r="L120" i="24"/>
  <c r="B120" i="24"/>
  <c r="Z119" i="24"/>
  <c r="X119" i="24"/>
  <c r="L119" i="24"/>
  <c r="N119" i="24" s="1"/>
  <c r="B119" i="24"/>
  <c r="X118" i="24"/>
  <c r="Z118" i="24" s="1"/>
  <c r="L118" i="24"/>
  <c r="N118" i="24" s="1"/>
  <c r="B118" i="24"/>
  <c r="X117" i="24"/>
  <c r="Z117" i="24" s="1"/>
  <c r="N117" i="24"/>
  <c r="L117" i="24"/>
  <c r="B117" i="24"/>
  <c r="Z116" i="24"/>
  <c r="X116" i="24"/>
  <c r="L116" i="24"/>
  <c r="N116" i="24" s="1"/>
  <c r="B116" i="24"/>
  <c r="X115" i="24"/>
  <c r="Z115" i="24" s="1"/>
  <c r="N115" i="24"/>
  <c r="L115" i="24"/>
  <c r="B115" i="24"/>
  <c r="X114" i="24"/>
  <c r="Z114" i="24" s="1"/>
  <c r="L114" i="24"/>
  <c r="N114" i="24" s="1"/>
  <c r="B114" i="24"/>
  <c r="T113" i="24"/>
  <c r="P113" i="24"/>
  <c r="X113" i="24" s="1"/>
  <c r="Z113" i="24" s="1"/>
  <c r="L113" i="24"/>
  <c r="N113" i="24" s="1"/>
  <c r="H113" i="24"/>
  <c r="D113" i="24"/>
  <c r="B113" i="24"/>
  <c r="Z112" i="24"/>
  <c r="X112" i="24"/>
  <c r="N112" i="24"/>
  <c r="L112" i="24"/>
  <c r="B112" i="24"/>
  <c r="X111" i="24"/>
  <c r="Z111" i="24" s="1"/>
  <c r="T111" i="24"/>
  <c r="P111" i="24"/>
  <c r="H111" i="24"/>
  <c r="N111" i="24" s="1"/>
  <c r="D111" i="24"/>
  <c r="B111" i="24"/>
  <c r="X110" i="24"/>
  <c r="Z110" i="24" s="1"/>
  <c r="N110" i="24"/>
  <c r="L110" i="24"/>
  <c r="B110" i="24"/>
  <c r="T109" i="24"/>
  <c r="P109" i="24"/>
  <c r="H109" i="24"/>
  <c r="N109" i="24" s="1"/>
  <c r="D109" i="24"/>
  <c r="L109" i="24" s="1"/>
  <c r="B109" i="24"/>
  <c r="Z108" i="24"/>
  <c r="X108" i="24"/>
  <c r="N108" i="24"/>
  <c r="L108" i="24"/>
  <c r="B108" i="24"/>
  <c r="X107" i="24"/>
  <c r="Z107" i="24" s="1"/>
  <c r="L107" i="24"/>
  <c r="N107" i="24" s="1"/>
  <c r="B107" i="24"/>
  <c r="T106" i="24"/>
  <c r="P106" i="24"/>
  <c r="X106" i="24" s="1"/>
  <c r="Z106" i="24" s="1"/>
  <c r="N106" i="24"/>
  <c r="L106" i="24"/>
  <c r="H106" i="24"/>
  <c r="D106" i="24"/>
  <c r="B106" i="24"/>
  <c r="Z105" i="24"/>
  <c r="X105" i="24"/>
  <c r="N105" i="24"/>
  <c r="L105" i="24"/>
  <c r="B105" i="24"/>
  <c r="T104" i="24"/>
  <c r="P104" i="24"/>
  <c r="X104" i="24" s="1"/>
  <c r="N104" i="24"/>
  <c r="L104" i="24"/>
  <c r="H104" i="24"/>
  <c r="D104" i="24"/>
  <c r="B104" i="24"/>
  <c r="X103" i="24"/>
  <c r="Z103" i="24" s="1"/>
  <c r="N103" i="24"/>
  <c r="L103" i="24"/>
  <c r="B103" i="24"/>
  <c r="X102" i="24"/>
  <c r="Z102" i="24" s="1"/>
  <c r="T102" i="24"/>
  <c r="P102" i="24"/>
  <c r="H102" i="24"/>
  <c r="N102" i="24" s="1"/>
  <c r="D102" i="24"/>
  <c r="L102" i="24" s="1"/>
  <c r="B102" i="24"/>
  <c r="Z101" i="24"/>
  <c r="X101" i="24"/>
  <c r="N101" i="24"/>
  <c r="L101" i="24"/>
  <c r="B101" i="24"/>
  <c r="Z100" i="24"/>
  <c r="X100" i="24"/>
  <c r="N100" i="24"/>
  <c r="L100" i="24"/>
  <c r="B100" i="24"/>
  <c r="X99" i="24"/>
  <c r="Z99" i="24" s="1"/>
  <c r="N99" i="24"/>
  <c r="L99" i="24"/>
  <c r="B99" i="24"/>
  <c r="X98" i="24"/>
  <c r="Z98" i="24" s="1"/>
  <c r="N98" i="24"/>
  <c r="L98" i="24"/>
  <c r="B98" i="24"/>
  <c r="Z97" i="24"/>
  <c r="X97" i="24"/>
  <c r="N97" i="24"/>
  <c r="L97" i="24"/>
  <c r="B97" i="24"/>
  <c r="T96" i="24"/>
  <c r="P96" i="24"/>
  <c r="X96" i="24" s="1"/>
  <c r="L96" i="24"/>
  <c r="N96" i="24" s="1"/>
  <c r="H96" i="24"/>
  <c r="D96" i="24"/>
  <c r="B96" i="24"/>
  <c r="X95" i="24"/>
  <c r="Z95" i="24" s="1"/>
  <c r="N95" i="24"/>
  <c r="L95" i="24"/>
  <c r="B95" i="24"/>
  <c r="X94" i="24"/>
  <c r="Z94" i="24" s="1"/>
  <c r="L94" i="24"/>
  <c r="N94" i="24" s="1"/>
  <c r="B94" i="24"/>
  <c r="Z93" i="24"/>
  <c r="X93" i="24"/>
  <c r="L93" i="24"/>
  <c r="N93" i="24" s="1"/>
  <c r="B93" i="24"/>
  <c r="X92" i="24"/>
  <c r="Z92" i="24" s="1"/>
  <c r="N92" i="24"/>
  <c r="L92" i="24"/>
  <c r="B92" i="24"/>
  <c r="Z91" i="24"/>
  <c r="X91" i="24"/>
  <c r="L91" i="24"/>
  <c r="N91" i="24" s="1"/>
  <c r="B91" i="24"/>
  <c r="Z90" i="24"/>
  <c r="X90" i="24"/>
  <c r="L90" i="24"/>
  <c r="N90" i="24" s="1"/>
  <c r="B90" i="24"/>
  <c r="X89" i="24"/>
  <c r="Z89" i="24" s="1"/>
  <c r="N89" i="24"/>
  <c r="L89" i="24"/>
  <c r="B89" i="24"/>
  <c r="Z88" i="24"/>
  <c r="X88" i="24"/>
  <c r="L88" i="24"/>
  <c r="N88" i="24" s="1"/>
  <c r="B88" i="24"/>
  <c r="X87" i="24"/>
  <c r="Z87" i="24" s="1"/>
  <c r="N87" i="24"/>
  <c r="L87" i="24"/>
  <c r="B87" i="24"/>
  <c r="X86" i="24"/>
  <c r="Z86" i="24" s="1"/>
  <c r="T86" i="24"/>
  <c r="P86" i="24"/>
  <c r="H86" i="24"/>
  <c r="D86" i="24"/>
  <c r="B86" i="24"/>
  <c r="T85" i="24"/>
  <c r="Z85" i="24" s="1"/>
  <c r="P85" i="24"/>
  <c r="X85" i="24" s="1"/>
  <c r="H85" i="24"/>
  <c r="N85" i="24" s="1"/>
  <c r="D85" i="24"/>
  <c r="L85" i="24" s="1"/>
  <c r="X81" i="24"/>
  <c r="Z81" i="24" s="1"/>
  <c r="N81" i="24"/>
  <c r="L81" i="24"/>
  <c r="B81" i="24"/>
  <c r="Z80" i="24"/>
  <c r="X80" i="24"/>
  <c r="N80" i="24"/>
  <c r="L80" i="24"/>
  <c r="B80" i="24"/>
  <c r="X79" i="24"/>
  <c r="Z79" i="24" s="1"/>
  <c r="N79" i="24"/>
  <c r="L79" i="24"/>
  <c r="B79" i="24"/>
  <c r="X78" i="24"/>
  <c r="Z78" i="24" s="1"/>
  <c r="N78" i="24"/>
  <c r="L78" i="24"/>
  <c r="B78" i="24"/>
  <c r="Z77" i="24"/>
  <c r="X77" i="24"/>
  <c r="L77" i="24"/>
  <c r="N77" i="24" s="1"/>
  <c r="B77" i="24"/>
  <c r="Z76" i="24"/>
  <c r="X76" i="24"/>
  <c r="N76" i="24"/>
  <c r="L76" i="24"/>
  <c r="B76" i="24"/>
  <c r="Z75" i="24"/>
  <c r="X75" i="24"/>
  <c r="L75" i="24"/>
  <c r="N75" i="24" s="1"/>
  <c r="B75" i="24"/>
  <c r="X74" i="24"/>
  <c r="Z74" i="24" s="1"/>
  <c r="N74" i="24"/>
  <c r="L74" i="24"/>
  <c r="B74" i="24"/>
  <c r="X73" i="24"/>
  <c r="Z73" i="24" s="1"/>
  <c r="N73" i="24"/>
  <c r="L73" i="24"/>
  <c r="B73" i="24"/>
  <c r="Z72" i="24"/>
  <c r="X72" i="24"/>
  <c r="N72" i="24"/>
  <c r="L72" i="24"/>
  <c r="B72" i="24"/>
  <c r="X71" i="24"/>
  <c r="Z71" i="24" s="1"/>
  <c r="N71" i="24"/>
  <c r="L71" i="24"/>
  <c r="B71" i="24"/>
  <c r="Z70" i="24"/>
  <c r="X70" i="24"/>
  <c r="N70" i="24"/>
  <c r="L70" i="24"/>
  <c r="B70" i="24"/>
  <c r="Z69" i="24"/>
  <c r="X69" i="24"/>
  <c r="N69" i="24"/>
  <c r="L69" i="24"/>
  <c r="B69" i="24"/>
  <c r="Z68" i="24"/>
  <c r="X68" i="24"/>
  <c r="N68" i="24"/>
  <c r="L68" i="24"/>
  <c r="B68" i="24"/>
  <c r="Z67" i="24"/>
  <c r="X67" i="24"/>
  <c r="N67" i="24"/>
  <c r="L67" i="24"/>
  <c r="B67" i="24"/>
  <c r="X66" i="24"/>
  <c r="Z66" i="24" s="1"/>
  <c r="N66" i="24"/>
  <c r="L66" i="24"/>
  <c r="B66" i="24"/>
  <c r="X65" i="24"/>
  <c r="Z65" i="24" s="1"/>
  <c r="N65" i="24"/>
  <c r="L65" i="24"/>
  <c r="B65" i="24"/>
  <c r="Z64" i="24"/>
  <c r="X64" i="24"/>
  <c r="N64" i="24"/>
  <c r="L64" i="24"/>
  <c r="B64" i="24"/>
  <c r="X63" i="24"/>
  <c r="Z63" i="24" s="1"/>
  <c r="N63" i="24"/>
  <c r="L63" i="24"/>
  <c r="B63" i="24"/>
  <c r="X62" i="24"/>
  <c r="Z62" i="24" s="1"/>
  <c r="L62" i="24"/>
  <c r="N62" i="24" s="1"/>
  <c r="B62" i="24"/>
  <c r="Z61" i="24"/>
  <c r="X61" i="24"/>
  <c r="N61" i="24"/>
  <c r="L61" i="24"/>
  <c r="B61" i="24"/>
  <c r="Z60" i="24"/>
  <c r="X60" i="24"/>
  <c r="N60" i="24"/>
  <c r="L60" i="24"/>
  <c r="B60" i="24"/>
  <c r="X59" i="24"/>
  <c r="Z59" i="24" s="1"/>
  <c r="N59" i="24"/>
  <c r="L59" i="24"/>
  <c r="B59" i="24"/>
  <c r="X58" i="24"/>
  <c r="Z58" i="24" s="1"/>
  <c r="N58" i="24"/>
  <c r="L58" i="24"/>
  <c r="B58" i="24"/>
  <c r="Z57" i="24"/>
  <c r="X57" i="24"/>
  <c r="N57" i="24"/>
  <c r="L57" i="24"/>
  <c r="B57" i="24"/>
  <c r="T56" i="24"/>
  <c r="P56" i="24"/>
  <c r="H56" i="24"/>
  <c r="D56" i="24"/>
  <c r="L56" i="24" s="1"/>
  <c r="N56" i="24" s="1"/>
  <c r="T54" i="24"/>
  <c r="P54" i="24"/>
  <c r="X54" i="24" s="1"/>
  <c r="Z54" i="24" s="1"/>
  <c r="H54" i="24"/>
  <c r="N54" i="24" s="1"/>
  <c r="D54" i="24"/>
  <c r="L54" i="24" s="1"/>
  <c r="B54" i="24"/>
  <c r="T53" i="24"/>
  <c r="Z53" i="24" s="1"/>
  <c r="P53" i="24"/>
  <c r="X53" i="24" s="1"/>
  <c r="H53" i="24"/>
  <c r="D53" i="24"/>
  <c r="B53" i="24"/>
  <c r="T52" i="24"/>
  <c r="P52" i="24"/>
  <c r="N52" i="24"/>
  <c r="L52" i="24"/>
  <c r="H52" i="24"/>
  <c r="D52" i="24"/>
  <c r="B52" i="24"/>
  <c r="T51" i="24"/>
  <c r="P51" i="24"/>
  <c r="X51" i="24" s="1"/>
  <c r="Z51" i="24" s="1"/>
  <c r="N51" i="24"/>
  <c r="L51" i="24"/>
  <c r="H51" i="24"/>
  <c r="D51" i="24"/>
  <c r="B51" i="24"/>
  <c r="T50" i="24"/>
  <c r="P50" i="24"/>
  <c r="X50" i="24" s="1"/>
  <c r="N50" i="24"/>
  <c r="H50" i="24"/>
  <c r="D50" i="24"/>
  <c r="L50" i="24" s="1"/>
  <c r="B50" i="24"/>
  <c r="T49" i="24"/>
  <c r="P49" i="24"/>
  <c r="H49" i="24"/>
  <c r="N49" i="24" s="1"/>
  <c r="D49" i="24"/>
  <c r="L49" i="24" s="1"/>
  <c r="B49" i="24"/>
  <c r="X48" i="24"/>
  <c r="Z48" i="24" s="1"/>
  <c r="T48" i="24"/>
  <c r="P48" i="24"/>
  <c r="H48" i="24"/>
  <c r="N48" i="24" s="1"/>
  <c r="D48" i="24"/>
  <c r="B48" i="24"/>
  <c r="Z47" i="24"/>
  <c r="X47" i="24"/>
  <c r="T47" i="24"/>
  <c r="P47" i="24"/>
  <c r="H47" i="24"/>
  <c r="D47" i="24"/>
  <c r="L47" i="24" s="1"/>
  <c r="N47" i="24" s="1"/>
  <c r="B47" i="24"/>
  <c r="T46" i="24"/>
  <c r="P46" i="24"/>
  <c r="X46" i="24" s="1"/>
  <c r="Z46" i="24" s="1"/>
  <c r="H46" i="24"/>
  <c r="N46" i="24" s="1"/>
  <c r="D46" i="24"/>
  <c r="L46" i="24" s="1"/>
  <c r="B46" i="24"/>
  <c r="T45" i="24"/>
  <c r="Z45" i="24" s="1"/>
  <c r="P45" i="24"/>
  <c r="X45" i="24" s="1"/>
  <c r="L45" i="24"/>
  <c r="H45" i="24"/>
  <c r="N45" i="24" s="1"/>
  <c r="D45" i="24"/>
  <c r="B45" i="24"/>
  <c r="T44" i="24"/>
  <c r="P44" i="24"/>
  <c r="N44" i="24"/>
  <c r="L44" i="24"/>
  <c r="H44" i="24"/>
  <c r="D44" i="24"/>
  <c r="B44" i="24"/>
  <c r="T43" i="24"/>
  <c r="P43" i="24"/>
  <c r="X43" i="24" s="1"/>
  <c r="Z43" i="24" s="1"/>
  <c r="N43" i="24"/>
  <c r="L43" i="24"/>
  <c r="H43" i="24"/>
  <c r="D43" i="24"/>
  <c r="B43" i="24"/>
  <c r="T42" i="24"/>
  <c r="P42" i="24"/>
  <c r="N42" i="24"/>
  <c r="H42" i="24"/>
  <c r="D42" i="24"/>
  <c r="L42" i="24" s="1"/>
  <c r="B42" i="24"/>
  <c r="X41" i="24"/>
  <c r="T41" i="24"/>
  <c r="P41" i="24"/>
  <c r="H41" i="24"/>
  <c r="N41" i="24" s="1"/>
  <c r="D41" i="24"/>
  <c r="L41" i="24" s="1"/>
  <c r="B41" i="24"/>
  <c r="Z40" i="24"/>
  <c r="X40" i="24"/>
  <c r="T40" i="24"/>
  <c r="P40" i="24"/>
  <c r="H40" i="24"/>
  <c r="D40" i="24"/>
  <c r="B40" i="24"/>
  <c r="Z39" i="24"/>
  <c r="X39" i="24"/>
  <c r="T39" i="24"/>
  <c r="P39" i="24"/>
  <c r="H39" i="24"/>
  <c r="D39" i="24"/>
  <c r="L39" i="24" s="1"/>
  <c r="N39" i="24" s="1"/>
  <c r="B39" i="24"/>
  <c r="T38" i="24"/>
  <c r="P38" i="24"/>
  <c r="X38" i="24" s="1"/>
  <c r="Z38" i="24" s="1"/>
  <c r="H38" i="24"/>
  <c r="N38" i="24" s="1"/>
  <c r="D38" i="24"/>
  <c r="B38" i="24"/>
  <c r="T37" i="24"/>
  <c r="P37" i="24"/>
  <c r="X37" i="24" s="1"/>
  <c r="L37" i="24"/>
  <c r="H37" i="24"/>
  <c r="D37" i="24"/>
  <c r="B37" i="24"/>
  <c r="T36" i="24"/>
  <c r="P36" i="24"/>
  <c r="N36" i="24"/>
  <c r="L36" i="24"/>
  <c r="H36" i="24"/>
  <c r="D36" i="24"/>
  <c r="B36" i="24"/>
  <c r="X35" i="24"/>
  <c r="Z35" i="24" s="1"/>
  <c r="T35" i="24"/>
  <c r="P35" i="24"/>
  <c r="N35" i="24"/>
  <c r="L35" i="24"/>
  <c r="H35" i="24"/>
  <c r="D35" i="24"/>
  <c r="B35" i="24"/>
  <c r="Z34" i="24"/>
  <c r="T34" i="24"/>
  <c r="P34" i="24"/>
  <c r="X34" i="24" s="1"/>
  <c r="N34" i="24"/>
  <c r="H34" i="24"/>
  <c r="D34" i="24"/>
  <c r="L34" i="24" s="1"/>
  <c r="B34" i="24"/>
  <c r="T33" i="24"/>
  <c r="P33" i="24"/>
  <c r="H33" i="24"/>
  <c r="D33" i="24"/>
  <c r="B33" i="24"/>
  <c r="T32" i="24"/>
  <c r="Z32" i="24" s="1"/>
  <c r="P32" i="24"/>
  <c r="X32" i="24" s="1"/>
  <c r="L32" i="24"/>
  <c r="H32" i="24"/>
  <c r="N32" i="24" s="1"/>
  <c r="D32" i="24"/>
  <c r="B32" i="24"/>
  <c r="T31" i="24"/>
  <c r="P31" i="24"/>
  <c r="N31" i="24"/>
  <c r="L31" i="24"/>
  <c r="H31" i="24"/>
  <c r="D31" i="24"/>
  <c r="B31" i="24"/>
  <c r="X30" i="24"/>
  <c r="Z30" i="24" s="1"/>
  <c r="T30" i="24"/>
  <c r="P30" i="24"/>
  <c r="N30" i="24"/>
  <c r="H30" i="24"/>
  <c r="D30" i="24"/>
  <c r="B30" i="24"/>
  <c r="X29" i="24"/>
  <c r="Z29" i="24" s="1"/>
  <c r="T29" i="24"/>
  <c r="P29" i="24"/>
  <c r="L29" i="24"/>
  <c r="H29" i="24"/>
  <c r="N29" i="24" s="1"/>
  <c r="D29" i="24"/>
  <c r="B29" i="24"/>
  <c r="X28" i="24"/>
  <c r="Z28" i="24" s="1"/>
  <c r="T28" i="24"/>
  <c r="P28" i="24"/>
  <c r="N28" i="24"/>
  <c r="H28" i="24"/>
  <c r="D28" i="24"/>
  <c r="L28" i="24" s="1"/>
  <c r="B28" i="24"/>
  <c r="T27" i="24"/>
  <c r="P27" i="24"/>
  <c r="X27" i="24" s="1"/>
  <c r="Z27" i="24" s="1"/>
  <c r="H27" i="24"/>
  <c r="N27" i="24" s="1"/>
  <c r="D27" i="24"/>
  <c r="L27" i="24" s="1"/>
  <c r="B27" i="24"/>
  <c r="X26" i="24"/>
  <c r="T26" i="24"/>
  <c r="Z26" i="24" s="1"/>
  <c r="P26" i="24"/>
  <c r="H26" i="24"/>
  <c r="N26" i="24" s="1"/>
  <c r="D26" i="24"/>
  <c r="L26" i="24" s="1"/>
  <c r="B26" i="24"/>
  <c r="Z25" i="24"/>
  <c r="X25" i="24"/>
  <c r="T25" i="24"/>
  <c r="P25" i="24"/>
  <c r="H25" i="24"/>
  <c r="N25" i="24" s="1"/>
  <c r="D25" i="24"/>
  <c r="L25" i="24" s="1"/>
  <c r="B25" i="24"/>
  <c r="T24" i="24"/>
  <c r="P24" i="24"/>
  <c r="X24" i="24" s="1"/>
  <c r="Z24" i="24" s="1"/>
  <c r="L24" i="24"/>
  <c r="H24" i="24"/>
  <c r="N24" i="24" s="1"/>
  <c r="D24" i="24"/>
  <c r="B24" i="24"/>
  <c r="T23" i="24"/>
  <c r="P23" i="24"/>
  <c r="X23" i="24" s="1"/>
  <c r="N23" i="24"/>
  <c r="H23" i="24"/>
  <c r="D23" i="24"/>
  <c r="L23" i="24" s="1"/>
  <c r="B23" i="24"/>
  <c r="T22" i="24"/>
  <c r="P22" i="24"/>
  <c r="X22" i="24" s="1"/>
  <c r="L22" i="24"/>
  <c r="H22" i="24"/>
  <c r="N22" i="24" s="1"/>
  <c r="D22" i="24"/>
  <c r="B22" i="24"/>
  <c r="T21" i="24"/>
  <c r="P21" i="24"/>
  <c r="X21" i="24" s="1"/>
  <c r="N21" i="24"/>
  <c r="L21" i="24"/>
  <c r="H21" i="24"/>
  <c r="D21" i="24"/>
  <c r="B21" i="24"/>
  <c r="X20" i="24"/>
  <c r="T20" i="24"/>
  <c r="Z20" i="24" s="1"/>
  <c r="P20" i="24"/>
  <c r="N20" i="24"/>
  <c r="H20" i="24"/>
  <c r="D20" i="24"/>
  <c r="L20" i="24" s="1"/>
  <c r="B20" i="24"/>
  <c r="T19" i="24"/>
  <c r="P19" i="24"/>
  <c r="X19" i="24" s="1"/>
  <c r="Z19" i="24" s="1"/>
  <c r="H19" i="24"/>
  <c r="N19" i="24" s="1"/>
  <c r="D19" i="24"/>
  <c r="L19" i="24" s="1"/>
  <c r="B19" i="24"/>
  <c r="X18" i="24"/>
  <c r="T18" i="24"/>
  <c r="Z18" i="24" s="1"/>
  <c r="P18" i="24"/>
  <c r="H18" i="24"/>
  <c r="D18" i="24"/>
  <c r="L18" i="24" s="1"/>
  <c r="B18" i="24"/>
  <c r="Z17" i="24"/>
  <c r="X17" i="24"/>
  <c r="T17" i="24"/>
  <c r="P17" i="24"/>
  <c r="H17" i="24"/>
  <c r="D17" i="24"/>
  <c r="B17" i="24"/>
  <c r="T16" i="24"/>
  <c r="P16" i="24"/>
  <c r="X16" i="24" s="1"/>
  <c r="Z16" i="24" s="1"/>
  <c r="L16" i="24"/>
  <c r="H16" i="24"/>
  <c r="D16" i="24"/>
  <c r="B16" i="24"/>
  <c r="T15" i="24"/>
  <c r="P15" i="24"/>
  <c r="X15" i="24" s="1"/>
  <c r="N15" i="24"/>
  <c r="H15" i="24"/>
  <c r="D15" i="24"/>
  <c r="L15" i="24" s="1"/>
  <c r="B15" i="24"/>
  <c r="T14" i="24"/>
  <c r="P14" i="24"/>
  <c r="L14" i="24"/>
  <c r="H14" i="24"/>
  <c r="N14" i="24" s="1"/>
  <c r="D14" i="24"/>
  <c r="B14" i="24"/>
  <c r="T13" i="24"/>
  <c r="P13" i="24"/>
  <c r="N13" i="24"/>
  <c r="L13" i="24"/>
  <c r="H13" i="24"/>
  <c r="D13" i="24"/>
  <c r="B13" i="24"/>
  <c r="D4" i="24"/>
  <c r="B39" i="23"/>
  <c r="B38" i="23"/>
  <c r="T34" i="23"/>
  <c r="Z34" i="23" s="1"/>
  <c r="P34" i="23"/>
  <c r="H34" i="23"/>
  <c r="N34" i="23" s="1"/>
  <c r="D34" i="23"/>
  <c r="T33" i="23"/>
  <c r="Z33" i="23" s="1"/>
  <c r="P33" i="23"/>
  <c r="H33" i="23"/>
  <c r="N33" i="23" s="1"/>
  <c r="D33" i="23"/>
  <c r="T29" i="23"/>
  <c r="Z29" i="23" s="1"/>
  <c r="P29" i="23"/>
  <c r="H29" i="23"/>
  <c r="N29" i="23" s="1"/>
  <c r="D29" i="23"/>
  <c r="T25" i="23"/>
  <c r="Z25" i="23" s="1"/>
  <c r="P25" i="23"/>
  <c r="H25" i="23"/>
  <c r="N25" i="23" s="1"/>
  <c r="D25" i="23"/>
  <c r="B25" i="23"/>
  <c r="T24" i="23"/>
  <c r="Z24" i="23" s="1"/>
  <c r="P24" i="23"/>
  <c r="H24" i="23"/>
  <c r="N24" i="23" s="1"/>
  <c r="D24" i="23"/>
  <c r="T22" i="23"/>
  <c r="Z22" i="23" s="1"/>
  <c r="P22" i="23"/>
  <c r="H22" i="23"/>
  <c r="N22" i="23" s="1"/>
  <c r="D22" i="23"/>
  <c r="B22" i="23"/>
  <c r="T21" i="23"/>
  <c r="Z21" i="23" s="1"/>
  <c r="P21" i="23"/>
  <c r="H21" i="23"/>
  <c r="N21" i="23" s="1"/>
  <c r="D21" i="23"/>
  <c r="B21" i="23"/>
  <c r="T20" i="23"/>
  <c r="Z20" i="23" s="1"/>
  <c r="P20" i="23"/>
  <c r="H20" i="23"/>
  <c r="N20" i="23" s="1"/>
  <c r="D20" i="23"/>
  <c r="T16" i="23"/>
  <c r="Z16" i="23" s="1"/>
  <c r="P16" i="23"/>
  <c r="H16" i="23"/>
  <c r="N16" i="23" s="1"/>
  <c r="D16" i="23"/>
  <c r="B16" i="23"/>
  <c r="T15" i="23"/>
  <c r="Z15" i="23" s="1"/>
  <c r="P15" i="23"/>
  <c r="H15" i="23"/>
  <c r="N15" i="23" s="1"/>
  <c r="D15" i="23"/>
  <c r="T13" i="23"/>
  <c r="Z13" i="23" s="1"/>
  <c r="P13" i="23"/>
  <c r="H13" i="23"/>
  <c r="N13" i="23" s="1"/>
  <c r="D13" i="23"/>
  <c r="L13" i="23" s="1"/>
  <c r="B13" i="23"/>
  <c r="T12" i="23"/>
  <c r="P12" i="23"/>
  <c r="R20" i="23" s="1"/>
  <c r="H12" i="23"/>
  <c r="J18" i="23" s="1"/>
  <c r="D12" i="23"/>
  <c r="F24" i="23" s="1"/>
  <c r="D5" i="23"/>
  <c r="D4" i="23"/>
  <c r="B39" i="22"/>
  <c r="B38" i="22"/>
  <c r="T34" i="22"/>
  <c r="Z34" i="22" s="1"/>
  <c r="P34" i="22"/>
  <c r="H34" i="22"/>
  <c r="N34" i="22" s="1"/>
  <c r="D34" i="22"/>
  <c r="T33" i="22"/>
  <c r="Z33" i="22" s="1"/>
  <c r="P33" i="22"/>
  <c r="H33" i="22"/>
  <c r="N33" i="22" s="1"/>
  <c r="D33" i="22"/>
  <c r="T29" i="22"/>
  <c r="Z29" i="22" s="1"/>
  <c r="P29" i="22"/>
  <c r="H29" i="22"/>
  <c r="N29" i="22" s="1"/>
  <c r="D29" i="22"/>
  <c r="T25" i="22"/>
  <c r="Z25" i="22" s="1"/>
  <c r="P25" i="22"/>
  <c r="H25" i="22"/>
  <c r="D25" i="22"/>
  <c r="B25" i="22"/>
  <c r="T24" i="22"/>
  <c r="Z24" i="22" s="1"/>
  <c r="P24" i="22"/>
  <c r="H24" i="22"/>
  <c r="N24" i="22" s="1"/>
  <c r="D24" i="22"/>
  <c r="T22" i="22"/>
  <c r="Z22" i="22" s="1"/>
  <c r="P22" i="22"/>
  <c r="H22" i="22"/>
  <c r="N22" i="22" s="1"/>
  <c r="D22" i="22"/>
  <c r="B22" i="22"/>
  <c r="T21" i="22"/>
  <c r="Z21" i="22" s="1"/>
  <c r="P21" i="22"/>
  <c r="H21" i="22"/>
  <c r="N21" i="22" s="1"/>
  <c r="D21" i="22"/>
  <c r="B21" i="22"/>
  <c r="T20" i="22"/>
  <c r="Z20" i="22" s="1"/>
  <c r="P20" i="22"/>
  <c r="H20" i="22"/>
  <c r="N20" i="22" s="1"/>
  <c r="D20" i="22"/>
  <c r="T16" i="22"/>
  <c r="Z16" i="22" s="1"/>
  <c r="P16" i="22"/>
  <c r="H16" i="22"/>
  <c r="N16" i="22" s="1"/>
  <c r="D16" i="22"/>
  <c r="B16" i="22"/>
  <c r="T15" i="22"/>
  <c r="Z15" i="22" s="1"/>
  <c r="P15" i="22"/>
  <c r="H15" i="22"/>
  <c r="N15" i="22" s="1"/>
  <c r="D15" i="22"/>
  <c r="T13" i="22"/>
  <c r="Z13" i="22" s="1"/>
  <c r="P13" i="22"/>
  <c r="H13" i="22"/>
  <c r="N13" i="22" s="1"/>
  <c r="D13" i="22"/>
  <c r="B13" i="22"/>
  <c r="T12" i="22"/>
  <c r="V34" i="22" s="1"/>
  <c r="P12" i="22"/>
  <c r="R34" i="22" s="1"/>
  <c r="H12" i="22"/>
  <c r="J21" i="22" s="1"/>
  <c r="D12" i="22"/>
  <c r="D5" i="22"/>
  <c r="D4" i="22"/>
  <c r="Z108" i="21"/>
  <c r="X108" i="21"/>
  <c r="L108" i="21"/>
  <c r="N108" i="21" s="1"/>
  <c r="T104" i="21"/>
  <c r="Z104" i="21" s="1"/>
  <c r="P104" i="21"/>
  <c r="H104" i="21"/>
  <c r="N104" i="21" s="1"/>
  <c r="D104" i="21"/>
  <c r="L104" i="21" s="1"/>
  <c r="Z102" i="21"/>
  <c r="X102" i="21"/>
  <c r="L102" i="21"/>
  <c r="N102" i="21" s="1"/>
  <c r="B102" i="21"/>
  <c r="T101" i="21"/>
  <c r="P101" i="21"/>
  <c r="X101" i="21" s="1"/>
  <c r="L101" i="21"/>
  <c r="N101" i="21" s="1"/>
  <c r="H101" i="21"/>
  <c r="D101" i="21"/>
  <c r="B101" i="21"/>
  <c r="Z100" i="21"/>
  <c r="X100" i="21"/>
  <c r="N100" i="21"/>
  <c r="L100" i="21"/>
  <c r="B100" i="21"/>
  <c r="X99" i="21"/>
  <c r="Z99" i="21" s="1"/>
  <c r="T99" i="21"/>
  <c r="P99" i="21"/>
  <c r="L99" i="21"/>
  <c r="H99" i="21"/>
  <c r="N99" i="21" s="1"/>
  <c r="D99" i="21"/>
  <c r="B99" i="21"/>
  <c r="X98" i="21"/>
  <c r="Z98" i="21" s="1"/>
  <c r="N98" i="21"/>
  <c r="L98" i="21"/>
  <c r="B98" i="21"/>
  <c r="X97" i="21"/>
  <c r="T97" i="21"/>
  <c r="Z97" i="21" s="1"/>
  <c r="P97" i="21"/>
  <c r="H97" i="21"/>
  <c r="N97" i="21" s="1"/>
  <c r="D97" i="21"/>
  <c r="B97" i="21"/>
  <c r="Z96" i="21"/>
  <c r="X96" i="21"/>
  <c r="N96" i="21"/>
  <c r="L96" i="21"/>
  <c r="B96" i="21"/>
  <c r="T95" i="21"/>
  <c r="P95" i="21"/>
  <c r="H95" i="21"/>
  <c r="N95" i="21" s="1"/>
  <c r="D95" i="21"/>
  <c r="L95" i="21" s="1"/>
  <c r="B95" i="21"/>
  <c r="Z94" i="21"/>
  <c r="X94" i="21"/>
  <c r="N94" i="21"/>
  <c r="L94" i="21"/>
  <c r="B94" i="21"/>
  <c r="X93" i="21"/>
  <c r="Z93" i="21" s="1"/>
  <c r="L93" i="21"/>
  <c r="N93" i="21" s="1"/>
  <c r="B93" i="21"/>
  <c r="Z92" i="21"/>
  <c r="X92" i="21"/>
  <c r="N92" i="21"/>
  <c r="L92" i="21"/>
  <c r="B92" i="21"/>
  <c r="X91" i="21"/>
  <c r="Z91" i="21" s="1"/>
  <c r="N91" i="21"/>
  <c r="L91" i="21"/>
  <c r="B91" i="21"/>
  <c r="Z90" i="21"/>
  <c r="X90" i="21"/>
  <c r="N90" i="21"/>
  <c r="L90" i="21"/>
  <c r="B90" i="21"/>
  <c r="X89" i="21"/>
  <c r="Z89" i="21" s="1"/>
  <c r="N89" i="21"/>
  <c r="L89" i="21"/>
  <c r="B89" i="21"/>
  <c r="Z88" i="21"/>
  <c r="X88" i="21"/>
  <c r="N88" i="21"/>
  <c r="L88" i="21"/>
  <c r="B88" i="21"/>
  <c r="Z87" i="21"/>
  <c r="X87" i="21"/>
  <c r="N87" i="21"/>
  <c r="L87" i="21"/>
  <c r="B87" i="21"/>
  <c r="Z86" i="21"/>
  <c r="X86" i="21"/>
  <c r="N86" i="21"/>
  <c r="L86" i="21"/>
  <c r="B86" i="21"/>
  <c r="T85" i="21"/>
  <c r="P85" i="21"/>
  <c r="X85" i="21" s="1"/>
  <c r="L85" i="21"/>
  <c r="N85" i="21" s="1"/>
  <c r="H85" i="21"/>
  <c r="D85" i="21"/>
  <c r="B85" i="21"/>
  <c r="Z84" i="21"/>
  <c r="X84" i="21"/>
  <c r="N84" i="21"/>
  <c r="L84" i="21"/>
  <c r="B84" i="21"/>
  <c r="X83" i="21"/>
  <c r="Z83" i="21" s="1"/>
  <c r="T83" i="21"/>
  <c r="P83" i="21"/>
  <c r="L83" i="21"/>
  <c r="H83" i="21"/>
  <c r="N83" i="21" s="1"/>
  <c r="D83" i="21"/>
  <c r="B83" i="21"/>
  <c r="Z82" i="21"/>
  <c r="X82" i="21"/>
  <c r="V82" i="21"/>
  <c r="N82" i="21"/>
  <c r="L82" i="21"/>
  <c r="B82" i="21"/>
  <c r="X81" i="21"/>
  <c r="Z81" i="21" s="1"/>
  <c r="L81" i="21"/>
  <c r="N81" i="21" s="1"/>
  <c r="B81" i="21"/>
  <c r="Z80" i="21"/>
  <c r="X80" i="21"/>
  <c r="N80" i="21"/>
  <c r="L80" i="21"/>
  <c r="B80" i="21"/>
  <c r="X79" i="21"/>
  <c r="Z79" i="21" s="1"/>
  <c r="L79" i="21"/>
  <c r="N79" i="21" s="1"/>
  <c r="B79" i="21"/>
  <c r="T78" i="21"/>
  <c r="P78" i="21"/>
  <c r="X78" i="21" s="1"/>
  <c r="Z78" i="21" s="1"/>
  <c r="N78" i="21"/>
  <c r="L78" i="21"/>
  <c r="H78" i="21"/>
  <c r="D78" i="21"/>
  <c r="B78" i="21"/>
  <c r="X77" i="21"/>
  <c r="Z77" i="21" s="1"/>
  <c r="N77" i="21"/>
  <c r="L77" i="21"/>
  <c r="B77" i="21"/>
  <c r="Z76" i="21"/>
  <c r="X76" i="21"/>
  <c r="T76" i="21"/>
  <c r="P76" i="21"/>
  <c r="H76" i="21"/>
  <c r="N76" i="21" s="1"/>
  <c r="D76" i="21"/>
  <c r="B76" i="21"/>
  <c r="X75" i="21"/>
  <c r="Z75" i="21" s="1"/>
  <c r="N75" i="21"/>
  <c r="L75" i="21"/>
  <c r="B75" i="21"/>
  <c r="X74" i="21"/>
  <c r="Z74" i="21" s="1"/>
  <c r="N74" i="21"/>
  <c r="L74" i="21"/>
  <c r="B74" i="21"/>
  <c r="X73" i="21"/>
  <c r="Z73" i="21" s="1"/>
  <c r="N73" i="21"/>
  <c r="L73" i="21"/>
  <c r="B73" i="21"/>
  <c r="Z72" i="21"/>
  <c r="X72" i="21"/>
  <c r="T72" i="21"/>
  <c r="P72" i="21"/>
  <c r="H72" i="21"/>
  <c r="D72" i="21"/>
  <c r="B72" i="21"/>
  <c r="X71" i="21"/>
  <c r="Z71" i="21" s="1"/>
  <c r="L71" i="21"/>
  <c r="N71" i="21" s="1"/>
  <c r="B71" i="21"/>
  <c r="T70" i="21"/>
  <c r="P70" i="21"/>
  <c r="H70" i="21"/>
  <c r="N70" i="21" s="1"/>
  <c r="D70" i="21"/>
  <c r="L70" i="21" s="1"/>
  <c r="B70" i="21"/>
  <c r="X69" i="21"/>
  <c r="Z69" i="21" s="1"/>
  <c r="L69" i="21"/>
  <c r="N69" i="21" s="1"/>
  <c r="B69" i="21"/>
  <c r="T68" i="21"/>
  <c r="P68" i="21"/>
  <c r="X68" i="21" s="1"/>
  <c r="H68" i="21"/>
  <c r="D68" i="21"/>
  <c r="L68" i="21" s="1"/>
  <c r="N68" i="21" s="1"/>
  <c r="B68" i="21"/>
  <c r="X67" i="21"/>
  <c r="Z67" i="21" s="1"/>
  <c r="L67" i="21"/>
  <c r="N67" i="21" s="1"/>
  <c r="B67" i="21"/>
  <c r="T66" i="21"/>
  <c r="P66" i="21"/>
  <c r="X66" i="21" s="1"/>
  <c r="Z66" i="21" s="1"/>
  <c r="N66" i="21"/>
  <c r="L66" i="21"/>
  <c r="H66" i="21"/>
  <c r="D66" i="21"/>
  <c r="B66" i="21"/>
  <c r="X65" i="21"/>
  <c r="Z65" i="21" s="1"/>
  <c r="N65" i="21"/>
  <c r="L65" i="21"/>
  <c r="B65" i="21"/>
  <c r="Z64" i="21"/>
  <c r="X64" i="21"/>
  <c r="T64" i="21"/>
  <c r="P64" i="21"/>
  <c r="J64" i="21"/>
  <c r="H64" i="21"/>
  <c r="N64" i="21" s="1"/>
  <c r="D64" i="21"/>
  <c r="B64" i="21"/>
  <c r="X63" i="21"/>
  <c r="Z63" i="21" s="1"/>
  <c r="N63" i="21"/>
  <c r="L63" i="21"/>
  <c r="B63" i="21"/>
  <c r="T62" i="21"/>
  <c r="P62" i="21"/>
  <c r="H62" i="21"/>
  <c r="N62" i="21" s="1"/>
  <c r="D62" i="21"/>
  <c r="L62" i="21" s="1"/>
  <c r="B62" i="21"/>
  <c r="X61" i="21"/>
  <c r="Z61" i="21" s="1"/>
  <c r="L61" i="21"/>
  <c r="N61" i="21" s="1"/>
  <c r="B61" i="21"/>
  <c r="T60" i="21"/>
  <c r="Z60" i="21" s="1"/>
  <c r="P60" i="21"/>
  <c r="X60" i="21" s="1"/>
  <c r="H60" i="21"/>
  <c r="D60" i="21"/>
  <c r="L60" i="21" s="1"/>
  <c r="N60" i="21" s="1"/>
  <c r="B60" i="21"/>
  <c r="X59" i="21"/>
  <c r="Z59" i="21" s="1"/>
  <c r="N59" i="21"/>
  <c r="L59" i="21"/>
  <c r="B59" i="21"/>
  <c r="T58" i="21"/>
  <c r="P58" i="21"/>
  <c r="X58" i="21" s="1"/>
  <c r="Z58" i="21" s="1"/>
  <c r="N58" i="21"/>
  <c r="L58" i="21"/>
  <c r="H58" i="21"/>
  <c r="D58" i="21"/>
  <c r="B58" i="21"/>
  <c r="X57" i="21"/>
  <c r="Z57" i="21" s="1"/>
  <c r="N57" i="21"/>
  <c r="L57" i="21"/>
  <c r="B57" i="21"/>
  <c r="Z56" i="21"/>
  <c r="X56" i="21"/>
  <c r="T56" i="21"/>
  <c r="P56" i="21"/>
  <c r="H56" i="21"/>
  <c r="N56" i="21" s="1"/>
  <c r="D56" i="21"/>
  <c r="B56" i="21"/>
  <c r="X55" i="21"/>
  <c r="Z55" i="21" s="1"/>
  <c r="L55" i="21"/>
  <c r="N55" i="21" s="1"/>
  <c r="B55" i="21"/>
  <c r="X54" i="21"/>
  <c r="Z54" i="21" s="1"/>
  <c r="N54" i="21"/>
  <c r="L54" i="21"/>
  <c r="B54" i="21"/>
  <c r="X53" i="21"/>
  <c r="T53" i="21"/>
  <c r="Z53" i="21" s="1"/>
  <c r="P53" i="21"/>
  <c r="H53" i="21"/>
  <c r="D53" i="21"/>
  <c r="B53" i="21"/>
  <c r="Z52" i="21"/>
  <c r="X52" i="21"/>
  <c r="N52" i="21"/>
  <c r="L52" i="21"/>
  <c r="B52" i="21"/>
  <c r="T51" i="21"/>
  <c r="P51" i="21"/>
  <c r="H51" i="21"/>
  <c r="D51" i="21"/>
  <c r="L51" i="21" s="1"/>
  <c r="B51" i="21"/>
  <c r="Z50" i="21"/>
  <c r="X50" i="21"/>
  <c r="N50" i="21"/>
  <c r="L50" i="21"/>
  <c r="B50" i="21"/>
  <c r="T49" i="21"/>
  <c r="Z49" i="21" s="1"/>
  <c r="P49" i="21"/>
  <c r="X49" i="21" s="1"/>
  <c r="N49" i="21"/>
  <c r="L49" i="21"/>
  <c r="H49" i="21"/>
  <c r="D49" i="21"/>
  <c r="B49" i="21"/>
  <c r="Z48" i="21"/>
  <c r="X48" i="21"/>
  <c r="N48" i="21"/>
  <c r="L48" i="21"/>
  <c r="B48" i="21"/>
  <c r="X47" i="21"/>
  <c r="Z47" i="21" s="1"/>
  <c r="T47" i="21"/>
  <c r="P47" i="21"/>
  <c r="L47" i="21"/>
  <c r="H47" i="21"/>
  <c r="N47" i="21" s="1"/>
  <c r="D47" i="21"/>
  <c r="B47" i="21"/>
  <c r="X46" i="21"/>
  <c r="Z46" i="21" s="1"/>
  <c r="N46" i="21"/>
  <c r="L46" i="21"/>
  <c r="B46" i="21"/>
  <c r="X45" i="21"/>
  <c r="Z45" i="21" s="1"/>
  <c r="N45" i="21"/>
  <c r="L45" i="21"/>
  <c r="B45" i="21"/>
  <c r="Z44" i="21"/>
  <c r="X44" i="21"/>
  <c r="N44" i="21"/>
  <c r="L44" i="21"/>
  <c r="B44" i="21"/>
  <c r="X43" i="21"/>
  <c r="Z43" i="21" s="1"/>
  <c r="N43" i="21"/>
  <c r="L43" i="21"/>
  <c r="B43" i="21"/>
  <c r="Z42" i="21"/>
  <c r="X42" i="21"/>
  <c r="N42" i="21"/>
  <c r="L42" i="21"/>
  <c r="B42" i="21"/>
  <c r="X41" i="21"/>
  <c r="Z41" i="21" s="1"/>
  <c r="L41" i="21"/>
  <c r="N41" i="21" s="1"/>
  <c r="B41" i="21"/>
  <c r="T40" i="21"/>
  <c r="P40" i="21"/>
  <c r="X40" i="21" s="1"/>
  <c r="H40" i="21"/>
  <c r="D40" i="21"/>
  <c r="L40" i="21" s="1"/>
  <c r="N40" i="21" s="1"/>
  <c r="B40" i="21"/>
  <c r="X39" i="21"/>
  <c r="Z39" i="21" s="1"/>
  <c r="L39" i="21"/>
  <c r="N39" i="21" s="1"/>
  <c r="B39" i="21"/>
  <c r="Z38" i="21"/>
  <c r="X38" i="21"/>
  <c r="L38" i="21"/>
  <c r="N38" i="21" s="1"/>
  <c r="B38" i="21"/>
  <c r="X37" i="21"/>
  <c r="Z37" i="21" s="1"/>
  <c r="L37" i="21"/>
  <c r="N37" i="21" s="1"/>
  <c r="B37" i="21"/>
  <c r="Z36" i="21"/>
  <c r="X36" i="21"/>
  <c r="N36" i="21"/>
  <c r="L36" i="21"/>
  <c r="B36" i="21"/>
  <c r="Z35" i="21"/>
  <c r="X35" i="21"/>
  <c r="L35" i="21"/>
  <c r="N35" i="21" s="1"/>
  <c r="B35" i="21"/>
  <c r="X34" i="21"/>
  <c r="Z34" i="21" s="1"/>
  <c r="N34" i="21"/>
  <c r="L34" i="21"/>
  <c r="B34" i="21"/>
  <c r="X33" i="21"/>
  <c r="Z33" i="21" s="1"/>
  <c r="L33" i="21"/>
  <c r="N33" i="21" s="1"/>
  <c r="B33" i="21"/>
  <c r="Z32" i="21"/>
  <c r="X32" i="21"/>
  <c r="N32" i="21"/>
  <c r="L32" i="21"/>
  <c r="B32" i="21"/>
  <c r="X31" i="21"/>
  <c r="Z31" i="21" s="1"/>
  <c r="T31" i="21"/>
  <c r="P31" i="21"/>
  <c r="L31" i="21"/>
  <c r="H31" i="21"/>
  <c r="N31" i="21" s="1"/>
  <c r="D31" i="21"/>
  <c r="B31" i="21"/>
  <c r="T30" i="21"/>
  <c r="Z30" i="21" s="1"/>
  <c r="P30" i="21"/>
  <c r="X30" i="21" s="1"/>
  <c r="H30" i="21"/>
  <c r="D30" i="21"/>
  <c r="L30" i="21" s="1"/>
  <c r="X26" i="21"/>
  <c r="Z26" i="21" s="1"/>
  <c r="N26" i="21"/>
  <c r="L26" i="21"/>
  <c r="B26" i="21"/>
  <c r="X25" i="21"/>
  <c r="Z25" i="21" s="1"/>
  <c r="N25" i="21"/>
  <c r="L25" i="21"/>
  <c r="B25" i="21"/>
  <c r="Z24" i="21"/>
  <c r="X24" i="21"/>
  <c r="T24" i="21"/>
  <c r="P24" i="21"/>
  <c r="L24" i="21"/>
  <c r="H24" i="21"/>
  <c r="N24" i="21" s="1"/>
  <c r="D24" i="21"/>
  <c r="T22" i="21"/>
  <c r="P22" i="21"/>
  <c r="X22" i="21" s="1"/>
  <c r="N22" i="21"/>
  <c r="L22" i="21"/>
  <c r="H22" i="21"/>
  <c r="D22" i="21"/>
  <c r="B22" i="21"/>
  <c r="T21" i="21"/>
  <c r="P21" i="21"/>
  <c r="X21" i="21" s="1"/>
  <c r="N21" i="21"/>
  <c r="L21" i="21"/>
  <c r="H21" i="21"/>
  <c r="D21" i="21"/>
  <c r="B21" i="21"/>
  <c r="T20" i="21"/>
  <c r="P20" i="21"/>
  <c r="N20" i="21"/>
  <c r="L20" i="21"/>
  <c r="H20" i="21"/>
  <c r="D20" i="21"/>
  <c r="B20" i="21"/>
  <c r="X19" i="21"/>
  <c r="Z19" i="21" s="1"/>
  <c r="T19" i="21"/>
  <c r="P19" i="21"/>
  <c r="H19" i="21"/>
  <c r="D19" i="21"/>
  <c r="L19" i="21" s="1"/>
  <c r="N19" i="21" s="1"/>
  <c r="B19" i="21"/>
  <c r="Z18" i="21"/>
  <c r="X18" i="21"/>
  <c r="T18" i="21"/>
  <c r="P18" i="21"/>
  <c r="H18" i="21"/>
  <c r="N18" i="21" s="1"/>
  <c r="D18" i="21"/>
  <c r="L18" i="21" s="1"/>
  <c r="B18" i="21"/>
  <c r="Z17" i="21"/>
  <c r="X17" i="21"/>
  <c r="T17" i="21"/>
  <c r="P17" i="21"/>
  <c r="H17" i="21"/>
  <c r="N17" i="21" s="1"/>
  <c r="D17" i="21"/>
  <c r="L17" i="21" s="1"/>
  <c r="B17" i="21"/>
  <c r="Z16" i="21"/>
  <c r="X16" i="21"/>
  <c r="T16" i="21"/>
  <c r="P16" i="21"/>
  <c r="H16" i="21"/>
  <c r="D16" i="21"/>
  <c r="B16" i="21"/>
  <c r="T15" i="21"/>
  <c r="P15" i="21"/>
  <c r="X15" i="21" s="1"/>
  <c r="Z15" i="21" s="1"/>
  <c r="N15" i="21"/>
  <c r="L15" i="21"/>
  <c r="H15" i="21"/>
  <c r="D15" i="21"/>
  <c r="B15" i="21"/>
  <c r="T14" i="21"/>
  <c r="P14" i="21"/>
  <c r="X14" i="21" s="1"/>
  <c r="N14" i="21"/>
  <c r="L14" i="21"/>
  <c r="H14" i="21"/>
  <c r="D14" i="21"/>
  <c r="B14" i="21"/>
  <c r="T13" i="21"/>
  <c r="P13" i="21"/>
  <c r="N13" i="21"/>
  <c r="L13" i="21"/>
  <c r="H13" i="21"/>
  <c r="H12" i="21" s="1"/>
  <c r="J108" i="21" s="1"/>
  <c r="D13" i="21"/>
  <c r="B13" i="21"/>
  <c r="T12" i="21"/>
  <c r="D4" i="21"/>
  <c r="B39" i="20"/>
  <c r="B38" i="20"/>
  <c r="T34" i="20"/>
  <c r="Z34" i="20" s="1"/>
  <c r="P34" i="20"/>
  <c r="H34" i="20"/>
  <c r="N34" i="20" s="1"/>
  <c r="D34" i="20"/>
  <c r="T33" i="20"/>
  <c r="Z33" i="20" s="1"/>
  <c r="P33" i="20"/>
  <c r="H33" i="20"/>
  <c r="N33" i="20" s="1"/>
  <c r="D33" i="20"/>
  <c r="T29" i="20"/>
  <c r="Z29" i="20" s="1"/>
  <c r="P29" i="20"/>
  <c r="H29" i="20"/>
  <c r="N29" i="20" s="1"/>
  <c r="D29" i="20"/>
  <c r="T25" i="20"/>
  <c r="Z25" i="20" s="1"/>
  <c r="P25" i="20"/>
  <c r="H25" i="20"/>
  <c r="N25" i="20" s="1"/>
  <c r="D25" i="20"/>
  <c r="B25" i="20"/>
  <c r="T24" i="20"/>
  <c r="Z24" i="20" s="1"/>
  <c r="P24" i="20"/>
  <c r="H24" i="20"/>
  <c r="N24" i="20" s="1"/>
  <c r="D24" i="20"/>
  <c r="T22" i="20"/>
  <c r="Z22" i="20" s="1"/>
  <c r="P22" i="20"/>
  <c r="H22" i="20"/>
  <c r="N22" i="20" s="1"/>
  <c r="D22" i="20"/>
  <c r="B22" i="20"/>
  <c r="T21" i="20"/>
  <c r="Z21" i="20" s="1"/>
  <c r="P21" i="20"/>
  <c r="H21" i="20"/>
  <c r="N21" i="20" s="1"/>
  <c r="D21" i="20"/>
  <c r="B21" i="20"/>
  <c r="T20" i="20"/>
  <c r="Z20" i="20" s="1"/>
  <c r="P20" i="20"/>
  <c r="H20" i="20"/>
  <c r="N20" i="20" s="1"/>
  <c r="D20" i="20"/>
  <c r="T16" i="20"/>
  <c r="Z16" i="20" s="1"/>
  <c r="P16" i="20"/>
  <c r="H16" i="20"/>
  <c r="N16" i="20" s="1"/>
  <c r="D16" i="20"/>
  <c r="B16" i="20"/>
  <c r="T15" i="20"/>
  <c r="Z15" i="20" s="1"/>
  <c r="P15" i="20"/>
  <c r="H15" i="20"/>
  <c r="D15" i="20"/>
  <c r="T13" i="20"/>
  <c r="Z13" i="20" s="1"/>
  <c r="P13" i="20"/>
  <c r="H13" i="20"/>
  <c r="N13" i="20" s="1"/>
  <c r="D13" i="20"/>
  <c r="B13" i="20"/>
  <c r="T12" i="20"/>
  <c r="P12" i="20"/>
  <c r="R34" i="20" s="1"/>
  <c r="H12" i="20"/>
  <c r="D12" i="20"/>
  <c r="F36" i="20" s="1"/>
  <c r="D5" i="20"/>
  <c r="D4" i="20"/>
  <c r="B39" i="19"/>
  <c r="B38" i="19"/>
  <c r="T34" i="19"/>
  <c r="Z34" i="19" s="1"/>
  <c r="P34" i="19"/>
  <c r="H34" i="19"/>
  <c r="N34" i="19" s="1"/>
  <c r="D34" i="19"/>
  <c r="T33" i="19"/>
  <c r="Z33" i="19" s="1"/>
  <c r="P33" i="19"/>
  <c r="H33" i="19"/>
  <c r="N33" i="19" s="1"/>
  <c r="D33" i="19"/>
  <c r="T29" i="19"/>
  <c r="Z29" i="19" s="1"/>
  <c r="P29" i="19"/>
  <c r="H29" i="19"/>
  <c r="N29" i="19" s="1"/>
  <c r="D29" i="19"/>
  <c r="T25" i="19"/>
  <c r="Z25" i="19" s="1"/>
  <c r="P25" i="19"/>
  <c r="H25" i="19"/>
  <c r="N25" i="19" s="1"/>
  <c r="D25" i="19"/>
  <c r="B25" i="19"/>
  <c r="T24" i="19"/>
  <c r="P24" i="19"/>
  <c r="H24" i="19"/>
  <c r="D24" i="19"/>
  <c r="T22" i="19"/>
  <c r="Z22" i="19" s="1"/>
  <c r="P22" i="19"/>
  <c r="H22" i="19"/>
  <c r="N22" i="19" s="1"/>
  <c r="D22" i="19"/>
  <c r="B22" i="19"/>
  <c r="T21" i="19"/>
  <c r="P21" i="19"/>
  <c r="H21" i="19"/>
  <c r="N21" i="19" s="1"/>
  <c r="D21" i="19"/>
  <c r="B21" i="19"/>
  <c r="T20" i="19"/>
  <c r="Z20" i="19" s="1"/>
  <c r="P20" i="19"/>
  <c r="H20" i="19"/>
  <c r="N20" i="19" s="1"/>
  <c r="D20" i="19"/>
  <c r="T16" i="19"/>
  <c r="Z16" i="19" s="1"/>
  <c r="P16" i="19"/>
  <c r="H16" i="19"/>
  <c r="N16" i="19" s="1"/>
  <c r="D16" i="19"/>
  <c r="B16" i="19"/>
  <c r="T15" i="19"/>
  <c r="Z15" i="19" s="1"/>
  <c r="P15" i="19"/>
  <c r="H15" i="19"/>
  <c r="N15" i="19" s="1"/>
  <c r="D15" i="19"/>
  <c r="T13" i="19"/>
  <c r="P13" i="19"/>
  <c r="H13" i="19"/>
  <c r="N13" i="19" s="1"/>
  <c r="D13" i="19"/>
  <c r="B13" i="19"/>
  <c r="T12" i="19"/>
  <c r="P12" i="19"/>
  <c r="R20" i="19" s="1"/>
  <c r="H12" i="19"/>
  <c r="J18" i="19" s="1"/>
  <c r="D12" i="19"/>
  <c r="F18" i="19" s="1"/>
  <c r="D5" i="19"/>
  <c r="D4" i="19"/>
  <c r="X338" i="18"/>
  <c r="Z338" i="18" s="1"/>
  <c r="L338" i="18"/>
  <c r="N338" i="18" s="1"/>
  <c r="T334" i="18"/>
  <c r="P334" i="18"/>
  <c r="H334" i="18"/>
  <c r="N334" i="18" s="1"/>
  <c r="D334" i="18"/>
  <c r="L334" i="18" s="1"/>
  <c r="B334" i="18"/>
  <c r="T333" i="18"/>
  <c r="P333" i="18"/>
  <c r="X333" i="18" s="1"/>
  <c r="Z333" i="18" s="1"/>
  <c r="N333" i="18"/>
  <c r="L333" i="18"/>
  <c r="H333" i="18"/>
  <c r="D333" i="18"/>
  <c r="B333" i="18"/>
  <c r="X332" i="18"/>
  <c r="Z332" i="18" s="1"/>
  <c r="T332" i="18"/>
  <c r="P332" i="18"/>
  <c r="H332" i="18"/>
  <c r="N332" i="18" s="1"/>
  <c r="D332" i="18"/>
  <c r="B332" i="18"/>
  <c r="T331" i="18"/>
  <c r="Z331" i="18" s="1"/>
  <c r="P331" i="18"/>
  <c r="X331" i="18" s="1"/>
  <c r="H331" i="18"/>
  <c r="D331" i="18"/>
  <c r="L331" i="18" s="1"/>
  <c r="N331" i="18" s="1"/>
  <c r="B331" i="18"/>
  <c r="X330" i="18"/>
  <c r="Z330" i="18" s="1"/>
  <c r="T330" i="18"/>
  <c r="P330" i="18"/>
  <c r="L330" i="18"/>
  <c r="N330" i="18" s="1"/>
  <c r="H330" i="18"/>
  <c r="D330" i="18"/>
  <c r="B330" i="18"/>
  <c r="X329" i="18"/>
  <c r="T329" i="18"/>
  <c r="Z329" i="18" s="1"/>
  <c r="P329" i="18"/>
  <c r="H329" i="18"/>
  <c r="N329" i="18" s="1"/>
  <c r="D329" i="18"/>
  <c r="L329" i="18" s="1"/>
  <c r="B329" i="18"/>
  <c r="T328" i="18"/>
  <c r="Z328" i="18" s="1"/>
  <c r="P328" i="18"/>
  <c r="X328" i="18" s="1"/>
  <c r="N328" i="18"/>
  <c r="L328" i="18"/>
  <c r="H328" i="18"/>
  <c r="D328" i="18"/>
  <c r="B328" i="18"/>
  <c r="Z327" i="18"/>
  <c r="X327" i="18"/>
  <c r="T327" i="18"/>
  <c r="P327" i="18"/>
  <c r="L327" i="18"/>
  <c r="H327" i="18"/>
  <c r="N327" i="18" s="1"/>
  <c r="D327" i="18"/>
  <c r="B327" i="18"/>
  <c r="T326" i="18"/>
  <c r="P326" i="18"/>
  <c r="H326" i="18"/>
  <c r="N326" i="18" s="1"/>
  <c r="D326" i="18"/>
  <c r="L326" i="18" s="1"/>
  <c r="B326" i="18"/>
  <c r="T325" i="18"/>
  <c r="P325" i="18"/>
  <c r="X325" i="18" s="1"/>
  <c r="Z325" i="18" s="1"/>
  <c r="N325" i="18"/>
  <c r="L325" i="18"/>
  <c r="H325" i="18"/>
  <c r="D325" i="18"/>
  <c r="B325" i="18"/>
  <c r="X324" i="18"/>
  <c r="Z324" i="18" s="1"/>
  <c r="T324" i="18"/>
  <c r="P324" i="18"/>
  <c r="H324" i="18"/>
  <c r="D324" i="18"/>
  <c r="L324" i="18" s="1"/>
  <c r="B324" i="18"/>
  <c r="T323" i="18"/>
  <c r="P323" i="18"/>
  <c r="X323" i="18" s="1"/>
  <c r="N323" i="18"/>
  <c r="H323" i="18"/>
  <c r="D323" i="18"/>
  <c r="L323" i="18" s="1"/>
  <c r="B323" i="18"/>
  <c r="X320" i="18"/>
  <c r="Z320" i="18" s="1"/>
  <c r="L320" i="18"/>
  <c r="N320" i="18" s="1"/>
  <c r="B320" i="18"/>
  <c r="X319" i="18"/>
  <c r="T319" i="18"/>
  <c r="Z319" i="18" s="1"/>
  <c r="P319" i="18"/>
  <c r="H319" i="18"/>
  <c r="D319" i="18"/>
  <c r="L319" i="18" s="1"/>
  <c r="B319" i="18"/>
  <c r="X318" i="18"/>
  <c r="Z318" i="18" s="1"/>
  <c r="N318" i="18"/>
  <c r="L318" i="18"/>
  <c r="B318" i="18"/>
  <c r="Z317" i="18"/>
  <c r="X317" i="18"/>
  <c r="N317" i="18"/>
  <c r="L317" i="18"/>
  <c r="B317" i="18"/>
  <c r="X316" i="18"/>
  <c r="Z316" i="18" s="1"/>
  <c r="N316" i="18"/>
  <c r="L316" i="18"/>
  <c r="B316" i="18"/>
  <c r="X315" i="18"/>
  <c r="T315" i="18"/>
  <c r="Z315" i="18" s="1"/>
  <c r="P315" i="18"/>
  <c r="H315" i="18"/>
  <c r="N315" i="18" s="1"/>
  <c r="D315" i="18"/>
  <c r="L315" i="18" s="1"/>
  <c r="B315" i="18"/>
  <c r="Z314" i="18"/>
  <c r="X314" i="18"/>
  <c r="N314" i="18"/>
  <c r="L314" i="18"/>
  <c r="B314" i="18"/>
  <c r="T313" i="18"/>
  <c r="Z313" i="18" s="1"/>
  <c r="P313" i="18"/>
  <c r="X313" i="18" s="1"/>
  <c r="N313" i="18"/>
  <c r="H313" i="18"/>
  <c r="D313" i="18"/>
  <c r="L313" i="18" s="1"/>
  <c r="B313" i="18"/>
  <c r="X312" i="18"/>
  <c r="Z312" i="18" s="1"/>
  <c r="N312" i="18"/>
  <c r="L312" i="18"/>
  <c r="B312" i="18"/>
  <c r="Z311" i="18"/>
  <c r="X311" i="18"/>
  <c r="N311" i="18"/>
  <c r="L311" i="18"/>
  <c r="B311" i="18"/>
  <c r="T310" i="18"/>
  <c r="P310" i="18"/>
  <c r="X310" i="18" s="1"/>
  <c r="Z310" i="18" s="1"/>
  <c r="L310" i="18"/>
  <c r="N310" i="18" s="1"/>
  <c r="H310" i="18"/>
  <c r="D310" i="18"/>
  <c r="B310" i="18"/>
  <c r="Z309" i="18"/>
  <c r="X309" i="18"/>
  <c r="N309" i="18"/>
  <c r="L309" i="18"/>
  <c r="B309" i="18"/>
  <c r="X308" i="18"/>
  <c r="Z308" i="18" s="1"/>
  <c r="N308" i="18"/>
  <c r="L308" i="18"/>
  <c r="B308" i="18"/>
  <c r="Z307" i="18"/>
  <c r="X307" i="18"/>
  <c r="L307" i="18"/>
  <c r="N307" i="18" s="1"/>
  <c r="B307" i="18"/>
  <c r="Z306" i="18"/>
  <c r="X306" i="18"/>
  <c r="L306" i="18"/>
  <c r="N306" i="18" s="1"/>
  <c r="B306" i="18"/>
  <c r="X305" i="18"/>
  <c r="Z305" i="18" s="1"/>
  <c r="N305" i="18"/>
  <c r="L305" i="18"/>
  <c r="B305" i="18"/>
  <c r="Z304" i="18"/>
  <c r="X304" i="18"/>
  <c r="L304" i="18"/>
  <c r="N304" i="18" s="1"/>
  <c r="B304" i="18"/>
  <c r="X303" i="18"/>
  <c r="Z303" i="18" s="1"/>
  <c r="N303" i="18"/>
  <c r="L303" i="18"/>
  <c r="B303" i="18"/>
  <c r="X302" i="18"/>
  <c r="Z302" i="18" s="1"/>
  <c r="N302" i="18"/>
  <c r="L302" i="18"/>
  <c r="B302" i="18"/>
  <c r="Z301" i="18"/>
  <c r="X301" i="18"/>
  <c r="T301" i="18"/>
  <c r="P301" i="18"/>
  <c r="L301" i="18"/>
  <c r="H301" i="18"/>
  <c r="N301" i="18" s="1"/>
  <c r="D301" i="18"/>
  <c r="B301" i="18"/>
  <c r="Z300" i="18"/>
  <c r="X300" i="18"/>
  <c r="N300" i="18"/>
  <c r="L300" i="18"/>
  <c r="B300" i="18"/>
  <c r="X299" i="18"/>
  <c r="Z299" i="18" s="1"/>
  <c r="N299" i="18"/>
  <c r="L299" i="18"/>
  <c r="B299" i="18"/>
  <c r="X298" i="18"/>
  <c r="Z298" i="18" s="1"/>
  <c r="T298" i="18"/>
  <c r="P298" i="18"/>
  <c r="H298" i="18"/>
  <c r="D298" i="18"/>
  <c r="B298" i="18"/>
  <c r="Z297" i="18"/>
  <c r="X297" i="18"/>
  <c r="N297" i="18"/>
  <c r="L297" i="18"/>
  <c r="B297" i="18"/>
  <c r="Z296" i="18"/>
  <c r="X296" i="18"/>
  <c r="L296" i="18"/>
  <c r="N296" i="18" s="1"/>
  <c r="B296" i="18"/>
  <c r="X295" i="18"/>
  <c r="Z295" i="18" s="1"/>
  <c r="N295" i="18"/>
  <c r="L295" i="18"/>
  <c r="B295" i="18"/>
  <c r="X294" i="18"/>
  <c r="Z294" i="18" s="1"/>
  <c r="L294" i="18"/>
  <c r="N294" i="18" s="1"/>
  <c r="B294" i="18"/>
  <c r="Z293" i="18"/>
  <c r="X293" i="18"/>
  <c r="T293" i="18"/>
  <c r="P293" i="18"/>
  <c r="L293" i="18"/>
  <c r="H293" i="18"/>
  <c r="N293" i="18" s="1"/>
  <c r="D293" i="18"/>
  <c r="B293" i="18"/>
  <c r="Z292" i="18"/>
  <c r="X292" i="18"/>
  <c r="N292" i="18"/>
  <c r="L292" i="18"/>
  <c r="B292" i="18"/>
  <c r="X291" i="18"/>
  <c r="Z291" i="18" s="1"/>
  <c r="N291" i="18"/>
  <c r="L291" i="18"/>
  <c r="B291" i="18"/>
  <c r="X290" i="18"/>
  <c r="Z290" i="18" s="1"/>
  <c r="N290" i="18"/>
  <c r="L290" i="18"/>
  <c r="B290" i="18"/>
  <c r="Z289" i="18"/>
  <c r="X289" i="18"/>
  <c r="T289" i="18"/>
  <c r="P289" i="18"/>
  <c r="L289" i="18"/>
  <c r="H289" i="18"/>
  <c r="N289" i="18" s="1"/>
  <c r="D289" i="18"/>
  <c r="B289" i="18"/>
  <c r="X288" i="18"/>
  <c r="Z288" i="18" s="1"/>
  <c r="L288" i="18"/>
  <c r="N288" i="18" s="1"/>
  <c r="B288" i="18"/>
  <c r="X287" i="18"/>
  <c r="Z287" i="18" s="1"/>
  <c r="N287" i="18"/>
  <c r="L287" i="18"/>
  <c r="B287" i="18"/>
  <c r="X286" i="18"/>
  <c r="Z286" i="18" s="1"/>
  <c r="L286" i="18"/>
  <c r="N286" i="18" s="1"/>
  <c r="B286" i="18"/>
  <c r="Z285" i="18"/>
  <c r="X285" i="18"/>
  <c r="N285" i="18"/>
  <c r="L285" i="18"/>
  <c r="B285" i="18"/>
  <c r="X284" i="18"/>
  <c r="Z284" i="18" s="1"/>
  <c r="T284" i="18"/>
  <c r="P284" i="18"/>
  <c r="L284" i="18"/>
  <c r="N284" i="18" s="1"/>
  <c r="H284" i="18"/>
  <c r="D284" i="18"/>
  <c r="B284" i="18"/>
  <c r="X283" i="18"/>
  <c r="Z283" i="18" s="1"/>
  <c r="N283" i="18"/>
  <c r="L283" i="18"/>
  <c r="B283" i="18"/>
  <c r="X282" i="18"/>
  <c r="Z282" i="18" s="1"/>
  <c r="T282" i="18"/>
  <c r="P282" i="18"/>
  <c r="H282" i="18"/>
  <c r="D282" i="18"/>
  <c r="L282" i="18" s="1"/>
  <c r="B282" i="18"/>
  <c r="Z281" i="18"/>
  <c r="X281" i="18"/>
  <c r="N281" i="18"/>
  <c r="L281" i="18"/>
  <c r="B281" i="18"/>
  <c r="T280" i="18"/>
  <c r="P280" i="18"/>
  <c r="X280" i="18" s="1"/>
  <c r="H280" i="18"/>
  <c r="N280" i="18" s="1"/>
  <c r="D280" i="18"/>
  <c r="L280" i="18" s="1"/>
  <c r="B280" i="18"/>
  <c r="Z279" i="18"/>
  <c r="X279" i="18"/>
  <c r="L279" i="18"/>
  <c r="N279" i="18" s="1"/>
  <c r="B279" i="18"/>
  <c r="X278" i="18"/>
  <c r="Z278" i="18" s="1"/>
  <c r="L278" i="18"/>
  <c r="N278" i="18" s="1"/>
  <c r="B278" i="18"/>
  <c r="Z277" i="18"/>
  <c r="X277" i="18"/>
  <c r="N277" i="18"/>
  <c r="L277" i="18"/>
  <c r="B277" i="18"/>
  <c r="X276" i="18"/>
  <c r="Z276" i="18" s="1"/>
  <c r="L276" i="18"/>
  <c r="N276" i="18" s="1"/>
  <c r="B276" i="18"/>
  <c r="X275" i="18"/>
  <c r="Z275" i="18" s="1"/>
  <c r="N275" i="18"/>
  <c r="L275" i="18"/>
  <c r="B275" i="18"/>
  <c r="X274" i="18"/>
  <c r="Z274" i="18" s="1"/>
  <c r="L274" i="18"/>
  <c r="N274" i="18" s="1"/>
  <c r="B274" i="18"/>
  <c r="Z273" i="18"/>
  <c r="X273" i="18"/>
  <c r="N273" i="18"/>
  <c r="L273" i="18"/>
  <c r="B273" i="18"/>
  <c r="X272" i="18"/>
  <c r="Z272" i="18" s="1"/>
  <c r="L272" i="18"/>
  <c r="N272" i="18" s="1"/>
  <c r="B272" i="18"/>
  <c r="Z271" i="18"/>
  <c r="X271" i="18"/>
  <c r="L271" i="18"/>
  <c r="N271" i="18" s="1"/>
  <c r="B271" i="18"/>
  <c r="X270" i="18"/>
  <c r="Z270" i="18" s="1"/>
  <c r="L270" i="18"/>
  <c r="N270" i="18" s="1"/>
  <c r="B270" i="18"/>
  <c r="Z269" i="18"/>
  <c r="X269" i="18"/>
  <c r="N269" i="18"/>
  <c r="L269" i="18"/>
  <c r="B269" i="18"/>
  <c r="X268" i="18"/>
  <c r="Z268" i="18" s="1"/>
  <c r="L268" i="18"/>
  <c r="N268" i="18" s="1"/>
  <c r="B268" i="18"/>
  <c r="X267" i="18"/>
  <c r="Z267" i="18" s="1"/>
  <c r="N267" i="18"/>
  <c r="L267" i="18"/>
  <c r="B267" i="18"/>
  <c r="X266" i="18"/>
  <c r="Z266" i="18" s="1"/>
  <c r="L266" i="18"/>
  <c r="N266" i="18" s="1"/>
  <c r="B266" i="18"/>
  <c r="Z265" i="18"/>
  <c r="X265" i="18"/>
  <c r="N265" i="18"/>
  <c r="L265" i="18"/>
  <c r="B265" i="18"/>
  <c r="X264" i="18"/>
  <c r="Z264" i="18" s="1"/>
  <c r="L264" i="18"/>
  <c r="N264" i="18" s="1"/>
  <c r="B264" i="18"/>
  <c r="Z263" i="18"/>
  <c r="X263" i="18"/>
  <c r="L263" i="18"/>
  <c r="N263" i="18" s="1"/>
  <c r="B263" i="18"/>
  <c r="X262" i="18"/>
  <c r="Z262" i="18" s="1"/>
  <c r="L262" i="18"/>
  <c r="N262" i="18" s="1"/>
  <c r="B262" i="18"/>
  <c r="Z261" i="18"/>
  <c r="X261" i="18"/>
  <c r="N261" i="18"/>
  <c r="L261" i="18"/>
  <c r="B261" i="18"/>
  <c r="X260" i="18"/>
  <c r="Z260" i="18" s="1"/>
  <c r="L260" i="18"/>
  <c r="N260" i="18" s="1"/>
  <c r="B260" i="18"/>
  <c r="X259" i="18"/>
  <c r="Z259" i="18" s="1"/>
  <c r="N259" i="18"/>
  <c r="L259" i="18"/>
  <c r="B259" i="18"/>
  <c r="X258" i="18"/>
  <c r="Z258" i="18" s="1"/>
  <c r="L258" i="18"/>
  <c r="N258" i="18" s="1"/>
  <c r="B258" i="18"/>
  <c r="Z257" i="18"/>
  <c r="X257" i="18"/>
  <c r="N257" i="18"/>
  <c r="L257" i="18"/>
  <c r="B257" i="18"/>
  <c r="X256" i="18"/>
  <c r="Z256" i="18" s="1"/>
  <c r="L256" i="18"/>
  <c r="N256" i="18" s="1"/>
  <c r="B256" i="18"/>
  <c r="Z255" i="18"/>
  <c r="X255" i="18"/>
  <c r="L255" i="18"/>
  <c r="N255" i="18" s="1"/>
  <c r="B255" i="18"/>
  <c r="X254" i="18"/>
  <c r="Z254" i="18" s="1"/>
  <c r="L254" i="18"/>
  <c r="N254" i="18" s="1"/>
  <c r="B254" i="18"/>
  <c r="Z253" i="18"/>
  <c r="X253" i="18"/>
  <c r="N253" i="18"/>
  <c r="L253" i="18"/>
  <c r="B253" i="18"/>
  <c r="X252" i="18"/>
  <c r="Z252" i="18" s="1"/>
  <c r="L252" i="18"/>
  <c r="N252" i="18" s="1"/>
  <c r="B252" i="18"/>
  <c r="X251" i="18"/>
  <c r="Z251" i="18" s="1"/>
  <c r="N251" i="18"/>
  <c r="L251" i="18"/>
  <c r="B251" i="18"/>
  <c r="X250" i="18"/>
  <c r="Z250" i="18" s="1"/>
  <c r="L250" i="18"/>
  <c r="N250" i="18" s="1"/>
  <c r="B250" i="18"/>
  <c r="Z249" i="18"/>
  <c r="X249" i="18"/>
  <c r="N249" i="18"/>
  <c r="L249" i="18"/>
  <c r="B249" i="18"/>
  <c r="X248" i="18"/>
  <c r="Z248" i="18" s="1"/>
  <c r="L248" i="18"/>
  <c r="N248" i="18" s="1"/>
  <c r="B248" i="18"/>
  <c r="Z247" i="18"/>
  <c r="X247" i="18"/>
  <c r="L247" i="18"/>
  <c r="N247" i="18" s="1"/>
  <c r="B247" i="18"/>
  <c r="X246" i="18"/>
  <c r="Z246" i="18" s="1"/>
  <c r="L246" i="18"/>
  <c r="N246" i="18" s="1"/>
  <c r="B246" i="18"/>
  <c r="Z245" i="18"/>
  <c r="X245" i="18"/>
  <c r="N245" i="18"/>
  <c r="L245" i="18"/>
  <c r="B245" i="18"/>
  <c r="X244" i="18"/>
  <c r="Z244" i="18" s="1"/>
  <c r="L244" i="18"/>
  <c r="N244" i="18" s="1"/>
  <c r="B244" i="18"/>
  <c r="Z243" i="18"/>
  <c r="X243" i="18"/>
  <c r="N243" i="18"/>
  <c r="L243" i="18"/>
  <c r="B243" i="18"/>
  <c r="Z242" i="18"/>
  <c r="X242" i="18"/>
  <c r="T242" i="18"/>
  <c r="P242" i="18"/>
  <c r="H242" i="18"/>
  <c r="D242" i="18"/>
  <c r="L242" i="18" s="1"/>
  <c r="B242" i="18"/>
  <c r="Z241" i="18"/>
  <c r="X241" i="18"/>
  <c r="N241" i="18"/>
  <c r="L241" i="18"/>
  <c r="B241" i="18"/>
  <c r="T240" i="18"/>
  <c r="P240" i="18"/>
  <c r="X240" i="18" s="1"/>
  <c r="H240" i="18"/>
  <c r="N240" i="18" s="1"/>
  <c r="D240" i="18"/>
  <c r="L240" i="18" s="1"/>
  <c r="B240" i="18"/>
  <c r="Z239" i="18"/>
  <c r="X239" i="18"/>
  <c r="L239" i="18"/>
  <c r="N239" i="18" s="1"/>
  <c r="B239" i="18"/>
  <c r="T238" i="18"/>
  <c r="Z238" i="18" s="1"/>
  <c r="P238" i="18"/>
  <c r="X238" i="18" s="1"/>
  <c r="L238" i="18"/>
  <c r="N238" i="18" s="1"/>
  <c r="H238" i="18"/>
  <c r="D238" i="18"/>
  <c r="B238" i="18"/>
  <c r="Z237" i="18"/>
  <c r="X237" i="18"/>
  <c r="N237" i="18"/>
  <c r="L237" i="18"/>
  <c r="B237" i="18"/>
  <c r="X236" i="18"/>
  <c r="Z236" i="18" s="1"/>
  <c r="L236" i="18"/>
  <c r="N236" i="18" s="1"/>
  <c r="B236" i="18"/>
  <c r="T235" i="18"/>
  <c r="P235" i="18"/>
  <c r="X235" i="18" s="1"/>
  <c r="Z235" i="18" s="1"/>
  <c r="N235" i="18"/>
  <c r="L235" i="18"/>
  <c r="H235" i="18"/>
  <c r="D235" i="18"/>
  <c r="B235" i="18"/>
  <c r="X234" i="18"/>
  <c r="Z234" i="18" s="1"/>
  <c r="L234" i="18"/>
  <c r="N234" i="18" s="1"/>
  <c r="B234" i="18"/>
  <c r="Z233" i="18"/>
  <c r="X233" i="18"/>
  <c r="T233" i="18"/>
  <c r="P233" i="18"/>
  <c r="L233" i="18"/>
  <c r="H233" i="18"/>
  <c r="N233" i="18" s="1"/>
  <c r="D233" i="18"/>
  <c r="B233" i="18"/>
  <c r="X232" i="18"/>
  <c r="Z232" i="18" s="1"/>
  <c r="L232" i="18"/>
  <c r="N232" i="18" s="1"/>
  <c r="B232" i="18"/>
  <c r="X231" i="18"/>
  <c r="T231" i="18"/>
  <c r="Z231" i="18" s="1"/>
  <c r="P231" i="18"/>
  <c r="H231" i="18"/>
  <c r="N231" i="18" s="1"/>
  <c r="D231" i="18"/>
  <c r="L231" i="18" s="1"/>
  <c r="B231" i="18"/>
  <c r="X230" i="18"/>
  <c r="Z230" i="18" s="1"/>
  <c r="N230" i="18"/>
  <c r="L230" i="18"/>
  <c r="B230" i="18"/>
  <c r="T229" i="18"/>
  <c r="P229" i="18"/>
  <c r="X229" i="18" s="1"/>
  <c r="N229" i="18"/>
  <c r="H229" i="18"/>
  <c r="D229" i="18"/>
  <c r="L229" i="18" s="1"/>
  <c r="B229" i="18"/>
  <c r="X228" i="18"/>
  <c r="Z228" i="18" s="1"/>
  <c r="L228" i="18"/>
  <c r="N228" i="18" s="1"/>
  <c r="B228" i="18"/>
  <c r="Z227" i="18"/>
  <c r="X227" i="18"/>
  <c r="L227" i="18"/>
  <c r="N227" i="18" s="1"/>
  <c r="B227" i="18"/>
  <c r="T226" i="18"/>
  <c r="P226" i="18"/>
  <c r="X226" i="18" s="1"/>
  <c r="L226" i="18"/>
  <c r="N226" i="18" s="1"/>
  <c r="H226" i="18"/>
  <c r="D226" i="18"/>
  <c r="B226" i="18"/>
  <c r="Z225" i="18"/>
  <c r="X225" i="18"/>
  <c r="N225" i="18"/>
  <c r="L225" i="18"/>
  <c r="B225" i="18"/>
  <c r="X224" i="18"/>
  <c r="Z224" i="18" s="1"/>
  <c r="L224" i="18"/>
  <c r="N224" i="18" s="1"/>
  <c r="B224" i="18"/>
  <c r="Z223" i="18"/>
  <c r="X223" i="18"/>
  <c r="L223" i="18"/>
  <c r="N223" i="18" s="1"/>
  <c r="B223" i="18"/>
  <c r="T222" i="18"/>
  <c r="P222" i="18"/>
  <c r="X222" i="18" s="1"/>
  <c r="L222" i="18"/>
  <c r="N222" i="18" s="1"/>
  <c r="H222" i="18"/>
  <c r="D222" i="18"/>
  <c r="B222" i="18"/>
  <c r="Z221" i="18"/>
  <c r="X221" i="18"/>
  <c r="N221" i="18"/>
  <c r="L221" i="18"/>
  <c r="B221" i="18"/>
  <c r="X220" i="18"/>
  <c r="Z220" i="18" s="1"/>
  <c r="T220" i="18"/>
  <c r="P220" i="18"/>
  <c r="L220" i="18"/>
  <c r="N220" i="18" s="1"/>
  <c r="H220" i="18"/>
  <c r="D220" i="18"/>
  <c r="B220" i="18"/>
  <c r="X219" i="18"/>
  <c r="Z219" i="18" s="1"/>
  <c r="N219" i="18"/>
  <c r="L219" i="18"/>
  <c r="B219" i="18"/>
  <c r="X218" i="18"/>
  <c r="Z218" i="18" s="1"/>
  <c r="L218" i="18"/>
  <c r="N218" i="18" s="1"/>
  <c r="B218" i="18"/>
  <c r="Z217" i="18"/>
  <c r="X217" i="18"/>
  <c r="T217" i="18"/>
  <c r="P217" i="18"/>
  <c r="L217" i="18"/>
  <c r="H217" i="18"/>
  <c r="N217" i="18" s="1"/>
  <c r="D217" i="18"/>
  <c r="B217" i="18"/>
  <c r="X216" i="18"/>
  <c r="Z216" i="18" s="1"/>
  <c r="L216" i="18"/>
  <c r="N216" i="18" s="1"/>
  <c r="B216" i="18"/>
  <c r="X215" i="18"/>
  <c r="T215" i="18"/>
  <c r="Z215" i="18" s="1"/>
  <c r="P215" i="18"/>
  <c r="H215" i="18"/>
  <c r="D215" i="18"/>
  <c r="L215" i="18" s="1"/>
  <c r="B215" i="18"/>
  <c r="X214" i="18"/>
  <c r="Z214" i="18" s="1"/>
  <c r="N214" i="18"/>
  <c r="L214" i="18"/>
  <c r="B214" i="18"/>
  <c r="Z213" i="18"/>
  <c r="X213" i="18"/>
  <c r="N213" i="18"/>
  <c r="L213" i="18"/>
  <c r="B213" i="18"/>
  <c r="X212" i="18"/>
  <c r="Z212" i="18" s="1"/>
  <c r="L212" i="18"/>
  <c r="N212" i="18" s="1"/>
  <c r="B212" i="18"/>
  <c r="X211" i="18"/>
  <c r="Z211" i="18" s="1"/>
  <c r="N211" i="18"/>
  <c r="L211" i="18"/>
  <c r="B211" i="18"/>
  <c r="X210" i="18"/>
  <c r="Z210" i="18" s="1"/>
  <c r="L210" i="18"/>
  <c r="N210" i="18" s="1"/>
  <c r="B210" i="18"/>
  <c r="Z209" i="18"/>
  <c r="X209" i="18"/>
  <c r="N209" i="18"/>
  <c r="L209" i="18"/>
  <c r="B209" i="18"/>
  <c r="X208" i="18"/>
  <c r="Z208" i="18" s="1"/>
  <c r="N208" i="18"/>
  <c r="L208" i="18"/>
  <c r="B208" i="18"/>
  <c r="T207" i="18"/>
  <c r="P207" i="18"/>
  <c r="X207" i="18" s="1"/>
  <c r="Z207" i="18" s="1"/>
  <c r="N207" i="18"/>
  <c r="L207" i="18"/>
  <c r="H207" i="18"/>
  <c r="D207" i="18"/>
  <c r="B207" i="18"/>
  <c r="X206" i="18"/>
  <c r="Z206" i="18" s="1"/>
  <c r="L206" i="18"/>
  <c r="N206" i="18" s="1"/>
  <c r="B206" i="18"/>
  <c r="Z205" i="18"/>
  <c r="X205" i="18"/>
  <c r="N205" i="18"/>
  <c r="L205" i="18"/>
  <c r="B205" i="18"/>
  <c r="X204" i="18"/>
  <c r="Z204" i="18" s="1"/>
  <c r="L204" i="18"/>
  <c r="N204" i="18" s="1"/>
  <c r="B204" i="18"/>
  <c r="Z203" i="18"/>
  <c r="X203" i="18"/>
  <c r="L203" i="18"/>
  <c r="N203" i="18" s="1"/>
  <c r="B203" i="18"/>
  <c r="Z202" i="18"/>
  <c r="X202" i="18"/>
  <c r="N202" i="18"/>
  <c r="L202" i="18"/>
  <c r="B202" i="18"/>
  <c r="Z201" i="18"/>
  <c r="X201" i="18"/>
  <c r="N201" i="18"/>
  <c r="L201" i="18"/>
  <c r="B201" i="18"/>
  <c r="Z200" i="18"/>
  <c r="X200" i="18"/>
  <c r="L200" i="18"/>
  <c r="N200" i="18" s="1"/>
  <c r="B200" i="18"/>
  <c r="X199" i="18"/>
  <c r="Z199" i="18" s="1"/>
  <c r="N199" i="18"/>
  <c r="L199" i="18"/>
  <c r="B199" i="18"/>
  <c r="X198" i="18"/>
  <c r="Z198" i="18" s="1"/>
  <c r="L198" i="18"/>
  <c r="N198" i="18" s="1"/>
  <c r="B198" i="18"/>
  <c r="Z197" i="18"/>
  <c r="X197" i="18"/>
  <c r="N197" i="18"/>
  <c r="L197" i="18"/>
  <c r="B197" i="18"/>
  <c r="X196" i="18"/>
  <c r="Z196" i="18" s="1"/>
  <c r="T196" i="18"/>
  <c r="P196" i="18"/>
  <c r="L196" i="18"/>
  <c r="N196" i="18" s="1"/>
  <c r="H196" i="18"/>
  <c r="D196" i="18"/>
  <c r="B196" i="18"/>
  <c r="X195" i="18"/>
  <c r="T195" i="18"/>
  <c r="Z195" i="18" s="1"/>
  <c r="P195" i="18"/>
  <c r="H195" i="18"/>
  <c r="N195" i="18" s="1"/>
  <c r="D195" i="18"/>
  <c r="L195" i="18" s="1"/>
  <c r="X191" i="18"/>
  <c r="Z191" i="18" s="1"/>
  <c r="N191" i="18"/>
  <c r="L191" i="18"/>
  <c r="B191" i="18"/>
  <c r="X190" i="18"/>
  <c r="Z190" i="18" s="1"/>
  <c r="N190" i="18"/>
  <c r="L190" i="18"/>
  <c r="B190" i="18"/>
  <c r="Z189" i="18"/>
  <c r="X189" i="18"/>
  <c r="N189" i="18"/>
  <c r="L189" i="18"/>
  <c r="B189" i="18"/>
  <c r="Z188" i="18"/>
  <c r="X188" i="18"/>
  <c r="N188" i="18"/>
  <c r="L188" i="18"/>
  <c r="B188" i="18"/>
  <c r="Z187" i="18"/>
  <c r="X187" i="18"/>
  <c r="N187" i="18"/>
  <c r="L187" i="18"/>
  <c r="B187" i="18"/>
  <c r="Z186" i="18"/>
  <c r="X186" i="18"/>
  <c r="N186" i="18"/>
  <c r="L186" i="18"/>
  <c r="B186" i="18"/>
  <c r="Z185" i="18"/>
  <c r="X185" i="18"/>
  <c r="N185" i="18"/>
  <c r="L185" i="18"/>
  <c r="B185" i="18"/>
  <c r="X184" i="18"/>
  <c r="Z184" i="18" s="1"/>
  <c r="N184" i="18"/>
  <c r="L184" i="18"/>
  <c r="B184" i="18"/>
  <c r="X183" i="18"/>
  <c r="Z183" i="18" s="1"/>
  <c r="N183" i="18"/>
  <c r="L183" i="18"/>
  <c r="B183" i="18"/>
  <c r="X182" i="18"/>
  <c r="Z182" i="18" s="1"/>
  <c r="N182" i="18"/>
  <c r="L182" i="18"/>
  <c r="B182" i="18"/>
  <c r="Z181" i="18"/>
  <c r="X181" i="18"/>
  <c r="N181" i="18"/>
  <c r="L181" i="18"/>
  <c r="B181" i="18"/>
  <c r="Z180" i="18"/>
  <c r="X180" i="18"/>
  <c r="L180" i="18"/>
  <c r="N180" i="18" s="1"/>
  <c r="B180" i="18"/>
  <c r="Z179" i="18"/>
  <c r="X179" i="18"/>
  <c r="L179" i="18"/>
  <c r="N179" i="18" s="1"/>
  <c r="B179" i="18"/>
  <c r="Z178" i="18"/>
  <c r="X178" i="18"/>
  <c r="N178" i="18"/>
  <c r="L178" i="18"/>
  <c r="B178" i="18"/>
  <c r="Z177" i="18"/>
  <c r="X177" i="18"/>
  <c r="N177" i="18"/>
  <c r="L177" i="18"/>
  <c r="B177" i="18"/>
  <c r="X176" i="18"/>
  <c r="Z176" i="18" s="1"/>
  <c r="N176" i="18"/>
  <c r="L176" i="18"/>
  <c r="B176" i="18"/>
  <c r="X175" i="18"/>
  <c r="Z175" i="18" s="1"/>
  <c r="N175" i="18"/>
  <c r="L175" i="18"/>
  <c r="B175" i="18"/>
  <c r="X174" i="18"/>
  <c r="Z174" i="18" s="1"/>
  <c r="N174" i="18"/>
  <c r="L174" i="18"/>
  <c r="B174" i="18"/>
  <c r="Z173" i="18"/>
  <c r="X173" i="18"/>
  <c r="N173" i="18"/>
  <c r="L173" i="18"/>
  <c r="B173" i="18"/>
  <c r="Z172" i="18"/>
  <c r="X172" i="18"/>
  <c r="L172" i="18"/>
  <c r="N172" i="18" s="1"/>
  <c r="B172" i="18"/>
  <c r="Z171" i="18"/>
  <c r="X171" i="18"/>
  <c r="L171" i="18"/>
  <c r="N171" i="18" s="1"/>
  <c r="B171" i="18"/>
  <c r="Z170" i="18"/>
  <c r="X170" i="18"/>
  <c r="L170" i="18"/>
  <c r="N170" i="18" s="1"/>
  <c r="B170" i="18"/>
  <c r="Z169" i="18"/>
  <c r="X169" i="18"/>
  <c r="N169" i="18"/>
  <c r="L169" i="18"/>
  <c r="B169" i="18"/>
  <c r="X168" i="18"/>
  <c r="Z168" i="18" s="1"/>
  <c r="N168" i="18"/>
  <c r="L168" i="18"/>
  <c r="B168" i="18"/>
  <c r="Z167" i="18"/>
  <c r="X167" i="18"/>
  <c r="N167" i="18"/>
  <c r="L167" i="18"/>
  <c r="B167" i="18"/>
  <c r="X166" i="18"/>
  <c r="Z166" i="18" s="1"/>
  <c r="N166" i="18"/>
  <c r="L166" i="18"/>
  <c r="B166" i="18"/>
  <c r="Z165" i="18"/>
  <c r="X165" i="18"/>
  <c r="N165" i="18"/>
  <c r="L165" i="18"/>
  <c r="B165" i="18"/>
  <c r="Z164" i="18"/>
  <c r="X164" i="18"/>
  <c r="L164" i="18"/>
  <c r="N164" i="18" s="1"/>
  <c r="B164" i="18"/>
  <c r="Z163" i="18"/>
  <c r="X163" i="18"/>
  <c r="L163" i="18"/>
  <c r="N163" i="18" s="1"/>
  <c r="B163" i="18"/>
  <c r="Z162" i="18"/>
  <c r="X162" i="18"/>
  <c r="N162" i="18"/>
  <c r="L162" i="18"/>
  <c r="B162" i="18"/>
  <c r="Z161" i="18"/>
  <c r="X161" i="18"/>
  <c r="N161" i="18"/>
  <c r="L161" i="18"/>
  <c r="B161" i="18"/>
  <c r="X160" i="18"/>
  <c r="Z160" i="18" s="1"/>
  <c r="N160" i="18"/>
  <c r="L160" i="18"/>
  <c r="B160" i="18"/>
  <c r="X159" i="18"/>
  <c r="Z159" i="18" s="1"/>
  <c r="N159" i="18"/>
  <c r="L159" i="18"/>
  <c r="B159" i="18"/>
  <c r="X158" i="18"/>
  <c r="Z158" i="18" s="1"/>
  <c r="N158" i="18"/>
  <c r="L158" i="18"/>
  <c r="B158" i="18"/>
  <c r="Z157" i="18"/>
  <c r="X157" i="18"/>
  <c r="N157" i="18"/>
  <c r="L157" i="18"/>
  <c r="B157" i="18"/>
  <c r="Z156" i="18"/>
  <c r="X156" i="18"/>
  <c r="N156" i="18"/>
  <c r="L156" i="18"/>
  <c r="B156" i="18"/>
  <c r="Z155" i="18"/>
  <c r="X155" i="18"/>
  <c r="L155" i="18"/>
  <c r="N155" i="18" s="1"/>
  <c r="B155" i="18"/>
  <c r="Z154" i="18"/>
  <c r="X154" i="18"/>
  <c r="L154" i="18"/>
  <c r="N154" i="18" s="1"/>
  <c r="B154" i="18"/>
  <c r="Z153" i="18"/>
  <c r="X153" i="18"/>
  <c r="N153" i="18"/>
  <c r="L153" i="18"/>
  <c r="B153" i="18"/>
  <c r="X152" i="18"/>
  <c r="Z152" i="18" s="1"/>
  <c r="N152" i="18"/>
  <c r="L152" i="18"/>
  <c r="B152" i="18"/>
  <c r="X151" i="18"/>
  <c r="Z151" i="18" s="1"/>
  <c r="N151" i="18"/>
  <c r="L151" i="18"/>
  <c r="B151" i="18"/>
  <c r="X150" i="18"/>
  <c r="Z150" i="18" s="1"/>
  <c r="N150" i="18"/>
  <c r="L150" i="18"/>
  <c r="B150" i="18"/>
  <c r="Z149" i="18"/>
  <c r="X149" i="18"/>
  <c r="N149" i="18"/>
  <c r="L149" i="18"/>
  <c r="B149" i="18"/>
  <c r="Z148" i="18"/>
  <c r="X148" i="18"/>
  <c r="N148" i="18"/>
  <c r="L148" i="18"/>
  <c r="B148" i="18"/>
  <c r="Z147" i="18"/>
  <c r="X147" i="18"/>
  <c r="N147" i="18"/>
  <c r="L147" i="18"/>
  <c r="B147" i="18"/>
  <c r="Z146" i="18"/>
  <c r="X146" i="18"/>
  <c r="L146" i="18"/>
  <c r="N146" i="18" s="1"/>
  <c r="B146" i="18"/>
  <c r="Z145" i="18"/>
  <c r="X145" i="18"/>
  <c r="N145" i="18"/>
  <c r="L145" i="18"/>
  <c r="B145" i="18"/>
  <c r="X144" i="18"/>
  <c r="Z144" i="18" s="1"/>
  <c r="N144" i="18"/>
  <c r="L144" i="18"/>
  <c r="B144" i="18"/>
  <c r="X143" i="18"/>
  <c r="Z143" i="18" s="1"/>
  <c r="N143" i="18"/>
  <c r="L143" i="18"/>
  <c r="B143" i="18"/>
  <c r="X142" i="18"/>
  <c r="Z142" i="18" s="1"/>
  <c r="N142" i="18"/>
  <c r="L142" i="18"/>
  <c r="B142" i="18"/>
  <c r="Z141" i="18"/>
  <c r="X141" i="18"/>
  <c r="N141" i="18"/>
  <c r="L141" i="18"/>
  <c r="B141" i="18"/>
  <c r="Z140" i="18"/>
  <c r="X140" i="18"/>
  <c r="L140" i="18"/>
  <c r="N140" i="18" s="1"/>
  <c r="B140" i="18"/>
  <c r="Z139" i="18"/>
  <c r="X139" i="18"/>
  <c r="L139" i="18"/>
  <c r="N139" i="18" s="1"/>
  <c r="B139" i="18"/>
  <c r="Z138" i="18"/>
  <c r="X138" i="18"/>
  <c r="L138" i="18"/>
  <c r="N138" i="18" s="1"/>
  <c r="B138" i="18"/>
  <c r="Z137" i="18"/>
  <c r="X137" i="18"/>
  <c r="N137" i="18"/>
  <c r="L137" i="18"/>
  <c r="B137" i="18"/>
  <c r="X136" i="18"/>
  <c r="Z136" i="18" s="1"/>
  <c r="N136" i="18"/>
  <c r="L136" i="18"/>
  <c r="B136" i="18"/>
  <c r="X135" i="18"/>
  <c r="Z135" i="18" s="1"/>
  <c r="N135" i="18"/>
  <c r="L135" i="18"/>
  <c r="B135" i="18"/>
  <c r="X134" i="18"/>
  <c r="Z134" i="18" s="1"/>
  <c r="L134" i="18"/>
  <c r="N134" i="18" s="1"/>
  <c r="B134" i="18"/>
  <c r="Z133" i="18"/>
  <c r="X133" i="18"/>
  <c r="N133" i="18"/>
  <c r="L133" i="18"/>
  <c r="B133" i="18"/>
  <c r="Z132" i="18"/>
  <c r="X132" i="18"/>
  <c r="T132" i="18"/>
  <c r="P132" i="18"/>
  <c r="L132" i="18"/>
  <c r="N132" i="18" s="1"/>
  <c r="H132" i="18"/>
  <c r="D132" i="18"/>
  <c r="T130" i="18"/>
  <c r="P130" i="18"/>
  <c r="X130" i="18" s="1"/>
  <c r="N130" i="18"/>
  <c r="L130" i="18"/>
  <c r="H130" i="18"/>
  <c r="D130" i="18"/>
  <c r="B130" i="18"/>
  <c r="T129" i="18"/>
  <c r="P129" i="18"/>
  <c r="N129" i="18"/>
  <c r="H129" i="18"/>
  <c r="L129" i="18" s="1"/>
  <c r="D129" i="18"/>
  <c r="B129" i="18"/>
  <c r="X128" i="18"/>
  <c r="Z128" i="18" s="1"/>
  <c r="T128" i="18"/>
  <c r="P128" i="18"/>
  <c r="N128" i="18"/>
  <c r="L128" i="18"/>
  <c r="H128" i="18"/>
  <c r="D128" i="18"/>
  <c r="B128" i="18"/>
  <c r="Z127" i="18"/>
  <c r="X127" i="18"/>
  <c r="T127" i="18"/>
  <c r="P127" i="18"/>
  <c r="N127" i="18"/>
  <c r="H127" i="18"/>
  <c r="D127" i="18"/>
  <c r="L127" i="18" s="1"/>
  <c r="B127" i="18"/>
  <c r="Z126" i="18"/>
  <c r="X126" i="18"/>
  <c r="T126" i="18"/>
  <c r="P126" i="18"/>
  <c r="H126" i="18"/>
  <c r="N126" i="18" s="1"/>
  <c r="D126" i="18"/>
  <c r="L126" i="18" s="1"/>
  <c r="B126" i="18"/>
  <c r="T125" i="18"/>
  <c r="X125" i="18" s="1"/>
  <c r="Z125" i="18" s="1"/>
  <c r="P125" i="18"/>
  <c r="H125" i="18"/>
  <c r="D125" i="18"/>
  <c r="B125" i="18"/>
  <c r="X124" i="18"/>
  <c r="Z124" i="18" s="1"/>
  <c r="T124" i="18"/>
  <c r="P124" i="18"/>
  <c r="L124" i="18"/>
  <c r="N124" i="18" s="1"/>
  <c r="H124" i="18"/>
  <c r="D124" i="18"/>
  <c r="B124" i="18"/>
  <c r="T123" i="18"/>
  <c r="P123" i="18"/>
  <c r="X123" i="18" s="1"/>
  <c r="Z123" i="18" s="1"/>
  <c r="N123" i="18"/>
  <c r="L123" i="18"/>
  <c r="H123" i="18"/>
  <c r="D123" i="18"/>
  <c r="B123" i="18"/>
  <c r="T122" i="18"/>
  <c r="P122" i="18"/>
  <c r="X122" i="18" s="1"/>
  <c r="N122" i="18"/>
  <c r="L122" i="18"/>
  <c r="H122" i="18"/>
  <c r="D122" i="18"/>
  <c r="B122" i="18"/>
  <c r="X121" i="18"/>
  <c r="T121" i="18"/>
  <c r="P121" i="18"/>
  <c r="N121" i="18"/>
  <c r="H121" i="18"/>
  <c r="L121" i="18" s="1"/>
  <c r="D121" i="18"/>
  <c r="B121" i="18"/>
  <c r="Z120" i="18"/>
  <c r="X120" i="18"/>
  <c r="T120" i="18"/>
  <c r="P120" i="18"/>
  <c r="N120" i="18"/>
  <c r="L120" i="18"/>
  <c r="H120" i="18"/>
  <c r="D120" i="18"/>
  <c r="B120" i="18"/>
  <c r="Z119" i="18"/>
  <c r="X119" i="18"/>
  <c r="T119" i="18"/>
  <c r="P119" i="18"/>
  <c r="H119" i="18"/>
  <c r="D119" i="18"/>
  <c r="L119" i="18" s="1"/>
  <c r="N119" i="18" s="1"/>
  <c r="B119" i="18"/>
  <c r="Z118" i="18"/>
  <c r="X118" i="18"/>
  <c r="T118" i="18"/>
  <c r="P118" i="18"/>
  <c r="H118" i="18"/>
  <c r="N118" i="18" s="1"/>
  <c r="D118" i="18"/>
  <c r="B118" i="18"/>
  <c r="T117" i="18"/>
  <c r="X117" i="18" s="1"/>
  <c r="Z117" i="18" s="1"/>
  <c r="P117" i="18"/>
  <c r="L117" i="18"/>
  <c r="H117" i="18"/>
  <c r="D117" i="18"/>
  <c r="B117" i="18"/>
  <c r="X116" i="18"/>
  <c r="Z116" i="18" s="1"/>
  <c r="T116" i="18"/>
  <c r="P116" i="18"/>
  <c r="N116" i="18"/>
  <c r="L116" i="18"/>
  <c r="H116" i="18"/>
  <c r="D116" i="18"/>
  <c r="B116" i="18"/>
  <c r="T115" i="18"/>
  <c r="P115" i="18"/>
  <c r="X115" i="18" s="1"/>
  <c r="Z115" i="18" s="1"/>
  <c r="N115" i="18"/>
  <c r="L115" i="18"/>
  <c r="H115" i="18"/>
  <c r="D115" i="18"/>
  <c r="B115" i="18"/>
  <c r="T114" i="18"/>
  <c r="P114" i="18"/>
  <c r="N114" i="18"/>
  <c r="L114" i="18"/>
  <c r="H114" i="18"/>
  <c r="D114" i="18"/>
  <c r="B114" i="18"/>
  <c r="T113" i="18"/>
  <c r="P113" i="18"/>
  <c r="H113" i="18"/>
  <c r="L113" i="18" s="1"/>
  <c r="N113" i="18" s="1"/>
  <c r="D113" i="18"/>
  <c r="B113" i="18"/>
  <c r="Z112" i="18"/>
  <c r="X112" i="18"/>
  <c r="T112" i="18"/>
  <c r="P112" i="18"/>
  <c r="N112" i="18"/>
  <c r="L112" i="18"/>
  <c r="H112" i="18"/>
  <c r="D112" i="18"/>
  <c r="B112" i="18"/>
  <c r="Z111" i="18"/>
  <c r="X111" i="18"/>
  <c r="T111" i="18"/>
  <c r="P111" i="18"/>
  <c r="H111" i="18"/>
  <c r="D111" i="18"/>
  <c r="L111" i="18" s="1"/>
  <c r="N111" i="18" s="1"/>
  <c r="B111" i="18"/>
  <c r="Z110" i="18"/>
  <c r="X110" i="18"/>
  <c r="T110" i="18"/>
  <c r="P110" i="18"/>
  <c r="H110" i="18"/>
  <c r="N110" i="18" s="1"/>
  <c r="D110" i="18"/>
  <c r="B110" i="18"/>
  <c r="T109" i="18"/>
  <c r="X109" i="18" s="1"/>
  <c r="Z109" i="18" s="1"/>
  <c r="P109" i="18"/>
  <c r="H109" i="18"/>
  <c r="N109" i="18" s="1"/>
  <c r="D109" i="18"/>
  <c r="L109" i="18" s="1"/>
  <c r="B109" i="18"/>
  <c r="X108" i="18"/>
  <c r="Z108" i="18" s="1"/>
  <c r="T108" i="18"/>
  <c r="P108" i="18"/>
  <c r="N108" i="18"/>
  <c r="H108" i="18"/>
  <c r="L108" i="18" s="1"/>
  <c r="D108" i="18"/>
  <c r="B108" i="18"/>
  <c r="T107" i="18"/>
  <c r="P107" i="18"/>
  <c r="X107" i="18" s="1"/>
  <c r="Z107" i="18" s="1"/>
  <c r="N107" i="18"/>
  <c r="L107" i="18"/>
  <c r="H107" i="18"/>
  <c r="D107" i="18"/>
  <c r="B107" i="18"/>
  <c r="T106" i="18"/>
  <c r="P106" i="18"/>
  <c r="N106" i="18"/>
  <c r="L106" i="18"/>
  <c r="H106" i="18"/>
  <c r="D106" i="18"/>
  <c r="B106" i="18"/>
  <c r="T105" i="18"/>
  <c r="P105" i="18"/>
  <c r="H105" i="18"/>
  <c r="L105" i="18" s="1"/>
  <c r="N105" i="18" s="1"/>
  <c r="D105" i="18"/>
  <c r="B105" i="18"/>
  <c r="T104" i="18"/>
  <c r="P104" i="18"/>
  <c r="L104" i="18"/>
  <c r="N104" i="18" s="1"/>
  <c r="H104" i="18"/>
  <c r="D104" i="18"/>
  <c r="B104" i="18"/>
  <c r="X103" i="18"/>
  <c r="Z103" i="18" s="1"/>
  <c r="T103" i="18"/>
  <c r="P103" i="18"/>
  <c r="H103" i="18"/>
  <c r="D103" i="18"/>
  <c r="L103" i="18" s="1"/>
  <c r="N103" i="18" s="1"/>
  <c r="B103" i="18"/>
  <c r="Z102" i="18"/>
  <c r="X102" i="18"/>
  <c r="T102" i="18"/>
  <c r="P102" i="18"/>
  <c r="H102" i="18"/>
  <c r="N102" i="18" s="1"/>
  <c r="D102" i="18"/>
  <c r="B102" i="18"/>
  <c r="T101" i="18"/>
  <c r="X101" i="18" s="1"/>
  <c r="Z101" i="18" s="1"/>
  <c r="P101" i="18"/>
  <c r="H101" i="18"/>
  <c r="D101" i="18"/>
  <c r="L101" i="18" s="1"/>
  <c r="B101" i="18"/>
  <c r="X100" i="18"/>
  <c r="Z100" i="18" s="1"/>
  <c r="T100" i="18"/>
  <c r="P100" i="18"/>
  <c r="H100" i="18"/>
  <c r="D100" i="18"/>
  <c r="L100" i="18" s="1"/>
  <c r="N100" i="18" s="1"/>
  <c r="B100" i="18"/>
  <c r="T99" i="18"/>
  <c r="P99" i="18"/>
  <c r="X99" i="18" s="1"/>
  <c r="Z99" i="18" s="1"/>
  <c r="N99" i="18"/>
  <c r="L99" i="18"/>
  <c r="H99" i="18"/>
  <c r="D99" i="18"/>
  <c r="B99" i="18"/>
  <c r="T98" i="18"/>
  <c r="P98" i="18"/>
  <c r="L98" i="18"/>
  <c r="N98" i="18" s="1"/>
  <c r="H98" i="18"/>
  <c r="D98" i="18"/>
  <c r="B98" i="18"/>
  <c r="T97" i="18"/>
  <c r="P97" i="18"/>
  <c r="N97" i="18"/>
  <c r="H97" i="18"/>
  <c r="D97" i="18"/>
  <c r="L97" i="18" s="1"/>
  <c r="B97" i="18"/>
  <c r="T96" i="18"/>
  <c r="P96" i="18"/>
  <c r="N96" i="18"/>
  <c r="L96" i="18"/>
  <c r="H96" i="18"/>
  <c r="D96" i="18"/>
  <c r="B96" i="18"/>
  <c r="X95" i="18"/>
  <c r="Z95" i="18" s="1"/>
  <c r="T95" i="18"/>
  <c r="P95" i="18"/>
  <c r="H95" i="18"/>
  <c r="D95" i="18"/>
  <c r="L95" i="18" s="1"/>
  <c r="N95" i="18" s="1"/>
  <c r="B95" i="18"/>
  <c r="X94" i="18"/>
  <c r="Z94" i="18" s="1"/>
  <c r="T94" i="18"/>
  <c r="P94" i="18"/>
  <c r="H94" i="18"/>
  <c r="N94" i="18" s="1"/>
  <c r="D94" i="18"/>
  <c r="L94" i="18" s="1"/>
  <c r="B94" i="18"/>
  <c r="T93" i="18"/>
  <c r="P93" i="18"/>
  <c r="X93" i="18" s="1"/>
  <c r="Z93" i="18" s="1"/>
  <c r="H93" i="18"/>
  <c r="N93" i="18" s="1"/>
  <c r="D93" i="18"/>
  <c r="L93" i="18" s="1"/>
  <c r="B93" i="18"/>
  <c r="X92" i="18"/>
  <c r="Z92" i="18" s="1"/>
  <c r="T92" i="18"/>
  <c r="P92" i="18"/>
  <c r="N92" i="18"/>
  <c r="H92" i="18"/>
  <c r="D92" i="18"/>
  <c r="L92" i="18" s="1"/>
  <c r="B92" i="18"/>
  <c r="T91" i="18"/>
  <c r="P91" i="18"/>
  <c r="X91" i="18" s="1"/>
  <c r="Z91" i="18" s="1"/>
  <c r="L91" i="18"/>
  <c r="H91" i="18"/>
  <c r="N91" i="18" s="1"/>
  <c r="D91" i="18"/>
  <c r="B91" i="18"/>
  <c r="T90" i="18"/>
  <c r="P90" i="18"/>
  <c r="N90" i="18"/>
  <c r="L90" i="18"/>
  <c r="H90" i="18"/>
  <c r="D90" i="18"/>
  <c r="B90" i="18"/>
  <c r="T89" i="18"/>
  <c r="P89" i="18"/>
  <c r="X89" i="18" s="1"/>
  <c r="H89" i="18"/>
  <c r="L89" i="18" s="1"/>
  <c r="N89" i="18" s="1"/>
  <c r="D89" i="18"/>
  <c r="B89" i="18"/>
  <c r="T88" i="18"/>
  <c r="P88" i="18"/>
  <c r="X88" i="18" s="1"/>
  <c r="N88" i="18"/>
  <c r="L88" i="18"/>
  <c r="H88" i="18"/>
  <c r="D88" i="18"/>
  <c r="B88" i="18"/>
  <c r="X87" i="18"/>
  <c r="T87" i="18"/>
  <c r="Z87" i="18" s="1"/>
  <c r="P87" i="18"/>
  <c r="N87" i="18"/>
  <c r="H87" i="18"/>
  <c r="D87" i="18"/>
  <c r="L87" i="18" s="1"/>
  <c r="B87" i="18"/>
  <c r="X86" i="18"/>
  <c r="Z86" i="18" s="1"/>
  <c r="T86" i="18"/>
  <c r="P86" i="18"/>
  <c r="H86" i="18"/>
  <c r="D86" i="18"/>
  <c r="L86" i="18" s="1"/>
  <c r="B86" i="18"/>
  <c r="T85" i="18"/>
  <c r="X85" i="18" s="1"/>
  <c r="Z85" i="18" s="1"/>
  <c r="P85" i="18"/>
  <c r="L85" i="18"/>
  <c r="H85" i="18"/>
  <c r="N85" i="18" s="1"/>
  <c r="D85" i="18"/>
  <c r="B85" i="18"/>
  <c r="X84" i="18"/>
  <c r="T84" i="18"/>
  <c r="Z84" i="18" s="1"/>
  <c r="P84" i="18"/>
  <c r="N84" i="18"/>
  <c r="L84" i="18"/>
  <c r="H84" i="18"/>
  <c r="D84" i="18"/>
  <c r="B84" i="18"/>
  <c r="T83" i="18"/>
  <c r="P83" i="18"/>
  <c r="X83" i="18" s="1"/>
  <c r="Z83" i="18" s="1"/>
  <c r="L83" i="18"/>
  <c r="H83" i="18"/>
  <c r="N83" i="18" s="1"/>
  <c r="D83" i="18"/>
  <c r="B83" i="18"/>
  <c r="T82" i="18"/>
  <c r="P82" i="18"/>
  <c r="H82" i="18"/>
  <c r="D82" i="18"/>
  <c r="L82" i="18" s="1"/>
  <c r="N82" i="18" s="1"/>
  <c r="B82" i="18"/>
  <c r="T81" i="18"/>
  <c r="P81" i="18"/>
  <c r="X81" i="18" s="1"/>
  <c r="H81" i="18"/>
  <c r="L81" i="18" s="1"/>
  <c r="D81" i="18"/>
  <c r="B81" i="18"/>
  <c r="T80" i="18"/>
  <c r="P80" i="18"/>
  <c r="X80" i="18" s="1"/>
  <c r="N80" i="18"/>
  <c r="L80" i="18"/>
  <c r="H80" i="18"/>
  <c r="D80" i="18"/>
  <c r="B80" i="18"/>
  <c r="X79" i="18"/>
  <c r="T79" i="18"/>
  <c r="Z79" i="18" s="1"/>
  <c r="P79" i="18"/>
  <c r="N79" i="18"/>
  <c r="H79" i="18"/>
  <c r="D79" i="18"/>
  <c r="L79" i="18" s="1"/>
  <c r="B79" i="18"/>
  <c r="X78" i="18"/>
  <c r="Z78" i="18" s="1"/>
  <c r="T78" i="18"/>
  <c r="P78" i="18"/>
  <c r="H78" i="18"/>
  <c r="D78" i="18"/>
  <c r="L78" i="18" s="1"/>
  <c r="B78" i="18"/>
  <c r="T77" i="18"/>
  <c r="X77" i="18" s="1"/>
  <c r="P77" i="18"/>
  <c r="H77" i="18"/>
  <c r="D77" i="18"/>
  <c r="L77" i="18" s="1"/>
  <c r="B77" i="18"/>
  <c r="X76" i="18"/>
  <c r="Z76" i="18" s="1"/>
  <c r="T76" i="18"/>
  <c r="P76" i="18"/>
  <c r="N76" i="18"/>
  <c r="H76" i="18"/>
  <c r="D76" i="18"/>
  <c r="L76" i="18" s="1"/>
  <c r="B76" i="18"/>
  <c r="Z75" i="18"/>
  <c r="T75" i="18"/>
  <c r="P75" i="18"/>
  <c r="X75" i="18" s="1"/>
  <c r="N75" i="18"/>
  <c r="H75" i="18"/>
  <c r="D75" i="18"/>
  <c r="L75" i="18" s="1"/>
  <c r="B75" i="18"/>
  <c r="Z74" i="18"/>
  <c r="T74" i="18"/>
  <c r="P74" i="18"/>
  <c r="X74" i="18" s="1"/>
  <c r="H74" i="18"/>
  <c r="D74" i="18"/>
  <c r="L74" i="18" s="1"/>
  <c r="N74" i="18" s="1"/>
  <c r="B74" i="18"/>
  <c r="T73" i="18"/>
  <c r="P73" i="18"/>
  <c r="X73" i="18" s="1"/>
  <c r="Z73" i="18" s="1"/>
  <c r="H73" i="18"/>
  <c r="N73" i="18" s="1"/>
  <c r="D73" i="18"/>
  <c r="L73" i="18" s="1"/>
  <c r="B73" i="18"/>
  <c r="T72" i="18"/>
  <c r="P72" i="18"/>
  <c r="X72" i="18" s="1"/>
  <c r="H72" i="18"/>
  <c r="N72" i="18" s="1"/>
  <c r="D72" i="18"/>
  <c r="L72" i="18" s="1"/>
  <c r="B72" i="18"/>
  <c r="X71" i="18"/>
  <c r="T71" i="18"/>
  <c r="Z71" i="18" s="1"/>
  <c r="P71" i="18"/>
  <c r="L71" i="18"/>
  <c r="H71" i="18"/>
  <c r="N71" i="18" s="1"/>
  <c r="D71" i="18"/>
  <c r="B71" i="18"/>
  <c r="T70" i="18"/>
  <c r="P70" i="18"/>
  <c r="X70" i="18" s="1"/>
  <c r="Z70" i="18" s="1"/>
  <c r="N70" i="18"/>
  <c r="L70" i="18"/>
  <c r="H70" i="18"/>
  <c r="D70" i="18"/>
  <c r="B70" i="18"/>
  <c r="T69" i="18"/>
  <c r="P69" i="18"/>
  <c r="X69" i="18" s="1"/>
  <c r="H69" i="18"/>
  <c r="D69" i="18"/>
  <c r="L69" i="18" s="1"/>
  <c r="N69" i="18" s="1"/>
  <c r="B69" i="18"/>
  <c r="T68" i="18"/>
  <c r="P68" i="18"/>
  <c r="X68" i="18" s="1"/>
  <c r="H68" i="18"/>
  <c r="N68" i="18" s="1"/>
  <c r="D68" i="18"/>
  <c r="L68" i="18" s="1"/>
  <c r="B68" i="18"/>
  <c r="X67" i="18"/>
  <c r="T67" i="18"/>
  <c r="Z67" i="18" s="1"/>
  <c r="P67" i="18"/>
  <c r="N67" i="18"/>
  <c r="L67" i="18"/>
  <c r="H67" i="18"/>
  <c r="D67" i="18"/>
  <c r="B67" i="18"/>
  <c r="Z66" i="18"/>
  <c r="X66" i="18"/>
  <c r="T66" i="18"/>
  <c r="P66" i="18"/>
  <c r="N66" i="18"/>
  <c r="H66" i="18"/>
  <c r="D66" i="18"/>
  <c r="L66" i="18" s="1"/>
  <c r="B66" i="18"/>
  <c r="T65" i="18"/>
  <c r="P65" i="18"/>
  <c r="X65" i="18" s="1"/>
  <c r="Z65" i="18" s="1"/>
  <c r="H65" i="18"/>
  <c r="N65" i="18" s="1"/>
  <c r="D65" i="18"/>
  <c r="L65" i="18" s="1"/>
  <c r="B65" i="18"/>
  <c r="T64" i="18"/>
  <c r="P64" i="18"/>
  <c r="H64" i="18"/>
  <c r="N64" i="18" s="1"/>
  <c r="D64" i="18"/>
  <c r="L64" i="18" s="1"/>
  <c r="B64" i="18"/>
  <c r="X63" i="18"/>
  <c r="T63" i="18"/>
  <c r="Z63" i="18" s="1"/>
  <c r="P63" i="18"/>
  <c r="L63" i="18"/>
  <c r="H63" i="18"/>
  <c r="N63" i="18" s="1"/>
  <c r="D63" i="18"/>
  <c r="B63" i="18"/>
  <c r="T62" i="18"/>
  <c r="P62" i="18"/>
  <c r="X62" i="18" s="1"/>
  <c r="Z62" i="18" s="1"/>
  <c r="N62" i="18"/>
  <c r="L62" i="18"/>
  <c r="H62" i="18"/>
  <c r="D62" i="18"/>
  <c r="B62" i="18"/>
  <c r="T61" i="18"/>
  <c r="Z61" i="18" s="1"/>
  <c r="P61" i="18"/>
  <c r="X61" i="18" s="1"/>
  <c r="H61" i="18"/>
  <c r="D61" i="18"/>
  <c r="L61" i="18" s="1"/>
  <c r="N61" i="18" s="1"/>
  <c r="B61" i="18"/>
  <c r="T60" i="18"/>
  <c r="P60" i="18"/>
  <c r="X60" i="18" s="1"/>
  <c r="H60" i="18"/>
  <c r="D60" i="18"/>
  <c r="B60" i="18"/>
  <c r="X59" i="18"/>
  <c r="T59" i="18"/>
  <c r="Z59" i="18" s="1"/>
  <c r="P59" i="18"/>
  <c r="L59" i="18"/>
  <c r="N59" i="18" s="1"/>
  <c r="H59" i="18"/>
  <c r="D59" i="18"/>
  <c r="B59" i="18"/>
  <c r="Z58" i="18"/>
  <c r="X58" i="18"/>
  <c r="T58" i="18"/>
  <c r="P58" i="18"/>
  <c r="H58" i="18"/>
  <c r="D58" i="18"/>
  <c r="L58" i="18" s="1"/>
  <c r="N58" i="18" s="1"/>
  <c r="B58" i="18"/>
  <c r="T57" i="18"/>
  <c r="P57" i="18"/>
  <c r="X57" i="18" s="1"/>
  <c r="Z57" i="18" s="1"/>
  <c r="H57" i="18"/>
  <c r="N57" i="18" s="1"/>
  <c r="D57" i="18"/>
  <c r="L57" i="18" s="1"/>
  <c r="B57" i="18"/>
  <c r="T56" i="18"/>
  <c r="P56" i="18"/>
  <c r="H56" i="18"/>
  <c r="N56" i="18" s="1"/>
  <c r="D56" i="18"/>
  <c r="L56" i="18" s="1"/>
  <c r="B56" i="18"/>
  <c r="X55" i="18"/>
  <c r="Z55" i="18" s="1"/>
  <c r="T55" i="18"/>
  <c r="P55" i="18"/>
  <c r="L55" i="18"/>
  <c r="H55" i="18"/>
  <c r="N55" i="18" s="1"/>
  <c r="D55" i="18"/>
  <c r="B55" i="18"/>
  <c r="T54" i="18"/>
  <c r="P54" i="18"/>
  <c r="X54" i="18" s="1"/>
  <c r="Z54" i="18" s="1"/>
  <c r="N54" i="18"/>
  <c r="L54" i="18"/>
  <c r="H54" i="18"/>
  <c r="D54" i="18"/>
  <c r="B54" i="18"/>
  <c r="T53" i="18"/>
  <c r="Z53" i="18" s="1"/>
  <c r="P53" i="18"/>
  <c r="X53" i="18" s="1"/>
  <c r="N53" i="18"/>
  <c r="H53" i="18"/>
  <c r="D53" i="18"/>
  <c r="L53" i="18" s="1"/>
  <c r="B53" i="18"/>
  <c r="T52" i="18"/>
  <c r="Z52" i="18" s="1"/>
  <c r="P52" i="18"/>
  <c r="X52" i="18" s="1"/>
  <c r="H52" i="18"/>
  <c r="D52" i="18"/>
  <c r="B52" i="18"/>
  <c r="X51" i="18"/>
  <c r="T51" i="18"/>
  <c r="Z51" i="18" s="1"/>
  <c r="P51" i="18"/>
  <c r="L51" i="18"/>
  <c r="N51" i="18" s="1"/>
  <c r="H51" i="18"/>
  <c r="D51" i="18"/>
  <c r="B51" i="18"/>
  <c r="Z50" i="18"/>
  <c r="X50" i="18"/>
  <c r="T50" i="18"/>
  <c r="P50" i="18"/>
  <c r="H50" i="18"/>
  <c r="D50" i="18"/>
  <c r="L50" i="18" s="1"/>
  <c r="N50" i="18" s="1"/>
  <c r="B50" i="18"/>
  <c r="T49" i="18"/>
  <c r="P49" i="18"/>
  <c r="X49" i="18" s="1"/>
  <c r="Z49" i="18" s="1"/>
  <c r="H49" i="18"/>
  <c r="N49" i="18" s="1"/>
  <c r="D49" i="18"/>
  <c r="L49" i="18" s="1"/>
  <c r="B49" i="18"/>
  <c r="T48" i="18"/>
  <c r="P48" i="18"/>
  <c r="H48" i="18"/>
  <c r="N48" i="18" s="1"/>
  <c r="D48" i="18"/>
  <c r="L48" i="18" s="1"/>
  <c r="B48" i="18"/>
  <c r="X47" i="18"/>
  <c r="Z47" i="18" s="1"/>
  <c r="T47" i="18"/>
  <c r="P47" i="18"/>
  <c r="L47" i="18"/>
  <c r="H47" i="18"/>
  <c r="N47" i="18" s="1"/>
  <c r="D47" i="18"/>
  <c r="B47" i="18"/>
  <c r="T46" i="18"/>
  <c r="P46" i="18"/>
  <c r="X46" i="18" s="1"/>
  <c r="Z46" i="18" s="1"/>
  <c r="N46" i="18"/>
  <c r="L46" i="18"/>
  <c r="H46" i="18"/>
  <c r="D46" i="18"/>
  <c r="B46" i="18"/>
  <c r="T45" i="18"/>
  <c r="Z45" i="18" s="1"/>
  <c r="P45" i="18"/>
  <c r="X45" i="18" s="1"/>
  <c r="N45" i="18"/>
  <c r="H45" i="18"/>
  <c r="D45" i="18"/>
  <c r="L45" i="18" s="1"/>
  <c r="B45" i="18"/>
  <c r="T44" i="18"/>
  <c r="P44" i="18"/>
  <c r="X44" i="18" s="1"/>
  <c r="H44" i="18"/>
  <c r="N44" i="18" s="1"/>
  <c r="D44" i="18"/>
  <c r="B44" i="18"/>
  <c r="X43" i="18"/>
  <c r="T43" i="18"/>
  <c r="Z43" i="18" s="1"/>
  <c r="P43" i="18"/>
  <c r="N43" i="18"/>
  <c r="L43" i="18"/>
  <c r="H43" i="18"/>
  <c r="D43" i="18"/>
  <c r="B43" i="18"/>
  <c r="Z42" i="18"/>
  <c r="X42" i="18"/>
  <c r="T42" i="18"/>
  <c r="P42" i="18"/>
  <c r="H42" i="18"/>
  <c r="D42" i="18"/>
  <c r="L42" i="18" s="1"/>
  <c r="N42" i="18" s="1"/>
  <c r="B42" i="18"/>
  <c r="T41" i="18"/>
  <c r="P41" i="18"/>
  <c r="X41" i="18" s="1"/>
  <c r="Z41" i="18" s="1"/>
  <c r="H41" i="18"/>
  <c r="D41" i="18"/>
  <c r="L41" i="18" s="1"/>
  <c r="B41" i="18"/>
  <c r="X40" i="18"/>
  <c r="T40" i="18"/>
  <c r="Z40" i="18" s="1"/>
  <c r="P40" i="18"/>
  <c r="H40" i="18"/>
  <c r="N40" i="18" s="1"/>
  <c r="D40" i="18"/>
  <c r="L40" i="18" s="1"/>
  <c r="B40" i="18"/>
  <c r="Z39" i="18"/>
  <c r="X39" i="18"/>
  <c r="T39" i="18"/>
  <c r="P39" i="18"/>
  <c r="L39" i="18"/>
  <c r="H39" i="18"/>
  <c r="N39" i="18" s="1"/>
  <c r="D39" i="18"/>
  <c r="B39" i="18"/>
  <c r="T38" i="18"/>
  <c r="P38" i="18"/>
  <c r="X38" i="18" s="1"/>
  <c r="Z38" i="18" s="1"/>
  <c r="N38" i="18"/>
  <c r="L38" i="18"/>
  <c r="H38" i="18"/>
  <c r="D38" i="18"/>
  <c r="B38" i="18"/>
  <c r="T37" i="18"/>
  <c r="P37" i="18"/>
  <c r="X37" i="18" s="1"/>
  <c r="H37" i="18"/>
  <c r="D37" i="18"/>
  <c r="L37" i="18" s="1"/>
  <c r="N37" i="18" s="1"/>
  <c r="B37" i="18"/>
  <c r="T36" i="18"/>
  <c r="Z36" i="18" s="1"/>
  <c r="P36" i="18"/>
  <c r="X36" i="18" s="1"/>
  <c r="L36" i="18"/>
  <c r="H36" i="18"/>
  <c r="N36" i="18" s="1"/>
  <c r="D36" i="18"/>
  <c r="B36" i="18"/>
  <c r="X35" i="18"/>
  <c r="T35" i="18"/>
  <c r="Z35" i="18" s="1"/>
  <c r="P35" i="18"/>
  <c r="N35" i="18"/>
  <c r="L35" i="18"/>
  <c r="H35" i="18"/>
  <c r="D35" i="18"/>
  <c r="B35" i="18"/>
  <c r="Z34" i="18"/>
  <c r="X34" i="18"/>
  <c r="T34" i="18"/>
  <c r="P34" i="18"/>
  <c r="H34" i="18"/>
  <c r="D34" i="18"/>
  <c r="L34" i="18" s="1"/>
  <c r="N34" i="18" s="1"/>
  <c r="B34" i="18"/>
  <c r="T33" i="18"/>
  <c r="P33" i="18"/>
  <c r="X33" i="18" s="1"/>
  <c r="Z33" i="18" s="1"/>
  <c r="H33" i="18"/>
  <c r="N33" i="18" s="1"/>
  <c r="D33" i="18"/>
  <c r="L33" i="18" s="1"/>
  <c r="B33" i="18"/>
  <c r="X32" i="18"/>
  <c r="T32" i="18"/>
  <c r="Z32" i="18" s="1"/>
  <c r="P32" i="18"/>
  <c r="H32" i="18"/>
  <c r="N32" i="18" s="1"/>
  <c r="D32" i="18"/>
  <c r="L32" i="18" s="1"/>
  <c r="B32" i="18"/>
  <c r="Z31" i="18"/>
  <c r="X31" i="18"/>
  <c r="T31" i="18"/>
  <c r="P31" i="18"/>
  <c r="L31" i="18"/>
  <c r="H31" i="18"/>
  <c r="N31" i="18" s="1"/>
  <c r="D31" i="18"/>
  <c r="B31" i="18"/>
  <c r="T30" i="18"/>
  <c r="P30" i="18"/>
  <c r="X30" i="18" s="1"/>
  <c r="Z30" i="18" s="1"/>
  <c r="N30" i="18"/>
  <c r="L30" i="18"/>
  <c r="H30" i="18"/>
  <c r="D30" i="18"/>
  <c r="B30" i="18"/>
  <c r="T29" i="18"/>
  <c r="Z29" i="18" s="1"/>
  <c r="P29" i="18"/>
  <c r="X29" i="18" s="1"/>
  <c r="N29" i="18"/>
  <c r="H29" i="18"/>
  <c r="D29" i="18"/>
  <c r="L29" i="18" s="1"/>
  <c r="B29" i="18"/>
  <c r="T28" i="18"/>
  <c r="P28" i="18"/>
  <c r="X28" i="18" s="1"/>
  <c r="L28" i="18"/>
  <c r="H28" i="18"/>
  <c r="N28" i="18" s="1"/>
  <c r="D28" i="18"/>
  <c r="B28" i="18"/>
  <c r="X27" i="18"/>
  <c r="T27" i="18"/>
  <c r="Z27" i="18" s="1"/>
  <c r="P27" i="18"/>
  <c r="N27" i="18"/>
  <c r="L27" i="18"/>
  <c r="H27" i="18"/>
  <c r="D27" i="18"/>
  <c r="B27" i="18"/>
  <c r="Z26" i="18"/>
  <c r="X26" i="18"/>
  <c r="T26" i="18"/>
  <c r="P26" i="18"/>
  <c r="H26" i="18"/>
  <c r="D26" i="18"/>
  <c r="L26" i="18" s="1"/>
  <c r="N26" i="18" s="1"/>
  <c r="B26" i="18"/>
  <c r="T25" i="18"/>
  <c r="P25" i="18"/>
  <c r="X25" i="18" s="1"/>
  <c r="Z25" i="18" s="1"/>
  <c r="H25" i="18"/>
  <c r="D25" i="18"/>
  <c r="L25" i="18" s="1"/>
  <c r="B25" i="18"/>
  <c r="T24" i="18"/>
  <c r="P24" i="18"/>
  <c r="H24" i="18"/>
  <c r="D24" i="18"/>
  <c r="L24" i="18" s="1"/>
  <c r="B24" i="18"/>
  <c r="X23" i="18"/>
  <c r="Z23" i="18" s="1"/>
  <c r="T23" i="18"/>
  <c r="P23" i="18"/>
  <c r="L23" i="18"/>
  <c r="H23" i="18"/>
  <c r="N23" i="18" s="1"/>
  <c r="D23" i="18"/>
  <c r="B23" i="18"/>
  <c r="T22" i="18"/>
  <c r="P22" i="18"/>
  <c r="X22" i="18" s="1"/>
  <c r="Z22" i="18" s="1"/>
  <c r="N22" i="18"/>
  <c r="L22" i="18"/>
  <c r="H22" i="18"/>
  <c r="D22" i="18"/>
  <c r="B22" i="18"/>
  <c r="T21" i="18"/>
  <c r="Z21" i="18" s="1"/>
  <c r="P21" i="18"/>
  <c r="X21" i="18" s="1"/>
  <c r="N21" i="18"/>
  <c r="H21" i="18"/>
  <c r="D21" i="18"/>
  <c r="L21" i="18" s="1"/>
  <c r="B21" i="18"/>
  <c r="T20" i="18"/>
  <c r="Z20" i="18" s="1"/>
  <c r="P20" i="18"/>
  <c r="X20" i="18" s="1"/>
  <c r="H20" i="18"/>
  <c r="D20" i="18"/>
  <c r="B20" i="18"/>
  <c r="X19" i="18"/>
  <c r="T19" i="18"/>
  <c r="Z19" i="18" s="1"/>
  <c r="P19" i="18"/>
  <c r="L19" i="18"/>
  <c r="N19" i="18" s="1"/>
  <c r="H19" i="18"/>
  <c r="D19" i="18"/>
  <c r="B19" i="18"/>
  <c r="Z18" i="18"/>
  <c r="X18" i="18"/>
  <c r="T18" i="18"/>
  <c r="P18" i="18"/>
  <c r="N18" i="18"/>
  <c r="H18" i="18"/>
  <c r="D18" i="18"/>
  <c r="L18" i="18" s="1"/>
  <c r="B18" i="18"/>
  <c r="T17" i="18"/>
  <c r="P17" i="18"/>
  <c r="X17" i="18" s="1"/>
  <c r="Z17" i="18" s="1"/>
  <c r="H17" i="18"/>
  <c r="N17" i="18" s="1"/>
  <c r="D17" i="18"/>
  <c r="L17" i="18" s="1"/>
  <c r="B17" i="18"/>
  <c r="T16" i="18"/>
  <c r="P16" i="18"/>
  <c r="H16" i="18"/>
  <c r="D16" i="18"/>
  <c r="L16" i="18" s="1"/>
  <c r="B16" i="18"/>
  <c r="X15" i="18"/>
  <c r="Z15" i="18" s="1"/>
  <c r="T15" i="18"/>
  <c r="P15" i="18"/>
  <c r="L15" i="18"/>
  <c r="H15" i="18"/>
  <c r="H12" i="18" s="1"/>
  <c r="D15" i="18"/>
  <c r="B15" i="18"/>
  <c r="T14" i="18"/>
  <c r="P14" i="18"/>
  <c r="X14" i="18" s="1"/>
  <c r="Z14" i="18" s="1"/>
  <c r="N14" i="18"/>
  <c r="L14" i="18"/>
  <c r="H14" i="18"/>
  <c r="D14" i="18"/>
  <c r="B14" i="18"/>
  <c r="T13" i="18"/>
  <c r="Z13" i="18" s="1"/>
  <c r="P13" i="18"/>
  <c r="P12" i="18" s="1"/>
  <c r="N13" i="18"/>
  <c r="H13" i="18"/>
  <c r="D13" i="18"/>
  <c r="L13" i="18" s="1"/>
  <c r="B13" i="18"/>
  <c r="T12" i="18"/>
  <c r="D4" i="18"/>
  <c r="B39" i="17"/>
  <c r="B38" i="17"/>
  <c r="T34" i="17"/>
  <c r="Z34" i="17" s="1"/>
  <c r="P34" i="17"/>
  <c r="H34" i="17"/>
  <c r="N34" i="17" s="1"/>
  <c r="D34" i="17"/>
  <c r="T33" i="17"/>
  <c r="Z33" i="17" s="1"/>
  <c r="P33" i="17"/>
  <c r="H33" i="17"/>
  <c r="N33" i="17" s="1"/>
  <c r="D33" i="17"/>
  <c r="T29" i="17"/>
  <c r="Z29" i="17" s="1"/>
  <c r="P29" i="17"/>
  <c r="H29" i="17"/>
  <c r="N29" i="17" s="1"/>
  <c r="D29" i="17"/>
  <c r="T25" i="17"/>
  <c r="Z25" i="17" s="1"/>
  <c r="P25" i="17"/>
  <c r="H25" i="17"/>
  <c r="N25" i="17" s="1"/>
  <c r="D25" i="17"/>
  <c r="B25" i="17"/>
  <c r="T24" i="17"/>
  <c r="Z24" i="17" s="1"/>
  <c r="P24" i="17"/>
  <c r="H24" i="17"/>
  <c r="N24" i="17" s="1"/>
  <c r="D24" i="17"/>
  <c r="T22" i="17"/>
  <c r="Z22" i="17" s="1"/>
  <c r="P22" i="17"/>
  <c r="H22" i="17"/>
  <c r="N22" i="17" s="1"/>
  <c r="D22" i="17"/>
  <c r="B22" i="17"/>
  <c r="T21" i="17"/>
  <c r="Z21" i="17" s="1"/>
  <c r="P21" i="17"/>
  <c r="H21" i="17"/>
  <c r="N21" i="17" s="1"/>
  <c r="D21" i="17"/>
  <c r="B21" i="17"/>
  <c r="T20" i="17"/>
  <c r="Z20" i="17" s="1"/>
  <c r="P20" i="17"/>
  <c r="H20" i="17"/>
  <c r="N20" i="17" s="1"/>
  <c r="D20" i="17"/>
  <c r="T16" i="17"/>
  <c r="Z16" i="17" s="1"/>
  <c r="P16" i="17"/>
  <c r="H16" i="17"/>
  <c r="N16" i="17" s="1"/>
  <c r="D16" i="17"/>
  <c r="B16" i="17"/>
  <c r="T15" i="17"/>
  <c r="Z15" i="17" s="1"/>
  <c r="P15" i="17"/>
  <c r="H15" i="17"/>
  <c r="N15" i="17" s="1"/>
  <c r="D15" i="17"/>
  <c r="T13" i="17"/>
  <c r="Z13" i="17" s="1"/>
  <c r="P13" i="17"/>
  <c r="H13" i="17"/>
  <c r="N13" i="17" s="1"/>
  <c r="D13" i="17"/>
  <c r="B13" i="17"/>
  <c r="T12" i="17"/>
  <c r="V21" i="17" s="1"/>
  <c r="P12" i="17"/>
  <c r="R34" i="17" s="1"/>
  <c r="H12" i="17"/>
  <c r="D12" i="17"/>
  <c r="F21" i="17" s="1"/>
  <c r="D5" i="17"/>
  <c r="D4" i="17"/>
  <c r="B39" i="16"/>
  <c r="B38" i="16"/>
  <c r="T34" i="16"/>
  <c r="Z34" i="16" s="1"/>
  <c r="P34" i="16"/>
  <c r="H34" i="16"/>
  <c r="N34" i="16" s="1"/>
  <c r="D34" i="16"/>
  <c r="T33" i="16"/>
  <c r="Z33" i="16" s="1"/>
  <c r="P33" i="16"/>
  <c r="H33" i="16"/>
  <c r="N33" i="16" s="1"/>
  <c r="D33" i="16"/>
  <c r="T29" i="16"/>
  <c r="Z29" i="16" s="1"/>
  <c r="P29" i="16"/>
  <c r="H29" i="16"/>
  <c r="N29" i="16" s="1"/>
  <c r="D29" i="16"/>
  <c r="T25" i="16"/>
  <c r="Z25" i="16" s="1"/>
  <c r="P25" i="16"/>
  <c r="H25" i="16"/>
  <c r="N25" i="16" s="1"/>
  <c r="D25" i="16"/>
  <c r="B25" i="16"/>
  <c r="T24" i="16"/>
  <c r="Z24" i="16" s="1"/>
  <c r="P24" i="16"/>
  <c r="H24" i="16"/>
  <c r="N24" i="16" s="1"/>
  <c r="D24" i="16"/>
  <c r="T22" i="16"/>
  <c r="Z22" i="16" s="1"/>
  <c r="P22" i="16"/>
  <c r="H22" i="16"/>
  <c r="N22" i="16" s="1"/>
  <c r="D22" i="16"/>
  <c r="B22" i="16"/>
  <c r="T21" i="16"/>
  <c r="Z21" i="16" s="1"/>
  <c r="P21" i="16"/>
  <c r="H21" i="16"/>
  <c r="N21" i="16" s="1"/>
  <c r="D21" i="16"/>
  <c r="B21" i="16"/>
  <c r="T20" i="16"/>
  <c r="Z20" i="16" s="1"/>
  <c r="P20" i="16"/>
  <c r="H20" i="16"/>
  <c r="N20" i="16" s="1"/>
  <c r="D20" i="16"/>
  <c r="T16" i="16"/>
  <c r="Z16" i="16" s="1"/>
  <c r="P16" i="16"/>
  <c r="H16" i="16"/>
  <c r="N16" i="16" s="1"/>
  <c r="D16" i="16"/>
  <c r="B16" i="16"/>
  <c r="T15" i="16"/>
  <c r="Z15" i="16" s="1"/>
  <c r="P15" i="16"/>
  <c r="H15" i="16"/>
  <c r="N15" i="16" s="1"/>
  <c r="D15" i="16"/>
  <c r="T13" i="16"/>
  <c r="Z13" i="16" s="1"/>
  <c r="P13" i="16"/>
  <c r="H13" i="16"/>
  <c r="N13" i="16" s="1"/>
  <c r="D13" i="16"/>
  <c r="B13" i="16"/>
  <c r="T12" i="16"/>
  <c r="V31" i="16" s="1"/>
  <c r="P12" i="16"/>
  <c r="R34" i="16" s="1"/>
  <c r="H12" i="16"/>
  <c r="J18" i="16" s="1"/>
  <c r="D12" i="16"/>
  <c r="F29" i="16" s="1"/>
  <c r="D5" i="16"/>
  <c r="D4" i="16"/>
  <c r="Z306" i="15"/>
  <c r="X306" i="15"/>
  <c r="N306" i="15"/>
  <c r="L306" i="15"/>
  <c r="T302" i="15"/>
  <c r="P302" i="15"/>
  <c r="N302" i="15"/>
  <c r="H302" i="15"/>
  <c r="D302" i="15"/>
  <c r="L302" i="15" s="1"/>
  <c r="B302" i="15"/>
  <c r="T301" i="15"/>
  <c r="P301" i="15"/>
  <c r="X301" i="15" s="1"/>
  <c r="N301" i="15"/>
  <c r="L301" i="15"/>
  <c r="H301" i="15"/>
  <c r="D301" i="15"/>
  <c r="B301" i="15"/>
  <c r="X300" i="15"/>
  <c r="Z300" i="15" s="1"/>
  <c r="T300" i="15"/>
  <c r="P300" i="15"/>
  <c r="H300" i="15"/>
  <c r="N300" i="15" s="1"/>
  <c r="D300" i="15"/>
  <c r="B300" i="15"/>
  <c r="T299" i="15"/>
  <c r="P299" i="15"/>
  <c r="X299" i="15" s="1"/>
  <c r="Z299" i="15" s="1"/>
  <c r="L299" i="15"/>
  <c r="H299" i="15"/>
  <c r="N299" i="15" s="1"/>
  <c r="D299" i="15"/>
  <c r="B299" i="15"/>
  <c r="T298" i="15"/>
  <c r="P298" i="15"/>
  <c r="X298" i="15" s="1"/>
  <c r="Z298" i="15" s="1"/>
  <c r="L298" i="15"/>
  <c r="N298" i="15" s="1"/>
  <c r="H298" i="15"/>
  <c r="D298" i="15"/>
  <c r="B298" i="15"/>
  <c r="T297" i="15"/>
  <c r="Z297" i="15" s="1"/>
  <c r="P297" i="15"/>
  <c r="X297" i="15" s="1"/>
  <c r="H297" i="15"/>
  <c r="D297" i="15"/>
  <c r="L297" i="15" s="1"/>
  <c r="N297" i="15" s="1"/>
  <c r="B297" i="15"/>
  <c r="T296" i="15"/>
  <c r="P296" i="15"/>
  <c r="X296" i="15" s="1"/>
  <c r="Z296" i="15" s="1"/>
  <c r="N296" i="15"/>
  <c r="H296" i="15"/>
  <c r="D296" i="15"/>
  <c r="L296" i="15" s="1"/>
  <c r="B296" i="15"/>
  <c r="Z295" i="15"/>
  <c r="X295" i="15"/>
  <c r="T295" i="15"/>
  <c r="P295" i="15"/>
  <c r="H295" i="15"/>
  <c r="H293" i="15" s="1"/>
  <c r="D295" i="15"/>
  <c r="B295" i="15"/>
  <c r="T294" i="15"/>
  <c r="P294" i="15"/>
  <c r="N294" i="15"/>
  <c r="H294" i="15"/>
  <c r="D294" i="15"/>
  <c r="L294" i="15" s="1"/>
  <c r="B294" i="15"/>
  <c r="X291" i="15"/>
  <c r="Z291" i="15" s="1"/>
  <c r="L291" i="15"/>
  <c r="N291" i="15" s="1"/>
  <c r="B291" i="15"/>
  <c r="X290" i="15"/>
  <c r="Z290" i="15" s="1"/>
  <c r="T290" i="15"/>
  <c r="P290" i="15"/>
  <c r="H290" i="15"/>
  <c r="D290" i="15"/>
  <c r="B290" i="15"/>
  <c r="Z289" i="15"/>
  <c r="X289" i="15"/>
  <c r="N289" i="15"/>
  <c r="L289" i="15"/>
  <c r="B289" i="15"/>
  <c r="Z288" i="15"/>
  <c r="X288" i="15"/>
  <c r="N288" i="15"/>
  <c r="L288" i="15"/>
  <c r="B288" i="15"/>
  <c r="X287" i="15"/>
  <c r="Z287" i="15" s="1"/>
  <c r="N287" i="15"/>
  <c r="L287" i="15"/>
  <c r="B287" i="15"/>
  <c r="X286" i="15"/>
  <c r="Z286" i="15" s="1"/>
  <c r="T286" i="15"/>
  <c r="P286" i="15"/>
  <c r="H286" i="15"/>
  <c r="N286" i="15" s="1"/>
  <c r="D286" i="15"/>
  <c r="B286" i="15"/>
  <c r="Z285" i="15"/>
  <c r="X285" i="15"/>
  <c r="N285" i="15"/>
  <c r="L285" i="15"/>
  <c r="B285" i="15"/>
  <c r="T284" i="15"/>
  <c r="P284" i="15"/>
  <c r="N284" i="15"/>
  <c r="H284" i="15"/>
  <c r="D284" i="15"/>
  <c r="L284" i="15" s="1"/>
  <c r="B284" i="15"/>
  <c r="X283" i="15"/>
  <c r="Z283" i="15" s="1"/>
  <c r="L283" i="15"/>
  <c r="N283" i="15" s="1"/>
  <c r="B283" i="15"/>
  <c r="X282" i="15"/>
  <c r="Z282" i="15" s="1"/>
  <c r="N282" i="15"/>
  <c r="L282" i="15"/>
  <c r="B282" i="15"/>
  <c r="T281" i="15"/>
  <c r="P281" i="15"/>
  <c r="X281" i="15" s="1"/>
  <c r="Z281" i="15" s="1"/>
  <c r="L281" i="15"/>
  <c r="H281" i="15"/>
  <c r="N281" i="15" s="1"/>
  <c r="D281" i="15"/>
  <c r="B281" i="15"/>
  <c r="Z280" i="15"/>
  <c r="X280" i="15"/>
  <c r="N280" i="15"/>
  <c r="L280" i="15"/>
  <c r="B280" i="15"/>
  <c r="X279" i="15"/>
  <c r="Z279" i="15" s="1"/>
  <c r="L279" i="15"/>
  <c r="N279" i="15" s="1"/>
  <c r="B279" i="15"/>
  <c r="X278" i="15"/>
  <c r="Z278" i="15" s="1"/>
  <c r="L278" i="15"/>
  <c r="N278" i="15" s="1"/>
  <c r="B278" i="15"/>
  <c r="Z277" i="15"/>
  <c r="X277" i="15"/>
  <c r="N277" i="15"/>
  <c r="L277" i="15"/>
  <c r="B277" i="15"/>
  <c r="Z276" i="15"/>
  <c r="X276" i="15"/>
  <c r="N276" i="15"/>
  <c r="L276" i="15"/>
  <c r="B276" i="15"/>
  <c r="X275" i="15"/>
  <c r="Z275" i="15" s="1"/>
  <c r="L275" i="15"/>
  <c r="N275" i="15" s="1"/>
  <c r="B275" i="15"/>
  <c r="X274" i="15"/>
  <c r="Z274" i="15" s="1"/>
  <c r="L274" i="15"/>
  <c r="N274" i="15" s="1"/>
  <c r="B274" i="15"/>
  <c r="Z273" i="15"/>
  <c r="X273" i="15"/>
  <c r="N273" i="15"/>
  <c r="L273" i="15"/>
  <c r="B273" i="15"/>
  <c r="T272" i="15"/>
  <c r="P272" i="15"/>
  <c r="X272" i="15" s="1"/>
  <c r="Z272" i="15" s="1"/>
  <c r="L272" i="15"/>
  <c r="N272" i="15" s="1"/>
  <c r="H272" i="15"/>
  <c r="D272" i="15"/>
  <c r="B272" i="15"/>
  <c r="X271" i="15"/>
  <c r="Z271" i="15" s="1"/>
  <c r="N271" i="15"/>
  <c r="L271" i="15"/>
  <c r="B271" i="15"/>
  <c r="X270" i="15"/>
  <c r="Z270" i="15" s="1"/>
  <c r="L270" i="15"/>
  <c r="N270" i="15" s="1"/>
  <c r="B270" i="15"/>
  <c r="Z269" i="15"/>
  <c r="X269" i="15"/>
  <c r="T269" i="15"/>
  <c r="P269" i="15"/>
  <c r="H269" i="15"/>
  <c r="N269" i="15" s="1"/>
  <c r="D269" i="15"/>
  <c r="L269" i="15" s="1"/>
  <c r="B269" i="15"/>
  <c r="Z268" i="15"/>
  <c r="X268" i="15"/>
  <c r="N268" i="15"/>
  <c r="L268" i="15"/>
  <c r="B268" i="15"/>
  <c r="X267" i="15"/>
  <c r="Z267" i="15" s="1"/>
  <c r="L267" i="15"/>
  <c r="N267" i="15" s="1"/>
  <c r="B267" i="15"/>
  <c r="X266" i="15"/>
  <c r="Z266" i="15" s="1"/>
  <c r="N266" i="15"/>
  <c r="L266" i="15"/>
  <c r="B266" i="15"/>
  <c r="Z265" i="15"/>
  <c r="X265" i="15"/>
  <c r="N265" i="15"/>
  <c r="L265" i="15"/>
  <c r="B265" i="15"/>
  <c r="T264" i="15"/>
  <c r="P264" i="15"/>
  <c r="X264" i="15" s="1"/>
  <c r="L264" i="15"/>
  <c r="N264" i="15" s="1"/>
  <c r="H264" i="15"/>
  <c r="D264" i="15"/>
  <c r="B264" i="15"/>
  <c r="X263" i="15"/>
  <c r="Z263" i="15" s="1"/>
  <c r="N263" i="15"/>
  <c r="L263" i="15"/>
  <c r="B263" i="15"/>
  <c r="X262" i="15"/>
  <c r="Z262" i="15" s="1"/>
  <c r="N262" i="15"/>
  <c r="L262" i="15"/>
  <c r="B262" i="15"/>
  <c r="Z261" i="15"/>
  <c r="X261" i="15"/>
  <c r="N261" i="15"/>
  <c r="L261" i="15"/>
  <c r="B261" i="15"/>
  <c r="T260" i="15"/>
  <c r="P260" i="15"/>
  <c r="X260" i="15" s="1"/>
  <c r="N260" i="15"/>
  <c r="L260" i="15"/>
  <c r="H260" i="15"/>
  <c r="D260" i="15"/>
  <c r="B260" i="15"/>
  <c r="X259" i="15"/>
  <c r="Z259" i="15" s="1"/>
  <c r="L259" i="15"/>
  <c r="N259" i="15" s="1"/>
  <c r="B259" i="15"/>
  <c r="X258" i="15"/>
  <c r="Z258" i="15" s="1"/>
  <c r="L258" i="15"/>
  <c r="N258" i="15" s="1"/>
  <c r="B258" i="15"/>
  <c r="Z257" i="15"/>
  <c r="X257" i="15"/>
  <c r="L257" i="15"/>
  <c r="N257" i="15" s="1"/>
  <c r="B257" i="15"/>
  <c r="Z256" i="15"/>
  <c r="X256" i="15"/>
  <c r="N256" i="15"/>
  <c r="L256" i="15"/>
  <c r="B256" i="15"/>
  <c r="T255" i="15"/>
  <c r="P255" i="15"/>
  <c r="X255" i="15" s="1"/>
  <c r="H255" i="15"/>
  <c r="D255" i="15"/>
  <c r="L255" i="15" s="1"/>
  <c r="N255" i="15" s="1"/>
  <c r="B255" i="15"/>
  <c r="X254" i="15"/>
  <c r="Z254" i="15" s="1"/>
  <c r="L254" i="15"/>
  <c r="N254" i="15" s="1"/>
  <c r="B254" i="15"/>
  <c r="T253" i="15"/>
  <c r="P253" i="15"/>
  <c r="X253" i="15" s="1"/>
  <c r="Z253" i="15" s="1"/>
  <c r="L253" i="15"/>
  <c r="H253" i="15"/>
  <c r="N253" i="15" s="1"/>
  <c r="D253" i="15"/>
  <c r="B253" i="15"/>
  <c r="Z252" i="15"/>
  <c r="X252" i="15"/>
  <c r="N252" i="15"/>
  <c r="L252" i="15"/>
  <c r="B252" i="15"/>
  <c r="X251" i="15"/>
  <c r="T251" i="15"/>
  <c r="Z251" i="15" s="1"/>
  <c r="P251" i="15"/>
  <c r="L251" i="15"/>
  <c r="N251" i="15" s="1"/>
  <c r="H251" i="15"/>
  <c r="D251" i="15"/>
  <c r="B251" i="15"/>
  <c r="X250" i="15"/>
  <c r="Z250" i="15" s="1"/>
  <c r="L250" i="15"/>
  <c r="N250" i="15" s="1"/>
  <c r="B250" i="15"/>
  <c r="X249" i="15"/>
  <c r="Z249" i="15" s="1"/>
  <c r="N249" i="15"/>
  <c r="L249" i="15"/>
  <c r="B249" i="15"/>
  <c r="Z248" i="15"/>
  <c r="X248" i="15"/>
  <c r="N248" i="15"/>
  <c r="L248" i="15"/>
  <c r="B248" i="15"/>
  <c r="X247" i="15"/>
  <c r="Z247" i="15" s="1"/>
  <c r="L247" i="15"/>
  <c r="N247" i="15" s="1"/>
  <c r="B247" i="15"/>
  <c r="X246" i="15"/>
  <c r="Z246" i="15" s="1"/>
  <c r="L246" i="15"/>
  <c r="N246" i="15" s="1"/>
  <c r="B246" i="15"/>
  <c r="Z245" i="15"/>
  <c r="X245" i="15"/>
  <c r="L245" i="15"/>
  <c r="N245" i="15" s="1"/>
  <c r="B245" i="15"/>
  <c r="Z244" i="15"/>
  <c r="X244" i="15"/>
  <c r="N244" i="15"/>
  <c r="L244" i="15"/>
  <c r="B244" i="15"/>
  <c r="X243" i="15"/>
  <c r="Z243" i="15" s="1"/>
  <c r="L243" i="15"/>
  <c r="N243" i="15" s="1"/>
  <c r="B243" i="15"/>
  <c r="X242" i="15"/>
  <c r="Z242" i="15" s="1"/>
  <c r="L242" i="15"/>
  <c r="N242" i="15" s="1"/>
  <c r="B242" i="15"/>
  <c r="X241" i="15"/>
  <c r="Z241" i="15" s="1"/>
  <c r="N241" i="15"/>
  <c r="L241" i="15"/>
  <c r="B241" i="15"/>
  <c r="Z240" i="15"/>
  <c r="X240" i="15"/>
  <c r="N240" i="15"/>
  <c r="L240" i="15"/>
  <c r="B240" i="15"/>
  <c r="X239" i="15"/>
  <c r="Z239" i="15" s="1"/>
  <c r="L239" i="15"/>
  <c r="N239" i="15" s="1"/>
  <c r="B239" i="15"/>
  <c r="X238" i="15"/>
  <c r="Z238" i="15" s="1"/>
  <c r="L238" i="15"/>
  <c r="N238" i="15" s="1"/>
  <c r="B238" i="15"/>
  <c r="Z237" i="15"/>
  <c r="X237" i="15"/>
  <c r="L237" i="15"/>
  <c r="N237" i="15" s="1"/>
  <c r="B237" i="15"/>
  <c r="Z236" i="15"/>
  <c r="X236" i="15"/>
  <c r="N236" i="15"/>
  <c r="L236" i="15"/>
  <c r="B236" i="15"/>
  <c r="X235" i="15"/>
  <c r="Z235" i="15" s="1"/>
  <c r="L235" i="15"/>
  <c r="N235" i="15" s="1"/>
  <c r="B235" i="15"/>
  <c r="X234" i="15"/>
  <c r="Z234" i="15" s="1"/>
  <c r="L234" i="15"/>
  <c r="N234" i="15" s="1"/>
  <c r="B234" i="15"/>
  <c r="X233" i="15"/>
  <c r="Z233" i="15" s="1"/>
  <c r="N233" i="15"/>
  <c r="L233" i="15"/>
  <c r="B233" i="15"/>
  <c r="Z232" i="15"/>
  <c r="X232" i="15"/>
  <c r="N232" i="15"/>
  <c r="L232" i="15"/>
  <c r="B232" i="15"/>
  <c r="X231" i="15"/>
  <c r="Z231" i="15" s="1"/>
  <c r="L231" i="15"/>
  <c r="N231" i="15" s="1"/>
  <c r="B231" i="15"/>
  <c r="X230" i="15"/>
  <c r="Z230" i="15" s="1"/>
  <c r="L230" i="15"/>
  <c r="N230" i="15" s="1"/>
  <c r="B230" i="15"/>
  <c r="Z229" i="15"/>
  <c r="X229" i="15"/>
  <c r="L229" i="15"/>
  <c r="N229" i="15" s="1"/>
  <c r="B229" i="15"/>
  <c r="Z228" i="15"/>
  <c r="X228" i="15"/>
  <c r="N228" i="15"/>
  <c r="L228" i="15"/>
  <c r="B228" i="15"/>
  <c r="X227" i="15"/>
  <c r="Z227" i="15" s="1"/>
  <c r="L227" i="15"/>
  <c r="N227" i="15" s="1"/>
  <c r="B227" i="15"/>
  <c r="X226" i="15"/>
  <c r="Z226" i="15" s="1"/>
  <c r="L226" i="15"/>
  <c r="N226" i="15" s="1"/>
  <c r="B226" i="15"/>
  <c r="X225" i="15"/>
  <c r="Z225" i="15" s="1"/>
  <c r="N225" i="15"/>
  <c r="L225" i="15"/>
  <c r="B225" i="15"/>
  <c r="Z224" i="15"/>
  <c r="X224" i="15"/>
  <c r="N224" i="15"/>
  <c r="L224" i="15"/>
  <c r="B224" i="15"/>
  <c r="X223" i="15"/>
  <c r="Z223" i="15" s="1"/>
  <c r="L223" i="15"/>
  <c r="N223" i="15" s="1"/>
  <c r="B223" i="15"/>
  <c r="X222" i="15"/>
  <c r="Z222" i="15" s="1"/>
  <c r="L222" i="15"/>
  <c r="N222" i="15" s="1"/>
  <c r="B222" i="15"/>
  <c r="Z221" i="15"/>
  <c r="X221" i="15"/>
  <c r="L221" i="15"/>
  <c r="N221" i="15" s="1"/>
  <c r="B221" i="15"/>
  <c r="Z220" i="15"/>
  <c r="X220" i="15"/>
  <c r="N220" i="15"/>
  <c r="L220" i="15"/>
  <c r="B220" i="15"/>
  <c r="X219" i="15"/>
  <c r="Z219" i="15" s="1"/>
  <c r="L219" i="15"/>
  <c r="N219" i="15" s="1"/>
  <c r="B219" i="15"/>
  <c r="X218" i="15"/>
  <c r="Z218" i="15" s="1"/>
  <c r="L218" i="15"/>
  <c r="N218" i="15" s="1"/>
  <c r="B218" i="15"/>
  <c r="Z217" i="15"/>
  <c r="X217" i="15"/>
  <c r="N217" i="15"/>
  <c r="L217" i="15"/>
  <c r="B217" i="15"/>
  <c r="T216" i="15"/>
  <c r="P216" i="15"/>
  <c r="H216" i="15"/>
  <c r="D216" i="15"/>
  <c r="L216" i="15" s="1"/>
  <c r="N216" i="15" s="1"/>
  <c r="B216" i="15"/>
  <c r="X215" i="15"/>
  <c r="Z215" i="15" s="1"/>
  <c r="L215" i="15"/>
  <c r="N215" i="15" s="1"/>
  <c r="B215" i="15"/>
  <c r="T214" i="15"/>
  <c r="P214" i="15"/>
  <c r="X214" i="15" s="1"/>
  <c r="Z214" i="15" s="1"/>
  <c r="H214" i="15"/>
  <c r="D214" i="15"/>
  <c r="L214" i="15" s="1"/>
  <c r="B214" i="15"/>
  <c r="Z213" i="15"/>
  <c r="X213" i="15"/>
  <c r="L213" i="15"/>
  <c r="N213" i="15" s="1"/>
  <c r="B213" i="15"/>
  <c r="T212" i="15"/>
  <c r="Z212" i="15" s="1"/>
  <c r="P212" i="15"/>
  <c r="X212" i="15" s="1"/>
  <c r="L212" i="15"/>
  <c r="N212" i="15" s="1"/>
  <c r="H212" i="15"/>
  <c r="D212" i="15"/>
  <c r="B212" i="15"/>
  <c r="X211" i="15"/>
  <c r="Z211" i="15" s="1"/>
  <c r="L211" i="15"/>
  <c r="N211" i="15" s="1"/>
  <c r="B211" i="15"/>
  <c r="X210" i="15"/>
  <c r="Z210" i="15" s="1"/>
  <c r="L210" i="15"/>
  <c r="N210" i="15" s="1"/>
  <c r="B210" i="15"/>
  <c r="T209" i="15"/>
  <c r="P209" i="15"/>
  <c r="X209" i="15" s="1"/>
  <c r="Z209" i="15" s="1"/>
  <c r="L209" i="15"/>
  <c r="H209" i="15"/>
  <c r="N209" i="15" s="1"/>
  <c r="D209" i="15"/>
  <c r="B209" i="15"/>
  <c r="Z208" i="15"/>
  <c r="X208" i="15"/>
  <c r="N208" i="15"/>
  <c r="L208" i="15"/>
  <c r="B208" i="15"/>
  <c r="X207" i="15"/>
  <c r="T207" i="15"/>
  <c r="Z207" i="15" s="1"/>
  <c r="P207" i="15"/>
  <c r="L207" i="15"/>
  <c r="H207" i="15"/>
  <c r="N207" i="15" s="1"/>
  <c r="D207" i="15"/>
  <c r="B207" i="15"/>
  <c r="X206" i="15"/>
  <c r="Z206" i="15" s="1"/>
  <c r="L206" i="15"/>
  <c r="N206" i="15" s="1"/>
  <c r="B206" i="15"/>
  <c r="X205" i="15"/>
  <c r="T205" i="15"/>
  <c r="Z205" i="15" s="1"/>
  <c r="P205" i="15"/>
  <c r="H205" i="15"/>
  <c r="D205" i="15"/>
  <c r="L205" i="15" s="1"/>
  <c r="B205" i="15"/>
  <c r="Z204" i="15"/>
  <c r="X204" i="15"/>
  <c r="N204" i="15"/>
  <c r="L204" i="15"/>
  <c r="B204" i="15"/>
  <c r="T203" i="15"/>
  <c r="P203" i="15"/>
  <c r="X203" i="15" s="1"/>
  <c r="N203" i="15"/>
  <c r="H203" i="15"/>
  <c r="D203" i="15"/>
  <c r="L203" i="15" s="1"/>
  <c r="B203" i="15"/>
  <c r="X202" i="15"/>
  <c r="Z202" i="15" s="1"/>
  <c r="L202" i="15"/>
  <c r="N202" i="15" s="1"/>
  <c r="B202" i="15"/>
  <c r="Z201" i="15"/>
  <c r="X201" i="15"/>
  <c r="L201" i="15"/>
  <c r="N201" i="15" s="1"/>
  <c r="B201" i="15"/>
  <c r="T200" i="15"/>
  <c r="P200" i="15"/>
  <c r="X200" i="15" s="1"/>
  <c r="L200" i="15"/>
  <c r="N200" i="15" s="1"/>
  <c r="H200" i="15"/>
  <c r="D200" i="15"/>
  <c r="B200" i="15"/>
  <c r="Z199" i="15"/>
  <c r="X199" i="15"/>
  <c r="N199" i="15"/>
  <c r="L199" i="15"/>
  <c r="B199" i="15"/>
  <c r="X198" i="15"/>
  <c r="Z198" i="15" s="1"/>
  <c r="L198" i="15"/>
  <c r="N198" i="15" s="1"/>
  <c r="B198" i="15"/>
  <c r="Z197" i="15"/>
  <c r="X197" i="15"/>
  <c r="L197" i="15"/>
  <c r="N197" i="15" s="1"/>
  <c r="B197" i="15"/>
  <c r="T196" i="15"/>
  <c r="P196" i="15"/>
  <c r="X196" i="15" s="1"/>
  <c r="L196" i="15"/>
  <c r="N196" i="15" s="1"/>
  <c r="H196" i="15"/>
  <c r="D196" i="15"/>
  <c r="B196" i="15"/>
  <c r="X195" i="15"/>
  <c r="Z195" i="15" s="1"/>
  <c r="L195" i="15"/>
  <c r="N195" i="15" s="1"/>
  <c r="B195" i="15"/>
  <c r="X194" i="15"/>
  <c r="Z194" i="15" s="1"/>
  <c r="T194" i="15"/>
  <c r="P194" i="15"/>
  <c r="H194" i="15"/>
  <c r="D194" i="15"/>
  <c r="B194" i="15"/>
  <c r="X193" i="15"/>
  <c r="Z193" i="15" s="1"/>
  <c r="N193" i="15"/>
  <c r="L193" i="15"/>
  <c r="B193" i="15"/>
  <c r="Z192" i="15"/>
  <c r="X192" i="15"/>
  <c r="N192" i="15"/>
  <c r="L192" i="15"/>
  <c r="B192" i="15"/>
  <c r="X191" i="15"/>
  <c r="T191" i="15"/>
  <c r="Z191" i="15" s="1"/>
  <c r="P191" i="15"/>
  <c r="L191" i="15"/>
  <c r="H191" i="15"/>
  <c r="N191" i="15" s="1"/>
  <c r="D191" i="15"/>
  <c r="B191" i="15"/>
  <c r="X190" i="15"/>
  <c r="Z190" i="15" s="1"/>
  <c r="L190" i="15"/>
  <c r="N190" i="15" s="1"/>
  <c r="B190" i="15"/>
  <c r="X189" i="15"/>
  <c r="T189" i="15"/>
  <c r="Z189" i="15" s="1"/>
  <c r="P189" i="15"/>
  <c r="H189" i="15"/>
  <c r="N189" i="15" s="1"/>
  <c r="D189" i="15"/>
  <c r="L189" i="15" s="1"/>
  <c r="B189" i="15"/>
  <c r="Z188" i="15"/>
  <c r="X188" i="15"/>
  <c r="N188" i="15"/>
  <c r="L188" i="15"/>
  <c r="B188" i="15"/>
  <c r="X187" i="15"/>
  <c r="Z187" i="15" s="1"/>
  <c r="L187" i="15"/>
  <c r="N187" i="15" s="1"/>
  <c r="B187" i="15"/>
  <c r="X186" i="15"/>
  <c r="Z186" i="15" s="1"/>
  <c r="L186" i="15"/>
  <c r="N186" i="15" s="1"/>
  <c r="B186" i="15"/>
  <c r="X185" i="15"/>
  <c r="Z185" i="15" s="1"/>
  <c r="N185" i="15"/>
  <c r="L185" i="15"/>
  <c r="B185" i="15"/>
  <c r="Z184" i="15"/>
  <c r="X184" i="15"/>
  <c r="N184" i="15"/>
  <c r="L184" i="15"/>
  <c r="B184" i="15"/>
  <c r="X183" i="15"/>
  <c r="Z183" i="15" s="1"/>
  <c r="L183" i="15"/>
  <c r="N183" i="15" s="1"/>
  <c r="B183" i="15"/>
  <c r="X182" i="15"/>
  <c r="Z182" i="15" s="1"/>
  <c r="N182" i="15"/>
  <c r="L182" i="15"/>
  <c r="B182" i="15"/>
  <c r="T181" i="15"/>
  <c r="P181" i="15"/>
  <c r="X181" i="15" s="1"/>
  <c r="Z181" i="15" s="1"/>
  <c r="L181" i="15"/>
  <c r="H181" i="15"/>
  <c r="N181" i="15" s="1"/>
  <c r="D181" i="15"/>
  <c r="B181" i="15"/>
  <c r="Z180" i="15"/>
  <c r="X180" i="15"/>
  <c r="N180" i="15"/>
  <c r="L180" i="15"/>
  <c r="B180" i="15"/>
  <c r="X179" i="15"/>
  <c r="Z179" i="15" s="1"/>
  <c r="L179" i="15"/>
  <c r="N179" i="15" s="1"/>
  <c r="B179" i="15"/>
  <c r="X178" i="15"/>
  <c r="Z178" i="15" s="1"/>
  <c r="L178" i="15"/>
  <c r="N178" i="15" s="1"/>
  <c r="B178" i="15"/>
  <c r="Z177" i="15"/>
  <c r="X177" i="15"/>
  <c r="L177" i="15"/>
  <c r="N177" i="15" s="1"/>
  <c r="B177" i="15"/>
  <c r="Z176" i="15"/>
  <c r="X176" i="15"/>
  <c r="N176" i="15"/>
  <c r="L176" i="15"/>
  <c r="B176" i="15"/>
  <c r="X175" i="15"/>
  <c r="Z175" i="15" s="1"/>
  <c r="L175" i="15"/>
  <c r="N175" i="15" s="1"/>
  <c r="B175" i="15"/>
  <c r="Z174" i="15"/>
  <c r="X174" i="15"/>
  <c r="L174" i="15"/>
  <c r="N174" i="15" s="1"/>
  <c r="B174" i="15"/>
  <c r="X173" i="15"/>
  <c r="Z173" i="15" s="1"/>
  <c r="N173" i="15"/>
  <c r="L173" i="15"/>
  <c r="B173" i="15"/>
  <c r="Z172" i="15"/>
  <c r="X172" i="15"/>
  <c r="N172" i="15"/>
  <c r="L172" i="15"/>
  <c r="B172" i="15"/>
  <c r="X171" i="15"/>
  <c r="Z171" i="15" s="1"/>
  <c r="L171" i="15"/>
  <c r="N171" i="15" s="1"/>
  <c r="B171" i="15"/>
  <c r="X170" i="15"/>
  <c r="Z170" i="15" s="1"/>
  <c r="T170" i="15"/>
  <c r="P170" i="15"/>
  <c r="H170" i="15"/>
  <c r="N170" i="15" s="1"/>
  <c r="D170" i="15"/>
  <c r="L170" i="15" s="1"/>
  <c r="B170" i="15"/>
  <c r="X169" i="15"/>
  <c r="T169" i="15"/>
  <c r="Z169" i="15" s="1"/>
  <c r="P169" i="15"/>
  <c r="H169" i="15"/>
  <c r="D169" i="15"/>
  <c r="L169" i="15" s="1"/>
  <c r="X165" i="15"/>
  <c r="Z165" i="15" s="1"/>
  <c r="N165" i="15"/>
  <c r="L165" i="15"/>
  <c r="B165" i="15"/>
  <c r="Z164" i="15"/>
  <c r="X164" i="15"/>
  <c r="N164" i="15"/>
  <c r="L164" i="15"/>
  <c r="B164" i="15"/>
  <c r="X163" i="15"/>
  <c r="Z163" i="15" s="1"/>
  <c r="N163" i="15"/>
  <c r="L163" i="15"/>
  <c r="B163" i="15"/>
  <c r="Z162" i="15"/>
  <c r="X162" i="15"/>
  <c r="N162" i="15"/>
  <c r="L162" i="15"/>
  <c r="B162" i="15"/>
  <c r="Z161" i="15"/>
  <c r="X161" i="15"/>
  <c r="N161" i="15"/>
  <c r="L161" i="15"/>
  <c r="B161" i="15"/>
  <c r="Z160" i="15"/>
  <c r="X160" i="15"/>
  <c r="N160" i="15"/>
  <c r="L160" i="15"/>
  <c r="B160" i="15"/>
  <c r="X159" i="15"/>
  <c r="Z159" i="15" s="1"/>
  <c r="L159" i="15"/>
  <c r="N159" i="15" s="1"/>
  <c r="B159" i="15"/>
  <c r="X158" i="15"/>
  <c r="Z158" i="15" s="1"/>
  <c r="N158" i="15"/>
  <c r="L158" i="15"/>
  <c r="B158" i="15"/>
  <c r="X157" i="15"/>
  <c r="Z157" i="15" s="1"/>
  <c r="N157" i="15"/>
  <c r="L157" i="15"/>
  <c r="B157" i="15"/>
  <c r="Z156" i="15"/>
  <c r="X156" i="15"/>
  <c r="N156" i="15"/>
  <c r="L156" i="15"/>
  <c r="B156" i="15"/>
  <c r="X155" i="15"/>
  <c r="Z155" i="15" s="1"/>
  <c r="N155" i="15"/>
  <c r="L155" i="15"/>
  <c r="B155" i="15"/>
  <c r="Z154" i="15"/>
  <c r="X154" i="15"/>
  <c r="N154" i="15"/>
  <c r="L154" i="15"/>
  <c r="B154" i="15"/>
  <c r="Z153" i="15"/>
  <c r="X153" i="15"/>
  <c r="N153" i="15"/>
  <c r="L153" i="15"/>
  <c r="B153" i="15"/>
  <c r="Z152" i="15"/>
  <c r="X152" i="15"/>
  <c r="N152" i="15"/>
  <c r="L152" i="15"/>
  <c r="B152" i="15"/>
  <c r="X151" i="15"/>
  <c r="Z151" i="15" s="1"/>
  <c r="L151" i="15"/>
  <c r="N151" i="15" s="1"/>
  <c r="B151" i="15"/>
  <c r="X150" i="15"/>
  <c r="Z150" i="15" s="1"/>
  <c r="N150" i="15"/>
  <c r="L150" i="15"/>
  <c r="B150" i="15"/>
  <c r="X149" i="15"/>
  <c r="Z149" i="15" s="1"/>
  <c r="N149" i="15"/>
  <c r="L149" i="15"/>
  <c r="B149" i="15"/>
  <c r="Z148" i="15"/>
  <c r="X148" i="15"/>
  <c r="N148" i="15"/>
  <c r="L148" i="15"/>
  <c r="B148" i="15"/>
  <c r="X147" i="15"/>
  <c r="Z147" i="15" s="1"/>
  <c r="L147" i="15"/>
  <c r="N147" i="15" s="1"/>
  <c r="B147" i="15"/>
  <c r="Z146" i="15"/>
  <c r="X146" i="15"/>
  <c r="N146" i="15"/>
  <c r="L146" i="15"/>
  <c r="B146" i="15"/>
  <c r="Z145" i="15"/>
  <c r="X145" i="15"/>
  <c r="L145" i="15"/>
  <c r="N145" i="15" s="1"/>
  <c r="B145" i="15"/>
  <c r="Z144" i="15"/>
  <c r="X144" i="15"/>
  <c r="N144" i="15"/>
  <c r="L144" i="15"/>
  <c r="B144" i="15"/>
  <c r="X143" i="15"/>
  <c r="Z143" i="15" s="1"/>
  <c r="N143" i="15"/>
  <c r="L143" i="15"/>
  <c r="B143" i="15"/>
  <c r="X142" i="15"/>
  <c r="Z142" i="15" s="1"/>
  <c r="N142" i="15"/>
  <c r="L142" i="15"/>
  <c r="B142" i="15"/>
  <c r="X141" i="15"/>
  <c r="Z141" i="15" s="1"/>
  <c r="N141" i="15"/>
  <c r="L141" i="15"/>
  <c r="B141" i="15"/>
  <c r="Z140" i="15"/>
  <c r="X140" i="15"/>
  <c r="N140" i="15"/>
  <c r="L140" i="15"/>
  <c r="B140" i="15"/>
  <c r="X139" i="15"/>
  <c r="Z139" i="15" s="1"/>
  <c r="N139" i="15"/>
  <c r="L139" i="15"/>
  <c r="B139" i="15"/>
  <c r="Z138" i="15"/>
  <c r="X138" i="15"/>
  <c r="N138" i="15"/>
  <c r="L138" i="15"/>
  <c r="B138" i="15"/>
  <c r="Z137" i="15"/>
  <c r="X137" i="15"/>
  <c r="L137" i="15"/>
  <c r="N137" i="15" s="1"/>
  <c r="B137" i="15"/>
  <c r="Z136" i="15"/>
  <c r="X136" i="15"/>
  <c r="N136" i="15"/>
  <c r="L136" i="15"/>
  <c r="B136" i="15"/>
  <c r="X135" i="15"/>
  <c r="Z135" i="15" s="1"/>
  <c r="L135" i="15"/>
  <c r="N135" i="15" s="1"/>
  <c r="B135" i="15"/>
  <c r="X134" i="15"/>
  <c r="Z134" i="15" s="1"/>
  <c r="N134" i="15"/>
  <c r="L134" i="15"/>
  <c r="B134" i="15"/>
  <c r="X133" i="15"/>
  <c r="Z133" i="15" s="1"/>
  <c r="N133" i="15"/>
  <c r="L133" i="15"/>
  <c r="B133" i="15"/>
  <c r="Z132" i="15"/>
  <c r="X132" i="15"/>
  <c r="N132" i="15"/>
  <c r="L132" i="15"/>
  <c r="B132" i="15"/>
  <c r="X131" i="15"/>
  <c r="Z131" i="15" s="1"/>
  <c r="N131" i="15"/>
  <c r="L131" i="15"/>
  <c r="B131" i="15"/>
  <c r="Z130" i="15"/>
  <c r="X130" i="15"/>
  <c r="N130" i="15"/>
  <c r="L130" i="15"/>
  <c r="B130" i="15"/>
  <c r="Z129" i="15"/>
  <c r="X129" i="15"/>
  <c r="N129" i="15"/>
  <c r="L129" i="15"/>
  <c r="B129" i="15"/>
  <c r="Z128" i="15"/>
  <c r="X128" i="15"/>
  <c r="N128" i="15"/>
  <c r="L128" i="15"/>
  <c r="B128" i="15"/>
  <c r="X127" i="15"/>
  <c r="Z127" i="15" s="1"/>
  <c r="L127" i="15"/>
  <c r="N127" i="15" s="1"/>
  <c r="B127" i="15"/>
  <c r="X126" i="15"/>
  <c r="Z126" i="15" s="1"/>
  <c r="N126" i="15"/>
  <c r="L126" i="15"/>
  <c r="B126" i="15"/>
  <c r="X125" i="15"/>
  <c r="Z125" i="15" s="1"/>
  <c r="N125" i="15"/>
  <c r="L125" i="15"/>
  <c r="B125" i="15"/>
  <c r="Z124" i="15"/>
  <c r="X124" i="15"/>
  <c r="N124" i="15"/>
  <c r="L124" i="15"/>
  <c r="B124" i="15"/>
  <c r="X123" i="15"/>
  <c r="Z123" i="15" s="1"/>
  <c r="N123" i="15"/>
  <c r="L123" i="15"/>
  <c r="B123" i="15"/>
  <c r="Z122" i="15"/>
  <c r="X122" i="15"/>
  <c r="L122" i="15"/>
  <c r="N122" i="15" s="1"/>
  <c r="B122" i="15"/>
  <c r="Z121" i="15"/>
  <c r="X121" i="15"/>
  <c r="L121" i="15"/>
  <c r="N121" i="15" s="1"/>
  <c r="B121" i="15"/>
  <c r="Z120" i="15"/>
  <c r="X120" i="15"/>
  <c r="N120" i="15"/>
  <c r="L120" i="15"/>
  <c r="B120" i="15"/>
  <c r="X119" i="15"/>
  <c r="Z119" i="15" s="1"/>
  <c r="L119" i="15"/>
  <c r="N119" i="15" s="1"/>
  <c r="B119" i="15"/>
  <c r="X118" i="15"/>
  <c r="Z118" i="15" s="1"/>
  <c r="N118" i="15"/>
  <c r="L118" i="15"/>
  <c r="B118" i="15"/>
  <c r="X117" i="15"/>
  <c r="Z117" i="15" s="1"/>
  <c r="N117" i="15"/>
  <c r="L117" i="15"/>
  <c r="B117" i="15"/>
  <c r="Z116" i="15"/>
  <c r="X116" i="15"/>
  <c r="N116" i="15"/>
  <c r="L116" i="15"/>
  <c r="B116" i="15"/>
  <c r="Z115" i="15"/>
  <c r="X115" i="15"/>
  <c r="N115" i="15"/>
  <c r="L115" i="15"/>
  <c r="B115" i="15"/>
  <c r="Z114" i="15"/>
  <c r="X114" i="15"/>
  <c r="T114" i="15"/>
  <c r="P114" i="15"/>
  <c r="H114" i="15"/>
  <c r="D114" i="15"/>
  <c r="L114" i="15" s="1"/>
  <c r="N114" i="15" s="1"/>
  <c r="T112" i="15"/>
  <c r="P112" i="15"/>
  <c r="N112" i="15"/>
  <c r="L112" i="15"/>
  <c r="H112" i="15"/>
  <c r="D112" i="15"/>
  <c r="B112" i="15"/>
  <c r="X111" i="15"/>
  <c r="Z111" i="15" s="1"/>
  <c r="T111" i="15"/>
  <c r="P111" i="15"/>
  <c r="N111" i="15"/>
  <c r="L111" i="15"/>
  <c r="H111" i="15"/>
  <c r="D111" i="15"/>
  <c r="B111" i="15"/>
  <c r="T110" i="15"/>
  <c r="P110" i="15"/>
  <c r="X110" i="15" s="1"/>
  <c r="Z110" i="15" s="1"/>
  <c r="H110" i="15"/>
  <c r="D110" i="15"/>
  <c r="L110" i="15" s="1"/>
  <c r="N110" i="15" s="1"/>
  <c r="B110" i="15"/>
  <c r="X109" i="15"/>
  <c r="T109" i="15"/>
  <c r="Z109" i="15" s="1"/>
  <c r="P109" i="15"/>
  <c r="H109" i="15"/>
  <c r="D109" i="15"/>
  <c r="L109" i="15" s="1"/>
  <c r="B109" i="15"/>
  <c r="Z108" i="15"/>
  <c r="X108" i="15"/>
  <c r="T108" i="15"/>
  <c r="P108" i="15"/>
  <c r="H108" i="15"/>
  <c r="D108" i="15"/>
  <c r="B108" i="15"/>
  <c r="Z107" i="15"/>
  <c r="X107" i="15"/>
  <c r="T107" i="15"/>
  <c r="P107" i="15"/>
  <c r="N107" i="15"/>
  <c r="L107" i="15"/>
  <c r="H107" i="15"/>
  <c r="D107" i="15"/>
  <c r="B107" i="15"/>
  <c r="T106" i="15"/>
  <c r="P106" i="15"/>
  <c r="X106" i="15" s="1"/>
  <c r="Z106" i="15" s="1"/>
  <c r="N106" i="15"/>
  <c r="H106" i="15"/>
  <c r="D106" i="15"/>
  <c r="L106" i="15" s="1"/>
  <c r="B106" i="15"/>
  <c r="T105" i="15"/>
  <c r="Z105" i="15" s="1"/>
  <c r="P105" i="15"/>
  <c r="X105" i="15" s="1"/>
  <c r="L105" i="15"/>
  <c r="H105" i="15"/>
  <c r="N105" i="15" s="1"/>
  <c r="D105" i="15"/>
  <c r="B105" i="15"/>
  <c r="T104" i="15"/>
  <c r="P104" i="15"/>
  <c r="N104" i="15"/>
  <c r="L104" i="15"/>
  <c r="H104" i="15"/>
  <c r="D104" i="15"/>
  <c r="B104" i="15"/>
  <c r="X103" i="15"/>
  <c r="Z103" i="15" s="1"/>
  <c r="T103" i="15"/>
  <c r="P103" i="15"/>
  <c r="N103" i="15"/>
  <c r="L103" i="15"/>
  <c r="H103" i="15"/>
  <c r="D103" i="15"/>
  <c r="B103" i="15"/>
  <c r="T102" i="15"/>
  <c r="P102" i="15"/>
  <c r="X102" i="15" s="1"/>
  <c r="Z102" i="15" s="1"/>
  <c r="H102" i="15"/>
  <c r="D102" i="15"/>
  <c r="L102" i="15" s="1"/>
  <c r="N102" i="15" s="1"/>
  <c r="B102" i="15"/>
  <c r="X101" i="15"/>
  <c r="T101" i="15"/>
  <c r="Z101" i="15" s="1"/>
  <c r="P101" i="15"/>
  <c r="H101" i="15"/>
  <c r="D101" i="15"/>
  <c r="L101" i="15" s="1"/>
  <c r="B101" i="15"/>
  <c r="Z100" i="15"/>
  <c r="X100" i="15"/>
  <c r="T100" i="15"/>
  <c r="P100" i="15"/>
  <c r="H100" i="15"/>
  <c r="N100" i="15" s="1"/>
  <c r="D100" i="15"/>
  <c r="B100" i="15"/>
  <c r="Z99" i="15"/>
  <c r="X99" i="15"/>
  <c r="T99" i="15"/>
  <c r="P99" i="15"/>
  <c r="L99" i="15"/>
  <c r="N99" i="15" s="1"/>
  <c r="H99" i="15"/>
  <c r="D99" i="15"/>
  <c r="B99" i="15"/>
  <c r="T98" i="15"/>
  <c r="P98" i="15"/>
  <c r="X98" i="15" s="1"/>
  <c r="Z98" i="15" s="1"/>
  <c r="H98" i="15"/>
  <c r="D98" i="15"/>
  <c r="L98" i="15" s="1"/>
  <c r="N98" i="15" s="1"/>
  <c r="B98" i="15"/>
  <c r="T97" i="15"/>
  <c r="P97" i="15"/>
  <c r="X97" i="15" s="1"/>
  <c r="L97" i="15"/>
  <c r="H97" i="15"/>
  <c r="N97" i="15" s="1"/>
  <c r="D97" i="15"/>
  <c r="B97" i="15"/>
  <c r="T96" i="15"/>
  <c r="P96" i="15"/>
  <c r="N96" i="15"/>
  <c r="L96" i="15"/>
  <c r="H96" i="15"/>
  <c r="D96" i="15"/>
  <c r="B96" i="15"/>
  <c r="X95" i="15"/>
  <c r="Z95" i="15" s="1"/>
  <c r="T95" i="15"/>
  <c r="P95" i="15"/>
  <c r="N95" i="15"/>
  <c r="L95" i="15"/>
  <c r="H95" i="15"/>
  <c r="D95" i="15"/>
  <c r="B95" i="15"/>
  <c r="T94" i="15"/>
  <c r="P94" i="15"/>
  <c r="X94" i="15" s="1"/>
  <c r="Z94" i="15" s="1"/>
  <c r="H94" i="15"/>
  <c r="D94" i="15"/>
  <c r="L94" i="15" s="1"/>
  <c r="N94" i="15" s="1"/>
  <c r="B94" i="15"/>
  <c r="X93" i="15"/>
  <c r="T93" i="15"/>
  <c r="Z93" i="15" s="1"/>
  <c r="P93" i="15"/>
  <c r="H93" i="15"/>
  <c r="N93" i="15" s="1"/>
  <c r="D93" i="15"/>
  <c r="L93" i="15" s="1"/>
  <c r="B93" i="15"/>
  <c r="Z92" i="15"/>
  <c r="X92" i="15"/>
  <c r="T92" i="15"/>
  <c r="P92" i="15"/>
  <c r="H92" i="15"/>
  <c r="D92" i="15"/>
  <c r="B92" i="15"/>
  <c r="Z91" i="15"/>
  <c r="X91" i="15"/>
  <c r="T91" i="15"/>
  <c r="P91" i="15"/>
  <c r="L91" i="15"/>
  <c r="N91" i="15" s="1"/>
  <c r="H91" i="15"/>
  <c r="D91" i="15"/>
  <c r="B91" i="15"/>
  <c r="T90" i="15"/>
  <c r="P90" i="15"/>
  <c r="X90" i="15" s="1"/>
  <c r="Z90" i="15" s="1"/>
  <c r="H90" i="15"/>
  <c r="D90" i="15"/>
  <c r="L90" i="15" s="1"/>
  <c r="N90" i="15" s="1"/>
  <c r="B90" i="15"/>
  <c r="T89" i="15"/>
  <c r="Z89" i="15" s="1"/>
  <c r="P89" i="15"/>
  <c r="X89" i="15" s="1"/>
  <c r="L89" i="15"/>
  <c r="H89" i="15"/>
  <c r="N89" i="15" s="1"/>
  <c r="D89" i="15"/>
  <c r="B89" i="15"/>
  <c r="T88" i="15"/>
  <c r="P88" i="15"/>
  <c r="N88" i="15"/>
  <c r="L88" i="15"/>
  <c r="H88" i="15"/>
  <c r="D88" i="15"/>
  <c r="B88" i="15"/>
  <c r="X87" i="15"/>
  <c r="Z87" i="15" s="1"/>
  <c r="T87" i="15"/>
  <c r="P87" i="15"/>
  <c r="N87" i="15"/>
  <c r="L87" i="15"/>
  <c r="H87" i="15"/>
  <c r="D87" i="15"/>
  <c r="B87" i="15"/>
  <c r="T86" i="15"/>
  <c r="P86" i="15"/>
  <c r="X86" i="15" s="1"/>
  <c r="Z86" i="15" s="1"/>
  <c r="H86" i="15"/>
  <c r="D86" i="15"/>
  <c r="L86" i="15" s="1"/>
  <c r="N86" i="15" s="1"/>
  <c r="B86" i="15"/>
  <c r="X85" i="15"/>
  <c r="T85" i="15"/>
  <c r="Z85" i="15" s="1"/>
  <c r="P85" i="15"/>
  <c r="H85" i="15"/>
  <c r="N85" i="15" s="1"/>
  <c r="D85" i="15"/>
  <c r="L85" i="15" s="1"/>
  <c r="B85" i="15"/>
  <c r="Z84" i="15"/>
  <c r="X84" i="15"/>
  <c r="T84" i="15"/>
  <c r="P84" i="15"/>
  <c r="H84" i="15"/>
  <c r="N84" i="15" s="1"/>
  <c r="D84" i="15"/>
  <c r="B84" i="15"/>
  <c r="Z83" i="15"/>
  <c r="X83" i="15"/>
  <c r="T83" i="15"/>
  <c r="P83" i="15"/>
  <c r="N83" i="15"/>
  <c r="L83" i="15"/>
  <c r="H83" i="15"/>
  <c r="D83" i="15"/>
  <c r="B83" i="15"/>
  <c r="T82" i="15"/>
  <c r="P82" i="15"/>
  <c r="X82" i="15" s="1"/>
  <c r="Z82" i="15" s="1"/>
  <c r="N82" i="15"/>
  <c r="H82" i="15"/>
  <c r="D82" i="15"/>
  <c r="L82" i="15" s="1"/>
  <c r="B82" i="15"/>
  <c r="T81" i="15"/>
  <c r="Z81" i="15" s="1"/>
  <c r="P81" i="15"/>
  <c r="X81" i="15" s="1"/>
  <c r="L81" i="15"/>
  <c r="H81" i="15"/>
  <c r="N81" i="15" s="1"/>
  <c r="D81" i="15"/>
  <c r="B81" i="15"/>
  <c r="T80" i="15"/>
  <c r="P80" i="15"/>
  <c r="N80" i="15"/>
  <c r="L80" i="15"/>
  <c r="H80" i="15"/>
  <c r="D80" i="15"/>
  <c r="B80" i="15"/>
  <c r="X79" i="15"/>
  <c r="Z79" i="15" s="1"/>
  <c r="T79" i="15"/>
  <c r="P79" i="15"/>
  <c r="N79" i="15"/>
  <c r="L79" i="15"/>
  <c r="H79" i="15"/>
  <c r="D79" i="15"/>
  <c r="B79" i="15"/>
  <c r="T78" i="15"/>
  <c r="P78" i="15"/>
  <c r="X78" i="15" s="1"/>
  <c r="Z78" i="15" s="1"/>
  <c r="N78" i="15"/>
  <c r="H78" i="15"/>
  <c r="D78" i="15"/>
  <c r="L78" i="15" s="1"/>
  <c r="B78" i="15"/>
  <c r="X77" i="15"/>
  <c r="T77" i="15"/>
  <c r="Z77" i="15" s="1"/>
  <c r="P77" i="15"/>
  <c r="H77" i="15"/>
  <c r="N77" i="15" s="1"/>
  <c r="D77" i="15"/>
  <c r="L77" i="15" s="1"/>
  <c r="B77" i="15"/>
  <c r="Z76" i="15"/>
  <c r="X76" i="15"/>
  <c r="T76" i="15"/>
  <c r="P76" i="15"/>
  <c r="H76" i="15"/>
  <c r="N76" i="15" s="1"/>
  <c r="D76" i="15"/>
  <c r="B76" i="15"/>
  <c r="Z75" i="15"/>
  <c r="X75" i="15"/>
  <c r="T75" i="15"/>
  <c r="P75" i="15"/>
  <c r="N75" i="15"/>
  <c r="L75" i="15"/>
  <c r="H75" i="15"/>
  <c r="D75" i="15"/>
  <c r="B75" i="15"/>
  <c r="T74" i="15"/>
  <c r="P74" i="15"/>
  <c r="X74" i="15" s="1"/>
  <c r="Z74" i="15" s="1"/>
  <c r="N74" i="15"/>
  <c r="H74" i="15"/>
  <c r="D74" i="15"/>
  <c r="L74" i="15" s="1"/>
  <c r="B74" i="15"/>
  <c r="T73" i="15"/>
  <c r="P73" i="15"/>
  <c r="X73" i="15" s="1"/>
  <c r="H73" i="15"/>
  <c r="N73" i="15" s="1"/>
  <c r="D73" i="15"/>
  <c r="L73" i="15" s="1"/>
  <c r="B73" i="15"/>
  <c r="T72" i="15"/>
  <c r="P72" i="15"/>
  <c r="H72" i="15"/>
  <c r="N72" i="15" s="1"/>
  <c r="D72" i="15"/>
  <c r="B72" i="15"/>
  <c r="X71" i="15"/>
  <c r="Z71" i="15" s="1"/>
  <c r="T71" i="15"/>
  <c r="P71" i="15"/>
  <c r="L71" i="15"/>
  <c r="N71" i="15" s="1"/>
  <c r="H71" i="15"/>
  <c r="D71" i="15"/>
  <c r="B71" i="15"/>
  <c r="T70" i="15"/>
  <c r="P70" i="15"/>
  <c r="X70" i="15" s="1"/>
  <c r="Z70" i="15" s="1"/>
  <c r="H70" i="15"/>
  <c r="D70" i="15"/>
  <c r="L70" i="15" s="1"/>
  <c r="N70" i="15" s="1"/>
  <c r="B70" i="15"/>
  <c r="T69" i="15"/>
  <c r="P69" i="15"/>
  <c r="X69" i="15" s="1"/>
  <c r="H69" i="15"/>
  <c r="N69" i="15" s="1"/>
  <c r="D69" i="15"/>
  <c r="L69" i="15" s="1"/>
  <c r="B69" i="15"/>
  <c r="T68" i="15"/>
  <c r="P68" i="15"/>
  <c r="H68" i="15"/>
  <c r="D68" i="15"/>
  <c r="B68" i="15"/>
  <c r="X67" i="15"/>
  <c r="Z67" i="15" s="1"/>
  <c r="T67" i="15"/>
  <c r="P67" i="15"/>
  <c r="L67" i="15"/>
  <c r="N67" i="15" s="1"/>
  <c r="H67" i="15"/>
  <c r="D67" i="15"/>
  <c r="B67" i="15"/>
  <c r="T66" i="15"/>
  <c r="P66" i="15"/>
  <c r="X66" i="15" s="1"/>
  <c r="Z66" i="15" s="1"/>
  <c r="H66" i="15"/>
  <c r="D66" i="15"/>
  <c r="L66" i="15" s="1"/>
  <c r="N66" i="15" s="1"/>
  <c r="B66" i="15"/>
  <c r="T65" i="15"/>
  <c r="P65" i="15"/>
  <c r="X65" i="15" s="1"/>
  <c r="H65" i="15"/>
  <c r="N65" i="15" s="1"/>
  <c r="D65" i="15"/>
  <c r="L65" i="15" s="1"/>
  <c r="B65" i="15"/>
  <c r="T64" i="15"/>
  <c r="P64" i="15"/>
  <c r="H64" i="15"/>
  <c r="N64" i="15" s="1"/>
  <c r="D64" i="15"/>
  <c r="B64" i="15"/>
  <c r="X63" i="15"/>
  <c r="Z63" i="15" s="1"/>
  <c r="T63" i="15"/>
  <c r="P63" i="15"/>
  <c r="N63" i="15"/>
  <c r="L63" i="15"/>
  <c r="H63" i="15"/>
  <c r="D63" i="15"/>
  <c r="B63" i="15"/>
  <c r="T62" i="15"/>
  <c r="P62" i="15"/>
  <c r="X62" i="15" s="1"/>
  <c r="Z62" i="15" s="1"/>
  <c r="H62" i="15"/>
  <c r="D62" i="15"/>
  <c r="L62" i="15" s="1"/>
  <c r="N62" i="15" s="1"/>
  <c r="B62" i="15"/>
  <c r="T61" i="15"/>
  <c r="Z61" i="15" s="1"/>
  <c r="P61" i="15"/>
  <c r="X61" i="15" s="1"/>
  <c r="H61" i="15"/>
  <c r="N61" i="15" s="1"/>
  <c r="D61" i="15"/>
  <c r="L61" i="15" s="1"/>
  <c r="B61" i="15"/>
  <c r="T60" i="15"/>
  <c r="P60" i="15"/>
  <c r="H60" i="15"/>
  <c r="D60" i="15"/>
  <c r="B60" i="15"/>
  <c r="X59" i="15"/>
  <c r="Z59" i="15" s="1"/>
  <c r="T59" i="15"/>
  <c r="P59" i="15"/>
  <c r="L59" i="15"/>
  <c r="N59" i="15" s="1"/>
  <c r="H59" i="15"/>
  <c r="D59" i="15"/>
  <c r="B59" i="15"/>
  <c r="T58" i="15"/>
  <c r="P58" i="15"/>
  <c r="X58" i="15" s="1"/>
  <c r="Z58" i="15" s="1"/>
  <c r="H58" i="15"/>
  <c r="D58" i="15"/>
  <c r="L58" i="15" s="1"/>
  <c r="N58" i="15" s="1"/>
  <c r="B58" i="15"/>
  <c r="T57" i="15"/>
  <c r="Z57" i="15" s="1"/>
  <c r="P57" i="15"/>
  <c r="X57" i="15" s="1"/>
  <c r="H57" i="15"/>
  <c r="N57" i="15" s="1"/>
  <c r="D57" i="15"/>
  <c r="L57" i="15" s="1"/>
  <c r="B57" i="15"/>
  <c r="T56" i="15"/>
  <c r="P56" i="15"/>
  <c r="H56" i="15"/>
  <c r="D56" i="15"/>
  <c r="B56" i="15"/>
  <c r="X55" i="15"/>
  <c r="Z55" i="15" s="1"/>
  <c r="T55" i="15"/>
  <c r="P55" i="15"/>
  <c r="L55" i="15"/>
  <c r="N55" i="15" s="1"/>
  <c r="H55" i="15"/>
  <c r="D55" i="15"/>
  <c r="B55" i="15"/>
  <c r="T54" i="15"/>
  <c r="P54" i="15"/>
  <c r="X54" i="15" s="1"/>
  <c r="Z54" i="15" s="1"/>
  <c r="N54" i="15"/>
  <c r="H54" i="15"/>
  <c r="D54" i="15"/>
  <c r="L54" i="15" s="1"/>
  <c r="B54" i="15"/>
  <c r="T53" i="15"/>
  <c r="P53" i="15"/>
  <c r="X53" i="15" s="1"/>
  <c r="H53" i="15"/>
  <c r="N53" i="15" s="1"/>
  <c r="D53" i="15"/>
  <c r="L53" i="15" s="1"/>
  <c r="B53" i="15"/>
  <c r="T52" i="15"/>
  <c r="P52" i="15"/>
  <c r="H52" i="15"/>
  <c r="D52" i="15"/>
  <c r="B52" i="15"/>
  <c r="X51" i="15"/>
  <c r="Z51" i="15" s="1"/>
  <c r="T51" i="15"/>
  <c r="P51" i="15"/>
  <c r="L51" i="15"/>
  <c r="N51" i="15" s="1"/>
  <c r="H51" i="15"/>
  <c r="D51" i="15"/>
  <c r="B51" i="15"/>
  <c r="T50" i="15"/>
  <c r="P50" i="15"/>
  <c r="X50" i="15" s="1"/>
  <c r="Z50" i="15" s="1"/>
  <c r="N50" i="15"/>
  <c r="H50" i="15"/>
  <c r="D50" i="15"/>
  <c r="L50" i="15" s="1"/>
  <c r="B50" i="15"/>
  <c r="T49" i="15"/>
  <c r="Z49" i="15" s="1"/>
  <c r="P49" i="15"/>
  <c r="X49" i="15" s="1"/>
  <c r="H49" i="15"/>
  <c r="N49" i="15" s="1"/>
  <c r="D49" i="15"/>
  <c r="L49" i="15" s="1"/>
  <c r="B49" i="15"/>
  <c r="T48" i="15"/>
  <c r="P48" i="15"/>
  <c r="H48" i="15"/>
  <c r="D48" i="15"/>
  <c r="B48" i="15"/>
  <c r="X47" i="15"/>
  <c r="Z47" i="15" s="1"/>
  <c r="T47" i="15"/>
  <c r="P47" i="15"/>
  <c r="L47" i="15"/>
  <c r="N47" i="15" s="1"/>
  <c r="H47" i="15"/>
  <c r="D47" i="15"/>
  <c r="B47" i="15"/>
  <c r="T46" i="15"/>
  <c r="P46" i="15"/>
  <c r="X46" i="15" s="1"/>
  <c r="Z46" i="15" s="1"/>
  <c r="N46" i="15"/>
  <c r="H46" i="15"/>
  <c r="D46" i="15"/>
  <c r="L46" i="15" s="1"/>
  <c r="B46" i="15"/>
  <c r="T45" i="15"/>
  <c r="P45" i="15"/>
  <c r="X45" i="15" s="1"/>
  <c r="H45" i="15"/>
  <c r="D45" i="15"/>
  <c r="L45" i="15" s="1"/>
  <c r="B45" i="15"/>
  <c r="T44" i="15"/>
  <c r="P44" i="15"/>
  <c r="H44" i="15"/>
  <c r="N44" i="15" s="1"/>
  <c r="D44" i="15"/>
  <c r="B44" i="15"/>
  <c r="X43" i="15"/>
  <c r="Z43" i="15" s="1"/>
  <c r="T43" i="15"/>
  <c r="P43" i="15"/>
  <c r="N43" i="15"/>
  <c r="L43" i="15"/>
  <c r="H43" i="15"/>
  <c r="D43" i="15"/>
  <c r="B43" i="15"/>
  <c r="T42" i="15"/>
  <c r="P42" i="15"/>
  <c r="X42" i="15" s="1"/>
  <c r="Z42" i="15" s="1"/>
  <c r="N42" i="15"/>
  <c r="H42" i="15"/>
  <c r="D42" i="15"/>
  <c r="L42" i="15" s="1"/>
  <c r="B42" i="15"/>
  <c r="T41" i="15"/>
  <c r="P41" i="15"/>
  <c r="X41" i="15" s="1"/>
  <c r="H41" i="15"/>
  <c r="N41" i="15" s="1"/>
  <c r="D41" i="15"/>
  <c r="L41" i="15" s="1"/>
  <c r="B41" i="15"/>
  <c r="T40" i="15"/>
  <c r="P40" i="15"/>
  <c r="H40" i="15"/>
  <c r="N40" i="15" s="1"/>
  <c r="D40" i="15"/>
  <c r="B40" i="15"/>
  <c r="X39" i="15"/>
  <c r="Z39" i="15" s="1"/>
  <c r="T39" i="15"/>
  <c r="P39" i="15"/>
  <c r="L39" i="15"/>
  <c r="N39" i="15" s="1"/>
  <c r="H39" i="15"/>
  <c r="D39" i="15"/>
  <c r="B39" i="15"/>
  <c r="T38" i="15"/>
  <c r="P38" i="15"/>
  <c r="X38" i="15" s="1"/>
  <c r="Z38" i="15" s="1"/>
  <c r="H38" i="15"/>
  <c r="D38" i="15"/>
  <c r="L38" i="15" s="1"/>
  <c r="N38" i="15" s="1"/>
  <c r="B38" i="15"/>
  <c r="T37" i="15"/>
  <c r="P37" i="15"/>
  <c r="X37" i="15" s="1"/>
  <c r="H37" i="15"/>
  <c r="D37" i="15"/>
  <c r="L37" i="15" s="1"/>
  <c r="B37" i="15"/>
  <c r="T36" i="15"/>
  <c r="P36" i="15"/>
  <c r="H36" i="15"/>
  <c r="D36" i="15"/>
  <c r="B36" i="15"/>
  <c r="X35" i="15"/>
  <c r="Z35" i="15" s="1"/>
  <c r="T35" i="15"/>
  <c r="P35" i="15"/>
  <c r="L35" i="15"/>
  <c r="N35" i="15" s="1"/>
  <c r="H35" i="15"/>
  <c r="D35" i="15"/>
  <c r="B35" i="15"/>
  <c r="T34" i="15"/>
  <c r="P34" i="15"/>
  <c r="X34" i="15" s="1"/>
  <c r="Z34" i="15" s="1"/>
  <c r="H34" i="15"/>
  <c r="D34" i="15"/>
  <c r="L34" i="15" s="1"/>
  <c r="N34" i="15" s="1"/>
  <c r="B34" i="15"/>
  <c r="T33" i="15"/>
  <c r="P33" i="15"/>
  <c r="X33" i="15" s="1"/>
  <c r="H33" i="15"/>
  <c r="N33" i="15" s="1"/>
  <c r="D33" i="15"/>
  <c r="L33" i="15" s="1"/>
  <c r="B33" i="15"/>
  <c r="T32" i="15"/>
  <c r="P32" i="15"/>
  <c r="H32" i="15"/>
  <c r="N32" i="15" s="1"/>
  <c r="D32" i="15"/>
  <c r="B32" i="15"/>
  <c r="X31" i="15"/>
  <c r="Z31" i="15" s="1"/>
  <c r="T31" i="15"/>
  <c r="P31" i="15"/>
  <c r="N31" i="15"/>
  <c r="L31" i="15"/>
  <c r="H31" i="15"/>
  <c r="D31" i="15"/>
  <c r="B31" i="15"/>
  <c r="T30" i="15"/>
  <c r="P30" i="15"/>
  <c r="X30" i="15" s="1"/>
  <c r="Z30" i="15" s="1"/>
  <c r="N30" i="15"/>
  <c r="H30" i="15"/>
  <c r="D30" i="15"/>
  <c r="L30" i="15" s="1"/>
  <c r="B30" i="15"/>
  <c r="T29" i="15"/>
  <c r="P29" i="15"/>
  <c r="X29" i="15" s="1"/>
  <c r="H29" i="15"/>
  <c r="N29" i="15" s="1"/>
  <c r="D29" i="15"/>
  <c r="L29" i="15" s="1"/>
  <c r="B29" i="15"/>
  <c r="T28" i="15"/>
  <c r="P28" i="15"/>
  <c r="H28" i="15"/>
  <c r="N28" i="15" s="1"/>
  <c r="D28" i="15"/>
  <c r="B28" i="15"/>
  <c r="X27" i="15"/>
  <c r="Z27" i="15" s="1"/>
  <c r="T27" i="15"/>
  <c r="P27" i="15"/>
  <c r="L27" i="15"/>
  <c r="N27" i="15" s="1"/>
  <c r="H27" i="15"/>
  <c r="D27" i="15"/>
  <c r="B27" i="15"/>
  <c r="T26" i="15"/>
  <c r="P26" i="15"/>
  <c r="X26" i="15" s="1"/>
  <c r="Z26" i="15" s="1"/>
  <c r="H26" i="15"/>
  <c r="D26" i="15"/>
  <c r="L26" i="15" s="1"/>
  <c r="N26" i="15" s="1"/>
  <c r="B26" i="15"/>
  <c r="T25" i="15"/>
  <c r="P25" i="15"/>
  <c r="X25" i="15" s="1"/>
  <c r="H25" i="15"/>
  <c r="D25" i="15"/>
  <c r="L25" i="15" s="1"/>
  <c r="B25" i="15"/>
  <c r="T24" i="15"/>
  <c r="P24" i="15"/>
  <c r="H24" i="15"/>
  <c r="D24" i="15"/>
  <c r="B24" i="15"/>
  <c r="X23" i="15"/>
  <c r="Z23" i="15" s="1"/>
  <c r="T23" i="15"/>
  <c r="P23" i="15"/>
  <c r="N23" i="15"/>
  <c r="L23" i="15"/>
  <c r="H23" i="15"/>
  <c r="D23" i="15"/>
  <c r="B23" i="15"/>
  <c r="T22" i="15"/>
  <c r="P22" i="15"/>
  <c r="X22" i="15" s="1"/>
  <c r="Z22" i="15" s="1"/>
  <c r="N22" i="15"/>
  <c r="H22" i="15"/>
  <c r="D22" i="15"/>
  <c r="L22" i="15" s="1"/>
  <c r="B22" i="15"/>
  <c r="T21" i="15"/>
  <c r="P21" i="15"/>
  <c r="X21" i="15" s="1"/>
  <c r="H21" i="15"/>
  <c r="N21" i="15" s="1"/>
  <c r="D21" i="15"/>
  <c r="L21" i="15" s="1"/>
  <c r="B21" i="15"/>
  <c r="T20" i="15"/>
  <c r="P20" i="15"/>
  <c r="H20" i="15"/>
  <c r="D20" i="15"/>
  <c r="B20" i="15"/>
  <c r="X19" i="15"/>
  <c r="Z19" i="15" s="1"/>
  <c r="T19" i="15"/>
  <c r="P19" i="15"/>
  <c r="L19" i="15"/>
  <c r="N19" i="15" s="1"/>
  <c r="H19" i="15"/>
  <c r="D19" i="15"/>
  <c r="B19" i="15"/>
  <c r="T18" i="15"/>
  <c r="P18" i="15"/>
  <c r="X18" i="15" s="1"/>
  <c r="Z18" i="15" s="1"/>
  <c r="N18" i="15"/>
  <c r="H18" i="15"/>
  <c r="D18" i="15"/>
  <c r="L18" i="15" s="1"/>
  <c r="B18" i="15"/>
  <c r="T17" i="15"/>
  <c r="P17" i="15"/>
  <c r="X17" i="15" s="1"/>
  <c r="H17" i="15"/>
  <c r="N17" i="15" s="1"/>
  <c r="D17" i="15"/>
  <c r="L17" i="15" s="1"/>
  <c r="B17" i="15"/>
  <c r="T16" i="15"/>
  <c r="T12" i="15" s="1"/>
  <c r="P16" i="15"/>
  <c r="H16" i="15"/>
  <c r="D16" i="15"/>
  <c r="B16" i="15"/>
  <c r="X15" i="15"/>
  <c r="Z15" i="15" s="1"/>
  <c r="T15" i="15"/>
  <c r="P15" i="15"/>
  <c r="L15" i="15"/>
  <c r="N15" i="15" s="1"/>
  <c r="H15" i="15"/>
  <c r="D15" i="15"/>
  <c r="B15" i="15"/>
  <c r="T14" i="15"/>
  <c r="P14" i="15"/>
  <c r="X14" i="15" s="1"/>
  <c r="Z14" i="15" s="1"/>
  <c r="H14" i="15"/>
  <c r="D14" i="15"/>
  <c r="L14" i="15" s="1"/>
  <c r="N14" i="15" s="1"/>
  <c r="B14" i="15"/>
  <c r="T13" i="15"/>
  <c r="Z13" i="15" s="1"/>
  <c r="P13" i="15"/>
  <c r="P12" i="15" s="1"/>
  <c r="H13" i="15"/>
  <c r="N13" i="15" s="1"/>
  <c r="D13" i="15"/>
  <c r="L13" i="15" s="1"/>
  <c r="B13" i="15"/>
  <c r="H12" i="15"/>
  <c r="D4" i="15"/>
  <c r="B39" i="14"/>
  <c r="B38" i="14"/>
  <c r="T34" i="14"/>
  <c r="Z34" i="14" s="1"/>
  <c r="P34" i="14"/>
  <c r="H34" i="14"/>
  <c r="N34" i="14" s="1"/>
  <c r="D34" i="14"/>
  <c r="T33" i="14"/>
  <c r="Z33" i="14" s="1"/>
  <c r="P33" i="14"/>
  <c r="H33" i="14"/>
  <c r="N33" i="14" s="1"/>
  <c r="D33" i="14"/>
  <c r="T29" i="14"/>
  <c r="Z29" i="14" s="1"/>
  <c r="P29" i="14"/>
  <c r="H29" i="14"/>
  <c r="N29" i="14" s="1"/>
  <c r="D29" i="14"/>
  <c r="T25" i="14"/>
  <c r="Z25" i="14" s="1"/>
  <c r="P25" i="14"/>
  <c r="H25" i="14"/>
  <c r="N25" i="14" s="1"/>
  <c r="D25" i="14"/>
  <c r="B25" i="14"/>
  <c r="T24" i="14"/>
  <c r="Z24" i="14" s="1"/>
  <c r="P24" i="14"/>
  <c r="H24" i="14"/>
  <c r="N24" i="14" s="1"/>
  <c r="D24" i="14"/>
  <c r="T22" i="14"/>
  <c r="Z22" i="14" s="1"/>
  <c r="P22" i="14"/>
  <c r="H22" i="14"/>
  <c r="N22" i="14" s="1"/>
  <c r="D22" i="14"/>
  <c r="B22" i="14"/>
  <c r="T21" i="14"/>
  <c r="Z21" i="14" s="1"/>
  <c r="P21" i="14"/>
  <c r="H21" i="14"/>
  <c r="N21" i="14" s="1"/>
  <c r="D21" i="14"/>
  <c r="B21" i="14"/>
  <c r="T20" i="14"/>
  <c r="Z20" i="14" s="1"/>
  <c r="P20" i="14"/>
  <c r="H20" i="14"/>
  <c r="N20" i="14" s="1"/>
  <c r="D20" i="14"/>
  <c r="T16" i="14"/>
  <c r="Z16" i="14" s="1"/>
  <c r="P16" i="14"/>
  <c r="H16" i="14"/>
  <c r="N16" i="14" s="1"/>
  <c r="D16" i="14"/>
  <c r="B16" i="14"/>
  <c r="T15" i="14"/>
  <c r="Z15" i="14" s="1"/>
  <c r="P15" i="14"/>
  <c r="X15" i="14" s="1"/>
  <c r="H15" i="14"/>
  <c r="N15" i="14" s="1"/>
  <c r="D15" i="14"/>
  <c r="T13" i="14"/>
  <c r="Z13" i="14" s="1"/>
  <c r="P13" i="14"/>
  <c r="H13" i="14"/>
  <c r="N13" i="14" s="1"/>
  <c r="D13" i="14"/>
  <c r="B13" i="14"/>
  <c r="T12" i="14"/>
  <c r="V24" i="14" s="1"/>
  <c r="P12" i="14"/>
  <c r="R34" i="14" s="1"/>
  <c r="H12" i="14"/>
  <c r="J18" i="14" s="1"/>
  <c r="D12" i="14"/>
  <c r="F21" i="14" s="1"/>
  <c r="D5" i="14"/>
  <c r="D4" i="14"/>
  <c r="B39" i="13"/>
  <c r="B38" i="13"/>
  <c r="T34" i="13"/>
  <c r="Z34" i="13" s="1"/>
  <c r="P34" i="13"/>
  <c r="H34" i="13"/>
  <c r="N34" i="13" s="1"/>
  <c r="D34" i="13"/>
  <c r="T33" i="13"/>
  <c r="Z33" i="13" s="1"/>
  <c r="P33" i="13"/>
  <c r="H33" i="13"/>
  <c r="N33" i="13" s="1"/>
  <c r="D33" i="13"/>
  <c r="T29" i="13"/>
  <c r="Z29" i="13" s="1"/>
  <c r="P29" i="13"/>
  <c r="H29" i="13"/>
  <c r="N29" i="13" s="1"/>
  <c r="D29" i="13"/>
  <c r="T25" i="13"/>
  <c r="Z25" i="13" s="1"/>
  <c r="P25" i="13"/>
  <c r="H25" i="13"/>
  <c r="N25" i="13" s="1"/>
  <c r="D25" i="13"/>
  <c r="B25" i="13"/>
  <c r="T24" i="13"/>
  <c r="Z24" i="13" s="1"/>
  <c r="P24" i="13"/>
  <c r="H24" i="13"/>
  <c r="N24" i="13" s="1"/>
  <c r="D24" i="13"/>
  <c r="T22" i="13"/>
  <c r="Z22" i="13" s="1"/>
  <c r="P22" i="13"/>
  <c r="H22" i="13"/>
  <c r="N22" i="13" s="1"/>
  <c r="D22" i="13"/>
  <c r="B22" i="13"/>
  <c r="T21" i="13"/>
  <c r="Z21" i="13" s="1"/>
  <c r="P21" i="13"/>
  <c r="H21" i="13"/>
  <c r="N21" i="13" s="1"/>
  <c r="D21" i="13"/>
  <c r="B21" i="13"/>
  <c r="T20" i="13"/>
  <c r="Z20" i="13" s="1"/>
  <c r="P20" i="13"/>
  <c r="H20" i="13"/>
  <c r="N20" i="13" s="1"/>
  <c r="D20" i="13"/>
  <c r="T16" i="13"/>
  <c r="Z16" i="13" s="1"/>
  <c r="P16" i="13"/>
  <c r="H16" i="13"/>
  <c r="N16" i="13" s="1"/>
  <c r="D16" i="13"/>
  <c r="B16" i="13"/>
  <c r="T15" i="13"/>
  <c r="Z15" i="13" s="1"/>
  <c r="P15" i="13"/>
  <c r="H15" i="13"/>
  <c r="N15" i="13" s="1"/>
  <c r="D15" i="13"/>
  <c r="T13" i="13"/>
  <c r="Z13" i="13" s="1"/>
  <c r="P13" i="13"/>
  <c r="H13" i="13"/>
  <c r="N13" i="13" s="1"/>
  <c r="D13" i="13"/>
  <c r="B13" i="13"/>
  <c r="T12" i="13"/>
  <c r="V24" i="13" s="1"/>
  <c r="P12" i="13"/>
  <c r="R20" i="13" s="1"/>
  <c r="H12" i="13"/>
  <c r="J18" i="13" s="1"/>
  <c r="D12" i="13"/>
  <c r="F34" i="13" s="1"/>
  <c r="D5" i="13"/>
  <c r="D4" i="13"/>
  <c r="X315" i="12"/>
  <c r="Z315" i="12" s="1"/>
  <c r="L315" i="12"/>
  <c r="N315" i="12" s="1"/>
  <c r="T311" i="12"/>
  <c r="P311" i="12"/>
  <c r="L311" i="12"/>
  <c r="H311" i="12"/>
  <c r="N311" i="12" s="1"/>
  <c r="D311" i="12"/>
  <c r="B311" i="12"/>
  <c r="T310" i="12"/>
  <c r="P310" i="12"/>
  <c r="X310" i="12" s="1"/>
  <c r="Z310" i="12" s="1"/>
  <c r="N310" i="12"/>
  <c r="H310" i="12"/>
  <c r="L310" i="12" s="1"/>
  <c r="D310" i="12"/>
  <c r="B310" i="12"/>
  <c r="T309" i="12"/>
  <c r="P309" i="12"/>
  <c r="X309" i="12" s="1"/>
  <c r="Z309" i="12" s="1"/>
  <c r="H309" i="12"/>
  <c r="N309" i="12" s="1"/>
  <c r="D309" i="12"/>
  <c r="B309" i="12"/>
  <c r="T308" i="12"/>
  <c r="P308" i="12"/>
  <c r="X308" i="12" s="1"/>
  <c r="Z308" i="12" s="1"/>
  <c r="H308" i="12"/>
  <c r="D308" i="12"/>
  <c r="L308" i="12" s="1"/>
  <c r="N308" i="12" s="1"/>
  <c r="B308" i="12"/>
  <c r="T307" i="12"/>
  <c r="Z307" i="12" s="1"/>
  <c r="P307" i="12"/>
  <c r="X307" i="12" s="1"/>
  <c r="H307" i="12"/>
  <c r="D307" i="12"/>
  <c r="L307" i="12" s="1"/>
  <c r="N307" i="12" s="1"/>
  <c r="B307" i="12"/>
  <c r="X306" i="12"/>
  <c r="Z306" i="12" s="1"/>
  <c r="T306" i="12"/>
  <c r="P306" i="12"/>
  <c r="H306" i="12"/>
  <c r="L306" i="12" s="1"/>
  <c r="N306" i="12" s="1"/>
  <c r="D306" i="12"/>
  <c r="B306" i="12"/>
  <c r="X305" i="12"/>
  <c r="T305" i="12"/>
  <c r="Z305" i="12" s="1"/>
  <c r="P305" i="12"/>
  <c r="H305" i="12"/>
  <c r="N305" i="12" s="1"/>
  <c r="D305" i="12"/>
  <c r="L305" i="12" s="1"/>
  <c r="B305" i="12"/>
  <c r="T304" i="12"/>
  <c r="P304" i="12"/>
  <c r="X304" i="12" s="1"/>
  <c r="Z304" i="12" s="1"/>
  <c r="N304" i="12"/>
  <c r="L304" i="12"/>
  <c r="H304" i="12"/>
  <c r="D304" i="12"/>
  <c r="B304" i="12"/>
  <c r="T303" i="12"/>
  <c r="P303" i="12"/>
  <c r="L303" i="12"/>
  <c r="H303" i="12"/>
  <c r="N303" i="12" s="1"/>
  <c r="D303" i="12"/>
  <c r="D302" i="12" s="1"/>
  <c r="B303" i="12"/>
  <c r="X300" i="12"/>
  <c r="Z300" i="12" s="1"/>
  <c r="L300" i="12"/>
  <c r="N300" i="12" s="1"/>
  <c r="B300" i="12"/>
  <c r="T299" i="12"/>
  <c r="P299" i="12"/>
  <c r="X299" i="12" s="1"/>
  <c r="Z299" i="12" s="1"/>
  <c r="H299" i="12"/>
  <c r="D299" i="12"/>
  <c r="B299" i="12"/>
  <c r="Z298" i="12"/>
  <c r="X298" i="12"/>
  <c r="N298" i="12"/>
  <c r="L298" i="12"/>
  <c r="B298" i="12"/>
  <c r="X297" i="12"/>
  <c r="Z297" i="12" s="1"/>
  <c r="N297" i="12"/>
  <c r="L297" i="12"/>
  <c r="B297" i="12"/>
  <c r="X296" i="12"/>
  <c r="Z296" i="12" s="1"/>
  <c r="N296" i="12"/>
  <c r="L296" i="12"/>
  <c r="B296" i="12"/>
  <c r="T295" i="12"/>
  <c r="P295" i="12"/>
  <c r="X295" i="12" s="1"/>
  <c r="Z295" i="12" s="1"/>
  <c r="H295" i="12"/>
  <c r="N295" i="12" s="1"/>
  <c r="D295" i="12"/>
  <c r="B295" i="12"/>
  <c r="Z294" i="12"/>
  <c r="X294" i="12"/>
  <c r="N294" i="12"/>
  <c r="L294" i="12"/>
  <c r="B294" i="12"/>
  <c r="T293" i="12"/>
  <c r="P293" i="12"/>
  <c r="L293" i="12"/>
  <c r="H293" i="12"/>
  <c r="N293" i="12" s="1"/>
  <c r="D293" i="12"/>
  <c r="B293" i="12"/>
  <c r="X292" i="12"/>
  <c r="Z292" i="12" s="1"/>
  <c r="L292" i="12"/>
  <c r="N292" i="12" s="1"/>
  <c r="B292" i="12"/>
  <c r="X291" i="12"/>
  <c r="Z291" i="12" s="1"/>
  <c r="N291" i="12"/>
  <c r="L291" i="12"/>
  <c r="B291" i="12"/>
  <c r="T290" i="12"/>
  <c r="P290" i="12"/>
  <c r="X290" i="12" s="1"/>
  <c r="Z290" i="12" s="1"/>
  <c r="H290" i="12"/>
  <c r="D290" i="12"/>
  <c r="L290" i="12" s="1"/>
  <c r="N290" i="12" s="1"/>
  <c r="B290" i="12"/>
  <c r="X289" i="12"/>
  <c r="Z289" i="12" s="1"/>
  <c r="N289" i="12"/>
  <c r="L289" i="12"/>
  <c r="B289" i="12"/>
  <c r="X288" i="12"/>
  <c r="Z288" i="12" s="1"/>
  <c r="L288" i="12"/>
  <c r="N288" i="12" s="1"/>
  <c r="B288" i="12"/>
  <c r="X287" i="12"/>
  <c r="Z287" i="12" s="1"/>
  <c r="L287" i="12"/>
  <c r="N287" i="12" s="1"/>
  <c r="B287" i="12"/>
  <c r="Z286" i="12"/>
  <c r="X286" i="12"/>
  <c r="N286" i="12"/>
  <c r="L286" i="12"/>
  <c r="B286" i="12"/>
  <c r="X285" i="12"/>
  <c r="Z285" i="12" s="1"/>
  <c r="L285" i="12"/>
  <c r="N285" i="12" s="1"/>
  <c r="B285" i="12"/>
  <c r="X284" i="12"/>
  <c r="Z284" i="12" s="1"/>
  <c r="N284" i="12"/>
  <c r="L284" i="12"/>
  <c r="B284" i="12"/>
  <c r="Z283" i="12"/>
  <c r="X283" i="12"/>
  <c r="L283" i="12"/>
  <c r="N283" i="12" s="1"/>
  <c r="B283" i="12"/>
  <c r="Z282" i="12"/>
  <c r="X282" i="12"/>
  <c r="N282" i="12"/>
  <c r="L282" i="12"/>
  <c r="B282" i="12"/>
  <c r="X281" i="12"/>
  <c r="Z281" i="12" s="1"/>
  <c r="L281" i="12"/>
  <c r="N281" i="12" s="1"/>
  <c r="B281" i="12"/>
  <c r="T280" i="12"/>
  <c r="P280" i="12"/>
  <c r="X280" i="12" s="1"/>
  <c r="Z280" i="12" s="1"/>
  <c r="H280" i="12"/>
  <c r="D280" i="12"/>
  <c r="L280" i="12" s="1"/>
  <c r="N280" i="12" s="1"/>
  <c r="B280" i="12"/>
  <c r="Z279" i="12"/>
  <c r="X279" i="12"/>
  <c r="N279" i="12"/>
  <c r="L279" i="12"/>
  <c r="B279" i="12"/>
  <c r="Z278" i="12"/>
  <c r="X278" i="12"/>
  <c r="N278" i="12"/>
  <c r="L278" i="12"/>
  <c r="B278" i="12"/>
  <c r="T277" i="12"/>
  <c r="Z277" i="12" s="1"/>
  <c r="P277" i="12"/>
  <c r="X277" i="12" s="1"/>
  <c r="H277" i="12"/>
  <c r="D277" i="12"/>
  <c r="L277" i="12" s="1"/>
  <c r="N277" i="12" s="1"/>
  <c r="B277" i="12"/>
  <c r="X276" i="12"/>
  <c r="Z276" i="12" s="1"/>
  <c r="N276" i="12"/>
  <c r="L276" i="12"/>
  <c r="B276" i="12"/>
  <c r="Z275" i="12"/>
  <c r="X275" i="12"/>
  <c r="L275" i="12"/>
  <c r="N275" i="12" s="1"/>
  <c r="B275" i="12"/>
  <c r="Z274" i="12"/>
  <c r="X274" i="12"/>
  <c r="N274" i="12"/>
  <c r="L274" i="12"/>
  <c r="B274" i="12"/>
  <c r="X273" i="12"/>
  <c r="Z273" i="12" s="1"/>
  <c r="N273" i="12"/>
  <c r="L273" i="12"/>
  <c r="B273" i="12"/>
  <c r="X272" i="12"/>
  <c r="Z272" i="12" s="1"/>
  <c r="L272" i="12"/>
  <c r="N272" i="12" s="1"/>
  <c r="B272" i="12"/>
  <c r="X271" i="12"/>
  <c r="T271" i="12"/>
  <c r="Z271" i="12" s="1"/>
  <c r="P271" i="12"/>
  <c r="H271" i="12"/>
  <c r="N271" i="12" s="1"/>
  <c r="D271" i="12"/>
  <c r="L271" i="12" s="1"/>
  <c r="B271" i="12"/>
  <c r="Z270" i="12"/>
  <c r="X270" i="12"/>
  <c r="N270" i="12"/>
  <c r="L270" i="12"/>
  <c r="B270" i="12"/>
  <c r="X269" i="12"/>
  <c r="Z269" i="12" s="1"/>
  <c r="N269" i="12"/>
  <c r="L269" i="12"/>
  <c r="B269" i="12"/>
  <c r="Z268" i="12"/>
  <c r="X268" i="12"/>
  <c r="N268" i="12"/>
  <c r="L268" i="12"/>
  <c r="B268" i="12"/>
  <c r="X267" i="12"/>
  <c r="T267" i="12"/>
  <c r="Z267" i="12" s="1"/>
  <c r="P267" i="12"/>
  <c r="H267" i="12"/>
  <c r="N267" i="12" s="1"/>
  <c r="D267" i="12"/>
  <c r="L267" i="12" s="1"/>
  <c r="B267" i="12"/>
  <c r="Z266" i="12"/>
  <c r="X266" i="12"/>
  <c r="N266" i="12"/>
  <c r="L266" i="12"/>
  <c r="B266" i="12"/>
  <c r="X265" i="12"/>
  <c r="Z265" i="12" s="1"/>
  <c r="L265" i="12"/>
  <c r="N265" i="12" s="1"/>
  <c r="B265" i="12"/>
  <c r="Z264" i="12"/>
  <c r="X264" i="12"/>
  <c r="L264" i="12"/>
  <c r="N264" i="12" s="1"/>
  <c r="B264" i="12"/>
  <c r="X263" i="12"/>
  <c r="Z263" i="12" s="1"/>
  <c r="L263" i="12"/>
  <c r="N263" i="12" s="1"/>
  <c r="B263" i="12"/>
  <c r="T262" i="12"/>
  <c r="P262" i="12"/>
  <c r="X262" i="12" s="1"/>
  <c r="Z262" i="12" s="1"/>
  <c r="H262" i="12"/>
  <c r="D262" i="12"/>
  <c r="L262" i="12" s="1"/>
  <c r="N262" i="12" s="1"/>
  <c r="B262" i="12"/>
  <c r="X261" i="12"/>
  <c r="Z261" i="12" s="1"/>
  <c r="L261" i="12"/>
  <c r="N261" i="12" s="1"/>
  <c r="B261" i="12"/>
  <c r="T260" i="12"/>
  <c r="P260" i="12"/>
  <c r="X260" i="12" s="1"/>
  <c r="Z260" i="12" s="1"/>
  <c r="H260" i="12"/>
  <c r="L260" i="12" s="1"/>
  <c r="N260" i="12" s="1"/>
  <c r="D260" i="12"/>
  <c r="B260" i="12"/>
  <c r="X259" i="12"/>
  <c r="Z259" i="12" s="1"/>
  <c r="L259" i="12"/>
  <c r="N259" i="12" s="1"/>
  <c r="B259" i="12"/>
  <c r="T258" i="12"/>
  <c r="X258" i="12" s="1"/>
  <c r="Z258" i="12" s="1"/>
  <c r="P258" i="12"/>
  <c r="L258" i="12"/>
  <c r="N258" i="12" s="1"/>
  <c r="H258" i="12"/>
  <c r="D258" i="12"/>
  <c r="B258" i="12"/>
  <c r="X257" i="12"/>
  <c r="Z257" i="12" s="1"/>
  <c r="L257" i="12"/>
  <c r="N257" i="12" s="1"/>
  <c r="B257" i="12"/>
  <c r="X256" i="12"/>
  <c r="Z256" i="12" s="1"/>
  <c r="N256" i="12"/>
  <c r="L256" i="12"/>
  <c r="B256" i="12"/>
  <c r="Z255" i="12"/>
  <c r="X255" i="12"/>
  <c r="L255" i="12"/>
  <c r="N255" i="12" s="1"/>
  <c r="B255" i="12"/>
  <c r="Z254" i="12"/>
  <c r="X254" i="12"/>
  <c r="N254" i="12"/>
  <c r="L254" i="12"/>
  <c r="B254" i="12"/>
  <c r="X253" i="12"/>
  <c r="Z253" i="12" s="1"/>
  <c r="L253" i="12"/>
  <c r="N253" i="12" s="1"/>
  <c r="B253" i="12"/>
  <c r="Z252" i="12"/>
  <c r="X252" i="12"/>
  <c r="L252" i="12"/>
  <c r="N252" i="12" s="1"/>
  <c r="B252" i="12"/>
  <c r="X251" i="12"/>
  <c r="Z251" i="12" s="1"/>
  <c r="N251" i="12"/>
  <c r="L251" i="12"/>
  <c r="B251" i="12"/>
  <c r="Z250" i="12"/>
  <c r="X250" i="12"/>
  <c r="N250" i="12"/>
  <c r="L250" i="12"/>
  <c r="B250" i="12"/>
  <c r="X249" i="12"/>
  <c r="Z249" i="12" s="1"/>
  <c r="L249" i="12"/>
  <c r="N249" i="12" s="1"/>
  <c r="B249" i="12"/>
  <c r="X248" i="12"/>
  <c r="Z248" i="12" s="1"/>
  <c r="L248" i="12"/>
  <c r="N248" i="12" s="1"/>
  <c r="B248" i="12"/>
  <c r="Z247" i="12"/>
  <c r="X247" i="12"/>
  <c r="L247" i="12"/>
  <c r="N247" i="12" s="1"/>
  <c r="B247" i="12"/>
  <c r="Z246" i="12"/>
  <c r="X246" i="12"/>
  <c r="N246" i="12"/>
  <c r="L246" i="12"/>
  <c r="B246" i="12"/>
  <c r="X245" i="12"/>
  <c r="Z245" i="12" s="1"/>
  <c r="L245" i="12"/>
  <c r="N245" i="12" s="1"/>
  <c r="B245" i="12"/>
  <c r="X244" i="12"/>
  <c r="Z244" i="12" s="1"/>
  <c r="L244" i="12"/>
  <c r="N244" i="12" s="1"/>
  <c r="B244" i="12"/>
  <c r="X243" i="12"/>
  <c r="Z243" i="12" s="1"/>
  <c r="N243" i="12"/>
  <c r="L243" i="12"/>
  <c r="B243" i="12"/>
  <c r="Z242" i="12"/>
  <c r="X242" i="12"/>
  <c r="N242" i="12"/>
  <c r="L242" i="12"/>
  <c r="B242" i="12"/>
  <c r="X241" i="12"/>
  <c r="Z241" i="12" s="1"/>
  <c r="L241" i="12"/>
  <c r="N241" i="12" s="1"/>
  <c r="B241" i="12"/>
  <c r="X240" i="12"/>
  <c r="Z240" i="12" s="1"/>
  <c r="L240" i="12"/>
  <c r="N240" i="12" s="1"/>
  <c r="B240" i="12"/>
  <c r="Z239" i="12"/>
  <c r="X239" i="12"/>
  <c r="L239" i="12"/>
  <c r="N239" i="12" s="1"/>
  <c r="B239" i="12"/>
  <c r="Z238" i="12"/>
  <c r="X238" i="12"/>
  <c r="N238" i="12"/>
  <c r="L238" i="12"/>
  <c r="B238" i="12"/>
  <c r="X237" i="12"/>
  <c r="Z237" i="12" s="1"/>
  <c r="L237" i="12"/>
  <c r="N237" i="12" s="1"/>
  <c r="B237" i="12"/>
  <c r="X236" i="12"/>
  <c r="Z236" i="12" s="1"/>
  <c r="L236" i="12"/>
  <c r="N236" i="12" s="1"/>
  <c r="B236" i="12"/>
  <c r="X235" i="12"/>
  <c r="Z235" i="12" s="1"/>
  <c r="N235" i="12"/>
  <c r="L235" i="12"/>
  <c r="B235" i="12"/>
  <c r="Z234" i="12"/>
  <c r="X234" i="12"/>
  <c r="N234" i="12"/>
  <c r="L234" i="12"/>
  <c r="B234" i="12"/>
  <c r="X233" i="12"/>
  <c r="Z233" i="12" s="1"/>
  <c r="L233" i="12"/>
  <c r="N233" i="12" s="1"/>
  <c r="B233" i="12"/>
  <c r="X232" i="12"/>
  <c r="Z232" i="12" s="1"/>
  <c r="L232" i="12"/>
  <c r="N232" i="12" s="1"/>
  <c r="B232" i="12"/>
  <c r="Z231" i="12"/>
  <c r="X231" i="12"/>
  <c r="L231" i="12"/>
  <c r="N231" i="12" s="1"/>
  <c r="B231" i="12"/>
  <c r="Z230" i="12"/>
  <c r="X230" i="12"/>
  <c r="N230" i="12"/>
  <c r="L230" i="12"/>
  <c r="B230" i="12"/>
  <c r="X229" i="12"/>
  <c r="Z229" i="12" s="1"/>
  <c r="L229" i="12"/>
  <c r="N229" i="12" s="1"/>
  <c r="B229" i="12"/>
  <c r="X228" i="12"/>
  <c r="Z228" i="12" s="1"/>
  <c r="L228" i="12"/>
  <c r="N228" i="12" s="1"/>
  <c r="B228" i="12"/>
  <c r="X227" i="12"/>
  <c r="Z227" i="12" s="1"/>
  <c r="N227" i="12"/>
  <c r="L227" i="12"/>
  <c r="B227" i="12"/>
  <c r="Z226" i="12"/>
  <c r="X226" i="12"/>
  <c r="N226" i="12"/>
  <c r="L226" i="12"/>
  <c r="B226" i="12"/>
  <c r="X225" i="12"/>
  <c r="Z225" i="12" s="1"/>
  <c r="L225" i="12"/>
  <c r="N225" i="12" s="1"/>
  <c r="B225" i="12"/>
  <c r="Z224" i="12"/>
  <c r="X224" i="12"/>
  <c r="L224" i="12"/>
  <c r="N224" i="12" s="1"/>
  <c r="B224" i="12"/>
  <c r="T223" i="12"/>
  <c r="P223" i="12"/>
  <c r="X223" i="12" s="1"/>
  <c r="Z223" i="12" s="1"/>
  <c r="L223" i="12"/>
  <c r="H223" i="12"/>
  <c r="N223" i="12" s="1"/>
  <c r="D223" i="12"/>
  <c r="B223" i="12"/>
  <c r="Z222" i="12"/>
  <c r="X222" i="12"/>
  <c r="N222" i="12"/>
  <c r="L222" i="12"/>
  <c r="B222" i="12"/>
  <c r="X221" i="12"/>
  <c r="T221" i="12"/>
  <c r="Z221" i="12" s="1"/>
  <c r="P221" i="12"/>
  <c r="L221" i="12"/>
  <c r="H221" i="12"/>
  <c r="N221" i="12" s="1"/>
  <c r="D221" i="12"/>
  <c r="B221" i="12"/>
  <c r="Z220" i="12"/>
  <c r="X220" i="12"/>
  <c r="N220" i="12"/>
  <c r="L220" i="12"/>
  <c r="B220" i="12"/>
  <c r="X219" i="12"/>
  <c r="T219" i="12"/>
  <c r="Z219" i="12" s="1"/>
  <c r="P219" i="12"/>
  <c r="H219" i="12"/>
  <c r="D219" i="12"/>
  <c r="L219" i="12" s="1"/>
  <c r="B219" i="12"/>
  <c r="Z218" i="12"/>
  <c r="X218" i="12"/>
  <c r="N218" i="12"/>
  <c r="L218" i="12"/>
  <c r="B218" i="12"/>
  <c r="T217" i="12"/>
  <c r="P217" i="12"/>
  <c r="X217" i="12" s="1"/>
  <c r="H217" i="12"/>
  <c r="D217" i="12"/>
  <c r="L217" i="12" s="1"/>
  <c r="N217" i="12" s="1"/>
  <c r="B217" i="12"/>
  <c r="Z216" i="12"/>
  <c r="X216" i="12"/>
  <c r="N216" i="12"/>
  <c r="L216" i="12"/>
  <c r="B216" i="12"/>
  <c r="X215" i="12"/>
  <c r="Z215" i="12" s="1"/>
  <c r="L215" i="12"/>
  <c r="N215" i="12" s="1"/>
  <c r="B215" i="12"/>
  <c r="T214" i="12"/>
  <c r="P214" i="12"/>
  <c r="X214" i="12" s="1"/>
  <c r="Z214" i="12" s="1"/>
  <c r="N214" i="12"/>
  <c r="L214" i="12"/>
  <c r="H214" i="12"/>
  <c r="D214" i="12"/>
  <c r="B214" i="12"/>
  <c r="X213" i="12"/>
  <c r="Z213" i="12" s="1"/>
  <c r="L213" i="12"/>
  <c r="N213" i="12" s="1"/>
  <c r="B213" i="12"/>
  <c r="Z212" i="12"/>
  <c r="X212" i="12"/>
  <c r="T212" i="12"/>
  <c r="P212" i="12"/>
  <c r="H212" i="12"/>
  <c r="L212" i="12" s="1"/>
  <c r="N212" i="12" s="1"/>
  <c r="D212" i="12"/>
  <c r="B212" i="12"/>
  <c r="X211" i="12"/>
  <c r="Z211" i="12" s="1"/>
  <c r="N211" i="12"/>
  <c r="L211" i="12"/>
  <c r="B211" i="12"/>
  <c r="T210" i="12"/>
  <c r="X210" i="12" s="1"/>
  <c r="Z210" i="12" s="1"/>
  <c r="P210" i="12"/>
  <c r="H210" i="12"/>
  <c r="D210" i="12"/>
  <c r="L210" i="12" s="1"/>
  <c r="B210" i="12"/>
  <c r="X209" i="12"/>
  <c r="Z209" i="12" s="1"/>
  <c r="N209" i="12"/>
  <c r="L209" i="12"/>
  <c r="B209" i="12"/>
  <c r="T208" i="12"/>
  <c r="Z208" i="12" s="1"/>
  <c r="P208" i="12"/>
  <c r="X208" i="12" s="1"/>
  <c r="N208" i="12"/>
  <c r="H208" i="12"/>
  <c r="D208" i="12"/>
  <c r="L208" i="12" s="1"/>
  <c r="B208" i="12"/>
  <c r="Z207" i="12"/>
  <c r="X207" i="12"/>
  <c r="L207" i="12"/>
  <c r="N207" i="12" s="1"/>
  <c r="B207" i="12"/>
  <c r="Z206" i="12"/>
  <c r="X206" i="12"/>
  <c r="N206" i="12"/>
  <c r="L206" i="12"/>
  <c r="B206" i="12"/>
  <c r="T205" i="12"/>
  <c r="P205" i="12"/>
  <c r="X205" i="12" s="1"/>
  <c r="H205" i="12"/>
  <c r="D205" i="12"/>
  <c r="L205" i="12" s="1"/>
  <c r="N205" i="12" s="1"/>
  <c r="B205" i="12"/>
  <c r="Z204" i="12"/>
  <c r="X204" i="12"/>
  <c r="N204" i="12"/>
  <c r="L204" i="12"/>
  <c r="B204" i="12"/>
  <c r="Z203" i="12"/>
  <c r="X203" i="12"/>
  <c r="L203" i="12"/>
  <c r="N203" i="12" s="1"/>
  <c r="B203" i="12"/>
  <c r="Z202" i="12"/>
  <c r="X202" i="12"/>
  <c r="N202" i="12"/>
  <c r="L202" i="12"/>
  <c r="B202" i="12"/>
  <c r="T201" i="12"/>
  <c r="Z201" i="12" s="1"/>
  <c r="P201" i="12"/>
  <c r="X201" i="12" s="1"/>
  <c r="H201" i="12"/>
  <c r="D201" i="12"/>
  <c r="L201" i="12" s="1"/>
  <c r="N201" i="12" s="1"/>
  <c r="B201" i="12"/>
  <c r="X200" i="12"/>
  <c r="Z200" i="12" s="1"/>
  <c r="L200" i="12"/>
  <c r="N200" i="12" s="1"/>
  <c r="B200" i="12"/>
  <c r="T199" i="12"/>
  <c r="P199" i="12"/>
  <c r="X199" i="12" s="1"/>
  <c r="Z199" i="12" s="1"/>
  <c r="L199" i="12"/>
  <c r="N199" i="12" s="1"/>
  <c r="H199" i="12"/>
  <c r="D199" i="12"/>
  <c r="B199" i="12"/>
  <c r="Z198" i="12"/>
  <c r="X198" i="12"/>
  <c r="N198" i="12"/>
  <c r="L198" i="12"/>
  <c r="B198" i="12"/>
  <c r="X197" i="12"/>
  <c r="Z197" i="12" s="1"/>
  <c r="L197" i="12"/>
  <c r="N197" i="12" s="1"/>
  <c r="B197" i="12"/>
  <c r="X196" i="12"/>
  <c r="Z196" i="12" s="1"/>
  <c r="T196" i="12"/>
  <c r="P196" i="12"/>
  <c r="H196" i="12"/>
  <c r="L196" i="12" s="1"/>
  <c r="N196" i="12" s="1"/>
  <c r="D196" i="12"/>
  <c r="B196" i="12"/>
  <c r="X195" i="12"/>
  <c r="Z195" i="12" s="1"/>
  <c r="N195" i="12"/>
  <c r="L195" i="12"/>
  <c r="B195" i="12"/>
  <c r="T194" i="12"/>
  <c r="X194" i="12" s="1"/>
  <c r="Z194" i="12" s="1"/>
  <c r="P194" i="12"/>
  <c r="H194" i="12"/>
  <c r="N194" i="12" s="1"/>
  <c r="D194" i="12"/>
  <c r="L194" i="12" s="1"/>
  <c r="B194" i="12"/>
  <c r="X193" i="12"/>
  <c r="Z193" i="12" s="1"/>
  <c r="N193" i="12"/>
  <c r="L193" i="12"/>
  <c r="B193" i="12"/>
  <c r="X192" i="12"/>
  <c r="Z192" i="12" s="1"/>
  <c r="L192" i="12"/>
  <c r="N192" i="12" s="1"/>
  <c r="B192" i="12"/>
  <c r="X191" i="12"/>
  <c r="Z191" i="12" s="1"/>
  <c r="N191" i="12"/>
  <c r="L191" i="12"/>
  <c r="B191" i="12"/>
  <c r="Z190" i="12"/>
  <c r="X190" i="12"/>
  <c r="N190" i="12"/>
  <c r="L190" i="12"/>
  <c r="B190" i="12"/>
  <c r="Z189" i="12"/>
  <c r="X189" i="12"/>
  <c r="L189" i="12"/>
  <c r="N189" i="12" s="1"/>
  <c r="B189" i="12"/>
  <c r="X188" i="12"/>
  <c r="Z188" i="12" s="1"/>
  <c r="L188" i="12"/>
  <c r="N188" i="12" s="1"/>
  <c r="B188" i="12"/>
  <c r="Z187" i="12"/>
  <c r="X187" i="12"/>
  <c r="N187" i="12"/>
  <c r="L187" i="12"/>
  <c r="B187" i="12"/>
  <c r="T186" i="12"/>
  <c r="P186" i="12"/>
  <c r="X186" i="12" s="1"/>
  <c r="Z186" i="12" s="1"/>
  <c r="L186" i="12"/>
  <c r="N186" i="12" s="1"/>
  <c r="H186" i="12"/>
  <c r="D186" i="12"/>
  <c r="B186" i="12"/>
  <c r="Z185" i="12"/>
  <c r="X185" i="12"/>
  <c r="L185" i="12"/>
  <c r="N185" i="12" s="1"/>
  <c r="B185" i="12"/>
  <c r="X184" i="12"/>
  <c r="Z184" i="12" s="1"/>
  <c r="L184" i="12"/>
  <c r="N184" i="12" s="1"/>
  <c r="B184" i="12"/>
  <c r="Z183" i="12"/>
  <c r="X183" i="12"/>
  <c r="L183" i="12"/>
  <c r="N183" i="12" s="1"/>
  <c r="B183" i="12"/>
  <c r="Z182" i="12"/>
  <c r="X182" i="12"/>
  <c r="N182" i="12"/>
  <c r="L182" i="12"/>
  <c r="B182" i="12"/>
  <c r="Z181" i="12"/>
  <c r="X181" i="12"/>
  <c r="N181" i="12"/>
  <c r="L181" i="12"/>
  <c r="B181" i="12"/>
  <c r="X180" i="12"/>
  <c r="Z180" i="12" s="1"/>
  <c r="L180" i="12"/>
  <c r="N180" i="12" s="1"/>
  <c r="B180" i="12"/>
  <c r="Z179" i="12"/>
  <c r="X179" i="12"/>
  <c r="N179" i="12"/>
  <c r="L179" i="12"/>
  <c r="B179" i="12"/>
  <c r="Z178" i="12"/>
  <c r="X178" i="12"/>
  <c r="N178" i="12"/>
  <c r="L178" i="12"/>
  <c r="B178" i="12"/>
  <c r="X177" i="12"/>
  <c r="Z177" i="12" s="1"/>
  <c r="L177" i="12"/>
  <c r="N177" i="12" s="1"/>
  <c r="B177" i="12"/>
  <c r="X176" i="12"/>
  <c r="Z176" i="12" s="1"/>
  <c r="L176" i="12"/>
  <c r="N176" i="12" s="1"/>
  <c r="B176" i="12"/>
  <c r="T175" i="12"/>
  <c r="P175" i="12"/>
  <c r="X175" i="12" s="1"/>
  <c r="Z175" i="12" s="1"/>
  <c r="L175" i="12"/>
  <c r="N175" i="12" s="1"/>
  <c r="H175" i="12"/>
  <c r="D175" i="12"/>
  <c r="B175" i="12"/>
  <c r="T174" i="12"/>
  <c r="P174" i="12"/>
  <c r="H174" i="12"/>
  <c r="D174" i="12"/>
  <c r="L174" i="12" s="1"/>
  <c r="X170" i="12"/>
  <c r="Z170" i="12" s="1"/>
  <c r="N170" i="12"/>
  <c r="L170" i="12"/>
  <c r="B170" i="12"/>
  <c r="Z169" i="12"/>
  <c r="X169" i="12"/>
  <c r="N169" i="12"/>
  <c r="L169" i="12"/>
  <c r="B169" i="12"/>
  <c r="X168" i="12"/>
  <c r="Z168" i="12" s="1"/>
  <c r="N168" i="12"/>
  <c r="L168" i="12"/>
  <c r="B168" i="12"/>
  <c r="Z167" i="12"/>
  <c r="X167" i="12"/>
  <c r="N167" i="12"/>
  <c r="L167" i="12"/>
  <c r="B167" i="12"/>
  <c r="Z166" i="12"/>
  <c r="X166" i="12"/>
  <c r="N166" i="12"/>
  <c r="L166" i="12"/>
  <c r="B166" i="12"/>
  <c r="Z165" i="12"/>
  <c r="X165" i="12"/>
  <c r="N165" i="12"/>
  <c r="L165" i="12"/>
  <c r="B165" i="12"/>
  <c r="Z164" i="12"/>
  <c r="X164" i="12"/>
  <c r="L164" i="12"/>
  <c r="N164" i="12" s="1"/>
  <c r="B164" i="12"/>
  <c r="X163" i="12"/>
  <c r="Z163" i="12" s="1"/>
  <c r="N163" i="12"/>
  <c r="L163" i="12"/>
  <c r="B163" i="12"/>
  <c r="X162" i="12"/>
  <c r="Z162" i="12" s="1"/>
  <c r="N162" i="12"/>
  <c r="L162" i="12"/>
  <c r="B162" i="12"/>
  <c r="Z161" i="12"/>
  <c r="X161" i="12"/>
  <c r="N161" i="12"/>
  <c r="L161" i="12"/>
  <c r="B161" i="12"/>
  <c r="X160" i="12"/>
  <c r="Z160" i="12" s="1"/>
  <c r="N160" i="12"/>
  <c r="L160" i="12"/>
  <c r="B160" i="12"/>
  <c r="Z159" i="12"/>
  <c r="X159" i="12"/>
  <c r="N159" i="12"/>
  <c r="L159" i="12"/>
  <c r="B159" i="12"/>
  <c r="Z158" i="12"/>
  <c r="X158" i="12"/>
  <c r="N158" i="12"/>
  <c r="L158" i="12"/>
  <c r="B158" i="12"/>
  <c r="Z157" i="12"/>
  <c r="X157" i="12"/>
  <c r="N157" i="12"/>
  <c r="L157" i="12"/>
  <c r="B157" i="12"/>
  <c r="X156" i="12"/>
  <c r="Z156" i="12" s="1"/>
  <c r="L156" i="12"/>
  <c r="N156" i="12" s="1"/>
  <c r="B156" i="12"/>
  <c r="X155" i="12"/>
  <c r="Z155" i="12" s="1"/>
  <c r="N155" i="12"/>
  <c r="L155" i="12"/>
  <c r="B155" i="12"/>
  <c r="X154" i="12"/>
  <c r="Z154" i="12" s="1"/>
  <c r="N154" i="12"/>
  <c r="L154" i="12"/>
  <c r="B154" i="12"/>
  <c r="Z153" i="12"/>
  <c r="X153" i="12"/>
  <c r="N153" i="12"/>
  <c r="L153" i="12"/>
  <c r="B153" i="12"/>
  <c r="X152" i="12"/>
  <c r="Z152" i="12" s="1"/>
  <c r="L152" i="12"/>
  <c r="N152" i="12" s="1"/>
  <c r="B152" i="12"/>
  <c r="Z151" i="12"/>
  <c r="X151" i="12"/>
  <c r="N151" i="12"/>
  <c r="L151" i="12"/>
  <c r="B151" i="12"/>
  <c r="Z150" i="12"/>
  <c r="X150" i="12"/>
  <c r="L150" i="12"/>
  <c r="N150" i="12" s="1"/>
  <c r="B150" i="12"/>
  <c r="Z149" i="12"/>
  <c r="X149" i="12"/>
  <c r="N149" i="12"/>
  <c r="L149" i="12"/>
  <c r="B149" i="12"/>
  <c r="X148" i="12"/>
  <c r="Z148" i="12" s="1"/>
  <c r="N148" i="12"/>
  <c r="L148" i="12"/>
  <c r="B148" i="12"/>
  <c r="X147" i="12"/>
  <c r="Z147" i="12" s="1"/>
  <c r="N147" i="12"/>
  <c r="L147" i="12"/>
  <c r="B147" i="12"/>
  <c r="X146" i="12"/>
  <c r="Z146" i="12" s="1"/>
  <c r="N146" i="12"/>
  <c r="L146" i="12"/>
  <c r="B146" i="12"/>
  <c r="Z145" i="12"/>
  <c r="X145" i="12"/>
  <c r="N145" i="12"/>
  <c r="L145" i="12"/>
  <c r="B145" i="12"/>
  <c r="X144" i="12"/>
  <c r="Z144" i="12" s="1"/>
  <c r="L144" i="12"/>
  <c r="N144" i="12" s="1"/>
  <c r="B144" i="12"/>
  <c r="Z143" i="12"/>
  <c r="X143" i="12"/>
  <c r="L143" i="12"/>
  <c r="N143" i="12" s="1"/>
  <c r="B143" i="12"/>
  <c r="Z142" i="12"/>
  <c r="X142" i="12"/>
  <c r="N142" i="12"/>
  <c r="L142" i="12"/>
  <c r="B142" i="12"/>
  <c r="Z141" i="12"/>
  <c r="X141" i="12"/>
  <c r="N141" i="12"/>
  <c r="L141" i="12"/>
  <c r="B141" i="12"/>
  <c r="X140" i="12"/>
  <c r="Z140" i="12" s="1"/>
  <c r="L140" i="12"/>
  <c r="N140" i="12" s="1"/>
  <c r="B140" i="12"/>
  <c r="X139" i="12"/>
  <c r="Z139" i="12" s="1"/>
  <c r="N139" i="12"/>
  <c r="L139" i="12"/>
  <c r="B139" i="12"/>
  <c r="X138" i="12"/>
  <c r="Z138" i="12" s="1"/>
  <c r="N138" i="12"/>
  <c r="L138" i="12"/>
  <c r="B138" i="12"/>
  <c r="Z137" i="12"/>
  <c r="X137" i="12"/>
  <c r="N137" i="12"/>
  <c r="L137" i="12"/>
  <c r="B137" i="12"/>
  <c r="X136" i="12"/>
  <c r="Z136" i="12" s="1"/>
  <c r="N136" i="12"/>
  <c r="L136" i="12"/>
  <c r="B136" i="12"/>
  <c r="Z135" i="12"/>
  <c r="X135" i="12"/>
  <c r="N135" i="12"/>
  <c r="L135" i="12"/>
  <c r="B135" i="12"/>
  <c r="Z134" i="12"/>
  <c r="X134" i="12"/>
  <c r="N134" i="12"/>
  <c r="L134" i="12"/>
  <c r="B134" i="12"/>
  <c r="Z133" i="12"/>
  <c r="X133" i="12"/>
  <c r="N133" i="12"/>
  <c r="L133" i="12"/>
  <c r="B133" i="12"/>
  <c r="X132" i="12"/>
  <c r="Z132" i="12" s="1"/>
  <c r="N132" i="12"/>
  <c r="L132" i="12"/>
  <c r="B132" i="12"/>
  <c r="X131" i="12"/>
  <c r="Z131" i="12" s="1"/>
  <c r="N131" i="12"/>
  <c r="L131" i="12"/>
  <c r="B131" i="12"/>
  <c r="X130" i="12"/>
  <c r="Z130" i="12" s="1"/>
  <c r="N130" i="12"/>
  <c r="L130" i="12"/>
  <c r="B130" i="12"/>
  <c r="Z129" i="12"/>
  <c r="X129" i="12"/>
  <c r="N129" i="12"/>
  <c r="L129" i="12"/>
  <c r="B129" i="12"/>
  <c r="X128" i="12"/>
  <c r="Z128" i="12" s="1"/>
  <c r="N128" i="12"/>
  <c r="L128" i="12"/>
  <c r="B128" i="12"/>
  <c r="Z127" i="12"/>
  <c r="X127" i="12"/>
  <c r="L127" i="12"/>
  <c r="N127" i="12" s="1"/>
  <c r="B127" i="12"/>
  <c r="Z126" i="12"/>
  <c r="X126" i="12"/>
  <c r="N126" i="12"/>
  <c r="L126" i="12"/>
  <c r="B126" i="12"/>
  <c r="Z125" i="12"/>
  <c r="X125" i="12"/>
  <c r="N125" i="12"/>
  <c r="L125" i="12"/>
  <c r="B125" i="12"/>
  <c r="X124" i="12"/>
  <c r="Z124" i="12" s="1"/>
  <c r="L124" i="12"/>
  <c r="N124" i="12" s="1"/>
  <c r="B124" i="12"/>
  <c r="X123" i="12"/>
  <c r="Z123" i="12" s="1"/>
  <c r="N123" i="12"/>
  <c r="L123" i="12"/>
  <c r="B123" i="12"/>
  <c r="X122" i="12"/>
  <c r="Z122" i="12" s="1"/>
  <c r="N122" i="12"/>
  <c r="L122" i="12"/>
  <c r="B122" i="12"/>
  <c r="Z121" i="12"/>
  <c r="X121" i="12"/>
  <c r="N121" i="12"/>
  <c r="L121" i="12"/>
  <c r="B121" i="12"/>
  <c r="X120" i="12"/>
  <c r="Z120" i="12" s="1"/>
  <c r="L120" i="12"/>
  <c r="N120" i="12" s="1"/>
  <c r="B120" i="12"/>
  <c r="Z119" i="12"/>
  <c r="X119" i="12"/>
  <c r="L119" i="12"/>
  <c r="N119" i="12" s="1"/>
  <c r="B119" i="12"/>
  <c r="Z118" i="12"/>
  <c r="X118" i="12"/>
  <c r="N118" i="12"/>
  <c r="L118" i="12"/>
  <c r="B118" i="12"/>
  <c r="T117" i="12"/>
  <c r="Z117" i="12" s="1"/>
  <c r="P117" i="12"/>
  <c r="X117" i="12" s="1"/>
  <c r="H117" i="12"/>
  <c r="D117" i="12"/>
  <c r="L117" i="12" s="1"/>
  <c r="N117" i="12" s="1"/>
  <c r="T115" i="12"/>
  <c r="P115" i="12"/>
  <c r="N115" i="12"/>
  <c r="H115" i="12"/>
  <c r="D115" i="12"/>
  <c r="L115" i="12" s="1"/>
  <c r="B115" i="12"/>
  <c r="X114" i="12"/>
  <c r="Z114" i="12" s="1"/>
  <c r="T114" i="12"/>
  <c r="P114" i="12"/>
  <c r="H114" i="12"/>
  <c r="N114" i="12" s="1"/>
  <c r="D114" i="12"/>
  <c r="L114" i="12" s="1"/>
  <c r="B114" i="12"/>
  <c r="Z113" i="12"/>
  <c r="X113" i="12"/>
  <c r="T113" i="12"/>
  <c r="P113" i="12"/>
  <c r="H113" i="12"/>
  <c r="D113" i="12"/>
  <c r="B113" i="12"/>
  <c r="Z112" i="12"/>
  <c r="X112" i="12"/>
  <c r="T112" i="12"/>
  <c r="P112" i="12"/>
  <c r="H112" i="12"/>
  <c r="D112" i="12"/>
  <c r="L112" i="12" s="1"/>
  <c r="N112" i="12" s="1"/>
  <c r="B112" i="12"/>
  <c r="T111" i="12"/>
  <c r="P111" i="12"/>
  <c r="X111" i="12" s="1"/>
  <c r="Z111" i="12" s="1"/>
  <c r="H111" i="12"/>
  <c r="D111" i="12"/>
  <c r="B111" i="12"/>
  <c r="T110" i="12"/>
  <c r="P110" i="12"/>
  <c r="X110" i="12" s="1"/>
  <c r="N110" i="12"/>
  <c r="L110" i="12"/>
  <c r="H110" i="12"/>
  <c r="D110" i="12"/>
  <c r="B110" i="12"/>
  <c r="T109" i="12"/>
  <c r="P109" i="12"/>
  <c r="N109" i="12"/>
  <c r="L109" i="12"/>
  <c r="H109" i="12"/>
  <c r="D109" i="12"/>
  <c r="B109" i="12"/>
  <c r="T108" i="12"/>
  <c r="P108" i="12"/>
  <c r="X108" i="12" s="1"/>
  <c r="Z108" i="12" s="1"/>
  <c r="N108" i="12"/>
  <c r="L108" i="12"/>
  <c r="H108" i="12"/>
  <c r="D108" i="12"/>
  <c r="B108" i="12"/>
  <c r="T107" i="12"/>
  <c r="P107" i="12"/>
  <c r="H107" i="12"/>
  <c r="D107" i="12"/>
  <c r="L107" i="12" s="1"/>
  <c r="N107" i="12" s="1"/>
  <c r="B107" i="12"/>
  <c r="X106" i="12"/>
  <c r="Z106" i="12" s="1"/>
  <c r="T106" i="12"/>
  <c r="P106" i="12"/>
  <c r="H106" i="12"/>
  <c r="N106" i="12" s="1"/>
  <c r="D106" i="12"/>
  <c r="L106" i="12" s="1"/>
  <c r="B106" i="12"/>
  <c r="Z105" i="12"/>
  <c r="X105" i="12"/>
  <c r="T105" i="12"/>
  <c r="P105" i="12"/>
  <c r="H105" i="12"/>
  <c r="D105" i="12"/>
  <c r="B105" i="12"/>
  <c r="Z104" i="12"/>
  <c r="X104" i="12"/>
  <c r="T104" i="12"/>
  <c r="P104" i="12"/>
  <c r="H104" i="12"/>
  <c r="D104" i="12"/>
  <c r="L104" i="12" s="1"/>
  <c r="N104" i="12" s="1"/>
  <c r="B104" i="12"/>
  <c r="T103" i="12"/>
  <c r="P103" i="12"/>
  <c r="X103" i="12" s="1"/>
  <c r="Z103" i="12" s="1"/>
  <c r="H103" i="12"/>
  <c r="N103" i="12" s="1"/>
  <c r="D103" i="12"/>
  <c r="B103" i="12"/>
  <c r="T102" i="12"/>
  <c r="P102" i="12"/>
  <c r="X102" i="12" s="1"/>
  <c r="L102" i="12"/>
  <c r="N102" i="12" s="1"/>
  <c r="H102" i="12"/>
  <c r="D102" i="12"/>
  <c r="B102" i="12"/>
  <c r="T101" i="12"/>
  <c r="P101" i="12"/>
  <c r="N101" i="12"/>
  <c r="L101" i="12"/>
  <c r="H101" i="12"/>
  <c r="D101" i="12"/>
  <c r="B101" i="12"/>
  <c r="T100" i="12"/>
  <c r="P100" i="12"/>
  <c r="X100" i="12" s="1"/>
  <c r="Z100" i="12" s="1"/>
  <c r="N100" i="12"/>
  <c r="L100" i="12"/>
  <c r="H100" i="12"/>
  <c r="D100" i="12"/>
  <c r="B100" i="12"/>
  <c r="T99" i="12"/>
  <c r="P99" i="12"/>
  <c r="H99" i="12"/>
  <c r="D99" i="12"/>
  <c r="L99" i="12" s="1"/>
  <c r="N99" i="12" s="1"/>
  <c r="B99" i="12"/>
  <c r="X98" i="12"/>
  <c r="Z98" i="12" s="1"/>
  <c r="T98" i="12"/>
  <c r="P98" i="12"/>
  <c r="H98" i="12"/>
  <c r="N98" i="12" s="1"/>
  <c r="D98" i="12"/>
  <c r="L98" i="12" s="1"/>
  <c r="B98" i="12"/>
  <c r="Z97" i="12"/>
  <c r="X97" i="12"/>
  <c r="T97" i="12"/>
  <c r="P97" i="12"/>
  <c r="H97" i="12"/>
  <c r="D97" i="12"/>
  <c r="B97" i="12"/>
  <c r="Z96" i="12"/>
  <c r="X96" i="12"/>
  <c r="T96" i="12"/>
  <c r="P96" i="12"/>
  <c r="N96" i="12"/>
  <c r="H96" i="12"/>
  <c r="D96" i="12"/>
  <c r="L96" i="12" s="1"/>
  <c r="B96" i="12"/>
  <c r="T95" i="12"/>
  <c r="P95" i="12"/>
  <c r="X95" i="12" s="1"/>
  <c r="Z95" i="12" s="1"/>
  <c r="H95" i="12"/>
  <c r="D95" i="12"/>
  <c r="B95" i="12"/>
  <c r="T94" i="12"/>
  <c r="P94" i="12"/>
  <c r="X94" i="12" s="1"/>
  <c r="L94" i="12"/>
  <c r="N94" i="12" s="1"/>
  <c r="H94" i="12"/>
  <c r="D94" i="12"/>
  <c r="B94" i="12"/>
  <c r="T93" i="12"/>
  <c r="P93" i="12"/>
  <c r="N93" i="12"/>
  <c r="L93" i="12"/>
  <c r="H93" i="12"/>
  <c r="D93" i="12"/>
  <c r="B93" i="12"/>
  <c r="T92" i="12"/>
  <c r="P92" i="12"/>
  <c r="X92" i="12" s="1"/>
  <c r="Z92" i="12" s="1"/>
  <c r="N92" i="12"/>
  <c r="L92" i="12"/>
  <c r="H92" i="12"/>
  <c r="D92" i="12"/>
  <c r="B92" i="12"/>
  <c r="T91" i="12"/>
  <c r="P91" i="12"/>
  <c r="N91" i="12"/>
  <c r="H91" i="12"/>
  <c r="D91" i="12"/>
  <c r="L91" i="12" s="1"/>
  <c r="B91" i="12"/>
  <c r="X90" i="12"/>
  <c r="Z90" i="12" s="1"/>
  <c r="T90" i="12"/>
  <c r="P90" i="12"/>
  <c r="H90" i="12"/>
  <c r="N90" i="12" s="1"/>
  <c r="D90" i="12"/>
  <c r="L90" i="12" s="1"/>
  <c r="B90" i="12"/>
  <c r="Z89" i="12"/>
  <c r="X89" i="12"/>
  <c r="T89" i="12"/>
  <c r="P89" i="12"/>
  <c r="H89" i="12"/>
  <c r="D89" i="12"/>
  <c r="B89" i="12"/>
  <c r="Z88" i="12"/>
  <c r="X88" i="12"/>
  <c r="T88" i="12"/>
  <c r="P88" i="12"/>
  <c r="N88" i="12"/>
  <c r="H88" i="12"/>
  <c r="D88" i="12"/>
  <c r="L88" i="12" s="1"/>
  <c r="B88" i="12"/>
  <c r="T87" i="12"/>
  <c r="P87" i="12"/>
  <c r="X87" i="12" s="1"/>
  <c r="Z87" i="12" s="1"/>
  <c r="H87" i="12"/>
  <c r="N87" i="12" s="1"/>
  <c r="D87" i="12"/>
  <c r="B87" i="12"/>
  <c r="T86" i="12"/>
  <c r="P86" i="12"/>
  <c r="X86" i="12" s="1"/>
  <c r="N86" i="12"/>
  <c r="L86" i="12"/>
  <c r="H86" i="12"/>
  <c r="D86" i="12"/>
  <c r="B86" i="12"/>
  <c r="T85" i="12"/>
  <c r="P85" i="12"/>
  <c r="N85" i="12"/>
  <c r="L85" i="12"/>
  <c r="H85" i="12"/>
  <c r="D85" i="12"/>
  <c r="B85" i="12"/>
  <c r="T84" i="12"/>
  <c r="P84" i="12"/>
  <c r="X84" i="12" s="1"/>
  <c r="Z84" i="12" s="1"/>
  <c r="N84" i="12"/>
  <c r="L84" i="12"/>
  <c r="H84" i="12"/>
  <c r="D84" i="12"/>
  <c r="B84" i="12"/>
  <c r="T83" i="12"/>
  <c r="P83" i="12"/>
  <c r="H83" i="12"/>
  <c r="D83" i="12"/>
  <c r="L83" i="12" s="1"/>
  <c r="N83" i="12" s="1"/>
  <c r="B83" i="12"/>
  <c r="X82" i="12"/>
  <c r="Z82" i="12" s="1"/>
  <c r="T82" i="12"/>
  <c r="P82" i="12"/>
  <c r="H82" i="12"/>
  <c r="N82" i="12" s="1"/>
  <c r="D82" i="12"/>
  <c r="L82" i="12" s="1"/>
  <c r="B82" i="12"/>
  <c r="Z81" i="12"/>
  <c r="X81" i="12"/>
  <c r="T81" i="12"/>
  <c r="P81" i="12"/>
  <c r="H81" i="12"/>
  <c r="N81" i="12" s="1"/>
  <c r="D81" i="12"/>
  <c r="B81" i="12"/>
  <c r="Z80" i="12"/>
  <c r="X80" i="12"/>
  <c r="T80" i="12"/>
  <c r="P80" i="12"/>
  <c r="H80" i="12"/>
  <c r="D80" i="12"/>
  <c r="L80" i="12" s="1"/>
  <c r="N80" i="12" s="1"/>
  <c r="B80" i="12"/>
  <c r="T79" i="12"/>
  <c r="P79" i="12"/>
  <c r="X79" i="12" s="1"/>
  <c r="Z79" i="12" s="1"/>
  <c r="H79" i="12"/>
  <c r="N79" i="12" s="1"/>
  <c r="D79" i="12"/>
  <c r="B79" i="12"/>
  <c r="T78" i="12"/>
  <c r="Z78" i="12" s="1"/>
  <c r="P78" i="12"/>
  <c r="X78" i="12" s="1"/>
  <c r="N78" i="12"/>
  <c r="L78" i="12"/>
  <c r="H78" i="12"/>
  <c r="D78" i="12"/>
  <c r="B78" i="12"/>
  <c r="T77" i="12"/>
  <c r="P77" i="12"/>
  <c r="N77" i="12"/>
  <c r="L77" i="12"/>
  <c r="H77" i="12"/>
  <c r="D77" i="12"/>
  <c r="B77" i="12"/>
  <c r="T76" i="12"/>
  <c r="P76" i="12"/>
  <c r="X76" i="12" s="1"/>
  <c r="Z76" i="12" s="1"/>
  <c r="N76" i="12"/>
  <c r="L76" i="12"/>
  <c r="H76" i="12"/>
  <c r="D76" i="12"/>
  <c r="B76" i="12"/>
  <c r="T75" i="12"/>
  <c r="P75" i="12"/>
  <c r="N75" i="12"/>
  <c r="H75" i="12"/>
  <c r="D75" i="12"/>
  <c r="L75" i="12" s="1"/>
  <c r="B75" i="12"/>
  <c r="X74" i="12"/>
  <c r="Z74" i="12" s="1"/>
  <c r="T74" i="12"/>
  <c r="P74" i="12"/>
  <c r="H74" i="12"/>
  <c r="N74" i="12" s="1"/>
  <c r="D74" i="12"/>
  <c r="L74" i="12" s="1"/>
  <c r="B74" i="12"/>
  <c r="Z73" i="12"/>
  <c r="X73" i="12"/>
  <c r="T73" i="12"/>
  <c r="P73" i="12"/>
  <c r="H73" i="12"/>
  <c r="N73" i="12" s="1"/>
  <c r="D73" i="12"/>
  <c r="B73" i="12"/>
  <c r="Z72" i="12"/>
  <c r="X72" i="12"/>
  <c r="T72" i="12"/>
  <c r="P72" i="12"/>
  <c r="H72" i="12"/>
  <c r="D72" i="12"/>
  <c r="L72" i="12" s="1"/>
  <c r="N72" i="12" s="1"/>
  <c r="B72" i="12"/>
  <c r="T71" i="12"/>
  <c r="P71" i="12"/>
  <c r="X71" i="12" s="1"/>
  <c r="Z71" i="12" s="1"/>
  <c r="H71" i="12"/>
  <c r="D71" i="12"/>
  <c r="B71" i="12"/>
  <c r="T70" i="12"/>
  <c r="Z70" i="12" s="1"/>
  <c r="P70" i="12"/>
  <c r="X70" i="12" s="1"/>
  <c r="N70" i="12"/>
  <c r="L70" i="12"/>
  <c r="H70" i="12"/>
  <c r="D70" i="12"/>
  <c r="B70" i="12"/>
  <c r="T69" i="12"/>
  <c r="P69" i="12"/>
  <c r="N69" i="12"/>
  <c r="L69" i="12"/>
  <c r="H69" i="12"/>
  <c r="D69" i="12"/>
  <c r="B69" i="12"/>
  <c r="T68" i="12"/>
  <c r="P68" i="12"/>
  <c r="X68" i="12" s="1"/>
  <c r="Z68" i="12" s="1"/>
  <c r="N68" i="12"/>
  <c r="L68" i="12"/>
  <c r="H68" i="12"/>
  <c r="D68" i="12"/>
  <c r="B68" i="12"/>
  <c r="T67" i="12"/>
  <c r="P67" i="12"/>
  <c r="H67" i="12"/>
  <c r="D67" i="12"/>
  <c r="L67" i="12" s="1"/>
  <c r="N67" i="12" s="1"/>
  <c r="B67" i="12"/>
  <c r="X66" i="12"/>
  <c r="Z66" i="12" s="1"/>
  <c r="T66" i="12"/>
  <c r="P66" i="12"/>
  <c r="H66" i="12"/>
  <c r="N66" i="12" s="1"/>
  <c r="D66" i="12"/>
  <c r="L66" i="12" s="1"/>
  <c r="B66" i="12"/>
  <c r="Z65" i="12"/>
  <c r="X65" i="12"/>
  <c r="T65" i="12"/>
  <c r="P65" i="12"/>
  <c r="H65" i="12"/>
  <c r="N65" i="12" s="1"/>
  <c r="D65" i="12"/>
  <c r="B65" i="12"/>
  <c r="Z64" i="12"/>
  <c r="X64" i="12"/>
  <c r="T64" i="12"/>
  <c r="P64" i="12"/>
  <c r="H64" i="12"/>
  <c r="D64" i="12"/>
  <c r="L64" i="12" s="1"/>
  <c r="N64" i="12" s="1"/>
  <c r="B64" i="12"/>
  <c r="T63" i="12"/>
  <c r="P63" i="12"/>
  <c r="X63" i="12" s="1"/>
  <c r="Z63" i="12" s="1"/>
  <c r="H63" i="12"/>
  <c r="D63" i="12"/>
  <c r="B63" i="12"/>
  <c r="T62" i="12"/>
  <c r="P62" i="12"/>
  <c r="X62" i="12" s="1"/>
  <c r="L62" i="12"/>
  <c r="N62" i="12" s="1"/>
  <c r="H62" i="12"/>
  <c r="D62" i="12"/>
  <c r="B62" i="12"/>
  <c r="T61" i="12"/>
  <c r="P61" i="12"/>
  <c r="N61" i="12"/>
  <c r="L61" i="12"/>
  <c r="H61" i="12"/>
  <c r="D61" i="12"/>
  <c r="B61" i="12"/>
  <c r="T60" i="12"/>
  <c r="P60" i="12"/>
  <c r="X60" i="12" s="1"/>
  <c r="Z60" i="12" s="1"/>
  <c r="N60" i="12"/>
  <c r="L60" i="12"/>
  <c r="H60" i="12"/>
  <c r="D60" i="12"/>
  <c r="B60" i="12"/>
  <c r="T59" i="12"/>
  <c r="P59" i="12"/>
  <c r="H59" i="12"/>
  <c r="D59" i="12"/>
  <c r="L59" i="12" s="1"/>
  <c r="N59" i="12" s="1"/>
  <c r="B59" i="12"/>
  <c r="X58" i="12"/>
  <c r="Z58" i="12" s="1"/>
  <c r="T58" i="12"/>
  <c r="P58" i="12"/>
  <c r="H58" i="12"/>
  <c r="D58" i="12"/>
  <c r="L58" i="12" s="1"/>
  <c r="B58" i="12"/>
  <c r="Z57" i="12"/>
  <c r="X57" i="12"/>
  <c r="T57" i="12"/>
  <c r="P57" i="12"/>
  <c r="H57" i="12"/>
  <c r="D57" i="12"/>
  <c r="B57" i="12"/>
  <c r="Z56" i="12"/>
  <c r="X56" i="12"/>
  <c r="T56" i="12"/>
  <c r="P56" i="12"/>
  <c r="H56" i="12"/>
  <c r="D56" i="12"/>
  <c r="L56" i="12" s="1"/>
  <c r="N56" i="12" s="1"/>
  <c r="B56" i="12"/>
  <c r="T55" i="12"/>
  <c r="P55" i="12"/>
  <c r="X55" i="12" s="1"/>
  <c r="Z55" i="12" s="1"/>
  <c r="H55" i="12"/>
  <c r="N55" i="12" s="1"/>
  <c r="D55" i="12"/>
  <c r="B55" i="12"/>
  <c r="T54" i="12"/>
  <c r="P54" i="12"/>
  <c r="X54" i="12" s="1"/>
  <c r="N54" i="12"/>
  <c r="L54" i="12"/>
  <c r="H54" i="12"/>
  <c r="D54" i="12"/>
  <c r="B54" i="12"/>
  <c r="T53" i="12"/>
  <c r="P53" i="12"/>
  <c r="N53" i="12"/>
  <c r="L53" i="12"/>
  <c r="H53" i="12"/>
  <c r="D53" i="12"/>
  <c r="B53" i="12"/>
  <c r="T52" i="12"/>
  <c r="P52" i="12"/>
  <c r="X52" i="12" s="1"/>
  <c r="Z52" i="12" s="1"/>
  <c r="N52" i="12"/>
  <c r="L52" i="12"/>
  <c r="H52" i="12"/>
  <c r="D52" i="12"/>
  <c r="B52" i="12"/>
  <c r="T51" i="12"/>
  <c r="P51" i="12"/>
  <c r="N51" i="12"/>
  <c r="H51" i="12"/>
  <c r="D51" i="12"/>
  <c r="L51" i="12" s="1"/>
  <c r="B51" i="12"/>
  <c r="X50" i="12"/>
  <c r="Z50" i="12" s="1"/>
  <c r="T50" i="12"/>
  <c r="P50" i="12"/>
  <c r="H50" i="12"/>
  <c r="D50" i="12"/>
  <c r="L50" i="12" s="1"/>
  <c r="B50" i="12"/>
  <c r="Z49" i="12"/>
  <c r="X49" i="12"/>
  <c r="T49" i="12"/>
  <c r="P49" i="12"/>
  <c r="H49" i="12"/>
  <c r="D49" i="12"/>
  <c r="B49" i="12"/>
  <c r="Z48" i="12"/>
  <c r="X48" i="12"/>
  <c r="T48" i="12"/>
  <c r="P48" i="12"/>
  <c r="H48" i="12"/>
  <c r="D48" i="12"/>
  <c r="L48" i="12" s="1"/>
  <c r="N48" i="12" s="1"/>
  <c r="B48" i="12"/>
  <c r="T47" i="12"/>
  <c r="P47" i="12"/>
  <c r="X47" i="12" s="1"/>
  <c r="Z47" i="12" s="1"/>
  <c r="H47" i="12"/>
  <c r="N47" i="12" s="1"/>
  <c r="D47" i="12"/>
  <c r="B47" i="12"/>
  <c r="T46" i="12"/>
  <c r="P46" i="12"/>
  <c r="X46" i="12" s="1"/>
  <c r="L46" i="12"/>
  <c r="N46" i="12" s="1"/>
  <c r="H46" i="12"/>
  <c r="D46" i="12"/>
  <c r="B46" i="12"/>
  <c r="T45" i="12"/>
  <c r="P45" i="12"/>
  <c r="N45" i="12"/>
  <c r="L45" i="12"/>
  <c r="H45" i="12"/>
  <c r="D45" i="12"/>
  <c r="B45" i="12"/>
  <c r="T44" i="12"/>
  <c r="P44" i="12"/>
  <c r="X44" i="12" s="1"/>
  <c r="Z44" i="12" s="1"/>
  <c r="N44" i="12"/>
  <c r="L44" i="12"/>
  <c r="H44" i="12"/>
  <c r="D44" i="12"/>
  <c r="B44" i="12"/>
  <c r="T43" i="12"/>
  <c r="P43" i="12"/>
  <c r="N43" i="12"/>
  <c r="H43" i="12"/>
  <c r="D43" i="12"/>
  <c r="L43" i="12" s="1"/>
  <c r="B43" i="12"/>
  <c r="X42" i="12"/>
  <c r="Z42" i="12" s="1"/>
  <c r="T42" i="12"/>
  <c r="P42" i="12"/>
  <c r="H42" i="12"/>
  <c r="N42" i="12" s="1"/>
  <c r="D42" i="12"/>
  <c r="L42" i="12" s="1"/>
  <c r="B42" i="12"/>
  <c r="Z41" i="12"/>
  <c r="X41" i="12"/>
  <c r="T41" i="12"/>
  <c r="P41" i="12"/>
  <c r="H41" i="12"/>
  <c r="N41" i="12" s="1"/>
  <c r="D41" i="12"/>
  <c r="B41" i="12"/>
  <c r="Z40" i="12"/>
  <c r="X40" i="12"/>
  <c r="T40" i="12"/>
  <c r="P40" i="12"/>
  <c r="N40" i="12"/>
  <c r="H40" i="12"/>
  <c r="D40" i="12"/>
  <c r="L40" i="12" s="1"/>
  <c r="B40" i="12"/>
  <c r="T39" i="12"/>
  <c r="P39" i="12"/>
  <c r="X39" i="12" s="1"/>
  <c r="Z39" i="12" s="1"/>
  <c r="H39" i="12"/>
  <c r="D39" i="12"/>
  <c r="B39" i="12"/>
  <c r="T38" i="12"/>
  <c r="P38" i="12"/>
  <c r="X38" i="12" s="1"/>
  <c r="L38" i="12"/>
  <c r="N38" i="12" s="1"/>
  <c r="H38" i="12"/>
  <c r="D38" i="12"/>
  <c r="B38" i="12"/>
  <c r="T37" i="12"/>
  <c r="P37" i="12"/>
  <c r="H37" i="12"/>
  <c r="L37" i="12" s="1"/>
  <c r="N37" i="12" s="1"/>
  <c r="D37" i="12"/>
  <c r="B37" i="12"/>
  <c r="T36" i="12"/>
  <c r="P36" i="12"/>
  <c r="X36" i="12" s="1"/>
  <c r="Z36" i="12" s="1"/>
  <c r="L36" i="12"/>
  <c r="N36" i="12" s="1"/>
  <c r="H36" i="12"/>
  <c r="D36" i="12"/>
  <c r="B36" i="12"/>
  <c r="T35" i="12"/>
  <c r="P35" i="12"/>
  <c r="H35" i="12"/>
  <c r="D35" i="12"/>
  <c r="L35" i="12" s="1"/>
  <c r="N35" i="12" s="1"/>
  <c r="B35" i="12"/>
  <c r="X34" i="12"/>
  <c r="Z34" i="12" s="1"/>
  <c r="T34" i="12"/>
  <c r="P34" i="12"/>
  <c r="H34" i="12"/>
  <c r="N34" i="12" s="1"/>
  <c r="D34" i="12"/>
  <c r="L34" i="12" s="1"/>
  <c r="B34" i="12"/>
  <c r="T33" i="12"/>
  <c r="X33" i="12" s="1"/>
  <c r="Z33" i="12" s="1"/>
  <c r="P33" i="12"/>
  <c r="H33" i="12"/>
  <c r="N33" i="12" s="1"/>
  <c r="D33" i="12"/>
  <c r="B33" i="12"/>
  <c r="X32" i="12"/>
  <c r="Z32" i="12" s="1"/>
  <c r="T32" i="12"/>
  <c r="P32" i="12"/>
  <c r="N32" i="12"/>
  <c r="H32" i="12"/>
  <c r="D32" i="12"/>
  <c r="L32" i="12" s="1"/>
  <c r="B32" i="12"/>
  <c r="T31" i="12"/>
  <c r="P31" i="12"/>
  <c r="X31" i="12" s="1"/>
  <c r="Z31" i="12" s="1"/>
  <c r="H31" i="12"/>
  <c r="N31" i="12" s="1"/>
  <c r="D31" i="12"/>
  <c r="B31" i="12"/>
  <c r="T30" i="12"/>
  <c r="P30" i="12"/>
  <c r="X30" i="12" s="1"/>
  <c r="N30" i="12"/>
  <c r="L30" i="12"/>
  <c r="H30" i="12"/>
  <c r="D30" i="12"/>
  <c r="B30" i="12"/>
  <c r="T29" i="12"/>
  <c r="P29" i="12"/>
  <c r="N29" i="12"/>
  <c r="L29" i="12"/>
  <c r="H29" i="12"/>
  <c r="D29" i="12"/>
  <c r="B29" i="12"/>
  <c r="T28" i="12"/>
  <c r="P28" i="12"/>
  <c r="X28" i="12" s="1"/>
  <c r="Z28" i="12" s="1"/>
  <c r="N28" i="12"/>
  <c r="L28" i="12"/>
  <c r="H28" i="12"/>
  <c r="D28" i="12"/>
  <c r="B28" i="12"/>
  <c r="T27" i="12"/>
  <c r="P27" i="12"/>
  <c r="H27" i="12"/>
  <c r="D27" i="12"/>
  <c r="L27" i="12" s="1"/>
  <c r="N27" i="12" s="1"/>
  <c r="B27" i="12"/>
  <c r="X26" i="12"/>
  <c r="Z26" i="12" s="1"/>
  <c r="T26" i="12"/>
  <c r="P26" i="12"/>
  <c r="H26" i="12"/>
  <c r="D26" i="12"/>
  <c r="L26" i="12" s="1"/>
  <c r="B26" i="12"/>
  <c r="Z25" i="12"/>
  <c r="X25" i="12"/>
  <c r="T25" i="12"/>
  <c r="P25" i="12"/>
  <c r="H25" i="12"/>
  <c r="D25" i="12"/>
  <c r="B25" i="12"/>
  <c r="Z24" i="12"/>
  <c r="X24" i="12"/>
  <c r="T24" i="12"/>
  <c r="P24" i="12"/>
  <c r="H24" i="12"/>
  <c r="D24" i="12"/>
  <c r="L24" i="12" s="1"/>
  <c r="N24" i="12" s="1"/>
  <c r="B24" i="12"/>
  <c r="T23" i="12"/>
  <c r="P23" i="12"/>
  <c r="X23" i="12" s="1"/>
  <c r="Z23" i="12" s="1"/>
  <c r="H23" i="12"/>
  <c r="N23" i="12" s="1"/>
  <c r="D23" i="12"/>
  <c r="B23" i="12"/>
  <c r="T22" i="12"/>
  <c r="P22" i="12"/>
  <c r="X22" i="12" s="1"/>
  <c r="N22" i="12"/>
  <c r="L22" i="12"/>
  <c r="H22" i="12"/>
  <c r="D22" i="12"/>
  <c r="B22" i="12"/>
  <c r="T21" i="12"/>
  <c r="P21" i="12"/>
  <c r="N21" i="12"/>
  <c r="L21" i="12"/>
  <c r="H21" i="12"/>
  <c r="D21" i="12"/>
  <c r="B21" i="12"/>
  <c r="T20" i="12"/>
  <c r="P20" i="12"/>
  <c r="X20" i="12" s="1"/>
  <c r="Z20" i="12" s="1"/>
  <c r="N20" i="12"/>
  <c r="L20" i="12"/>
  <c r="H20" i="12"/>
  <c r="D20" i="12"/>
  <c r="B20" i="12"/>
  <c r="T19" i="12"/>
  <c r="P19" i="12"/>
  <c r="H19" i="12"/>
  <c r="D19" i="12"/>
  <c r="L19" i="12" s="1"/>
  <c r="N19" i="12" s="1"/>
  <c r="B19" i="12"/>
  <c r="X18" i="12"/>
  <c r="Z18" i="12" s="1"/>
  <c r="T18" i="12"/>
  <c r="P18" i="12"/>
  <c r="H18" i="12"/>
  <c r="N18" i="12" s="1"/>
  <c r="D18" i="12"/>
  <c r="L18" i="12" s="1"/>
  <c r="B18" i="12"/>
  <c r="T17" i="12"/>
  <c r="X17" i="12" s="1"/>
  <c r="Z17" i="12" s="1"/>
  <c r="P17" i="12"/>
  <c r="H17" i="12"/>
  <c r="N17" i="12" s="1"/>
  <c r="D17" i="12"/>
  <c r="B17" i="12"/>
  <c r="X16" i="12"/>
  <c r="Z16" i="12" s="1"/>
  <c r="T16" i="12"/>
  <c r="P16" i="12"/>
  <c r="H16" i="12"/>
  <c r="D16" i="12"/>
  <c r="L16" i="12" s="1"/>
  <c r="N16" i="12" s="1"/>
  <c r="B16" i="12"/>
  <c r="T15" i="12"/>
  <c r="P15" i="12"/>
  <c r="X15" i="12" s="1"/>
  <c r="Z15" i="12" s="1"/>
  <c r="H15" i="12"/>
  <c r="D15" i="12"/>
  <c r="B15" i="12"/>
  <c r="T14" i="12"/>
  <c r="P14" i="12"/>
  <c r="X14" i="12" s="1"/>
  <c r="L14" i="12"/>
  <c r="N14" i="12" s="1"/>
  <c r="H14" i="12"/>
  <c r="D14" i="12"/>
  <c r="B14" i="12"/>
  <c r="T13" i="12"/>
  <c r="Z13" i="12" s="1"/>
  <c r="P13" i="12"/>
  <c r="N13" i="12"/>
  <c r="L13" i="12"/>
  <c r="H13" i="12"/>
  <c r="H12" i="12" s="1"/>
  <c r="D13" i="12"/>
  <c r="D12" i="12" s="1"/>
  <c r="B13" i="12"/>
  <c r="P12" i="12"/>
  <c r="R308" i="12" s="1"/>
  <c r="D4" i="12"/>
  <c r="B39" i="11"/>
  <c r="B38" i="11"/>
  <c r="T34" i="11"/>
  <c r="Z34" i="11" s="1"/>
  <c r="P34" i="11"/>
  <c r="X34" i="11" s="1"/>
  <c r="H34" i="11"/>
  <c r="N34" i="11" s="1"/>
  <c r="D34" i="11"/>
  <c r="T33" i="11"/>
  <c r="Z33" i="11" s="1"/>
  <c r="P33" i="11"/>
  <c r="H33" i="11"/>
  <c r="N33" i="11" s="1"/>
  <c r="D33" i="11"/>
  <c r="T29" i="11"/>
  <c r="Z29" i="11" s="1"/>
  <c r="P29" i="11"/>
  <c r="X29" i="11" s="1"/>
  <c r="H29" i="11"/>
  <c r="N29" i="11" s="1"/>
  <c r="D29" i="11"/>
  <c r="T25" i="11"/>
  <c r="Z25" i="11" s="1"/>
  <c r="P25" i="11"/>
  <c r="H25" i="11"/>
  <c r="N25" i="11" s="1"/>
  <c r="D25" i="11"/>
  <c r="B25" i="11"/>
  <c r="T24" i="11"/>
  <c r="Z24" i="11" s="1"/>
  <c r="P24" i="11"/>
  <c r="H24" i="11"/>
  <c r="N24" i="11" s="1"/>
  <c r="D24" i="11"/>
  <c r="T22" i="11"/>
  <c r="Z22" i="11" s="1"/>
  <c r="P22" i="11"/>
  <c r="H22" i="11"/>
  <c r="N22" i="11" s="1"/>
  <c r="D22" i="11"/>
  <c r="B22" i="11"/>
  <c r="T21" i="11"/>
  <c r="Z21" i="11" s="1"/>
  <c r="P21" i="11"/>
  <c r="H21" i="11"/>
  <c r="N21" i="11" s="1"/>
  <c r="D21" i="11"/>
  <c r="B21" i="11"/>
  <c r="T20" i="11"/>
  <c r="Z20" i="11" s="1"/>
  <c r="P20" i="11"/>
  <c r="H20" i="11"/>
  <c r="N20" i="11" s="1"/>
  <c r="D20" i="11"/>
  <c r="T16" i="11"/>
  <c r="Z16" i="11" s="1"/>
  <c r="P16" i="11"/>
  <c r="H16" i="11"/>
  <c r="N16" i="11" s="1"/>
  <c r="D16" i="11"/>
  <c r="B16" i="11"/>
  <c r="T15" i="11"/>
  <c r="Z15" i="11" s="1"/>
  <c r="P15" i="11"/>
  <c r="H15" i="11"/>
  <c r="N15" i="11" s="1"/>
  <c r="D15" i="11"/>
  <c r="T13" i="11"/>
  <c r="Z13" i="11" s="1"/>
  <c r="P13" i="11"/>
  <c r="H13" i="11"/>
  <c r="N13" i="11" s="1"/>
  <c r="D13" i="11"/>
  <c r="B13" i="11"/>
  <c r="T12" i="11"/>
  <c r="V18" i="11" s="1"/>
  <c r="P12" i="11"/>
  <c r="R24" i="11" s="1"/>
  <c r="H12" i="11"/>
  <c r="J22" i="11" s="1"/>
  <c r="D12" i="11"/>
  <c r="F18" i="11" s="1"/>
  <c r="D5" i="11"/>
  <c r="D4" i="11"/>
  <c r="B39" i="10"/>
  <c r="B38" i="10"/>
  <c r="T34" i="10"/>
  <c r="Z34" i="10" s="1"/>
  <c r="P34" i="10"/>
  <c r="H34" i="10"/>
  <c r="N34" i="10" s="1"/>
  <c r="D34" i="10"/>
  <c r="T33" i="10"/>
  <c r="Z33" i="10" s="1"/>
  <c r="P33" i="10"/>
  <c r="H33" i="10"/>
  <c r="N33" i="10" s="1"/>
  <c r="D33" i="10"/>
  <c r="T29" i="10"/>
  <c r="Z29" i="10" s="1"/>
  <c r="P29" i="10"/>
  <c r="H29" i="10"/>
  <c r="N29" i="10" s="1"/>
  <c r="D29" i="10"/>
  <c r="T25" i="10"/>
  <c r="Z25" i="10" s="1"/>
  <c r="P25" i="10"/>
  <c r="H25" i="10"/>
  <c r="N25" i="10" s="1"/>
  <c r="D25" i="10"/>
  <c r="B25" i="10"/>
  <c r="T24" i="10"/>
  <c r="Z24" i="10" s="1"/>
  <c r="P24" i="10"/>
  <c r="H24" i="10"/>
  <c r="N24" i="10" s="1"/>
  <c r="D24" i="10"/>
  <c r="T22" i="10"/>
  <c r="Z22" i="10" s="1"/>
  <c r="P22" i="10"/>
  <c r="H22" i="10"/>
  <c r="N22" i="10" s="1"/>
  <c r="D22" i="10"/>
  <c r="L22" i="10" s="1"/>
  <c r="B22" i="10"/>
  <c r="T21" i="10"/>
  <c r="P21" i="10"/>
  <c r="H21" i="10"/>
  <c r="N21" i="10" s="1"/>
  <c r="D21" i="10"/>
  <c r="B21" i="10"/>
  <c r="T20" i="10"/>
  <c r="Z20" i="10" s="1"/>
  <c r="P20" i="10"/>
  <c r="X20" i="10" s="1"/>
  <c r="H20" i="10"/>
  <c r="N20" i="10" s="1"/>
  <c r="D20" i="10"/>
  <c r="T16" i="10"/>
  <c r="Z16" i="10" s="1"/>
  <c r="P16" i="10"/>
  <c r="H16" i="10"/>
  <c r="N16" i="10" s="1"/>
  <c r="D16" i="10"/>
  <c r="B16" i="10"/>
  <c r="T15" i="10"/>
  <c r="Z15" i="10" s="1"/>
  <c r="P15" i="10"/>
  <c r="H15" i="10"/>
  <c r="N15" i="10" s="1"/>
  <c r="D15" i="10"/>
  <c r="T13" i="10"/>
  <c r="Z13" i="10" s="1"/>
  <c r="P13" i="10"/>
  <c r="H13" i="10"/>
  <c r="N13" i="10" s="1"/>
  <c r="D13" i="10"/>
  <c r="B13" i="10"/>
  <c r="T12" i="10"/>
  <c r="V21" i="10" s="1"/>
  <c r="P12" i="10"/>
  <c r="R34" i="10" s="1"/>
  <c r="H12" i="10"/>
  <c r="J36" i="10" s="1"/>
  <c r="D12" i="10"/>
  <c r="F21" i="10" s="1"/>
  <c r="D5" i="10"/>
  <c r="D4" i="10"/>
  <c r="Z94" i="9"/>
  <c r="X94" i="9"/>
  <c r="N94" i="9"/>
  <c r="L94" i="9"/>
  <c r="X90" i="9"/>
  <c r="T90" i="9"/>
  <c r="Z90" i="9" s="1"/>
  <c r="P90" i="9"/>
  <c r="H90" i="9"/>
  <c r="N90" i="9" s="1"/>
  <c r="D90" i="9"/>
  <c r="L90" i="9" s="1"/>
  <c r="Z88" i="9"/>
  <c r="X88" i="9"/>
  <c r="N88" i="9"/>
  <c r="L88" i="9"/>
  <c r="B88" i="9"/>
  <c r="Z87" i="9"/>
  <c r="X87" i="9"/>
  <c r="N87" i="9"/>
  <c r="L87" i="9"/>
  <c r="B87" i="9"/>
  <c r="T86" i="9"/>
  <c r="Z86" i="9" s="1"/>
  <c r="P86" i="9"/>
  <c r="X86" i="9" s="1"/>
  <c r="N86" i="9"/>
  <c r="H86" i="9"/>
  <c r="D86" i="9"/>
  <c r="L86" i="9" s="1"/>
  <c r="B86" i="9"/>
  <c r="X85" i="9"/>
  <c r="Z85" i="9" s="1"/>
  <c r="L85" i="9"/>
  <c r="N85" i="9" s="1"/>
  <c r="B85" i="9"/>
  <c r="T84" i="9"/>
  <c r="P84" i="9"/>
  <c r="X84" i="9" s="1"/>
  <c r="Z84" i="9" s="1"/>
  <c r="L84" i="9"/>
  <c r="N84" i="9" s="1"/>
  <c r="H84" i="9"/>
  <c r="D84" i="9"/>
  <c r="B84" i="9"/>
  <c r="Z83" i="9"/>
  <c r="X83" i="9"/>
  <c r="N83" i="9"/>
  <c r="L83" i="9"/>
  <c r="B83" i="9"/>
  <c r="X82" i="9"/>
  <c r="Z82" i="9" s="1"/>
  <c r="L82" i="9"/>
  <c r="N82" i="9" s="1"/>
  <c r="B82" i="9"/>
  <c r="X81" i="9"/>
  <c r="Z81" i="9" s="1"/>
  <c r="T81" i="9"/>
  <c r="P81" i="9"/>
  <c r="H81" i="9"/>
  <c r="D81" i="9"/>
  <c r="B81" i="9"/>
  <c r="Z80" i="9"/>
  <c r="X80" i="9"/>
  <c r="N80" i="9"/>
  <c r="L80" i="9"/>
  <c r="B80" i="9"/>
  <c r="Z79" i="9"/>
  <c r="X79" i="9"/>
  <c r="N79" i="9"/>
  <c r="L79" i="9"/>
  <c r="B79" i="9"/>
  <c r="Z78" i="9"/>
  <c r="X78" i="9"/>
  <c r="N78" i="9"/>
  <c r="L78" i="9"/>
  <c r="B78" i="9"/>
  <c r="X77" i="9"/>
  <c r="Z77" i="9" s="1"/>
  <c r="L77" i="9"/>
  <c r="N77" i="9" s="1"/>
  <c r="B77" i="9"/>
  <c r="Z76" i="9"/>
  <c r="X76" i="9"/>
  <c r="L76" i="9"/>
  <c r="N76" i="9" s="1"/>
  <c r="B76" i="9"/>
  <c r="Z75" i="9"/>
  <c r="X75" i="9"/>
  <c r="N75" i="9"/>
  <c r="L75" i="9"/>
  <c r="B75" i="9"/>
  <c r="T74" i="9"/>
  <c r="Z74" i="9" s="1"/>
  <c r="P74" i="9"/>
  <c r="X74" i="9" s="1"/>
  <c r="H74" i="9"/>
  <c r="D74" i="9"/>
  <c r="L74" i="9" s="1"/>
  <c r="N74" i="9" s="1"/>
  <c r="B74" i="9"/>
  <c r="X73" i="9"/>
  <c r="Z73" i="9" s="1"/>
  <c r="L73" i="9"/>
  <c r="N73" i="9" s="1"/>
  <c r="B73" i="9"/>
  <c r="T72" i="9"/>
  <c r="P72" i="9"/>
  <c r="X72" i="9" s="1"/>
  <c r="Z72" i="9" s="1"/>
  <c r="L72" i="9"/>
  <c r="N72" i="9" s="1"/>
  <c r="H72" i="9"/>
  <c r="D72" i="9"/>
  <c r="B72" i="9"/>
  <c r="Z71" i="9"/>
  <c r="X71" i="9"/>
  <c r="N71" i="9"/>
  <c r="L71" i="9"/>
  <c r="B71" i="9"/>
  <c r="X70" i="9"/>
  <c r="Z70" i="9" s="1"/>
  <c r="N70" i="9"/>
  <c r="L70" i="9"/>
  <c r="B70" i="9"/>
  <c r="X69" i="9"/>
  <c r="Z69" i="9" s="1"/>
  <c r="T69" i="9"/>
  <c r="P69" i="9"/>
  <c r="H69" i="9"/>
  <c r="N69" i="9" s="1"/>
  <c r="D69" i="9"/>
  <c r="B69" i="9"/>
  <c r="X68" i="9"/>
  <c r="Z68" i="9" s="1"/>
  <c r="N68" i="9"/>
  <c r="L68" i="9"/>
  <c r="B68" i="9"/>
  <c r="Z67" i="9"/>
  <c r="X67" i="9"/>
  <c r="N67" i="9"/>
  <c r="L67" i="9"/>
  <c r="B67" i="9"/>
  <c r="X66" i="9"/>
  <c r="Z66" i="9" s="1"/>
  <c r="L66" i="9"/>
  <c r="N66" i="9" s="1"/>
  <c r="B66" i="9"/>
  <c r="X65" i="9"/>
  <c r="Z65" i="9" s="1"/>
  <c r="T65" i="9"/>
  <c r="P65" i="9"/>
  <c r="H65" i="9"/>
  <c r="D65" i="9"/>
  <c r="B65" i="9"/>
  <c r="X64" i="9"/>
  <c r="Z64" i="9" s="1"/>
  <c r="N64" i="9"/>
  <c r="L64" i="9"/>
  <c r="B64" i="9"/>
  <c r="Z63" i="9"/>
  <c r="X63" i="9"/>
  <c r="N63" i="9"/>
  <c r="L63" i="9"/>
  <c r="B63" i="9"/>
  <c r="X62" i="9"/>
  <c r="Z62" i="9" s="1"/>
  <c r="N62" i="9"/>
  <c r="L62" i="9"/>
  <c r="B62" i="9"/>
  <c r="X61" i="9"/>
  <c r="Z61" i="9" s="1"/>
  <c r="N61" i="9"/>
  <c r="L61" i="9"/>
  <c r="B61" i="9"/>
  <c r="T60" i="9"/>
  <c r="P60" i="9"/>
  <c r="X60" i="9" s="1"/>
  <c r="Z60" i="9" s="1"/>
  <c r="L60" i="9"/>
  <c r="N60" i="9" s="1"/>
  <c r="H60" i="9"/>
  <c r="D60" i="9"/>
  <c r="B60" i="9"/>
  <c r="Z59" i="9"/>
  <c r="X59" i="9"/>
  <c r="N59" i="9"/>
  <c r="L59" i="9"/>
  <c r="B59" i="9"/>
  <c r="Z58" i="9"/>
  <c r="X58" i="9"/>
  <c r="T58" i="9"/>
  <c r="P58" i="9"/>
  <c r="L58" i="9"/>
  <c r="H58" i="9"/>
  <c r="N58" i="9" s="1"/>
  <c r="F58" i="9"/>
  <c r="D58" i="9"/>
  <c r="B58" i="9"/>
  <c r="X57" i="9"/>
  <c r="Z57" i="9" s="1"/>
  <c r="L57" i="9"/>
  <c r="N57" i="9" s="1"/>
  <c r="B57" i="9"/>
  <c r="X56" i="9"/>
  <c r="T56" i="9"/>
  <c r="Z56" i="9" s="1"/>
  <c r="R56" i="9"/>
  <c r="P56" i="9"/>
  <c r="H56" i="9"/>
  <c r="N56" i="9" s="1"/>
  <c r="D56" i="9"/>
  <c r="L56" i="9" s="1"/>
  <c r="B56" i="9"/>
  <c r="Z55" i="9"/>
  <c r="X55" i="9"/>
  <c r="N55" i="9"/>
  <c r="L55" i="9"/>
  <c r="B55" i="9"/>
  <c r="Z54" i="9"/>
  <c r="X54" i="9"/>
  <c r="N54" i="9"/>
  <c r="L54" i="9"/>
  <c r="B54" i="9"/>
  <c r="T53" i="9"/>
  <c r="P53" i="9"/>
  <c r="X53" i="9" s="1"/>
  <c r="H53" i="9"/>
  <c r="D53" i="9"/>
  <c r="L53" i="9" s="1"/>
  <c r="B53" i="9"/>
  <c r="Z52" i="9"/>
  <c r="X52" i="9"/>
  <c r="L52" i="9"/>
  <c r="N52" i="9" s="1"/>
  <c r="B52" i="9"/>
  <c r="T51" i="9"/>
  <c r="Z51" i="9" s="1"/>
  <c r="P51" i="9"/>
  <c r="X51" i="9" s="1"/>
  <c r="L51" i="9"/>
  <c r="N51" i="9" s="1"/>
  <c r="H51" i="9"/>
  <c r="D51" i="9"/>
  <c r="B51" i="9"/>
  <c r="X50" i="9"/>
  <c r="Z50" i="9" s="1"/>
  <c r="N50" i="9"/>
  <c r="L50" i="9"/>
  <c r="B50" i="9"/>
  <c r="X49" i="9"/>
  <c r="Z49" i="9" s="1"/>
  <c r="T49" i="9"/>
  <c r="P49" i="9"/>
  <c r="H49" i="9"/>
  <c r="D49" i="9"/>
  <c r="B49" i="9"/>
  <c r="X48" i="9"/>
  <c r="Z48" i="9" s="1"/>
  <c r="N48" i="9"/>
  <c r="L48" i="9"/>
  <c r="B48" i="9"/>
  <c r="T47" i="9"/>
  <c r="P47" i="9"/>
  <c r="H47" i="9"/>
  <c r="D47" i="9"/>
  <c r="L47" i="9" s="1"/>
  <c r="B47" i="9"/>
  <c r="X46" i="9"/>
  <c r="Z46" i="9" s="1"/>
  <c r="N46" i="9"/>
  <c r="L46" i="9"/>
  <c r="B46" i="9"/>
  <c r="T45" i="9"/>
  <c r="P45" i="9"/>
  <c r="X45" i="9" s="1"/>
  <c r="H45" i="9"/>
  <c r="D45" i="9"/>
  <c r="L45" i="9" s="1"/>
  <c r="B45" i="9"/>
  <c r="Z44" i="9"/>
  <c r="X44" i="9"/>
  <c r="L44" i="9"/>
  <c r="N44" i="9" s="1"/>
  <c r="B44" i="9"/>
  <c r="T43" i="9"/>
  <c r="Z43" i="9" s="1"/>
  <c r="P43" i="9"/>
  <c r="X43" i="9" s="1"/>
  <c r="L43" i="9"/>
  <c r="N43" i="9" s="1"/>
  <c r="H43" i="9"/>
  <c r="D43" i="9"/>
  <c r="B43" i="9"/>
  <c r="Z42" i="9"/>
  <c r="X42" i="9"/>
  <c r="N42" i="9"/>
  <c r="L42" i="9"/>
  <c r="B42" i="9"/>
  <c r="X41" i="9"/>
  <c r="Z41" i="9" s="1"/>
  <c r="T41" i="9"/>
  <c r="P41" i="9"/>
  <c r="H41" i="9"/>
  <c r="D41" i="9"/>
  <c r="B41" i="9"/>
  <c r="X40" i="9"/>
  <c r="Z40" i="9" s="1"/>
  <c r="N40" i="9"/>
  <c r="L40" i="9"/>
  <c r="B40" i="9"/>
  <c r="T39" i="9"/>
  <c r="P39" i="9"/>
  <c r="X39" i="9" s="1"/>
  <c r="Z39" i="9" s="1"/>
  <c r="H39" i="9"/>
  <c r="F39" i="9"/>
  <c r="D39" i="9"/>
  <c r="L39" i="9" s="1"/>
  <c r="B39" i="9"/>
  <c r="Z38" i="9"/>
  <c r="X38" i="9"/>
  <c r="L38" i="9"/>
  <c r="N38" i="9" s="1"/>
  <c r="B38" i="9"/>
  <c r="X37" i="9"/>
  <c r="Z37" i="9" s="1"/>
  <c r="L37" i="9"/>
  <c r="N37" i="9" s="1"/>
  <c r="B37" i="9"/>
  <c r="Z36" i="9"/>
  <c r="X36" i="9"/>
  <c r="N36" i="9"/>
  <c r="L36" i="9"/>
  <c r="B36" i="9"/>
  <c r="X35" i="9"/>
  <c r="Z35" i="9" s="1"/>
  <c r="R35" i="9"/>
  <c r="L35" i="9"/>
  <c r="N35" i="9" s="1"/>
  <c r="B35" i="9"/>
  <c r="Z34" i="9"/>
  <c r="X34" i="9"/>
  <c r="V34" i="9"/>
  <c r="N34" i="9"/>
  <c r="L34" i="9"/>
  <c r="B34" i="9"/>
  <c r="X33" i="9"/>
  <c r="Z33" i="9" s="1"/>
  <c r="R33" i="9"/>
  <c r="L33" i="9"/>
  <c r="N33" i="9" s="1"/>
  <c r="B33" i="9"/>
  <c r="Z32" i="9"/>
  <c r="X32" i="9"/>
  <c r="V32" i="9"/>
  <c r="N32" i="9"/>
  <c r="L32" i="9"/>
  <c r="B32" i="9"/>
  <c r="X31" i="9"/>
  <c r="T31" i="9"/>
  <c r="Z31" i="9" s="1"/>
  <c r="P31" i="9"/>
  <c r="L31" i="9"/>
  <c r="H31" i="9"/>
  <c r="N31" i="9" s="1"/>
  <c r="D31" i="9"/>
  <c r="B31" i="9"/>
  <c r="Z30" i="9"/>
  <c r="X30" i="9"/>
  <c r="V30" i="9"/>
  <c r="N30" i="9"/>
  <c r="L30" i="9"/>
  <c r="B30" i="9"/>
  <c r="X29" i="9"/>
  <c r="Z29" i="9" s="1"/>
  <c r="R29" i="9"/>
  <c r="L29" i="9"/>
  <c r="N29" i="9" s="1"/>
  <c r="B29" i="9"/>
  <c r="Z28" i="9"/>
  <c r="X28" i="9"/>
  <c r="V28" i="9"/>
  <c r="N28" i="9"/>
  <c r="L28" i="9"/>
  <c r="B28" i="9"/>
  <c r="X27" i="9"/>
  <c r="Z27" i="9" s="1"/>
  <c r="R27" i="9"/>
  <c r="L27" i="9"/>
  <c r="N27" i="9" s="1"/>
  <c r="F27" i="9"/>
  <c r="B27" i="9"/>
  <c r="Z26" i="9"/>
  <c r="X26" i="9"/>
  <c r="N26" i="9"/>
  <c r="L26" i="9"/>
  <c r="B26" i="9"/>
  <c r="X25" i="9"/>
  <c r="Z25" i="9" s="1"/>
  <c r="R25" i="9"/>
  <c r="L25" i="9"/>
  <c r="N25" i="9" s="1"/>
  <c r="B25" i="9"/>
  <c r="Z24" i="9"/>
  <c r="X24" i="9"/>
  <c r="R24" i="9"/>
  <c r="N24" i="9"/>
  <c r="L24" i="9"/>
  <c r="B24" i="9"/>
  <c r="Z23" i="9"/>
  <c r="X23" i="9"/>
  <c r="R23" i="9"/>
  <c r="L23" i="9"/>
  <c r="N23" i="9" s="1"/>
  <c r="B23" i="9"/>
  <c r="Z22" i="9"/>
  <c r="X22" i="9"/>
  <c r="V22" i="9"/>
  <c r="R22" i="9"/>
  <c r="N22" i="9"/>
  <c r="L22" i="9"/>
  <c r="B22" i="9"/>
  <c r="X21" i="9"/>
  <c r="Z21" i="9" s="1"/>
  <c r="R21" i="9"/>
  <c r="L21" i="9"/>
  <c r="N21" i="9" s="1"/>
  <c r="B21" i="9"/>
  <c r="Z20" i="9"/>
  <c r="X20" i="9"/>
  <c r="V20" i="9"/>
  <c r="N20" i="9"/>
  <c r="L20" i="9"/>
  <c r="B20" i="9"/>
  <c r="X19" i="9"/>
  <c r="T19" i="9"/>
  <c r="Z19" i="9" s="1"/>
  <c r="P19" i="9"/>
  <c r="L19" i="9"/>
  <c r="H19" i="9"/>
  <c r="N19" i="9" s="1"/>
  <c r="D19" i="9"/>
  <c r="B19" i="9"/>
  <c r="V18" i="9"/>
  <c r="T18" i="9"/>
  <c r="R18" i="9"/>
  <c r="P18" i="9"/>
  <c r="X18" i="9" s="1"/>
  <c r="H18" i="9"/>
  <c r="F18" i="9"/>
  <c r="D18" i="9"/>
  <c r="L18" i="9" s="1"/>
  <c r="R16" i="9"/>
  <c r="P16" i="9"/>
  <c r="P92" i="9" s="1"/>
  <c r="V14" i="9"/>
  <c r="T14" i="9"/>
  <c r="Z14" i="9" s="1"/>
  <c r="R14" i="9"/>
  <c r="P14" i="9"/>
  <c r="H14" i="9"/>
  <c r="N14" i="9" s="1"/>
  <c r="F14" i="9"/>
  <c r="D14" i="9"/>
  <c r="L14" i="9" s="1"/>
  <c r="Z12" i="9"/>
  <c r="T12" i="9"/>
  <c r="V38" i="9" s="1"/>
  <c r="P12" i="9"/>
  <c r="R38" i="9" s="1"/>
  <c r="H12" i="9"/>
  <c r="J36" i="9" s="1"/>
  <c r="D12" i="9"/>
  <c r="F37" i="9" s="1"/>
  <c r="D4" i="9"/>
  <c r="B39" i="8"/>
  <c r="B38" i="8"/>
  <c r="T34" i="8"/>
  <c r="Z34" i="8" s="1"/>
  <c r="P34" i="8"/>
  <c r="H34" i="8"/>
  <c r="N34" i="8" s="1"/>
  <c r="D34" i="8"/>
  <c r="T33" i="8"/>
  <c r="Z33" i="8" s="1"/>
  <c r="P33" i="8"/>
  <c r="H33" i="8"/>
  <c r="N33" i="8" s="1"/>
  <c r="D33" i="8"/>
  <c r="T29" i="8"/>
  <c r="Z29" i="8" s="1"/>
  <c r="P29" i="8"/>
  <c r="H29" i="8"/>
  <c r="N29" i="8" s="1"/>
  <c r="D29" i="8"/>
  <c r="T25" i="8"/>
  <c r="Z25" i="8" s="1"/>
  <c r="P25" i="8"/>
  <c r="H25" i="8"/>
  <c r="N25" i="8" s="1"/>
  <c r="D25" i="8"/>
  <c r="B25" i="8"/>
  <c r="T24" i="8"/>
  <c r="Z24" i="8" s="1"/>
  <c r="P24" i="8"/>
  <c r="H24" i="8"/>
  <c r="N24" i="8" s="1"/>
  <c r="D24" i="8"/>
  <c r="L24" i="8" s="1"/>
  <c r="T22" i="8"/>
  <c r="Z22" i="8" s="1"/>
  <c r="P22" i="8"/>
  <c r="H22" i="8"/>
  <c r="N22" i="8" s="1"/>
  <c r="D22" i="8"/>
  <c r="B22" i="8"/>
  <c r="T21" i="8"/>
  <c r="Z21" i="8" s="1"/>
  <c r="P21" i="8"/>
  <c r="H21" i="8"/>
  <c r="N21" i="8" s="1"/>
  <c r="D21" i="8"/>
  <c r="B21" i="8"/>
  <c r="T20" i="8"/>
  <c r="Z20" i="8" s="1"/>
  <c r="P20" i="8"/>
  <c r="H20" i="8"/>
  <c r="N20" i="8" s="1"/>
  <c r="D20" i="8"/>
  <c r="T16" i="8"/>
  <c r="Z16" i="8" s="1"/>
  <c r="P16" i="8"/>
  <c r="X16" i="8" s="1"/>
  <c r="H16" i="8"/>
  <c r="N16" i="8" s="1"/>
  <c r="D16" i="8"/>
  <c r="B16" i="8"/>
  <c r="T15" i="8"/>
  <c r="Z15" i="8" s="1"/>
  <c r="P15" i="8"/>
  <c r="H15" i="8"/>
  <c r="N15" i="8" s="1"/>
  <c r="D15" i="8"/>
  <c r="T13" i="8"/>
  <c r="Z13" i="8" s="1"/>
  <c r="P13" i="8"/>
  <c r="H13" i="8"/>
  <c r="N13" i="8" s="1"/>
  <c r="D13" i="8"/>
  <c r="B13" i="8"/>
  <c r="T12" i="8"/>
  <c r="V34" i="8" s="1"/>
  <c r="P12" i="8"/>
  <c r="R34" i="8" s="1"/>
  <c r="H12" i="8"/>
  <c r="J34" i="8" s="1"/>
  <c r="D12" i="8"/>
  <c r="F34" i="8" s="1"/>
  <c r="D5" i="8"/>
  <c r="D4" i="8"/>
  <c r="B39" i="7"/>
  <c r="B38" i="7"/>
  <c r="T34" i="7"/>
  <c r="Z34" i="7" s="1"/>
  <c r="P34" i="7"/>
  <c r="H34" i="7"/>
  <c r="N34" i="7" s="1"/>
  <c r="D34" i="7"/>
  <c r="T33" i="7"/>
  <c r="Z33" i="7" s="1"/>
  <c r="P33" i="7"/>
  <c r="H33" i="7"/>
  <c r="N33" i="7" s="1"/>
  <c r="D33" i="7"/>
  <c r="T29" i="7"/>
  <c r="Z29" i="7" s="1"/>
  <c r="P29" i="7"/>
  <c r="H29" i="7"/>
  <c r="N29" i="7" s="1"/>
  <c r="D29" i="7"/>
  <c r="T25" i="7"/>
  <c r="Z25" i="7" s="1"/>
  <c r="P25" i="7"/>
  <c r="H25" i="7"/>
  <c r="N25" i="7" s="1"/>
  <c r="D25" i="7"/>
  <c r="B25" i="7"/>
  <c r="T24" i="7"/>
  <c r="Z24" i="7" s="1"/>
  <c r="P24" i="7"/>
  <c r="H24" i="7"/>
  <c r="N24" i="7" s="1"/>
  <c r="D24" i="7"/>
  <c r="T22" i="7"/>
  <c r="Z22" i="7" s="1"/>
  <c r="P22" i="7"/>
  <c r="H22" i="7"/>
  <c r="N22" i="7" s="1"/>
  <c r="D22" i="7"/>
  <c r="B22" i="7"/>
  <c r="T21" i="7"/>
  <c r="Z21" i="7" s="1"/>
  <c r="P21" i="7"/>
  <c r="H21" i="7"/>
  <c r="N21" i="7" s="1"/>
  <c r="D21" i="7"/>
  <c r="B21" i="7"/>
  <c r="T20" i="7"/>
  <c r="Z20" i="7" s="1"/>
  <c r="P20" i="7"/>
  <c r="H20" i="7"/>
  <c r="N20" i="7" s="1"/>
  <c r="D20" i="7"/>
  <c r="T16" i="7"/>
  <c r="Z16" i="7" s="1"/>
  <c r="P16" i="7"/>
  <c r="H16" i="7"/>
  <c r="N16" i="7" s="1"/>
  <c r="D16" i="7"/>
  <c r="B16" i="7"/>
  <c r="T15" i="7"/>
  <c r="Z15" i="7" s="1"/>
  <c r="P15" i="7"/>
  <c r="H15" i="7"/>
  <c r="N15" i="7" s="1"/>
  <c r="D15" i="7"/>
  <c r="T13" i="7"/>
  <c r="P13" i="7"/>
  <c r="H13" i="7"/>
  <c r="N13" i="7" s="1"/>
  <c r="D13" i="7"/>
  <c r="B13" i="7"/>
  <c r="T12" i="7"/>
  <c r="V20" i="7" s="1"/>
  <c r="P12" i="7"/>
  <c r="R22" i="7" s="1"/>
  <c r="H12" i="7"/>
  <c r="J20" i="7" s="1"/>
  <c r="D12" i="7"/>
  <c r="F22" i="7" s="1"/>
  <c r="D5" i="7"/>
  <c r="D4" i="7"/>
  <c r="R31" i="6"/>
  <c r="X29" i="6"/>
  <c r="Z29" i="6" s="1"/>
  <c r="T29" i="6"/>
  <c r="P29" i="6"/>
  <c r="L29" i="6"/>
  <c r="J29" i="6"/>
  <c r="H29" i="6"/>
  <c r="N29" i="6" s="1"/>
  <c r="D29" i="6"/>
  <c r="T28" i="6"/>
  <c r="Z28" i="6" s="1"/>
  <c r="R28" i="6"/>
  <c r="P28" i="6"/>
  <c r="X28" i="6" s="1"/>
  <c r="H28" i="6"/>
  <c r="D28" i="6"/>
  <c r="L28" i="6" s="1"/>
  <c r="N28" i="6" s="1"/>
  <c r="J26" i="6"/>
  <c r="Z24" i="6"/>
  <c r="X24" i="6"/>
  <c r="R24" i="6"/>
  <c r="N24" i="6"/>
  <c r="L24" i="6"/>
  <c r="R22" i="6"/>
  <c r="Z20" i="6"/>
  <c r="X20" i="6"/>
  <c r="T20" i="6"/>
  <c r="P20" i="6"/>
  <c r="L20" i="6"/>
  <c r="J20" i="6"/>
  <c r="H20" i="6"/>
  <c r="N20" i="6" s="1"/>
  <c r="D20" i="6"/>
  <c r="T18" i="6"/>
  <c r="Z18" i="6" s="1"/>
  <c r="R18" i="6"/>
  <c r="P18" i="6"/>
  <c r="X18" i="6" s="1"/>
  <c r="N18" i="6"/>
  <c r="H18" i="6"/>
  <c r="D18" i="6"/>
  <c r="L18" i="6" s="1"/>
  <c r="J16" i="6"/>
  <c r="H16" i="6"/>
  <c r="H22" i="6" s="1"/>
  <c r="T14" i="6"/>
  <c r="T16" i="6" s="1"/>
  <c r="R14" i="6"/>
  <c r="P14" i="6"/>
  <c r="X14" i="6" s="1"/>
  <c r="N14" i="6"/>
  <c r="H14" i="6"/>
  <c r="D14" i="6"/>
  <c r="L14" i="6" s="1"/>
  <c r="Z12" i="6"/>
  <c r="X12" i="6"/>
  <c r="T12" i="6"/>
  <c r="V29" i="6" s="1"/>
  <c r="P12" i="6"/>
  <c r="R29" i="6" s="1"/>
  <c r="H12" i="6"/>
  <c r="J24" i="6" s="1"/>
  <c r="D12" i="6"/>
  <c r="F29" i="6" s="1"/>
  <c r="D4" i="6"/>
  <c r="B39" i="5"/>
  <c r="B38" i="5"/>
  <c r="T34" i="5"/>
  <c r="Z34" i="5" s="1"/>
  <c r="P34" i="5"/>
  <c r="H34" i="5"/>
  <c r="N34" i="5" s="1"/>
  <c r="D34" i="5"/>
  <c r="T33" i="5"/>
  <c r="Z33" i="5" s="1"/>
  <c r="P33" i="5"/>
  <c r="H33" i="5"/>
  <c r="N33" i="5" s="1"/>
  <c r="D33" i="5"/>
  <c r="T29" i="5"/>
  <c r="Z29" i="5" s="1"/>
  <c r="P29" i="5"/>
  <c r="H29" i="5"/>
  <c r="N29" i="5" s="1"/>
  <c r="D29" i="5"/>
  <c r="T25" i="5"/>
  <c r="Z25" i="5" s="1"/>
  <c r="P25" i="5"/>
  <c r="H25" i="5"/>
  <c r="N25" i="5" s="1"/>
  <c r="D25" i="5"/>
  <c r="B25" i="5"/>
  <c r="T24" i="5"/>
  <c r="Z24" i="5" s="1"/>
  <c r="P24" i="5"/>
  <c r="H24" i="5"/>
  <c r="N24" i="5" s="1"/>
  <c r="D24" i="5"/>
  <c r="T22" i="5"/>
  <c r="Z22" i="5" s="1"/>
  <c r="P22" i="5"/>
  <c r="H22" i="5"/>
  <c r="N22" i="5" s="1"/>
  <c r="D22" i="5"/>
  <c r="B22" i="5"/>
  <c r="T21" i="5"/>
  <c r="Z21" i="5" s="1"/>
  <c r="P21" i="5"/>
  <c r="H21" i="5"/>
  <c r="N21" i="5" s="1"/>
  <c r="D21" i="5"/>
  <c r="B21" i="5"/>
  <c r="T20" i="5"/>
  <c r="Z20" i="5" s="1"/>
  <c r="P20" i="5"/>
  <c r="H20" i="5"/>
  <c r="N20" i="5" s="1"/>
  <c r="D20" i="5"/>
  <c r="T16" i="5"/>
  <c r="Z16" i="5" s="1"/>
  <c r="P16" i="5"/>
  <c r="H16" i="5"/>
  <c r="N16" i="5" s="1"/>
  <c r="D16" i="5"/>
  <c r="B16" i="5"/>
  <c r="T15" i="5"/>
  <c r="Z15" i="5" s="1"/>
  <c r="P15" i="5"/>
  <c r="H15" i="5"/>
  <c r="N15" i="5" s="1"/>
  <c r="D15" i="5"/>
  <c r="T13" i="5"/>
  <c r="Z13" i="5" s="1"/>
  <c r="P13" i="5"/>
  <c r="H13" i="5"/>
  <c r="N13" i="5" s="1"/>
  <c r="D13" i="5"/>
  <c r="B13" i="5"/>
  <c r="T12" i="5"/>
  <c r="V24" i="5" s="1"/>
  <c r="P12" i="5"/>
  <c r="R20" i="5" s="1"/>
  <c r="H12" i="5"/>
  <c r="J18" i="5" s="1"/>
  <c r="D12" i="5"/>
  <c r="F20" i="5" s="1"/>
  <c r="D5" i="5"/>
  <c r="D4" i="5"/>
  <c r="B39" i="4"/>
  <c r="B38" i="4"/>
  <c r="T34" i="4"/>
  <c r="Z34" i="4" s="1"/>
  <c r="P34" i="4"/>
  <c r="H34" i="4"/>
  <c r="N34" i="4" s="1"/>
  <c r="D34" i="4"/>
  <c r="T33" i="4"/>
  <c r="Z33" i="4" s="1"/>
  <c r="P33" i="4"/>
  <c r="H33" i="4"/>
  <c r="N33" i="4" s="1"/>
  <c r="D33" i="4"/>
  <c r="T29" i="4"/>
  <c r="Z29" i="4" s="1"/>
  <c r="P29" i="4"/>
  <c r="H29" i="4"/>
  <c r="N29" i="4" s="1"/>
  <c r="D29" i="4"/>
  <c r="T25" i="4"/>
  <c r="Z25" i="4" s="1"/>
  <c r="P25" i="4"/>
  <c r="H25" i="4"/>
  <c r="N25" i="4" s="1"/>
  <c r="D25" i="4"/>
  <c r="B25" i="4"/>
  <c r="T24" i="4"/>
  <c r="Z24" i="4" s="1"/>
  <c r="P24" i="4"/>
  <c r="H24" i="4"/>
  <c r="N24" i="4" s="1"/>
  <c r="D24" i="4"/>
  <c r="T22" i="4"/>
  <c r="Z22" i="4" s="1"/>
  <c r="P22" i="4"/>
  <c r="H22" i="4"/>
  <c r="N22" i="4" s="1"/>
  <c r="D22" i="4"/>
  <c r="B22" i="4"/>
  <c r="T21" i="4"/>
  <c r="Z21" i="4" s="1"/>
  <c r="P21" i="4"/>
  <c r="H21" i="4"/>
  <c r="N21" i="4" s="1"/>
  <c r="D21" i="4"/>
  <c r="B21" i="4"/>
  <c r="T20" i="4"/>
  <c r="Z20" i="4" s="1"/>
  <c r="P20" i="4"/>
  <c r="H20" i="4"/>
  <c r="N20" i="4" s="1"/>
  <c r="D20" i="4"/>
  <c r="T16" i="4"/>
  <c r="Z16" i="4" s="1"/>
  <c r="P16" i="4"/>
  <c r="H16" i="4"/>
  <c r="N16" i="4" s="1"/>
  <c r="D16" i="4"/>
  <c r="B16" i="4"/>
  <c r="T15" i="4"/>
  <c r="Z15" i="4" s="1"/>
  <c r="P15" i="4"/>
  <c r="H15" i="4"/>
  <c r="N15" i="4" s="1"/>
  <c r="D15" i="4"/>
  <c r="T13" i="4"/>
  <c r="Z13" i="4" s="1"/>
  <c r="P13" i="4"/>
  <c r="H13" i="4"/>
  <c r="N13" i="4" s="1"/>
  <c r="D13" i="4"/>
  <c r="B13" i="4"/>
  <c r="T12" i="4"/>
  <c r="V34" i="4" s="1"/>
  <c r="P12" i="4"/>
  <c r="R20" i="4" s="1"/>
  <c r="H12" i="4"/>
  <c r="J34" i="4" s="1"/>
  <c r="D12" i="4"/>
  <c r="F34" i="4" s="1"/>
  <c r="D5" i="4"/>
  <c r="D4" i="4"/>
  <c r="Z366" i="3"/>
  <c r="X366" i="3"/>
  <c r="T366" i="3"/>
  <c r="P366" i="3"/>
  <c r="H366" i="3"/>
  <c r="N366" i="3" s="1"/>
  <c r="D366" i="3"/>
  <c r="L366" i="3" s="1"/>
  <c r="T365" i="3"/>
  <c r="P365" i="3"/>
  <c r="X365" i="3" s="1"/>
  <c r="Z365" i="3" s="1"/>
  <c r="N365" i="3"/>
  <c r="L365" i="3"/>
  <c r="H365" i="3"/>
  <c r="D365" i="3"/>
  <c r="Z361" i="3"/>
  <c r="X361" i="3"/>
  <c r="N361" i="3"/>
  <c r="L361" i="3"/>
  <c r="Z357" i="3"/>
  <c r="X357" i="3"/>
  <c r="T357" i="3"/>
  <c r="P357" i="3"/>
  <c r="H357" i="3"/>
  <c r="N357" i="3" s="1"/>
  <c r="D357" i="3"/>
  <c r="L357" i="3" s="1"/>
  <c r="B357" i="3"/>
  <c r="T356" i="3"/>
  <c r="Z356" i="3" s="1"/>
  <c r="P356" i="3"/>
  <c r="X356" i="3" s="1"/>
  <c r="N356" i="3"/>
  <c r="H356" i="3"/>
  <c r="D356" i="3"/>
  <c r="L356" i="3" s="1"/>
  <c r="B356" i="3"/>
  <c r="Z355" i="3"/>
  <c r="X355" i="3"/>
  <c r="T355" i="3"/>
  <c r="P355" i="3"/>
  <c r="N355" i="3"/>
  <c r="L355" i="3"/>
  <c r="H355" i="3"/>
  <c r="D355" i="3"/>
  <c r="B355" i="3"/>
  <c r="X354" i="3"/>
  <c r="T354" i="3"/>
  <c r="Z354" i="3" s="1"/>
  <c r="P354" i="3"/>
  <c r="H354" i="3"/>
  <c r="N354" i="3" s="1"/>
  <c r="D354" i="3"/>
  <c r="L354" i="3" s="1"/>
  <c r="B354" i="3"/>
  <c r="T353" i="3"/>
  <c r="P353" i="3"/>
  <c r="X353" i="3" s="1"/>
  <c r="Z353" i="3" s="1"/>
  <c r="N353" i="3"/>
  <c r="L353" i="3"/>
  <c r="H353" i="3"/>
  <c r="D353" i="3"/>
  <c r="B353" i="3"/>
  <c r="X352" i="3"/>
  <c r="Z352" i="3" s="1"/>
  <c r="T352" i="3"/>
  <c r="P352" i="3"/>
  <c r="L352" i="3"/>
  <c r="H352" i="3"/>
  <c r="N352" i="3" s="1"/>
  <c r="D352" i="3"/>
  <c r="B352" i="3"/>
  <c r="T351" i="3"/>
  <c r="Z351" i="3" s="1"/>
  <c r="P351" i="3"/>
  <c r="X351" i="3" s="1"/>
  <c r="H351" i="3"/>
  <c r="D351" i="3"/>
  <c r="L351" i="3" s="1"/>
  <c r="N351" i="3" s="1"/>
  <c r="B351" i="3"/>
  <c r="T350" i="3"/>
  <c r="P350" i="3"/>
  <c r="X350" i="3" s="1"/>
  <c r="Z350" i="3" s="1"/>
  <c r="N350" i="3"/>
  <c r="L350" i="3"/>
  <c r="H350" i="3"/>
  <c r="D350" i="3"/>
  <c r="B350" i="3"/>
  <c r="Z349" i="3"/>
  <c r="X349" i="3"/>
  <c r="T349" i="3"/>
  <c r="P349" i="3"/>
  <c r="H349" i="3"/>
  <c r="N349" i="3" s="1"/>
  <c r="D349" i="3"/>
  <c r="L349" i="3" s="1"/>
  <c r="B349" i="3"/>
  <c r="T348" i="3"/>
  <c r="P348" i="3"/>
  <c r="X348" i="3" s="1"/>
  <c r="N348" i="3"/>
  <c r="H348" i="3"/>
  <c r="D348" i="3"/>
  <c r="L348" i="3" s="1"/>
  <c r="B348" i="3"/>
  <c r="Z347" i="3"/>
  <c r="X347" i="3"/>
  <c r="T347" i="3"/>
  <c r="P347" i="3"/>
  <c r="N347" i="3"/>
  <c r="L347" i="3"/>
  <c r="H347" i="3"/>
  <c r="D347" i="3"/>
  <c r="B347" i="3"/>
  <c r="X346" i="3"/>
  <c r="T346" i="3"/>
  <c r="T344" i="3" s="1"/>
  <c r="P346" i="3"/>
  <c r="H346" i="3"/>
  <c r="H344" i="3" s="1"/>
  <c r="D346" i="3"/>
  <c r="D344" i="3" s="1"/>
  <c r="B346" i="3"/>
  <c r="T345" i="3"/>
  <c r="P345" i="3"/>
  <c r="X345" i="3" s="1"/>
  <c r="Z345" i="3" s="1"/>
  <c r="N345" i="3"/>
  <c r="L345" i="3"/>
  <c r="H345" i="3"/>
  <c r="D345" i="3"/>
  <c r="B345" i="3"/>
  <c r="X342" i="3"/>
  <c r="Z342" i="3" s="1"/>
  <c r="L342" i="3"/>
  <c r="N342" i="3" s="1"/>
  <c r="B342" i="3"/>
  <c r="T341" i="3"/>
  <c r="Z341" i="3" s="1"/>
  <c r="P341" i="3"/>
  <c r="X341" i="3" s="1"/>
  <c r="H341" i="3"/>
  <c r="D341" i="3"/>
  <c r="L341" i="3" s="1"/>
  <c r="N341" i="3" s="1"/>
  <c r="B341" i="3"/>
  <c r="X340" i="3"/>
  <c r="Z340" i="3" s="1"/>
  <c r="N340" i="3"/>
  <c r="L340" i="3"/>
  <c r="B340" i="3"/>
  <c r="Z339" i="3"/>
  <c r="X339" i="3"/>
  <c r="N339" i="3"/>
  <c r="L339" i="3"/>
  <c r="B339" i="3"/>
  <c r="Z338" i="3"/>
  <c r="X338" i="3"/>
  <c r="N338" i="3"/>
  <c r="L338" i="3"/>
  <c r="B338" i="3"/>
  <c r="T337" i="3"/>
  <c r="Z337" i="3" s="1"/>
  <c r="P337" i="3"/>
  <c r="X337" i="3" s="1"/>
  <c r="N337" i="3"/>
  <c r="H337" i="3"/>
  <c r="D337" i="3"/>
  <c r="L337" i="3" s="1"/>
  <c r="B337" i="3"/>
  <c r="X336" i="3"/>
  <c r="Z336" i="3" s="1"/>
  <c r="L336" i="3"/>
  <c r="N336" i="3" s="1"/>
  <c r="B336" i="3"/>
  <c r="T335" i="3"/>
  <c r="P335" i="3"/>
  <c r="X335" i="3" s="1"/>
  <c r="Z335" i="3" s="1"/>
  <c r="N335" i="3"/>
  <c r="L335" i="3"/>
  <c r="H335" i="3"/>
  <c r="D335" i="3"/>
  <c r="B335" i="3"/>
  <c r="X334" i="3"/>
  <c r="Z334" i="3" s="1"/>
  <c r="N334" i="3"/>
  <c r="L334" i="3"/>
  <c r="B334" i="3"/>
  <c r="Z333" i="3"/>
  <c r="X333" i="3"/>
  <c r="N333" i="3"/>
  <c r="L333" i="3"/>
  <c r="B333" i="3"/>
  <c r="T332" i="3"/>
  <c r="P332" i="3"/>
  <c r="X332" i="3" s="1"/>
  <c r="Z332" i="3" s="1"/>
  <c r="L332" i="3"/>
  <c r="N332" i="3" s="1"/>
  <c r="H332" i="3"/>
  <c r="D332" i="3"/>
  <c r="B332" i="3"/>
  <c r="Z331" i="3"/>
  <c r="X331" i="3"/>
  <c r="N331" i="3"/>
  <c r="L331" i="3"/>
  <c r="B331" i="3"/>
  <c r="X330" i="3"/>
  <c r="Z330" i="3" s="1"/>
  <c r="N330" i="3"/>
  <c r="L330" i="3"/>
  <c r="B330" i="3"/>
  <c r="Z329" i="3"/>
  <c r="X329" i="3"/>
  <c r="N329" i="3"/>
  <c r="L329" i="3"/>
  <c r="B329" i="3"/>
  <c r="X328" i="3"/>
  <c r="Z328" i="3" s="1"/>
  <c r="L328" i="3"/>
  <c r="N328" i="3" s="1"/>
  <c r="B328" i="3"/>
  <c r="Z327" i="3"/>
  <c r="X327" i="3"/>
  <c r="N327" i="3"/>
  <c r="L327" i="3"/>
  <c r="B327" i="3"/>
  <c r="Z326" i="3"/>
  <c r="X326" i="3"/>
  <c r="L326" i="3"/>
  <c r="N326" i="3" s="1"/>
  <c r="B326" i="3"/>
  <c r="X325" i="3"/>
  <c r="Z325" i="3" s="1"/>
  <c r="N325" i="3"/>
  <c r="L325" i="3"/>
  <c r="B325" i="3"/>
  <c r="X324" i="3"/>
  <c r="Z324" i="3" s="1"/>
  <c r="L324" i="3"/>
  <c r="N324" i="3" s="1"/>
  <c r="B324" i="3"/>
  <c r="Z323" i="3"/>
  <c r="X323" i="3"/>
  <c r="N323" i="3"/>
  <c r="L323" i="3"/>
  <c r="B323" i="3"/>
  <c r="X322" i="3"/>
  <c r="Z322" i="3" s="1"/>
  <c r="N322" i="3"/>
  <c r="L322" i="3"/>
  <c r="B322" i="3"/>
  <c r="Z321" i="3"/>
  <c r="X321" i="3"/>
  <c r="T321" i="3"/>
  <c r="P321" i="3"/>
  <c r="N321" i="3"/>
  <c r="L321" i="3"/>
  <c r="H321" i="3"/>
  <c r="D321" i="3"/>
  <c r="B321" i="3"/>
  <c r="X320" i="3"/>
  <c r="Z320" i="3" s="1"/>
  <c r="N320" i="3"/>
  <c r="L320" i="3"/>
  <c r="B320" i="3"/>
  <c r="Z319" i="3"/>
  <c r="X319" i="3"/>
  <c r="N319" i="3"/>
  <c r="L319" i="3"/>
  <c r="B319" i="3"/>
  <c r="X318" i="3"/>
  <c r="Z318" i="3" s="1"/>
  <c r="T318" i="3"/>
  <c r="P318" i="3"/>
  <c r="L318" i="3"/>
  <c r="H318" i="3"/>
  <c r="N318" i="3" s="1"/>
  <c r="D318" i="3"/>
  <c r="B318" i="3"/>
  <c r="X317" i="3"/>
  <c r="Z317" i="3" s="1"/>
  <c r="N317" i="3"/>
  <c r="L317" i="3"/>
  <c r="B317" i="3"/>
  <c r="X316" i="3"/>
  <c r="Z316" i="3" s="1"/>
  <c r="L316" i="3"/>
  <c r="N316" i="3" s="1"/>
  <c r="B316" i="3"/>
  <c r="Z315" i="3"/>
  <c r="X315" i="3"/>
  <c r="N315" i="3"/>
  <c r="L315" i="3"/>
  <c r="B315" i="3"/>
  <c r="X314" i="3"/>
  <c r="Z314" i="3" s="1"/>
  <c r="N314" i="3"/>
  <c r="L314" i="3"/>
  <c r="B314" i="3"/>
  <c r="Z313" i="3"/>
  <c r="X313" i="3"/>
  <c r="L313" i="3"/>
  <c r="N313" i="3" s="1"/>
  <c r="B313" i="3"/>
  <c r="T312" i="3"/>
  <c r="P312" i="3"/>
  <c r="X312" i="3" s="1"/>
  <c r="Z312" i="3" s="1"/>
  <c r="L312" i="3"/>
  <c r="N312" i="3" s="1"/>
  <c r="H312" i="3"/>
  <c r="D312" i="3"/>
  <c r="B312" i="3"/>
  <c r="Z311" i="3"/>
  <c r="X311" i="3"/>
  <c r="N311" i="3"/>
  <c r="L311" i="3"/>
  <c r="B311" i="3"/>
  <c r="X310" i="3"/>
  <c r="Z310" i="3" s="1"/>
  <c r="N310" i="3"/>
  <c r="L310" i="3"/>
  <c r="B310" i="3"/>
  <c r="Z309" i="3"/>
  <c r="X309" i="3"/>
  <c r="N309" i="3"/>
  <c r="L309" i="3"/>
  <c r="B309" i="3"/>
  <c r="T308" i="3"/>
  <c r="P308" i="3"/>
  <c r="X308" i="3" s="1"/>
  <c r="N308" i="3"/>
  <c r="L308" i="3"/>
  <c r="H308" i="3"/>
  <c r="D308" i="3"/>
  <c r="B308" i="3"/>
  <c r="Z307" i="3"/>
  <c r="X307" i="3"/>
  <c r="N307" i="3"/>
  <c r="L307" i="3"/>
  <c r="B307" i="3"/>
  <c r="X306" i="3"/>
  <c r="Z306" i="3" s="1"/>
  <c r="L306" i="3"/>
  <c r="N306" i="3" s="1"/>
  <c r="B306" i="3"/>
  <c r="Z305" i="3"/>
  <c r="X305" i="3"/>
  <c r="L305" i="3"/>
  <c r="N305" i="3" s="1"/>
  <c r="B305" i="3"/>
  <c r="X304" i="3"/>
  <c r="Z304" i="3" s="1"/>
  <c r="L304" i="3"/>
  <c r="N304" i="3" s="1"/>
  <c r="B304" i="3"/>
  <c r="T303" i="3"/>
  <c r="Z303" i="3" s="1"/>
  <c r="P303" i="3"/>
  <c r="X303" i="3" s="1"/>
  <c r="H303" i="3"/>
  <c r="D303" i="3"/>
  <c r="L303" i="3" s="1"/>
  <c r="N303" i="3" s="1"/>
  <c r="B303" i="3"/>
  <c r="X302" i="3"/>
  <c r="Z302" i="3" s="1"/>
  <c r="L302" i="3"/>
  <c r="N302" i="3" s="1"/>
  <c r="B302" i="3"/>
  <c r="T301" i="3"/>
  <c r="P301" i="3"/>
  <c r="X301" i="3" s="1"/>
  <c r="Z301" i="3" s="1"/>
  <c r="N301" i="3"/>
  <c r="L301" i="3"/>
  <c r="H301" i="3"/>
  <c r="D301" i="3"/>
  <c r="B301" i="3"/>
  <c r="X300" i="3"/>
  <c r="Z300" i="3" s="1"/>
  <c r="N300" i="3"/>
  <c r="L300" i="3"/>
  <c r="B300" i="3"/>
  <c r="Z299" i="3"/>
  <c r="X299" i="3"/>
  <c r="T299" i="3"/>
  <c r="P299" i="3"/>
  <c r="H299" i="3"/>
  <c r="D299" i="3"/>
  <c r="B299" i="3"/>
  <c r="X298" i="3"/>
  <c r="Z298" i="3" s="1"/>
  <c r="L298" i="3"/>
  <c r="N298" i="3" s="1"/>
  <c r="B298" i="3"/>
  <c r="T297" i="3"/>
  <c r="P297" i="3"/>
  <c r="H297" i="3"/>
  <c r="D297" i="3"/>
  <c r="L297" i="3" s="1"/>
  <c r="B297" i="3"/>
  <c r="X296" i="3"/>
  <c r="Z296" i="3" s="1"/>
  <c r="L296" i="3"/>
  <c r="N296" i="3" s="1"/>
  <c r="B296" i="3"/>
  <c r="Z295" i="3"/>
  <c r="X295" i="3"/>
  <c r="N295" i="3"/>
  <c r="L295" i="3"/>
  <c r="B295" i="3"/>
  <c r="Z294" i="3"/>
  <c r="X294" i="3"/>
  <c r="L294" i="3"/>
  <c r="N294" i="3" s="1"/>
  <c r="B294" i="3"/>
  <c r="X293" i="3"/>
  <c r="Z293" i="3" s="1"/>
  <c r="N293" i="3"/>
  <c r="L293" i="3"/>
  <c r="B293" i="3"/>
  <c r="X292" i="3"/>
  <c r="Z292" i="3" s="1"/>
  <c r="N292" i="3"/>
  <c r="L292" i="3"/>
  <c r="B292" i="3"/>
  <c r="Z291" i="3"/>
  <c r="X291" i="3"/>
  <c r="N291" i="3"/>
  <c r="L291" i="3"/>
  <c r="B291" i="3"/>
  <c r="X290" i="3"/>
  <c r="Z290" i="3" s="1"/>
  <c r="N290" i="3"/>
  <c r="L290" i="3"/>
  <c r="B290" i="3"/>
  <c r="Z289" i="3"/>
  <c r="X289" i="3"/>
  <c r="L289" i="3"/>
  <c r="N289" i="3" s="1"/>
  <c r="B289" i="3"/>
  <c r="X288" i="3"/>
  <c r="Z288" i="3" s="1"/>
  <c r="L288" i="3"/>
  <c r="N288" i="3" s="1"/>
  <c r="B288" i="3"/>
  <c r="Z287" i="3"/>
  <c r="X287" i="3"/>
  <c r="N287" i="3"/>
  <c r="L287" i="3"/>
  <c r="B287" i="3"/>
  <c r="X286" i="3"/>
  <c r="Z286" i="3" s="1"/>
  <c r="L286" i="3"/>
  <c r="N286" i="3" s="1"/>
  <c r="B286" i="3"/>
  <c r="X285" i="3"/>
  <c r="Z285" i="3" s="1"/>
  <c r="N285" i="3"/>
  <c r="L285" i="3"/>
  <c r="B285" i="3"/>
  <c r="X284" i="3"/>
  <c r="Z284" i="3" s="1"/>
  <c r="L284" i="3"/>
  <c r="N284" i="3" s="1"/>
  <c r="B284" i="3"/>
  <c r="Z283" i="3"/>
  <c r="X283" i="3"/>
  <c r="L283" i="3"/>
  <c r="N283" i="3" s="1"/>
  <c r="B283" i="3"/>
  <c r="X282" i="3"/>
  <c r="Z282" i="3" s="1"/>
  <c r="L282" i="3"/>
  <c r="N282" i="3" s="1"/>
  <c r="B282" i="3"/>
  <c r="Z281" i="3"/>
  <c r="X281" i="3"/>
  <c r="L281" i="3"/>
  <c r="N281" i="3" s="1"/>
  <c r="B281" i="3"/>
  <c r="X280" i="3"/>
  <c r="Z280" i="3" s="1"/>
  <c r="L280" i="3"/>
  <c r="N280" i="3" s="1"/>
  <c r="B280" i="3"/>
  <c r="Z279" i="3"/>
  <c r="X279" i="3"/>
  <c r="N279" i="3"/>
  <c r="L279" i="3"/>
  <c r="B279" i="3"/>
  <c r="Z278" i="3"/>
  <c r="X278" i="3"/>
  <c r="L278" i="3"/>
  <c r="N278" i="3" s="1"/>
  <c r="B278" i="3"/>
  <c r="X277" i="3"/>
  <c r="Z277" i="3" s="1"/>
  <c r="N277" i="3"/>
  <c r="L277" i="3"/>
  <c r="B277" i="3"/>
  <c r="X276" i="3"/>
  <c r="Z276" i="3" s="1"/>
  <c r="L276" i="3"/>
  <c r="N276" i="3" s="1"/>
  <c r="B276" i="3"/>
  <c r="Z275" i="3"/>
  <c r="X275" i="3"/>
  <c r="N275" i="3"/>
  <c r="L275" i="3"/>
  <c r="B275" i="3"/>
  <c r="X274" i="3"/>
  <c r="Z274" i="3" s="1"/>
  <c r="L274" i="3"/>
  <c r="N274" i="3" s="1"/>
  <c r="B274" i="3"/>
  <c r="Z273" i="3"/>
  <c r="X273" i="3"/>
  <c r="N273" i="3"/>
  <c r="L273" i="3"/>
  <c r="B273" i="3"/>
  <c r="X272" i="3"/>
  <c r="Z272" i="3" s="1"/>
  <c r="L272" i="3"/>
  <c r="N272" i="3" s="1"/>
  <c r="B272" i="3"/>
  <c r="Z271" i="3"/>
  <c r="X271" i="3"/>
  <c r="N271" i="3"/>
  <c r="L271" i="3"/>
  <c r="B271" i="3"/>
  <c r="X270" i="3"/>
  <c r="Z270" i="3" s="1"/>
  <c r="L270" i="3"/>
  <c r="N270" i="3" s="1"/>
  <c r="B270" i="3"/>
  <c r="Z269" i="3"/>
  <c r="X269" i="3"/>
  <c r="N269" i="3"/>
  <c r="L269" i="3"/>
  <c r="B269" i="3"/>
  <c r="X268" i="3"/>
  <c r="Z268" i="3" s="1"/>
  <c r="L268" i="3"/>
  <c r="N268" i="3" s="1"/>
  <c r="B268" i="3"/>
  <c r="Z267" i="3"/>
  <c r="X267" i="3"/>
  <c r="N267" i="3"/>
  <c r="L267" i="3"/>
  <c r="B267" i="3"/>
  <c r="X266" i="3"/>
  <c r="Z266" i="3" s="1"/>
  <c r="L266" i="3"/>
  <c r="N266" i="3" s="1"/>
  <c r="B266" i="3"/>
  <c r="Z265" i="3"/>
  <c r="X265" i="3"/>
  <c r="N265" i="3"/>
  <c r="L265" i="3"/>
  <c r="B265" i="3"/>
  <c r="X264" i="3"/>
  <c r="Z264" i="3" s="1"/>
  <c r="L264" i="3"/>
  <c r="N264" i="3" s="1"/>
  <c r="B264" i="3"/>
  <c r="Z263" i="3"/>
  <c r="X263" i="3"/>
  <c r="N263" i="3"/>
  <c r="L263" i="3"/>
  <c r="B263" i="3"/>
  <c r="X262" i="3"/>
  <c r="Z262" i="3" s="1"/>
  <c r="L262" i="3"/>
  <c r="N262" i="3" s="1"/>
  <c r="B262" i="3"/>
  <c r="Z261" i="3"/>
  <c r="X261" i="3"/>
  <c r="N261" i="3"/>
  <c r="L261" i="3"/>
  <c r="B261" i="3"/>
  <c r="Z260" i="3"/>
  <c r="X260" i="3"/>
  <c r="L260" i="3"/>
  <c r="N260" i="3" s="1"/>
  <c r="B260" i="3"/>
  <c r="Z259" i="3"/>
  <c r="X259" i="3"/>
  <c r="T259" i="3"/>
  <c r="P259" i="3"/>
  <c r="H259" i="3"/>
  <c r="N259" i="3" s="1"/>
  <c r="D259" i="3"/>
  <c r="L259" i="3" s="1"/>
  <c r="B259" i="3"/>
  <c r="X258" i="3"/>
  <c r="Z258" i="3" s="1"/>
  <c r="L258" i="3"/>
  <c r="N258" i="3" s="1"/>
  <c r="B258" i="3"/>
  <c r="T257" i="3"/>
  <c r="P257" i="3"/>
  <c r="X257" i="3" s="1"/>
  <c r="H257" i="3"/>
  <c r="D257" i="3"/>
  <c r="L257" i="3" s="1"/>
  <c r="N257" i="3" s="1"/>
  <c r="B257" i="3"/>
  <c r="X256" i="3"/>
  <c r="Z256" i="3" s="1"/>
  <c r="L256" i="3"/>
  <c r="N256" i="3" s="1"/>
  <c r="B256" i="3"/>
  <c r="T255" i="3"/>
  <c r="P255" i="3"/>
  <c r="X255" i="3" s="1"/>
  <c r="Z255" i="3" s="1"/>
  <c r="N255" i="3"/>
  <c r="L255" i="3"/>
  <c r="H255" i="3"/>
  <c r="D255" i="3"/>
  <c r="B255" i="3"/>
  <c r="X254" i="3"/>
  <c r="Z254" i="3" s="1"/>
  <c r="N254" i="3"/>
  <c r="L254" i="3"/>
  <c r="B254" i="3"/>
  <c r="Z253" i="3"/>
  <c r="X253" i="3"/>
  <c r="N253" i="3"/>
  <c r="L253" i="3"/>
  <c r="B253" i="3"/>
  <c r="T252" i="3"/>
  <c r="P252" i="3"/>
  <c r="X252" i="3" s="1"/>
  <c r="Z252" i="3" s="1"/>
  <c r="L252" i="3"/>
  <c r="N252" i="3" s="1"/>
  <c r="H252" i="3"/>
  <c r="D252" i="3"/>
  <c r="B252" i="3"/>
  <c r="Z251" i="3"/>
  <c r="X251" i="3"/>
  <c r="N251" i="3"/>
  <c r="L251" i="3"/>
  <c r="B251" i="3"/>
  <c r="X250" i="3"/>
  <c r="Z250" i="3" s="1"/>
  <c r="N250" i="3"/>
  <c r="L250" i="3"/>
  <c r="B250" i="3"/>
  <c r="Z249" i="3"/>
  <c r="X249" i="3"/>
  <c r="T249" i="3"/>
  <c r="P249" i="3"/>
  <c r="N249" i="3"/>
  <c r="L249" i="3"/>
  <c r="H249" i="3"/>
  <c r="D249" i="3"/>
  <c r="B249" i="3"/>
  <c r="X248" i="3"/>
  <c r="Z248" i="3" s="1"/>
  <c r="N248" i="3"/>
  <c r="L248" i="3"/>
  <c r="B248" i="3"/>
  <c r="Z247" i="3"/>
  <c r="X247" i="3"/>
  <c r="T247" i="3"/>
  <c r="P247" i="3"/>
  <c r="H247" i="3"/>
  <c r="D247" i="3"/>
  <c r="L247" i="3" s="1"/>
  <c r="B247" i="3"/>
  <c r="Z246" i="3"/>
  <c r="X246" i="3"/>
  <c r="L246" i="3"/>
  <c r="N246" i="3" s="1"/>
  <c r="B246" i="3"/>
  <c r="T245" i="3"/>
  <c r="Z245" i="3" s="1"/>
  <c r="P245" i="3"/>
  <c r="X245" i="3" s="1"/>
  <c r="H245" i="3"/>
  <c r="D245" i="3"/>
  <c r="L245" i="3" s="1"/>
  <c r="B245" i="3"/>
  <c r="Z244" i="3"/>
  <c r="X244" i="3"/>
  <c r="N244" i="3"/>
  <c r="L244" i="3"/>
  <c r="B244" i="3"/>
  <c r="T243" i="3"/>
  <c r="P243" i="3"/>
  <c r="X243" i="3" s="1"/>
  <c r="N243" i="3"/>
  <c r="L243" i="3"/>
  <c r="H243" i="3"/>
  <c r="D243" i="3"/>
  <c r="B243" i="3"/>
  <c r="X242" i="3"/>
  <c r="Z242" i="3" s="1"/>
  <c r="N242" i="3"/>
  <c r="L242" i="3"/>
  <c r="B242" i="3"/>
  <c r="Z241" i="3"/>
  <c r="X241" i="3"/>
  <c r="L241" i="3"/>
  <c r="N241" i="3" s="1"/>
  <c r="B241" i="3"/>
  <c r="T240" i="3"/>
  <c r="P240" i="3"/>
  <c r="X240" i="3" s="1"/>
  <c r="Z240" i="3" s="1"/>
  <c r="L240" i="3"/>
  <c r="N240" i="3" s="1"/>
  <c r="H240" i="3"/>
  <c r="D240" i="3"/>
  <c r="B240" i="3"/>
  <c r="Z239" i="3"/>
  <c r="X239" i="3"/>
  <c r="N239" i="3"/>
  <c r="L239" i="3"/>
  <c r="B239" i="3"/>
  <c r="Z238" i="3"/>
  <c r="X238" i="3"/>
  <c r="N238" i="3"/>
  <c r="L238" i="3"/>
  <c r="B238" i="3"/>
  <c r="Z237" i="3"/>
  <c r="X237" i="3"/>
  <c r="L237" i="3"/>
  <c r="N237" i="3" s="1"/>
  <c r="B237" i="3"/>
  <c r="Z236" i="3"/>
  <c r="X236" i="3"/>
  <c r="L236" i="3"/>
  <c r="N236" i="3" s="1"/>
  <c r="B236" i="3"/>
  <c r="T235" i="3"/>
  <c r="P235" i="3"/>
  <c r="X235" i="3" s="1"/>
  <c r="N235" i="3"/>
  <c r="L235" i="3"/>
  <c r="H235" i="3"/>
  <c r="D235" i="3"/>
  <c r="B235" i="3"/>
  <c r="X234" i="3"/>
  <c r="Z234" i="3" s="1"/>
  <c r="N234" i="3"/>
  <c r="L234" i="3"/>
  <c r="B234" i="3"/>
  <c r="Z233" i="3"/>
  <c r="X233" i="3"/>
  <c r="T233" i="3"/>
  <c r="P233" i="3"/>
  <c r="N233" i="3"/>
  <c r="L233" i="3"/>
  <c r="H233" i="3"/>
  <c r="D233" i="3"/>
  <c r="B233" i="3"/>
  <c r="X232" i="3"/>
  <c r="Z232" i="3" s="1"/>
  <c r="N232" i="3"/>
  <c r="L232" i="3"/>
  <c r="B232" i="3"/>
  <c r="Z231" i="3"/>
  <c r="X231" i="3"/>
  <c r="L231" i="3"/>
  <c r="N231" i="3" s="1"/>
  <c r="B231" i="3"/>
  <c r="X230" i="3"/>
  <c r="Z230" i="3" s="1"/>
  <c r="T230" i="3"/>
  <c r="P230" i="3"/>
  <c r="L230" i="3"/>
  <c r="H230" i="3"/>
  <c r="N230" i="3" s="1"/>
  <c r="D230" i="3"/>
  <c r="B230" i="3"/>
  <c r="X229" i="3"/>
  <c r="Z229" i="3" s="1"/>
  <c r="N229" i="3"/>
  <c r="L229" i="3"/>
  <c r="B229" i="3"/>
  <c r="X228" i="3"/>
  <c r="T228" i="3"/>
  <c r="Z228" i="3" s="1"/>
  <c r="P228" i="3"/>
  <c r="H228" i="3"/>
  <c r="N228" i="3" s="1"/>
  <c r="D228" i="3"/>
  <c r="L228" i="3" s="1"/>
  <c r="B228" i="3"/>
  <c r="X227" i="3"/>
  <c r="Z227" i="3" s="1"/>
  <c r="N227" i="3"/>
  <c r="L227" i="3"/>
  <c r="B227" i="3"/>
  <c r="Z226" i="3"/>
  <c r="X226" i="3"/>
  <c r="L226" i="3"/>
  <c r="N226" i="3" s="1"/>
  <c r="B226" i="3"/>
  <c r="X225" i="3"/>
  <c r="Z225" i="3" s="1"/>
  <c r="N225" i="3"/>
  <c r="L225" i="3"/>
  <c r="B225" i="3"/>
  <c r="X224" i="3"/>
  <c r="Z224" i="3" s="1"/>
  <c r="N224" i="3"/>
  <c r="L224" i="3"/>
  <c r="B224" i="3"/>
  <c r="Z223" i="3"/>
  <c r="X223" i="3"/>
  <c r="L223" i="3"/>
  <c r="N223" i="3" s="1"/>
  <c r="B223" i="3"/>
  <c r="X222" i="3"/>
  <c r="Z222" i="3" s="1"/>
  <c r="N222" i="3"/>
  <c r="L222" i="3"/>
  <c r="B222" i="3"/>
  <c r="Z221" i="3"/>
  <c r="X221" i="3"/>
  <c r="L221" i="3"/>
  <c r="N221" i="3" s="1"/>
  <c r="B221" i="3"/>
  <c r="T220" i="3"/>
  <c r="P220" i="3"/>
  <c r="X220" i="3" s="1"/>
  <c r="Z220" i="3" s="1"/>
  <c r="L220" i="3"/>
  <c r="N220" i="3" s="1"/>
  <c r="H220" i="3"/>
  <c r="D220" i="3"/>
  <c r="B220" i="3"/>
  <c r="Z219" i="3"/>
  <c r="X219" i="3"/>
  <c r="L219" i="3"/>
  <c r="N219" i="3" s="1"/>
  <c r="B219" i="3"/>
  <c r="X218" i="3"/>
  <c r="Z218" i="3" s="1"/>
  <c r="N218" i="3"/>
  <c r="L218" i="3"/>
  <c r="B218" i="3"/>
  <c r="Z217" i="3"/>
  <c r="X217" i="3"/>
  <c r="L217" i="3"/>
  <c r="N217" i="3" s="1"/>
  <c r="B217" i="3"/>
  <c r="X216" i="3"/>
  <c r="Z216" i="3" s="1"/>
  <c r="L216" i="3"/>
  <c r="N216" i="3" s="1"/>
  <c r="B216" i="3"/>
  <c r="Z215" i="3"/>
  <c r="X215" i="3"/>
  <c r="N215" i="3"/>
  <c r="L215" i="3"/>
  <c r="B215" i="3"/>
  <c r="Z214" i="3"/>
  <c r="X214" i="3"/>
  <c r="L214" i="3"/>
  <c r="N214" i="3" s="1"/>
  <c r="B214" i="3"/>
  <c r="Z213" i="3"/>
  <c r="X213" i="3"/>
  <c r="N213" i="3"/>
  <c r="L213" i="3"/>
  <c r="B213" i="3"/>
  <c r="X212" i="3"/>
  <c r="Z212" i="3" s="1"/>
  <c r="L212" i="3"/>
  <c r="N212" i="3" s="1"/>
  <c r="B212" i="3"/>
  <c r="Z211" i="3"/>
  <c r="X211" i="3"/>
  <c r="L211" i="3"/>
  <c r="N211" i="3" s="1"/>
  <c r="B211" i="3"/>
  <c r="X210" i="3"/>
  <c r="Z210" i="3" s="1"/>
  <c r="N210" i="3"/>
  <c r="L210" i="3"/>
  <c r="B210" i="3"/>
  <c r="T209" i="3"/>
  <c r="P209" i="3"/>
  <c r="X209" i="3" s="1"/>
  <c r="Z209" i="3" s="1"/>
  <c r="N209" i="3"/>
  <c r="L209" i="3"/>
  <c r="H209" i="3"/>
  <c r="D209" i="3"/>
  <c r="B209" i="3"/>
  <c r="X208" i="3"/>
  <c r="T208" i="3"/>
  <c r="Z208" i="3" s="1"/>
  <c r="P208" i="3"/>
  <c r="H208" i="3"/>
  <c r="D208" i="3"/>
  <c r="L208" i="3" s="1"/>
  <c r="X204" i="3"/>
  <c r="Z204" i="3" s="1"/>
  <c r="L204" i="3"/>
  <c r="N204" i="3" s="1"/>
  <c r="B204" i="3"/>
  <c r="Z203" i="3"/>
  <c r="X203" i="3"/>
  <c r="N203" i="3"/>
  <c r="L203" i="3"/>
  <c r="B203" i="3"/>
  <c r="X202" i="3"/>
  <c r="Z202" i="3" s="1"/>
  <c r="N202" i="3"/>
  <c r="L202" i="3"/>
  <c r="B202" i="3"/>
  <c r="Z201" i="3"/>
  <c r="X201" i="3"/>
  <c r="N201" i="3"/>
  <c r="L201" i="3"/>
  <c r="B201" i="3"/>
  <c r="X200" i="3"/>
  <c r="Z200" i="3" s="1"/>
  <c r="N200" i="3"/>
  <c r="L200" i="3"/>
  <c r="B200" i="3"/>
  <c r="Z199" i="3"/>
  <c r="X199" i="3"/>
  <c r="N199" i="3"/>
  <c r="L199" i="3"/>
  <c r="B199" i="3"/>
  <c r="Z198" i="3"/>
  <c r="X198" i="3"/>
  <c r="L198" i="3"/>
  <c r="N198" i="3" s="1"/>
  <c r="B198" i="3"/>
  <c r="X197" i="3"/>
  <c r="Z197" i="3" s="1"/>
  <c r="N197" i="3"/>
  <c r="L197" i="3"/>
  <c r="B197" i="3"/>
  <c r="X196" i="3"/>
  <c r="Z196" i="3" s="1"/>
  <c r="N196" i="3"/>
  <c r="L196" i="3"/>
  <c r="B196" i="3"/>
  <c r="Z195" i="3"/>
  <c r="X195" i="3"/>
  <c r="N195" i="3"/>
  <c r="L195" i="3"/>
  <c r="B195" i="3"/>
  <c r="X194" i="3"/>
  <c r="Z194" i="3" s="1"/>
  <c r="N194" i="3"/>
  <c r="L194" i="3"/>
  <c r="B194" i="3"/>
  <c r="Z193" i="3"/>
  <c r="X193" i="3"/>
  <c r="L193" i="3"/>
  <c r="N193" i="3" s="1"/>
  <c r="B193" i="3"/>
  <c r="X192" i="3"/>
  <c r="Z192" i="3" s="1"/>
  <c r="L192" i="3"/>
  <c r="N192" i="3" s="1"/>
  <c r="B192" i="3"/>
  <c r="Z191" i="3"/>
  <c r="X191" i="3"/>
  <c r="N191" i="3"/>
  <c r="L191" i="3"/>
  <c r="B191" i="3"/>
  <c r="Z190" i="3"/>
  <c r="X190" i="3"/>
  <c r="N190" i="3"/>
  <c r="L190" i="3"/>
  <c r="B190" i="3"/>
  <c r="X189" i="3"/>
  <c r="Z189" i="3" s="1"/>
  <c r="N189" i="3"/>
  <c r="L189" i="3"/>
  <c r="B189" i="3"/>
  <c r="X188" i="3"/>
  <c r="Z188" i="3" s="1"/>
  <c r="N188" i="3"/>
  <c r="L188" i="3"/>
  <c r="B188" i="3"/>
  <c r="Z187" i="3"/>
  <c r="X187" i="3"/>
  <c r="N187" i="3"/>
  <c r="L187" i="3"/>
  <c r="B187" i="3"/>
  <c r="X186" i="3"/>
  <c r="Z186" i="3" s="1"/>
  <c r="N186" i="3"/>
  <c r="L186" i="3"/>
  <c r="B186" i="3"/>
  <c r="Z185" i="3"/>
  <c r="X185" i="3"/>
  <c r="L185" i="3"/>
  <c r="N185" i="3" s="1"/>
  <c r="B185" i="3"/>
  <c r="X184" i="3"/>
  <c r="Z184" i="3" s="1"/>
  <c r="L184" i="3"/>
  <c r="N184" i="3" s="1"/>
  <c r="B184" i="3"/>
  <c r="Z183" i="3"/>
  <c r="X183" i="3"/>
  <c r="N183" i="3"/>
  <c r="L183" i="3"/>
  <c r="B183" i="3"/>
  <c r="Z182" i="3"/>
  <c r="X182" i="3"/>
  <c r="L182" i="3"/>
  <c r="N182" i="3" s="1"/>
  <c r="B182" i="3"/>
  <c r="X181" i="3"/>
  <c r="Z181" i="3" s="1"/>
  <c r="N181" i="3"/>
  <c r="L181" i="3"/>
  <c r="B181" i="3"/>
  <c r="Z180" i="3"/>
  <c r="X180" i="3"/>
  <c r="N180" i="3"/>
  <c r="L180" i="3"/>
  <c r="B180" i="3"/>
  <c r="Z179" i="3"/>
  <c r="X179" i="3"/>
  <c r="N179" i="3"/>
  <c r="L179" i="3"/>
  <c r="B179" i="3"/>
  <c r="X178" i="3"/>
  <c r="Z178" i="3" s="1"/>
  <c r="N178" i="3"/>
  <c r="L178" i="3"/>
  <c r="B178" i="3"/>
  <c r="Z177" i="3"/>
  <c r="X177" i="3"/>
  <c r="N177" i="3"/>
  <c r="L177" i="3"/>
  <c r="B177" i="3"/>
  <c r="X176" i="3"/>
  <c r="Z176" i="3" s="1"/>
  <c r="L176" i="3"/>
  <c r="N176" i="3" s="1"/>
  <c r="B176" i="3"/>
  <c r="Z175" i="3"/>
  <c r="X175" i="3"/>
  <c r="N175" i="3"/>
  <c r="L175" i="3"/>
  <c r="B175" i="3"/>
  <c r="X174" i="3"/>
  <c r="Z174" i="3" s="1"/>
  <c r="L174" i="3"/>
  <c r="N174" i="3" s="1"/>
  <c r="B174" i="3"/>
  <c r="Z173" i="3"/>
  <c r="X173" i="3"/>
  <c r="N173" i="3"/>
  <c r="L173" i="3"/>
  <c r="B173" i="3"/>
  <c r="X172" i="3"/>
  <c r="Z172" i="3" s="1"/>
  <c r="L172" i="3"/>
  <c r="N172" i="3" s="1"/>
  <c r="B172" i="3"/>
  <c r="Z171" i="3"/>
  <c r="X171" i="3"/>
  <c r="N171" i="3"/>
  <c r="L171" i="3"/>
  <c r="B171" i="3"/>
  <c r="X170" i="3"/>
  <c r="Z170" i="3" s="1"/>
  <c r="L170" i="3"/>
  <c r="N170" i="3" s="1"/>
  <c r="B170" i="3"/>
  <c r="Z169" i="3"/>
  <c r="X169" i="3"/>
  <c r="N169" i="3"/>
  <c r="L169" i="3"/>
  <c r="B169" i="3"/>
  <c r="X168" i="3"/>
  <c r="Z168" i="3" s="1"/>
  <c r="N168" i="3"/>
  <c r="L168" i="3"/>
  <c r="B168" i="3"/>
  <c r="Z167" i="3"/>
  <c r="X167" i="3"/>
  <c r="N167" i="3"/>
  <c r="L167" i="3"/>
  <c r="B167" i="3"/>
  <c r="X166" i="3"/>
  <c r="Z166" i="3" s="1"/>
  <c r="L166" i="3"/>
  <c r="N166" i="3" s="1"/>
  <c r="B166" i="3"/>
  <c r="Z165" i="3"/>
  <c r="X165" i="3"/>
  <c r="N165" i="3"/>
  <c r="L165" i="3"/>
  <c r="B165" i="3"/>
  <c r="X164" i="3"/>
  <c r="Z164" i="3" s="1"/>
  <c r="L164" i="3"/>
  <c r="N164" i="3" s="1"/>
  <c r="B164" i="3"/>
  <c r="Z163" i="3"/>
  <c r="X163" i="3"/>
  <c r="N163" i="3"/>
  <c r="L163" i="3"/>
  <c r="B163" i="3"/>
  <c r="X162" i="3"/>
  <c r="Z162" i="3" s="1"/>
  <c r="N162" i="3"/>
  <c r="L162" i="3"/>
  <c r="B162" i="3"/>
  <c r="Z161" i="3"/>
  <c r="X161" i="3"/>
  <c r="N161" i="3"/>
  <c r="L161" i="3"/>
  <c r="B161" i="3"/>
  <c r="X160" i="3"/>
  <c r="Z160" i="3" s="1"/>
  <c r="N160" i="3"/>
  <c r="L160" i="3"/>
  <c r="B160" i="3"/>
  <c r="Z159" i="3"/>
  <c r="X159" i="3"/>
  <c r="N159" i="3"/>
  <c r="L159" i="3"/>
  <c r="B159" i="3"/>
  <c r="X158" i="3"/>
  <c r="Z158" i="3" s="1"/>
  <c r="N158" i="3"/>
  <c r="L158" i="3"/>
  <c r="B158" i="3"/>
  <c r="Z157" i="3"/>
  <c r="X157" i="3"/>
  <c r="N157" i="3"/>
  <c r="L157" i="3"/>
  <c r="B157" i="3"/>
  <c r="X156" i="3"/>
  <c r="Z156" i="3" s="1"/>
  <c r="L156" i="3"/>
  <c r="N156" i="3" s="1"/>
  <c r="B156" i="3"/>
  <c r="Z155" i="3"/>
  <c r="X155" i="3"/>
  <c r="N155" i="3"/>
  <c r="L155" i="3"/>
  <c r="B155" i="3"/>
  <c r="X154" i="3"/>
  <c r="Z154" i="3" s="1"/>
  <c r="N154" i="3"/>
  <c r="L154" i="3"/>
  <c r="B154" i="3"/>
  <c r="Z153" i="3"/>
  <c r="X153" i="3"/>
  <c r="N153" i="3"/>
  <c r="L153" i="3"/>
  <c r="B153" i="3"/>
  <c r="X152" i="3"/>
  <c r="Z152" i="3" s="1"/>
  <c r="N152" i="3"/>
  <c r="L152" i="3"/>
  <c r="B152" i="3"/>
  <c r="Z151" i="3"/>
  <c r="X151" i="3"/>
  <c r="N151" i="3"/>
  <c r="L151" i="3"/>
  <c r="B151" i="3"/>
  <c r="X150" i="3"/>
  <c r="Z150" i="3" s="1"/>
  <c r="L150" i="3"/>
  <c r="N150" i="3" s="1"/>
  <c r="B150" i="3"/>
  <c r="Z149" i="3"/>
  <c r="X149" i="3"/>
  <c r="N149" i="3"/>
  <c r="L149" i="3"/>
  <c r="B149" i="3"/>
  <c r="X148" i="3"/>
  <c r="Z148" i="3" s="1"/>
  <c r="L148" i="3"/>
  <c r="N148" i="3" s="1"/>
  <c r="B148" i="3"/>
  <c r="Z147" i="3"/>
  <c r="X147" i="3"/>
  <c r="N147" i="3"/>
  <c r="L147" i="3"/>
  <c r="B147" i="3"/>
  <c r="X146" i="3"/>
  <c r="Z146" i="3" s="1"/>
  <c r="L146" i="3"/>
  <c r="N146" i="3" s="1"/>
  <c r="B146" i="3"/>
  <c r="Z145" i="3"/>
  <c r="X145" i="3"/>
  <c r="N145" i="3"/>
  <c r="L145" i="3"/>
  <c r="B145" i="3"/>
  <c r="Z144" i="3"/>
  <c r="X144" i="3"/>
  <c r="N144" i="3"/>
  <c r="L144" i="3"/>
  <c r="B144" i="3"/>
  <c r="T143" i="3"/>
  <c r="P143" i="3"/>
  <c r="X143" i="3" s="1"/>
  <c r="Z143" i="3" s="1"/>
  <c r="H143" i="3"/>
  <c r="D143" i="3"/>
  <c r="L143" i="3" s="1"/>
  <c r="N143" i="3" s="1"/>
  <c r="T141" i="3"/>
  <c r="X141" i="3" s="1"/>
  <c r="Z141" i="3" s="1"/>
  <c r="P141" i="3"/>
  <c r="N141" i="3"/>
  <c r="H141" i="3"/>
  <c r="D141" i="3"/>
  <c r="L141" i="3" s="1"/>
  <c r="B141" i="3"/>
  <c r="X140" i="3"/>
  <c r="Z140" i="3" s="1"/>
  <c r="T140" i="3"/>
  <c r="P140" i="3"/>
  <c r="H140" i="3"/>
  <c r="N140" i="3" s="1"/>
  <c r="D140" i="3"/>
  <c r="L140" i="3" s="1"/>
  <c r="B140" i="3"/>
  <c r="T139" i="3"/>
  <c r="P139" i="3"/>
  <c r="X139" i="3" s="1"/>
  <c r="Z139" i="3" s="1"/>
  <c r="H139" i="3"/>
  <c r="N139" i="3" s="1"/>
  <c r="D139" i="3"/>
  <c r="L139" i="3" s="1"/>
  <c r="B139" i="3"/>
  <c r="X138" i="3"/>
  <c r="Z138" i="3" s="1"/>
  <c r="T138" i="3"/>
  <c r="P138" i="3"/>
  <c r="L138" i="3"/>
  <c r="H138" i="3"/>
  <c r="N138" i="3" s="1"/>
  <c r="D138" i="3"/>
  <c r="B138" i="3"/>
  <c r="T137" i="3"/>
  <c r="P137" i="3"/>
  <c r="X137" i="3" s="1"/>
  <c r="Z137" i="3" s="1"/>
  <c r="N137" i="3"/>
  <c r="H137" i="3"/>
  <c r="L137" i="3" s="1"/>
  <c r="D137" i="3"/>
  <c r="B137" i="3"/>
  <c r="T136" i="3"/>
  <c r="P136" i="3"/>
  <c r="X136" i="3" s="1"/>
  <c r="L136" i="3"/>
  <c r="N136" i="3" s="1"/>
  <c r="H136" i="3"/>
  <c r="D136" i="3"/>
  <c r="B136" i="3"/>
  <c r="T135" i="3"/>
  <c r="P135" i="3"/>
  <c r="X135" i="3" s="1"/>
  <c r="H135" i="3"/>
  <c r="L135" i="3" s="1"/>
  <c r="N135" i="3" s="1"/>
  <c r="D135" i="3"/>
  <c r="B135" i="3"/>
  <c r="X134" i="3"/>
  <c r="T134" i="3"/>
  <c r="Z134" i="3" s="1"/>
  <c r="P134" i="3"/>
  <c r="L134" i="3"/>
  <c r="N134" i="3" s="1"/>
  <c r="H134" i="3"/>
  <c r="D134" i="3"/>
  <c r="B134" i="3"/>
  <c r="T133" i="3"/>
  <c r="X133" i="3" s="1"/>
  <c r="Z133" i="3" s="1"/>
  <c r="P133" i="3"/>
  <c r="N133" i="3"/>
  <c r="H133" i="3"/>
  <c r="D133" i="3"/>
  <c r="L133" i="3" s="1"/>
  <c r="B133" i="3"/>
  <c r="X132" i="3"/>
  <c r="Z132" i="3" s="1"/>
  <c r="T132" i="3"/>
  <c r="P132" i="3"/>
  <c r="H132" i="3"/>
  <c r="N132" i="3" s="1"/>
  <c r="D132" i="3"/>
  <c r="L132" i="3" s="1"/>
  <c r="B132" i="3"/>
  <c r="T131" i="3"/>
  <c r="X131" i="3" s="1"/>
  <c r="Z131" i="3" s="1"/>
  <c r="P131" i="3"/>
  <c r="H131" i="3"/>
  <c r="N131" i="3" s="1"/>
  <c r="D131" i="3"/>
  <c r="B131" i="3"/>
  <c r="X130" i="3"/>
  <c r="Z130" i="3" s="1"/>
  <c r="T130" i="3"/>
  <c r="P130" i="3"/>
  <c r="L130" i="3"/>
  <c r="N130" i="3" s="1"/>
  <c r="H130" i="3"/>
  <c r="D130" i="3"/>
  <c r="B130" i="3"/>
  <c r="T129" i="3"/>
  <c r="P129" i="3"/>
  <c r="X129" i="3" s="1"/>
  <c r="Z129" i="3" s="1"/>
  <c r="N129" i="3"/>
  <c r="H129" i="3"/>
  <c r="L129" i="3" s="1"/>
  <c r="D129" i="3"/>
  <c r="B129" i="3"/>
  <c r="T128" i="3"/>
  <c r="P128" i="3"/>
  <c r="X128" i="3" s="1"/>
  <c r="L128" i="3"/>
  <c r="N128" i="3" s="1"/>
  <c r="H128" i="3"/>
  <c r="D128" i="3"/>
  <c r="B128" i="3"/>
  <c r="T127" i="3"/>
  <c r="P127" i="3"/>
  <c r="H127" i="3"/>
  <c r="L127" i="3" s="1"/>
  <c r="N127" i="3" s="1"/>
  <c r="D127" i="3"/>
  <c r="B127" i="3"/>
  <c r="X126" i="3"/>
  <c r="Z126" i="3" s="1"/>
  <c r="T126" i="3"/>
  <c r="P126" i="3"/>
  <c r="N126" i="3"/>
  <c r="L126" i="3"/>
  <c r="H126" i="3"/>
  <c r="D126" i="3"/>
  <c r="B126" i="3"/>
  <c r="T125" i="3"/>
  <c r="X125" i="3" s="1"/>
  <c r="Z125" i="3" s="1"/>
  <c r="P125" i="3"/>
  <c r="H125" i="3"/>
  <c r="D125" i="3"/>
  <c r="L125" i="3" s="1"/>
  <c r="N125" i="3" s="1"/>
  <c r="B125" i="3"/>
  <c r="X124" i="3"/>
  <c r="Z124" i="3" s="1"/>
  <c r="T124" i="3"/>
  <c r="P124" i="3"/>
  <c r="H124" i="3"/>
  <c r="D124" i="3"/>
  <c r="L124" i="3" s="1"/>
  <c r="B124" i="3"/>
  <c r="T123" i="3"/>
  <c r="X123" i="3" s="1"/>
  <c r="Z123" i="3" s="1"/>
  <c r="P123" i="3"/>
  <c r="H123" i="3"/>
  <c r="N123" i="3" s="1"/>
  <c r="D123" i="3"/>
  <c r="B123" i="3"/>
  <c r="X122" i="3"/>
  <c r="Z122" i="3" s="1"/>
  <c r="T122" i="3"/>
  <c r="P122" i="3"/>
  <c r="L122" i="3"/>
  <c r="N122" i="3" s="1"/>
  <c r="H122" i="3"/>
  <c r="D122" i="3"/>
  <c r="B122" i="3"/>
  <c r="T121" i="3"/>
  <c r="P121" i="3"/>
  <c r="X121" i="3" s="1"/>
  <c r="Z121" i="3" s="1"/>
  <c r="N121" i="3"/>
  <c r="H121" i="3"/>
  <c r="L121" i="3" s="1"/>
  <c r="D121" i="3"/>
  <c r="B121" i="3"/>
  <c r="T120" i="3"/>
  <c r="P120" i="3"/>
  <c r="X120" i="3" s="1"/>
  <c r="N120" i="3"/>
  <c r="L120" i="3"/>
  <c r="H120" i="3"/>
  <c r="D120" i="3"/>
  <c r="B120" i="3"/>
  <c r="T119" i="3"/>
  <c r="P119" i="3"/>
  <c r="N119" i="3"/>
  <c r="H119" i="3"/>
  <c r="D119" i="3"/>
  <c r="L119" i="3" s="1"/>
  <c r="B119" i="3"/>
  <c r="X118" i="3"/>
  <c r="Z118" i="3" s="1"/>
  <c r="T118" i="3"/>
  <c r="P118" i="3"/>
  <c r="L118" i="3"/>
  <c r="H118" i="3"/>
  <c r="N118" i="3" s="1"/>
  <c r="D118" i="3"/>
  <c r="B118" i="3"/>
  <c r="T117" i="3"/>
  <c r="X117" i="3" s="1"/>
  <c r="Z117" i="3" s="1"/>
  <c r="P117" i="3"/>
  <c r="H117" i="3"/>
  <c r="D117" i="3"/>
  <c r="L117" i="3" s="1"/>
  <c r="N117" i="3" s="1"/>
  <c r="B117" i="3"/>
  <c r="X116" i="3"/>
  <c r="Z116" i="3" s="1"/>
  <c r="T116" i="3"/>
  <c r="P116" i="3"/>
  <c r="H116" i="3"/>
  <c r="D116" i="3"/>
  <c r="L116" i="3" s="1"/>
  <c r="B116" i="3"/>
  <c r="T115" i="3"/>
  <c r="P115" i="3"/>
  <c r="X115" i="3" s="1"/>
  <c r="Z115" i="3" s="1"/>
  <c r="H115" i="3"/>
  <c r="D115" i="3"/>
  <c r="B115" i="3"/>
  <c r="X114" i="3"/>
  <c r="T114" i="3"/>
  <c r="Z114" i="3" s="1"/>
  <c r="P114" i="3"/>
  <c r="L114" i="3"/>
  <c r="N114" i="3" s="1"/>
  <c r="H114" i="3"/>
  <c r="D114" i="3"/>
  <c r="B114" i="3"/>
  <c r="T113" i="3"/>
  <c r="P113" i="3"/>
  <c r="X113" i="3" s="1"/>
  <c r="Z113" i="3" s="1"/>
  <c r="N113" i="3"/>
  <c r="H113" i="3"/>
  <c r="L113" i="3" s="1"/>
  <c r="D113" i="3"/>
  <c r="B113" i="3"/>
  <c r="T112" i="3"/>
  <c r="P112" i="3"/>
  <c r="X112" i="3" s="1"/>
  <c r="L112" i="3"/>
  <c r="N112" i="3" s="1"/>
  <c r="H112" i="3"/>
  <c r="D112" i="3"/>
  <c r="B112" i="3"/>
  <c r="T111" i="3"/>
  <c r="P111" i="3"/>
  <c r="H111" i="3"/>
  <c r="D111" i="3"/>
  <c r="L111" i="3" s="1"/>
  <c r="N111" i="3" s="1"/>
  <c r="B111" i="3"/>
  <c r="X110" i="3"/>
  <c r="Z110" i="3" s="1"/>
  <c r="T110" i="3"/>
  <c r="P110" i="3"/>
  <c r="L110" i="3"/>
  <c r="H110" i="3"/>
  <c r="N110" i="3" s="1"/>
  <c r="D110" i="3"/>
  <c r="B110" i="3"/>
  <c r="T109" i="3"/>
  <c r="X109" i="3" s="1"/>
  <c r="Z109" i="3" s="1"/>
  <c r="P109" i="3"/>
  <c r="H109" i="3"/>
  <c r="D109" i="3"/>
  <c r="L109" i="3" s="1"/>
  <c r="N109" i="3" s="1"/>
  <c r="B109" i="3"/>
  <c r="X108" i="3"/>
  <c r="Z108" i="3" s="1"/>
  <c r="T108" i="3"/>
  <c r="P108" i="3"/>
  <c r="H108" i="3"/>
  <c r="N108" i="3" s="1"/>
  <c r="D108" i="3"/>
  <c r="L108" i="3" s="1"/>
  <c r="B108" i="3"/>
  <c r="T107" i="3"/>
  <c r="P107" i="3"/>
  <c r="X107" i="3" s="1"/>
  <c r="Z107" i="3" s="1"/>
  <c r="H107" i="3"/>
  <c r="N107" i="3" s="1"/>
  <c r="D107" i="3"/>
  <c r="B107" i="3"/>
  <c r="X106" i="3"/>
  <c r="T106" i="3"/>
  <c r="Z106" i="3" s="1"/>
  <c r="P106" i="3"/>
  <c r="L106" i="3"/>
  <c r="N106" i="3" s="1"/>
  <c r="H106" i="3"/>
  <c r="D106" i="3"/>
  <c r="B106" i="3"/>
  <c r="T105" i="3"/>
  <c r="P105" i="3"/>
  <c r="X105" i="3" s="1"/>
  <c r="Z105" i="3" s="1"/>
  <c r="N105" i="3"/>
  <c r="H105" i="3"/>
  <c r="L105" i="3" s="1"/>
  <c r="D105" i="3"/>
  <c r="B105" i="3"/>
  <c r="T104" i="3"/>
  <c r="P104" i="3"/>
  <c r="X104" i="3" s="1"/>
  <c r="N104" i="3"/>
  <c r="L104" i="3"/>
  <c r="H104" i="3"/>
  <c r="D104" i="3"/>
  <c r="B104" i="3"/>
  <c r="T103" i="3"/>
  <c r="P103" i="3"/>
  <c r="N103" i="3"/>
  <c r="H103" i="3"/>
  <c r="D103" i="3"/>
  <c r="L103" i="3" s="1"/>
  <c r="B103" i="3"/>
  <c r="X102" i="3"/>
  <c r="Z102" i="3" s="1"/>
  <c r="T102" i="3"/>
  <c r="P102" i="3"/>
  <c r="L102" i="3"/>
  <c r="H102" i="3"/>
  <c r="N102" i="3" s="1"/>
  <c r="D102" i="3"/>
  <c r="B102" i="3"/>
  <c r="T101" i="3"/>
  <c r="X101" i="3" s="1"/>
  <c r="Z101" i="3" s="1"/>
  <c r="P101" i="3"/>
  <c r="N101" i="3"/>
  <c r="H101" i="3"/>
  <c r="D101" i="3"/>
  <c r="L101" i="3" s="1"/>
  <c r="B101" i="3"/>
  <c r="X100" i="3"/>
  <c r="Z100" i="3" s="1"/>
  <c r="T100" i="3"/>
  <c r="P100" i="3"/>
  <c r="H100" i="3"/>
  <c r="N100" i="3" s="1"/>
  <c r="D100" i="3"/>
  <c r="L100" i="3" s="1"/>
  <c r="B100" i="3"/>
  <c r="T99" i="3"/>
  <c r="P99" i="3"/>
  <c r="X99" i="3" s="1"/>
  <c r="Z99" i="3" s="1"/>
  <c r="H99" i="3"/>
  <c r="N99" i="3" s="1"/>
  <c r="D99" i="3"/>
  <c r="B99" i="3"/>
  <c r="X98" i="3"/>
  <c r="T98" i="3"/>
  <c r="Z98" i="3" s="1"/>
  <c r="P98" i="3"/>
  <c r="N98" i="3"/>
  <c r="L98" i="3"/>
  <c r="H98" i="3"/>
  <c r="D98" i="3"/>
  <c r="B98" i="3"/>
  <c r="T97" i="3"/>
  <c r="P97" i="3"/>
  <c r="X97" i="3" s="1"/>
  <c r="Z97" i="3" s="1"/>
  <c r="H97" i="3"/>
  <c r="L97" i="3" s="1"/>
  <c r="N97" i="3" s="1"/>
  <c r="D97" i="3"/>
  <c r="B97" i="3"/>
  <c r="T96" i="3"/>
  <c r="Z96" i="3" s="1"/>
  <c r="P96" i="3"/>
  <c r="X96" i="3" s="1"/>
  <c r="N96" i="3"/>
  <c r="L96" i="3"/>
  <c r="H96" i="3"/>
  <c r="D96" i="3"/>
  <c r="B96" i="3"/>
  <c r="T95" i="3"/>
  <c r="P95" i="3"/>
  <c r="N95" i="3"/>
  <c r="H95" i="3"/>
  <c r="D95" i="3"/>
  <c r="L95" i="3" s="1"/>
  <c r="B95" i="3"/>
  <c r="X94" i="3"/>
  <c r="Z94" i="3" s="1"/>
  <c r="T94" i="3"/>
  <c r="P94" i="3"/>
  <c r="L94" i="3"/>
  <c r="H94" i="3"/>
  <c r="N94" i="3" s="1"/>
  <c r="D94" i="3"/>
  <c r="B94" i="3"/>
  <c r="T93" i="3"/>
  <c r="X93" i="3" s="1"/>
  <c r="Z93" i="3" s="1"/>
  <c r="P93" i="3"/>
  <c r="H93" i="3"/>
  <c r="D93" i="3"/>
  <c r="L93" i="3" s="1"/>
  <c r="N93" i="3" s="1"/>
  <c r="B93" i="3"/>
  <c r="X92" i="3"/>
  <c r="Z92" i="3" s="1"/>
  <c r="T92" i="3"/>
  <c r="P92" i="3"/>
  <c r="H92" i="3"/>
  <c r="N92" i="3" s="1"/>
  <c r="D92" i="3"/>
  <c r="L92" i="3" s="1"/>
  <c r="B92" i="3"/>
  <c r="T91" i="3"/>
  <c r="P91" i="3"/>
  <c r="X91" i="3" s="1"/>
  <c r="Z91" i="3" s="1"/>
  <c r="H91" i="3"/>
  <c r="N91" i="3" s="1"/>
  <c r="D91" i="3"/>
  <c r="B91" i="3"/>
  <c r="X90" i="3"/>
  <c r="T90" i="3"/>
  <c r="Z90" i="3" s="1"/>
  <c r="P90" i="3"/>
  <c r="L90" i="3"/>
  <c r="N90" i="3" s="1"/>
  <c r="H90" i="3"/>
  <c r="D90" i="3"/>
  <c r="B90" i="3"/>
  <c r="T89" i="3"/>
  <c r="P89" i="3"/>
  <c r="X89" i="3" s="1"/>
  <c r="Z89" i="3" s="1"/>
  <c r="H89" i="3"/>
  <c r="L89" i="3" s="1"/>
  <c r="N89" i="3" s="1"/>
  <c r="D89" i="3"/>
  <c r="B89" i="3"/>
  <c r="T88" i="3"/>
  <c r="Z88" i="3" s="1"/>
  <c r="P88" i="3"/>
  <c r="X88" i="3" s="1"/>
  <c r="L88" i="3"/>
  <c r="N88" i="3" s="1"/>
  <c r="H88" i="3"/>
  <c r="D88" i="3"/>
  <c r="B88" i="3"/>
  <c r="T87" i="3"/>
  <c r="P87" i="3"/>
  <c r="N87" i="3"/>
  <c r="H87" i="3"/>
  <c r="D87" i="3"/>
  <c r="L87" i="3" s="1"/>
  <c r="B87" i="3"/>
  <c r="X86" i="3"/>
  <c r="Z86" i="3" s="1"/>
  <c r="T86" i="3"/>
  <c r="P86" i="3"/>
  <c r="L86" i="3"/>
  <c r="H86" i="3"/>
  <c r="N86" i="3" s="1"/>
  <c r="D86" i="3"/>
  <c r="B86" i="3"/>
  <c r="T85" i="3"/>
  <c r="X85" i="3" s="1"/>
  <c r="Z85" i="3" s="1"/>
  <c r="P85" i="3"/>
  <c r="N85" i="3"/>
  <c r="H85" i="3"/>
  <c r="D85" i="3"/>
  <c r="L85" i="3" s="1"/>
  <c r="B85" i="3"/>
  <c r="X84" i="3"/>
  <c r="Z84" i="3" s="1"/>
  <c r="T84" i="3"/>
  <c r="P84" i="3"/>
  <c r="H84" i="3"/>
  <c r="N84" i="3" s="1"/>
  <c r="D84" i="3"/>
  <c r="L84" i="3" s="1"/>
  <c r="B84" i="3"/>
  <c r="T83" i="3"/>
  <c r="P83" i="3"/>
  <c r="X83" i="3" s="1"/>
  <c r="Z83" i="3" s="1"/>
  <c r="H83" i="3"/>
  <c r="N83" i="3" s="1"/>
  <c r="D83" i="3"/>
  <c r="B83" i="3"/>
  <c r="X82" i="3"/>
  <c r="T82" i="3"/>
  <c r="Z82" i="3" s="1"/>
  <c r="P82" i="3"/>
  <c r="L82" i="3"/>
  <c r="N82" i="3" s="1"/>
  <c r="H82" i="3"/>
  <c r="D82" i="3"/>
  <c r="B82" i="3"/>
  <c r="T81" i="3"/>
  <c r="P81" i="3"/>
  <c r="X81" i="3" s="1"/>
  <c r="Z81" i="3" s="1"/>
  <c r="N81" i="3"/>
  <c r="H81" i="3"/>
  <c r="L81" i="3" s="1"/>
  <c r="D81" i="3"/>
  <c r="B81" i="3"/>
  <c r="T80" i="3"/>
  <c r="P80" i="3"/>
  <c r="X80" i="3" s="1"/>
  <c r="N80" i="3"/>
  <c r="L80" i="3"/>
  <c r="H80" i="3"/>
  <c r="D80" i="3"/>
  <c r="B80" i="3"/>
  <c r="T79" i="3"/>
  <c r="P79" i="3"/>
  <c r="H79" i="3"/>
  <c r="L79" i="3" s="1"/>
  <c r="N79" i="3" s="1"/>
  <c r="D79" i="3"/>
  <c r="B79" i="3"/>
  <c r="X78" i="3"/>
  <c r="Z78" i="3" s="1"/>
  <c r="T78" i="3"/>
  <c r="P78" i="3"/>
  <c r="L78" i="3"/>
  <c r="N78" i="3" s="1"/>
  <c r="H78" i="3"/>
  <c r="D78" i="3"/>
  <c r="B78" i="3"/>
  <c r="T77" i="3"/>
  <c r="X77" i="3" s="1"/>
  <c r="Z77" i="3" s="1"/>
  <c r="P77" i="3"/>
  <c r="N77" i="3"/>
  <c r="H77" i="3"/>
  <c r="D77" i="3"/>
  <c r="L77" i="3" s="1"/>
  <c r="B77" i="3"/>
  <c r="X76" i="3"/>
  <c r="Z76" i="3" s="1"/>
  <c r="T76" i="3"/>
  <c r="P76" i="3"/>
  <c r="H76" i="3"/>
  <c r="N76" i="3" s="1"/>
  <c r="D76" i="3"/>
  <c r="L76" i="3" s="1"/>
  <c r="B76" i="3"/>
  <c r="T75" i="3"/>
  <c r="X75" i="3" s="1"/>
  <c r="Z75" i="3" s="1"/>
  <c r="P75" i="3"/>
  <c r="H75" i="3"/>
  <c r="D75" i="3"/>
  <c r="B75" i="3"/>
  <c r="X74" i="3"/>
  <c r="Z74" i="3" s="1"/>
  <c r="T74" i="3"/>
  <c r="P74" i="3"/>
  <c r="L74" i="3"/>
  <c r="N74" i="3" s="1"/>
  <c r="H74" i="3"/>
  <c r="D74" i="3"/>
  <c r="B74" i="3"/>
  <c r="T73" i="3"/>
  <c r="P73" i="3"/>
  <c r="X73" i="3" s="1"/>
  <c r="Z73" i="3" s="1"/>
  <c r="N73" i="3"/>
  <c r="H73" i="3"/>
  <c r="L73" i="3" s="1"/>
  <c r="D73" i="3"/>
  <c r="B73" i="3"/>
  <c r="T72" i="3"/>
  <c r="P72" i="3"/>
  <c r="X72" i="3" s="1"/>
  <c r="N72" i="3"/>
  <c r="L72" i="3"/>
  <c r="H72" i="3"/>
  <c r="D72" i="3"/>
  <c r="B72" i="3"/>
  <c r="T71" i="3"/>
  <c r="P71" i="3"/>
  <c r="H71" i="3"/>
  <c r="L71" i="3" s="1"/>
  <c r="N71" i="3" s="1"/>
  <c r="D71" i="3"/>
  <c r="B71" i="3"/>
  <c r="X70" i="3"/>
  <c r="Z70" i="3" s="1"/>
  <c r="T70" i="3"/>
  <c r="P70" i="3"/>
  <c r="L70" i="3"/>
  <c r="N70" i="3" s="1"/>
  <c r="H70" i="3"/>
  <c r="D70" i="3"/>
  <c r="B70" i="3"/>
  <c r="T69" i="3"/>
  <c r="X69" i="3" s="1"/>
  <c r="Z69" i="3" s="1"/>
  <c r="P69" i="3"/>
  <c r="H69" i="3"/>
  <c r="D69" i="3"/>
  <c r="L69" i="3" s="1"/>
  <c r="N69" i="3" s="1"/>
  <c r="B69" i="3"/>
  <c r="X68" i="3"/>
  <c r="Z68" i="3" s="1"/>
  <c r="T68" i="3"/>
  <c r="P68" i="3"/>
  <c r="H68" i="3"/>
  <c r="N68" i="3" s="1"/>
  <c r="D68" i="3"/>
  <c r="L68" i="3" s="1"/>
  <c r="B68" i="3"/>
  <c r="T67" i="3"/>
  <c r="X67" i="3" s="1"/>
  <c r="Z67" i="3" s="1"/>
  <c r="P67" i="3"/>
  <c r="H67" i="3"/>
  <c r="D67" i="3"/>
  <c r="B67" i="3"/>
  <c r="X66" i="3"/>
  <c r="Z66" i="3" s="1"/>
  <c r="T66" i="3"/>
  <c r="P66" i="3"/>
  <c r="L66" i="3"/>
  <c r="N66" i="3" s="1"/>
  <c r="H66" i="3"/>
  <c r="D66" i="3"/>
  <c r="B66" i="3"/>
  <c r="T65" i="3"/>
  <c r="P65" i="3"/>
  <c r="X65" i="3" s="1"/>
  <c r="Z65" i="3" s="1"/>
  <c r="H65" i="3"/>
  <c r="L65" i="3" s="1"/>
  <c r="N65" i="3" s="1"/>
  <c r="D65" i="3"/>
  <c r="B65" i="3"/>
  <c r="T64" i="3"/>
  <c r="P64" i="3"/>
  <c r="X64" i="3" s="1"/>
  <c r="L64" i="3"/>
  <c r="N64" i="3" s="1"/>
  <c r="H64" i="3"/>
  <c r="D64" i="3"/>
  <c r="B64" i="3"/>
  <c r="T63" i="3"/>
  <c r="P63" i="3"/>
  <c r="H63" i="3"/>
  <c r="L63" i="3" s="1"/>
  <c r="N63" i="3" s="1"/>
  <c r="D63" i="3"/>
  <c r="B63" i="3"/>
  <c r="X62" i="3"/>
  <c r="Z62" i="3" s="1"/>
  <c r="T62" i="3"/>
  <c r="P62" i="3"/>
  <c r="N62" i="3"/>
  <c r="L62" i="3"/>
  <c r="H62" i="3"/>
  <c r="D62" i="3"/>
  <c r="B62" i="3"/>
  <c r="T61" i="3"/>
  <c r="X61" i="3" s="1"/>
  <c r="Z61" i="3" s="1"/>
  <c r="P61" i="3"/>
  <c r="N61" i="3"/>
  <c r="H61" i="3"/>
  <c r="D61" i="3"/>
  <c r="L61" i="3" s="1"/>
  <c r="B61" i="3"/>
  <c r="X60" i="3"/>
  <c r="Z60" i="3" s="1"/>
  <c r="T60" i="3"/>
  <c r="P60" i="3"/>
  <c r="H60" i="3"/>
  <c r="N60" i="3" s="1"/>
  <c r="D60" i="3"/>
  <c r="L60" i="3" s="1"/>
  <c r="B60" i="3"/>
  <c r="T59" i="3"/>
  <c r="X59" i="3" s="1"/>
  <c r="Z59" i="3" s="1"/>
  <c r="P59" i="3"/>
  <c r="H59" i="3"/>
  <c r="D59" i="3"/>
  <c r="B59" i="3"/>
  <c r="X58" i="3"/>
  <c r="Z58" i="3" s="1"/>
  <c r="T58" i="3"/>
  <c r="P58" i="3"/>
  <c r="N58" i="3"/>
  <c r="L58" i="3"/>
  <c r="H58" i="3"/>
  <c r="D58" i="3"/>
  <c r="B58" i="3"/>
  <c r="T57" i="3"/>
  <c r="P57" i="3"/>
  <c r="X57" i="3" s="1"/>
  <c r="Z57" i="3" s="1"/>
  <c r="H57" i="3"/>
  <c r="L57" i="3" s="1"/>
  <c r="N57" i="3" s="1"/>
  <c r="D57" i="3"/>
  <c r="B57" i="3"/>
  <c r="T56" i="3"/>
  <c r="P56" i="3"/>
  <c r="X56" i="3" s="1"/>
  <c r="L56" i="3"/>
  <c r="N56" i="3" s="1"/>
  <c r="H56" i="3"/>
  <c r="D56" i="3"/>
  <c r="B56" i="3"/>
  <c r="T55" i="3"/>
  <c r="P55" i="3"/>
  <c r="H55" i="3"/>
  <c r="L55" i="3" s="1"/>
  <c r="N55" i="3" s="1"/>
  <c r="D55" i="3"/>
  <c r="B55" i="3"/>
  <c r="X54" i="3"/>
  <c r="Z54" i="3" s="1"/>
  <c r="T54" i="3"/>
  <c r="P54" i="3"/>
  <c r="N54" i="3"/>
  <c r="L54" i="3"/>
  <c r="H54" i="3"/>
  <c r="D54" i="3"/>
  <c r="B54" i="3"/>
  <c r="T53" i="3"/>
  <c r="X53" i="3" s="1"/>
  <c r="Z53" i="3" s="1"/>
  <c r="P53" i="3"/>
  <c r="H53" i="3"/>
  <c r="D53" i="3"/>
  <c r="L53" i="3" s="1"/>
  <c r="N53" i="3" s="1"/>
  <c r="B53" i="3"/>
  <c r="X52" i="3"/>
  <c r="Z52" i="3" s="1"/>
  <c r="T52" i="3"/>
  <c r="P52" i="3"/>
  <c r="H52" i="3"/>
  <c r="N52" i="3" s="1"/>
  <c r="D52" i="3"/>
  <c r="L52" i="3" s="1"/>
  <c r="B52" i="3"/>
  <c r="T51" i="3"/>
  <c r="X51" i="3" s="1"/>
  <c r="Z51" i="3" s="1"/>
  <c r="P51" i="3"/>
  <c r="H51" i="3"/>
  <c r="D51" i="3"/>
  <c r="B51" i="3"/>
  <c r="X50" i="3"/>
  <c r="Z50" i="3" s="1"/>
  <c r="T50" i="3"/>
  <c r="P50" i="3"/>
  <c r="N50" i="3"/>
  <c r="L50" i="3"/>
  <c r="H50" i="3"/>
  <c r="D50" i="3"/>
  <c r="B50" i="3"/>
  <c r="T49" i="3"/>
  <c r="P49" i="3"/>
  <c r="X49" i="3" s="1"/>
  <c r="Z49" i="3" s="1"/>
  <c r="N49" i="3"/>
  <c r="H49" i="3"/>
  <c r="L49" i="3" s="1"/>
  <c r="D49" i="3"/>
  <c r="B49" i="3"/>
  <c r="T48" i="3"/>
  <c r="P48" i="3"/>
  <c r="X48" i="3" s="1"/>
  <c r="L48" i="3"/>
  <c r="N48" i="3" s="1"/>
  <c r="H48" i="3"/>
  <c r="D48" i="3"/>
  <c r="B48" i="3"/>
  <c r="T47" i="3"/>
  <c r="P47" i="3"/>
  <c r="H47" i="3"/>
  <c r="L47" i="3" s="1"/>
  <c r="N47" i="3" s="1"/>
  <c r="D47" i="3"/>
  <c r="B47" i="3"/>
  <c r="X46" i="3"/>
  <c r="Z46" i="3" s="1"/>
  <c r="T46" i="3"/>
  <c r="P46" i="3"/>
  <c r="L46" i="3"/>
  <c r="N46" i="3" s="1"/>
  <c r="H46" i="3"/>
  <c r="D46" i="3"/>
  <c r="B46" i="3"/>
  <c r="T45" i="3"/>
  <c r="X45" i="3" s="1"/>
  <c r="Z45" i="3" s="1"/>
  <c r="P45" i="3"/>
  <c r="N45" i="3"/>
  <c r="H45" i="3"/>
  <c r="D45" i="3"/>
  <c r="L45" i="3" s="1"/>
  <c r="B45" i="3"/>
  <c r="X44" i="3"/>
  <c r="Z44" i="3" s="1"/>
  <c r="T44" i="3"/>
  <c r="P44" i="3"/>
  <c r="H44" i="3"/>
  <c r="N44" i="3" s="1"/>
  <c r="D44" i="3"/>
  <c r="L44" i="3" s="1"/>
  <c r="B44" i="3"/>
  <c r="T43" i="3"/>
  <c r="X43" i="3" s="1"/>
  <c r="Z43" i="3" s="1"/>
  <c r="P43" i="3"/>
  <c r="H43" i="3"/>
  <c r="D43" i="3"/>
  <c r="B43" i="3"/>
  <c r="X42" i="3"/>
  <c r="Z42" i="3" s="1"/>
  <c r="T42" i="3"/>
  <c r="P42" i="3"/>
  <c r="N42" i="3"/>
  <c r="L42" i="3"/>
  <c r="H42" i="3"/>
  <c r="D42" i="3"/>
  <c r="B42" i="3"/>
  <c r="T41" i="3"/>
  <c r="P41" i="3"/>
  <c r="X41" i="3" s="1"/>
  <c r="Z41" i="3" s="1"/>
  <c r="N41" i="3"/>
  <c r="H41" i="3"/>
  <c r="L41" i="3" s="1"/>
  <c r="D41" i="3"/>
  <c r="B41" i="3"/>
  <c r="T40" i="3"/>
  <c r="P40" i="3"/>
  <c r="X40" i="3" s="1"/>
  <c r="N40" i="3"/>
  <c r="L40" i="3"/>
  <c r="H40" i="3"/>
  <c r="D40" i="3"/>
  <c r="B40" i="3"/>
  <c r="T39" i="3"/>
  <c r="P39" i="3"/>
  <c r="H39" i="3"/>
  <c r="L39" i="3" s="1"/>
  <c r="N39" i="3" s="1"/>
  <c r="D39" i="3"/>
  <c r="B39" i="3"/>
  <c r="X38" i="3"/>
  <c r="Z38" i="3" s="1"/>
  <c r="T38" i="3"/>
  <c r="P38" i="3"/>
  <c r="L38" i="3"/>
  <c r="N38" i="3" s="1"/>
  <c r="H38" i="3"/>
  <c r="D38" i="3"/>
  <c r="B38" i="3"/>
  <c r="T37" i="3"/>
  <c r="X37" i="3" s="1"/>
  <c r="Z37" i="3" s="1"/>
  <c r="P37" i="3"/>
  <c r="H37" i="3"/>
  <c r="D37" i="3"/>
  <c r="L37" i="3" s="1"/>
  <c r="N37" i="3" s="1"/>
  <c r="B37" i="3"/>
  <c r="X36" i="3"/>
  <c r="Z36" i="3" s="1"/>
  <c r="T36" i="3"/>
  <c r="P36" i="3"/>
  <c r="H36" i="3"/>
  <c r="D36" i="3"/>
  <c r="L36" i="3" s="1"/>
  <c r="B36" i="3"/>
  <c r="T35" i="3"/>
  <c r="X35" i="3" s="1"/>
  <c r="Z35" i="3" s="1"/>
  <c r="P35" i="3"/>
  <c r="H35" i="3"/>
  <c r="D35" i="3"/>
  <c r="B35" i="3"/>
  <c r="X34" i="3"/>
  <c r="Z34" i="3" s="1"/>
  <c r="T34" i="3"/>
  <c r="P34" i="3"/>
  <c r="L34" i="3"/>
  <c r="N34" i="3" s="1"/>
  <c r="H34" i="3"/>
  <c r="D34" i="3"/>
  <c r="B34" i="3"/>
  <c r="T33" i="3"/>
  <c r="P33" i="3"/>
  <c r="X33" i="3" s="1"/>
  <c r="Z33" i="3" s="1"/>
  <c r="N33" i="3"/>
  <c r="H33" i="3"/>
  <c r="L33" i="3" s="1"/>
  <c r="D33" i="3"/>
  <c r="B33" i="3"/>
  <c r="T32" i="3"/>
  <c r="P32" i="3"/>
  <c r="X32" i="3" s="1"/>
  <c r="N32" i="3"/>
  <c r="L32" i="3"/>
  <c r="H32" i="3"/>
  <c r="D32" i="3"/>
  <c r="B32" i="3"/>
  <c r="T31" i="3"/>
  <c r="P31" i="3"/>
  <c r="N31" i="3"/>
  <c r="H31" i="3"/>
  <c r="L31" i="3" s="1"/>
  <c r="D31" i="3"/>
  <c r="B31" i="3"/>
  <c r="X30" i="3"/>
  <c r="Z30" i="3" s="1"/>
  <c r="T30" i="3"/>
  <c r="P30" i="3"/>
  <c r="N30" i="3"/>
  <c r="L30" i="3"/>
  <c r="H30" i="3"/>
  <c r="D30" i="3"/>
  <c r="B30" i="3"/>
  <c r="T29" i="3"/>
  <c r="X29" i="3" s="1"/>
  <c r="Z29" i="3" s="1"/>
  <c r="P29" i="3"/>
  <c r="N29" i="3"/>
  <c r="H29" i="3"/>
  <c r="D29" i="3"/>
  <c r="L29" i="3" s="1"/>
  <c r="B29" i="3"/>
  <c r="X28" i="3"/>
  <c r="Z28" i="3" s="1"/>
  <c r="T28" i="3"/>
  <c r="P28" i="3"/>
  <c r="H28" i="3"/>
  <c r="N28" i="3" s="1"/>
  <c r="D28" i="3"/>
  <c r="L28" i="3" s="1"/>
  <c r="B28" i="3"/>
  <c r="T27" i="3"/>
  <c r="X27" i="3" s="1"/>
  <c r="Z27" i="3" s="1"/>
  <c r="P27" i="3"/>
  <c r="H27" i="3"/>
  <c r="D27" i="3"/>
  <c r="B27" i="3"/>
  <c r="X26" i="3"/>
  <c r="Z26" i="3" s="1"/>
  <c r="T26" i="3"/>
  <c r="P26" i="3"/>
  <c r="L26" i="3"/>
  <c r="N26" i="3" s="1"/>
  <c r="H26" i="3"/>
  <c r="D26" i="3"/>
  <c r="B26" i="3"/>
  <c r="T25" i="3"/>
  <c r="P25" i="3"/>
  <c r="X25" i="3" s="1"/>
  <c r="Z25" i="3" s="1"/>
  <c r="H25" i="3"/>
  <c r="L25" i="3" s="1"/>
  <c r="N25" i="3" s="1"/>
  <c r="D25" i="3"/>
  <c r="B25" i="3"/>
  <c r="T24" i="3"/>
  <c r="P24" i="3"/>
  <c r="X24" i="3" s="1"/>
  <c r="L24" i="3"/>
  <c r="N24" i="3" s="1"/>
  <c r="H24" i="3"/>
  <c r="D24" i="3"/>
  <c r="B24" i="3"/>
  <c r="T23" i="3"/>
  <c r="P23" i="3"/>
  <c r="N23" i="3"/>
  <c r="H23" i="3"/>
  <c r="L23" i="3" s="1"/>
  <c r="D23" i="3"/>
  <c r="B23" i="3"/>
  <c r="X22" i="3"/>
  <c r="Z22" i="3" s="1"/>
  <c r="T22" i="3"/>
  <c r="P22" i="3"/>
  <c r="N22" i="3"/>
  <c r="L22" i="3"/>
  <c r="H22" i="3"/>
  <c r="D22" i="3"/>
  <c r="B22" i="3"/>
  <c r="T21" i="3"/>
  <c r="X21" i="3" s="1"/>
  <c r="Z21" i="3" s="1"/>
  <c r="P21" i="3"/>
  <c r="N21" i="3"/>
  <c r="H21" i="3"/>
  <c r="D21" i="3"/>
  <c r="L21" i="3" s="1"/>
  <c r="B21" i="3"/>
  <c r="X20" i="3"/>
  <c r="Z20" i="3" s="1"/>
  <c r="T20" i="3"/>
  <c r="P20" i="3"/>
  <c r="H20" i="3"/>
  <c r="D20" i="3"/>
  <c r="L20" i="3" s="1"/>
  <c r="B20" i="3"/>
  <c r="T19" i="3"/>
  <c r="P19" i="3"/>
  <c r="X19" i="3" s="1"/>
  <c r="Z19" i="3" s="1"/>
  <c r="H19" i="3"/>
  <c r="N19" i="3" s="1"/>
  <c r="D19" i="3"/>
  <c r="L19" i="3" s="1"/>
  <c r="B19" i="3"/>
  <c r="X18" i="3"/>
  <c r="T18" i="3"/>
  <c r="Z18" i="3" s="1"/>
  <c r="P18" i="3"/>
  <c r="L18" i="3"/>
  <c r="H18" i="3"/>
  <c r="N18" i="3" s="1"/>
  <c r="D18" i="3"/>
  <c r="B18" i="3"/>
  <c r="T17" i="3"/>
  <c r="P17" i="3"/>
  <c r="X17" i="3" s="1"/>
  <c r="Z17" i="3" s="1"/>
  <c r="N17" i="3"/>
  <c r="H17" i="3"/>
  <c r="L17" i="3" s="1"/>
  <c r="D17" i="3"/>
  <c r="B17" i="3"/>
  <c r="T16" i="3"/>
  <c r="Z16" i="3" s="1"/>
  <c r="P16" i="3"/>
  <c r="X16" i="3" s="1"/>
  <c r="L16" i="3"/>
  <c r="N16" i="3" s="1"/>
  <c r="H16" i="3"/>
  <c r="D16" i="3"/>
  <c r="B16" i="3"/>
  <c r="T15" i="3"/>
  <c r="P15" i="3"/>
  <c r="X15" i="3" s="1"/>
  <c r="H15" i="3"/>
  <c r="D15" i="3"/>
  <c r="L15" i="3" s="1"/>
  <c r="N15" i="3" s="1"/>
  <c r="B15" i="3"/>
  <c r="X14" i="3"/>
  <c r="T14" i="3"/>
  <c r="Z14" i="3" s="1"/>
  <c r="P14" i="3"/>
  <c r="P12" i="3" s="1"/>
  <c r="L14" i="3"/>
  <c r="N14" i="3" s="1"/>
  <c r="H14" i="3"/>
  <c r="D14" i="3"/>
  <c r="B14" i="3"/>
  <c r="Z13" i="3"/>
  <c r="T13" i="3"/>
  <c r="X13" i="3" s="1"/>
  <c r="P13" i="3"/>
  <c r="N13" i="3"/>
  <c r="H13" i="3"/>
  <c r="D13" i="3"/>
  <c r="L13" i="3" s="1"/>
  <c r="B13" i="3"/>
  <c r="D12" i="3"/>
  <c r="F354" i="3" s="1"/>
  <c r="D4" i="3"/>
  <c r="X22" i="25" l="1"/>
  <c r="L13" i="26"/>
  <c r="L33" i="26"/>
  <c r="L24" i="28"/>
  <c r="X13" i="29"/>
  <c r="X15" i="16"/>
  <c r="L20" i="47"/>
  <c r="X29" i="50"/>
  <c r="X34" i="50"/>
  <c r="X24" i="53"/>
  <c r="L20" i="5"/>
  <c r="X24" i="14"/>
  <c r="X25" i="16"/>
  <c r="X33" i="16"/>
  <c r="L16" i="17"/>
  <c r="L16" i="19"/>
  <c r="X22" i="19"/>
  <c r="X21" i="25"/>
  <c r="X21" i="41"/>
  <c r="L34" i="41"/>
  <c r="L24" i="49"/>
  <c r="L20" i="4"/>
  <c r="X24" i="10"/>
  <c r="L15" i="11"/>
  <c r="L20" i="13"/>
  <c r="L15" i="14"/>
  <c r="X21" i="14"/>
  <c r="L13" i="17"/>
  <c r="L25" i="17"/>
  <c r="X13" i="22"/>
  <c r="L16" i="46"/>
  <c r="X22" i="50"/>
  <c r="L25" i="53"/>
  <c r="L33" i="53"/>
  <c r="X33" i="20"/>
  <c r="L15" i="23"/>
  <c r="X21" i="23"/>
  <c r="L25" i="31"/>
  <c r="L29" i="46"/>
  <c r="X21" i="50"/>
  <c r="L15" i="52"/>
  <c r="L22" i="34"/>
  <c r="L13" i="37"/>
  <c r="L25" i="41"/>
  <c r="X21" i="44"/>
  <c r="X24" i="40"/>
  <c r="L25" i="26"/>
  <c r="X15" i="34"/>
  <c r="X29" i="23"/>
  <c r="X21" i="43"/>
  <c r="X21" i="28"/>
  <c r="L13" i="4"/>
  <c r="X20" i="5"/>
  <c r="L34" i="8"/>
  <c r="X25" i="17"/>
  <c r="X33" i="17"/>
  <c r="L34" i="34"/>
  <c r="L24" i="35"/>
  <c r="X12" i="37"/>
  <c r="X24" i="37"/>
  <c r="L20" i="41"/>
  <c r="L21" i="32"/>
  <c r="X13" i="4"/>
  <c r="L21" i="4"/>
  <c r="L16" i="5"/>
  <c r="X22" i="5"/>
  <c r="X16" i="7"/>
  <c r="X13" i="8"/>
  <c r="L21" i="8"/>
  <c r="X25" i="8"/>
  <c r="L21" i="29"/>
  <c r="L29" i="44"/>
  <c r="L33" i="5"/>
  <c r="L25" i="11"/>
  <c r="L33" i="11"/>
  <c r="X25" i="34"/>
  <c r="X33" i="34"/>
  <c r="L25" i="46"/>
  <c r="L33" i="46"/>
  <c r="L33" i="50"/>
  <c r="L22" i="53"/>
  <c r="L25" i="99"/>
  <c r="L33" i="99"/>
  <c r="X21" i="4"/>
  <c r="X16" i="5"/>
  <c r="L24" i="5"/>
  <c r="L16" i="7"/>
  <c r="L15" i="10"/>
  <c r="L34" i="10"/>
  <c r="X16" i="11"/>
  <c r="L24" i="11"/>
  <c r="X15" i="17"/>
  <c r="X29" i="19"/>
  <c r="L15" i="20"/>
  <c r="L29" i="20"/>
  <c r="X34" i="25"/>
  <c r="L16" i="31"/>
  <c r="X22" i="31"/>
  <c r="L13" i="32"/>
  <c r="L15" i="35"/>
  <c r="X34" i="37"/>
  <c r="X15" i="41"/>
  <c r="L21" i="43"/>
  <c r="X13" i="47"/>
  <c r="L21" i="47"/>
  <c r="L24" i="50"/>
  <c r="X13" i="53"/>
  <c r="L21" i="53"/>
  <c r="X33" i="53"/>
  <c r="L15" i="13"/>
  <c r="L29" i="40"/>
  <c r="V15" i="46"/>
  <c r="L20" i="20"/>
  <c r="L15" i="100"/>
  <c r="L16" i="22"/>
  <c r="X22" i="22"/>
  <c r="X13" i="28"/>
  <c r="X34" i="7"/>
  <c r="X25" i="47"/>
  <c r="X21" i="98"/>
  <c r="L21" i="99"/>
  <c r="L22" i="100"/>
  <c r="D18" i="31"/>
  <c r="D27" i="31" s="1"/>
  <c r="D31" i="31" s="1"/>
  <c r="X16" i="4"/>
  <c r="L24" i="4"/>
  <c r="X29" i="8"/>
  <c r="X34" i="8"/>
  <c r="X25" i="10"/>
  <c r="L16" i="11"/>
  <c r="X22" i="11"/>
  <c r="X24" i="16"/>
  <c r="L15" i="17"/>
  <c r="X21" i="17"/>
  <c r="L29" i="17"/>
  <c r="L34" i="17"/>
  <c r="L15" i="19"/>
  <c r="L29" i="19"/>
  <c r="L21" i="20"/>
  <c r="X21" i="22"/>
  <c r="L29" i="22"/>
  <c r="L24" i="25"/>
  <c r="X13" i="26"/>
  <c r="X33" i="26"/>
  <c r="L25" i="34"/>
  <c r="X20" i="35"/>
  <c r="L22" i="35"/>
  <c r="X20" i="38"/>
  <c r="X16" i="44"/>
  <c r="L24" i="44"/>
  <c r="X15" i="46"/>
  <c r="X15" i="49"/>
  <c r="X29" i="49"/>
  <c r="L34" i="53"/>
  <c r="J20" i="98"/>
  <c r="X21" i="11"/>
  <c r="L21" i="22"/>
  <c r="V29" i="28"/>
  <c r="F15" i="43"/>
  <c r="V21" i="47"/>
  <c r="F21" i="20"/>
  <c r="L25" i="23"/>
  <c r="Z12" i="31"/>
  <c r="L20" i="31"/>
  <c r="F29" i="31"/>
  <c r="J31" i="44"/>
  <c r="L16" i="99"/>
  <c r="F18" i="100"/>
  <c r="X25" i="4"/>
  <c r="V18" i="40"/>
  <c r="L33" i="44"/>
  <c r="X24" i="50"/>
  <c r="X24" i="52"/>
  <c r="L13" i="100"/>
  <c r="X21" i="20"/>
  <c r="L21" i="25"/>
  <c r="F22" i="29"/>
  <c r="X12" i="40"/>
  <c r="L13" i="43"/>
  <c r="L34" i="43"/>
  <c r="L25" i="47"/>
  <c r="X29" i="100"/>
  <c r="X34" i="100"/>
  <c r="L34" i="4"/>
  <c r="L21" i="5"/>
  <c r="V29" i="13"/>
  <c r="X20" i="43"/>
  <c r="X22" i="13"/>
  <c r="L21" i="19"/>
  <c r="X24" i="20"/>
  <c r="L29" i="25"/>
  <c r="X34" i="4"/>
  <c r="L15" i="5"/>
  <c r="L13" i="8"/>
  <c r="L25" i="8"/>
  <c r="X16" i="10"/>
  <c r="L24" i="10"/>
  <c r="L21" i="11"/>
  <c r="L13" i="14"/>
  <c r="L22" i="14"/>
  <c r="L34" i="16"/>
  <c r="L24" i="17"/>
  <c r="F21" i="19"/>
  <c r="L13" i="20"/>
  <c r="X15" i="23"/>
  <c r="X24" i="23"/>
  <c r="L29" i="23"/>
  <c r="L15" i="26"/>
  <c r="L15" i="29"/>
  <c r="L21" i="31"/>
  <c r="L22" i="32"/>
  <c r="X25" i="35"/>
  <c r="L15" i="37"/>
  <c r="X16" i="37"/>
  <c r="L24" i="37"/>
  <c r="X22" i="38"/>
  <c r="F16" i="43"/>
  <c r="V20" i="43"/>
  <c r="X34" i="43"/>
  <c r="X29" i="46"/>
  <c r="X21" i="47"/>
  <c r="F15" i="49"/>
  <c r="V33" i="49"/>
  <c r="L33" i="52"/>
  <c r="X29" i="99"/>
  <c r="X22" i="100"/>
  <c r="X20" i="4"/>
  <c r="X21" i="5"/>
  <c r="L34" i="5"/>
  <c r="X20" i="7"/>
  <c r="X29" i="10"/>
  <c r="L20" i="11"/>
  <c r="X15" i="13"/>
  <c r="X24" i="13"/>
  <c r="X16" i="14"/>
  <c r="X33" i="14"/>
  <c r="X29" i="16"/>
  <c r="L25" i="19"/>
  <c r="F34" i="19"/>
  <c r="Z12" i="22"/>
  <c r="J25" i="23"/>
  <c r="L16" i="25"/>
  <c r="L33" i="25"/>
  <c r="R15" i="26"/>
  <c r="X15" i="28"/>
  <c r="V33" i="28"/>
  <c r="L16" i="29"/>
  <c r="X24" i="32"/>
  <c r="L34" i="32"/>
  <c r="L29" i="37"/>
  <c r="L34" i="37"/>
  <c r="X13" i="38"/>
  <c r="L21" i="40"/>
  <c r="R25" i="41"/>
  <c r="L29" i="43"/>
  <c r="L13" i="44"/>
  <c r="R20" i="44"/>
  <c r="X24" i="46"/>
  <c r="L24" i="47"/>
  <c r="L13" i="50"/>
  <c r="X25" i="53"/>
  <c r="L24" i="98"/>
  <c r="X24" i="99"/>
  <c r="X25" i="100"/>
  <c r="X29" i="5"/>
  <c r="L22" i="8"/>
  <c r="L13" i="10"/>
  <c r="L25" i="10"/>
  <c r="L33" i="10"/>
  <c r="L22" i="11"/>
  <c r="X34" i="13"/>
  <c r="L20" i="14"/>
  <c r="L34" i="14"/>
  <c r="L16" i="16"/>
  <c r="L25" i="16"/>
  <c r="L33" i="16"/>
  <c r="X20" i="17"/>
  <c r="L22" i="17"/>
  <c r="H18" i="19"/>
  <c r="N18" i="19" s="1"/>
  <c r="X34" i="19"/>
  <c r="F18" i="20"/>
  <c r="L25" i="20"/>
  <c r="X29" i="20"/>
  <c r="L13" i="22"/>
  <c r="X25" i="23"/>
  <c r="X33" i="25"/>
  <c r="R20" i="26"/>
  <c r="L22" i="26"/>
  <c r="X16" i="29"/>
  <c r="X24" i="31"/>
  <c r="L24" i="34"/>
  <c r="L25" i="35"/>
  <c r="L25" i="38"/>
  <c r="Z12" i="40"/>
  <c r="X15" i="40"/>
  <c r="L20" i="40"/>
  <c r="L16" i="41"/>
  <c r="L22" i="41"/>
  <c r="X20" i="46"/>
  <c r="L34" i="46"/>
  <c r="L16" i="47"/>
  <c r="L12" i="49"/>
  <c r="X16" i="49"/>
  <c r="X13" i="50"/>
  <c r="F22" i="50"/>
  <c r="R24" i="50"/>
  <c r="X13" i="52"/>
  <c r="R29" i="52"/>
  <c r="X21" i="53"/>
  <c r="L29" i="53"/>
  <c r="F16" i="99"/>
  <c r="R20" i="99"/>
  <c r="L20" i="100"/>
  <c r="L34" i="100"/>
  <c r="X34" i="5"/>
  <c r="L33" i="13"/>
  <c r="X29" i="14"/>
  <c r="F24" i="20"/>
  <c r="X25" i="20"/>
  <c r="L29" i="31"/>
  <c r="L21" i="37"/>
  <c r="J15" i="38"/>
  <c r="J18" i="38"/>
  <c r="F34" i="41"/>
  <c r="X12" i="43"/>
  <c r="D18" i="49"/>
  <c r="J31" i="49"/>
  <c r="L16" i="100"/>
  <c r="X24" i="100"/>
  <c r="T18" i="7"/>
  <c r="T27" i="7" s="1"/>
  <c r="Z27" i="7" s="1"/>
  <c r="R36" i="8"/>
  <c r="X13" i="11"/>
  <c r="J21" i="16"/>
  <c r="X15" i="29"/>
  <c r="L20" i="29"/>
  <c r="L24" i="29"/>
  <c r="R24" i="40"/>
  <c r="X15" i="43"/>
  <c r="R25" i="44"/>
  <c r="X16" i="46"/>
  <c r="F21" i="47"/>
  <c r="X22" i="47"/>
  <c r="F18" i="50"/>
  <c r="V29" i="50"/>
  <c r="J22" i="49"/>
  <c r="X25" i="5"/>
  <c r="X21" i="16"/>
  <c r="X16" i="17"/>
  <c r="L16" i="20"/>
  <c r="L12" i="31"/>
  <c r="R18" i="32"/>
  <c r="R18" i="35"/>
  <c r="J24" i="38"/>
  <c r="V20" i="40"/>
  <c r="D18" i="41"/>
  <c r="D27" i="41" s="1"/>
  <c r="D31" i="41" s="1"/>
  <c r="F31" i="41"/>
  <c r="V36" i="43"/>
  <c r="P18" i="44"/>
  <c r="Z12" i="50"/>
  <c r="V18" i="50"/>
  <c r="R21" i="52"/>
  <c r="X13" i="98"/>
  <c r="L29" i="11"/>
  <c r="L20" i="22"/>
  <c r="X24" i="22"/>
  <c r="X15" i="26"/>
  <c r="X20" i="29"/>
  <c r="J24" i="29"/>
  <c r="J25" i="31"/>
  <c r="X25" i="41"/>
  <c r="R21" i="43"/>
  <c r="X20" i="44"/>
  <c r="T18" i="46"/>
  <c r="V36" i="46"/>
  <c r="L22" i="49"/>
  <c r="X33" i="49"/>
  <c r="F33" i="50"/>
  <c r="F36" i="50"/>
  <c r="L21" i="98"/>
  <c r="L29" i="4"/>
  <c r="X24" i="5"/>
  <c r="J27" i="5"/>
  <c r="L21" i="7"/>
  <c r="L15" i="8"/>
  <c r="V22" i="8"/>
  <c r="X13" i="10"/>
  <c r="L29" i="10"/>
  <c r="L13" i="11"/>
  <c r="X20" i="11"/>
  <c r="X25" i="11"/>
  <c r="X33" i="11"/>
  <c r="L21" i="13"/>
  <c r="L25" i="13"/>
  <c r="L16" i="14"/>
  <c r="L24" i="14"/>
  <c r="F25" i="14"/>
  <c r="L33" i="14"/>
  <c r="L15" i="16"/>
  <c r="X16" i="16"/>
  <c r="X22" i="17"/>
  <c r="J15" i="19"/>
  <c r="X16" i="19"/>
  <c r="V20" i="4"/>
  <c r="L22" i="4"/>
  <c r="L13" i="7"/>
  <c r="L20" i="7"/>
  <c r="Z12" i="8"/>
  <c r="P18" i="8"/>
  <c r="P27" i="8" s="1"/>
  <c r="X21" i="13"/>
  <c r="L33" i="17"/>
  <c r="J20" i="20"/>
  <c r="J33" i="20"/>
  <c r="J18" i="20"/>
  <c r="J15" i="20"/>
  <c r="J36" i="20"/>
  <c r="L33" i="20"/>
  <c r="R18" i="49"/>
  <c r="R33" i="49"/>
  <c r="R29" i="49"/>
  <c r="X21" i="7"/>
  <c r="X20" i="8"/>
  <c r="X24" i="8"/>
  <c r="R16" i="14"/>
  <c r="X20" i="53"/>
  <c r="F34" i="22"/>
  <c r="F16" i="22"/>
  <c r="F24" i="22"/>
  <c r="F20" i="22"/>
  <c r="X15" i="10"/>
  <c r="F21" i="11"/>
  <c r="L20" i="19"/>
  <c r="L24" i="19"/>
  <c r="X15" i="20"/>
  <c r="J36" i="32"/>
  <c r="J21" i="32"/>
  <c r="V33" i="34"/>
  <c r="V22" i="34"/>
  <c r="V16" i="34"/>
  <c r="J21" i="100"/>
  <c r="N12" i="100"/>
  <c r="F21" i="25"/>
  <c r="F31" i="25"/>
  <c r="F34" i="25"/>
  <c r="L34" i="7"/>
  <c r="R15" i="10"/>
  <c r="L20" i="10"/>
  <c r="X21" i="10"/>
  <c r="R20" i="28"/>
  <c r="R36" i="28"/>
  <c r="R21" i="28"/>
  <c r="R15" i="28"/>
  <c r="X12" i="28"/>
  <c r="L29" i="38"/>
  <c r="V34" i="99"/>
  <c r="V31" i="99"/>
  <c r="V20" i="99"/>
  <c r="Z12" i="99"/>
  <c r="Z12" i="5"/>
  <c r="L15" i="7"/>
  <c r="J15" i="11"/>
  <c r="L22" i="13"/>
  <c r="R33" i="13"/>
  <c r="L29" i="16"/>
  <c r="J22" i="19"/>
  <c r="J36" i="19"/>
  <c r="J33" i="19"/>
  <c r="J29" i="19"/>
  <c r="F16" i="19"/>
  <c r="F22" i="98"/>
  <c r="F16" i="98"/>
  <c r="J22" i="100"/>
  <c r="L33" i="8"/>
  <c r="L22" i="19"/>
  <c r="J25" i="20"/>
  <c r="V24" i="23"/>
  <c r="V34" i="23"/>
  <c r="V27" i="23"/>
  <c r="V31" i="23"/>
  <c r="J36" i="23"/>
  <c r="F34" i="53"/>
  <c r="F20" i="53"/>
  <c r="L33" i="19"/>
  <c r="L24" i="20"/>
  <c r="X25" i="22"/>
  <c r="L33" i="22"/>
  <c r="L20" i="23"/>
  <c r="L34" i="23"/>
  <c r="L25" i="25"/>
  <c r="X24" i="26"/>
  <c r="L29" i="26"/>
  <c r="X16" i="28"/>
  <c r="L34" i="28"/>
  <c r="L13" i="29"/>
  <c r="R18" i="29"/>
  <c r="X29" i="29"/>
  <c r="X34" i="29"/>
  <c r="F15" i="31"/>
  <c r="X16" i="31"/>
  <c r="F33" i="31"/>
  <c r="X34" i="31"/>
  <c r="X16" i="32"/>
  <c r="F22" i="32"/>
  <c r="R24" i="32"/>
  <c r="L21" i="34"/>
  <c r="X33" i="35"/>
  <c r="F24" i="37"/>
  <c r="X29" i="37"/>
  <c r="D18" i="38"/>
  <c r="V24" i="38"/>
  <c r="R15" i="40"/>
  <c r="R18" i="40"/>
  <c r="J15" i="41"/>
  <c r="J31" i="41"/>
  <c r="Z12" i="43"/>
  <c r="F25" i="43"/>
  <c r="X29" i="43"/>
  <c r="J34" i="44"/>
  <c r="X21" i="46"/>
  <c r="L13" i="47"/>
  <c r="X29" i="47"/>
  <c r="X34" i="47"/>
  <c r="L21" i="49"/>
  <c r="F29" i="49"/>
  <c r="V15" i="50"/>
  <c r="R18" i="50"/>
  <c r="L21" i="50"/>
  <c r="V25" i="50"/>
  <c r="L13" i="52"/>
  <c r="R15" i="52"/>
  <c r="L20" i="52"/>
  <c r="X21" i="52"/>
  <c r="L24" i="52"/>
  <c r="X34" i="52"/>
  <c r="F24" i="99"/>
  <c r="R36" i="99"/>
  <c r="X13" i="100"/>
  <c r="V18" i="100"/>
  <c r="F34" i="100"/>
  <c r="L33" i="31"/>
  <c r="H18" i="20"/>
  <c r="L22" i="22"/>
  <c r="J24" i="22"/>
  <c r="F31" i="23"/>
  <c r="V31" i="25"/>
  <c r="J31" i="28"/>
  <c r="J34" i="28"/>
  <c r="F20" i="29"/>
  <c r="F21" i="31"/>
  <c r="J33" i="31"/>
  <c r="X12" i="32"/>
  <c r="J34" i="38"/>
  <c r="N12" i="40"/>
  <c r="L13" i="40"/>
  <c r="J18" i="41"/>
  <c r="F29" i="41"/>
  <c r="F18" i="43"/>
  <c r="V31" i="43"/>
  <c r="X13" i="46"/>
  <c r="L20" i="46"/>
  <c r="V21" i="46"/>
  <c r="V25" i="46"/>
  <c r="L33" i="47"/>
  <c r="V18" i="49"/>
  <c r="X22" i="49"/>
  <c r="R22" i="50"/>
  <c r="R36" i="52"/>
  <c r="X16" i="53"/>
  <c r="X16" i="98"/>
  <c r="V20" i="98"/>
  <c r="L22" i="98"/>
  <c r="X24" i="98"/>
  <c r="F18" i="99"/>
  <c r="X21" i="100"/>
  <c r="X33" i="19"/>
  <c r="Z12" i="25"/>
  <c r="V16" i="25"/>
  <c r="R16" i="26"/>
  <c r="L13" i="28"/>
  <c r="V25" i="28"/>
  <c r="F16" i="29"/>
  <c r="F20" i="31"/>
  <c r="F25" i="31"/>
  <c r="J29" i="31"/>
  <c r="X33" i="31"/>
  <c r="Z12" i="32"/>
  <c r="V18" i="32"/>
  <c r="L16" i="38"/>
  <c r="L24" i="38"/>
  <c r="L16" i="40"/>
  <c r="X22" i="40"/>
  <c r="X13" i="41"/>
  <c r="R21" i="41"/>
  <c r="F25" i="41"/>
  <c r="X33" i="41"/>
  <c r="V15" i="43"/>
  <c r="R18" i="43"/>
  <c r="R16" i="44"/>
  <c r="R24" i="44"/>
  <c r="J27" i="44"/>
  <c r="F24" i="47"/>
  <c r="L20" i="49"/>
  <c r="J25" i="49"/>
  <c r="J36" i="49"/>
  <c r="F16" i="50"/>
  <c r="R21" i="50"/>
  <c r="L16" i="52"/>
  <c r="R20" i="52"/>
  <c r="J27" i="52"/>
  <c r="X20" i="98"/>
  <c r="X22" i="99"/>
  <c r="R24" i="99"/>
  <c r="F31" i="99"/>
  <c r="F15" i="100"/>
  <c r="L22" i="20"/>
  <c r="F34" i="20"/>
  <c r="L15" i="22"/>
  <c r="L22" i="23"/>
  <c r="L33" i="23"/>
  <c r="L20" i="25"/>
  <c r="V27" i="25"/>
  <c r="X22" i="26"/>
  <c r="X20" i="28"/>
  <c r="J27" i="28"/>
  <c r="X34" i="28"/>
  <c r="X25" i="29"/>
  <c r="X33" i="29"/>
  <c r="X29" i="31"/>
  <c r="L20" i="32"/>
  <c r="X21" i="32"/>
  <c r="X13" i="34"/>
  <c r="R29" i="35"/>
  <c r="X22" i="37"/>
  <c r="X33" i="37"/>
  <c r="F16" i="38"/>
  <c r="X25" i="38"/>
  <c r="F16" i="40"/>
  <c r="R22" i="40"/>
  <c r="X29" i="40"/>
  <c r="F34" i="40"/>
  <c r="X29" i="41"/>
  <c r="V18" i="43"/>
  <c r="F22" i="43"/>
  <c r="X24" i="43"/>
  <c r="V25" i="43"/>
  <c r="L15" i="46"/>
  <c r="X33" i="46"/>
  <c r="J36" i="46"/>
  <c r="N12" i="47"/>
  <c r="F22" i="47"/>
  <c r="X33" i="47"/>
  <c r="X13" i="49"/>
  <c r="X12" i="50"/>
  <c r="F15" i="50"/>
  <c r="X20" i="50"/>
  <c r="V22" i="50"/>
  <c r="L25" i="50"/>
  <c r="L22" i="52"/>
  <c r="R33" i="52"/>
  <c r="L13" i="53"/>
  <c r="L13" i="98"/>
  <c r="X15" i="98"/>
  <c r="X34" i="98"/>
  <c r="F20" i="99"/>
  <c r="R22" i="99"/>
  <c r="R25" i="99"/>
  <c r="X20" i="100"/>
  <c r="J18" i="26"/>
  <c r="V34" i="32"/>
  <c r="R16" i="100"/>
  <c r="F27" i="100"/>
  <c r="X25" i="19"/>
  <c r="L34" i="19"/>
  <c r="F27" i="20"/>
  <c r="X34" i="20"/>
  <c r="X15" i="22"/>
  <c r="J18" i="22"/>
  <c r="X34" i="22"/>
  <c r="X16" i="23"/>
  <c r="L20" i="26"/>
  <c r="X21" i="26"/>
  <c r="X25" i="26"/>
  <c r="N12" i="31"/>
  <c r="X20" i="31"/>
  <c r="X21" i="31"/>
  <c r="J24" i="31"/>
  <c r="X20" i="32"/>
  <c r="L15" i="34"/>
  <c r="L21" i="35"/>
  <c r="X34" i="35"/>
  <c r="X15" i="37"/>
  <c r="Z12" i="38"/>
  <c r="X16" i="38"/>
  <c r="J22" i="38"/>
  <c r="J36" i="38"/>
  <c r="V21" i="40"/>
  <c r="F31" i="40"/>
  <c r="F15" i="41"/>
  <c r="X22" i="43"/>
  <c r="L25" i="44"/>
  <c r="L34" i="44"/>
  <c r="J15" i="46"/>
  <c r="X22" i="46"/>
  <c r="V18" i="47"/>
  <c r="L34" i="47"/>
  <c r="N12" i="49"/>
  <c r="X24" i="49"/>
  <c r="X25" i="49"/>
  <c r="L34" i="49"/>
  <c r="X15" i="50"/>
  <c r="V20" i="50"/>
  <c r="R16" i="52"/>
  <c r="L24" i="53"/>
  <c r="V22" i="98"/>
  <c r="L33" i="98"/>
  <c r="L15" i="99"/>
  <c r="F27" i="99"/>
  <c r="R15" i="4"/>
  <c r="R25" i="4"/>
  <c r="X15" i="5"/>
  <c r="V20" i="5"/>
  <c r="R22" i="5"/>
  <c r="R29" i="5"/>
  <c r="X33" i="5"/>
  <c r="Z12" i="7"/>
  <c r="F15" i="7"/>
  <c r="P18" i="7"/>
  <c r="R21" i="7"/>
  <c r="X22" i="7"/>
  <c r="L29" i="7"/>
  <c r="L33" i="7"/>
  <c r="R36" i="7"/>
  <c r="V20" i="8"/>
  <c r="X21" i="8"/>
  <c r="R22" i="8"/>
  <c r="R24" i="8"/>
  <c r="X33" i="8"/>
  <c r="R16" i="10"/>
  <c r="Z21" i="10"/>
  <c r="F24" i="10"/>
  <c r="X33" i="10"/>
  <c r="Z12" i="11"/>
  <c r="H18" i="11"/>
  <c r="H27" i="11" s="1"/>
  <c r="N27" i="11" s="1"/>
  <c r="V21" i="11"/>
  <c r="Z12" i="13"/>
  <c r="H18" i="13"/>
  <c r="N18" i="13" s="1"/>
  <c r="T18" i="13"/>
  <c r="T27" i="13" s="1"/>
  <c r="T31" i="13" s="1"/>
  <c r="R22" i="13"/>
  <c r="V25" i="13"/>
  <c r="R29" i="13"/>
  <c r="J34" i="13"/>
  <c r="V36" i="13"/>
  <c r="F20" i="14"/>
  <c r="F22" i="14"/>
  <c r="F24" i="14"/>
  <c r="L29" i="14"/>
  <c r="F33" i="14"/>
  <c r="X12" i="16"/>
  <c r="L20" i="16"/>
  <c r="L24" i="16"/>
  <c r="F27" i="16"/>
  <c r="F31" i="16"/>
  <c r="J27" i="13"/>
  <c r="V16" i="4"/>
  <c r="X22" i="4"/>
  <c r="X24" i="4"/>
  <c r="X33" i="4"/>
  <c r="R15" i="5"/>
  <c r="V16" i="5"/>
  <c r="R33" i="5"/>
  <c r="V34" i="5"/>
  <c r="R18" i="7"/>
  <c r="L25" i="7"/>
  <c r="F29" i="7"/>
  <c r="F33" i="7"/>
  <c r="V36" i="7"/>
  <c r="F16" i="8"/>
  <c r="R18" i="8"/>
  <c r="R21" i="8"/>
  <c r="L29" i="8"/>
  <c r="R33" i="8"/>
  <c r="J18" i="11"/>
  <c r="L34" i="11"/>
  <c r="J15" i="13"/>
  <c r="V18" i="13"/>
  <c r="V21" i="13"/>
  <c r="X33" i="13"/>
  <c r="L25" i="14"/>
  <c r="F29" i="14"/>
  <c r="F20" i="16"/>
  <c r="L22" i="16"/>
  <c r="F24" i="16"/>
  <c r="V27" i="16"/>
  <c r="J36" i="17"/>
  <c r="J18" i="17"/>
  <c r="J24" i="37"/>
  <c r="J27" i="37"/>
  <c r="J31" i="37"/>
  <c r="J22" i="37"/>
  <c r="J18" i="37"/>
  <c r="N12" i="37"/>
  <c r="J20" i="37"/>
  <c r="J33" i="37"/>
  <c r="J29" i="37"/>
  <c r="J15" i="37"/>
  <c r="L16" i="4"/>
  <c r="R36" i="4"/>
  <c r="X13" i="5"/>
  <c r="P18" i="5"/>
  <c r="P27" i="5" s="1"/>
  <c r="L25" i="5"/>
  <c r="V27" i="5"/>
  <c r="J31" i="5"/>
  <c r="V18" i="7"/>
  <c r="L22" i="7"/>
  <c r="L24" i="7"/>
  <c r="F20" i="8"/>
  <c r="J18" i="10"/>
  <c r="F16" i="11"/>
  <c r="F20" i="11"/>
  <c r="J25" i="11"/>
  <c r="J29" i="11"/>
  <c r="J33" i="11"/>
  <c r="L12" i="13"/>
  <c r="L16" i="13"/>
  <c r="J21" i="13"/>
  <c r="V27" i="13"/>
  <c r="X20" i="14"/>
  <c r="R21" i="14"/>
  <c r="X22" i="14"/>
  <c r="F36" i="14"/>
  <c r="R16" i="16"/>
  <c r="R33" i="4"/>
  <c r="F21" i="16"/>
  <c r="F36" i="16"/>
  <c r="F33" i="16"/>
  <c r="F34" i="16"/>
  <c r="Z12" i="4"/>
  <c r="L15" i="4"/>
  <c r="F16" i="4"/>
  <c r="R18" i="4"/>
  <c r="V22" i="4"/>
  <c r="X29" i="4"/>
  <c r="X12" i="5"/>
  <c r="L22" i="5"/>
  <c r="J24" i="5"/>
  <c r="L29" i="5"/>
  <c r="V31" i="5"/>
  <c r="R36" i="5"/>
  <c r="L12" i="7"/>
  <c r="R15" i="7"/>
  <c r="R16" i="8"/>
  <c r="R29" i="8"/>
  <c r="J21" i="11"/>
  <c r="N12" i="13"/>
  <c r="R15" i="13"/>
  <c r="L29" i="13"/>
  <c r="J31" i="13"/>
  <c r="V33" i="13"/>
  <c r="V34" i="13"/>
  <c r="X13" i="14"/>
  <c r="R20" i="14"/>
  <c r="R22" i="14"/>
  <c r="R24" i="14"/>
  <c r="L12" i="16"/>
  <c r="X13" i="16"/>
  <c r="X20" i="16"/>
  <c r="R21" i="16"/>
  <c r="X22" i="16"/>
  <c r="R24" i="16"/>
  <c r="X24" i="25"/>
  <c r="L20" i="38"/>
  <c r="N20" i="38"/>
  <c r="F18" i="46"/>
  <c r="F24" i="46"/>
  <c r="F27" i="46"/>
  <c r="F15" i="46"/>
  <c r="F34" i="46"/>
  <c r="F25" i="46"/>
  <c r="D18" i="46"/>
  <c r="D27" i="46" s="1"/>
  <c r="L12" i="46"/>
  <c r="F36" i="46"/>
  <c r="F31" i="46"/>
  <c r="F33" i="46"/>
  <c r="F29" i="46"/>
  <c r="F21" i="46"/>
  <c r="F25" i="7"/>
  <c r="L25" i="4"/>
  <c r="R29" i="4"/>
  <c r="J21" i="5"/>
  <c r="X13" i="7"/>
  <c r="X24" i="7"/>
  <c r="R25" i="7"/>
  <c r="R29" i="7"/>
  <c r="R33" i="7"/>
  <c r="R15" i="8"/>
  <c r="F22" i="8"/>
  <c r="L16" i="10"/>
  <c r="X22" i="10"/>
  <c r="N12" i="11"/>
  <c r="J24" i="11"/>
  <c r="J24" i="13"/>
  <c r="X25" i="13"/>
  <c r="V31" i="13"/>
  <c r="F18" i="14"/>
  <c r="X25" i="14"/>
  <c r="N12" i="16"/>
  <c r="D18" i="16"/>
  <c r="D27" i="16" s="1"/>
  <c r="D31" i="16" s="1"/>
  <c r="R20" i="16"/>
  <c r="R22" i="16"/>
  <c r="Z21" i="19"/>
  <c r="X21" i="19"/>
  <c r="V24" i="29"/>
  <c r="Z12" i="29"/>
  <c r="V20" i="29"/>
  <c r="V16" i="29"/>
  <c r="J20" i="34"/>
  <c r="J36" i="34"/>
  <c r="J25" i="34"/>
  <c r="H18" i="34"/>
  <c r="H27" i="34" s="1"/>
  <c r="J33" i="34"/>
  <c r="J15" i="34"/>
  <c r="J29" i="34"/>
  <c r="J16" i="43"/>
  <c r="J20" i="43"/>
  <c r="R22" i="4"/>
  <c r="F22" i="16"/>
  <c r="F20" i="4"/>
  <c r="F22" i="4"/>
  <c r="J34" i="5"/>
  <c r="Z13" i="7"/>
  <c r="V15" i="7"/>
  <c r="V16" i="8"/>
  <c r="R20" i="8"/>
  <c r="X15" i="11"/>
  <c r="J36" i="11"/>
  <c r="V15" i="13"/>
  <c r="V16" i="13"/>
  <c r="J22" i="13"/>
  <c r="R25" i="13"/>
  <c r="F16" i="14"/>
  <c r="R18" i="14"/>
  <c r="F31" i="14"/>
  <c r="F34" i="14"/>
  <c r="F18" i="16"/>
  <c r="N25" i="22"/>
  <c r="L25" i="22"/>
  <c r="Z13" i="31"/>
  <c r="X13" i="31"/>
  <c r="F25" i="16"/>
  <c r="P18" i="4"/>
  <c r="P27" i="4" s="1"/>
  <c r="R16" i="4"/>
  <c r="L33" i="4"/>
  <c r="L13" i="5"/>
  <c r="R25" i="5"/>
  <c r="X12" i="7"/>
  <c r="D18" i="7"/>
  <c r="D27" i="7" s="1"/>
  <c r="V22" i="7"/>
  <c r="V25" i="7"/>
  <c r="V29" i="7"/>
  <c r="V33" i="7"/>
  <c r="F36" i="7"/>
  <c r="R25" i="8"/>
  <c r="R20" i="10"/>
  <c r="X12" i="13"/>
  <c r="F15" i="13"/>
  <c r="D18" i="13"/>
  <c r="V20" i="13"/>
  <c r="R21" i="13"/>
  <c r="X29" i="13"/>
  <c r="L34" i="13"/>
  <c r="R36" i="13"/>
  <c r="F15" i="14"/>
  <c r="F27" i="14"/>
  <c r="V24" i="16"/>
  <c r="V34" i="16"/>
  <c r="F15" i="16"/>
  <c r="F16" i="16"/>
  <c r="R18" i="16"/>
  <c r="V24" i="19"/>
  <c r="Z12" i="19"/>
  <c r="X12" i="19"/>
  <c r="V31" i="19"/>
  <c r="V16" i="19"/>
  <c r="V34" i="19"/>
  <c r="V27" i="19"/>
  <c r="V20" i="19"/>
  <c r="Z24" i="19"/>
  <c r="X24" i="19"/>
  <c r="F24" i="17"/>
  <c r="X29" i="17"/>
  <c r="L13" i="19"/>
  <c r="F20" i="19"/>
  <c r="F24" i="19"/>
  <c r="F27" i="19"/>
  <c r="N15" i="20"/>
  <c r="J21" i="20"/>
  <c r="J22" i="20"/>
  <c r="F31" i="20"/>
  <c r="R16" i="22"/>
  <c r="R20" i="22"/>
  <c r="R22" i="22"/>
  <c r="J33" i="23"/>
  <c r="V34" i="25"/>
  <c r="V15" i="28"/>
  <c r="P18" i="28"/>
  <c r="X25" i="28"/>
  <c r="X29" i="28"/>
  <c r="X33" i="28"/>
  <c r="H18" i="31"/>
  <c r="L18" i="31" s="1"/>
  <c r="R22" i="31"/>
  <c r="V25" i="31"/>
  <c r="V15" i="32"/>
  <c r="V16" i="32"/>
  <c r="F27" i="32"/>
  <c r="V31" i="32"/>
  <c r="L20" i="34"/>
  <c r="R31" i="34"/>
  <c r="R22" i="35"/>
  <c r="Z20" i="38"/>
  <c r="X22" i="41"/>
  <c r="N34" i="50"/>
  <c r="L34" i="50"/>
  <c r="N15" i="53"/>
  <c r="L15" i="53"/>
  <c r="Z15" i="100"/>
  <c r="X15" i="100"/>
  <c r="J21" i="19"/>
  <c r="X16" i="20"/>
  <c r="X20" i="20"/>
  <c r="J29" i="20"/>
  <c r="R15" i="22"/>
  <c r="F16" i="25"/>
  <c r="N12" i="26"/>
  <c r="R18" i="28"/>
  <c r="R25" i="28"/>
  <c r="R29" i="28"/>
  <c r="R33" i="28"/>
  <c r="R15" i="29"/>
  <c r="X22" i="29"/>
  <c r="L15" i="31"/>
  <c r="F16" i="31"/>
  <c r="V20" i="31"/>
  <c r="R21" i="31"/>
  <c r="V29" i="31"/>
  <c r="V33" i="31"/>
  <c r="F36" i="31"/>
  <c r="F18" i="32"/>
  <c r="V22" i="32"/>
  <c r="V27" i="32"/>
  <c r="L33" i="32"/>
  <c r="L13" i="34"/>
  <c r="L16" i="34"/>
  <c r="X20" i="34"/>
  <c r="X24" i="34"/>
  <c r="L33" i="34"/>
  <c r="L13" i="35"/>
  <c r="R16" i="35"/>
  <c r="X21" i="35"/>
  <c r="L29" i="35"/>
  <c r="R33" i="35"/>
  <c r="R36" i="35"/>
  <c r="H18" i="37"/>
  <c r="F20" i="37"/>
  <c r="H18" i="38"/>
  <c r="H27" i="38" s="1"/>
  <c r="N27" i="38" s="1"/>
  <c r="X24" i="38"/>
  <c r="X33" i="38"/>
  <c r="L15" i="40"/>
  <c r="J36" i="41"/>
  <c r="J22" i="41"/>
  <c r="J21" i="41"/>
  <c r="J34" i="41"/>
  <c r="J27" i="41"/>
  <c r="N12" i="41"/>
  <c r="L15" i="41"/>
  <c r="L29" i="41"/>
  <c r="L33" i="41"/>
  <c r="X20" i="49"/>
  <c r="R18" i="53"/>
  <c r="R34" i="98"/>
  <c r="R20" i="98"/>
  <c r="R29" i="98"/>
  <c r="R15" i="98"/>
  <c r="R36" i="98"/>
  <c r="R16" i="98"/>
  <c r="R33" i="98"/>
  <c r="R22" i="98"/>
  <c r="R21" i="98"/>
  <c r="R18" i="98"/>
  <c r="R25" i="98"/>
  <c r="N29" i="99"/>
  <c r="L29" i="99"/>
  <c r="L21" i="17"/>
  <c r="X15" i="19"/>
  <c r="J24" i="19"/>
  <c r="J25" i="19"/>
  <c r="F31" i="19"/>
  <c r="N12" i="20"/>
  <c r="X13" i="20"/>
  <c r="R16" i="20"/>
  <c r="R20" i="20"/>
  <c r="L34" i="20"/>
  <c r="V16" i="22"/>
  <c r="V20" i="22"/>
  <c r="X12" i="23"/>
  <c r="L16" i="23"/>
  <c r="V21" i="23"/>
  <c r="X22" i="23"/>
  <c r="F27" i="23"/>
  <c r="X12" i="25"/>
  <c r="L15" i="25"/>
  <c r="V20" i="25"/>
  <c r="X29" i="25"/>
  <c r="L16" i="26"/>
  <c r="L15" i="28"/>
  <c r="T18" i="28"/>
  <c r="T27" i="28" s="1"/>
  <c r="T31" i="28" s="1"/>
  <c r="L21" i="28"/>
  <c r="L22" i="28"/>
  <c r="X24" i="28"/>
  <c r="X21" i="29"/>
  <c r="R22" i="29"/>
  <c r="X24" i="29"/>
  <c r="L29" i="29"/>
  <c r="J15" i="31"/>
  <c r="T18" i="31"/>
  <c r="T27" i="31" s="1"/>
  <c r="V36" i="31"/>
  <c r="D18" i="32"/>
  <c r="D27" i="32" s="1"/>
  <c r="L16" i="32"/>
  <c r="V20" i="32"/>
  <c r="L29" i="32"/>
  <c r="X34" i="32"/>
  <c r="X16" i="34"/>
  <c r="L29" i="34"/>
  <c r="P18" i="35"/>
  <c r="X16" i="35"/>
  <c r="R20" i="35"/>
  <c r="R21" i="35"/>
  <c r="L16" i="37"/>
  <c r="L21" i="38"/>
  <c r="R34" i="41"/>
  <c r="R36" i="41"/>
  <c r="R24" i="41"/>
  <c r="R22" i="41"/>
  <c r="R29" i="41"/>
  <c r="R20" i="41"/>
  <c r="R16" i="41"/>
  <c r="R15" i="41"/>
  <c r="X15" i="47"/>
  <c r="N16" i="49"/>
  <c r="L16" i="49"/>
  <c r="V20" i="52"/>
  <c r="V31" i="52"/>
  <c r="V34" i="52"/>
  <c r="V33" i="52"/>
  <c r="V27" i="52"/>
  <c r="V15" i="52"/>
  <c r="V29" i="52"/>
  <c r="V25" i="52"/>
  <c r="V22" i="52"/>
  <c r="V36" i="52"/>
  <c r="X13" i="17"/>
  <c r="L20" i="17"/>
  <c r="X24" i="17"/>
  <c r="X22" i="20"/>
  <c r="X33" i="22"/>
  <c r="J15" i="23"/>
  <c r="X33" i="23"/>
  <c r="X25" i="25"/>
  <c r="F24" i="26"/>
  <c r="X29" i="26"/>
  <c r="L34" i="26"/>
  <c r="X15" i="31"/>
  <c r="V21" i="31"/>
  <c r="L24" i="31"/>
  <c r="F15" i="32"/>
  <c r="F16" i="32"/>
  <c r="L24" i="32"/>
  <c r="L25" i="32"/>
  <c r="V20" i="34"/>
  <c r="X21" i="34"/>
  <c r="X13" i="35"/>
  <c r="R15" i="35"/>
  <c r="R22" i="38"/>
  <c r="R15" i="38"/>
  <c r="X25" i="40"/>
  <c r="H18" i="41"/>
  <c r="H27" i="41" s="1"/>
  <c r="N15" i="41"/>
  <c r="L34" i="52"/>
  <c r="R22" i="19"/>
  <c r="X29" i="22"/>
  <c r="L34" i="22"/>
  <c r="F21" i="23"/>
  <c r="L13" i="25"/>
  <c r="X15" i="25"/>
  <c r="L22" i="25"/>
  <c r="F27" i="25"/>
  <c r="L25" i="28"/>
  <c r="L29" i="28"/>
  <c r="L33" i="28"/>
  <c r="L22" i="29"/>
  <c r="V15" i="31"/>
  <c r="F20" i="32"/>
  <c r="V21" i="34"/>
  <c r="X22" i="34"/>
  <c r="X29" i="38"/>
  <c r="N15" i="44"/>
  <c r="L15" i="44"/>
  <c r="X34" i="53"/>
  <c r="R20" i="17"/>
  <c r="H18" i="23"/>
  <c r="H27" i="23" s="1"/>
  <c r="N27" i="23" s="1"/>
  <c r="J29" i="23"/>
  <c r="J21" i="25"/>
  <c r="L25" i="29"/>
  <c r="L33" i="29"/>
  <c r="V16" i="31"/>
  <c r="X25" i="31"/>
  <c r="F20" i="35"/>
  <c r="L33" i="35"/>
  <c r="R33" i="37"/>
  <c r="R34" i="37"/>
  <c r="R16" i="37"/>
  <c r="X13" i="37"/>
  <c r="L20" i="50"/>
  <c r="R16" i="17"/>
  <c r="J21" i="23"/>
  <c r="F34" i="23"/>
  <c r="F31" i="32"/>
  <c r="F34" i="32"/>
  <c r="Z12" i="34"/>
  <c r="F21" i="34"/>
  <c r="Z12" i="35"/>
  <c r="F15" i="35"/>
  <c r="R24" i="35"/>
  <c r="R25" i="35"/>
  <c r="V24" i="37"/>
  <c r="V21" i="37"/>
  <c r="R27" i="37"/>
  <c r="L15" i="38"/>
  <c r="X12" i="53"/>
  <c r="R29" i="53"/>
  <c r="R33" i="53"/>
  <c r="R15" i="53"/>
  <c r="R36" i="53"/>
  <c r="R16" i="53"/>
  <c r="R25" i="53"/>
  <c r="R22" i="53"/>
  <c r="Z21" i="99"/>
  <c r="X21" i="99"/>
  <c r="X20" i="37"/>
  <c r="V16" i="40"/>
  <c r="J22" i="40"/>
  <c r="L25" i="40"/>
  <c r="V34" i="40"/>
  <c r="L12" i="41"/>
  <c r="X24" i="41"/>
  <c r="F27" i="41"/>
  <c r="V16" i="43"/>
  <c r="F21" i="43"/>
  <c r="F29" i="43"/>
  <c r="L33" i="43"/>
  <c r="F34" i="43"/>
  <c r="L16" i="44"/>
  <c r="R18" i="44"/>
  <c r="L22" i="44"/>
  <c r="R33" i="44"/>
  <c r="F18" i="47"/>
  <c r="R24" i="47"/>
  <c r="P18" i="49"/>
  <c r="P27" i="49" s="1"/>
  <c r="V21" i="49"/>
  <c r="F25" i="49"/>
  <c r="J33" i="49"/>
  <c r="R36" i="49"/>
  <c r="V16" i="50"/>
  <c r="F25" i="50"/>
  <c r="V33" i="50"/>
  <c r="V36" i="50"/>
  <c r="X12" i="52"/>
  <c r="J21" i="52"/>
  <c r="R24" i="52"/>
  <c r="J34" i="52"/>
  <c r="J18" i="99"/>
  <c r="L25" i="37"/>
  <c r="L33" i="37"/>
  <c r="J25" i="38"/>
  <c r="J29" i="38"/>
  <c r="J33" i="38"/>
  <c r="F18" i="40"/>
  <c r="X21" i="40"/>
  <c r="J24" i="40"/>
  <c r="X33" i="40"/>
  <c r="L16" i="43"/>
  <c r="F33" i="43"/>
  <c r="F36" i="43"/>
  <c r="L20" i="44"/>
  <c r="L21" i="44"/>
  <c r="X24" i="44"/>
  <c r="R29" i="44"/>
  <c r="R36" i="44"/>
  <c r="J21" i="46"/>
  <c r="X25" i="46"/>
  <c r="J29" i="46"/>
  <c r="V33" i="46"/>
  <c r="R18" i="47"/>
  <c r="V22" i="47"/>
  <c r="J15" i="49"/>
  <c r="T18" i="49"/>
  <c r="J27" i="49"/>
  <c r="V29" i="49"/>
  <c r="J34" i="49"/>
  <c r="V36" i="49"/>
  <c r="X22" i="52"/>
  <c r="R25" i="52"/>
  <c r="Z12" i="53"/>
  <c r="F16" i="53"/>
  <c r="J18" i="53"/>
  <c r="V20" i="53"/>
  <c r="Z12" i="98"/>
  <c r="L15" i="98"/>
  <c r="L29" i="98"/>
  <c r="L20" i="99"/>
  <c r="X25" i="99"/>
  <c r="F34" i="99"/>
  <c r="D18" i="100"/>
  <c r="D27" i="100" s="1"/>
  <c r="D31" i="100" s="1"/>
  <c r="V21" i="100"/>
  <c r="F31" i="100"/>
  <c r="R15" i="49"/>
  <c r="X34" i="49"/>
  <c r="F24" i="53"/>
  <c r="X29" i="98"/>
  <c r="N12" i="99"/>
  <c r="L13" i="99"/>
  <c r="L22" i="99"/>
  <c r="R29" i="99"/>
  <c r="J34" i="99"/>
  <c r="J18" i="100"/>
  <c r="J33" i="46"/>
  <c r="R24" i="49"/>
  <c r="R25" i="49"/>
  <c r="L16" i="50"/>
  <c r="X16" i="52"/>
  <c r="X20" i="52"/>
  <c r="L25" i="98"/>
  <c r="R15" i="99"/>
  <c r="R16" i="99"/>
  <c r="J21" i="99"/>
  <c r="X33" i="99"/>
  <c r="J15" i="100"/>
  <c r="X15" i="38"/>
  <c r="V18" i="38"/>
  <c r="F20" i="40"/>
  <c r="V22" i="40"/>
  <c r="F27" i="40"/>
  <c r="V31" i="40"/>
  <c r="F24" i="41"/>
  <c r="F36" i="41"/>
  <c r="L20" i="43"/>
  <c r="F27" i="43"/>
  <c r="V29" i="43"/>
  <c r="R15" i="44"/>
  <c r="R21" i="44"/>
  <c r="H18" i="46"/>
  <c r="L24" i="46"/>
  <c r="X16" i="47"/>
  <c r="L22" i="47"/>
  <c r="V15" i="49"/>
  <c r="J29" i="49"/>
  <c r="L29" i="50"/>
  <c r="P18" i="52"/>
  <c r="P27" i="52" s="1"/>
  <c r="L25" i="52"/>
  <c r="J31" i="52"/>
  <c r="J24" i="53"/>
  <c r="X29" i="53"/>
  <c r="V16" i="98"/>
  <c r="J24" i="98"/>
  <c r="J22" i="99"/>
  <c r="J27" i="99"/>
  <c r="R33" i="99"/>
  <c r="F21" i="100"/>
  <c r="F22" i="100"/>
  <c r="L24" i="100"/>
  <c r="X21" i="37"/>
  <c r="N12" i="38"/>
  <c r="J27" i="38"/>
  <c r="J31" i="38"/>
  <c r="J21" i="40"/>
  <c r="L22" i="40"/>
  <c r="V27" i="40"/>
  <c r="L33" i="40"/>
  <c r="X34" i="40"/>
  <c r="F33" i="41"/>
  <c r="X16" i="43"/>
  <c r="F20" i="43"/>
  <c r="V21" i="43"/>
  <c r="V22" i="43"/>
  <c r="L25" i="43"/>
  <c r="V27" i="43"/>
  <c r="F31" i="43"/>
  <c r="V33" i="43"/>
  <c r="V34" i="43"/>
  <c r="X13" i="44"/>
  <c r="X34" i="44"/>
  <c r="J18" i="46"/>
  <c r="J25" i="46"/>
  <c r="V29" i="46"/>
  <c r="X20" i="47"/>
  <c r="Z12" i="49"/>
  <c r="R21" i="49"/>
  <c r="V25" i="49"/>
  <c r="F33" i="49"/>
  <c r="F36" i="49"/>
  <c r="X16" i="50"/>
  <c r="F20" i="50"/>
  <c r="F29" i="50"/>
  <c r="X33" i="50"/>
  <c r="R18" i="52"/>
  <c r="L21" i="52"/>
  <c r="L29" i="52"/>
  <c r="V16" i="53"/>
  <c r="J31" i="98"/>
  <c r="L34" i="98"/>
  <c r="X12" i="99"/>
  <c r="X13" i="99"/>
  <c r="V16" i="99"/>
  <c r="J24" i="99"/>
  <c r="J31" i="99"/>
  <c r="X16" i="100"/>
  <c r="F24" i="100"/>
  <c r="X33" i="100"/>
  <c r="Z55" i="3"/>
  <c r="Z112" i="3"/>
  <c r="N208" i="3"/>
  <c r="N245" i="3"/>
  <c r="N297" i="3"/>
  <c r="Z15" i="3"/>
  <c r="Z24" i="3"/>
  <c r="Z87" i="3"/>
  <c r="Z104" i="3"/>
  <c r="Z120" i="3"/>
  <c r="Z128" i="3"/>
  <c r="Z136" i="3"/>
  <c r="Z235" i="3"/>
  <c r="N247" i="3"/>
  <c r="Z257" i="3"/>
  <c r="Z344" i="3"/>
  <c r="Z348" i="3"/>
  <c r="Z119" i="3"/>
  <c r="Z18" i="9"/>
  <c r="Z40" i="3"/>
  <c r="Z135" i="3"/>
  <c r="Z32" i="3"/>
  <c r="Z48" i="3"/>
  <c r="Z16" i="6"/>
  <c r="T22" i="6"/>
  <c r="N20" i="3"/>
  <c r="Z72" i="3"/>
  <c r="N116" i="3"/>
  <c r="Z308" i="3"/>
  <c r="H26" i="6"/>
  <c r="N22" i="6"/>
  <c r="R356" i="3"/>
  <c r="R348" i="3"/>
  <c r="R325" i="3"/>
  <c r="R317" i="3"/>
  <c r="R293" i="3"/>
  <c r="R285" i="3"/>
  <c r="R277" i="3"/>
  <c r="R269" i="3"/>
  <c r="R261" i="3"/>
  <c r="R229" i="3"/>
  <c r="R225" i="3"/>
  <c r="R213" i="3"/>
  <c r="R197" i="3"/>
  <c r="R189" i="3"/>
  <c r="R181" i="3"/>
  <c r="R173" i="3"/>
  <c r="R165" i="3"/>
  <c r="R157" i="3"/>
  <c r="R149" i="3"/>
  <c r="R365" i="3"/>
  <c r="R262" i="3"/>
  <c r="R198" i="3"/>
  <c r="R182" i="3"/>
  <c r="R351" i="3"/>
  <c r="R341" i="3"/>
  <c r="R337" i="3"/>
  <c r="R324" i="3"/>
  <c r="R320" i="3"/>
  <c r="R316" i="3"/>
  <c r="R300" i="3"/>
  <c r="R297" i="3"/>
  <c r="R292" i="3"/>
  <c r="R284" i="3"/>
  <c r="R276" i="3"/>
  <c r="R268" i="3"/>
  <c r="R260" i="3"/>
  <c r="R257" i="3"/>
  <c r="R248" i="3"/>
  <c r="R245" i="3"/>
  <c r="R232" i="3"/>
  <c r="R224" i="3"/>
  <c r="R212" i="3"/>
  <c r="R204" i="3"/>
  <c r="R196" i="3"/>
  <c r="R188" i="3"/>
  <c r="R180" i="3"/>
  <c r="R172" i="3"/>
  <c r="R164" i="3"/>
  <c r="R156" i="3"/>
  <c r="R148" i="3"/>
  <c r="R174" i="3"/>
  <c r="R354" i="3"/>
  <c r="R346" i="3"/>
  <c r="R331" i="3"/>
  <c r="R323" i="3"/>
  <c r="R319" i="3"/>
  <c r="R315" i="3"/>
  <c r="R311" i="3"/>
  <c r="R307" i="3"/>
  <c r="R291" i="3"/>
  <c r="R283" i="3"/>
  <c r="R275" i="3"/>
  <c r="R267" i="3"/>
  <c r="R251" i="3"/>
  <c r="R239" i="3"/>
  <c r="R231" i="3"/>
  <c r="R228" i="3"/>
  <c r="R223" i="3"/>
  <c r="R219" i="3"/>
  <c r="R211" i="3"/>
  <c r="R208" i="3"/>
  <c r="R203" i="3"/>
  <c r="R195" i="3"/>
  <c r="R187" i="3"/>
  <c r="R179" i="3"/>
  <c r="R171" i="3"/>
  <c r="R163" i="3"/>
  <c r="R155" i="3"/>
  <c r="R147" i="3"/>
  <c r="R298" i="3"/>
  <c r="R286" i="3"/>
  <c r="R278" i="3"/>
  <c r="R226" i="3"/>
  <c r="R214" i="3"/>
  <c r="R366" i="3"/>
  <c r="R357" i="3"/>
  <c r="R349" i="3"/>
  <c r="R334" i="3"/>
  <c r="R330" i="3"/>
  <c r="R322" i="3"/>
  <c r="R314" i="3"/>
  <c r="R310" i="3"/>
  <c r="R306" i="3"/>
  <c r="R302" i="3"/>
  <c r="R299" i="3"/>
  <c r="R290" i="3"/>
  <c r="R282" i="3"/>
  <c r="R274" i="3"/>
  <c r="R266" i="3"/>
  <c r="R259" i="3"/>
  <c r="R254" i="3"/>
  <c r="R250" i="3"/>
  <c r="R247" i="3"/>
  <c r="R242" i="3"/>
  <c r="R238" i="3"/>
  <c r="R234" i="3"/>
  <c r="R222" i="3"/>
  <c r="R218" i="3"/>
  <c r="R210" i="3"/>
  <c r="R202" i="3"/>
  <c r="R194" i="3"/>
  <c r="R186" i="3"/>
  <c r="R178" i="3"/>
  <c r="R170" i="3"/>
  <c r="R162" i="3"/>
  <c r="R154" i="3"/>
  <c r="R146" i="3"/>
  <c r="R326" i="3"/>
  <c r="R243" i="3"/>
  <c r="R352" i="3"/>
  <c r="R344" i="3"/>
  <c r="R333" i="3"/>
  <c r="R329" i="3"/>
  <c r="R318" i="3"/>
  <c r="R313" i="3"/>
  <c r="R309" i="3"/>
  <c r="R305" i="3"/>
  <c r="R289" i="3"/>
  <c r="R281" i="3"/>
  <c r="R273" i="3"/>
  <c r="R265" i="3"/>
  <c r="R253" i="3"/>
  <c r="R241" i="3"/>
  <c r="R237" i="3"/>
  <c r="R230" i="3"/>
  <c r="R221" i="3"/>
  <c r="R217" i="3"/>
  <c r="R201" i="3"/>
  <c r="R193" i="3"/>
  <c r="R185" i="3"/>
  <c r="R177" i="3"/>
  <c r="R169" i="3"/>
  <c r="R161" i="3"/>
  <c r="R153" i="3"/>
  <c r="R145" i="3"/>
  <c r="R353" i="3"/>
  <c r="R258" i="3"/>
  <c r="R255" i="3"/>
  <c r="R190" i="3"/>
  <c r="R158" i="3"/>
  <c r="R150" i="3"/>
  <c r="R143" i="3"/>
  <c r="R355" i="3"/>
  <c r="R347" i="3"/>
  <c r="R340" i="3"/>
  <c r="R336" i="3"/>
  <c r="R328" i="3"/>
  <c r="R321" i="3"/>
  <c r="R304" i="3"/>
  <c r="R301" i="3"/>
  <c r="R296" i="3"/>
  <c r="R288" i="3"/>
  <c r="R280" i="3"/>
  <c r="R272" i="3"/>
  <c r="R264" i="3"/>
  <c r="R256" i="3"/>
  <c r="R249" i="3"/>
  <c r="R244" i="3"/>
  <c r="R236" i="3"/>
  <c r="R233" i="3"/>
  <c r="R216" i="3"/>
  <c r="R209" i="3"/>
  <c r="R200" i="3"/>
  <c r="R192" i="3"/>
  <c r="R184" i="3"/>
  <c r="R176" i="3"/>
  <c r="R168" i="3"/>
  <c r="R160" i="3"/>
  <c r="R152" i="3"/>
  <c r="R144" i="3"/>
  <c r="R345" i="3"/>
  <c r="R335" i="3"/>
  <c r="R270" i="3"/>
  <c r="P206" i="3"/>
  <c r="R166" i="3"/>
  <c r="R361" i="3"/>
  <c r="R350" i="3"/>
  <c r="R339" i="3"/>
  <c r="R332" i="3"/>
  <c r="R327" i="3"/>
  <c r="R312" i="3"/>
  <c r="R308" i="3"/>
  <c r="R295" i="3"/>
  <c r="R287" i="3"/>
  <c r="R279" i="3"/>
  <c r="R271" i="3"/>
  <c r="R263" i="3"/>
  <c r="R252" i="3"/>
  <c r="R240" i="3"/>
  <c r="R227" i="3"/>
  <c r="R220" i="3"/>
  <c r="R215" i="3"/>
  <c r="R206" i="3"/>
  <c r="R199" i="3"/>
  <c r="R191" i="3"/>
  <c r="R183" i="3"/>
  <c r="R175" i="3"/>
  <c r="R167" i="3"/>
  <c r="R159" i="3"/>
  <c r="R151" i="3"/>
  <c r="R342" i="3"/>
  <c r="R338" i="3"/>
  <c r="R303" i="3"/>
  <c r="R294" i="3"/>
  <c r="R246" i="3"/>
  <c r="R235" i="3"/>
  <c r="Z39" i="3"/>
  <c r="N51" i="3"/>
  <c r="Z56" i="3"/>
  <c r="Z64" i="3"/>
  <c r="Z71" i="3"/>
  <c r="Z80" i="3"/>
  <c r="N124" i="3"/>
  <c r="L344" i="3"/>
  <c r="N344" i="3" s="1"/>
  <c r="N18" i="9"/>
  <c r="N36" i="3"/>
  <c r="Z243" i="3"/>
  <c r="F257" i="3"/>
  <c r="F310" i="3"/>
  <c r="F314" i="3"/>
  <c r="J20" i="8"/>
  <c r="L27" i="3"/>
  <c r="N27" i="3" s="1"/>
  <c r="L35" i="3"/>
  <c r="N35" i="3" s="1"/>
  <c r="X39" i="3"/>
  <c r="L43" i="3"/>
  <c r="N43" i="3" s="1"/>
  <c r="X47" i="3"/>
  <c r="Z47" i="3" s="1"/>
  <c r="L51" i="3"/>
  <c r="X55" i="3"/>
  <c r="L59" i="3"/>
  <c r="N59" i="3" s="1"/>
  <c r="X63" i="3"/>
  <c r="Z63" i="3" s="1"/>
  <c r="L67" i="3"/>
  <c r="N67" i="3" s="1"/>
  <c r="X71" i="3"/>
  <c r="L75" i="3"/>
  <c r="N75" i="3" s="1"/>
  <c r="X79" i="3"/>
  <c r="Z79" i="3" s="1"/>
  <c r="L83" i="3"/>
  <c r="X87" i="3"/>
  <c r="L91" i="3"/>
  <c r="X95" i="3"/>
  <c r="Z95" i="3" s="1"/>
  <c r="L99" i="3"/>
  <c r="X103" i="3"/>
  <c r="Z103" i="3" s="1"/>
  <c r="L107" i="3"/>
  <c r="X111" i="3"/>
  <c r="Z111" i="3" s="1"/>
  <c r="L115" i="3"/>
  <c r="N115" i="3" s="1"/>
  <c r="X119" i="3"/>
  <c r="L123" i="3"/>
  <c r="X127" i="3"/>
  <c r="Z127" i="3" s="1"/>
  <c r="L131" i="3"/>
  <c r="F147" i="3"/>
  <c r="F155" i="3"/>
  <c r="F163" i="3"/>
  <c r="F171" i="3"/>
  <c r="F179" i="3"/>
  <c r="F187" i="3"/>
  <c r="F195" i="3"/>
  <c r="F203" i="3"/>
  <c r="F211" i="3"/>
  <c r="F219" i="3"/>
  <c r="F223" i="3"/>
  <c r="F231" i="3"/>
  <c r="F239" i="3"/>
  <c r="F251" i="3"/>
  <c r="F267" i="3"/>
  <c r="F275" i="3"/>
  <c r="F283" i="3"/>
  <c r="F291" i="3"/>
  <c r="X297" i="3"/>
  <c r="Z297" i="3" s="1"/>
  <c r="L299" i="3"/>
  <c r="N299" i="3" s="1"/>
  <c r="F307" i="3"/>
  <c r="F311" i="3"/>
  <c r="F315" i="3"/>
  <c r="F319" i="3"/>
  <c r="F323" i="3"/>
  <c r="F331" i="3"/>
  <c r="Z346" i="3"/>
  <c r="F348" i="3"/>
  <c r="F356" i="3"/>
  <c r="L12" i="4"/>
  <c r="F15" i="4"/>
  <c r="V15" i="4"/>
  <c r="D18" i="4"/>
  <c r="T18" i="4"/>
  <c r="R21" i="4"/>
  <c r="F25" i="4"/>
  <c r="V25" i="4"/>
  <c r="F29" i="4"/>
  <c r="V29" i="4"/>
  <c r="F33" i="4"/>
  <c r="V33" i="4"/>
  <c r="F36" i="4"/>
  <c r="V36" i="4"/>
  <c r="J16" i="5"/>
  <c r="R18" i="5"/>
  <c r="J20" i="5"/>
  <c r="F22" i="5"/>
  <c r="V22" i="5"/>
  <c r="F14" i="6"/>
  <c r="V14" i="6"/>
  <c r="N16" i="6"/>
  <c r="F18" i="6"/>
  <c r="V18" i="6"/>
  <c r="F22" i="6"/>
  <c r="V22" i="6"/>
  <c r="V24" i="6"/>
  <c r="F28" i="6"/>
  <c r="V28" i="6"/>
  <c r="F31" i="6"/>
  <c r="V31" i="6"/>
  <c r="N12" i="7"/>
  <c r="X15" i="7"/>
  <c r="F18" i="7"/>
  <c r="J22" i="7"/>
  <c r="R24" i="7"/>
  <c r="X25" i="7"/>
  <c r="X29" i="7"/>
  <c r="X33" i="7"/>
  <c r="L12" i="8"/>
  <c r="F15" i="8"/>
  <c r="V15" i="8"/>
  <c r="L16" i="8"/>
  <c r="D18" i="8"/>
  <c r="T18" i="8"/>
  <c r="L20" i="8"/>
  <c r="X22" i="8"/>
  <c r="F25" i="8"/>
  <c r="V25" i="8"/>
  <c r="F29" i="8"/>
  <c r="V29" i="8"/>
  <c r="F33" i="8"/>
  <c r="V33" i="8"/>
  <c r="F36" i="8"/>
  <c r="V36" i="8"/>
  <c r="L12" i="9"/>
  <c r="X14" i="9"/>
  <c r="P96" i="9"/>
  <c r="F20" i="9"/>
  <c r="V23" i="9"/>
  <c r="J27" i="9"/>
  <c r="F28" i="9"/>
  <c r="F32" i="9"/>
  <c r="V35" i="9"/>
  <c r="R36" i="9"/>
  <c r="N39" i="9"/>
  <c r="J46" i="9"/>
  <c r="Z47" i="9"/>
  <c r="X47" i="9"/>
  <c r="J54" i="9"/>
  <c r="J60" i="9"/>
  <c r="N50" i="12"/>
  <c r="Z62" i="12"/>
  <c r="Z205" i="12"/>
  <c r="Z21" i="15"/>
  <c r="Z25" i="15"/>
  <c r="N45" i="15"/>
  <c r="Z53" i="15"/>
  <c r="Z73" i="15"/>
  <c r="N101" i="15"/>
  <c r="Z255" i="15"/>
  <c r="R334" i="18"/>
  <c r="R326" i="18"/>
  <c r="R303" i="18"/>
  <c r="R299" i="18"/>
  <c r="R295" i="18"/>
  <c r="R291" i="18"/>
  <c r="R287" i="18"/>
  <c r="R283" i="18"/>
  <c r="R280" i="18"/>
  <c r="R275" i="18"/>
  <c r="R267" i="18"/>
  <c r="R259" i="18"/>
  <c r="R251" i="18"/>
  <c r="R243" i="18"/>
  <c r="R240" i="18"/>
  <c r="R219" i="18"/>
  <c r="R211" i="18"/>
  <c r="R199" i="18"/>
  <c r="R191" i="18"/>
  <c r="R183" i="18"/>
  <c r="R175" i="18"/>
  <c r="R167" i="18"/>
  <c r="R159" i="18"/>
  <c r="R151" i="18"/>
  <c r="R143" i="18"/>
  <c r="R135" i="18"/>
  <c r="R329" i="18"/>
  <c r="R319" i="18"/>
  <c r="R315" i="18"/>
  <c r="R302" i="18"/>
  <c r="R294" i="18"/>
  <c r="R290" i="18"/>
  <c r="R286" i="18"/>
  <c r="R274" i="18"/>
  <c r="R266" i="18"/>
  <c r="R258" i="18"/>
  <c r="R250" i="18"/>
  <c r="R234" i="18"/>
  <c r="R231" i="18"/>
  <c r="R218" i="18"/>
  <c r="R215" i="18"/>
  <c r="R210" i="18"/>
  <c r="R206" i="18"/>
  <c r="R198" i="18"/>
  <c r="R195" i="18"/>
  <c r="R190" i="18"/>
  <c r="R182" i="18"/>
  <c r="R174" i="18"/>
  <c r="R166" i="18"/>
  <c r="R158" i="18"/>
  <c r="R150" i="18"/>
  <c r="R142" i="18"/>
  <c r="R134" i="18"/>
  <c r="R332" i="18"/>
  <c r="R324" i="18"/>
  <c r="R309" i="18"/>
  <c r="R298" i="18"/>
  <c r="R285" i="18"/>
  <c r="R282" i="18"/>
  <c r="R273" i="18"/>
  <c r="R265" i="18"/>
  <c r="R257" i="18"/>
  <c r="R249" i="18"/>
  <c r="R242" i="18"/>
  <c r="R237" i="18"/>
  <c r="R225" i="18"/>
  <c r="R221" i="18"/>
  <c r="R209" i="18"/>
  <c r="R205" i="18"/>
  <c r="R197" i="18"/>
  <c r="R189" i="18"/>
  <c r="R181" i="18"/>
  <c r="R173" i="18"/>
  <c r="R165" i="18"/>
  <c r="R157" i="18"/>
  <c r="R149" i="18"/>
  <c r="R141" i="18"/>
  <c r="R133" i="18"/>
  <c r="R338" i="18"/>
  <c r="R327" i="18"/>
  <c r="R312" i="18"/>
  <c r="R308" i="18"/>
  <c r="R301" i="18"/>
  <c r="R293" i="18"/>
  <c r="R289" i="18"/>
  <c r="R272" i="18"/>
  <c r="R264" i="18"/>
  <c r="R256" i="18"/>
  <c r="R248" i="18"/>
  <c r="R236" i="18"/>
  <c r="R233" i="18"/>
  <c r="R228" i="18"/>
  <c r="R224" i="18"/>
  <c r="R217" i="18"/>
  <c r="R208" i="18"/>
  <c r="R204" i="18"/>
  <c r="R188" i="18"/>
  <c r="R180" i="18"/>
  <c r="R172" i="18"/>
  <c r="R164" i="18"/>
  <c r="R156" i="18"/>
  <c r="R148" i="18"/>
  <c r="R140" i="18"/>
  <c r="R330" i="18"/>
  <c r="R311" i="18"/>
  <c r="R307" i="18"/>
  <c r="R284" i="18"/>
  <c r="R279" i="18"/>
  <c r="R271" i="18"/>
  <c r="R263" i="18"/>
  <c r="R255" i="18"/>
  <c r="R247" i="18"/>
  <c r="R239" i="18"/>
  <c r="R227" i="18"/>
  <c r="R223" i="18"/>
  <c r="R220" i="18"/>
  <c r="R203" i="18"/>
  <c r="R196" i="18"/>
  <c r="R187" i="18"/>
  <c r="R179" i="18"/>
  <c r="R171" i="18"/>
  <c r="R163" i="18"/>
  <c r="R155" i="18"/>
  <c r="R147" i="18"/>
  <c r="R139" i="18"/>
  <c r="R132" i="18"/>
  <c r="R333" i="18"/>
  <c r="R325" i="18"/>
  <c r="R318" i="18"/>
  <c r="R314" i="18"/>
  <c r="R306" i="18"/>
  <c r="R278" i="18"/>
  <c r="R270" i="18"/>
  <c r="R262" i="18"/>
  <c r="R254" i="18"/>
  <c r="R246" i="18"/>
  <c r="R235" i="18"/>
  <c r="R230" i="18"/>
  <c r="R214" i="18"/>
  <c r="R207" i="18"/>
  <c r="R202" i="18"/>
  <c r="R186" i="18"/>
  <c r="R178" i="18"/>
  <c r="R170" i="18"/>
  <c r="R162" i="18"/>
  <c r="R154" i="18"/>
  <c r="R146" i="18"/>
  <c r="R138" i="18"/>
  <c r="R328" i="18"/>
  <c r="R317" i="18"/>
  <c r="R310" i="18"/>
  <c r="R305" i="18"/>
  <c r="R297" i="18"/>
  <c r="R281" i="18"/>
  <c r="R277" i="18"/>
  <c r="R269" i="18"/>
  <c r="R261" i="18"/>
  <c r="R253" i="18"/>
  <c r="R245" i="18"/>
  <c r="R241" i="18"/>
  <c r="R238" i="18"/>
  <c r="R226" i="18"/>
  <c r="R222" i="18"/>
  <c r="R213" i="18"/>
  <c r="R201" i="18"/>
  <c r="P193" i="18"/>
  <c r="R185" i="18"/>
  <c r="R177" i="18"/>
  <c r="R169" i="18"/>
  <c r="R161" i="18"/>
  <c r="R153" i="18"/>
  <c r="R145" i="18"/>
  <c r="R137" i="18"/>
  <c r="R300" i="18"/>
  <c r="R184" i="18"/>
  <c r="R313" i="18"/>
  <c r="R304" i="18"/>
  <c r="R260" i="18"/>
  <c r="R323" i="18"/>
  <c r="R320" i="18"/>
  <c r="R136" i="18"/>
  <c r="R331" i="18"/>
  <c r="R288" i="18"/>
  <c r="R252" i="18"/>
  <c r="R212" i="18"/>
  <c r="R292" i="18"/>
  <c r="R200" i="18"/>
  <c r="R152" i="18"/>
  <c r="R144" i="18"/>
  <c r="R276" i="18"/>
  <c r="R244" i="18"/>
  <c r="R168" i="18"/>
  <c r="R160" i="18"/>
  <c r="R296" i="18"/>
  <c r="R216" i="18"/>
  <c r="X12" i="18"/>
  <c r="R316" i="18"/>
  <c r="R268" i="18"/>
  <c r="R232" i="18"/>
  <c r="R229" i="18"/>
  <c r="R176" i="18"/>
  <c r="Z28" i="18"/>
  <c r="Z44" i="18"/>
  <c r="Z88" i="18"/>
  <c r="F186" i="3"/>
  <c r="F242" i="3"/>
  <c r="J16" i="4"/>
  <c r="J20" i="4"/>
  <c r="H12" i="3"/>
  <c r="X23" i="3"/>
  <c r="Z23" i="3" s="1"/>
  <c r="X31" i="3"/>
  <c r="Z31" i="3" s="1"/>
  <c r="F143" i="3"/>
  <c r="F148" i="3"/>
  <c r="F156" i="3"/>
  <c r="F164" i="3"/>
  <c r="F172" i="3"/>
  <c r="F180" i="3"/>
  <c r="F188" i="3"/>
  <c r="F196" i="3"/>
  <c r="F204" i="3"/>
  <c r="D206" i="3"/>
  <c r="F212" i="3"/>
  <c r="F224" i="3"/>
  <c r="F232" i="3"/>
  <c r="F235" i="3"/>
  <c r="F243" i="3"/>
  <c r="F248" i="3"/>
  <c r="F255" i="3"/>
  <c r="F260" i="3"/>
  <c r="F268" i="3"/>
  <c r="F276" i="3"/>
  <c r="F284" i="3"/>
  <c r="F292" i="3"/>
  <c r="F300" i="3"/>
  <c r="F303" i="3"/>
  <c r="F316" i="3"/>
  <c r="F320" i="3"/>
  <c r="F324" i="3"/>
  <c r="F335" i="3"/>
  <c r="P344" i="3"/>
  <c r="X344" i="3" s="1"/>
  <c r="F345" i="3"/>
  <c r="L346" i="3"/>
  <c r="F353" i="3"/>
  <c r="F365" i="3"/>
  <c r="N12" i="4"/>
  <c r="X15" i="4"/>
  <c r="F18" i="4"/>
  <c r="V18" i="4"/>
  <c r="J22" i="4"/>
  <c r="R24" i="4"/>
  <c r="L12" i="5"/>
  <c r="F15" i="5"/>
  <c r="V15" i="5"/>
  <c r="D18" i="5"/>
  <c r="T18" i="5"/>
  <c r="R21" i="5"/>
  <c r="F25" i="5"/>
  <c r="V25" i="5"/>
  <c r="F29" i="5"/>
  <c r="V29" i="5"/>
  <c r="F33" i="5"/>
  <c r="V33" i="5"/>
  <c r="F36" i="5"/>
  <c r="V36" i="5"/>
  <c r="L12" i="6"/>
  <c r="P16" i="6"/>
  <c r="J15" i="7"/>
  <c r="H18" i="7"/>
  <c r="F21" i="7"/>
  <c r="V21" i="7"/>
  <c r="J25" i="7"/>
  <c r="R27" i="7"/>
  <c r="J29" i="7"/>
  <c r="R31" i="7"/>
  <c r="J33" i="7"/>
  <c r="R34" i="7"/>
  <c r="J36" i="7"/>
  <c r="N12" i="8"/>
  <c r="X15" i="8"/>
  <c r="F18" i="8"/>
  <c r="V18" i="8"/>
  <c r="J22" i="8"/>
  <c r="N12" i="9"/>
  <c r="J14" i="9"/>
  <c r="J18" i="9"/>
  <c r="J20" i="9"/>
  <c r="F21" i="9"/>
  <c r="V24" i="9"/>
  <c r="J28" i="9"/>
  <c r="F29" i="9"/>
  <c r="J32" i="9"/>
  <c r="F33" i="9"/>
  <c r="V36" i="9"/>
  <c r="R37" i="9"/>
  <c r="J39" i="9"/>
  <c r="J40" i="9"/>
  <c r="Z30" i="12"/>
  <c r="Z102" i="12"/>
  <c r="Z17" i="15"/>
  <c r="Z97" i="15"/>
  <c r="N169" i="15"/>
  <c r="Z203" i="15"/>
  <c r="N205" i="15"/>
  <c r="Z264" i="15"/>
  <c r="N25" i="18"/>
  <c r="Z69" i="18"/>
  <c r="F146" i="3"/>
  <c r="F162" i="3"/>
  <c r="F218" i="3"/>
  <c r="F222" i="3"/>
  <c r="F322" i="3"/>
  <c r="N49" i="9"/>
  <c r="L49" i="9"/>
  <c r="L12" i="3"/>
  <c r="F149" i="3"/>
  <c r="F157" i="3"/>
  <c r="F165" i="3"/>
  <c r="F173" i="3"/>
  <c r="F181" i="3"/>
  <c r="F189" i="3"/>
  <c r="F197" i="3"/>
  <c r="F206" i="3"/>
  <c r="F213" i="3"/>
  <c r="F220" i="3"/>
  <c r="F225" i="3"/>
  <c r="F229" i="3"/>
  <c r="F240" i="3"/>
  <c r="F252" i="3"/>
  <c r="F261" i="3"/>
  <c r="F269" i="3"/>
  <c r="F277" i="3"/>
  <c r="F285" i="3"/>
  <c r="F293" i="3"/>
  <c r="F308" i="3"/>
  <c r="F312" i="3"/>
  <c r="F317" i="3"/>
  <c r="F325" i="3"/>
  <c r="F332" i="3"/>
  <c r="N346" i="3"/>
  <c r="F350" i="3"/>
  <c r="J15" i="4"/>
  <c r="H18" i="4"/>
  <c r="F21" i="4"/>
  <c r="V21" i="4"/>
  <c r="J25" i="4"/>
  <c r="R27" i="4"/>
  <c r="J29" i="4"/>
  <c r="R31" i="4"/>
  <c r="J33" i="4"/>
  <c r="R34" i="4"/>
  <c r="J36" i="4"/>
  <c r="N12" i="5"/>
  <c r="F18" i="5"/>
  <c r="V18" i="5"/>
  <c r="J22" i="5"/>
  <c r="R24" i="5"/>
  <c r="N12" i="6"/>
  <c r="J14" i="6"/>
  <c r="Z14" i="6"/>
  <c r="R16" i="6"/>
  <c r="J18" i="6"/>
  <c r="R20" i="6"/>
  <c r="J22" i="6"/>
  <c r="R26" i="6"/>
  <c r="J28" i="6"/>
  <c r="J31" i="6"/>
  <c r="R16" i="7"/>
  <c r="J18" i="7"/>
  <c r="R20" i="7"/>
  <c r="F24" i="7"/>
  <c r="V24" i="7"/>
  <c r="J15" i="8"/>
  <c r="H18" i="8"/>
  <c r="F21" i="8"/>
  <c r="V21" i="8"/>
  <c r="J25" i="8"/>
  <c r="R27" i="8"/>
  <c r="J29" i="8"/>
  <c r="R31" i="8"/>
  <c r="J33" i="8"/>
  <c r="J36" i="8"/>
  <c r="R82" i="9"/>
  <c r="R78" i="9"/>
  <c r="R70" i="9"/>
  <c r="R66" i="9"/>
  <c r="R62" i="9"/>
  <c r="R50" i="9"/>
  <c r="R47" i="9"/>
  <c r="R42" i="9"/>
  <c r="R39" i="9"/>
  <c r="R85" i="9"/>
  <c r="R77" i="9"/>
  <c r="R73" i="9"/>
  <c r="R61" i="9"/>
  <c r="R58" i="9"/>
  <c r="R94" i="9"/>
  <c r="R88" i="9"/>
  <c r="R81" i="9"/>
  <c r="R76" i="9"/>
  <c r="R69" i="9"/>
  <c r="R65" i="9"/>
  <c r="R52" i="9"/>
  <c r="R49" i="9"/>
  <c r="R44" i="9"/>
  <c r="R41" i="9"/>
  <c r="R99" i="9"/>
  <c r="R92" i="9"/>
  <c r="R87" i="9"/>
  <c r="R84" i="9"/>
  <c r="R75" i="9"/>
  <c r="R72" i="9"/>
  <c r="R60" i="9"/>
  <c r="R55" i="9"/>
  <c r="R54" i="9"/>
  <c r="R51" i="9"/>
  <c r="R46" i="9"/>
  <c r="R43" i="9"/>
  <c r="R86" i="9"/>
  <c r="R74" i="9"/>
  <c r="R57" i="9"/>
  <c r="R80" i="9"/>
  <c r="R68" i="9"/>
  <c r="R64" i="9"/>
  <c r="R53" i="9"/>
  <c r="R48" i="9"/>
  <c r="R45" i="9"/>
  <c r="R96" i="9"/>
  <c r="R90" i="9"/>
  <c r="R83" i="9"/>
  <c r="R79" i="9"/>
  <c r="R71" i="9"/>
  <c r="R67" i="9"/>
  <c r="R63" i="9"/>
  <c r="D16" i="9"/>
  <c r="T16" i="9"/>
  <c r="X16" i="9" s="1"/>
  <c r="R19" i="9"/>
  <c r="J21" i="9"/>
  <c r="F22" i="9"/>
  <c r="V25" i="9"/>
  <c r="R26" i="9"/>
  <c r="J29" i="9"/>
  <c r="F30" i="9"/>
  <c r="R31" i="9"/>
  <c r="J33" i="9"/>
  <c r="F34" i="9"/>
  <c r="V37" i="9"/>
  <c r="J41" i="9"/>
  <c r="F42" i="9"/>
  <c r="R59" i="9"/>
  <c r="Z46" i="12"/>
  <c r="Z86" i="12"/>
  <c r="Z217" i="12"/>
  <c r="N219" i="12"/>
  <c r="R302" i="15"/>
  <c r="R294" i="15"/>
  <c r="R291" i="15"/>
  <c r="R287" i="15"/>
  <c r="R284" i="15"/>
  <c r="R275" i="15"/>
  <c r="R271" i="15"/>
  <c r="R267" i="15"/>
  <c r="R263" i="15"/>
  <c r="R259" i="15"/>
  <c r="R247" i="15"/>
  <c r="R239" i="15"/>
  <c r="R231" i="15"/>
  <c r="R223" i="15"/>
  <c r="R216" i="15"/>
  <c r="R211" i="15"/>
  <c r="R199" i="15"/>
  <c r="R195" i="15"/>
  <c r="R183" i="15"/>
  <c r="R179" i="15"/>
  <c r="R171" i="15"/>
  <c r="R163" i="15"/>
  <c r="R155" i="15"/>
  <c r="R147" i="15"/>
  <c r="R139" i="15"/>
  <c r="R131" i="15"/>
  <c r="R123" i="15"/>
  <c r="R115" i="15"/>
  <c r="R297" i="15"/>
  <c r="R274" i="15"/>
  <c r="R270" i="15"/>
  <c r="R266" i="15"/>
  <c r="R262" i="15"/>
  <c r="R258" i="15"/>
  <c r="R254" i="15"/>
  <c r="R251" i="15"/>
  <c r="R246" i="15"/>
  <c r="R238" i="15"/>
  <c r="R230" i="15"/>
  <c r="R222" i="15"/>
  <c r="R210" i="15"/>
  <c r="R207" i="15"/>
  <c r="R202" i="15"/>
  <c r="R198" i="15"/>
  <c r="R191" i="15"/>
  <c r="R182" i="15"/>
  <c r="R178" i="15"/>
  <c r="R162" i="15"/>
  <c r="R154" i="15"/>
  <c r="R146" i="15"/>
  <c r="R138" i="15"/>
  <c r="R130" i="15"/>
  <c r="R122" i="15"/>
  <c r="R300" i="15"/>
  <c r="R290" i="15"/>
  <c r="R286" i="15"/>
  <c r="R273" i="15"/>
  <c r="R265" i="15"/>
  <c r="R261" i="15"/>
  <c r="R257" i="15"/>
  <c r="R245" i="15"/>
  <c r="R237" i="15"/>
  <c r="R229" i="15"/>
  <c r="R221" i="15"/>
  <c r="R213" i="15"/>
  <c r="R201" i="15"/>
  <c r="R197" i="15"/>
  <c r="R194" i="15"/>
  <c r="R177" i="15"/>
  <c r="R170" i="15"/>
  <c r="R161" i="15"/>
  <c r="R153" i="15"/>
  <c r="R145" i="15"/>
  <c r="R137" i="15"/>
  <c r="R129" i="15"/>
  <c r="R121" i="15"/>
  <c r="R114" i="15"/>
  <c r="R306" i="15"/>
  <c r="R295" i="15"/>
  <c r="R280" i="15"/>
  <c r="R269" i="15"/>
  <c r="R256" i="15"/>
  <c r="R253" i="15"/>
  <c r="R244" i="15"/>
  <c r="R236" i="15"/>
  <c r="R228" i="15"/>
  <c r="R220" i="15"/>
  <c r="R209" i="15"/>
  <c r="R204" i="15"/>
  <c r="R188" i="15"/>
  <c r="R181" i="15"/>
  <c r="R176" i="15"/>
  <c r="R160" i="15"/>
  <c r="R152" i="15"/>
  <c r="R144" i="15"/>
  <c r="R136" i="15"/>
  <c r="R128" i="15"/>
  <c r="R120" i="15"/>
  <c r="R298" i="15"/>
  <c r="R283" i="15"/>
  <c r="R279" i="15"/>
  <c r="R272" i="15"/>
  <c r="R264" i="15"/>
  <c r="R260" i="15"/>
  <c r="R243" i="15"/>
  <c r="R235" i="15"/>
  <c r="R227" i="15"/>
  <c r="R219" i="15"/>
  <c r="R215" i="15"/>
  <c r="R212" i="15"/>
  <c r="R200" i="15"/>
  <c r="R196" i="15"/>
  <c r="R187" i="15"/>
  <c r="R175" i="15"/>
  <c r="P167" i="15"/>
  <c r="R159" i="15"/>
  <c r="R151" i="15"/>
  <c r="R143" i="15"/>
  <c r="R135" i="15"/>
  <c r="R127" i="15"/>
  <c r="R119" i="15"/>
  <c r="R301" i="15"/>
  <c r="R282" i="15"/>
  <c r="R278" i="15"/>
  <c r="R255" i="15"/>
  <c r="R250" i="15"/>
  <c r="R242" i="15"/>
  <c r="R234" i="15"/>
  <c r="R226" i="15"/>
  <c r="R218" i="15"/>
  <c r="R206" i="15"/>
  <c r="R203" i="15"/>
  <c r="R190" i="15"/>
  <c r="R186" i="15"/>
  <c r="R174" i="15"/>
  <c r="R158" i="15"/>
  <c r="R150" i="15"/>
  <c r="R142" i="15"/>
  <c r="R134" i="15"/>
  <c r="R126" i="15"/>
  <c r="R118" i="15"/>
  <c r="R296" i="15"/>
  <c r="R289" i="15"/>
  <c r="R285" i="15"/>
  <c r="R277" i="15"/>
  <c r="R249" i="15"/>
  <c r="R241" i="15"/>
  <c r="R233" i="15"/>
  <c r="R225" i="15"/>
  <c r="R217" i="15"/>
  <c r="R214" i="15"/>
  <c r="R193" i="15"/>
  <c r="R185" i="15"/>
  <c r="R173" i="15"/>
  <c r="R165" i="15"/>
  <c r="R157" i="15"/>
  <c r="R149" i="15"/>
  <c r="R141" i="15"/>
  <c r="R133" i="15"/>
  <c r="R125" i="15"/>
  <c r="R117" i="15"/>
  <c r="R299" i="15"/>
  <c r="R288" i="15"/>
  <c r="R281" i="15"/>
  <c r="R276" i="15"/>
  <c r="R268" i="15"/>
  <c r="R252" i="15"/>
  <c r="R248" i="15"/>
  <c r="R240" i="15"/>
  <c r="R232" i="15"/>
  <c r="R224" i="15"/>
  <c r="R208" i="15"/>
  <c r="R205" i="15"/>
  <c r="R192" i="15"/>
  <c r="R189" i="15"/>
  <c r="R184" i="15"/>
  <c r="R180" i="15"/>
  <c r="R172" i="15"/>
  <c r="R169" i="15"/>
  <c r="R164" i="15"/>
  <c r="R156" i="15"/>
  <c r="R148" i="15"/>
  <c r="R140" i="15"/>
  <c r="R132" i="15"/>
  <c r="R124" i="15"/>
  <c r="R116" i="15"/>
  <c r="X12" i="15"/>
  <c r="Z12" i="15" s="1"/>
  <c r="N37" i="15"/>
  <c r="Z41" i="15"/>
  <c r="Z45" i="15"/>
  <c r="Z69" i="15"/>
  <c r="Z196" i="15"/>
  <c r="N16" i="18"/>
  <c r="Z37" i="18"/>
  <c r="N41" i="18"/>
  <c r="Z60" i="18"/>
  <c r="F154" i="3"/>
  <c r="F170" i="3"/>
  <c r="F254" i="3"/>
  <c r="F297" i="3"/>
  <c r="F306" i="3"/>
  <c r="F330" i="3"/>
  <c r="F334" i="3"/>
  <c r="J16" i="8"/>
  <c r="F150" i="3"/>
  <c r="F158" i="3"/>
  <c r="F166" i="3"/>
  <c r="F174" i="3"/>
  <c r="F182" i="3"/>
  <c r="F190" i="3"/>
  <c r="F198" i="3"/>
  <c r="F209" i="3"/>
  <c r="F214" i="3"/>
  <c r="F226" i="3"/>
  <c r="F233" i="3"/>
  <c r="F246" i="3"/>
  <c r="F249" i="3"/>
  <c r="F258" i="3"/>
  <c r="F262" i="3"/>
  <c r="F270" i="3"/>
  <c r="F278" i="3"/>
  <c r="F286" i="3"/>
  <c r="F294" i="3"/>
  <c r="F298" i="3"/>
  <c r="F301" i="3"/>
  <c r="F321" i="3"/>
  <c r="F326" i="3"/>
  <c r="F338" i="3"/>
  <c r="F342" i="3"/>
  <c r="F347" i="3"/>
  <c r="F355" i="3"/>
  <c r="J18" i="4"/>
  <c r="F24" i="4"/>
  <c r="V24" i="4"/>
  <c r="J15" i="5"/>
  <c r="H18" i="5"/>
  <c r="F21" i="5"/>
  <c r="V21" i="5"/>
  <c r="J25" i="5"/>
  <c r="R27" i="5"/>
  <c r="J29" i="5"/>
  <c r="R31" i="5"/>
  <c r="J33" i="5"/>
  <c r="R34" i="5"/>
  <c r="J36" i="5"/>
  <c r="D16" i="6"/>
  <c r="F24" i="6"/>
  <c r="J21" i="7"/>
  <c r="F27" i="7"/>
  <c r="V27" i="7"/>
  <c r="F31" i="7"/>
  <c r="V31" i="7"/>
  <c r="F34" i="7"/>
  <c r="V34" i="7"/>
  <c r="J18" i="8"/>
  <c r="F24" i="8"/>
  <c r="V24" i="8"/>
  <c r="V85" i="9"/>
  <c r="V81" i="9"/>
  <c r="V77" i="9"/>
  <c r="V73" i="9"/>
  <c r="V69" i="9"/>
  <c r="V65" i="9"/>
  <c r="V61" i="9"/>
  <c r="V49" i="9"/>
  <c r="V41" i="9"/>
  <c r="V99" i="9"/>
  <c r="V94" i="9"/>
  <c r="V92" i="9"/>
  <c r="V88" i="9"/>
  <c r="V84" i="9"/>
  <c r="V76" i="9"/>
  <c r="V72" i="9"/>
  <c r="V60" i="9"/>
  <c r="V52" i="9"/>
  <c r="V44" i="9"/>
  <c r="V87" i="9"/>
  <c r="V75" i="9"/>
  <c r="V55" i="9"/>
  <c r="V51" i="9"/>
  <c r="V43" i="9"/>
  <c r="V86" i="9"/>
  <c r="V74" i="9"/>
  <c r="V54" i="9"/>
  <c r="V46" i="9"/>
  <c r="V57" i="9"/>
  <c r="V53" i="9"/>
  <c r="V45" i="9"/>
  <c r="V96" i="9"/>
  <c r="V90" i="9"/>
  <c r="V80" i="9"/>
  <c r="V68" i="9"/>
  <c r="V64" i="9"/>
  <c r="V56" i="9"/>
  <c r="V48" i="9"/>
  <c r="V83" i="9"/>
  <c r="V79" i="9"/>
  <c r="V71" i="9"/>
  <c r="V67" i="9"/>
  <c r="V63" i="9"/>
  <c r="V59" i="9"/>
  <c r="V47" i="9"/>
  <c r="V82" i="9"/>
  <c r="V78" i="9"/>
  <c r="V70" i="9"/>
  <c r="V66" i="9"/>
  <c r="V62" i="9"/>
  <c r="F16" i="9"/>
  <c r="V16" i="9"/>
  <c r="J22" i="9"/>
  <c r="F23" i="9"/>
  <c r="V26" i="9"/>
  <c r="J30" i="9"/>
  <c r="J34" i="9"/>
  <c r="F35" i="9"/>
  <c r="L41" i="9"/>
  <c r="N41" i="9" s="1"/>
  <c r="F315" i="12"/>
  <c r="F306" i="12"/>
  <c r="F289" i="12"/>
  <c r="F281" i="12"/>
  <c r="F273" i="12"/>
  <c r="F269" i="12"/>
  <c r="F265" i="12"/>
  <c r="F261" i="12"/>
  <c r="F253" i="12"/>
  <c r="F245" i="12"/>
  <c r="F237" i="12"/>
  <c r="F229" i="12"/>
  <c r="F212" i="12"/>
  <c r="F209" i="12"/>
  <c r="F196" i="12"/>
  <c r="F193" i="12"/>
  <c r="F181" i="12"/>
  <c r="F165" i="12"/>
  <c r="F157" i="12"/>
  <c r="F149" i="12"/>
  <c r="F141" i="12"/>
  <c r="F133" i="12"/>
  <c r="F125" i="12"/>
  <c r="F309" i="12"/>
  <c r="F299" i="12"/>
  <c r="F295" i="12"/>
  <c r="F292" i="12"/>
  <c r="F288" i="12"/>
  <c r="F272" i="12"/>
  <c r="F268" i="12"/>
  <c r="F264" i="12"/>
  <c r="F252" i="12"/>
  <c r="F244" i="12"/>
  <c r="F236" i="12"/>
  <c r="F228" i="12"/>
  <c r="F223" i="12"/>
  <c r="F220" i="12"/>
  <c r="F199" i="12"/>
  <c r="F192" i="12"/>
  <c r="F180" i="12"/>
  <c r="F175" i="12"/>
  <c r="F164" i="12"/>
  <c r="F156" i="12"/>
  <c r="F148" i="12"/>
  <c r="F140" i="12"/>
  <c r="F132" i="12"/>
  <c r="F124" i="12"/>
  <c r="L12" i="12"/>
  <c r="N12" i="12" s="1"/>
  <c r="F304" i="12"/>
  <c r="F291" i="12"/>
  <c r="F287" i="12"/>
  <c r="F263" i="12"/>
  <c r="F258" i="12"/>
  <c r="F251" i="12"/>
  <c r="F243" i="12"/>
  <c r="F235" i="12"/>
  <c r="F227" i="12"/>
  <c r="F214" i="12"/>
  <c r="F211" i="12"/>
  <c r="F195" i="12"/>
  <c r="F191" i="12"/>
  <c r="F186" i="12"/>
  <c r="F179" i="12"/>
  <c r="F172" i="12"/>
  <c r="F163" i="12"/>
  <c r="F155" i="12"/>
  <c r="F147" i="12"/>
  <c r="F139" i="12"/>
  <c r="F131" i="12"/>
  <c r="F123" i="12"/>
  <c r="F307" i="12"/>
  <c r="F298" i="12"/>
  <c r="F294" i="12"/>
  <c r="F286" i="12"/>
  <c r="F277" i="12"/>
  <c r="F250" i="12"/>
  <c r="F242" i="12"/>
  <c r="F234" i="12"/>
  <c r="F226" i="12"/>
  <c r="F222" i="12"/>
  <c r="F217" i="12"/>
  <c r="F205" i="12"/>
  <c r="F201" i="12"/>
  <c r="F198" i="12"/>
  <c r="F190" i="12"/>
  <c r="F178" i="12"/>
  <c r="D172" i="12"/>
  <c r="F170" i="12"/>
  <c r="F162" i="12"/>
  <c r="F154" i="12"/>
  <c r="F146" i="12"/>
  <c r="F138" i="12"/>
  <c r="F130" i="12"/>
  <c r="F122" i="12"/>
  <c r="F117" i="12"/>
  <c r="F310" i="12"/>
  <c r="F302" i="12"/>
  <c r="F297" i="12"/>
  <c r="F285" i="12"/>
  <c r="F280" i="12"/>
  <c r="F260" i="12"/>
  <c r="F257" i="12"/>
  <c r="F249" i="12"/>
  <c r="F241" i="12"/>
  <c r="F233" i="12"/>
  <c r="F225" i="12"/>
  <c r="F213" i="12"/>
  <c r="F208" i="12"/>
  <c r="F197" i="12"/>
  <c r="F189" i="12"/>
  <c r="F185" i="12"/>
  <c r="F177" i="12"/>
  <c r="F169" i="12"/>
  <c r="F161" i="12"/>
  <c r="F153" i="12"/>
  <c r="F145" i="12"/>
  <c r="F137" i="12"/>
  <c r="F129" i="12"/>
  <c r="F121" i="12"/>
  <c r="F305" i="12"/>
  <c r="F300" i="12"/>
  <c r="F296" i="12"/>
  <c r="F284" i="12"/>
  <c r="F276" i="12"/>
  <c r="F271" i="12"/>
  <c r="F267" i="12"/>
  <c r="F256" i="12"/>
  <c r="F248" i="12"/>
  <c r="F240" i="12"/>
  <c r="F232" i="12"/>
  <c r="F224" i="12"/>
  <c r="F219" i="12"/>
  <c r="F216" i="12"/>
  <c r="F204" i="12"/>
  <c r="F200" i="12"/>
  <c r="F188" i="12"/>
  <c r="F184" i="12"/>
  <c r="F176" i="12"/>
  <c r="F168" i="12"/>
  <c r="F160" i="12"/>
  <c r="F152" i="12"/>
  <c r="F144" i="12"/>
  <c r="F136" i="12"/>
  <c r="F128" i="12"/>
  <c r="F120" i="12"/>
  <c r="F308" i="12"/>
  <c r="F290" i="12"/>
  <c r="F283" i="12"/>
  <c r="F279" i="12"/>
  <c r="F275" i="12"/>
  <c r="F262" i="12"/>
  <c r="F259" i="12"/>
  <c r="F255" i="12"/>
  <c r="F247" i="12"/>
  <c r="F239" i="12"/>
  <c r="F231" i="12"/>
  <c r="F215" i="12"/>
  <c r="F210" i="12"/>
  <c r="F207" i="12"/>
  <c r="F203" i="12"/>
  <c r="F194" i="12"/>
  <c r="F187" i="12"/>
  <c r="F183" i="12"/>
  <c r="F174" i="12"/>
  <c r="F167" i="12"/>
  <c r="F159" i="12"/>
  <c r="F151" i="12"/>
  <c r="F143" i="12"/>
  <c r="F135" i="12"/>
  <c r="F127" i="12"/>
  <c r="F119" i="12"/>
  <c r="F311" i="12"/>
  <c r="F303" i="12"/>
  <c r="F293" i="12"/>
  <c r="F282" i="12"/>
  <c r="F278" i="12"/>
  <c r="F274" i="12"/>
  <c r="F270" i="12"/>
  <c r="F266" i="12"/>
  <c r="F254" i="12"/>
  <c r="F246" i="12"/>
  <c r="F238" i="12"/>
  <c r="F230" i="12"/>
  <c r="F221" i="12"/>
  <c r="F218" i="12"/>
  <c r="F206" i="12"/>
  <c r="F202" i="12"/>
  <c r="F182" i="12"/>
  <c r="F166" i="12"/>
  <c r="F158" i="12"/>
  <c r="F150" i="12"/>
  <c r="F142" i="12"/>
  <c r="F134" i="12"/>
  <c r="F126" i="12"/>
  <c r="F118" i="12"/>
  <c r="J330" i="18"/>
  <c r="J318" i="18"/>
  <c r="J314" i="18"/>
  <c r="J306" i="18"/>
  <c r="J284" i="18"/>
  <c r="J278" i="18"/>
  <c r="J270" i="18"/>
  <c r="J262" i="18"/>
  <c r="J254" i="18"/>
  <c r="J246" i="18"/>
  <c r="J230" i="18"/>
  <c r="J220" i="18"/>
  <c r="J214" i="18"/>
  <c r="J202" i="18"/>
  <c r="J196" i="18"/>
  <c r="J186" i="18"/>
  <c r="J178" i="18"/>
  <c r="J170" i="18"/>
  <c r="J162" i="18"/>
  <c r="J154" i="18"/>
  <c r="J146" i="18"/>
  <c r="J138" i="18"/>
  <c r="J132" i="18"/>
  <c r="J333" i="18"/>
  <c r="J325" i="18"/>
  <c r="J317" i="18"/>
  <c r="J305" i="18"/>
  <c r="J297" i="18"/>
  <c r="J281" i="18"/>
  <c r="J277" i="18"/>
  <c r="J269" i="18"/>
  <c r="J261" i="18"/>
  <c r="J253" i="18"/>
  <c r="J245" i="18"/>
  <c r="J241" i="18"/>
  <c r="J235" i="18"/>
  <c r="J213" i="18"/>
  <c r="J207" i="18"/>
  <c r="J201" i="18"/>
  <c r="J193" i="18"/>
  <c r="J185" i="18"/>
  <c r="J177" i="18"/>
  <c r="J169" i="18"/>
  <c r="J161" i="18"/>
  <c r="J153" i="18"/>
  <c r="J145" i="18"/>
  <c r="J137" i="18"/>
  <c r="J328" i="18"/>
  <c r="J320" i="18"/>
  <c r="J316" i="18"/>
  <c r="J310" i="18"/>
  <c r="J304" i="18"/>
  <c r="J300" i="18"/>
  <c r="J296" i="18"/>
  <c r="J292" i="18"/>
  <c r="J288" i="18"/>
  <c r="J276" i="18"/>
  <c r="J268" i="18"/>
  <c r="J260" i="18"/>
  <c r="J252" i="18"/>
  <c r="J244" i="18"/>
  <c r="J238" i="18"/>
  <c r="J232" i="18"/>
  <c r="J226" i="18"/>
  <c r="J222" i="18"/>
  <c r="J216" i="18"/>
  <c r="J212" i="18"/>
  <c r="J200" i="18"/>
  <c r="H193" i="18"/>
  <c r="J184" i="18"/>
  <c r="J176" i="18"/>
  <c r="J168" i="18"/>
  <c r="J160" i="18"/>
  <c r="J152" i="18"/>
  <c r="J144" i="18"/>
  <c r="J136" i="18"/>
  <c r="J331" i="18"/>
  <c r="J323" i="18"/>
  <c r="J313" i="18"/>
  <c r="J303" i="18"/>
  <c r="J299" i="18"/>
  <c r="J295" i="18"/>
  <c r="J291" i="18"/>
  <c r="J287" i="18"/>
  <c r="J283" i="18"/>
  <c r="J275" i="18"/>
  <c r="J267" i="18"/>
  <c r="J259" i="18"/>
  <c r="J251" i="18"/>
  <c r="J243" i="18"/>
  <c r="J229" i="18"/>
  <c r="J219" i="18"/>
  <c r="J211" i="18"/>
  <c r="J199" i="18"/>
  <c r="J191" i="18"/>
  <c r="J183" i="18"/>
  <c r="J175" i="18"/>
  <c r="J167" i="18"/>
  <c r="J159" i="18"/>
  <c r="J151" i="18"/>
  <c r="J143" i="18"/>
  <c r="J135" i="18"/>
  <c r="J334" i="18"/>
  <c r="J326" i="18"/>
  <c r="J302" i="18"/>
  <c r="J294" i="18"/>
  <c r="J290" i="18"/>
  <c r="J286" i="18"/>
  <c r="J280" i="18"/>
  <c r="J274" i="18"/>
  <c r="J266" i="18"/>
  <c r="J258" i="18"/>
  <c r="J250" i="18"/>
  <c r="J240" i="18"/>
  <c r="J234" i="18"/>
  <c r="J218" i="18"/>
  <c r="J210" i="18"/>
  <c r="J206" i="18"/>
  <c r="J198" i="18"/>
  <c r="J190" i="18"/>
  <c r="J182" i="18"/>
  <c r="J174" i="18"/>
  <c r="J166" i="18"/>
  <c r="J158" i="18"/>
  <c r="J150" i="18"/>
  <c r="J142" i="18"/>
  <c r="J134" i="18"/>
  <c r="J329" i="18"/>
  <c r="J319" i="18"/>
  <c r="J315" i="18"/>
  <c r="J309" i="18"/>
  <c r="J285" i="18"/>
  <c r="J273" i="18"/>
  <c r="J265" i="18"/>
  <c r="J257" i="18"/>
  <c r="J249" i="18"/>
  <c r="J237" i="18"/>
  <c r="J231" i="18"/>
  <c r="J225" i="18"/>
  <c r="J221" i="18"/>
  <c r="J215" i="18"/>
  <c r="J209" i="18"/>
  <c r="J205" i="18"/>
  <c r="J197" i="18"/>
  <c r="J195" i="18"/>
  <c r="J189" i="18"/>
  <c r="J181" i="18"/>
  <c r="J173" i="18"/>
  <c r="J165" i="18"/>
  <c r="J157" i="18"/>
  <c r="J149" i="18"/>
  <c r="J141" i="18"/>
  <c r="J133" i="18"/>
  <c r="J338" i="18"/>
  <c r="J332" i="18"/>
  <c r="J324" i="18"/>
  <c r="J312" i="18"/>
  <c r="J308" i="18"/>
  <c r="J298" i="18"/>
  <c r="J282" i="18"/>
  <c r="J272" i="18"/>
  <c r="J264" i="18"/>
  <c r="J256" i="18"/>
  <c r="J248" i="18"/>
  <c r="J242" i="18"/>
  <c r="J236" i="18"/>
  <c r="J228" i="18"/>
  <c r="J224" i="18"/>
  <c r="J208" i="18"/>
  <c r="J204" i="18"/>
  <c r="J188" i="18"/>
  <c r="J180" i="18"/>
  <c r="J172" i="18"/>
  <c r="J164" i="18"/>
  <c r="J156" i="18"/>
  <c r="J148" i="18"/>
  <c r="J140" i="18"/>
  <c r="J311" i="18"/>
  <c r="J255" i="18"/>
  <c r="J223" i="18"/>
  <c r="J163" i="18"/>
  <c r="J155" i="18"/>
  <c r="J147" i="18"/>
  <c r="J217" i="18"/>
  <c r="J171" i="18"/>
  <c r="J301" i="18"/>
  <c r="J279" i="18"/>
  <c r="J247" i="18"/>
  <c r="J239" i="18"/>
  <c r="J233" i="18"/>
  <c r="J179" i="18"/>
  <c r="J327" i="18"/>
  <c r="J187" i="18"/>
  <c r="J271" i="18"/>
  <c r="J227" i="18"/>
  <c r="J307" i="18"/>
  <c r="J293" i="18"/>
  <c r="J289" i="18"/>
  <c r="J263" i="18"/>
  <c r="J203" i="18"/>
  <c r="J139" i="18"/>
  <c r="F282" i="3"/>
  <c r="F290" i="3"/>
  <c r="T12" i="3"/>
  <c r="F151" i="3"/>
  <c r="F159" i="3"/>
  <c r="F167" i="3"/>
  <c r="F175" i="3"/>
  <c r="F183" i="3"/>
  <c r="F191" i="3"/>
  <c r="F199" i="3"/>
  <c r="F215" i="3"/>
  <c r="F227" i="3"/>
  <c r="F230" i="3"/>
  <c r="F263" i="3"/>
  <c r="F271" i="3"/>
  <c r="F279" i="3"/>
  <c r="F287" i="3"/>
  <c r="F295" i="3"/>
  <c r="F318" i="3"/>
  <c r="F327" i="3"/>
  <c r="F339" i="3"/>
  <c r="F344" i="3"/>
  <c r="F352" i="3"/>
  <c r="F361" i="3"/>
  <c r="X12" i="4"/>
  <c r="J21" i="4"/>
  <c r="F27" i="4"/>
  <c r="V27" i="4"/>
  <c r="F31" i="4"/>
  <c r="V31" i="4"/>
  <c r="R16" i="5"/>
  <c r="F24" i="5"/>
  <c r="F16" i="6"/>
  <c r="V16" i="6"/>
  <c r="F20" i="6"/>
  <c r="V20" i="6"/>
  <c r="F26" i="6"/>
  <c r="V26" i="6"/>
  <c r="F16" i="7"/>
  <c r="V16" i="7"/>
  <c r="F20" i="7"/>
  <c r="J24" i="7"/>
  <c r="X12" i="8"/>
  <c r="J21" i="8"/>
  <c r="F27" i="8"/>
  <c r="V27" i="8"/>
  <c r="F31" i="8"/>
  <c r="V31" i="8"/>
  <c r="X12" i="9"/>
  <c r="H16" i="9"/>
  <c r="F19" i="9"/>
  <c r="V19" i="9"/>
  <c r="R20" i="9"/>
  <c r="J23" i="9"/>
  <c r="F24" i="9"/>
  <c r="V27" i="9"/>
  <c r="R28" i="9"/>
  <c r="F31" i="9"/>
  <c r="V31" i="9"/>
  <c r="R32" i="9"/>
  <c r="J35" i="9"/>
  <c r="F36" i="9"/>
  <c r="R40" i="9"/>
  <c r="N45" i="9"/>
  <c r="N53" i="9"/>
  <c r="V58" i="9"/>
  <c r="J304" i="12"/>
  <c r="J292" i="12"/>
  <c r="J288" i="12"/>
  <c r="J272" i="12"/>
  <c r="J268" i="12"/>
  <c r="J264" i="12"/>
  <c r="J258" i="12"/>
  <c r="J252" i="12"/>
  <c r="J244" i="12"/>
  <c r="J236" i="12"/>
  <c r="J228" i="12"/>
  <c r="J220" i="12"/>
  <c r="J214" i="12"/>
  <c r="J192" i="12"/>
  <c r="J186" i="12"/>
  <c r="J180" i="12"/>
  <c r="J164" i="12"/>
  <c r="J156" i="12"/>
  <c r="J148" i="12"/>
  <c r="J140" i="12"/>
  <c r="J132" i="12"/>
  <c r="J124" i="12"/>
  <c r="J307" i="12"/>
  <c r="J291" i="12"/>
  <c r="J287" i="12"/>
  <c r="J277" i="12"/>
  <c r="J263" i="12"/>
  <c r="J251" i="12"/>
  <c r="J243" i="12"/>
  <c r="J235" i="12"/>
  <c r="J227" i="12"/>
  <c r="J217" i="12"/>
  <c r="J211" i="12"/>
  <c r="J205" i="12"/>
  <c r="J201" i="12"/>
  <c r="J195" i="12"/>
  <c r="J191" i="12"/>
  <c r="J179" i="12"/>
  <c r="H172" i="12"/>
  <c r="J163" i="12"/>
  <c r="J155" i="12"/>
  <c r="J147" i="12"/>
  <c r="J139" i="12"/>
  <c r="J131" i="12"/>
  <c r="J123" i="12"/>
  <c r="J117" i="12"/>
  <c r="J310" i="12"/>
  <c r="J298" i="12"/>
  <c r="J294" i="12"/>
  <c r="J286" i="12"/>
  <c r="J280" i="12"/>
  <c r="J260" i="12"/>
  <c r="J250" i="12"/>
  <c r="J242" i="12"/>
  <c r="J234" i="12"/>
  <c r="J226" i="12"/>
  <c r="J222" i="12"/>
  <c r="J208" i="12"/>
  <c r="J198" i="12"/>
  <c r="J190" i="12"/>
  <c r="J178" i="12"/>
  <c r="J170" i="12"/>
  <c r="J162" i="12"/>
  <c r="J154" i="12"/>
  <c r="J146" i="12"/>
  <c r="J138" i="12"/>
  <c r="J130" i="12"/>
  <c r="J122" i="12"/>
  <c r="J305" i="12"/>
  <c r="J297" i="12"/>
  <c r="J285" i="12"/>
  <c r="J271" i="12"/>
  <c r="J267" i="12"/>
  <c r="J257" i="12"/>
  <c r="J249" i="12"/>
  <c r="J241" i="12"/>
  <c r="J233" i="12"/>
  <c r="J225" i="12"/>
  <c r="J219" i="12"/>
  <c r="J213" i="12"/>
  <c r="J197" i="12"/>
  <c r="J189" i="12"/>
  <c r="J185" i="12"/>
  <c r="J177" i="12"/>
  <c r="J169" i="12"/>
  <c r="J161" i="12"/>
  <c r="J153" i="12"/>
  <c r="J145" i="12"/>
  <c r="J137" i="12"/>
  <c r="J129" i="12"/>
  <c r="J121" i="12"/>
  <c r="J308" i="12"/>
  <c r="J300" i="12"/>
  <c r="J296" i="12"/>
  <c r="J290" i="12"/>
  <c r="J284" i="12"/>
  <c r="J276" i="12"/>
  <c r="J262" i="12"/>
  <c r="J256" i="12"/>
  <c r="J248" i="12"/>
  <c r="J240" i="12"/>
  <c r="J232" i="12"/>
  <c r="J224" i="12"/>
  <c r="J216" i="12"/>
  <c r="J210" i="12"/>
  <c r="J204" i="12"/>
  <c r="J200" i="12"/>
  <c r="J194" i="12"/>
  <c r="J188" i="12"/>
  <c r="J184" i="12"/>
  <c r="J176" i="12"/>
  <c r="J174" i="12"/>
  <c r="J168" i="12"/>
  <c r="J160" i="12"/>
  <c r="J152" i="12"/>
  <c r="J144" i="12"/>
  <c r="J136" i="12"/>
  <c r="J128" i="12"/>
  <c r="J120" i="12"/>
  <c r="J311" i="12"/>
  <c r="J303" i="12"/>
  <c r="J293" i="12"/>
  <c r="J283" i="12"/>
  <c r="J279" i="12"/>
  <c r="J275" i="12"/>
  <c r="J259" i="12"/>
  <c r="J255" i="12"/>
  <c r="J247" i="12"/>
  <c r="J239" i="12"/>
  <c r="J231" i="12"/>
  <c r="J221" i="12"/>
  <c r="J215" i="12"/>
  <c r="J207" i="12"/>
  <c r="J203" i="12"/>
  <c r="J187" i="12"/>
  <c r="J183" i="12"/>
  <c r="J167" i="12"/>
  <c r="J159" i="12"/>
  <c r="J151" i="12"/>
  <c r="J143" i="12"/>
  <c r="J135" i="12"/>
  <c r="J127" i="12"/>
  <c r="J119" i="12"/>
  <c r="J306" i="12"/>
  <c r="J282" i="12"/>
  <c r="J278" i="12"/>
  <c r="J274" i="12"/>
  <c r="J270" i="12"/>
  <c r="J266" i="12"/>
  <c r="J254" i="12"/>
  <c r="J246" i="12"/>
  <c r="J238" i="12"/>
  <c r="J230" i="12"/>
  <c r="J218" i="12"/>
  <c r="J212" i="12"/>
  <c r="J206" i="12"/>
  <c r="J202" i="12"/>
  <c r="J196" i="12"/>
  <c r="J182" i="12"/>
  <c r="J166" i="12"/>
  <c r="J158" i="12"/>
  <c r="J150" i="12"/>
  <c r="J142" i="12"/>
  <c r="J134" i="12"/>
  <c r="J126" i="12"/>
  <c r="J118" i="12"/>
  <c r="J315" i="12"/>
  <c r="J309" i="12"/>
  <c r="J299" i="12"/>
  <c r="J295" i="12"/>
  <c r="J289" i="12"/>
  <c r="J281" i="12"/>
  <c r="J273" i="12"/>
  <c r="J269" i="12"/>
  <c r="J265" i="12"/>
  <c r="J261" i="12"/>
  <c r="J253" i="12"/>
  <c r="J245" i="12"/>
  <c r="J237" i="12"/>
  <c r="J229" i="12"/>
  <c r="J223" i="12"/>
  <c r="J209" i="12"/>
  <c r="J199" i="12"/>
  <c r="J193" i="12"/>
  <c r="J181" i="12"/>
  <c r="J175" i="12"/>
  <c r="J165" i="12"/>
  <c r="J157" i="12"/>
  <c r="J149" i="12"/>
  <c r="J141" i="12"/>
  <c r="J133" i="12"/>
  <c r="J125" i="12"/>
  <c r="N26" i="12"/>
  <c r="N58" i="12"/>
  <c r="Z110" i="12"/>
  <c r="V300" i="15"/>
  <c r="V290" i="15"/>
  <c r="V286" i="15"/>
  <c r="V274" i="15"/>
  <c r="V270" i="15"/>
  <c r="V266" i="15"/>
  <c r="V262" i="15"/>
  <c r="V258" i="15"/>
  <c r="V254" i="15"/>
  <c r="V246" i="15"/>
  <c r="V238" i="15"/>
  <c r="V230" i="15"/>
  <c r="V222" i="15"/>
  <c r="V210" i="15"/>
  <c r="V202" i="15"/>
  <c r="V198" i="15"/>
  <c r="V194" i="15"/>
  <c r="V182" i="15"/>
  <c r="V178" i="15"/>
  <c r="V170" i="15"/>
  <c r="V162" i="15"/>
  <c r="V154" i="15"/>
  <c r="V146" i="15"/>
  <c r="V138" i="15"/>
  <c r="V130" i="15"/>
  <c r="V122" i="15"/>
  <c r="V114" i="15"/>
  <c r="V295" i="15"/>
  <c r="V273" i="15"/>
  <c r="V269" i="15"/>
  <c r="V265" i="15"/>
  <c r="V261" i="15"/>
  <c r="V257" i="15"/>
  <c r="V253" i="15"/>
  <c r="V245" i="15"/>
  <c r="V237" i="15"/>
  <c r="V229" i="15"/>
  <c r="V221" i="15"/>
  <c r="V213" i="15"/>
  <c r="V209" i="15"/>
  <c r="V201" i="15"/>
  <c r="V197" i="15"/>
  <c r="V181" i="15"/>
  <c r="V177" i="15"/>
  <c r="V167" i="15"/>
  <c r="V161" i="15"/>
  <c r="V153" i="15"/>
  <c r="V145" i="15"/>
  <c r="V137" i="15"/>
  <c r="V129" i="15"/>
  <c r="V121" i="15"/>
  <c r="V306" i="15"/>
  <c r="V298" i="15"/>
  <c r="V280" i="15"/>
  <c r="V272" i="15"/>
  <c r="V264" i="15"/>
  <c r="V260" i="15"/>
  <c r="V256" i="15"/>
  <c r="V244" i="15"/>
  <c r="V236" i="15"/>
  <c r="V228" i="15"/>
  <c r="V220" i="15"/>
  <c r="V212" i="15"/>
  <c r="V204" i="15"/>
  <c r="V200" i="15"/>
  <c r="V196" i="15"/>
  <c r="V188" i="15"/>
  <c r="V176" i="15"/>
  <c r="T167" i="15"/>
  <c r="V160" i="15"/>
  <c r="V152" i="15"/>
  <c r="V144" i="15"/>
  <c r="V136" i="15"/>
  <c r="V128" i="15"/>
  <c r="V120" i="15"/>
  <c r="V301" i="15"/>
  <c r="V283" i="15"/>
  <c r="V279" i="15"/>
  <c r="V255" i="15"/>
  <c r="V243" i="15"/>
  <c r="V235" i="15"/>
  <c r="V227" i="15"/>
  <c r="V219" i="15"/>
  <c r="V215" i="15"/>
  <c r="V203" i="15"/>
  <c r="V187" i="15"/>
  <c r="V175" i="15"/>
  <c r="V159" i="15"/>
  <c r="V151" i="15"/>
  <c r="V143" i="15"/>
  <c r="V135" i="15"/>
  <c r="V127" i="15"/>
  <c r="V119" i="15"/>
  <c r="V296" i="15"/>
  <c r="V282" i="15"/>
  <c r="V278" i="15"/>
  <c r="V250" i="15"/>
  <c r="V242" i="15"/>
  <c r="V234" i="15"/>
  <c r="V226" i="15"/>
  <c r="V218" i="15"/>
  <c r="V214" i="15"/>
  <c r="V206" i="15"/>
  <c r="V190" i="15"/>
  <c r="V186" i="15"/>
  <c r="V174" i="15"/>
  <c r="V158" i="15"/>
  <c r="V150" i="15"/>
  <c r="V142" i="15"/>
  <c r="V134" i="15"/>
  <c r="V126" i="15"/>
  <c r="V118" i="15"/>
  <c r="V299" i="15"/>
  <c r="V289" i="15"/>
  <c r="V285" i="15"/>
  <c r="V281" i="15"/>
  <c r="V277" i="15"/>
  <c r="V249" i="15"/>
  <c r="V241" i="15"/>
  <c r="V233" i="15"/>
  <c r="V225" i="15"/>
  <c r="V217" i="15"/>
  <c r="V205" i="15"/>
  <c r="V193" i="15"/>
  <c r="V189" i="15"/>
  <c r="V185" i="15"/>
  <c r="V173" i="15"/>
  <c r="V169" i="15"/>
  <c r="V165" i="15"/>
  <c r="V157" i="15"/>
  <c r="V149" i="15"/>
  <c r="V141" i="15"/>
  <c r="V133" i="15"/>
  <c r="V125" i="15"/>
  <c r="V117" i="15"/>
  <c r="V302" i="15"/>
  <c r="V294" i="15"/>
  <c r="V288" i="15"/>
  <c r="V284" i="15"/>
  <c r="V276" i="15"/>
  <c r="V268" i="15"/>
  <c r="V252" i="15"/>
  <c r="V248" i="15"/>
  <c r="V240" i="15"/>
  <c r="V232" i="15"/>
  <c r="V224" i="15"/>
  <c r="V216" i="15"/>
  <c r="V208" i="15"/>
  <c r="V192" i="15"/>
  <c r="V184" i="15"/>
  <c r="V180" i="15"/>
  <c r="V172" i="15"/>
  <c r="V164" i="15"/>
  <c r="V156" i="15"/>
  <c r="V148" i="15"/>
  <c r="V140" i="15"/>
  <c r="V132" i="15"/>
  <c r="V124" i="15"/>
  <c r="V116" i="15"/>
  <c r="V297" i="15"/>
  <c r="V291" i="15"/>
  <c r="V287" i="15"/>
  <c r="V275" i="15"/>
  <c r="V271" i="15"/>
  <c r="V267" i="15"/>
  <c r="V263" i="15"/>
  <c r="V259" i="15"/>
  <c r="V251" i="15"/>
  <c r="V247" i="15"/>
  <c r="V239" i="15"/>
  <c r="V231" i="15"/>
  <c r="V223" i="15"/>
  <c r="V211" i="15"/>
  <c r="V207" i="15"/>
  <c r="V199" i="15"/>
  <c r="V195" i="15"/>
  <c r="V191" i="15"/>
  <c r="V183" i="15"/>
  <c r="V179" i="15"/>
  <c r="V171" i="15"/>
  <c r="V163" i="15"/>
  <c r="V155" i="15"/>
  <c r="V147" i="15"/>
  <c r="V139" i="15"/>
  <c r="V131" i="15"/>
  <c r="V123" i="15"/>
  <c r="V115" i="15"/>
  <c r="Z37" i="15"/>
  <c r="Z65" i="15"/>
  <c r="Z200" i="15"/>
  <c r="N214" i="15"/>
  <c r="Z301" i="15"/>
  <c r="N24" i="18"/>
  <c r="Z68" i="18"/>
  <c r="Z72" i="18"/>
  <c r="F178" i="3"/>
  <c r="F194" i="3"/>
  <c r="F202" i="3"/>
  <c r="F238" i="3"/>
  <c r="F274" i="3"/>
  <c r="F302" i="3"/>
  <c r="F341" i="3"/>
  <c r="F351" i="3"/>
  <c r="F144" i="3"/>
  <c r="F152" i="3"/>
  <c r="F160" i="3"/>
  <c r="F168" i="3"/>
  <c r="F176" i="3"/>
  <c r="F184" i="3"/>
  <c r="F192" i="3"/>
  <c r="F200" i="3"/>
  <c r="F216" i="3"/>
  <c r="F236" i="3"/>
  <c r="F244" i="3"/>
  <c r="F247" i="3"/>
  <c r="F256" i="3"/>
  <c r="F259" i="3"/>
  <c r="F264" i="3"/>
  <c r="F272" i="3"/>
  <c r="F280" i="3"/>
  <c r="F288" i="3"/>
  <c r="F296" i="3"/>
  <c r="F299" i="3"/>
  <c r="F304" i="3"/>
  <c r="F328" i="3"/>
  <c r="F336" i="3"/>
  <c r="F340" i="3"/>
  <c r="F349" i="3"/>
  <c r="F357" i="3"/>
  <c r="F366" i="3"/>
  <c r="J24" i="4"/>
  <c r="F27" i="5"/>
  <c r="F31" i="5"/>
  <c r="F34" i="5"/>
  <c r="J27" i="7"/>
  <c r="J31" i="7"/>
  <c r="J34" i="7"/>
  <c r="J24" i="8"/>
  <c r="J16" i="9"/>
  <c r="J24" i="9"/>
  <c r="F25" i="9"/>
  <c r="V39" i="9"/>
  <c r="V40" i="9"/>
  <c r="V42" i="9"/>
  <c r="N25" i="12"/>
  <c r="Z99" i="12"/>
  <c r="Z40" i="15"/>
  <c r="F210" i="3"/>
  <c r="F234" i="3"/>
  <c r="F245" i="3"/>
  <c r="F250" i="3"/>
  <c r="F266" i="3"/>
  <c r="F337" i="3"/>
  <c r="J57" i="9"/>
  <c r="J51" i="9"/>
  <c r="J43" i="9"/>
  <c r="J86" i="9"/>
  <c r="J80" i="9"/>
  <c r="J74" i="9"/>
  <c r="J68" i="9"/>
  <c r="J64" i="9"/>
  <c r="J48" i="9"/>
  <c r="J83" i="9"/>
  <c r="J79" i="9"/>
  <c r="J71" i="9"/>
  <c r="J67" i="9"/>
  <c r="J63" i="9"/>
  <c r="J59" i="9"/>
  <c r="J53" i="9"/>
  <c r="J45" i="9"/>
  <c r="J96" i="9"/>
  <c r="J90" i="9"/>
  <c r="J82" i="9"/>
  <c r="J78" i="9"/>
  <c r="J70" i="9"/>
  <c r="J66" i="9"/>
  <c r="J62" i="9"/>
  <c r="J56" i="9"/>
  <c r="J50" i="9"/>
  <c r="J42" i="9"/>
  <c r="J85" i="9"/>
  <c r="J77" i="9"/>
  <c r="J73" i="9"/>
  <c r="J61" i="9"/>
  <c r="J47" i="9"/>
  <c r="J94" i="9"/>
  <c r="J88" i="9"/>
  <c r="J76" i="9"/>
  <c r="J58" i="9"/>
  <c r="J52" i="9"/>
  <c r="J44" i="9"/>
  <c r="J87" i="9"/>
  <c r="J81" i="9"/>
  <c r="J75" i="9"/>
  <c r="J69" i="9"/>
  <c r="J65" i="9"/>
  <c r="J55" i="9"/>
  <c r="J49" i="9"/>
  <c r="J99" i="9"/>
  <c r="J92" i="9"/>
  <c r="J84" i="9"/>
  <c r="J72" i="9"/>
  <c r="J26" i="9"/>
  <c r="F145" i="3"/>
  <c r="F153" i="3"/>
  <c r="F161" i="3"/>
  <c r="F169" i="3"/>
  <c r="F177" i="3"/>
  <c r="F185" i="3"/>
  <c r="F193" i="3"/>
  <c r="F201" i="3"/>
  <c r="F208" i="3"/>
  <c r="F217" i="3"/>
  <c r="F221" i="3"/>
  <c r="F228" i="3"/>
  <c r="F237" i="3"/>
  <c r="F241" i="3"/>
  <c r="F253" i="3"/>
  <c r="F265" i="3"/>
  <c r="F273" i="3"/>
  <c r="F281" i="3"/>
  <c r="F289" i="3"/>
  <c r="F305" i="3"/>
  <c r="F309" i="3"/>
  <c r="F313" i="3"/>
  <c r="F329" i="3"/>
  <c r="F333" i="3"/>
  <c r="F346" i="3"/>
  <c r="J27" i="4"/>
  <c r="J31" i="4"/>
  <c r="F16" i="5"/>
  <c r="J16" i="7"/>
  <c r="J27" i="8"/>
  <c r="J31" i="8"/>
  <c r="F81" i="9"/>
  <c r="F69" i="9"/>
  <c r="F65" i="9"/>
  <c r="F54" i="9"/>
  <c r="F49" i="9"/>
  <c r="F46" i="9"/>
  <c r="F41" i="9"/>
  <c r="F38" i="9"/>
  <c r="F99" i="9"/>
  <c r="F92" i="9"/>
  <c r="F84" i="9"/>
  <c r="F72" i="9"/>
  <c r="F60" i="9"/>
  <c r="F57" i="9"/>
  <c r="F80" i="9"/>
  <c r="F68" i="9"/>
  <c r="F64" i="9"/>
  <c r="F51" i="9"/>
  <c r="F48" i="9"/>
  <c r="F43" i="9"/>
  <c r="F40" i="9"/>
  <c r="F86" i="9"/>
  <c r="F83" i="9"/>
  <c r="F79" i="9"/>
  <c r="F74" i="9"/>
  <c r="F71" i="9"/>
  <c r="F67" i="9"/>
  <c r="F63" i="9"/>
  <c r="F59" i="9"/>
  <c r="F82" i="9"/>
  <c r="F78" i="9"/>
  <c r="F70" i="9"/>
  <c r="F66" i="9"/>
  <c r="F62" i="9"/>
  <c r="F53" i="9"/>
  <c r="F50" i="9"/>
  <c r="F45" i="9"/>
  <c r="F96" i="9"/>
  <c r="F90" i="9"/>
  <c r="F85" i="9"/>
  <c r="F77" i="9"/>
  <c r="F73" i="9"/>
  <c r="F61" i="9"/>
  <c r="F56" i="9"/>
  <c r="F94" i="9"/>
  <c r="F88" i="9"/>
  <c r="F76" i="9"/>
  <c r="F52" i="9"/>
  <c r="F47" i="9"/>
  <c r="F44" i="9"/>
  <c r="F87" i="9"/>
  <c r="F75" i="9"/>
  <c r="J19" i="9"/>
  <c r="V21" i="9"/>
  <c r="J25" i="9"/>
  <c r="F26" i="9"/>
  <c r="V29" i="9"/>
  <c r="R30" i="9"/>
  <c r="J31" i="9"/>
  <c r="V33" i="9"/>
  <c r="R34" i="9"/>
  <c r="J37" i="9"/>
  <c r="J38" i="9"/>
  <c r="Z45" i="9"/>
  <c r="N47" i="9"/>
  <c r="V50" i="9"/>
  <c r="Z53" i="9"/>
  <c r="F55" i="9"/>
  <c r="Z14" i="12"/>
  <c r="Z22" i="12"/>
  <c r="Z38" i="12"/>
  <c r="Z54" i="12"/>
  <c r="Z67" i="12"/>
  <c r="Z94" i="12"/>
  <c r="N174" i="12"/>
  <c r="N210" i="12"/>
  <c r="N25" i="15"/>
  <c r="Z29" i="15"/>
  <c r="Z33" i="15"/>
  <c r="N109" i="15"/>
  <c r="Z260" i="15"/>
  <c r="Z80" i="18"/>
  <c r="V24" i="10"/>
  <c r="R27" i="11"/>
  <c r="R31" i="11"/>
  <c r="R34" i="11"/>
  <c r="R122" i="12"/>
  <c r="R130" i="12"/>
  <c r="R138" i="12"/>
  <c r="R146" i="12"/>
  <c r="R154" i="12"/>
  <c r="R162" i="12"/>
  <c r="R170" i="12"/>
  <c r="R178" i="12"/>
  <c r="R190" i="12"/>
  <c r="R198" i="12"/>
  <c r="R219" i="12"/>
  <c r="R222" i="12"/>
  <c r="R226" i="12"/>
  <c r="R234" i="12"/>
  <c r="R242" i="12"/>
  <c r="R250" i="12"/>
  <c r="R267" i="12"/>
  <c r="R271" i="12"/>
  <c r="R286" i="12"/>
  <c r="R294" i="12"/>
  <c r="R298" i="12"/>
  <c r="P302" i="12"/>
  <c r="R305" i="12"/>
  <c r="X13" i="13"/>
  <c r="F16" i="13"/>
  <c r="F20" i="13"/>
  <c r="X12" i="14"/>
  <c r="J21" i="14"/>
  <c r="V27" i="14"/>
  <c r="V31" i="14"/>
  <c r="V34" i="14"/>
  <c r="L16" i="15"/>
  <c r="N16" i="15" s="1"/>
  <c r="X20" i="15"/>
  <c r="Z20" i="15" s="1"/>
  <c r="L24" i="15"/>
  <c r="N24" i="15" s="1"/>
  <c r="X28" i="15"/>
  <c r="Z28" i="15" s="1"/>
  <c r="L32" i="15"/>
  <c r="X36" i="15"/>
  <c r="Z36" i="15" s="1"/>
  <c r="L40" i="15"/>
  <c r="X44" i="15"/>
  <c r="Z44" i="15" s="1"/>
  <c r="L48" i="15"/>
  <c r="N48" i="15" s="1"/>
  <c r="X52" i="15"/>
  <c r="Z52" i="15" s="1"/>
  <c r="L56" i="15"/>
  <c r="N56" i="15" s="1"/>
  <c r="X60" i="15"/>
  <c r="Z60" i="15" s="1"/>
  <c r="L64" i="15"/>
  <c r="X68" i="15"/>
  <c r="Z68" i="15" s="1"/>
  <c r="L72" i="15"/>
  <c r="J119" i="15"/>
  <c r="J127" i="15"/>
  <c r="J135" i="15"/>
  <c r="J143" i="15"/>
  <c r="J151" i="15"/>
  <c r="J159" i="15"/>
  <c r="J175" i="15"/>
  <c r="J181" i="15"/>
  <c r="J187" i="15"/>
  <c r="J209" i="15"/>
  <c r="J215" i="15"/>
  <c r="J219" i="15"/>
  <c r="J227" i="15"/>
  <c r="J235" i="15"/>
  <c r="J243" i="15"/>
  <c r="J253" i="15"/>
  <c r="J269" i="15"/>
  <c r="J279" i="15"/>
  <c r="J283" i="15"/>
  <c r="J295" i="15"/>
  <c r="V24" i="17"/>
  <c r="V332" i="18"/>
  <c r="V324" i="18"/>
  <c r="V302" i="18"/>
  <c r="V298" i="18"/>
  <c r="V294" i="18"/>
  <c r="V290" i="18"/>
  <c r="V286" i="18"/>
  <c r="V282" i="18"/>
  <c r="V274" i="18"/>
  <c r="V266" i="18"/>
  <c r="V258" i="18"/>
  <c r="V250" i="18"/>
  <c r="V242" i="18"/>
  <c r="V234" i="18"/>
  <c r="V218" i="18"/>
  <c r="V210" i="18"/>
  <c r="V206" i="18"/>
  <c r="V198" i="18"/>
  <c r="V190" i="18"/>
  <c r="V182" i="18"/>
  <c r="V174" i="18"/>
  <c r="V166" i="18"/>
  <c r="V158" i="18"/>
  <c r="V150" i="18"/>
  <c r="V142" i="18"/>
  <c r="V134" i="18"/>
  <c r="V327" i="18"/>
  <c r="V309" i="18"/>
  <c r="V301" i="18"/>
  <c r="V293" i="18"/>
  <c r="V289" i="18"/>
  <c r="V285" i="18"/>
  <c r="V273" i="18"/>
  <c r="V265" i="18"/>
  <c r="V257" i="18"/>
  <c r="V249" i="18"/>
  <c r="V237" i="18"/>
  <c r="V233" i="18"/>
  <c r="V225" i="18"/>
  <c r="V221" i="18"/>
  <c r="V217" i="18"/>
  <c r="V209" i="18"/>
  <c r="V205" i="18"/>
  <c r="V197" i="18"/>
  <c r="V189" i="18"/>
  <c r="V181" i="18"/>
  <c r="V173" i="18"/>
  <c r="V165" i="18"/>
  <c r="V157" i="18"/>
  <c r="V149" i="18"/>
  <c r="V141" i="18"/>
  <c r="V133" i="18"/>
  <c r="V338" i="18"/>
  <c r="V330" i="18"/>
  <c r="V312" i="18"/>
  <c r="V308" i="18"/>
  <c r="V284" i="18"/>
  <c r="V272" i="18"/>
  <c r="V264" i="18"/>
  <c r="V256" i="18"/>
  <c r="V248" i="18"/>
  <c r="V236" i="18"/>
  <c r="V228" i="18"/>
  <c r="V224" i="18"/>
  <c r="V220" i="18"/>
  <c r="V208" i="18"/>
  <c r="V204" i="18"/>
  <c r="V196" i="18"/>
  <c r="V188" i="18"/>
  <c r="V180" i="18"/>
  <c r="V172" i="18"/>
  <c r="V164" i="18"/>
  <c r="V156" i="18"/>
  <c r="V148" i="18"/>
  <c r="V140" i="18"/>
  <c r="V132" i="18"/>
  <c r="V333" i="18"/>
  <c r="V325" i="18"/>
  <c r="V311" i="18"/>
  <c r="V307" i="18"/>
  <c r="V279" i="18"/>
  <c r="V271" i="18"/>
  <c r="V263" i="18"/>
  <c r="V255" i="18"/>
  <c r="V247" i="18"/>
  <c r="V239" i="18"/>
  <c r="V235" i="18"/>
  <c r="V227" i="18"/>
  <c r="V223" i="18"/>
  <c r="V207" i="18"/>
  <c r="V203" i="18"/>
  <c r="V187" i="18"/>
  <c r="V179" i="18"/>
  <c r="V171" i="18"/>
  <c r="V163" i="18"/>
  <c r="V155" i="18"/>
  <c r="V147" i="18"/>
  <c r="V139" i="18"/>
  <c r="V328" i="18"/>
  <c r="V318" i="18"/>
  <c r="V314" i="18"/>
  <c r="V310" i="18"/>
  <c r="V306" i="18"/>
  <c r="V278" i="18"/>
  <c r="V270" i="18"/>
  <c r="V262" i="18"/>
  <c r="V254" i="18"/>
  <c r="V246" i="18"/>
  <c r="V238" i="18"/>
  <c r="V230" i="18"/>
  <c r="V226" i="18"/>
  <c r="V222" i="18"/>
  <c r="V214" i="18"/>
  <c r="V202" i="18"/>
  <c r="T193" i="18"/>
  <c r="V186" i="18"/>
  <c r="V178" i="18"/>
  <c r="V170" i="18"/>
  <c r="V162" i="18"/>
  <c r="V154" i="18"/>
  <c r="V146" i="18"/>
  <c r="V138" i="18"/>
  <c r="V331" i="18"/>
  <c r="V323" i="18"/>
  <c r="V317" i="18"/>
  <c r="V313" i="18"/>
  <c r="V305" i="18"/>
  <c r="V297" i="18"/>
  <c r="V281" i="18"/>
  <c r="V277" i="18"/>
  <c r="V269" i="18"/>
  <c r="V261" i="18"/>
  <c r="V253" i="18"/>
  <c r="V245" i="18"/>
  <c r="V241" i="18"/>
  <c r="V229" i="18"/>
  <c r="V213" i="18"/>
  <c r="V201" i="18"/>
  <c r="V185" i="18"/>
  <c r="V177" i="18"/>
  <c r="V169" i="18"/>
  <c r="V161" i="18"/>
  <c r="V153" i="18"/>
  <c r="V145" i="18"/>
  <c r="V137" i="18"/>
  <c r="V334" i="18"/>
  <c r="V326" i="18"/>
  <c r="V320" i="18"/>
  <c r="V316" i="18"/>
  <c r="V304" i="18"/>
  <c r="V300" i="18"/>
  <c r="V296" i="18"/>
  <c r="V292" i="18"/>
  <c r="V288" i="18"/>
  <c r="V280" i="18"/>
  <c r="V276" i="18"/>
  <c r="V268" i="18"/>
  <c r="V260" i="18"/>
  <c r="V252" i="18"/>
  <c r="V244" i="18"/>
  <c r="V240" i="18"/>
  <c r="V232" i="18"/>
  <c r="V216" i="18"/>
  <c r="V212" i="18"/>
  <c r="V200" i="18"/>
  <c r="V184" i="18"/>
  <c r="V176" i="18"/>
  <c r="V168" i="18"/>
  <c r="V160" i="18"/>
  <c r="V152" i="18"/>
  <c r="V144" i="18"/>
  <c r="V136" i="18"/>
  <c r="Z89" i="18"/>
  <c r="V135" i="18"/>
  <c r="V211" i="18"/>
  <c r="V251" i="18"/>
  <c r="V287" i="18"/>
  <c r="N40" i="24"/>
  <c r="L40" i="24"/>
  <c r="J112" i="27"/>
  <c r="J108" i="27"/>
  <c r="J100" i="27"/>
  <c r="J94" i="27"/>
  <c r="J88" i="27"/>
  <c r="J80" i="27"/>
  <c r="J76" i="27"/>
  <c r="J68" i="27"/>
  <c r="J66" i="27"/>
  <c r="J60" i="27"/>
  <c r="J52" i="27"/>
  <c r="J125" i="27"/>
  <c r="J119" i="27"/>
  <c r="J115" i="27"/>
  <c r="J111" i="27"/>
  <c r="J107" i="27"/>
  <c r="J97" i="27"/>
  <c r="J91" i="27"/>
  <c r="J85" i="27"/>
  <c r="J79" i="27"/>
  <c r="J75" i="27"/>
  <c r="J59" i="27"/>
  <c r="J51" i="27"/>
  <c r="J45" i="27"/>
  <c r="J130" i="27"/>
  <c r="J122" i="27"/>
  <c r="J118" i="27"/>
  <c r="J114" i="27"/>
  <c r="J110" i="27"/>
  <c r="J106" i="27"/>
  <c r="J78" i="27"/>
  <c r="J74" i="27"/>
  <c r="J58" i="27"/>
  <c r="J50" i="27"/>
  <c r="J121" i="27"/>
  <c r="J117" i="27"/>
  <c r="J105" i="27"/>
  <c r="J99" i="27"/>
  <c r="J93" i="27"/>
  <c r="J87" i="27"/>
  <c r="J73" i="27"/>
  <c r="J67" i="27"/>
  <c r="J57" i="27"/>
  <c r="J49" i="27"/>
  <c r="J124" i="27"/>
  <c r="J104" i="27"/>
  <c r="J96" i="27"/>
  <c r="J90" i="27"/>
  <c r="J84" i="27"/>
  <c r="J72" i="27"/>
  <c r="J56" i="27"/>
  <c r="J48" i="27"/>
  <c r="J131" i="27"/>
  <c r="J113" i="27"/>
  <c r="J109" i="27"/>
  <c r="J103" i="27"/>
  <c r="J95" i="27"/>
  <c r="J83" i="27"/>
  <c r="J77" i="27"/>
  <c r="J71" i="27"/>
  <c r="H64" i="27"/>
  <c r="J64" i="27" s="1"/>
  <c r="J55" i="27"/>
  <c r="J47" i="27"/>
  <c r="J126" i="27"/>
  <c r="J120" i="27"/>
  <c r="J116" i="27"/>
  <c r="J102" i="27"/>
  <c r="J98" i="27"/>
  <c r="J92" i="27"/>
  <c r="J86" i="27"/>
  <c r="J82" i="27"/>
  <c r="J70" i="27"/>
  <c r="J62" i="27"/>
  <c r="J54" i="27"/>
  <c r="J46" i="27"/>
  <c r="J135" i="27"/>
  <c r="J129" i="27"/>
  <c r="J123" i="27"/>
  <c r="J101" i="27"/>
  <c r="J89" i="27"/>
  <c r="J81" i="27"/>
  <c r="J69" i="27"/>
  <c r="J61" i="27"/>
  <c r="J53" i="27"/>
  <c r="X12" i="10"/>
  <c r="J21" i="10"/>
  <c r="F27" i="10"/>
  <c r="V27" i="10"/>
  <c r="F31" i="10"/>
  <c r="V31" i="10"/>
  <c r="F34" i="10"/>
  <c r="V34" i="10"/>
  <c r="R16" i="11"/>
  <c r="R20" i="11"/>
  <c r="F24" i="11"/>
  <c r="V24" i="11"/>
  <c r="T12" i="12"/>
  <c r="L15" i="12"/>
  <c r="N15" i="12" s="1"/>
  <c r="X19" i="12"/>
  <c r="Z19" i="12" s="1"/>
  <c r="L23" i="12"/>
  <c r="X27" i="12"/>
  <c r="Z27" i="12" s="1"/>
  <c r="L31" i="12"/>
  <c r="X35" i="12"/>
  <c r="Z35" i="12" s="1"/>
  <c r="L39" i="12"/>
  <c r="N39" i="12" s="1"/>
  <c r="X43" i="12"/>
  <c r="Z43" i="12" s="1"/>
  <c r="L47" i="12"/>
  <c r="X51" i="12"/>
  <c r="Z51" i="12" s="1"/>
  <c r="L55" i="12"/>
  <c r="X59" i="12"/>
  <c r="Z59" i="12" s="1"/>
  <c r="L63" i="12"/>
  <c r="N63" i="12" s="1"/>
  <c r="X67" i="12"/>
  <c r="L71" i="12"/>
  <c r="N71" i="12" s="1"/>
  <c r="X75" i="12"/>
  <c r="Z75" i="12" s="1"/>
  <c r="L79" i="12"/>
  <c r="X83" i="12"/>
  <c r="Z83" i="12" s="1"/>
  <c r="L87" i="12"/>
  <c r="X91" i="12"/>
  <c r="Z91" i="12" s="1"/>
  <c r="L95" i="12"/>
  <c r="N95" i="12" s="1"/>
  <c r="X99" i="12"/>
  <c r="L103" i="12"/>
  <c r="X107" i="12"/>
  <c r="Z107" i="12" s="1"/>
  <c r="L111" i="12"/>
  <c r="N111" i="12" s="1"/>
  <c r="X115" i="12"/>
  <c r="Z115" i="12" s="1"/>
  <c r="R123" i="12"/>
  <c r="R131" i="12"/>
  <c r="R139" i="12"/>
  <c r="R147" i="12"/>
  <c r="R155" i="12"/>
  <c r="R163" i="12"/>
  <c r="R179" i="12"/>
  <c r="R191" i="12"/>
  <c r="R195" i="12"/>
  <c r="R208" i="12"/>
  <c r="R211" i="12"/>
  <c r="R227" i="12"/>
  <c r="R235" i="12"/>
  <c r="R243" i="12"/>
  <c r="R251" i="12"/>
  <c r="R260" i="12"/>
  <c r="R263" i="12"/>
  <c r="R280" i="12"/>
  <c r="R287" i="12"/>
  <c r="R291" i="12"/>
  <c r="X293" i="12"/>
  <c r="Z293" i="12" s="1"/>
  <c r="L295" i="12"/>
  <c r="L299" i="12"/>
  <c r="N299" i="12" s="1"/>
  <c r="R302" i="12"/>
  <c r="X303" i="12"/>
  <c r="Z303" i="12" s="1"/>
  <c r="L309" i="12"/>
  <c r="R310" i="12"/>
  <c r="X311" i="12"/>
  <c r="Z311" i="12" s="1"/>
  <c r="X16" i="13"/>
  <c r="P18" i="13"/>
  <c r="X20" i="13"/>
  <c r="L24" i="13"/>
  <c r="Z12" i="14"/>
  <c r="V16" i="14"/>
  <c r="V20" i="14"/>
  <c r="L21" i="14"/>
  <c r="J24" i="14"/>
  <c r="X34" i="14"/>
  <c r="X13" i="15"/>
  <c r="J114" i="15"/>
  <c r="J120" i="15"/>
  <c r="J128" i="15"/>
  <c r="J136" i="15"/>
  <c r="J144" i="15"/>
  <c r="J152" i="15"/>
  <c r="J160" i="15"/>
  <c r="J170" i="15"/>
  <c r="J176" i="15"/>
  <c r="J188" i="15"/>
  <c r="J194" i="15"/>
  <c r="J204" i="15"/>
  <c r="J220" i="15"/>
  <c r="J228" i="15"/>
  <c r="J236" i="15"/>
  <c r="J244" i="15"/>
  <c r="J256" i="15"/>
  <c r="J280" i="15"/>
  <c r="J286" i="15"/>
  <c r="J290" i="15"/>
  <c r="P293" i="15"/>
  <c r="R293" i="15" s="1"/>
  <c r="L295" i="15"/>
  <c r="J300" i="15"/>
  <c r="J306" i="15"/>
  <c r="Z12" i="16"/>
  <c r="V16" i="16"/>
  <c r="V20" i="16"/>
  <c r="L21" i="16"/>
  <c r="J24" i="16"/>
  <c r="X34" i="16"/>
  <c r="X12" i="17"/>
  <c r="J21" i="17"/>
  <c r="F27" i="17"/>
  <c r="V27" i="17"/>
  <c r="F31" i="17"/>
  <c r="V31" i="17"/>
  <c r="F34" i="17"/>
  <c r="V34" i="17"/>
  <c r="N15" i="18"/>
  <c r="N78" i="18"/>
  <c r="Z226" i="18"/>
  <c r="Z229" i="18"/>
  <c r="V319" i="18"/>
  <c r="H322" i="18"/>
  <c r="J322" i="18" s="1"/>
  <c r="N324" i="18"/>
  <c r="Z22" i="21"/>
  <c r="V26" i="21"/>
  <c r="V30" i="21"/>
  <c r="Z40" i="21"/>
  <c r="N51" i="21"/>
  <c r="Z68" i="21"/>
  <c r="J76" i="21"/>
  <c r="Z101" i="21"/>
  <c r="Z21" i="24"/>
  <c r="L65" i="9"/>
  <c r="N65" i="9" s="1"/>
  <c r="L69" i="9"/>
  <c r="L81" i="9"/>
  <c r="N81" i="9" s="1"/>
  <c r="Z12" i="10"/>
  <c r="F16" i="10"/>
  <c r="V16" i="10"/>
  <c r="F20" i="10"/>
  <c r="V20" i="10"/>
  <c r="L21" i="10"/>
  <c r="R22" i="10"/>
  <c r="J24" i="10"/>
  <c r="X34" i="10"/>
  <c r="X12" i="11"/>
  <c r="X24" i="11"/>
  <c r="F27" i="11"/>
  <c r="V27" i="11"/>
  <c r="F31" i="11"/>
  <c r="V31" i="11"/>
  <c r="F34" i="11"/>
  <c r="V34" i="11"/>
  <c r="X12" i="12"/>
  <c r="R117" i="12"/>
  <c r="R124" i="12"/>
  <c r="R132" i="12"/>
  <c r="R140" i="12"/>
  <c r="R148" i="12"/>
  <c r="R156" i="12"/>
  <c r="R164" i="12"/>
  <c r="P172" i="12"/>
  <c r="X174" i="12"/>
  <c r="Z174" i="12" s="1"/>
  <c r="R180" i="12"/>
  <c r="R192" i="12"/>
  <c r="R201" i="12"/>
  <c r="R205" i="12"/>
  <c r="R217" i="12"/>
  <c r="R220" i="12"/>
  <c r="R228" i="12"/>
  <c r="R236" i="12"/>
  <c r="R244" i="12"/>
  <c r="R252" i="12"/>
  <c r="R264" i="12"/>
  <c r="R268" i="12"/>
  <c r="R272" i="12"/>
  <c r="R277" i="12"/>
  <c r="R288" i="12"/>
  <c r="R292" i="12"/>
  <c r="T302" i="12"/>
  <c r="R307" i="12"/>
  <c r="J16" i="13"/>
  <c r="R18" i="13"/>
  <c r="J20" i="13"/>
  <c r="F22" i="13"/>
  <c r="V22" i="13"/>
  <c r="R15" i="14"/>
  <c r="P18" i="14"/>
  <c r="R25" i="14"/>
  <c r="J27" i="14"/>
  <c r="R29" i="14"/>
  <c r="J31" i="14"/>
  <c r="R33" i="14"/>
  <c r="J34" i="14"/>
  <c r="R36" i="14"/>
  <c r="D12" i="15"/>
  <c r="J121" i="15"/>
  <c r="J129" i="15"/>
  <c r="J137" i="15"/>
  <c r="J145" i="15"/>
  <c r="J153" i="15"/>
  <c r="J161" i="15"/>
  <c r="J177" i="15"/>
  <c r="J191" i="15"/>
  <c r="L194" i="15"/>
  <c r="N194" i="15" s="1"/>
  <c r="J197" i="15"/>
  <c r="J201" i="15"/>
  <c r="J207" i="15"/>
  <c r="J213" i="15"/>
  <c r="X216" i="15"/>
  <c r="Z216" i="15" s="1"/>
  <c r="J221" i="15"/>
  <c r="J229" i="15"/>
  <c r="J237" i="15"/>
  <c r="J245" i="15"/>
  <c r="J251" i="15"/>
  <c r="J257" i="15"/>
  <c r="J261" i="15"/>
  <c r="J265" i="15"/>
  <c r="J273" i="15"/>
  <c r="X284" i="15"/>
  <c r="Z284" i="15" s="1"/>
  <c r="L286" i="15"/>
  <c r="L290" i="15"/>
  <c r="N290" i="15" s="1"/>
  <c r="X294" i="15"/>
  <c r="Z294" i="15" s="1"/>
  <c r="N295" i="15"/>
  <c r="J297" i="15"/>
  <c r="L300" i="15"/>
  <c r="X302" i="15"/>
  <c r="Z302" i="15" s="1"/>
  <c r="R15" i="16"/>
  <c r="P18" i="16"/>
  <c r="R25" i="16"/>
  <c r="J27" i="16"/>
  <c r="R29" i="16"/>
  <c r="J31" i="16"/>
  <c r="R33" i="16"/>
  <c r="J34" i="16"/>
  <c r="R36" i="16"/>
  <c r="Z12" i="17"/>
  <c r="F16" i="17"/>
  <c r="V16" i="17"/>
  <c r="F20" i="17"/>
  <c r="V20" i="17"/>
  <c r="R22" i="17"/>
  <c r="J24" i="17"/>
  <c r="X34" i="17"/>
  <c r="Z12" i="18"/>
  <c r="X13" i="18"/>
  <c r="N77" i="18"/>
  <c r="N81" i="18"/>
  <c r="X98" i="18"/>
  <c r="L102" i="18"/>
  <c r="X106" i="18"/>
  <c r="Z106" i="18" s="1"/>
  <c r="L110" i="18"/>
  <c r="V183" i="18"/>
  <c r="N215" i="18"/>
  <c r="V219" i="18"/>
  <c r="V259" i="18"/>
  <c r="L298" i="18"/>
  <c r="V299" i="18"/>
  <c r="V303" i="18"/>
  <c r="N24" i="19"/>
  <c r="P12" i="21"/>
  <c r="X13" i="21"/>
  <c r="Z14" i="21"/>
  <c r="Z21" i="21"/>
  <c r="J50" i="21"/>
  <c r="X51" i="21"/>
  <c r="Z51" i="21" s="1"/>
  <c r="L53" i="21"/>
  <c r="V54" i="21"/>
  <c r="L24" i="23"/>
  <c r="H12" i="24"/>
  <c r="Z15" i="24"/>
  <c r="L17" i="24"/>
  <c r="N17" i="24" s="1"/>
  <c r="N18" i="24"/>
  <c r="X31" i="24"/>
  <c r="Z31" i="24" s="1"/>
  <c r="P18" i="10"/>
  <c r="R25" i="10"/>
  <c r="J27" i="10"/>
  <c r="R29" i="10"/>
  <c r="J31" i="10"/>
  <c r="R33" i="10"/>
  <c r="J34" i="10"/>
  <c r="R36" i="10"/>
  <c r="V16" i="11"/>
  <c r="V20" i="11"/>
  <c r="R22" i="11"/>
  <c r="X13" i="12"/>
  <c r="L17" i="12"/>
  <c r="X21" i="12"/>
  <c r="Z21" i="12" s="1"/>
  <c r="L25" i="12"/>
  <c r="X29" i="12"/>
  <c r="Z29" i="12" s="1"/>
  <c r="L33" i="12"/>
  <c r="X37" i="12"/>
  <c r="Z37" i="12" s="1"/>
  <c r="L41" i="12"/>
  <c r="X45" i="12"/>
  <c r="Z45" i="12" s="1"/>
  <c r="L49" i="12"/>
  <c r="N49" i="12" s="1"/>
  <c r="X53" i="12"/>
  <c r="Z53" i="12" s="1"/>
  <c r="L57" i="12"/>
  <c r="N57" i="12" s="1"/>
  <c r="X61" i="12"/>
  <c r="Z61" i="12" s="1"/>
  <c r="L65" i="12"/>
  <c r="X69" i="12"/>
  <c r="Z69" i="12" s="1"/>
  <c r="L73" i="12"/>
  <c r="X77" i="12"/>
  <c r="Z77" i="12" s="1"/>
  <c r="L81" i="12"/>
  <c r="X85" i="12"/>
  <c r="Z85" i="12" s="1"/>
  <c r="L89" i="12"/>
  <c r="N89" i="12" s="1"/>
  <c r="X93" i="12"/>
  <c r="Z93" i="12" s="1"/>
  <c r="L97" i="12"/>
  <c r="N97" i="12" s="1"/>
  <c r="X101" i="12"/>
  <c r="Z101" i="12" s="1"/>
  <c r="L105" i="12"/>
  <c r="N105" i="12" s="1"/>
  <c r="X109" i="12"/>
  <c r="Z109" i="12" s="1"/>
  <c r="L113" i="12"/>
  <c r="N113" i="12" s="1"/>
  <c r="R125" i="12"/>
  <c r="R133" i="12"/>
  <c r="R141" i="12"/>
  <c r="R149" i="12"/>
  <c r="R157" i="12"/>
  <c r="R165" i="12"/>
  <c r="R172" i="12"/>
  <c r="R181" i="12"/>
  <c r="R186" i="12"/>
  <c r="R193" i="12"/>
  <c r="R209" i="12"/>
  <c r="R214" i="12"/>
  <c r="R229" i="12"/>
  <c r="R237" i="12"/>
  <c r="R245" i="12"/>
  <c r="R253" i="12"/>
  <c r="R258" i="12"/>
  <c r="R261" i="12"/>
  <c r="R265" i="12"/>
  <c r="R269" i="12"/>
  <c r="R273" i="12"/>
  <c r="R281" i="12"/>
  <c r="R289" i="12"/>
  <c r="R304" i="12"/>
  <c r="R315" i="12"/>
  <c r="F25" i="13"/>
  <c r="F29" i="13"/>
  <c r="F33" i="13"/>
  <c r="F36" i="13"/>
  <c r="J16" i="14"/>
  <c r="J20" i="14"/>
  <c r="V22" i="14"/>
  <c r="J122" i="15"/>
  <c r="J130" i="15"/>
  <c r="J138" i="15"/>
  <c r="J146" i="15"/>
  <c r="J154" i="15"/>
  <c r="J162" i="15"/>
  <c r="J178" i="15"/>
  <c r="J182" i="15"/>
  <c r="J198" i="15"/>
  <c r="J202" i="15"/>
  <c r="J210" i="15"/>
  <c r="J216" i="15"/>
  <c r="J222" i="15"/>
  <c r="J230" i="15"/>
  <c r="J238" i="15"/>
  <c r="J246" i="15"/>
  <c r="J254" i="15"/>
  <c r="J258" i="15"/>
  <c r="J262" i="15"/>
  <c r="J266" i="15"/>
  <c r="J270" i="15"/>
  <c r="J274" i="15"/>
  <c r="J284" i="15"/>
  <c r="D293" i="15"/>
  <c r="L293" i="15" s="1"/>
  <c r="N293" i="15" s="1"/>
  <c r="T293" i="15"/>
  <c r="J294" i="15"/>
  <c r="J302" i="15"/>
  <c r="J16" i="16"/>
  <c r="J20" i="16"/>
  <c r="V22" i="16"/>
  <c r="R15" i="17"/>
  <c r="P18" i="17"/>
  <c r="R25" i="17"/>
  <c r="J27" i="17"/>
  <c r="R29" i="17"/>
  <c r="J31" i="17"/>
  <c r="R33" i="17"/>
  <c r="J34" i="17"/>
  <c r="R36" i="17"/>
  <c r="D12" i="18"/>
  <c r="X82" i="18"/>
  <c r="Z98" i="18"/>
  <c r="X114" i="18"/>
  <c r="Z114" i="18" s="1"/>
  <c r="L118" i="18"/>
  <c r="V175" i="18"/>
  <c r="V191" i="18"/>
  <c r="V195" i="18"/>
  <c r="N298" i="18"/>
  <c r="V315" i="18"/>
  <c r="X20" i="19"/>
  <c r="Z13" i="21"/>
  <c r="Z20" i="21"/>
  <c r="X20" i="21"/>
  <c r="N53" i="21"/>
  <c r="J56" i="21"/>
  <c r="V70" i="21"/>
  <c r="J72" i="21"/>
  <c r="J102" i="21"/>
  <c r="P12" i="24"/>
  <c r="X14" i="24"/>
  <c r="Z14" i="24" s="1"/>
  <c r="X36" i="24"/>
  <c r="Z36" i="24" s="1"/>
  <c r="J16" i="10"/>
  <c r="R18" i="10"/>
  <c r="J20" i="10"/>
  <c r="F22" i="10"/>
  <c r="V22" i="10"/>
  <c r="R15" i="11"/>
  <c r="P18" i="11"/>
  <c r="R25" i="11"/>
  <c r="J27" i="11"/>
  <c r="R29" i="11"/>
  <c r="J31" i="11"/>
  <c r="R33" i="11"/>
  <c r="J34" i="11"/>
  <c r="R36" i="11"/>
  <c r="R118" i="12"/>
  <c r="R126" i="12"/>
  <c r="R134" i="12"/>
  <c r="R142" i="12"/>
  <c r="R150" i="12"/>
  <c r="R158" i="12"/>
  <c r="R166" i="12"/>
  <c r="R175" i="12"/>
  <c r="R182" i="12"/>
  <c r="R199" i="12"/>
  <c r="R202" i="12"/>
  <c r="R206" i="12"/>
  <c r="R218" i="12"/>
  <c r="R223" i="12"/>
  <c r="R230" i="12"/>
  <c r="R238" i="12"/>
  <c r="R246" i="12"/>
  <c r="R254" i="12"/>
  <c r="R266" i="12"/>
  <c r="R270" i="12"/>
  <c r="R274" i="12"/>
  <c r="R278" i="12"/>
  <c r="R282" i="12"/>
  <c r="R295" i="12"/>
  <c r="R299" i="12"/>
  <c r="H302" i="12"/>
  <c r="J302" i="12" s="1"/>
  <c r="R309" i="12"/>
  <c r="L13" i="13"/>
  <c r="F18" i="13"/>
  <c r="R24" i="13"/>
  <c r="L12" i="14"/>
  <c r="V15" i="14"/>
  <c r="D18" i="14"/>
  <c r="T18" i="14"/>
  <c r="V25" i="14"/>
  <c r="V29" i="14"/>
  <c r="V33" i="14"/>
  <c r="V36" i="14"/>
  <c r="X16" i="15"/>
  <c r="Z16" i="15" s="1"/>
  <c r="L20" i="15"/>
  <c r="N20" i="15" s="1"/>
  <c r="X24" i="15"/>
  <c r="Z24" i="15" s="1"/>
  <c r="L28" i="15"/>
  <c r="X32" i="15"/>
  <c r="Z32" i="15" s="1"/>
  <c r="L36" i="15"/>
  <c r="N36" i="15" s="1"/>
  <c r="X40" i="15"/>
  <c r="L44" i="15"/>
  <c r="X48" i="15"/>
  <c r="Z48" i="15" s="1"/>
  <c r="L52" i="15"/>
  <c r="N52" i="15" s="1"/>
  <c r="X56" i="15"/>
  <c r="Z56" i="15" s="1"/>
  <c r="L60" i="15"/>
  <c r="N60" i="15" s="1"/>
  <c r="X64" i="15"/>
  <c r="Z64" i="15" s="1"/>
  <c r="L68" i="15"/>
  <c r="N68" i="15" s="1"/>
  <c r="X72" i="15"/>
  <c r="Z72" i="15" s="1"/>
  <c r="L76" i="15"/>
  <c r="X80" i="15"/>
  <c r="Z80" i="15" s="1"/>
  <c r="L84" i="15"/>
  <c r="X88" i="15"/>
  <c r="Z88" i="15" s="1"/>
  <c r="L92" i="15"/>
  <c r="N92" i="15" s="1"/>
  <c r="X96" i="15"/>
  <c r="Z96" i="15" s="1"/>
  <c r="L100" i="15"/>
  <c r="X104" i="15"/>
  <c r="Z104" i="15" s="1"/>
  <c r="L108" i="15"/>
  <c r="N108" i="15" s="1"/>
  <c r="X112" i="15"/>
  <c r="Z112" i="15" s="1"/>
  <c r="J115" i="15"/>
  <c r="J123" i="15"/>
  <c r="J131" i="15"/>
  <c r="J139" i="15"/>
  <c r="J147" i="15"/>
  <c r="J155" i="15"/>
  <c r="J163" i="15"/>
  <c r="J169" i="15"/>
  <c r="J171" i="15"/>
  <c r="J179" i="15"/>
  <c r="J183" i="15"/>
  <c r="J189" i="15"/>
  <c r="J195" i="15"/>
  <c r="J199" i="15"/>
  <c r="J205" i="15"/>
  <c r="J211" i="15"/>
  <c r="J223" i="15"/>
  <c r="J231" i="15"/>
  <c r="J239" i="15"/>
  <c r="J247" i="15"/>
  <c r="J259" i="15"/>
  <c r="J263" i="15"/>
  <c r="J267" i="15"/>
  <c r="J271" i="15"/>
  <c r="J275" i="15"/>
  <c r="J281" i="15"/>
  <c r="J287" i="15"/>
  <c r="J291" i="15"/>
  <c r="J299" i="15"/>
  <c r="V15" i="16"/>
  <c r="T18" i="16"/>
  <c r="V25" i="16"/>
  <c r="V29" i="16"/>
  <c r="V33" i="16"/>
  <c r="V36" i="16"/>
  <c r="J16" i="17"/>
  <c r="R18" i="17"/>
  <c r="J20" i="17"/>
  <c r="F22" i="17"/>
  <c r="V22" i="17"/>
  <c r="Z81" i="18"/>
  <c r="Z82" i="18"/>
  <c r="X96" i="18"/>
  <c r="Z96" i="18" s="1"/>
  <c r="X97" i="18"/>
  <c r="Z97" i="18" s="1"/>
  <c r="X105" i="18"/>
  <c r="Z105" i="18" s="1"/>
  <c r="V167" i="18"/>
  <c r="V231" i="18"/>
  <c r="V267" i="18"/>
  <c r="V283" i="18"/>
  <c r="Z13" i="19"/>
  <c r="X13" i="19"/>
  <c r="V97" i="21"/>
  <c r="V89" i="21"/>
  <c r="V81" i="21"/>
  <c r="V77" i="21"/>
  <c r="V73" i="21"/>
  <c r="V65" i="21"/>
  <c r="V57" i="21"/>
  <c r="V53" i="21"/>
  <c r="V45" i="21"/>
  <c r="V33" i="21"/>
  <c r="V25" i="21"/>
  <c r="V100" i="21"/>
  <c r="V88" i="21"/>
  <c r="V84" i="21"/>
  <c r="V80" i="21"/>
  <c r="V76" i="21"/>
  <c r="V72" i="21"/>
  <c r="V64" i="21"/>
  <c r="V56" i="21"/>
  <c r="V48" i="21"/>
  <c r="V44" i="21"/>
  <c r="V32" i="21"/>
  <c r="V24" i="21"/>
  <c r="V99" i="21"/>
  <c r="V87" i="21"/>
  <c r="V83" i="21"/>
  <c r="V79" i="21"/>
  <c r="V67" i="21"/>
  <c r="V59" i="21"/>
  <c r="V47" i="21"/>
  <c r="V43" i="21"/>
  <c r="V39" i="21"/>
  <c r="V31" i="21"/>
  <c r="V108" i="21"/>
  <c r="V102" i="21"/>
  <c r="V94" i="21"/>
  <c r="V86" i="21"/>
  <c r="V78" i="21"/>
  <c r="V66" i="21"/>
  <c r="V58" i="21"/>
  <c r="V50" i="21"/>
  <c r="V42" i="21"/>
  <c r="V38" i="21"/>
  <c r="V101" i="21"/>
  <c r="V93" i="21"/>
  <c r="V85" i="21"/>
  <c r="V69" i="21"/>
  <c r="V61" i="21"/>
  <c r="V49" i="21"/>
  <c r="V41" i="21"/>
  <c r="V37" i="21"/>
  <c r="T28" i="21"/>
  <c r="V96" i="21"/>
  <c r="V92" i="21"/>
  <c r="V68" i="21"/>
  <c r="V60" i="21"/>
  <c r="V52" i="21"/>
  <c r="V40" i="21"/>
  <c r="V36" i="21"/>
  <c r="V95" i="21"/>
  <c r="V91" i="21"/>
  <c r="V75" i="21"/>
  <c r="V71" i="21"/>
  <c r="V63" i="21"/>
  <c r="V55" i="21"/>
  <c r="V51" i="21"/>
  <c r="V35" i="21"/>
  <c r="N16" i="21"/>
  <c r="L16" i="21"/>
  <c r="J24" i="21"/>
  <c r="V34" i="21"/>
  <c r="J38" i="21"/>
  <c r="V46" i="21"/>
  <c r="Z85" i="21"/>
  <c r="V104" i="21"/>
  <c r="X13" i="23"/>
  <c r="D12" i="24"/>
  <c r="L12" i="10"/>
  <c r="F15" i="10"/>
  <c r="V15" i="10"/>
  <c r="D18" i="10"/>
  <c r="T18" i="10"/>
  <c r="R21" i="10"/>
  <c r="F25" i="10"/>
  <c r="V25" i="10"/>
  <c r="F29" i="10"/>
  <c r="V29" i="10"/>
  <c r="F33" i="10"/>
  <c r="V33" i="10"/>
  <c r="F36" i="10"/>
  <c r="V36" i="10"/>
  <c r="J16" i="11"/>
  <c r="R18" i="11"/>
  <c r="J20" i="11"/>
  <c r="F22" i="11"/>
  <c r="V22" i="11"/>
  <c r="R119" i="12"/>
  <c r="R127" i="12"/>
  <c r="R135" i="12"/>
  <c r="R143" i="12"/>
  <c r="R151" i="12"/>
  <c r="R159" i="12"/>
  <c r="R167" i="12"/>
  <c r="R183" i="12"/>
  <c r="R187" i="12"/>
  <c r="R196" i="12"/>
  <c r="R203" i="12"/>
  <c r="R207" i="12"/>
  <c r="R212" i="12"/>
  <c r="R215" i="12"/>
  <c r="R231" i="12"/>
  <c r="R239" i="12"/>
  <c r="R247" i="12"/>
  <c r="R255" i="12"/>
  <c r="R259" i="12"/>
  <c r="R275" i="12"/>
  <c r="R279" i="12"/>
  <c r="R283" i="12"/>
  <c r="R306" i="12"/>
  <c r="F21" i="13"/>
  <c r="J25" i="13"/>
  <c r="R27" i="13"/>
  <c r="J29" i="13"/>
  <c r="R31" i="13"/>
  <c r="J33" i="13"/>
  <c r="R34" i="13"/>
  <c r="J36" i="13"/>
  <c r="N12" i="14"/>
  <c r="V18" i="14"/>
  <c r="J22" i="14"/>
  <c r="J116" i="15"/>
  <c r="J124" i="15"/>
  <c r="J132" i="15"/>
  <c r="J140" i="15"/>
  <c r="J148" i="15"/>
  <c r="J156" i="15"/>
  <c r="J164" i="15"/>
  <c r="J172" i="15"/>
  <c r="J180" i="15"/>
  <c r="J184" i="15"/>
  <c r="J192" i="15"/>
  <c r="J208" i="15"/>
  <c r="J214" i="15"/>
  <c r="J224" i="15"/>
  <c r="J232" i="15"/>
  <c r="J240" i="15"/>
  <c r="J248" i="15"/>
  <c r="J252" i="15"/>
  <c r="J268" i="15"/>
  <c r="J276" i="15"/>
  <c r="J288" i="15"/>
  <c r="J296" i="15"/>
  <c r="L13" i="16"/>
  <c r="V18" i="16"/>
  <c r="J22" i="16"/>
  <c r="L12" i="17"/>
  <c r="F15" i="17"/>
  <c r="V15" i="17"/>
  <c r="D18" i="17"/>
  <c r="T18" i="17"/>
  <c r="R21" i="17"/>
  <c r="F25" i="17"/>
  <c r="V25" i="17"/>
  <c r="F29" i="17"/>
  <c r="V29" i="17"/>
  <c r="F33" i="17"/>
  <c r="V33" i="17"/>
  <c r="F36" i="17"/>
  <c r="V36" i="17"/>
  <c r="X16" i="18"/>
  <c r="Z16" i="18" s="1"/>
  <c r="L20" i="18"/>
  <c r="N20" i="18" s="1"/>
  <c r="X24" i="18"/>
  <c r="Z24" i="18" s="1"/>
  <c r="L44" i="18"/>
  <c r="X48" i="18"/>
  <c r="Z48" i="18" s="1"/>
  <c r="L52" i="18"/>
  <c r="N52" i="18" s="1"/>
  <c r="X56" i="18"/>
  <c r="Z56" i="18" s="1"/>
  <c r="L60" i="18"/>
  <c r="N60" i="18" s="1"/>
  <c r="X64" i="18"/>
  <c r="Z64" i="18" s="1"/>
  <c r="N86" i="18"/>
  <c r="N101" i="18"/>
  <c r="X104" i="18"/>
  <c r="Z104" i="18" s="1"/>
  <c r="X113" i="18"/>
  <c r="Z113" i="18" s="1"/>
  <c r="Z130" i="18"/>
  <c r="V159" i="18"/>
  <c r="V215" i="18"/>
  <c r="Z222" i="18"/>
  <c r="Z240" i="18"/>
  <c r="N242" i="18"/>
  <c r="V243" i="18"/>
  <c r="Z280" i="18"/>
  <c r="N282" i="18"/>
  <c r="V295" i="18"/>
  <c r="V90" i="21"/>
  <c r="X13" i="24"/>
  <c r="N16" i="24"/>
  <c r="Z23" i="24"/>
  <c r="Z33" i="24"/>
  <c r="X33" i="24"/>
  <c r="N12" i="10"/>
  <c r="F18" i="10"/>
  <c r="V18" i="10"/>
  <c r="J22" i="10"/>
  <c r="R24" i="10"/>
  <c r="L12" i="11"/>
  <c r="F15" i="11"/>
  <c r="V15" i="11"/>
  <c r="D18" i="11"/>
  <c r="T18" i="11"/>
  <c r="R21" i="11"/>
  <c r="F25" i="11"/>
  <c r="V25" i="11"/>
  <c r="F29" i="11"/>
  <c r="V29" i="11"/>
  <c r="F33" i="11"/>
  <c r="V33" i="11"/>
  <c r="F36" i="11"/>
  <c r="V36" i="11"/>
  <c r="R120" i="12"/>
  <c r="R128" i="12"/>
  <c r="R136" i="12"/>
  <c r="R144" i="12"/>
  <c r="R152" i="12"/>
  <c r="R160" i="12"/>
  <c r="R168" i="12"/>
  <c r="R176" i="12"/>
  <c r="R184" i="12"/>
  <c r="R188" i="12"/>
  <c r="R200" i="12"/>
  <c r="R204" i="12"/>
  <c r="R216" i="12"/>
  <c r="R221" i="12"/>
  <c r="R224" i="12"/>
  <c r="R232" i="12"/>
  <c r="R240" i="12"/>
  <c r="R248" i="12"/>
  <c r="R256" i="12"/>
  <c r="R276" i="12"/>
  <c r="R284" i="12"/>
  <c r="R293" i="12"/>
  <c r="R296" i="12"/>
  <c r="R300" i="12"/>
  <c r="R303" i="12"/>
  <c r="R311" i="12"/>
  <c r="R16" i="13"/>
  <c r="Z18" i="13"/>
  <c r="F24" i="13"/>
  <c r="D27" i="13"/>
  <c r="J15" i="14"/>
  <c r="H18" i="14"/>
  <c r="V21" i="14"/>
  <c r="J25" i="14"/>
  <c r="R27" i="14"/>
  <c r="J29" i="14"/>
  <c r="R31" i="14"/>
  <c r="J33" i="14"/>
  <c r="J36" i="14"/>
  <c r="J117" i="15"/>
  <c r="J125" i="15"/>
  <c r="J133" i="15"/>
  <c r="J141" i="15"/>
  <c r="J149" i="15"/>
  <c r="J157" i="15"/>
  <c r="J165" i="15"/>
  <c r="J173" i="15"/>
  <c r="J185" i="15"/>
  <c r="J193" i="15"/>
  <c r="J203" i="15"/>
  <c r="J217" i="15"/>
  <c r="J225" i="15"/>
  <c r="J233" i="15"/>
  <c r="J241" i="15"/>
  <c r="J249" i="15"/>
  <c r="J255" i="15"/>
  <c r="J277" i="15"/>
  <c r="J285" i="15"/>
  <c r="J289" i="15"/>
  <c r="J293" i="15"/>
  <c r="J301" i="15"/>
  <c r="J15" i="16"/>
  <c r="H18" i="16"/>
  <c r="V21" i="16"/>
  <c r="J25" i="16"/>
  <c r="R27" i="16"/>
  <c r="J29" i="16"/>
  <c r="R31" i="16"/>
  <c r="J33" i="16"/>
  <c r="J36" i="16"/>
  <c r="N12" i="17"/>
  <c r="F18" i="17"/>
  <c r="V18" i="17"/>
  <c r="J22" i="17"/>
  <c r="R24" i="17"/>
  <c r="Z77" i="18"/>
  <c r="N117" i="18"/>
  <c r="Z121" i="18"/>
  <c r="Z122" i="18"/>
  <c r="X129" i="18"/>
  <c r="Z129" i="18" s="1"/>
  <c r="V143" i="18"/>
  <c r="V151" i="18"/>
  <c r="V275" i="18"/>
  <c r="V291" i="18"/>
  <c r="N319" i="18"/>
  <c r="Z323" i="18"/>
  <c r="X334" i="18"/>
  <c r="V21" i="20"/>
  <c r="V18" i="20"/>
  <c r="V36" i="20"/>
  <c r="V33" i="20"/>
  <c r="V29" i="20"/>
  <c r="V25" i="20"/>
  <c r="T18" i="20"/>
  <c r="V15" i="20"/>
  <c r="V22" i="20"/>
  <c r="V20" i="20"/>
  <c r="V16" i="20"/>
  <c r="Z12" i="20"/>
  <c r="V34" i="20"/>
  <c r="V31" i="20"/>
  <c r="V27" i="20"/>
  <c r="X12" i="20"/>
  <c r="V24" i="20"/>
  <c r="D12" i="21"/>
  <c r="N30" i="21"/>
  <c r="J42" i="21"/>
  <c r="J86" i="21"/>
  <c r="J94" i="21"/>
  <c r="X95" i="21"/>
  <c r="L97" i="21"/>
  <c r="V98" i="21"/>
  <c r="T12" i="24"/>
  <c r="Z13" i="24"/>
  <c r="J15" i="10"/>
  <c r="H18" i="10"/>
  <c r="J25" i="10"/>
  <c r="R27" i="10"/>
  <c r="J29" i="10"/>
  <c r="R31" i="10"/>
  <c r="J33" i="10"/>
  <c r="R121" i="12"/>
  <c r="R129" i="12"/>
  <c r="R137" i="12"/>
  <c r="R145" i="12"/>
  <c r="R153" i="12"/>
  <c r="R161" i="12"/>
  <c r="R169" i="12"/>
  <c r="R174" i="12"/>
  <c r="R177" i="12"/>
  <c r="R185" i="12"/>
  <c r="R189" i="12"/>
  <c r="R194" i="12"/>
  <c r="R197" i="12"/>
  <c r="R210" i="12"/>
  <c r="R213" i="12"/>
  <c r="R225" i="12"/>
  <c r="R233" i="12"/>
  <c r="R241" i="12"/>
  <c r="R249" i="12"/>
  <c r="R257" i="12"/>
  <c r="R262" i="12"/>
  <c r="R285" i="12"/>
  <c r="R290" i="12"/>
  <c r="R297" i="12"/>
  <c r="F27" i="13"/>
  <c r="F31" i="13"/>
  <c r="J118" i="15"/>
  <c r="J126" i="15"/>
  <c r="J134" i="15"/>
  <c r="J142" i="15"/>
  <c r="J150" i="15"/>
  <c r="J158" i="15"/>
  <c r="H167" i="15"/>
  <c r="J174" i="15"/>
  <c r="J186" i="15"/>
  <c r="J190" i="15"/>
  <c r="J196" i="15"/>
  <c r="J200" i="15"/>
  <c r="J206" i="15"/>
  <c r="J212" i="15"/>
  <c r="J218" i="15"/>
  <c r="J226" i="15"/>
  <c r="J234" i="15"/>
  <c r="J242" i="15"/>
  <c r="J250" i="15"/>
  <c r="J260" i="15"/>
  <c r="J264" i="15"/>
  <c r="J272" i="15"/>
  <c r="J278" i="15"/>
  <c r="J282" i="15"/>
  <c r="J298" i="15"/>
  <c r="J15" i="17"/>
  <c r="H18" i="17"/>
  <c r="J25" i="17"/>
  <c r="R27" i="17"/>
  <c r="J29" i="17"/>
  <c r="R31" i="17"/>
  <c r="J33" i="17"/>
  <c r="X90" i="18"/>
  <c r="Z90" i="18" s="1"/>
  <c r="L125" i="18"/>
  <c r="N125" i="18" s="1"/>
  <c r="V199" i="18"/>
  <c r="X326" i="18"/>
  <c r="Z326" i="18" s="1"/>
  <c r="V329" i="18"/>
  <c r="L332" i="18"/>
  <c r="Z334" i="18"/>
  <c r="H27" i="20"/>
  <c r="N18" i="20"/>
  <c r="J99" i="21"/>
  <c r="J93" i="21"/>
  <c r="J83" i="21"/>
  <c r="J69" i="21"/>
  <c r="J61" i="21"/>
  <c r="J47" i="21"/>
  <c r="J41" i="21"/>
  <c r="J37" i="21"/>
  <c r="J31" i="21"/>
  <c r="J96" i="21"/>
  <c r="J92" i="21"/>
  <c r="J78" i="21"/>
  <c r="J66" i="21"/>
  <c r="J58" i="21"/>
  <c r="J52" i="21"/>
  <c r="J36" i="21"/>
  <c r="J101" i="21"/>
  <c r="J91" i="21"/>
  <c r="J85" i="21"/>
  <c r="J75" i="21"/>
  <c r="J71" i="21"/>
  <c r="J63" i="21"/>
  <c r="J55" i="21"/>
  <c r="J49" i="21"/>
  <c r="J35" i="21"/>
  <c r="H28" i="21"/>
  <c r="J98" i="21"/>
  <c r="J90" i="21"/>
  <c r="J82" i="21"/>
  <c r="J74" i="21"/>
  <c r="J68" i="21"/>
  <c r="J60" i="21"/>
  <c r="J54" i="21"/>
  <c r="J46" i="21"/>
  <c r="J40" i="21"/>
  <c r="J34" i="21"/>
  <c r="J26" i="21"/>
  <c r="J95" i="21"/>
  <c r="J89" i="21"/>
  <c r="J81" i="21"/>
  <c r="J77" i="21"/>
  <c r="J73" i="21"/>
  <c r="J65" i="21"/>
  <c r="J57" i="21"/>
  <c r="J51" i="21"/>
  <c r="J45" i="21"/>
  <c r="J33" i="21"/>
  <c r="J25" i="21"/>
  <c r="J104" i="21"/>
  <c r="J100" i="21"/>
  <c r="J88" i="21"/>
  <c r="J84" i="21"/>
  <c r="J80" i="21"/>
  <c r="J70" i="21"/>
  <c r="J62" i="21"/>
  <c r="J48" i="21"/>
  <c r="J44" i="21"/>
  <c r="J32" i="21"/>
  <c r="J30" i="21"/>
  <c r="J97" i="21"/>
  <c r="J87" i="21"/>
  <c r="J79" i="21"/>
  <c r="J67" i="21"/>
  <c r="J59" i="21"/>
  <c r="J53" i="21"/>
  <c r="J43" i="21"/>
  <c r="J39" i="21"/>
  <c r="V62" i="21"/>
  <c r="V74" i="21"/>
  <c r="Z95" i="21"/>
  <c r="X20" i="23"/>
  <c r="Z22" i="24"/>
  <c r="L56" i="21"/>
  <c r="X62" i="21"/>
  <c r="Z62" i="21" s="1"/>
  <c r="L64" i="21"/>
  <c r="X70" i="21"/>
  <c r="Z70" i="21" s="1"/>
  <c r="L72" i="21"/>
  <c r="N72" i="21" s="1"/>
  <c r="L76" i="21"/>
  <c r="X104" i="21"/>
  <c r="X16" i="22"/>
  <c r="P18" i="22"/>
  <c r="X20" i="22"/>
  <c r="L24" i="22"/>
  <c r="R25" i="22"/>
  <c r="J27" i="22"/>
  <c r="R29" i="22"/>
  <c r="J31" i="22"/>
  <c r="R33" i="22"/>
  <c r="J34" i="22"/>
  <c r="R36" i="22"/>
  <c r="Z12" i="23"/>
  <c r="F16" i="23"/>
  <c r="V16" i="23"/>
  <c r="F20" i="23"/>
  <c r="V20" i="23"/>
  <c r="L21" i="23"/>
  <c r="R22" i="23"/>
  <c r="J24" i="23"/>
  <c r="X34" i="23"/>
  <c r="L38" i="24"/>
  <c r="Z41" i="24"/>
  <c r="Z50" i="24"/>
  <c r="N19" i="27"/>
  <c r="N35" i="27"/>
  <c r="N67" i="27"/>
  <c r="Z97" i="27"/>
  <c r="N99" i="27"/>
  <c r="Z129" i="27"/>
  <c r="N131" i="27"/>
  <c r="Z24" i="30"/>
  <c r="Z27" i="30"/>
  <c r="Z35" i="30"/>
  <c r="Z38" i="30"/>
  <c r="Z47" i="30"/>
  <c r="Z142" i="30"/>
  <c r="P322" i="18"/>
  <c r="X322" i="18" s="1"/>
  <c r="R15" i="19"/>
  <c r="P18" i="19"/>
  <c r="R25" i="19"/>
  <c r="J27" i="19"/>
  <c r="R29" i="19"/>
  <c r="J31" i="19"/>
  <c r="R33" i="19"/>
  <c r="J34" i="19"/>
  <c r="R36" i="19"/>
  <c r="F16" i="20"/>
  <c r="F20" i="20"/>
  <c r="R22" i="20"/>
  <c r="J24" i="20"/>
  <c r="J16" i="22"/>
  <c r="R18" i="22"/>
  <c r="J20" i="22"/>
  <c r="F22" i="22"/>
  <c r="V22" i="22"/>
  <c r="R15" i="23"/>
  <c r="P18" i="23"/>
  <c r="R25" i="23"/>
  <c r="J27" i="23"/>
  <c r="R29" i="23"/>
  <c r="J31" i="23"/>
  <c r="R33" i="23"/>
  <c r="J34" i="23"/>
  <c r="R36" i="23"/>
  <c r="N53" i="24"/>
  <c r="L53" i="24"/>
  <c r="V176" i="30"/>
  <c r="V170" i="30"/>
  <c r="V158" i="30"/>
  <c r="V173" i="30"/>
  <c r="V169" i="30"/>
  <c r="V182" i="30"/>
  <c r="V172" i="30"/>
  <c r="V164" i="30"/>
  <c r="V166" i="30"/>
  <c r="V162" i="30"/>
  <c r="V175" i="30"/>
  <c r="V165" i="30"/>
  <c r="V161" i="30"/>
  <c r="V171" i="30"/>
  <c r="V167" i="30"/>
  <c r="V159" i="30"/>
  <c r="V155" i="30"/>
  <c r="V151" i="30"/>
  <c r="V153" i="30"/>
  <c r="V152" i="30"/>
  <c r="V138" i="30"/>
  <c r="V130" i="30"/>
  <c r="V122" i="30"/>
  <c r="V110" i="30"/>
  <c r="V102" i="30"/>
  <c r="V98" i="30"/>
  <c r="T89" i="30"/>
  <c r="V82" i="30"/>
  <c r="V74" i="30"/>
  <c r="V66" i="30"/>
  <c r="V58" i="30"/>
  <c r="V163" i="30"/>
  <c r="V141" i="30"/>
  <c r="V137" i="30"/>
  <c r="V129" i="30"/>
  <c r="V125" i="30"/>
  <c r="V113" i="30"/>
  <c r="V101" i="30"/>
  <c r="V97" i="30"/>
  <c r="V81" i="30"/>
  <c r="V73" i="30"/>
  <c r="V65" i="30"/>
  <c r="V57" i="30"/>
  <c r="V160" i="30"/>
  <c r="V140" i="30"/>
  <c r="V136" i="30"/>
  <c r="V128" i="30"/>
  <c r="V124" i="30"/>
  <c r="V116" i="30"/>
  <c r="V112" i="30"/>
  <c r="V96" i="30"/>
  <c r="V80" i="30"/>
  <c r="V72" i="30"/>
  <c r="V64" i="30"/>
  <c r="V147" i="30"/>
  <c r="V143" i="30"/>
  <c r="V135" i="30"/>
  <c r="V127" i="30"/>
  <c r="V115" i="30"/>
  <c r="V107" i="30"/>
  <c r="V95" i="30"/>
  <c r="V91" i="30"/>
  <c r="V87" i="30"/>
  <c r="V79" i="30"/>
  <c r="V71" i="30"/>
  <c r="V63" i="30"/>
  <c r="V150" i="30"/>
  <c r="V146" i="30"/>
  <c r="V142" i="30"/>
  <c r="V134" i="30"/>
  <c r="V126" i="30"/>
  <c r="V118" i="30"/>
  <c r="V114" i="30"/>
  <c r="V106" i="30"/>
  <c r="V94" i="30"/>
  <c r="V86" i="30"/>
  <c r="V78" i="30"/>
  <c r="V70" i="30"/>
  <c r="V62" i="30"/>
  <c r="V156" i="30"/>
  <c r="V149" i="30"/>
  <c r="V145" i="30"/>
  <c r="V133" i="30"/>
  <c r="V121" i="30"/>
  <c r="V117" i="30"/>
  <c r="V109" i="30"/>
  <c r="V105" i="30"/>
  <c r="V93" i="30"/>
  <c r="V85" i="30"/>
  <c r="V77" i="30"/>
  <c r="V69" i="30"/>
  <c r="V61" i="30"/>
  <c r="V178" i="30"/>
  <c r="V177" i="30"/>
  <c r="V157" i="30"/>
  <c r="V148" i="30"/>
  <c r="V144" i="30"/>
  <c r="V132" i="30"/>
  <c r="V120" i="30"/>
  <c r="V108" i="30"/>
  <c r="V104" i="30"/>
  <c r="V100" i="30"/>
  <c r="V92" i="30"/>
  <c r="V84" i="30"/>
  <c r="V76" i="30"/>
  <c r="V68" i="30"/>
  <c r="V60" i="30"/>
  <c r="V168" i="30"/>
  <c r="V154" i="30"/>
  <c r="V139" i="30"/>
  <c r="V131" i="30"/>
  <c r="V123" i="30"/>
  <c r="V119" i="30"/>
  <c r="V111" i="30"/>
  <c r="V103" i="30"/>
  <c r="V99" i="30"/>
  <c r="V89" i="30"/>
  <c r="V83" i="30"/>
  <c r="V75" i="30"/>
  <c r="V67" i="30"/>
  <c r="V59" i="30"/>
  <c r="N20" i="30"/>
  <c r="N23" i="30"/>
  <c r="Z155" i="30"/>
  <c r="J16" i="19"/>
  <c r="R18" i="19"/>
  <c r="J20" i="19"/>
  <c r="F22" i="19"/>
  <c r="V22" i="19"/>
  <c r="R15" i="20"/>
  <c r="P18" i="20"/>
  <c r="R25" i="20"/>
  <c r="J27" i="20"/>
  <c r="R29" i="20"/>
  <c r="J31" i="20"/>
  <c r="R33" i="20"/>
  <c r="J34" i="20"/>
  <c r="R36" i="20"/>
  <c r="L12" i="22"/>
  <c r="F15" i="22"/>
  <c r="V15" i="22"/>
  <c r="D18" i="22"/>
  <c r="T18" i="22"/>
  <c r="R21" i="22"/>
  <c r="F25" i="22"/>
  <c r="V25" i="22"/>
  <c r="F29" i="22"/>
  <c r="V29" i="22"/>
  <c r="F33" i="22"/>
  <c r="V33" i="22"/>
  <c r="F36" i="22"/>
  <c r="V36" i="22"/>
  <c r="J16" i="23"/>
  <c r="R18" i="23"/>
  <c r="J20" i="23"/>
  <c r="F22" i="23"/>
  <c r="V22" i="23"/>
  <c r="L30" i="24"/>
  <c r="Z49" i="24"/>
  <c r="X49" i="24"/>
  <c r="Z23" i="27"/>
  <c r="Z40" i="30"/>
  <c r="N55" i="30"/>
  <c r="Z57" i="30"/>
  <c r="Z126" i="30"/>
  <c r="D322" i="18"/>
  <c r="L322" i="18" s="1"/>
  <c r="T322" i="18"/>
  <c r="L12" i="19"/>
  <c r="F15" i="19"/>
  <c r="V15" i="19"/>
  <c r="D18" i="19"/>
  <c r="T18" i="19"/>
  <c r="R21" i="19"/>
  <c r="F25" i="19"/>
  <c r="V25" i="19"/>
  <c r="F29" i="19"/>
  <c r="V29" i="19"/>
  <c r="F33" i="19"/>
  <c r="V33" i="19"/>
  <c r="F36" i="19"/>
  <c r="V36" i="19"/>
  <c r="J16" i="20"/>
  <c r="R18" i="20"/>
  <c r="F22" i="20"/>
  <c r="N12" i="22"/>
  <c r="F18" i="22"/>
  <c r="V18" i="22"/>
  <c r="J22" i="22"/>
  <c r="R24" i="22"/>
  <c r="L12" i="23"/>
  <c r="F15" i="23"/>
  <c r="V15" i="23"/>
  <c r="D18" i="23"/>
  <c r="T18" i="23"/>
  <c r="R21" i="23"/>
  <c r="F25" i="23"/>
  <c r="V25" i="23"/>
  <c r="F29" i="23"/>
  <c r="V29" i="23"/>
  <c r="F33" i="23"/>
  <c r="V33" i="23"/>
  <c r="F36" i="23"/>
  <c r="V36" i="23"/>
  <c r="N37" i="24"/>
  <c r="X56" i="24"/>
  <c r="Z26" i="30"/>
  <c r="N12" i="19"/>
  <c r="V18" i="19"/>
  <c r="R24" i="19"/>
  <c r="L12" i="20"/>
  <c r="F15" i="20"/>
  <c r="D18" i="20"/>
  <c r="R21" i="20"/>
  <c r="F25" i="20"/>
  <c r="F29" i="20"/>
  <c r="F33" i="20"/>
  <c r="J15" i="22"/>
  <c r="H18" i="22"/>
  <c r="F21" i="22"/>
  <c r="V21" i="22"/>
  <c r="J25" i="22"/>
  <c r="R27" i="22"/>
  <c r="J29" i="22"/>
  <c r="R31" i="22"/>
  <c r="J33" i="22"/>
  <c r="J36" i="22"/>
  <c r="N12" i="23"/>
  <c r="F18" i="23"/>
  <c r="V18" i="23"/>
  <c r="J22" i="23"/>
  <c r="R24" i="23"/>
  <c r="L33" i="24"/>
  <c r="N33" i="24" s="1"/>
  <c r="Z56" i="24"/>
  <c r="F135" i="27"/>
  <c r="F120" i="27"/>
  <c r="F116" i="27"/>
  <c r="F101" i="27"/>
  <c r="F92" i="27"/>
  <c r="F89" i="27"/>
  <c r="F81" i="27"/>
  <c r="F69" i="27"/>
  <c r="F61" i="27"/>
  <c r="F53" i="27"/>
  <c r="F129" i="27"/>
  <c r="F123" i="27"/>
  <c r="F112" i="27"/>
  <c r="F108" i="27"/>
  <c r="F100" i="27"/>
  <c r="F88" i="27"/>
  <c r="F80" i="27"/>
  <c r="F76" i="27"/>
  <c r="F68" i="27"/>
  <c r="F60" i="27"/>
  <c r="F52" i="27"/>
  <c r="L12" i="27"/>
  <c r="N12" i="27" s="1"/>
  <c r="F119" i="27"/>
  <c r="F115" i="27"/>
  <c r="F111" i="27"/>
  <c r="F107" i="27"/>
  <c r="F94" i="27"/>
  <c r="F91" i="27"/>
  <c r="F79" i="27"/>
  <c r="F75" i="27"/>
  <c r="F66" i="27"/>
  <c r="F59" i="27"/>
  <c r="F51" i="27"/>
  <c r="F125" i="27"/>
  <c r="F122" i="27"/>
  <c r="F118" i="27"/>
  <c r="F114" i="27"/>
  <c r="F110" i="27"/>
  <c r="F106" i="27"/>
  <c r="F97" i="27"/>
  <c r="F85" i="27"/>
  <c r="F78" i="27"/>
  <c r="F74" i="27"/>
  <c r="F58" i="27"/>
  <c r="F50" i="27"/>
  <c r="F45" i="27"/>
  <c r="F130" i="27"/>
  <c r="F121" i="27"/>
  <c r="F117" i="27"/>
  <c r="F105" i="27"/>
  <c r="F93" i="27"/>
  <c r="F73" i="27"/>
  <c r="F57" i="27"/>
  <c r="F49" i="27"/>
  <c r="F124" i="27"/>
  <c r="F104" i="27"/>
  <c r="F99" i="27"/>
  <c r="F96" i="27"/>
  <c r="F87" i="27"/>
  <c r="F84" i="27"/>
  <c r="F72" i="27"/>
  <c r="F67" i="27"/>
  <c r="F56" i="27"/>
  <c r="F48" i="27"/>
  <c r="F128" i="27"/>
  <c r="F103" i="27"/>
  <c r="F95" i="27"/>
  <c r="F90" i="27"/>
  <c r="F83" i="27"/>
  <c r="F71" i="27"/>
  <c r="F55" i="27"/>
  <c r="F47" i="27"/>
  <c r="F131" i="27"/>
  <c r="F126" i="27"/>
  <c r="F113" i="27"/>
  <c r="F109" i="27"/>
  <c r="F102" i="27"/>
  <c r="F98" i="27"/>
  <c r="F86" i="27"/>
  <c r="F82" i="27"/>
  <c r="F77" i="27"/>
  <c r="F70" i="27"/>
  <c r="D64" i="27"/>
  <c r="F64" i="27" s="1"/>
  <c r="F62" i="27"/>
  <c r="F54" i="27"/>
  <c r="F46" i="27"/>
  <c r="L128" i="27"/>
  <c r="Z16" i="30"/>
  <c r="N22" i="30"/>
  <c r="N92" i="30"/>
  <c r="V21" i="19"/>
  <c r="R27" i="19"/>
  <c r="R31" i="19"/>
  <c r="R34" i="19"/>
  <c r="R24" i="20"/>
  <c r="V24" i="22"/>
  <c r="R27" i="23"/>
  <c r="R31" i="23"/>
  <c r="R34" i="23"/>
  <c r="Z44" i="24"/>
  <c r="Z130" i="27"/>
  <c r="R178" i="30"/>
  <c r="R171" i="30"/>
  <c r="R159" i="30"/>
  <c r="R170" i="30"/>
  <c r="R176" i="30"/>
  <c r="R173" i="30"/>
  <c r="R158" i="30"/>
  <c r="R172" i="30"/>
  <c r="R163" i="30"/>
  <c r="R177" i="30"/>
  <c r="R166" i="30"/>
  <c r="R162" i="30"/>
  <c r="R175" i="30"/>
  <c r="R168" i="30"/>
  <c r="R165" i="30"/>
  <c r="R160" i="30"/>
  <c r="R156" i="30"/>
  <c r="R152" i="30"/>
  <c r="R154" i="30"/>
  <c r="R148" i="30"/>
  <c r="R144" i="30"/>
  <c r="R139" i="30"/>
  <c r="R131" i="30"/>
  <c r="R123" i="30"/>
  <c r="R111" i="30"/>
  <c r="R108" i="30"/>
  <c r="R103" i="30"/>
  <c r="R99" i="30"/>
  <c r="R92" i="30"/>
  <c r="R83" i="30"/>
  <c r="R75" i="30"/>
  <c r="R67" i="30"/>
  <c r="R59" i="30"/>
  <c r="R153" i="30"/>
  <c r="R151" i="30"/>
  <c r="R138" i="30"/>
  <c r="R130" i="30"/>
  <c r="R119" i="30"/>
  <c r="R102" i="30"/>
  <c r="R98" i="30"/>
  <c r="R89" i="30"/>
  <c r="R82" i="30"/>
  <c r="R74" i="30"/>
  <c r="R66" i="30"/>
  <c r="R58" i="30"/>
  <c r="R164" i="30"/>
  <c r="R141" i="30"/>
  <c r="R137" i="30"/>
  <c r="R129" i="30"/>
  <c r="R125" i="30"/>
  <c r="R122" i="30"/>
  <c r="R113" i="30"/>
  <c r="R110" i="30"/>
  <c r="R97" i="30"/>
  <c r="P89" i="30"/>
  <c r="R81" i="30"/>
  <c r="R73" i="30"/>
  <c r="R65" i="30"/>
  <c r="R161" i="30"/>
  <c r="R136" i="30"/>
  <c r="R128" i="30"/>
  <c r="R116" i="30"/>
  <c r="R101" i="30"/>
  <c r="R96" i="30"/>
  <c r="R80" i="30"/>
  <c r="R72" i="30"/>
  <c r="R64" i="30"/>
  <c r="R57" i="30"/>
  <c r="R147" i="30"/>
  <c r="R143" i="30"/>
  <c r="R140" i="30"/>
  <c r="R135" i="30"/>
  <c r="R127" i="30"/>
  <c r="R124" i="30"/>
  <c r="R115" i="30"/>
  <c r="R112" i="30"/>
  <c r="R107" i="30"/>
  <c r="R95" i="30"/>
  <c r="R87" i="30"/>
  <c r="R79" i="30"/>
  <c r="R71" i="30"/>
  <c r="R63" i="30"/>
  <c r="R155" i="30"/>
  <c r="R150" i="30"/>
  <c r="R146" i="30"/>
  <c r="R134" i="30"/>
  <c r="R118" i="30"/>
  <c r="R106" i="30"/>
  <c r="R94" i="30"/>
  <c r="R91" i="30"/>
  <c r="R86" i="30"/>
  <c r="R78" i="30"/>
  <c r="R70" i="30"/>
  <c r="R62" i="30"/>
  <c r="R167" i="30"/>
  <c r="R149" i="30"/>
  <c r="R145" i="30"/>
  <c r="R142" i="30"/>
  <c r="R133" i="30"/>
  <c r="R126" i="30"/>
  <c r="R121" i="30"/>
  <c r="R114" i="30"/>
  <c r="R109" i="30"/>
  <c r="R105" i="30"/>
  <c r="R93" i="30"/>
  <c r="R85" i="30"/>
  <c r="R77" i="30"/>
  <c r="R69" i="30"/>
  <c r="R61" i="30"/>
  <c r="R182" i="30"/>
  <c r="R169" i="30"/>
  <c r="R157" i="30"/>
  <c r="R132" i="30"/>
  <c r="R120" i="30"/>
  <c r="R117" i="30"/>
  <c r="R104" i="30"/>
  <c r="R100" i="30"/>
  <c r="R84" i="30"/>
  <c r="R76" i="30"/>
  <c r="R68" i="30"/>
  <c r="R60" i="30"/>
  <c r="X12" i="30"/>
  <c r="Z12" i="30" s="1"/>
  <c r="R16" i="19"/>
  <c r="R27" i="20"/>
  <c r="R31" i="20"/>
  <c r="X12" i="22"/>
  <c r="F27" i="22"/>
  <c r="V27" i="22"/>
  <c r="F31" i="22"/>
  <c r="V31" i="22"/>
  <c r="R16" i="23"/>
  <c r="Z37" i="24"/>
  <c r="X42" i="24"/>
  <c r="Z42" i="24" s="1"/>
  <c r="Z96" i="24"/>
  <c r="Z104" i="24"/>
  <c r="Z152" i="24"/>
  <c r="Z45" i="27"/>
  <c r="N97" i="27"/>
  <c r="N38" i="30"/>
  <c r="N47" i="30"/>
  <c r="Z51" i="30"/>
  <c r="Z114" i="30"/>
  <c r="R16" i="25"/>
  <c r="J18" i="25"/>
  <c r="R20" i="25"/>
  <c r="F24" i="25"/>
  <c r="V24" i="25"/>
  <c r="J15" i="26"/>
  <c r="H18" i="26"/>
  <c r="F21" i="26"/>
  <c r="V21" i="26"/>
  <c r="J25" i="26"/>
  <c r="R27" i="26"/>
  <c r="J29" i="26"/>
  <c r="R31" i="26"/>
  <c r="J33" i="26"/>
  <c r="R34" i="26"/>
  <c r="J36" i="26"/>
  <c r="P12" i="27"/>
  <c r="N13" i="27"/>
  <c r="V49" i="27"/>
  <c r="V57" i="27"/>
  <c r="T64" i="27"/>
  <c r="V64" i="27" s="1"/>
  <c r="V73" i="27"/>
  <c r="V77" i="27"/>
  <c r="V93" i="27"/>
  <c r="V105" i="27"/>
  <c r="V109" i="27"/>
  <c r="V113" i="27"/>
  <c r="V117" i="27"/>
  <c r="V121" i="27"/>
  <c r="T128" i="27"/>
  <c r="V128" i="27" s="1"/>
  <c r="V131" i="27"/>
  <c r="Z12" i="28"/>
  <c r="F16" i="28"/>
  <c r="V16" i="28"/>
  <c r="F20" i="28"/>
  <c r="V20" i="28"/>
  <c r="R22" i="28"/>
  <c r="J24" i="28"/>
  <c r="X12" i="29"/>
  <c r="J21" i="29"/>
  <c r="F27" i="29"/>
  <c r="V27" i="29"/>
  <c r="F31" i="29"/>
  <c r="V31" i="29"/>
  <c r="F34" i="29"/>
  <c r="V34" i="29"/>
  <c r="X110" i="30"/>
  <c r="Z110" i="30" s="1"/>
  <c r="L112" i="30"/>
  <c r="N112" i="30" s="1"/>
  <c r="P12" i="33"/>
  <c r="X14" i="33"/>
  <c r="Z14" i="33" s="1"/>
  <c r="N72" i="33"/>
  <c r="V24" i="26"/>
  <c r="V50" i="27"/>
  <c r="V58" i="27"/>
  <c r="V74" i="27"/>
  <c r="V78" i="27"/>
  <c r="V90" i="27"/>
  <c r="V106" i="27"/>
  <c r="V110" i="27"/>
  <c r="V114" i="27"/>
  <c r="V118" i="27"/>
  <c r="V122" i="27"/>
  <c r="Z169" i="30"/>
  <c r="Z172" i="30"/>
  <c r="X172" i="30"/>
  <c r="X13" i="25"/>
  <c r="F20" i="25"/>
  <c r="R22" i="25"/>
  <c r="J24" i="25"/>
  <c r="X12" i="26"/>
  <c r="J21" i="26"/>
  <c r="F27" i="26"/>
  <c r="V27" i="26"/>
  <c r="F31" i="26"/>
  <c r="V31" i="26"/>
  <c r="F34" i="26"/>
  <c r="V34" i="26"/>
  <c r="L16" i="27"/>
  <c r="N16" i="27" s="1"/>
  <c r="X20" i="27"/>
  <c r="Z20" i="27" s="1"/>
  <c r="L24" i="27"/>
  <c r="N24" i="27" s="1"/>
  <c r="X28" i="27"/>
  <c r="Z28" i="27" s="1"/>
  <c r="L32" i="27"/>
  <c r="N32" i="27" s="1"/>
  <c r="X36" i="27"/>
  <c r="Z36" i="27" s="1"/>
  <c r="L40" i="27"/>
  <c r="V51" i="27"/>
  <c r="V59" i="27"/>
  <c r="V67" i="27"/>
  <c r="V75" i="27"/>
  <c r="V79" i="27"/>
  <c r="V87" i="27"/>
  <c r="V91" i="27"/>
  <c r="V99" i="27"/>
  <c r="V107" i="27"/>
  <c r="V111" i="27"/>
  <c r="V115" i="27"/>
  <c r="V119" i="27"/>
  <c r="H128" i="27"/>
  <c r="J128" i="27" s="1"/>
  <c r="J16" i="28"/>
  <c r="J20" i="28"/>
  <c r="F22" i="28"/>
  <c r="V22" i="28"/>
  <c r="P18" i="29"/>
  <c r="R25" i="29"/>
  <c r="J27" i="29"/>
  <c r="R29" i="29"/>
  <c r="J31" i="29"/>
  <c r="R33" i="29"/>
  <c r="J34" i="29"/>
  <c r="R36" i="29"/>
  <c r="D12" i="30"/>
  <c r="X14" i="30"/>
  <c r="Z14" i="30" s="1"/>
  <c r="L18" i="30"/>
  <c r="X22" i="30"/>
  <c r="Z22" i="30" s="1"/>
  <c r="L26" i="30"/>
  <c r="X30" i="30"/>
  <c r="L34" i="30"/>
  <c r="X38" i="30"/>
  <c r="L42" i="30"/>
  <c r="X46" i="30"/>
  <c r="Z46" i="30" s="1"/>
  <c r="L50" i="30"/>
  <c r="N50" i="30" s="1"/>
  <c r="H12" i="33"/>
  <c r="N17" i="33"/>
  <c r="L17" i="33"/>
  <c r="Z18" i="33"/>
  <c r="N21" i="33"/>
  <c r="N25" i="33"/>
  <c r="L25" i="33"/>
  <c r="Z26" i="33"/>
  <c r="N34" i="33"/>
  <c r="X84" i="33"/>
  <c r="L100" i="33"/>
  <c r="T98" i="33"/>
  <c r="Z102" i="33"/>
  <c r="D12" i="36"/>
  <c r="L13" i="36"/>
  <c r="L86" i="24"/>
  <c r="N86" i="24" s="1"/>
  <c r="L154" i="24"/>
  <c r="X158" i="24"/>
  <c r="Z158" i="24" s="1"/>
  <c r="R15" i="25"/>
  <c r="X16" i="25"/>
  <c r="P18" i="25"/>
  <c r="X20" i="25"/>
  <c r="R25" i="25"/>
  <c r="J27" i="25"/>
  <c r="R29" i="25"/>
  <c r="J31" i="25"/>
  <c r="R33" i="25"/>
  <c r="J34" i="25"/>
  <c r="R36" i="25"/>
  <c r="Z12" i="26"/>
  <c r="F16" i="26"/>
  <c r="V16" i="26"/>
  <c r="F20" i="26"/>
  <c r="V20" i="26"/>
  <c r="L21" i="26"/>
  <c r="R22" i="26"/>
  <c r="J24" i="26"/>
  <c r="X34" i="26"/>
  <c r="L17" i="27"/>
  <c r="V52" i="27"/>
  <c r="V60" i="27"/>
  <c r="X67" i="27"/>
  <c r="Z67" i="27" s="1"/>
  <c r="V68" i="27"/>
  <c r="V76" i="27"/>
  <c r="L77" i="27"/>
  <c r="N77" i="27" s="1"/>
  <c r="V80" i="27"/>
  <c r="X87" i="27"/>
  <c r="Z87" i="27" s="1"/>
  <c r="V88" i="27"/>
  <c r="X99" i="27"/>
  <c r="Z99" i="27" s="1"/>
  <c r="V100" i="27"/>
  <c r="V108" i="27"/>
  <c r="L109" i="27"/>
  <c r="N109" i="27" s="1"/>
  <c r="V112" i="27"/>
  <c r="L113" i="27"/>
  <c r="N113" i="27" s="1"/>
  <c r="V130" i="27"/>
  <c r="L131" i="27"/>
  <c r="L12" i="28"/>
  <c r="F15" i="28"/>
  <c r="L16" i="28"/>
  <c r="D18" i="28"/>
  <c r="L20" i="28"/>
  <c r="X22" i="28"/>
  <c r="F25" i="28"/>
  <c r="F29" i="28"/>
  <c r="F33" i="28"/>
  <c r="F36" i="28"/>
  <c r="V36" i="28"/>
  <c r="J16" i="29"/>
  <c r="J20" i="29"/>
  <c r="L34" i="29"/>
  <c r="H12" i="30"/>
  <c r="X15" i="30"/>
  <c r="Z15" i="30" s="1"/>
  <c r="N13" i="31"/>
  <c r="L13" i="31"/>
  <c r="T31" i="31"/>
  <c r="Z27" i="31"/>
  <c r="Z84" i="33"/>
  <c r="X109" i="24"/>
  <c r="Z109" i="24" s="1"/>
  <c r="L111" i="24"/>
  <c r="L135" i="24"/>
  <c r="N135" i="24" s="1"/>
  <c r="D157" i="24"/>
  <c r="L157" i="24" s="1"/>
  <c r="T157" i="24"/>
  <c r="J16" i="25"/>
  <c r="R18" i="25"/>
  <c r="J20" i="25"/>
  <c r="F22" i="25"/>
  <c r="V22" i="25"/>
  <c r="L34" i="25"/>
  <c r="X16" i="26"/>
  <c r="P18" i="26"/>
  <c r="X20" i="26"/>
  <c r="L24" i="26"/>
  <c r="R25" i="26"/>
  <c r="J27" i="26"/>
  <c r="R29" i="26"/>
  <c r="J31" i="26"/>
  <c r="R33" i="26"/>
  <c r="J34" i="26"/>
  <c r="R36" i="26"/>
  <c r="V45" i="27"/>
  <c r="V53" i="27"/>
  <c r="V61" i="27"/>
  <c r="V69" i="27"/>
  <c r="V81" i="27"/>
  <c r="V85" i="27"/>
  <c r="V89" i="27"/>
  <c r="V97" i="27"/>
  <c r="V101" i="27"/>
  <c r="V125" i="27"/>
  <c r="X130" i="27"/>
  <c r="V135" i="27"/>
  <c r="N12" i="28"/>
  <c r="F18" i="28"/>
  <c r="V18" i="28"/>
  <c r="J22" i="28"/>
  <c r="R24" i="28"/>
  <c r="P27" i="28"/>
  <c r="L12" i="29"/>
  <c r="F15" i="29"/>
  <c r="V15" i="29"/>
  <c r="D18" i="29"/>
  <c r="T18" i="29"/>
  <c r="R21" i="29"/>
  <c r="F25" i="29"/>
  <c r="V25" i="29"/>
  <c r="F29" i="29"/>
  <c r="V29" i="29"/>
  <c r="F33" i="29"/>
  <c r="V33" i="29"/>
  <c r="F36" i="29"/>
  <c r="V36" i="29"/>
  <c r="X165" i="30"/>
  <c r="Z165" i="30" s="1"/>
  <c r="Z13" i="33"/>
  <c r="X13" i="33"/>
  <c r="T12" i="33"/>
  <c r="Z17" i="33"/>
  <c r="X21" i="33"/>
  <c r="Z21" i="33" s="1"/>
  <c r="Z25" i="33"/>
  <c r="L70" i="33"/>
  <c r="P98" i="33"/>
  <c r="R21" i="34"/>
  <c r="R18" i="34"/>
  <c r="R33" i="34"/>
  <c r="R29" i="34"/>
  <c r="R25" i="34"/>
  <c r="P18" i="34"/>
  <c r="R15" i="34"/>
  <c r="R36" i="34"/>
  <c r="R22" i="34"/>
  <c r="X12" i="34"/>
  <c r="R20" i="34"/>
  <c r="R16" i="34"/>
  <c r="R24" i="34"/>
  <c r="R34" i="34"/>
  <c r="P27" i="35"/>
  <c r="X44" i="24"/>
  <c r="L48" i="24"/>
  <c r="X52" i="24"/>
  <c r="Z52" i="24" s="1"/>
  <c r="L12" i="25"/>
  <c r="F15" i="25"/>
  <c r="V15" i="25"/>
  <c r="D18" i="25"/>
  <c r="T18" i="25"/>
  <c r="R21" i="25"/>
  <c r="F25" i="25"/>
  <c r="V25" i="25"/>
  <c r="F29" i="25"/>
  <c r="V29" i="25"/>
  <c r="F33" i="25"/>
  <c r="V33" i="25"/>
  <c r="F36" i="25"/>
  <c r="V36" i="25"/>
  <c r="J16" i="26"/>
  <c r="R18" i="26"/>
  <c r="J20" i="26"/>
  <c r="F22" i="26"/>
  <c r="V22" i="26"/>
  <c r="V46" i="27"/>
  <c r="V54" i="27"/>
  <c r="V62" i="27"/>
  <c r="V66" i="27"/>
  <c r="V70" i="27"/>
  <c r="V82" i="27"/>
  <c r="V86" i="27"/>
  <c r="V94" i="27"/>
  <c r="V98" i="27"/>
  <c r="V102" i="27"/>
  <c r="V126" i="27"/>
  <c r="J15" i="28"/>
  <c r="H18" i="28"/>
  <c r="F21" i="28"/>
  <c r="V21" i="28"/>
  <c r="J25" i="28"/>
  <c r="R27" i="28"/>
  <c r="J29" i="28"/>
  <c r="R31" i="28"/>
  <c r="J33" i="28"/>
  <c r="R34" i="28"/>
  <c r="J36" i="28"/>
  <c r="N12" i="29"/>
  <c r="F18" i="29"/>
  <c r="V18" i="29"/>
  <c r="J22" i="29"/>
  <c r="R24" i="29"/>
  <c r="Z29" i="33"/>
  <c r="X29" i="33"/>
  <c r="H157" i="24"/>
  <c r="N157" i="24" s="1"/>
  <c r="N12" i="25"/>
  <c r="F18" i="25"/>
  <c r="V18" i="25"/>
  <c r="J22" i="25"/>
  <c r="R24" i="25"/>
  <c r="L12" i="26"/>
  <c r="F15" i="26"/>
  <c r="V15" i="26"/>
  <c r="D18" i="26"/>
  <c r="T18" i="26"/>
  <c r="R21" i="26"/>
  <c r="F25" i="26"/>
  <c r="V25" i="26"/>
  <c r="F29" i="26"/>
  <c r="V29" i="26"/>
  <c r="F33" i="26"/>
  <c r="V33" i="26"/>
  <c r="F36" i="26"/>
  <c r="V36" i="26"/>
  <c r="V47" i="27"/>
  <c r="V55" i="27"/>
  <c r="V71" i="27"/>
  <c r="V83" i="27"/>
  <c r="V95" i="27"/>
  <c r="V103" i="27"/>
  <c r="V123" i="27"/>
  <c r="P128" i="27"/>
  <c r="X128" i="27" s="1"/>
  <c r="V129" i="27"/>
  <c r="R16" i="28"/>
  <c r="J18" i="28"/>
  <c r="Z18" i="28"/>
  <c r="F24" i="28"/>
  <c r="V24" i="28"/>
  <c r="J15" i="29"/>
  <c r="H18" i="29"/>
  <c r="F21" i="29"/>
  <c r="V21" i="29"/>
  <c r="J25" i="29"/>
  <c r="R27" i="29"/>
  <c r="J29" i="29"/>
  <c r="R31" i="29"/>
  <c r="J33" i="29"/>
  <c r="R34" i="29"/>
  <c r="J36" i="29"/>
  <c r="L14" i="30"/>
  <c r="X18" i="30"/>
  <c r="L22" i="30"/>
  <c r="X26" i="30"/>
  <c r="L30" i="30"/>
  <c r="X34" i="30"/>
  <c r="L38" i="30"/>
  <c r="X42" i="30"/>
  <c r="Z42" i="30" s="1"/>
  <c r="L46" i="30"/>
  <c r="N46" i="30" s="1"/>
  <c r="X50" i="30"/>
  <c r="Z50" i="30" s="1"/>
  <c r="L54" i="30"/>
  <c r="N54" i="30" s="1"/>
  <c r="Z13" i="32"/>
  <c r="X13" i="32"/>
  <c r="J15" i="25"/>
  <c r="H18" i="25"/>
  <c r="J25" i="25"/>
  <c r="R27" i="25"/>
  <c r="J29" i="25"/>
  <c r="R31" i="25"/>
  <c r="J33" i="25"/>
  <c r="V48" i="27"/>
  <c r="V56" i="27"/>
  <c r="V72" i="27"/>
  <c r="V84" i="27"/>
  <c r="V92" i="27"/>
  <c r="V96" i="27"/>
  <c r="V104" i="27"/>
  <c r="V116" i="27"/>
  <c r="V120" i="27"/>
  <c r="F27" i="28"/>
  <c r="V27" i="28"/>
  <c r="F31" i="28"/>
  <c r="V31" i="28"/>
  <c r="R16" i="29"/>
  <c r="P175" i="30"/>
  <c r="X175" i="30" s="1"/>
  <c r="Z175" i="30" s="1"/>
  <c r="X176" i="30"/>
  <c r="L34" i="31"/>
  <c r="D31" i="32"/>
  <c r="N14" i="33"/>
  <c r="N22" i="33"/>
  <c r="Z59" i="33"/>
  <c r="Z70" i="33"/>
  <c r="L102" i="33"/>
  <c r="N102" i="33" s="1"/>
  <c r="D98" i="33"/>
  <c r="N34" i="35"/>
  <c r="L34" i="35"/>
  <c r="X12" i="31"/>
  <c r="N15" i="31"/>
  <c r="J21" i="31"/>
  <c r="Z21" i="31"/>
  <c r="N25" i="31"/>
  <c r="F27" i="31"/>
  <c r="V27" i="31"/>
  <c r="N29" i="31"/>
  <c r="F31" i="31"/>
  <c r="V31" i="31"/>
  <c r="N33" i="31"/>
  <c r="F34" i="31"/>
  <c r="V34" i="31"/>
  <c r="L15" i="32"/>
  <c r="R16" i="32"/>
  <c r="J18" i="32"/>
  <c r="R20" i="32"/>
  <c r="F24" i="32"/>
  <c r="V24" i="32"/>
  <c r="N104" i="33"/>
  <c r="N12" i="34"/>
  <c r="N16" i="34"/>
  <c r="F18" i="34"/>
  <c r="V18" i="34"/>
  <c r="N20" i="34"/>
  <c r="J22" i="34"/>
  <c r="N12" i="35"/>
  <c r="F16" i="35"/>
  <c r="L20" i="35"/>
  <c r="X22" i="35"/>
  <c r="Z15" i="36"/>
  <c r="Z16" i="36"/>
  <c r="N31" i="36"/>
  <c r="Z52" i="36"/>
  <c r="N54" i="36"/>
  <c r="Z83" i="36"/>
  <c r="N123" i="36"/>
  <c r="Z125" i="36"/>
  <c r="D36" i="41"/>
  <c r="R15" i="31"/>
  <c r="P18" i="31"/>
  <c r="R25" i="31"/>
  <c r="J27" i="31"/>
  <c r="R29" i="31"/>
  <c r="J31" i="31"/>
  <c r="R33" i="31"/>
  <c r="J34" i="31"/>
  <c r="R36" i="31"/>
  <c r="R22" i="32"/>
  <c r="J24" i="32"/>
  <c r="J18" i="34"/>
  <c r="F24" i="34"/>
  <c r="V24" i="34"/>
  <c r="V34" i="35"/>
  <c r="V31" i="35"/>
  <c r="V27" i="35"/>
  <c r="V24" i="35"/>
  <c r="V21" i="35"/>
  <c r="V36" i="35"/>
  <c r="V33" i="35"/>
  <c r="V29" i="35"/>
  <c r="V25" i="35"/>
  <c r="T18" i="35"/>
  <c r="V15" i="35"/>
  <c r="J16" i="35"/>
  <c r="J34" i="36"/>
  <c r="Z54" i="36"/>
  <c r="Z88" i="36"/>
  <c r="H175" i="30"/>
  <c r="L175" i="30" s="1"/>
  <c r="J16" i="31"/>
  <c r="R18" i="31"/>
  <c r="J20" i="31"/>
  <c r="F22" i="31"/>
  <c r="V22" i="31"/>
  <c r="R15" i="32"/>
  <c r="P18" i="32"/>
  <c r="R25" i="32"/>
  <c r="J27" i="32"/>
  <c r="R29" i="32"/>
  <c r="J31" i="32"/>
  <c r="R33" i="32"/>
  <c r="J34" i="32"/>
  <c r="R36" i="32"/>
  <c r="D12" i="33"/>
  <c r="J21" i="34"/>
  <c r="F27" i="34"/>
  <c r="V27" i="34"/>
  <c r="F31" i="34"/>
  <c r="V31" i="34"/>
  <c r="F34" i="34"/>
  <c r="V34" i="34"/>
  <c r="X12" i="35"/>
  <c r="J20" i="35"/>
  <c r="V22" i="35"/>
  <c r="X29" i="35"/>
  <c r="P12" i="36"/>
  <c r="Z14" i="36"/>
  <c r="N18" i="36"/>
  <c r="N42" i="36"/>
  <c r="Z66" i="36"/>
  <c r="N113" i="36"/>
  <c r="V109" i="42"/>
  <c r="V105" i="42"/>
  <c r="V97" i="42"/>
  <c r="V89" i="42"/>
  <c r="V85" i="42"/>
  <c r="V81" i="42"/>
  <c r="V73" i="42"/>
  <c r="V69" i="42"/>
  <c r="V61" i="42"/>
  <c r="V49" i="42"/>
  <c r="V45" i="42"/>
  <c r="V33" i="42"/>
  <c r="V25" i="42"/>
  <c r="V122" i="42"/>
  <c r="V108" i="42"/>
  <c r="V104" i="42"/>
  <c r="V88" i="42"/>
  <c r="V80" i="42"/>
  <c r="V72" i="42"/>
  <c r="V64" i="42"/>
  <c r="V52" i="42"/>
  <c r="V44" i="42"/>
  <c r="V40" i="42"/>
  <c r="V32" i="42"/>
  <c r="V24" i="42"/>
  <c r="V115" i="42"/>
  <c r="V111" i="42"/>
  <c r="V103" i="42"/>
  <c r="V75" i="42"/>
  <c r="V63" i="42"/>
  <c r="V51" i="42"/>
  <c r="V43" i="42"/>
  <c r="V39" i="42"/>
  <c r="V31" i="42"/>
  <c r="V120" i="42"/>
  <c r="V114" i="42"/>
  <c r="V110" i="42"/>
  <c r="V102" i="42"/>
  <c r="V74" i="42"/>
  <c r="V66" i="42"/>
  <c r="V58" i="42"/>
  <c r="V54" i="42"/>
  <c r="V42" i="42"/>
  <c r="V38" i="42"/>
  <c r="V28" i="42"/>
  <c r="V117" i="42"/>
  <c r="V113" i="42"/>
  <c r="V101" i="42"/>
  <c r="V93" i="42"/>
  <c r="V77" i="42"/>
  <c r="V65" i="42"/>
  <c r="V57" i="42"/>
  <c r="V53" i="42"/>
  <c r="V41" i="42"/>
  <c r="V37" i="42"/>
  <c r="T28" i="42"/>
  <c r="V126" i="42"/>
  <c r="V116" i="42"/>
  <c r="V112" i="42"/>
  <c r="V100" i="42"/>
  <c r="V96" i="42"/>
  <c r="V92" i="42"/>
  <c r="V84" i="42"/>
  <c r="V76" i="42"/>
  <c r="V68" i="42"/>
  <c r="V60" i="42"/>
  <c r="V56" i="42"/>
  <c r="V48" i="42"/>
  <c r="V36" i="42"/>
  <c r="V121" i="42"/>
  <c r="V107" i="42"/>
  <c r="V99" i="42"/>
  <c r="V95" i="42"/>
  <c r="V91" i="42"/>
  <c r="V87" i="42"/>
  <c r="V83" i="42"/>
  <c r="V79" i="42"/>
  <c r="V71" i="42"/>
  <c r="V67" i="42"/>
  <c r="V59" i="42"/>
  <c r="V55" i="42"/>
  <c r="V47" i="42"/>
  <c r="V35" i="42"/>
  <c r="V98" i="42"/>
  <c r="V90" i="42"/>
  <c r="V62" i="42"/>
  <c r="V34" i="42"/>
  <c r="V106" i="42"/>
  <c r="V46" i="42"/>
  <c r="V30" i="42"/>
  <c r="V26" i="42"/>
  <c r="V94" i="42"/>
  <c r="V82" i="42"/>
  <c r="V50" i="42"/>
  <c r="V86" i="42"/>
  <c r="V78" i="42"/>
  <c r="V70" i="42"/>
  <c r="J16" i="32"/>
  <c r="J20" i="32"/>
  <c r="F16" i="34"/>
  <c r="F20" i="34"/>
  <c r="J24" i="34"/>
  <c r="V123" i="36"/>
  <c r="V117" i="36"/>
  <c r="V113" i="36"/>
  <c r="V105" i="36"/>
  <c r="V77" i="36"/>
  <c r="V69" i="36"/>
  <c r="V61" i="36"/>
  <c r="V57" i="36"/>
  <c r="V49" i="36"/>
  <c r="V37" i="36"/>
  <c r="V120" i="36"/>
  <c r="V116" i="36"/>
  <c r="V104" i="36"/>
  <c r="V96" i="36"/>
  <c r="V80" i="36"/>
  <c r="V72" i="36"/>
  <c r="V68" i="36"/>
  <c r="V60" i="36"/>
  <c r="V56" i="36"/>
  <c r="V48" i="36"/>
  <c r="V36" i="36"/>
  <c r="V129" i="36"/>
  <c r="V119" i="36"/>
  <c r="V115" i="36"/>
  <c r="V103" i="36"/>
  <c r="V99" i="36"/>
  <c r="V95" i="36"/>
  <c r="V87" i="36"/>
  <c r="V79" i="36"/>
  <c r="V71" i="36"/>
  <c r="V63" i="36"/>
  <c r="V51" i="36"/>
  <c r="V47" i="36"/>
  <c r="V35" i="36"/>
  <c r="V31" i="36"/>
  <c r="V27" i="36"/>
  <c r="V124" i="36"/>
  <c r="V110" i="36"/>
  <c r="V102" i="36"/>
  <c r="V98" i="36"/>
  <c r="V94" i="36"/>
  <c r="V90" i="36"/>
  <c r="V86" i="36"/>
  <c r="V82" i="36"/>
  <c r="V74" i="36"/>
  <c r="V70" i="36"/>
  <c r="V62" i="36"/>
  <c r="V50" i="36"/>
  <c r="V46" i="36"/>
  <c r="V34" i="36"/>
  <c r="V26" i="36"/>
  <c r="V109" i="36"/>
  <c r="V101" i="36"/>
  <c r="V97" i="36"/>
  <c r="V93" i="36"/>
  <c r="V89" i="36"/>
  <c r="V85" i="36"/>
  <c r="V81" i="36"/>
  <c r="V73" i="36"/>
  <c r="V65" i="36"/>
  <c r="V53" i="36"/>
  <c r="V45" i="36"/>
  <c r="V41" i="36"/>
  <c r="V33" i="36"/>
  <c r="V25" i="36"/>
  <c r="V112" i="36"/>
  <c r="V108" i="36"/>
  <c r="V100" i="36"/>
  <c r="V92" i="36"/>
  <c r="V88" i="36"/>
  <c r="V84" i="36"/>
  <c r="V76" i="36"/>
  <c r="V64" i="36"/>
  <c r="V52" i="36"/>
  <c r="V44" i="36"/>
  <c r="V40" i="36"/>
  <c r="V32" i="36"/>
  <c r="V125" i="36"/>
  <c r="V111" i="36"/>
  <c r="V107" i="36"/>
  <c r="V91" i="36"/>
  <c r="V83" i="36"/>
  <c r="V75" i="36"/>
  <c r="V67" i="36"/>
  <c r="V59" i="36"/>
  <c r="V55" i="36"/>
  <c r="V43" i="36"/>
  <c r="V39" i="36"/>
  <c r="V29" i="36"/>
  <c r="V118" i="36"/>
  <c r="V114" i="36"/>
  <c r="V106" i="36"/>
  <c r="V78" i="36"/>
  <c r="V66" i="36"/>
  <c r="V58" i="36"/>
  <c r="V54" i="36"/>
  <c r="V42" i="36"/>
  <c r="V38" i="36"/>
  <c r="Z32" i="36"/>
  <c r="H27" i="37"/>
  <c r="N18" i="37"/>
  <c r="H31" i="38"/>
  <c r="F18" i="31"/>
  <c r="V18" i="31"/>
  <c r="J22" i="31"/>
  <c r="R24" i="31"/>
  <c r="L12" i="32"/>
  <c r="T18" i="32"/>
  <c r="R21" i="32"/>
  <c r="F25" i="32"/>
  <c r="V25" i="32"/>
  <c r="F29" i="32"/>
  <c r="V29" i="32"/>
  <c r="F33" i="32"/>
  <c r="V33" i="32"/>
  <c r="F36" i="32"/>
  <c r="V36" i="32"/>
  <c r="X16" i="33"/>
  <c r="Z16" i="33" s="1"/>
  <c r="L20" i="33"/>
  <c r="X24" i="33"/>
  <c r="Z24" i="33" s="1"/>
  <c r="L28" i="33"/>
  <c r="N28" i="33" s="1"/>
  <c r="X32" i="33"/>
  <c r="Z32" i="33" s="1"/>
  <c r="J27" i="34"/>
  <c r="J31" i="34"/>
  <c r="J34" i="34"/>
  <c r="F34" i="35"/>
  <c r="F31" i="35"/>
  <c r="F27" i="35"/>
  <c r="F24" i="35"/>
  <c r="F21" i="35"/>
  <c r="F36" i="35"/>
  <c r="F33" i="35"/>
  <c r="F29" i="35"/>
  <c r="F25" i="35"/>
  <c r="D18" i="35"/>
  <c r="X15" i="35"/>
  <c r="Z18" i="36"/>
  <c r="L20" i="36"/>
  <c r="Z42" i="36"/>
  <c r="X122" i="36"/>
  <c r="L22" i="31"/>
  <c r="R27" i="31"/>
  <c r="R31" i="31"/>
  <c r="R34" i="31"/>
  <c r="J36" i="31"/>
  <c r="N12" i="32"/>
  <c r="X15" i="32"/>
  <c r="J22" i="32"/>
  <c r="X25" i="32"/>
  <c r="X29" i="32"/>
  <c r="X33" i="32"/>
  <c r="J16" i="34"/>
  <c r="F22" i="34"/>
  <c r="V36" i="34"/>
  <c r="J34" i="35"/>
  <c r="J18" i="35"/>
  <c r="J36" i="35"/>
  <c r="J33" i="35"/>
  <c r="J29" i="35"/>
  <c r="J25" i="35"/>
  <c r="H18" i="35"/>
  <c r="J15" i="35"/>
  <c r="J22" i="35"/>
  <c r="J21" i="35"/>
  <c r="F22" i="35"/>
  <c r="J24" i="35"/>
  <c r="J119" i="36"/>
  <c r="J115" i="36"/>
  <c r="J109" i="36"/>
  <c r="J101" i="36"/>
  <c r="J93" i="36"/>
  <c r="J89" i="36"/>
  <c r="J85" i="36"/>
  <c r="J79" i="36"/>
  <c r="J65" i="36"/>
  <c r="J53" i="36"/>
  <c r="J45" i="36"/>
  <c r="J41" i="36"/>
  <c r="J33" i="36"/>
  <c r="J31" i="36"/>
  <c r="J124" i="36"/>
  <c r="J112" i="36"/>
  <c r="J108" i="36"/>
  <c r="J92" i="36"/>
  <c r="J84" i="36"/>
  <c r="J76" i="36"/>
  <c r="J70" i="36"/>
  <c r="J62" i="36"/>
  <c r="J50" i="36"/>
  <c r="J44" i="36"/>
  <c r="J40" i="36"/>
  <c r="J107" i="36"/>
  <c r="J97" i="36"/>
  <c r="J81" i="36"/>
  <c r="J73" i="36"/>
  <c r="J67" i="36"/>
  <c r="J59" i="36"/>
  <c r="J55" i="36"/>
  <c r="J43" i="36"/>
  <c r="J39" i="36"/>
  <c r="J25" i="36"/>
  <c r="J118" i="36"/>
  <c r="J114" i="36"/>
  <c r="J106" i="36"/>
  <c r="J100" i="36"/>
  <c r="J88" i="36"/>
  <c r="J78" i="36"/>
  <c r="J64" i="36"/>
  <c r="J58" i="36"/>
  <c r="J52" i="36"/>
  <c r="J38" i="36"/>
  <c r="J32" i="36"/>
  <c r="J125" i="36"/>
  <c r="J117" i="36"/>
  <c r="J111" i="36"/>
  <c r="J105" i="36"/>
  <c r="J91" i="36"/>
  <c r="J83" i="36"/>
  <c r="J75" i="36"/>
  <c r="J69" i="36"/>
  <c r="J61" i="36"/>
  <c r="J57" i="36"/>
  <c r="J49" i="36"/>
  <c r="J37" i="36"/>
  <c r="J120" i="36"/>
  <c r="J116" i="36"/>
  <c r="J104" i="36"/>
  <c r="J96" i="36"/>
  <c r="J80" i="36"/>
  <c r="J72" i="36"/>
  <c r="J66" i="36"/>
  <c r="J54" i="36"/>
  <c r="J48" i="36"/>
  <c r="J42" i="36"/>
  <c r="J36" i="36"/>
  <c r="H29" i="36"/>
  <c r="J29" i="36" s="1"/>
  <c r="J129" i="36"/>
  <c r="J123" i="36"/>
  <c r="J113" i="36"/>
  <c r="J103" i="36"/>
  <c r="J99" i="36"/>
  <c r="J95" i="36"/>
  <c r="J87" i="36"/>
  <c r="J77" i="36"/>
  <c r="J71" i="36"/>
  <c r="J63" i="36"/>
  <c r="J51" i="36"/>
  <c r="J47" i="36"/>
  <c r="J35" i="36"/>
  <c r="J27" i="36"/>
  <c r="J110" i="36"/>
  <c r="J102" i="36"/>
  <c r="J98" i="36"/>
  <c r="J94" i="36"/>
  <c r="J90" i="36"/>
  <c r="J86" i="36"/>
  <c r="J82" i="36"/>
  <c r="J74" i="36"/>
  <c r="J68" i="36"/>
  <c r="J60" i="36"/>
  <c r="J56" i="36"/>
  <c r="J46" i="36"/>
  <c r="N20" i="36"/>
  <c r="T29" i="36"/>
  <c r="R16" i="31"/>
  <c r="Z18" i="31"/>
  <c r="J15" i="32"/>
  <c r="H18" i="32"/>
  <c r="J25" i="32"/>
  <c r="R27" i="32"/>
  <c r="J29" i="32"/>
  <c r="R31" i="32"/>
  <c r="J33" i="32"/>
  <c r="H98" i="33"/>
  <c r="L12" i="34"/>
  <c r="F15" i="34"/>
  <c r="V15" i="34"/>
  <c r="D18" i="34"/>
  <c r="T18" i="34"/>
  <c r="F25" i="34"/>
  <c r="V25" i="34"/>
  <c r="F29" i="34"/>
  <c r="V29" i="34"/>
  <c r="F33" i="34"/>
  <c r="L12" i="35"/>
  <c r="L16" i="35"/>
  <c r="V16" i="35"/>
  <c r="V18" i="35"/>
  <c r="J31" i="35"/>
  <c r="Z17" i="36"/>
  <c r="R130" i="39"/>
  <c r="R123" i="39"/>
  <c r="R119" i="39"/>
  <c r="R116" i="39"/>
  <c r="R111" i="39"/>
  <c r="R96" i="39"/>
  <c r="R88" i="39"/>
  <c r="R83" i="39"/>
  <c r="R80" i="39"/>
  <c r="R71" i="39"/>
  <c r="R68" i="39"/>
  <c r="R59" i="39"/>
  <c r="R56" i="39"/>
  <c r="R51" i="39"/>
  <c r="R47" i="39"/>
  <c r="R39" i="39"/>
  <c r="R122" i="39"/>
  <c r="R110" i="39"/>
  <c r="R50" i="39"/>
  <c r="R46" i="39"/>
  <c r="R31" i="39"/>
  <c r="R128" i="39"/>
  <c r="R125" i="39"/>
  <c r="R121" i="39"/>
  <c r="R118" i="39"/>
  <c r="R109" i="39"/>
  <c r="R101" i="39"/>
  <c r="R85" i="39"/>
  <c r="R82" i="39"/>
  <c r="R73" i="39"/>
  <c r="R70" i="39"/>
  <c r="R65" i="39"/>
  <c r="R61" i="39"/>
  <c r="R58" i="39"/>
  <c r="R49" i="39"/>
  <c r="R45" i="39"/>
  <c r="R134" i="39"/>
  <c r="R108" i="39"/>
  <c r="R104" i="39"/>
  <c r="R100" i="39"/>
  <c r="R92" i="39"/>
  <c r="R76" i="39"/>
  <c r="R64" i="39"/>
  <c r="R44" i="39"/>
  <c r="R35" i="39"/>
  <c r="X12" i="39"/>
  <c r="R124" i="39"/>
  <c r="R120" i="39"/>
  <c r="R115" i="39"/>
  <c r="R107" i="39"/>
  <c r="R103" i="39"/>
  <c r="R99" i="39"/>
  <c r="R95" i="39"/>
  <c r="R91" i="39"/>
  <c r="R87" i="39"/>
  <c r="R84" i="39"/>
  <c r="R79" i="39"/>
  <c r="R75" i="39"/>
  <c r="R72" i="39"/>
  <c r="R67" i="39"/>
  <c r="R63" i="39"/>
  <c r="R60" i="39"/>
  <c r="R55" i="39"/>
  <c r="R48" i="39"/>
  <c r="R43" i="39"/>
  <c r="P35" i="39"/>
  <c r="R129" i="39"/>
  <c r="R114" i="39"/>
  <c r="R106" i="39"/>
  <c r="R98" i="39"/>
  <c r="R94" i="39"/>
  <c r="R90" i="39"/>
  <c r="R78" i="39"/>
  <c r="R54" i="39"/>
  <c r="R42" i="39"/>
  <c r="R117" i="39"/>
  <c r="R113" i="39"/>
  <c r="R102" i="39"/>
  <c r="R97" i="39"/>
  <c r="R89" i="39"/>
  <c r="R86" i="39"/>
  <c r="R81" i="39"/>
  <c r="R74" i="39"/>
  <c r="R69" i="39"/>
  <c r="R66" i="39"/>
  <c r="R62" i="39"/>
  <c r="R57" i="39"/>
  <c r="R53" i="39"/>
  <c r="Z14" i="39"/>
  <c r="X14" i="39"/>
  <c r="X37" i="39"/>
  <c r="Z37" i="39" s="1"/>
  <c r="R40" i="39"/>
  <c r="R52" i="39"/>
  <c r="X68" i="39"/>
  <c r="Z68" i="39" s="1"/>
  <c r="R105" i="39"/>
  <c r="V21" i="41"/>
  <c r="V18" i="41"/>
  <c r="V36" i="41"/>
  <c r="V33" i="41"/>
  <c r="V29" i="41"/>
  <c r="V25" i="41"/>
  <c r="T18" i="41"/>
  <c r="V15" i="41"/>
  <c r="V22" i="41"/>
  <c r="V20" i="41"/>
  <c r="V16" i="41"/>
  <c r="Z12" i="41"/>
  <c r="V34" i="41"/>
  <c r="V31" i="41"/>
  <c r="V27" i="41"/>
  <c r="X12" i="41"/>
  <c r="N18" i="41"/>
  <c r="P12" i="42"/>
  <c r="X13" i="42"/>
  <c r="Z22" i="42"/>
  <c r="Z59" i="42"/>
  <c r="X59" i="42"/>
  <c r="L97" i="42"/>
  <c r="F20" i="44"/>
  <c r="F16" i="44"/>
  <c r="F34" i="44"/>
  <c r="F31" i="44"/>
  <c r="F27" i="44"/>
  <c r="F24" i="44"/>
  <c r="F21" i="44"/>
  <c r="F18" i="44"/>
  <c r="F36" i="44"/>
  <c r="F33" i="44"/>
  <c r="F29" i="44"/>
  <c r="F25" i="44"/>
  <c r="D18" i="44"/>
  <c r="F15" i="44"/>
  <c r="L12" i="44"/>
  <c r="F22" i="44"/>
  <c r="P27" i="44"/>
  <c r="F88" i="45"/>
  <c r="F85" i="45"/>
  <c r="F77" i="45"/>
  <c r="F90" i="45"/>
  <c r="F87" i="45"/>
  <c r="F83" i="45"/>
  <c r="F74" i="45"/>
  <c r="F43" i="45"/>
  <c r="F82" i="45"/>
  <c r="F69" i="45"/>
  <c r="F65" i="45"/>
  <c r="F62" i="45"/>
  <c r="F57" i="45"/>
  <c r="F54" i="45"/>
  <c r="F49" i="45"/>
  <c r="F46" i="45"/>
  <c r="F42" i="45"/>
  <c r="F37" i="45"/>
  <c r="F94" i="45"/>
  <c r="F89" i="45"/>
  <c r="F81" i="45"/>
  <c r="F76" i="45"/>
  <c r="F73" i="45"/>
  <c r="F41" i="45"/>
  <c r="F98" i="45"/>
  <c r="F92" i="45"/>
  <c r="F80" i="45"/>
  <c r="F72" i="45"/>
  <c r="F68" i="45"/>
  <c r="F64" i="45"/>
  <c r="F91" i="45"/>
  <c r="F86" i="45"/>
  <c r="F84" i="45"/>
  <c r="F66" i="45"/>
  <c r="F63" i="45"/>
  <c r="F53" i="45"/>
  <c r="F33" i="45"/>
  <c r="F20" i="45"/>
  <c r="F32" i="45"/>
  <c r="F27" i="45"/>
  <c r="F78" i="45"/>
  <c r="F67" i="45"/>
  <c r="F47" i="45"/>
  <c r="F31" i="45"/>
  <c r="F24" i="45"/>
  <c r="F58" i="45"/>
  <c r="F45" i="45"/>
  <c r="F44" i="45"/>
  <c r="F38" i="45"/>
  <c r="F30" i="45"/>
  <c r="D24" i="45"/>
  <c r="F22" i="45"/>
  <c r="F70" i="45"/>
  <c r="F56" i="45"/>
  <c r="F39" i="45"/>
  <c r="F29" i="45"/>
  <c r="F21" i="45"/>
  <c r="F79" i="45"/>
  <c r="F60" i="45"/>
  <c r="F59" i="45"/>
  <c r="F40" i="45"/>
  <c r="F28" i="45"/>
  <c r="L12" i="45"/>
  <c r="F75" i="45"/>
  <c r="F61" i="45"/>
  <c r="F50" i="45"/>
  <c r="F36" i="45"/>
  <c r="F35" i="45"/>
  <c r="F26" i="45"/>
  <c r="L20" i="45"/>
  <c r="N20" i="45" s="1"/>
  <c r="F71" i="45"/>
  <c r="J123" i="51"/>
  <c r="J117" i="51"/>
  <c r="J109" i="51"/>
  <c r="J105" i="51"/>
  <c r="J101" i="51"/>
  <c r="J97" i="51"/>
  <c r="J93" i="51"/>
  <c r="J87" i="51"/>
  <c r="J81" i="51"/>
  <c r="J65" i="51"/>
  <c r="J49" i="51"/>
  <c r="J41" i="51"/>
  <c r="J104" i="51"/>
  <c r="J100" i="51"/>
  <c r="J92" i="51"/>
  <c r="J84" i="51"/>
  <c r="J78" i="51"/>
  <c r="J70" i="51"/>
  <c r="J64" i="51"/>
  <c r="H57" i="51"/>
  <c r="J57" i="51" s="1"/>
  <c r="J48" i="51"/>
  <c r="J40" i="51"/>
  <c r="J111" i="51"/>
  <c r="J103" i="51"/>
  <c r="J91" i="51"/>
  <c r="J83" i="51"/>
  <c r="J75" i="51"/>
  <c r="J63" i="51"/>
  <c r="J55" i="51"/>
  <c r="J47" i="51"/>
  <c r="J118" i="51"/>
  <c r="J108" i="51"/>
  <c r="J96" i="51"/>
  <c r="J90" i="51"/>
  <c r="J86" i="51"/>
  <c r="J80" i="51"/>
  <c r="J74" i="51"/>
  <c r="J62" i="51"/>
  <c r="J54" i="51"/>
  <c r="J46" i="51"/>
  <c r="J113" i="51"/>
  <c r="J99" i="51"/>
  <c r="J89" i="51"/>
  <c r="J77" i="51"/>
  <c r="J73" i="51"/>
  <c r="J69" i="51"/>
  <c r="J61" i="51"/>
  <c r="J59" i="51"/>
  <c r="J53" i="51"/>
  <c r="J45" i="51"/>
  <c r="J39" i="51"/>
  <c r="J116" i="51"/>
  <c r="J110" i="51"/>
  <c r="J102" i="51"/>
  <c r="J88" i="51"/>
  <c r="J82" i="51"/>
  <c r="J72" i="51"/>
  <c r="J68" i="51"/>
  <c r="J52" i="51"/>
  <c r="J44" i="51"/>
  <c r="J119" i="51"/>
  <c r="J107" i="51"/>
  <c r="J95" i="51"/>
  <c r="J85" i="51"/>
  <c r="J79" i="51"/>
  <c r="J71" i="51"/>
  <c r="J67" i="51"/>
  <c r="J51" i="51"/>
  <c r="J43" i="51"/>
  <c r="J98" i="51"/>
  <c r="J76" i="51"/>
  <c r="J50" i="51"/>
  <c r="J112" i="51"/>
  <c r="J60" i="51"/>
  <c r="J42" i="51"/>
  <c r="J106" i="51"/>
  <c r="J94" i="51"/>
  <c r="X15" i="53"/>
  <c r="P18" i="53"/>
  <c r="D122" i="36"/>
  <c r="T122" i="36"/>
  <c r="V122" i="36" s="1"/>
  <c r="Z12" i="37"/>
  <c r="V16" i="37"/>
  <c r="P18" i="37"/>
  <c r="X25" i="37"/>
  <c r="R36" i="37"/>
  <c r="F22" i="38"/>
  <c r="F34" i="38"/>
  <c r="F31" i="38"/>
  <c r="F27" i="38"/>
  <c r="F21" i="38"/>
  <c r="V15" i="38"/>
  <c r="F18" i="38"/>
  <c r="V20" i="38"/>
  <c r="L33" i="38"/>
  <c r="Z22" i="39"/>
  <c r="X22" i="39"/>
  <c r="R112" i="39"/>
  <c r="Z13" i="42"/>
  <c r="N16" i="42"/>
  <c r="L16" i="42"/>
  <c r="N69" i="42"/>
  <c r="L69" i="42"/>
  <c r="N85" i="42"/>
  <c r="L85" i="42"/>
  <c r="N97" i="42"/>
  <c r="Z16" i="45"/>
  <c r="Z26" i="45"/>
  <c r="F36" i="37"/>
  <c r="F33" i="37"/>
  <c r="F29" i="37"/>
  <c r="F25" i="37"/>
  <c r="D18" i="37"/>
  <c r="R15" i="37"/>
  <c r="R18" i="37"/>
  <c r="F21" i="37"/>
  <c r="V27" i="37"/>
  <c r="R29" i="37"/>
  <c r="F34" i="37"/>
  <c r="V34" i="37"/>
  <c r="F15" i="38"/>
  <c r="F20" i="38"/>
  <c r="R21" i="38"/>
  <c r="V25" i="38"/>
  <c r="T12" i="39"/>
  <c r="X13" i="39"/>
  <c r="Z13" i="39" s="1"/>
  <c r="N18" i="39"/>
  <c r="L18" i="39"/>
  <c r="N26" i="39"/>
  <c r="L26" i="39"/>
  <c r="Z27" i="39"/>
  <c r="Z84" i="39"/>
  <c r="N86" i="39"/>
  <c r="L130" i="39"/>
  <c r="N130" i="39" s="1"/>
  <c r="D127" i="39"/>
  <c r="Z16" i="40"/>
  <c r="X16" i="40"/>
  <c r="N21" i="41"/>
  <c r="L21" i="41"/>
  <c r="Z21" i="42"/>
  <c r="Z51" i="42"/>
  <c r="N53" i="42"/>
  <c r="X67" i="42"/>
  <c r="Z67" i="42" s="1"/>
  <c r="Z112" i="42"/>
  <c r="Z121" i="42"/>
  <c r="R27" i="35"/>
  <c r="R31" i="35"/>
  <c r="H122" i="36"/>
  <c r="J16" i="37"/>
  <c r="V18" i="37"/>
  <c r="J25" i="37"/>
  <c r="R31" i="37"/>
  <c r="L12" i="38"/>
  <c r="L13" i="38"/>
  <c r="R16" i="38"/>
  <c r="V29" i="38"/>
  <c r="V36" i="38"/>
  <c r="Z19" i="39"/>
  <c r="N38" i="39"/>
  <c r="Z120" i="39"/>
  <c r="Z31" i="42"/>
  <c r="N49" i="42"/>
  <c r="L49" i="42"/>
  <c r="Z15" i="43"/>
  <c r="T18" i="43"/>
  <c r="X33" i="43"/>
  <c r="F48" i="45"/>
  <c r="F55" i="45"/>
  <c r="N22" i="46"/>
  <c r="L22" i="46"/>
  <c r="J66" i="51"/>
  <c r="L12" i="37"/>
  <c r="F15" i="37"/>
  <c r="V15" i="37"/>
  <c r="F18" i="37"/>
  <c r="R20" i="37"/>
  <c r="J21" i="37"/>
  <c r="V22" i="37"/>
  <c r="R24" i="37"/>
  <c r="F27" i="37"/>
  <c r="J34" i="37"/>
  <c r="X21" i="38"/>
  <c r="F25" i="38"/>
  <c r="V33" i="38"/>
  <c r="D12" i="39"/>
  <c r="L14" i="39"/>
  <c r="N23" i="39"/>
  <c r="Z26" i="39"/>
  <c r="L31" i="39"/>
  <c r="N31" i="39" s="1"/>
  <c r="R32" i="39"/>
  <c r="R33" i="39"/>
  <c r="N37" i="39"/>
  <c r="N58" i="39"/>
  <c r="L58" i="39"/>
  <c r="N82" i="39"/>
  <c r="L82" i="39"/>
  <c r="R93" i="39"/>
  <c r="Z96" i="39"/>
  <c r="X96" i="39"/>
  <c r="N118" i="39"/>
  <c r="L118" i="39"/>
  <c r="R127" i="39"/>
  <c r="N24" i="40"/>
  <c r="L24" i="40"/>
  <c r="X55" i="42"/>
  <c r="Z55" i="42" s="1"/>
  <c r="Z76" i="42"/>
  <c r="J34" i="43"/>
  <c r="J31" i="43"/>
  <c r="J27" i="43"/>
  <c r="J24" i="43"/>
  <c r="J21" i="43"/>
  <c r="J18" i="43"/>
  <c r="J36" i="43"/>
  <c r="J33" i="43"/>
  <c r="J29" i="43"/>
  <c r="J25" i="43"/>
  <c r="H18" i="43"/>
  <c r="J15" i="43"/>
  <c r="J22" i="43"/>
  <c r="N12" i="43"/>
  <c r="L12" i="43"/>
  <c r="X22" i="44"/>
  <c r="T12" i="45"/>
  <c r="X15" i="45"/>
  <c r="Z15" i="45" s="1"/>
  <c r="F34" i="45"/>
  <c r="F52" i="45"/>
  <c r="X88" i="45"/>
  <c r="Z88" i="45" s="1"/>
  <c r="H22" i="54"/>
  <c r="L22" i="54" s="1"/>
  <c r="N16" i="54"/>
  <c r="F22" i="37"/>
  <c r="V31" i="37"/>
  <c r="R18" i="38"/>
  <c r="R36" i="38"/>
  <c r="R33" i="38"/>
  <c r="R29" i="38"/>
  <c r="R25" i="38"/>
  <c r="X12" i="38"/>
  <c r="R34" i="38"/>
  <c r="R31" i="38"/>
  <c r="R27" i="38"/>
  <c r="P18" i="38"/>
  <c r="D27" i="38"/>
  <c r="F29" i="38"/>
  <c r="L22" i="39"/>
  <c r="Z56" i="39"/>
  <c r="X56" i="39"/>
  <c r="X80" i="39"/>
  <c r="Z80" i="39" s="1"/>
  <c r="Z88" i="39"/>
  <c r="X88" i="39"/>
  <c r="Z116" i="39"/>
  <c r="X116" i="39"/>
  <c r="X130" i="39"/>
  <c r="Z130" i="39" s="1"/>
  <c r="T127" i="39"/>
  <c r="Z13" i="40"/>
  <c r="X13" i="40"/>
  <c r="Z20" i="40"/>
  <c r="X20" i="40"/>
  <c r="Z34" i="41"/>
  <c r="X34" i="41"/>
  <c r="Z20" i="42"/>
  <c r="X20" i="42"/>
  <c r="N119" i="42"/>
  <c r="R21" i="37"/>
  <c r="R22" i="37"/>
  <c r="L20" i="37"/>
  <c r="V22" i="38"/>
  <c r="V34" i="38"/>
  <c r="V31" i="38"/>
  <c r="V27" i="38"/>
  <c r="V21" i="38"/>
  <c r="T18" i="38"/>
  <c r="L22" i="38"/>
  <c r="R24" i="38"/>
  <c r="F33" i="38"/>
  <c r="F36" i="38"/>
  <c r="H12" i="39"/>
  <c r="N13" i="39"/>
  <c r="Z17" i="39"/>
  <c r="R38" i="39"/>
  <c r="R41" i="39"/>
  <c r="R77" i="39"/>
  <c r="L15" i="43"/>
  <c r="D18" i="43"/>
  <c r="F51" i="45"/>
  <c r="L15" i="50"/>
  <c r="D18" i="50"/>
  <c r="V36" i="37"/>
  <c r="V33" i="37"/>
  <c r="V29" i="37"/>
  <c r="V25" i="37"/>
  <c r="T18" i="37"/>
  <c r="V20" i="37"/>
  <c r="R25" i="37"/>
  <c r="F31" i="37"/>
  <c r="R20" i="38"/>
  <c r="L34" i="38"/>
  <c r="N21" i="39"/>
  <c r="X25" i="39"/>
  <c r="Z25" i="39" s="1"/>
  <c r="R37" i="39"/>
  <c r="N70" i="39"/>
  <c r="L70" i="39"/>
  <c r="Z77" i="39"/>
  <c r="Z124" i="39"/>
  <c r="H127" i="39"/>
  <c r="L128" i="39"/>
  <c r="N128" i="39" s="1"/>
  <c r="Z14" i="42"/>
  <c r="N61" i="42"/>
  <c r="L61" i="42"/>
  <c r="X25" i="43"/>
  <c r="Z17" i="45"/>
  <c r="R99" i="51"/>
  <c r="R90" i="51"/>
  <c r="R86" i="51"/>
  <c r="R74" i="51"/>
  <c r="R62" i="51"/>
  <c r="R59" i="51"/>
  <c r="R54" i="51"/>
  <c r="R46" i="51"/>
  <c r="R39" i="51"/>
  <c r="R116" i="51"/>
  <c r="R113" i="51"/>
  <c r="R110" i="51"/>
  <c r="R102" i="51"/>
  <c r="R89" i="51"/>
  <c r="R82" i="51"/>
  <c r="R77" i="51"/>
  <c r="R73" i="51"/>
  <c r="R69" i="51"/>
  <c r="R61" i="51"/>
  <c r="R53" i="51"/>
  <c r="R45" i="51"/>
  <c r="R119" i="51"/>
  <c r="R88" i="51"/>
  <c r="R85" i="51"/>
  <c r="R72" i="51"/>
  <c r="R68" i="51"/>
  <c r="R52" i="51"/>
  <c r="R44" i="51"/>
  <c r="R112" i="51"/>
  <c r="R107" i="51"/>
  <c r="R95" i="51"/>
  <c r="R79" i="51"/>
  <c r="R76" i="51"/>
  <c r="R71" i="51"/>
  <c r="R67" i="51"/>
  <c r="R60" i="51"/>
  <c r="R51" i="51"/>
  <c r="R43" i="51"/>
  <c r="R117" i="51"/>
  <c r="R106" i="51"/>
  <c r="R98" i="51"/>
  <c r="R94" i="51"/>
  <c r="R87" i="51"/>
  <c r="R66" i="51"/>
  <c r="R50" i="51"/>
  <c r="R42" i="51"/>
  <c r="R123" i="51"/>
  <c r="R109" i="51"/>
  <c r="R105" i="51"/>
  <c r="R101" i="51"/>
  <c r="R97" i="51"/>
  <c r="R93" i="51"/>
  <c r="R81" i="51"/>
  <c r="R78" i="51"/>
  <c r="R70" i="51"/>
  <c r="R65" i="51"/>
  <c r="P57" i="51"/>
  <c r="R57" i="51" s="1"/>
  <c r="R49" i="51"/>
  <c r="R41" i="51"/>
  <c r="R115" i="51"/>
  <c r="R104" i="51"/>
  <c r="R100" i="51"/>
  <c r="R92" i="51"/>
  <c r="R84" i="51"/>
  <c r="R64" i="51"/>
  <c r="R48" i="51"/>
  <c r="R40" i="51"/>
  <c r="R96" i="51"/>
  <c r="R91" i="51"/>
  <c r="R83" i="51"/>
  <c r="R80" i="51"/>
  <c r="R118" i="51"/>
  <c r="R103" i="51"/>
  <c r="R63" i="51"/>
  <c r="R47" i="51"/>
  <c r="R75" i="51"/>
  <c r="R55" i="51"/>
  <c r="R111" i="51"/>
  <c r="J16" i="44"/>
  <c r="J20" i="44"/>
  <c r="V22" i="44"/>
  <c r="J90" i="45"/>
  <c r="J84" i="45"/>
  <c r="J74" i="45"/>
  <c r="J60" i="45"/>
  <c r="J52" i="45"/>
  <c r="J44" i="45"/>
  <c r="J94" i="45"/>
  <c r="J82" i="45"/>
  <c r="J76" i="45"/>
  <c r="J62" i="45"/>
  <c r="J54" i="45"/>
  <c r="J46" i="45"/>
  <c r="J42" i="45"/>
  <c r="J89" i="45"/>
  <c r="J81" i="45"/>
  <c r="J73" i="45"/>
  <c r="J59" i="45"/>
  <c r="J51" i="45"/>
  <c r="J41" i="45"/>
  <c r="J98" i="45"/>
  <c r="J92" i="45"/>
  <c r="J86" i="45"/>
  <c r="J80" i="45"/>
  <c r="J72" i="45"/>
  <c r="J68" i="45"/>
  <c r="J64" i="45"/>
  <c r="J56" i="45"/>
  <c r="J48" i="45"/>
  <c r="J40" i="45"/>
  <c r="J91" i="45"/>
  <c r="J79" i="45"/>
  <c r="J75" i="45"/>
  <c r="J71" i="45"/>
  <c r="J67" i="45"/>
  <c r="J61" i="45"/>
  <c r="J88" i="45"/>
  <c r="J20" i="45"/>
  <c r="J34" i="45"/>
  <c r="J49" i="45"/>
  <c r="J53" i="45"/>
  <c r="J63" i="45"/>
  <c r="R24" i="46"/>
  <c r="R18" i="46"/>
  <c r="R36" i="46"/>
  <c r="R33" i="46"/>
  <c r="R29" i="46"/>
  <c r="R25" i="46"/>
  <c r="P18" i="46"/>
  <c r="R15" i="46"/>
  <c r="R22" i="46"/>
  <c r="X12" i="46"/>
  <c r="R20" i="46"/>
  <c r="R16" i="46"/>
  <c r="R21" i="46"/>
  <c r="F64" i="48"/>
  <c r="F55" i="48"/>
  <c r="F51" i="48"/>
  <c r="F48" i="48"/>
  <c r="F32" i="48"/>
  <c r="F28" i="48"/>
  <c r="F19" i="48"/>
  <c r="F15" i="48"/>
  <c r="L12" i="48"/>
  <c r="N12" i="48" s="1"/>
  <c r="F42" i="48"/>
  <c r="F39" i="48"/>
  <c r="F31" i="48"/>
  <c r="F27" i="48"/>
  <c r="F67" i="48"/>
  <c r="F61" i="48"/>
  <c r="F57" i="48"/>
  <c r="F54" i="48"/>
  <c r="F50" i="48"/>
  <c r="F45" i="48"/>
  <c r="F26" i="48"/>
  <c r="F71" i="48"/>
  <c r="F53" i="48"/>
  <c r="F41" i="48"/>
  <c r="F36" i="48"/>
  <c r="F25" i="48"/>
  <c r="F20" i="48"/>
  <c r="F63" i="48"/>
  <c r="F60" i="48"/>
  <c r="F56" i="48"/>
  <c r="F52" i="48"/>
  <c r="F47" i="48"/>
  <c r="F44" i="48"/>
  <c r="F24" i="48"/>
  <c r="F17" i="48"/>
  <c r="F59" i="48"/>
  <c r="F43" i="48"/>
  <c r="F38" i="48"/>
  <c r="F35" i="48"/>
  <c r="F30" i="48"/>
  <c r="F23" i="48"/>
  <c r="D17" i="48"/>
  <c r="F62" i="48"/>
  <c r="F58" i="48"/>
  <c r="F49" i="48"/>
  <c r="F46" i="48"/>
  <c r="F34" i="48"/>
  <c r="F22" i="48"/>
  <c r="N14" i="51"/>
  <c r="Z19" i="51"/>
  <c r="N21" i="51"/>
  <c r="Z27" i="51"/>
  <c r="N29" i="51"/>
  <c r="Z35" i="51"/>
  <c r="N119" i="51"/>
  <c r="N18" i="55"/>
  <c r="P18" i="40"/>
  <c r="R25" i="40"/>
  <c r="J27" i="40"/>
  <c r="R29" i="40"/>
  <c r="J31" i="40"/>
  <c r="R33" i="40"/>
  <c r="J34" i="40"/>
  <c r="R36" i="40"/>
  <c r="F16" i="41"/>
  <c r="F20" i="41"/>
  <c r="R24" i="43"/>
  <c r="V15" i="44"/>
  <c r="T18" i="44"/>
  <c r="X18" i="44" s="1"/>
  <c r="V25" i="44"/>
  <c r="V29" i="44"/>
  <c r="V33" i="44"/>
  <c r="V36" i="44"/>
  <c r="J35" i="45"/>
  <c r="J36" i="45"/>
  <c r="J50" i="45"/>
  <c r="J55" i="45"/>
  <c r="N61" i="45"/>
  <c r="L90" i="45"/>
  <c r="L15" i="47"/>
  <c r="Z47" i="48"/>
  <c r="N49" i="48"/>
  <c r="L51" i="48"/>
  <c r="N57" i="48"/>
  <c r="X25" i="50"/>
  <c r="D12" i="51"/>
  <c r="L13" i="51"/>
  <c r="Z26" i="51"/>
  <c r="Z34" i="51"/>
  <c r="N87" i="51"/>
  <c r="T26" i="54"/>
  <c r="Z22" i="54"/>
  <c r="L20" i="54"/>
  <c r="N29" i="54"/>
  <c r="X14" i="55"/>
  <c r="X32" i="55"/>
  <c r="N32" i="56"/>
  <c r="L32" i="56"/>
  <c r="X77" i="39"/>
  <c r="X93" i="39"/>
  <c r="Z93" i="39" s="1"/>
  <c r="X105" i="39"/>
  <c r="Z105" i="39" s="1"/>
  <c r="J16" i="40"/>
  <c r="J20" i="40"/>
  <c r="F22" i="40"/>
  <c r="L34" i="40"/>
  <c r="X16" i="41"/>
  <c r="P18" i="41"/>
  <c r="X20" i="41"/>
  <c r="L24" i="41"/>
  <c r="D12" i="42"/>
  <c r="L30" i="42"/>
  <c r="N30" i="42" s="1"/>
  <c r="X76" i="42"/>
  <c r="L78" i="42"/>
  <c r="N78" i="42" s="1"/>
  <c r="L94" i="42"/>
  <c r="X112" i="42"/>
  <c r="X116" i="42"/>
  <c r="Z116" i="42" s="1"/>
  <c r="L22" i="43"/>
  <c r="R27" i="43"/>
  <c r="R31" i="43"/>
  <c r="R34" i="43"/>
  <c r="N12" i="44"/>
  <c r="X15" i="44"/>
  <c r="V18" i="44"/>
  <c r="J22" i="44"/>
  <c r="X25" i="44"/>
  <c r="X29" i="44"/>
  <c r="X33" i="44"/>
  <c r="N12" i="45"/>
  <c r="J26" i="45"/>
  <c r="J28" i="45"/>
  <c r="L45" i="45"/>
  <c r="X51" i="45"/>
  <c r="P69" i="48"/>
  <c r="F33" i="48"/>
  <c r="N51" i="48"/>
  <c r="D27" i="49"/>
  <c r="F38" i="55"/>
  <c r="F32" i="55"/>
  <c r="F27" i="55"/>
  <c r="F22" i="55"/>
  <c r="F16" i="55"/>
  <c r="F21" i="55"/>
  <c r="F20" i="55"/>
  <c r="F18" i="55"/>
  <c r="F26" i="55"/>
  <c r="F25" i="55"/>
  <c r="F36" i="55"/>
  <c r="F30" i="55"/>
  <c r="F29" i="55"/>
  <c r="D16" i="55"/>
  <c r="F41" i="55"/>
  <c r="F34" i="55"/>
  <c r="F24" i="55"/>
  <c r="F23" i="55"/>
  <c r="F19" i="55"/>
  <c r="F28" i="55"/>
  <c r="L12" i="55"/>
  <c r="F14" i="55"/>
  <c r="H70" i="56"/>
  <c r="N16" i="56"/>
  <c r="P61" i="59"/>
  <c r="J21" i="38"/>
  <c r="L12" i="40"/>
  <c r="F15" i="40"/>
  <c r="V15" i="40"/>
  <c r="D18" i="40"/>
  <c r="T18" i="40"/>
  <c r="R21" i="40"/>
  <c r="F25" i="40"/>
  <c r="V25" i="40"/>
  <c r="F29" i="40"/>
  <c r="V29" i="40"/>
  <c r="F33" i="40"/>
  <c r="V33" i="40"/>
  <c r="F36" i="40"/>
  <c r="V36" i="40"/>
  <c r="J16" i="41"/>
  <c r="R18" i="41"/>
  <c r="J20" i="41"/>
  <c r="F22" i="41"/>
  <c r="H12" i="42"/>
  <c r="R16" i="43"/>
  <c r="R20" i="43"/>
  <c r="J15" i="44"/>
  <c r="H18" i="44"/>
  <c r="V21" i="44"/>
  <c r="J25" i="44"/>
  <c r="R27" i="44"/>
  <c r="J29" i="44"/>
  <c r="R31" i="44"/>
  <c r="J33" i="44"/>
  <c r="R34" i="44"/>
  <c r="J36" i="44"/>
  <c r="P12" i="45"/>
  <c r="J21" i="45"/>
  <c r="J29" i="45"/>
  <c r="J37" i="45"/>
  <c r="J39" i="45"/>
  <c r="J57" i="45"/>
  <c r="J69" i="45"/>
  <c r="J70" i="45"/>
  <c r="J85" i="45"/>
  <c r="X86" i="45"/>
  <c r="Z90" i="45"/>
  <c r="L13" i="46"/>
  <c r="T27" i="46"/>
  <c r="Z18" i="46"/>
  <c r="R31" i="46"/>
  <c r="R34" i="46"/>
  <c r="L19" i="48"/>
  <c r="Z49" i="48"/>
  <c r="Z15" i="50"/>
  <c r="T18" i="50"/>
  <c r="L20" i="51"/>
  <c r="N20" i="51" s="1"/>
  <c r="Z25" i="51"/>
  <c r="L28" i="51"/>
  <c r="N28" i="51" s="1"/>
  <c r="Z33" i="51"/>
  <c r="N36" i="51"/>
  <c r="L36" i="51"/>
  <c r="N22" i="55"/>
  <c r="L28" i="56"/>
  <c r="N28" i="56" s="1"/>
  <c r="X129" i="39"/>
  <c r="Z129" i="39" s="1"/>
  <c r="J18" i="44"/>
  <c r="V24" i="44"/>
  <c r="J22" i="45"/>
  <c r="J30" i="45"/>
  <c r="J38" i="45"/>
  <c r="J43" i="45"/>
  <c r="Z51" i="45"/>
  <c r="J58" i="45"/>
  <c r="Z86" i="45"/>
  <c r="N19" i="48"/>
  <c r="N13" i="49"/>
  <c r="L13" i="49"/>
  <c r="T27" i="49"/>
  <c r="J34" i="50"/>
  <c r="J31" i="50"/>
  <c r="J27" i="50"/>
  <c r="J24" i="50"/>
  <c r="J21" i="50"/>
  <c r="J18" i="50"/>
  <c r="J36" i="50"/>
  <c r="J33" i="50"/>
  <c r="J29" i="50"/>
  <c r="J25" i="50"/>
  <c r="H18" i="50"/>
  <c r="J15" i="50"/>
  <c r="J22" i="50"/>
  <c r="N12" i="50"/>
  <c r="L12" i="50"/>
  <c r="Z29" i="54"/>
  <c r="P55" i="61"/>
  <c r="J15" i="40"/>
  <c r="H18" i="40"/>
  <c r="F21" i="40"/>
  <c r="J25" i="40"/>
  <c r="R27" i="40"/>
  <c r="J29" i="40"/>
  <c r="R31" i="40"/>
  <c r="J33" i="40"/>
  <c r="R34" i="40"/>
  <c r="J36" i="40"/>
  <c r="L13" i="41"/>
  <c r="F18" i="41"/>
  <c r="L13" i="42"/>
  <c r="X17" i="42"/>
  <c r="Z17" i="42" s="1"/>
  <c r="L21" i="42"/>
  <c r="D119" i="42"/>
  <c r="L119" i="42" s="1"/>
  <c r="T119" i="42"/>
  <c r="X13" i="43"/>
  <c r="R22" i="43"/>
  <c r="X12" i="44"/>
  <c r="J21" i="44"/>
  <c r="V27" i="44"/>
  <c r="V31" i="44"/>
  <c r="V34" i="44"/>
  <c r="L16" i="45"/>
  <c r="N16" i="45" s="1"/>
  <c r="H24" i="45"/>
  <c r="J31" i="45"/>
  <c r="J45" i="45"/>
  <c r="L53" i="45"/>
  <c r="J78" i="45"/>
  <c r="N88" i="45"/>
  <c r="Z24" i="51"/>
  <c r="X24" i="51"/>
  <c r="X32" i="51"/>
  <c r="Z32" i="51" s="1"/>
  <c r="N39" i="51"/>
  <c r="N59" i="51"/>
  <c r="F20" i="52"/>
  <c r="F16" i="52"/>
  <c r="F34" i="52"/>
  <c r="F31" i="52"/>
  <c r="F27" i="52"/>
  <c r="F24" i="52"/>
  <c r="F21" i="52"/>
  <c r="F18" i="52"/>
  <c r="F36" i="52"/>
  <c r="F33" i="52"/>
  <c r="F29" i="52"/>
  <c r="F25" i="52"/>
  <c r="D18" i="52"/>
  <c r="F15" i="52"/>
  <c r="L12" i="52"/>
  <c r="F22" i="52"/>
  <c r="J16" i="38"/>
  <c r="R16" i="40"/>
  <c r="J25" i="41"/>
  <c r="R27" i="41"/>
  <c r="J29" i="41"/>
  <c r="R31" i="41"/>
  <c r="J33" i="41"/>
  <c r="R15" i="43"/>
  <c r="P18" i="43"/>
  <c r="R25" i="43"/>
  <c r="R29" i="43"/>
  <c r="R33" i="43"/>
  <c r="Z12" i="44"/>
  <c r="V16" i="44"/>
  <c r="J24" i="45"/>
  <c r="J32" i="45"/>
  <c r="X37" i="45"/>
  <c r="Z37" i="45" s="1"/>
  <c r="J47" i="45"/>
  <c r="Z59" i="45"/>
  <c r="J77" i="45"/>
  <c r="J87" i="45"/>
  <c r="R27" i="46"/>
  <c r="J20" i="47"/>
  <c r="J16" i="47"/>
  <c r="J34" i="47"/>
  <c r="J31" i="47"/>
  <c r="J27" i="47"/>
  <c r="J24" i="47"/>
  <c r="J21" i="47"/>
  <c r="J18" i="47"/>
  <c r="J36" i="47"/>
  <c r="J33" i="47"/>
  <c r="J29" i="47"/>
  <c r="J25" i="47"/>
  <c r="H18" i="47"/>
  <c r="J15" i="47"/>
  <c r="L29" i="47"/>
  <c r="Z19" i="48"/>
  <c r="F29" i="48"/>
  <c r="F40" i="48"/>
  <c r="J20" i="50"/>
  <c r="N15" i="51"/>
  <c r="X16" i="51"/>
  <c r="Z16" i="51" s="1"/>
  <c r="N22" i="51"/>
  <c r="N30" i="51"/>
  <c r="X39" i="51"/>
  <c r="Z39" i="51" s="1"/>
  <c r="X59" i="51"/>
  <c r="Z59" i="51" s="1"/>
  <c r="Z80" i="51"/>
  <c r="X99" i="51"/>
  <c r="Z99" i="51" s="1"/>
  <c r="D26" i="54"/>
  <c r="Z28" i="54"/>
  <c r="V24" i="46"/>
  <c r="R27" i="47"/>
  <c r="R31" i="47"/>
  <c r="R34" i="47"/>
  <c r="J15" i="48"/>
  <c r="R17" i="48"/>
  <c r="J19" i="48"/>
  <c r="J21" i="48"/>
  <c r="R26" i="48"/>
  <c r="J29" i="48"/>
  <c r="J33" i="48"/>
  <c r="J37" i="48"/>
  <c r="R47" i="48"/>
  <c r="V49" i="48"/>
  <c r="R50" i="48"/>
  <c r="J51" i="48"/>
  <c r="V53" i="48"/>
  <c r="R54" i="48"/>
  <c r="J55" i="48"/>
  <c r="R63" i="48"/>
  <c r="H66" i="48"/>
  <c r="J66" i="48" s="1"/>
  <c r="V71" i="48"/>
  <c r="F18" i="49"/>
  <c r="J16" i="52"/>
  <c r="J20" i="52"/>
  <c r="J27" i="53"/>
  <c r="J31" i="53"/>
  <c r="J34" i="53"/>
  <c r="R14" i="54"/>
  <c r="Z16" i="54"/>
  <c r="R18" i="54"/>
  <c r="R22" i="54"/>
  <c r="R28" i="54"/>
  <c r="R31" i="54"/>
  <c r="J25" i="55"/>
  <c r="J36" i="55"/>
  <c r="J30" i="55"/>
  <c r="J24" i="55"/>
  <c r="P16" i="55"/>
  <c r="J18" i="55"/>
  <c r="J27" i="55"/>
  <c r="R64" i="56"/>
  <c r="R61" i="56"/>
  <c r="R24" i="56"/>
  <c r="P16" i="56"/>
  <c r="R56" i="56"/>
  <c r="R43" i="56"/>
  <c r="R40" i="56"/>
  <c r="R35" i="56"/>
  <c r="R32" i="56"/>
  <c r="R28" i="56"/>
  <c r="R72" i="56"/>
  <c r="R66" i="56"/>
  <c r="R63" i="56"/>
  <c r="R77" i="56"/>
  <c r="R70" i="56"/>
  <c r="R53" i="56"/>
  <c r="R49" i="56"/>
  <c r="R45" i="56"/>
  <c r="R42" i="56"/>
  <c r="R37" i="56"/>
  <c r="R34" i="56"/>
  <c r="R21" i="56"/>
  <c r="R18" i="56"/>
  <c r="R14" i="56"/>
  <c r="R65" i="56"/>
  <c r="R60" i="56"/>
  <c r="R59" i="56"/>
  <c r="R55" i="56"/>
  <c r="R51" i="56"/>
  <c r="R47" i="56"/>
  <c r="R44" i="56"/>
  <c r="R39" i="56"/>
  <c r="R62" i="56"/>
  <c r="R58" i="56"/>
  <c r="R27" i="56"/>
  <c r="R31" i="56"/>
  <c r="F37" i="56"/>
  <c r="F38" i="56"/>
  <c r="F40" i="56"/>
  <c r="N19" i="58"/>
  <c r="L19" i="58"/>
  <c r="T16" i="60"/>
  <c r="Z14" i="60"/>
  <c r="X14" i="60"/>
  <c r="F51" i="65"/>
  <c r="F46" i="65"/>
  <c r="F43" i="65"/>
  <c r="F38" i="65"/>
  <c r="F27" i="65"/>
  <c r="F20" i="65"/>
  <c r="F62" i="65"/>
  <c r="F58" i="65"/>
  <c r="F54" i="65"/>
  <c r="F26" i="65"/>
  <c r="D20" i="65"/>
  <c r="F18" i="65"/>
  <c r="F72" i="65"/>
  <c r="F66" i="65"/>
  <c r="F61" i="65"/>
  <c r="F57" i="65"/>
  <c r="F53" i="65"/>
  <c r="F48" i="65"/>
  <c r="F45" i="65"/>
  <c r="F40" i="65"/>
  <c r="F37" i="65"/>
  <c r="F32" i="65"/>
  <c r="F25" i="65"/>
  <c r="F17" i="65"/>
  <c r="F70" i="65"/>
  <c r="F64" i="65"/>
  <c r="F60" i="65"/>
  <c r="F56" i="65"/>
  <c r="F36" i="65"/>
  <c r="F24" i="65"/>
  <c r="F34" i="65"/>
  <c r="F30" i="65"/>
  <c r="F75" i="65"/>
  <c r="F68" i="65"/>
  <c r="F52" i="65"/>
  <c r="F49" i="65"/>
  <c r="F44" i="65"/>
  <c r="F41" i="65"/>
  <c r="F33" i="65"/>
  <c r="F29" i="65"/>
  <c r="F16" i="65"/>
  <c r="F63" i="65"/>
  <c r="F59" i="65"/>
  <c r="F47" i="65"/>
  <c r="F23" i="65"/>
  <c r="F50" i="65"/>
  <c r="F35" i="65"/>
  <c r="F42" i="65"/>
  <c r="F39" i="65"/>
  <c r="F28" i="65"/>
  <c r="F55" i="65"/>
  <c r="F31" i="65"/>
  <c r="F22" i="65"/>
  <c r="V27" i="46"/>
  <c r="V31" i="46"/>
  <c r="V34" i="46"/>
  <c r="R16" i="47"/>
  <c r="R20" i="47"/>
  <c r="V24" i="47"/>
  <c r="T17" i="48"/>
  <c r="X17" i="48" s="1"/>
  <c r="R20" i="48"/>
  <c r="J22" i="48"/>
  <c r="V26" i="48"/>
  <c r="R27" i="48"/>
  <c r="V30" i="48"/>
  <c r="R31" i="48"/>
  <c r="J34" i="48"/>
  <c r="R36" i="48"/>
  <c r="V38" i="48"/>
  <c r="R39" i="48"/>
  <c r="J40" i="48"/>
  <c r="J46" i="48"/>
  <c r="V50" i="48"/>
  <c r="V54" i="48"/>
  <c r="J58" i="48"/>
  <c r="J62" i="48"/>
  <c r="H18" i="49"/>
  <c r="L18" i="49" s="1"/>
  <c r="F21" i="49"/>
  <c r="R27" i="49"/>
  <c r="R31" i="49"/>
  <c r="R34" i="49"/>
  <c r="D115" i="51"/>
  <c r="T115" i="51"/>
  <c r="T18" i="52"/>
  <c r="J16" i="53"/>
  <c r="J20" i="53"/>
  <c r="F22" i="53"/>
  <c r="V22" i="53"/>
  <c r="L16" i="54"/>
  <c r="R24" i="54"/>
  <c r="J22" i="55"/>
  <c r="V63" i="56"/>
  <c r="V43" i="56"/>
  <c r="V35" i="56"/>
  <c r="V23" i="56"/>
  <c r="V77" i="56"/>
  <c r="V72" i="56"/>
  <c r="V70" i="56"/>
  <c r="V66" i="56"/>
  <c r="V42" i="56"/>
  <c r="V34" i="56"/>
  <c r="V65" i="56"/>
  <c r="V53" i="56"/>
  <c r="V49" i="56"/>
  <c r="V45" i="56"/>
  <c r="V60" i="56"/>
  <c r="V52" i="56"/>
  <c r="V48" i="56"/>
  <c r="V44" i="56"/>
  <c r="V36" i="56"/>
  <c r="V20" i="56"/>
  <c r="Z12" i="56"/>
  <c r="V59" i="56"/>
  <c r="V55" i="56"/>
  <c r="V74" i="56"/>
  <c r="V68" i="56"/>
  <c r="V62" i="56"/>
  <c r="V58" i="56"/>
  <c r="V54" i="56"/>
  <c r="V50" i="56"/>
  <c r="V46" i="56"/>
  <c r="V61" i="56"/>
  <c r="V57" i="56"/>
  <c r="V19" i="56"/>
  <c r="V27" i="56"/>
  <c r="V31" i="56"/>
  <c r="F35" i="56"/>
  <c r="N38" i="56"/>
  <c r="R52" i="56"/>
  <c r="N61" i="56"/>
  <c r="V64" i="56"/>
  <c r="P70" i="57"/>
  <c r="Z38" i="57"/>
  <c r="N18" i="58"/>
  <c r="Z12" i="46"/>
  <c r="F16" i="46"/>
  <c r="V16" i="46"/>
  <c r="F20" i="46"/>
  <c r="V20" i="46"/>
  <c r="L21" i="46"/>
  <c r="J24" i="46"/>
  <c r="X34" i="46"/>
  <c r="X12" i="47"/>
  <c r="X24" i="47"/>
  <c r="F27" i="47"/>
  <c r="V27" i="47"/>
  <c r="F31" i="47"/>
  <c r="V31" i="47"/>
  <c r="F34" i="47"/>
  <c r="V34" i="47"/>
  <c r="X12" i="48"/>
  <c r="V17" i="48"/>
  <c r="J23" i="48"/>
  <c r="V27" i="48"/>
  <c r="R28" i="48"/>
  <c r="X30" i="48"/>
  <c r="Z30" i="48" s="1"/>
  <c r="V31" i="48"/>
  <c r="R32" i="48"/>
  <c r="J35" i="48"/>
  <c r="X38" i="48"/>
  <c r="Z38" i="48" s="1"/>
  <c r="V39" i="48"/>
  <c r="L40" i="48"/>
  <c r="J43" i="48"/>
  <c r="R45" i="48"/>
  <c r="V47" i="48"/>
  <c r="R48" i="48"/>
  <c r="J49" i="48"/>
  <c r="R57" i="48"/>
  <c r="J59" i="48"/>
  <c r="R61" i="48"/>
  <c r="V63" i="48"/>
  <c r="R64" i="48"/>
  <c r="R67" i="48"/>
  <c r="L15" i="49"/>
  <c r="R16" i="49"/>
  <c r="J18" i="49"/>
  <c r="R20" i="49"/>
  <c r="X21" i="49"/>
  <c r="F24" i="49"/>
  <c r="V24" i="49"/>
  <c r="L25" i="49"/>
  <c r="L29" i="49"/>
  <c r="L33" i="49"/>
  <c r="F21" i="50"/>
  <c r="V21" i="50"/>
  <c r="L22" i="50"/>
  <c r="R27" i="50"/>
  <c r="R31" i="50"/>
  <c r="R34" i="50"/>
  <c r="X80" i="51"/>
  <c r="L82" i="51"/>
  <c r="N82" i="51" s="1"/>
  <c r="X96" i="51"/>
  <c r="Z96" i="51" s="1"/>
  <c r="L102" i="51"/>
  <c r="N102" i="51" s="1"/>
  <c r="X108" i="51"/>
  <c r="Z108" i="51" s="1"/>
  <c r="L110" i="51"/>
  <c r="L116" i="51"/>
  <c r="N116" i="51" s="1"/>
  <c r="X118" i="51"/>
  <c r="Z118" i="51" s="1"/>
  <c r="N12" i="52"/>
  <c r="X15" i="52"/>
  <c r="V18" i="52"/>
  <c r="J22" i="52"/>
  <c r="X25" i="52"/>
  <c r="X29" i="52"/>
  <c r="X33" i="52"/>
  <c r="L12" i="53"/>
  <c r="F15" i="53"/>
  <c r="V15" i="53"/>
  <c r="L16" i="53"/>
  <c r="D18" i="53"/>
  <c r="T18" i="53"/>
  <c r="L20" i="53"/>
  <c r="R21" i="53"/>
  <c r="X22" i="53"/>
  <c r="F25" i="53"/>
  <c r="V25" i="53"/>
  <c r="F29" i="53"/>
  <c r="V29" i="53"/>
  <c r="F33" i="53"/>
  <c r="V33" i="53"/>
  <c r="F36" i="53"/>
  <c r="V36" i="53"/>
  <c r="F14" i="54"/>
  <c r="F18" i="54"/>
  <c r="F22" i="54"/>
  <c r="F28" i="54"/>
  <c r="F31" i="54"/>
  <c r="N12" i="55"/>
  <c r="J14" i="55"/>
  <c r="T16" i="55"/>
  <c r="V19" i="55"/>
  <c r="V20" i="55"/>
  <c r="X24" i="55"/>
  <c r="Z24" i="55" s="1"/>
  <c r="X12" i="56"/>
  <c r="R16" i="56"/>
  <c r="F19" i="56"/>
  <c r="F22" i="56"/>
  <c r="F23" i="56"/>
  <c r="F24" i="56"/>
  <c r="R25" i="56"/>
  <c r="R26" i="56"/>
  <c r="R29" i="56"/>
  <c r="R30" i="56"/>
  <c r="L40" i="56"/>
  <c r="R41" i="56"/>
  <c r="Z44" i="56"/>
  <c r="R48" i="56"/>
  <c r="N54" i="56"/>
  <c r="V56" i="56"/>
  <c r="N63" i="56"/>
  <c r="L63" i="56"/>
  <c r="R68" i="56"/>
  <c r="N19" i="57"/>
  <c r="V34" i="57"/>
  <c r="N40" i="57"/>
  <c r="X55" i="57"/>
  <c r="Z55" i="57" s="1"/>
  <c r="N57" i="57"/>
  <c r="L57" i="57"/>
  <c r="V62" i="57"/>
  <c r="L49" i="61"/>
  <c r="N49" i="61"/>
  <c r="J51" i="63"/>
  <c r="J47" i="63"/>
  <c r="J41" i="63"/>
  <c r="J25" i="63"/>
  <c r="J19" i="63"/>
  <c r="J65" i="63"/>
  <c r="J58" i="63"/>
  <c r="J38" i="63"/>
  <c r="J24" i="63"/>
  <c r="J16" i="63"/>
  <c r="J53" i="63"/>
  <c r="J43" i="63"/>
  <c r="J35" i="63"/>
  <c r="J29" i="63"/>
  <c r="J23" i="63"/>
  <c r="H16" i="63"/>
  <c r="J62" i="63"/>
  <c r="J56" i="63"/>
  <c r="J52" i="63"/>
  <c r="J48" i="63"/>
  <c r="J42" i="63"/>
  <c r="J32" i="63"/>
  <c r="J28" i="63"/>
  <c r="J20" i="63"/>
  <c r="J18" i="63"/>
  <c r="J14" i="63"/>
  <c r="N12" i="63"/>
  <c r="J39" i="63"/>
  <c r="J31" i="63"/>
  <c r="J27" i="63"/>
  <c r="L12" i="63"/>
  <c r="J40" i="63"/>
  <c r="J34" i="63"/>
  <c r="J46" i="63"/>
  <c r="J30" i="63"/>
  <c r="J54" i="63"/>
  <c r="J49" i="63"/>
  <c r="J21" i="63"/>
  <c r="J60" i="63"/>
  <c r="J33" i="63"/>
  <c r="J45" i="63"/>
  <c r="J37" i="63"/>
  <c r="J26" i="63"/>
  <c r="J50" i="63"/>
  <c r="T58" i="63"/>
  <c r="X22" i="64"/>
  <c r="Z22" i="64" s="1"/>
  <c r="H12" i="68"/>
  <c r="J27" i="46"/>
  <c r="J31" i="46"/>
  <c r="J34" i="46"/>
  <c r="Z12" i="47"/>
  <c r="F16" i="47"/>
  <c r="V16" i="47"/>
  <c r="F20" i="47"/>
  <c r="V20" i="47"/>
  <c r="R22" i="47"/>
  <c r="Z12" i="48"/>
  <c r="H17" i="48"/>
  <c r="V20" i="48"/>
  <c r="R21" i="48"/>
  <c r="J24" i="48"/>
  <c r="V28" i="48"/>
  <c r="R29" i="48"/>
  <c r="J30" i="48"/>
  <c r="V32" i="48"/>
  <c r="R33" i="48"/>
  <c r="V36" i="48"/>
  <c r="R37" i="48"/>
  <c r="J38" i="48"/>
  <c r="R42" i="48"/>
  <c r="J44" i="48"/>
  <c r="V48" i="48"/>
  <c r="J52" i="48"/>
  <c r="J56" i="48"/>
  <c r="J60" i="48"/>
  <c r="V64" i="48"/>
  <c r="X12" i="49"/>
  <c r="J21" i="49"/>
  <c r="F27" i="49"/>
  <c r="V27" i="49"/>
  <c r="F31" i="49"/>
  <c r="V31" i="49"/>
  <c r="F34" i="49"/>
  <c r="V34" i="49"/>
  <c r="R16" i="50"/>
  <c r="R20" i="50"/>
  <c r="F24" i="50"/>
  <c r="V24" i="50"/>
  <c r="T12" i="51"/>
  <c r="X12" i="51" s="1"/>
  <c r="H115" i="51"/>
  <c r="J115" i="51" s="1"/>
  <c r="J15" i="52"/>
  <c r="H18" i="52"/>
  <c r="V21" i="52"/>
  <c r="J25" i="52"/>
  <c r="R27" i="52"/>
  <c r="J29" i="52"/>
  <c r="R31" i="52"/>
  <c r="J33" i="52"/>
  <c r="R34" i="52"/>
  <c r="J36" i="52"/>
  <c r="N12" i="53"/>
  <c r="F18" i="53"/>
  <c r="V18" i="53"/>
  <c r="J22" i="53"/>
  <c r="R24" i="53"/>
  <c r="L12" i="54"/>
  <c r="P16" i="54"/>
  <c r="R36" i="55"/>
  <c r="R30" i="55"/>
  <c r="R28" i="55"/>
  <c r="R23" i="55"/>
  <c r="R18" i="55"/>
  <c r="J23" i="55"/>
  <c r="R27" i="55"/>
  <c r="J28" i="55"/>
  <c r="J32" i="55"/>
  <c r="J38" i="55"/>
  <c r="V14" i="56"/>
  <c r="T16" i="56"/>
  <c r="F21" i="56"/>
  <c r="J22" i="56"/>
  <c r="J23" i="56"/>
  <c r="V25" i="56"/>
  <c r="V26" i="56"/>
  <c r="V29" i="56"/>
  <c r="V30" i="56"/>
  <c r="R33" i="56"/>
  <c r="V39" i="56"/>
  <c r="V41" i="56"/>
  <c r="V47" i="56"/>
  <c r="N50" i="56"/>
  <c r="V51" i="56"/>
  <c r="J60" i="56"/>
  <c r="Z61" i="56"/>
  <c r="X61" i="56"/>
  <c r="R74" i="56"/>
  <c r="V26" i="57"/>
  <c r="V42" i="57"/>
  <c r="V58" i="57"/>
  <c r="L61" i="57"/>
  <c r="N61" i="57" s="1"/>
  <c r="T78" i="58"/>
  <c r="J22" i="63"/>
  <c r="J36" i="63"/>
  <c r="Z25" i="70"/>
  <c r="X25" i="70"/>
  <c r="T12" i="70"/>
  <c r="J16" i="46"/>
  <c r="J20" i="46"/>
  <c r="F22" i="46"/>
  <c r="V22" i="46"/>
  <c r="R15" i="47"/>
  <c r="P18" i="47"/>
  <c r="R25" i="47"/>
  <c r="R29" i="47"/>
  <c r="R33" i="47"/>
  <c r="R36" i="47"/>
  <c r="R15" i="48"/>
  <c r="R19" i="48"/>
  <c r="V21" i="48"/>
  <c r="R22" i="48"/>
  <c r="J25" i="48"/>
  <c r="V29" i="48"/>
  <c r="V33" i="48"/>
  <c r="R34" i="48"/>
  <c r="V37" i="48"/>
  <c r="J41" i="48"/>
  <c r="V45" i="48"/>
  <c r="R46" i="48"/>
  <c r="J47" i="48"/>
  <c r="R51" i="48"/>
  <c r="J53" i="48"/>
  <c r="R55" i="48"/>
  <c r="V57" i="48"/>
  <c r="R58" i="48"/>
  <c r="V61" i="48"/>
  <c r="R62" i="48"/>
  <c r="J63" i="48"/>
  <c r="V67" i="48"/>
  <c r="J71" i="48"/>
  <c r="F16" i="49"/>
  <c r="V16" i="49"/>
  <c r="F20" i="49"/>
  <c r="V20" i="49"/>
  <c r="R22" i="49"/>
  <c r="J24" i="49"/>
  <c r="F27" i="50"/>
  <c r="V27" i="50"/>
  <c r="F31" i="50"/>
  <c r="V31" i="50"/>
  <c r="J18" i="52"/>
  <c r="V24" i="52"/>
  <c r="J15" i="53"/>
  <c r="H18" i="53"/>
  <c r="F21" i="53"/>
  <c r="V21" i="53"/>
  <c r="J25" i="53"/>
  <c r="R27" i="53"/>
  <c r="J29" i="53"/>
  <c r="R31" i="53"/>
  <c r="J33" i="53"/>
  <c r="R34" i="53"/>
  <c r="J36" i="53"/>
  <c r="N12" i="54"/>
  <c r="J14" i="54"/>
  <c r="R16" i="54"/>
  <c r="J18" i="54"/>
  <c r="R20" i="54"/>
  <c r="J22" i="54"/>
  <c r="R26" i="54"/>
  <c r="J28" i="54"/>
  <c r="J31" i="54"/>
  <c r="V29" i="55"/>
  <c r="V38" i="55"/>
  <c r="V32" i="55"/>
  <c r="V22" i="55"/>
  <c r="V16" i="55"/>
  <c r="H16" i="55"/>
  <c r="J19" i="55"/>
  <c r="V26" i="55"/>
  <c r="V27" i="55"/>
  <c r="J29" i="55"/>
  <c r="J34" i="55"/>
  <c r="J41" i="55"/>
  <c r="F14" i="56"/>
  <c r="V16" i="56"/>
  <c r="X18" i="56"/>
  <c r="Z18" i="56" s="1"/>
  <c r="V24" i="56"/>
  <c r="V28" i="56"/>
  <c r="V32" i="56"/>
  <c r="V33" i="56"/>
  <c r="R36" i="56"/>
  <c r="V37" i="56"/>
  <c r="R38" i="56"/>
  <c r="F45" i="56"/>
  <c r="R54" i="56"/>
  <c r="V61" i="57"/>
  <c r="V57" i="57"/>
  <c r="V45" i="57"/>
  <c r="V37" i="57"/>
  <c r="V29" i="57"/>
  <c r="V25" i="57"/>
  <c r="T16" i="57"/>
  <c r="X16" i="57" s="1"/>
  <c r="V64" i="57"/>
  <c r="V52" i="57"/>
  <c r="V48" i="57"/>
  <c r="V36" i="57"/>
  <c r="V28" i="57"/>
  <c r="V24" i="57"/>
  <c r="V63" i="57"/>
  <c r="V51" i="57"/>
  <c r="V47" i="57"/>
  <c r="V39" i="57"/>
  <c r="V23" i="57"/>
  <c r="V77" i="57"/>
  <c r="V72" i="57"/>
  <c r="V70" i="57"/>
  <c r="V66" i="57"/>
  <c r="V54" i="57"/>
  <c r="V50" i="57"/>
  <c r="V38" i="57"/>
  <c r="V22" i="57"/>
  <c r="V18" i="57"/>
  <c r="V14" i="57"/>
  <c r="V65" i="57"/>
  <c r="V53" i="57"/>
  <c r="V49" i="57"/>
  <c r="V41" i="57"/>
  <c r="V33" i="57"/>
  <c r="V21" i="57"/>
  <c r="V60" i="57"/>
  <c r="V56" i="57"/>
  <c r="V44" i="57"/>
  <c r="V40" i="57"/>
  <c r="V32" i="57"/>
  <c r="V20" i="57"/>
  <c r="Z12" i="57"/>
  <c r="V59" i="57"/>
  <c r="V55" i="57"/>
  <c r="V43" i="57"/>
  <c r="V35" i="57"/>
  <c r="V31" i="57"/>
  <c r="V27" i="57"/>
  <c r="V19" i="57"/>
  <c r="X12" i="57"/>
  <c r="Z17" i="64"/>
  <c r="X17" i="64"/>
  <c r="J20" i="48"/>
  <c r="J26" i="48"/>
  <c r="J36" i="48"/>
  <c r="R40" i="48"/>
  <c r="R43" i="48"/>
  <c r="J50" i="48"/>
  <c r="J54" i="48"/>
  <c r="R59" i="48"/>
  <c r="R66" i="48"/>
  <c r="V24" i="53"/>
  <c r="F63" i="56"/>
  <c r="F60" i="56"/>
  <c r="F52" i="56"/>
  <c r="F48" i="56"/>
  <c r="F20" i="56"/>
  <c r="L12" i="56"/>
  <c r="F77" i="56"/>
  <c r="F70" i="56"/>
  <c r="F59" i="56"/>
  <c r="F55" i="56"/>
  <c r="F51" i="56"/>
  <c r="F47" i="56"/>
  <c r="F42" i="56"/>
  <c r="F39" i="56"/>
  <c r="F34" i="56"/>
  <c r="F31" i="56"/>
  <c r="F27" i="56"/>
  <c r="F65" i="56"/>
  <c r="F62" i="56"/>
  <c r="F58" i="56"/>
  <c r="F57" i="56"/>
  <c r="F44" i="56"/>
  <c r="F41" i="56"/>
  <c r="F36" i="56"/>
  <c r="F33" i="56"/>
  <c r="F29" i="56"/>
  <c r="F25" i="56"/>
  <c r="F64" i="56"/>
  <c r="F74" i="56"/>
  <c r="F68" i="56"/>
  <c r="F54" i="56"/>
  <c r="F50" i="56"/>
  <c r="F46" i="56"/>
  <c r="F43" i="56"/>
  <c r="F72" i="56"/>
  <c r="F66" i="56"/>
  <c r="F61" i="56"/>
  <c r="D16" i="56"/>
  <c r="Z36" i="56"/>
  <c r="Z38" i="56"/>
  <c r="R46" i="56"/>
  <c r="F49" i="56"/>
  <c r="R50" i="56"/>
  <c r="F56" i="56"/>
  <c r="H77" i="57"/>
  <c r="X19" i="57"/>
  <c r="Z19" i="57" s="1"/>
  <c r="Z40" i="57"/>
  <c r="N45" i="57"/>
  <c r="L45" i="57"/>
  <c r="Z42" i="59"/>
  <c r="X42" i="59"/>
  <c r="F138" i="64"/>
  <c r="F114" i="64"/>
  <c r="F106" i="64"/>
  <c r="F101" i="64"/>
  <c r="F98" i="64"/>
  <c r="F82" i="64"/>
  <c r="F124" i="64"/>
  <c r="F121" i="64"/>
  <c r="F113" i="64"/>
  <c r="F105" i="64"/>
  <c r="F97" i="64"/>
  <c r="F92" i="64"/>
  <c r="F81" i="64"/>
  <c r="F147" i="64"/>
  <c r="F141" i="64"/>
  <c r="F135" i="64"/>
  <c r="F127" i="64"/>
  <c r="F120" i="64"/>
  <c r="F112" i="64"/>
  <c r="F104" i="64"/>
  <c r="F100" i="64"/>
  <c r="F87" i="64"/>
  <c r="F80" i="64"/>
  <c r="F145" i="64"/>
  <c r="F130" i="64"/>
  <c r="F123" i="64"/>
  <c r="F119" i="64"/>
  <c r="F111" i="64"/>
  <c r="F103" i="64"/>
  <c r="F94" i="64"/>
  <c r="F91" i="64"/>
  <c r="F133" i="64"/>
  <c r="F129" i="64"/>
  <c r="F125" i="64"/>
  <c r="F117" i="64"/>
  <c r="F109" i="64"/>
  <c r="F96" i="64"/>
  <c r="F93" i="64"/>
  <c r="F89" i="64"/>
  <c r="F85" i="64"/>
  <c r="F150" i="64"/>
  <c r="F143" i="64"/>
  <c r="F136" i="64"/>
  <c r="F132" i="64"/>
  <c r="F128" i="64"/>
  <c r="F116" i="64"/>
  <c r="F108" i="64"/>
  <c r="F99" i="64"/>
  <c r="F88" i="64"/>
  <c r="F84" i="64"/>
  <c r="F95" i="64"/>
  <c r="F90" i="64"/>
  <c r="F86" i="64"/>
  <c r="F72" i="64"/>
  <c r="F64" i="64"/>
  <c r="F56" i="64"/>
  <c r="F51" i="64"/>
  <c r="F134" i="64"/>
  <c r="F131" i="64"/>
  <c r="F122" i="64"/>
  <c r="F83" i="64"/>
  <c r="F71" i="64"/>
  <c r="F63" i="64"/>
  <c r="F55" i="64"/>
  <c r="F70" i="64"/>
  <c r="F62" i="64"/>
  <c r="F54" i="64"/>
  <c r="F126" i="64"/>
  <c r="F78" i="64"/>
  <c r="F77" i="64"/>
  <c r="F67" i="64"/>
  <c r="F59" i="64"/>
  <c r="F137" i="64"/>
  <c r="F118" i="64"/>
  <c r="F110" i="64"/>
  <c r="F102" i="64"/>
  <c r="F75" i="64"/>
  <c r="F66" i="64"/>
  <c r="F58" i="64"/>
  <c r="F69" i="64"/>
  <c r="F68" i="64"/>
  <c r="F65" i="64"/>
  <c r="F73" i="64"/>
  <c r="F61" i="64"/>
  <c r="F60" i="64"/>
  <c r="F57" i="64"/>
  <c r="F115" i="64"/>
  <c r="F79" i="64"/>
  <c r="F53" i="64"/>
  <c r="F52" i="64"/>
  <c r="D75" i="64"/>
  <c r="F140" i="64"/>
  <c r="F107" i="64"/>
  <c r="N12" i="46"/>
  <c r="L12" i="47"/>
  <c r="F15" i="47"/>
  <c r="V15" i="47"/>
  <c r="D18" i="47"/>
  <c r="T18" i="47"/>
  <c r="F25" i="47"/>
  <c r="V25" i="47"/>
  <c r="F29" i="47"/>
  <c r="V29" i="47"/>
  <c r="F33" i="47"/>
  <c r="V33" i="47"/>
  <c r="V15" i="48"/>
  <c r="V19" i="48"/>
  <c r="V23" i="48"/>
  <c r="R24" i="48"/>
  <c r="J27" i="48"/>
  <c r="J31" i="48"/>
  <c r="V35" i="48"/>
  <c r="J39" i="48"/>
  <c r="V43" i="48"/>
  <c r="R44" i="48"/>
  <c r="J45" i="48"/>
  <c r="R49" i="48"/>
  <c r="V51" i="48"/>
  <c r="R52" i="48"/>
  <c r="V55" i="48"/>
  <c r="R56" i="48"/>
  <c r="J57" i="48"/>
  <c r="R60" i="48"/>
  <c r="J61" i="48"/>
  <c r="J67" i="48"/>
  <c r="R69" i="48"/>
  <c r="J16" i="49"/>
  <c r="R15" i="50"/>
  <c r="P18" i="50"/>
  <c r="R25" i="50"/>
  <c r="R29" i="50"/>
  <c r="R33" i="50"/>
  <c r="Z12" i="52"/>
  <c r="V16" i="52"/>
  <c r="F27" i="53"/>
  <c r="V27" i="53"/>
  <c r="F31" i="53"/>
  <c r="V31" i="53"/>
  <c r="F16" i="54"/>
  <c r="V16" i="54"/>
  <c r="F20" i="54"/>
  <c r="V20" i="54"/>
  <c r="F26" i="54"/>
  <c r="V26" i="54"/>
  <c r="Z12" i="55"/>
  <c r="R14" i="55"/>
  <c r="V23" i="55"/>
  <c r="X28" i="55"/>
  <c r="Z28" i="55" s="1"/>
  <c r="V30" i="55"/>
  <c r="R32" i="55"/>
  <c r="V36" i="55"/>
  <c r="R38" i="55"/>
  <c r="J65" i="56"/>
  <c r="J59" i="56"/>
  <c r="J55" i="56"/>
  <c r="J51" i="56"/>
  <c r="J47" i="56"/>
  <c r="J39" i="56"/>
  <c r="J31" i="56"/>
  <c r="J27" i="56"/>
  <c r="J62" i="56"/>
  <c r="J58" i="56"/>
  <c r="J44" i="56"/>
  <c r="J36" i="56"/>
  <c r="J30" i="56"/>
  <c r="J26" i="56"/>
  <c r="J57" i="56"/>
  <c r="J41" i="56"/>
  <c r="J74" i="56"/>
  <c r="J68" i="56"/>
  <c r="J64" i="56"/>
  <c r="J54" i="56"/>
  <c r="J50" i="56"/>
  <c r="J46" i="56"/>
  <c r="J38" i="56"/>
  <c r="J24" i="56"/>
  <c r="J16" i="56"/>
  <c r="J61" i="56"/>
  <c r="J72" i="56"/>
  <c r="J66" i="56"/>
  <c r="J56" i="56"/>
  <c r="J40" i="56"/>
  <c r="J63" i="56"/>
  <c r="J53" i="56"/>
  <c r="J49" i="56"/>
  <c r="J14" i="56"/>
  <c r="F16" i="56"/>
  <c r="V18" i="56"/>
  <c r="X19" i="56"/>
  <c r="Z19" i="56" s="1"/>
  <c r="V22" i="56"/>
  <c r="R23" i="56"/>
  <c r="F28" i="56"/>
  <c r="F32" i="56"/>
  <c r="V38" i="56"/>
  <c r="Z46" i="56"/>
  <c r="Z50" i="56"/>
  <c r="Z53" i="57"/>
  <c r="Z16" i="58"/>
  <c r="P55" i="60"/>
  <c r="F19" i="57"/>
  <c r="F24" i="57"/>
  <c r="F48" i="57"/>
  <c r="F52" i="57"/>
  <c r="F55" i="57"/>
  <c r="F64" i="57"/>
  <c r="R65" i="57"/>
  <c r="F76" i="58"/>
  <c r="F70" i="58"/>
  <c r="F65" i="58"/>
  <c r="F57" i="58"/>
  <c r="F67" i="58"/>
  <c r="F64" i="58"/>
  <c r="F59" i="58"/>
  <c r="F56" i="58"/>
  <c r="J19" i="58"/>
  <c r="V21" i="58"/>
  <c r="R22" i="58"/>
  <c r="J25" i="58"/>
  <c r="F26" i="58"/>
  <c r="V29" i="58"/>
  <c r="V33" i="58"/>
  <c r="R34" i="58"/>
  <c r="V37" i="58"/>
  <c r="J41" i="58"/>
  <c r="V45" i="58"/>
  <c r="V58" i="58"/>
  <c r="X59" i="58"/>
  <c r="Z67" i="58"/>
  <c r="R74" i="58"/>
  <c r="V81" i="58"/>
  <c r="J20" i="59"/>
  <c r="J32" i="59"/>
  <c r="J51" i="59"/>
  <c r="J23" i="60"/>
  <c r="J24" i="60"/>
  <c r="N30" i="60"/>
  <c r="N32" i="60"/>
  <c r="X33" i="61"/>
  <c r="R104" i="62"/>
  <c r="R89" i="62"/>
  <c r="R49" i="62"/>
  <c r="R45" i="62"/>
  <c r="R33" i="62"/>
  <c r="R29" i="62"/>
  <c r="R21" i="62"/>
  <c r="R14" i="62"/>
  <c r="R92" i="62"/>
  <c r="R88" i="62"/>
  <c r="R68" i="62"/>
  <c r="R65" i="62"/>
  <c r="R60" i="62"/>
  <c r="R57" i="62"/>
  <c r="R52" i="62"/>
  <c r="R48" i="62"/>
  <c r="R41" i="62"/>
  <c r="R32" i="62"/>
  <c r="R28" i="62"/>
  <c r="X12" i="62"/>
  <c r="R102" i="62"/>
  <c r="R87" i="62"/>
  <c r="R79" i="62"/>
  <c r="R75" i="62"/>
  <c r="R51" i="62"/>
  <c r="R47" i="62"/>
  <c r="R44" i="62"/>
  <c r="R27" i="62"/>
  <c r="R20" i="62"/>
  <c r="R103" i="62"/>
  <c r="R100" i="62"/>
  <c r="R96" i="62"/>
  <c r="R93" i="62"/>
  <c r="R84" i="62"/>
  <c r="R72" i="62"/>
  <c r="R69" i="62"/>
  <c r="R64" i="62"/>
  <c r="R61" i="62"/>
  <c r="R56" i="62"/>
  <c r="R53" i="62"/>
  <c r="R40" i="62"/>
  <c r="R36" i="62"/>
  <c r="R24" i="62"/>
  <c r="R109" i="62"/>
  <c r="R80" i="62"/>
  <c r="R76" i="62"/>
  <c r="R43" i="62"/>
  <c r="R35" i="62"/>
  <c r="R23" i="62"/>
  <c r="R15" i="62"/>
  <c r="R31" i="62"/>
  <c r="R37" i="62"/>
  <c r="R38" i="62"/>
  <c r="F45" i="62"/>
  <c r="F49" i="62"/>
  <c r="F54" i="62"/>
  <c r="R62" i="62"/>
  <c r="N71" i="62"/>
  <c r="R73" i="62"/>
  <c r="R74" i="62"/>
  <c r="L76" i="62"/>
  <c r="N76" i="62" s="1"/>
  <c r="F78" i="62"/>
  <c r="F86" i="62"/>
  <c r="F89" i="62"/>
  <c r="F90" i="62"/>
  <c r="R94" i="62"/>
  <c r="L99" i="62"/>
  <c r="R50" i="63"/>
  <c r="R46" i="63"/>
  <c r="R34" i="63"/>
  <c r="R22" i="63"/>
  <c r="R62" i="63"/>
  <c r="R56" i="63"/>
  <c r="R49" i="63"/>
  <c r="R45" i="63"/>
  <c r="R42" i="63"/>
  <c r="R37" i="63"/>
  <c r="R33" i="63"/>
  <c r="R21" i="63"/>
  <c r="R18" i="63"/>
  <c r="R14" i="63"/>
  <c r="R52" i="63"/>
  <c r="R48" i="63"/>
  <c r="R32" i="63"/>
  <c r="R28" i="63"/>
  <c r="R20" i="63"/>
  <c r="X12" i="63"/>
  <c r="R65" i="63"/>
  <c r="R58" i="63"/>
  <c r="R41" i="63"/>
  <c r="R38" i="63"/>
  <c r="R25" i="63"/>
  <c r="R16" i="63"/>
  <c r="R53" i="63"/>
  <c r="R29" i="63"/>
  <c r="R24" i="63"/>
  <c r="P16" i="63"/>
  <c r="V16" i="63"/>
  <c r="V18" i="63"/>
  <c r="R19" i="63"/>
  <c r="R23" i="63"/>
  <c r="Z29" i="63"/>
  <c r="V30" i="63"/>
  <c r="R35" i="63"/>
  <c r="R39" i="63"/>
  <c r="R40" i="63"/>
  <c r="R43" i="63"/>
  <c r="V46" i="63"/>
  <c r="R47" i="63"/>
  <c r="V53" i="63"/>
  <c r="V58" i="63"/>
  <c r="N13" i="64"/>
  <c r="H12" i="64"/>
  <c r="N26" i="64"/>
  <c r="L26" i="64"/>
  <c r="Z27" i="64"/>
  <c r="N16" i="66"/>
  <c r="L16" i="66"/>
  <c r="X23" i="69"/>
  <c r="Z23" i="69" s="1"/>
  <c r="P12" i="69"/>
  <c r="F25" i="57"/>
  <c r="F29" i="57"/>
  <c r="F37" i="57"/>
  <c r="F40" i="57"/>
  <c r="J68" i="57"/>
  <c r="R70" i="57"/>
  <c r="J74" i="57"/>
  <c r="R77" i="57"/>
  <c r="J67" i="58"/>
  <c r="J59" i="58"/>
  <c r="J53" i="58"/>
  <c r="J81" i="58"/>
  <c r="J74" i="58"/>
  <c r="J64" i="58"/>
  <c r="J69" i="58"/>
  <c r="J63" i="58"/>
  <c r="J55" i="58"/>
  <c r="R23" i="58"/>
  <c r="J26" i="58"/>
  <c r="F27" i="58"/>
  <c r="F31" i="58"/>
  <c r="R35" i="58"/>
  <c r="J36" i="58"/>
  <c r="F39" i="58"/>
  <c r="R40" i="58"/>
  <c r="F42" i="58"/>
  <c r="V42" i="58"/>
  <c r="R43" i="58"/>
  <c r="J44" i="58"/>
  <c r="F47" i="58"/>
  <c r="R48" i="58"/>
  <c r="F50" i="58"/>
  <c r="V50" i="58"/>
  <c r="R51" i="58"/>
  <c r="J54" i="58"/>
  <c r="R59" i="58"/>
  <c r="F62" i="58"/>
  <c r="F63" i="58"/>
  <c r="V72" i="58"/>
  <c r="J28" i="59"/>
  <c r="J30" i="59"/>
  <c r="Z55" i="59"/>
  <c r="J32" i="60"/>
  <c r="J34" i="60"/>
  <c r="J35" i="60"/>
  <c r="Z46" i="60"/>
  <c r="Z28" i="61"/>
  <c r="F26" i="62"/>
  <c r="F53" i="62"/>
  <c r="R67" i="62"/>
  <c r="F70" i="62"/>
  <c r="F76" i="62"/>
  <c r="N99" i="62"/>
  <c r="L103" i="62"/>
  <c r="N103" i="62" s="1"/>
  <c r="D102" i="62"/>
  <c r="L102" i="62" s="1"/>
  <c r="N102" i="62" s="1"/>
  <c r="R114" i="62"/>
  <c r="V49" i="63"/>
  <c r="V45" i="63"/>
  <c r="V37" i="63"/>
  <c r="V33" i="63"/>
  <c r="V21" i="63"/>
  <c r="V52" i="63"/>
  <c r="V48" i="63"/>
  <c r="V44" i="63"/>
  <c r="V36" i="63"/>
  <c r="V32" i="63"/>
  <c r="V28" i="63"/>
  <c r="V20" i="63"/>
  <c r="Z12" i="63"/>
  <c r="V51" i="63"/>
  <c r="V47" i="63"/>
  <c r="V39" i="63"/>
  <c r="V31" i="63"/>
  <c r="V27" i="63"/>
  <c r="V19" i="63"/>
  <c r="V40" i="63"/>
  <c r="V24" i="63"/>
  <c r="V43" i="63"/>
  <c r="V35" i="63"/>
  <c r="V23" i="63"/>
  <c r="V14" i="63"/>
  <c r="Z19" i="63"/>
  <c r="V29" i="63"/>
  <c r="V34" i="63"/>
  <c r="V42" i="63"/>
  <c r="Z47" i="63"/>
  <c r="V56" i="63"/>
  <c r="Z33" i="64"/>
  <c r="Z38" i="64"/>
  <c r="X38" i="64"/>
  <c r="X20" i="66"/>
  <c r="Z20" i="66" s="1"/>
  <c r="J60" i="67"/>
  <c r="J56" i="67"/>
  <c r="J48" i="67"/>
  <c r="J42" i="67"/>
  <c r="J30" i="67"/>
  <c r="J22" i="67"/>
  <c r="J71" i="67"/>
  <c r="J53" i="67"/>
  <c r="J45" i="67"/>
  <c r="J41" i="67"/>
  <c r="J29" i="67"/>
  <c r="J27" i="67"/>
  <c r="J68" i="67"/>
  <c r="J62" i="67"/>
  <c r="J50" i="67"/>
  <c r="J40" i="67"/>
  <c r="J36" i="67"/>
  <c r="J67" i="67"/>
  <c r="J59" i="67"/>
  <c r="J55" i="67"/>
  <c r="J47" i="67"/>
  <c r="J39" i="67"/>
  <c r="J35" i="67"/>
  <c r="J21" i="67"/>
  <c r="J74" i="67"/>
  <c r="J70" i="67"/>
  <c r="J66" i="67"/>
  <c r="J58" i="67"/>
  <c r="J52" i="67"/>
  <c r="J44" i="67"/>
  <c r="J38" i="67"/>
  <c r="J34" i="67"/>
  <c r="J65" i="67"/>
  <c r="J61" i="67"/>
  <c r="J57" i="67"/>
  <c r="J49" i="67"/>
  <c r="J33" i="67"/>
  <c r="J25" i="67"/>
  <c r="J78" i="67"/>
  <c r="J72" i="67"/>
  <c r="J64" i="67"/>
  <c r="J54" i="67"/>
  <c r="J46" i="67"/>
  <c r="J32" i="67"/>
  <c r="H25" i="67"/>
  <c r="J51" i="67"/>
  <c r="J37" i="67"/>
  <c r="J31" i="67"/>
  <c r="J43" i="67"/>
  <c r="J69" i="67"/>
  <c r="L33" i="68"/>
  <c r="X17" i="71"/>
  <c r="Z17" i="71" s="1"/>
  <c r="T12" i="71"/>
  <c r="N37" i="71"/>
  <c r="L37" i="71"/>
  <c r="F26" i="57"/>
  <c r="F30" i="57"/>
  <c r="L34" i="57"/>
  <c r="X40" i="57"/>
  <c r="L42" i="57"/>
  <c r="N42" i="57" s="1"/>
  <c r="F46" i="57"/>
  <c r="F49" i="57"/>
  <c r="F53" i="57"/>
  <c r="F58" i="57"/>
  <c r="F62" i="57"/>
  <c r="R63" i="57"/>
  <c r="F65" i="57"/>
  <c r="R66" i="57"/>
  <c r="L68" i="57"/>
  <c r="R72" i="57"/>
  <c r="L12" i="58"/>
  <c r="X14" i="58"/>
  <c r="P16" i="58"/>
  <c r="X18" i="58"/>
  <c r="Z18" i="58" s="1"/>
  <c r="F20" i="58"/>
  <c r="V23" i="58"/>
  <c r="R24" i="58"/>
  <c r="J27" i="58"/>
  <c r="F28" i="58"/>
  <c r="J31" i="58"/>
  <c r="F32" i="58"/>
  <c r="V35" i="58"/>
  <c r="J39" i="58"/>
  <c r="V43" i="58"/>
  <c r="J47" i="58"/>
  <c r="V51" i="58"/>
  <c r="R52" i="58"/>
  <c r="R53" i="58"/>
  <c r="J56" i="58"/>
  <c r="Z59" i="58"/>
  <c r="J62" i="58"/>
  <c r="J65" i="58"/>
  <c r="F66" i="58"/>
  <c r="F68" i="58"/>
  <c r="F69" i="58"/>
  <c r="J70" i="58"/>
  <c r="F72" i="58"/>
  <c r="V74" i="58"/>
  <c r="F78" i="58"/>
  <c r="L14" i="59"/>
  <c r="L18" i="59"/>
  <c r="X18" i="59"/>
  <c r="Z18" i="59" s="1"/>
  <c r="J31" i="59"/>
  <c r="J38" i="59"/>
  <c r="J41" i="59"/>
  <c r="L14" i="60"/>
  <c r="H16" i="60"/>
  <c r="J27" i="60"/>
  <c r="J43" i="60"/>
  <c r="Z33" i="61"/>
  <c r="P107" i="62"/>
  <c r="N20" i="62"/>
  <c r="F29" i="62"/>
  <c r="F30" i="62"/>
  <c r="F33" i="62"/>
  <c r="F34" i="62"/>
  <c r="F41" i="62"/>
  <c r="R55" i="62"/>
  <c r="R58" i="62"/>
  <c r="Z61" i="62"/>
  <c r="F65" i="62"/>
  <c r="F69" i="62"/>
  <c r="N83" i="62"/>
  <c r="Z93" i="62"/>
  <c r="F98" i="62"/>
  <c r="F103" i="62"/>
  <c r="V22" i="63"/>
  <c r="Z38" i="63"/>
  <c r="V50" i="63"/>
  <c r="R51" i="63"/>
  <c r="P12" i="64"/>
  <c r="T12" i="64"/>
  <c r="X14" i="64"/>
  <c r="Z14" i="64" s="1"/>
  <c r="Z26" i="64"/>
  <c r="X33" i="64"/>
  <c r="N42" i="64"/>
  <c r="L42" i="64"/>
  <c r="Z43" i="64"/>
  <c r="Z130" i="64"/>
  <c r="J28" i="67"/>
  <c r="T12" i="68"/>
  <c r="N33" i="68"/>
  <c r="Z34" i="68"/>
  <c r="L102" i="71"/>
  <c r="N102" i="71"/>
  <c r="F14" i="57"/>
  <c r="N16" i="57"/>
  <c r="F18" i="57"/>
  <c r="R23" i="57"/>
  <c r="J26" i="57"/>
  <c r="F27" i="57"/>
  <c r="R28" i="57"/>
  <c r="J30" i="57"/>
  <c r="F31" i="57"/>
  <c r="F35" i="57"/>
  <c r="R36" i="57"/>
  <c r="F38" i="57"/>
  <c r="R39" i="57"/>
  <c r="J40" i="57"/>
  <c r="F43" i="57"/>
  <c r="J46" i="57"/>
  <c r="R51" i="57"/>
  <c r="J58" i="57"/>
  <c r="F59" i="57"/>
  <c r="J62" i="57"/>
  <c r="F70" i="57"/>
  <c r="F77" i="57"/>
  <c r="N12" i="58"/>
  <c r="J14" i="58"/>
  <c r="Z14" i="58"/>
  <c r="R16" i="58"/>
  <c r="J18" i="58"/>
  <c r="J20" i="58"/>
  <c r="F21" i="58"/>
  <c r="V24" i="58"/>
  <c r="R25" i="58"/>
  <c r="J28" i="58"/>
  <c r="F29" i="58"/>
  <c r="R30" i="58"/>
  <c r="J32" i="58"/>
  <c r="F33" i="58"/>
  <c r="F37" i="58"/>
  <c r="R38" i="58"/>
  <c r="F40" i="58"/>
  <c r="V40" i="58"/>
  <c r="R41" i="58"/>
  <c r="J42" i="58"/>
  <c r="F45" i="58"/>
  <c r="R46" i="58"/>
  <c r="F48" i="58"/>
  <c r="V48" i="58"/>
  <c r="R49" i="58"/>
  <c r="J50" i="58"/>
  <c r="V52" i="58"/>
  <c r="V53" i="58"/>
  <c r="F55" i="58"/>
  <c r="F61" i="58"/>
  <c r="L65" i="58"/>
  <c r="N65" i="58" s="1"/>
  <c r="J66" i="58"/>
  <c r="J68" i="58"/>
  <c r="J76" i="58"/>
  <c r="F81" i="58"/>
  <c r="F56" i="59"/>
  <c r="F24" i="59"/>
  <c r="F19" i="59"/>
  <c r="F50" i="59"/>
  <c r="F47" i="59"/>
  <c r="F43" i="59"/>
  <c r="F38" i="59"/>
  <c r="F35" i="59"/>
  <c r="F30" i="59"/>
  <c r="F23" i="59"/>
  <c r="F16" i="59"/>
  <c r="F68" i="59"/>
  <c r="F61" i="59"/>
  <c r="F53" i="59"/>
  <c r="F46" i="59"/>
  <c r="F34" i="59"/>
  <c r="F22" i="59"/>
  <c r="D16" i="59"/>
  <c r="F14" i="59"/>
  <c r="F18" i="59"/>
  <c r="F26" i="59"/>
  <c r="J27" i="59"/>
  <c r="N42" i="59"/>
  <c r="F44" i="59"/>
  <c r="F48" i="59"/>
  <c r="Z53" i="59"/>
  <c r="X59" i="59"/>
  <c r="F63" i="59"/>
  <c r="F65" i="59"/>
  <c r="F53" i="60"/>
  <c r="F47" i="60"/>
  <c r="F38" i="60"/>
  <c r="F34" i="60"/>
  <c r="F31" i="60"/>
  <c r="F23" i="60"/>
  <c r="F16" i="60"/>
  <c r="F22" i="60"/>
  <c r="D16" i="60"/>
  <c r="F44" i="60"/>
  <c r="F40" i="60"/>
  <c r="F37" i="60"/>
  <c r="F33" i="60"/>
  <c r="F28" i="60"/>
  <c r="F21" i="60"/>
  <c r="F42" i="60"/>
  <c r="F26" i="60"/>
  <c r="F45" i="60"/>
  <c r="F14" i="60"/>
  <c r="J16" i="60"/>
  <c r="N18" i="60"/>
  <c r="F19" i="60"/>
  <c r="Z30" i="60"/>
  <c r="Z40" i="60"/>
  <c r="X44" i="60"/>
  <c r="F55" i="60"/>
  <c r="L18" i="61"/>
  <c r="N18" i="61" s="1"/>
  <c r="N35" i="61"/>
  <c r="N39" i="61"/>
  <c r="R17" i="62"/>
  <c r="L39" i="62"/>
  <c r="N39" i="62" s="1"/>
  <c r="N44" i="62"/>
  <c r="X46" i="62"/>
  <c r="X50" i="62"/>
  <c r="Z50" i="62" s="1"/>
  <c r="R54" i="62"/>
  <c r="L63" i="62"/>
  <c r="R71" i="62"/>
  <c r="R77" i="62"/>
  <c r="R78" i="62"/>
  <c r="L80" i="62"/>
  <c r="F82" i="62"/>
  <c r="R85" i="62"/>
  <c r="R86" i="62"/>
  <c r="R90" i="62"/>
  <c r="L95" i="62"/>
  <c r="R26" i="63"/>
  <c r="R27" i="63"/>
  <c r="R36" i="63"/>
  <c r="V38" i="63"/>
  <c r="L40" i="63"/>
  <c r="N40" i="63" s="1"/>
  <c r="R44" i="63"/>
  <c r="Z51" i="63"/>
  <c r="L53" i="63"/>
  <c r="V62" i="63"/>
  <c r="N18" i="64"/>
  <c r="L18" i="64"/>
  <c r="Z19" i="64"/>
  <c r="X42" i="64"/>
  <c r="Z42" i="64" s="1"/>
  <c r="L46" i="64"/>
  <c r="Z49" i="64"/>
  <c r="Z108" i="66"/>
  <c r="L13" i="67"/>
  <c r="D12" i="67"/>
  <c r="L17" i="67"/>
  <c r="Z18" i="67"/>
  <c r="N22" i="68"/>
  <c r="L12" i="57"/>
  <c r="X14" i="57"/>
  <c r="F20" i="57"/>
  <c r="F32" i="57"/>
  <c r="F44" i="57"/>
  <c r="F47" i="57"/>
  <c r="F56" i="57"/>
  <c r="F60" i="57"/>
  <c r="R61" i="57"/>
  <c r="F63" i="57"/>
  <c r="R64" i="57"/>
  <c r="J65" i="57"/>
  <c r="R66" i="58"/>
  <c r="R62" i="58"/>
  <c r="R58" i="58"/>
  <c r="R78" i="58"/>
  <c r="R72" i="58"/>
  <c r="R61" i="58"/>
  <c r="R68" i="58"/>
  <c r="R65" i="58"/>
  <c r="R60" i="58"/>
  <c r="R57" i="58"/>
  <c r="D16" i="58"/>
  <c r="R19" i="58"/>
  <c r="J21" i="58"/>
  <c r="F22" i="58"/>
  <c r="R26" i="58"/>
  <c r="J29" i="58"/>
  <c r="J33" i="58"/>
  <c r="F34" i="58"/>
  <c r="J37" i="58"/>
  <c r="V41" i="58"/>
  <c r="J45" i="58"/>
  <c r="V49" i="58"/>
  <c r="J57" i="58"/>
  <c r="F58" i="58"/>
  <c r="F60" i="58"/>
  <c r="J61" i="58"/>
  <c r="R63" i="58"/>
  <c r="J72" i="58"/>
  <c r="J78" i="58"/>
  <c r="J68" i="59"/>
  <c r="J61" i="59"/>
  <c r="J53" i="59"/>
  <c r="J47" i="59"/>
  <c r="J43" i="59"/>
  <c r="J35" i="59"/>
  <c r="J23" i="59"/>
  <c r="H16" i="59"/>
  <c r="J46" i="59"/>
  <c r="J40" i="59"/>
  <c r="J34" i="59"/>
  <c r="J22" i="59"/>
  <c r="J55" i="59"/>
  <c r="J49" i="59"/>
  <c r="J45" i="59"/>
  <c r="J37" i="59"/>
  <c r="J33" i="59"/>
  <c r="J29" i="59"/>
  <c r="J21" i="59"/>
  <c r="J16" i="59"/>
  <c r="N18" i="59"/>
  <c r="J24" i="59"/>
  <c r="J26" i="59"/>
  <c r="J42" i="59"/>
  <c r="J63" i="59"/>
  <c r="J44" i="60"/>
  <c r="J40" i="60"/>
  <c r="J28" i="60"/>
  <c r="J22" i="60"/>
  <c r="J58" i="60"/>
  <c r="J51" i="60"/>
  <c r="J37" i="60"/>
  <c r="J33" i="60"/>
  <c r="J21" i="60"/>
  <c r="J46" i="60"/>
  <c r="J36" i="60"/>
  <c r="J30" i="60"/>
  <c r="J20" i="60"/>
  <c r="J18" i="60"/>
  <c r="J14" i="60"/>
  <c r="N12" i="60"/>
  <c r="J55" i="60"/>
  <c r="J49" i="60"/>
  <c r="J45" i="60"/>
  <c r="J41" i="60"/>
  <c r="J29" i="60"/>
  <c r="J25" i="60"/>
  <c r="J19" i="60"/>
  <c r="J26" i="60"/>
  <c r="J53" i="60"/>
  <c r="Z41" i="61"/>
  <c r="R25" i="62"/>
  <c r="R26" i="62"/>
  <c r="F42" i="62"/>
  <c r="R46" i="62"/>
  <c r="R50" i="62"/>
  <c r="X53" i="62"/>
  <c r="N63" i="62"/>
  <c r="F66" i="62"/>
  <c r="R70" i="62"/>
  <c r="Z76" i="62"/>
  <c r="R99" i="62"/>
  <c r="R107" i="62"/>
  <c r="L16" i="63"/>
  <c r="V25" i="63"/>
  <c r="V26" i="63"/>
  <c r="D58" i="63"/>
  <c r="R60" i="63"/>
  <c r="X18" i="64"/>
  <c r="L22" i="64"/>
  <c r="Z25" i="64"/>
  <c r="Z30" i="64"/>
  <c r="X30" i="64"/>
  <c r="T12" i="66"/>
  <c r="N89" i="66"/>
  <c r="L89" i="66"/>
  <c r="F21" i="57"/>
  <c r="F28" i="57"/>
  <c r="F33" i="57"/>
  <c r="F36" i="57"/>
  <c r="F41" i="57"/>
  <c r="J56" i="57"/>
  <c r="J60" i="57"/>
  <c r="R68" i="57"/>
  <c r="J70" i="57"/>
  <c r="R74" i="57"/>
  <c r="J77" i="57"/>
  <c r="V65" i="58"/>
  <c r="V61" i="58"/>
  <c r="V57" i="58"/>
  <c r="V68" i="58"/>
  <c r="V60" i="58"/>
  <c r="V67" i="58"/>
  <c r="V59" i="58"/>
  <c r="F16" i="58"/>
  <c r="V16" i="58"/>
  <c r="J22" i="58"/>
  <c r="F23" i="58"/>
  <c r="V26" i="58"/>
  <c r="R27" i="58"/>
  <c r="F30" i="58"/>
  <c r="V30" i="58"/>
  <c r="R31" i="58"/>
  <c r="J34" i="58"/>
  <c r="F35" i="58"/>
  <c r="R36" i="58"/>
  <c r="F38" i="58"/>
  <c r="V38" i="58"/>
  <c r="R39" i="58"/>
  <c r="J40" i="58"/>
  <c r="F43" i="58"/>
  <c r="R44" i="58"/>
  <c r="F46" i="58"/>
  <c r="V46" i="58"/>
  <c r="R47" i="58"/>
  <c r="J48" i="58"/>
  <c r="F51" i="58"/>
  <c r="R54" i="58"/>
  <c r="R55" i="58"/>
  <c r="R56" i="58"/>
  <c r="J58" i="58"/>
  <c r="J60" i="58"/>
  <c r="V62" i="58"/>
  <c r="V63" i="58"/>
  <c r="R69" i="58"/>
  <c r="R70" i="58"/>
  <c r="F74" i="58"/>
  <c r="L12" i="59"/>
  <c r="J14" i="59"/>
  <c r="J18" i="59"/>
  <c r="J25" i="59"/>
  <c r="J44" i="59"/>
  <c r="J48" i="59"/>
  <c r="J56" i="59"/>
  <c r="J65" i="59"/>
  <c r="Z44" i="60"/>
  <c r="J47" i="60"/>
  <c r="F102" i="62"/>
  <c r="F97" i="62"/>
  <c r="F85" i="62"/>
  <c r="F81" i="62"/>
  <c r="F77" i="62"/>
  <c r="F73" i="62"/>
  <c r="F44" i="62"/>
  <c r="F37" i="62"/>
  <c r="F25" i="62"/>
  <c r="F20" i="62"/>
  <c r="F111" i="62"/>
  <c r="F105" i="62"/>
  <c r="F100" i="62"/>
  <c r="F96" i="62"/>
  <c r="F91" i="62"/>
  <c r="F84" i="62"/>
  <c r="F72" i="62"/>
  <c r="F67" i="62"/>
  <c r="F64" i="62"/>
  <c r="F59" i="62"/>
  <c r="F56" i="62"/>
  <c r="F40" i="62"/>
  <c r="F36" i="62"/>
  <c r="F31" i="62"/>
  <c r="F24" i="62"/>
  <c r="F17" i="62"/>
  <c r="F109" i="62"/>
  <c r="F50" i="62"/>
  <c r="F46" i="62"/>
  <c r="F43" i="62"/>
  <c r="F35" i="62"/>
  <c r="F23" i="62"/>
  <c r="D17" i="62"/>
  <c r="F15" i="62"/>
  <c r="F114" i="62"/>
  <c r="F107" i="62"/>
  <c r="F99" i="62"/>
  <c r="F95" i="62"/>
  <c r="F92" i="62"/>
  <c r="F88" i="62"/>
  <c r="F83" i="62"/>
  <c r="F71" i="62"/>
  <c r="F68" i="62"/>
  <c r="F63" i="62"/>
  <c r="F60" i="62"/>
  <c r="F55" i="62"/>
  <c r="F52" i="62"/>
  <c r="F48" i="62"/>
  <c r="F39" i="62"/>
  <c r="F32" i="62"/>
  <c r="F28" i="62"/>
  <c r="F19" i="62"/>
  <c r="L12" i="62"/>
  <c r="F104" i="62"/>
  <c r="F87" i="62"/>
  <c r="F79" i="62"/>
  <c r="F75" i="62"/>
  <c r="F51" i="62"/>
  <c r="F47" i="62"/>
  <c r="F27" i="62"/>
  <c r="F14" i="62"/>
  <c r="F38" i="62"/>
  <c r="Z46" i="62"/>
  <c r="Z53" i="62"/>
  <c r="F57" i="62"/>
  <c r="R59" i="62"/>
  <c r="F62" i="62"/>
  <c r="F74" i="62"/>
  <c r="R83" i="62"/>
  <c r="R91" i="62"/>
  <c r="F94" i="62"/>
  <c r="R97" i="62"/>
  <c r="R98" i="62"/>
  <c r="R111" i="62"/>
  <c r="V60" i="63"/>
  <c r="Z18" i="64"/>
  <c r="N34" i="64"/>
  <c r="L34" i="64"/>
  <c r="Z35" i="64"/>
  <c r="X25" i="71"/>
  <c r="Z25" i="71" s="1"/>
  <c r="D16" i="57"/>
  <c r="R19" i="57"/>
  <c r="J21" i="57"/>
  <c r="F22" i="57"/>
  <c r="R26" i="57"/>
  <c r="R30" i="57"/>
  <c r="J33" i="57"/>
  <c r="J41" i="57"/>
  <c r="F45" i="57"/>
  <c r="R46" i="57"/>
  <c r="J47" i="57"/>
  <c r="F50" i="57"/>
  <c r="F54" i="57"/>
  <c r="R55" i="57"/>
  <c r="F57" i="57"/>
  <c r="R58" i="57"/>
  <c r="F61" i="57"/>
  <c r="F66" i="57"/>
  <c r="X12" i="58"/>
  <c r="H16" i="58"/>
  <c r="F19" i="58"/>
  <c r="V19" i="58"/>
  <c r="R20" i="58"/>
  <c r="J23" i="58"/>
  <c r="F24" i="58"/>
  <c r="V27" i="58"/>
  <c r="R28" i="58"/>
  <c r="V31" i="58"/>
  <c r="R32" i="58"/>
  <c r="J35" i="58"/>
  <c r="V39" i="58"/>
  <c r="J43" i="58"/>
  <c r="V47" i="58"/>
  <c r="J51" i="58"/>
  <c r="F52" i="58"/>
  <c r="V55" i="58"/>
  <c r="V56" i="58"/>
  <c r="V66" i="58"/>
  <c r="X67" i="58"/>
  <c r="Z69" i="58"/>
  <c r="V70" i="58"/>
  <c r="R76" i="58"/>
  <c r="R81" i="58"/>
  <c r="N12" i="59"/>
  <c r="F45" i="59"/>
  <c r="F49" i="59"/>
  <c r="J52" i="59"/>
  <c r="J54" i="59"/>
  <c r="J57" i="59"/>
  <c r="J59" i="59"/>
  <c r="Z18" i="60"/>
  <c r="F25" i="60"/>
  <c r="Z28" i="60"/>
  <c r="L30" i="60"/>
  <c r="Z32" i="60"/>
  <c r="F39" i="60"/>
  <c r="L14" i="61"/>
  <c r="Z35" i="61"/>
  <c r="Z44" i="61"/>
  <c r="L19" i="62"/>
  <c r="N19" i="62" s="1"/>
  <c r="R42" i="62"/>
  <c r="L55" i="62"/>
  <c r="N55" i="62" s="1"/>
  <c r="F61" i="62"/>
  <c r="R66" i="62"/>
  <c r="Z69" i="62"/>
  <c r="R81" i="62"/>
  <c r="R82" i="62"/>
  <c r="F93" i="62"/>
  <c r="Z103" i="62"/>
  <c r="T102" i="62"/>
  <c r="N29" i="63"/>
  <c r="R54" i="63"/>
  <c r="X34" i="64"/>
  <c r="Z34" i="64" s="1"/>
  <c r="L38" i="64"/>
  <c r="Z41" i="64"/>
  <c r="L45" i="64"/>
  <c r="Z46" i="64"/>
  <c r="X46" i="64"/>
  <c r="Z99" i="64"/>
  <c r="N101" i="64"/>
  <c r="J23" i="67"/>
  <c r="X27" i="67"/>
  <c r="Z27" i="67" s="1"/>
  <c r="N46" i="67"/>
  <c r="L46" i="67"/>
  <c r="F26" i="61"/>
  <c r="F30" i="61"/>
  <c r="F34" i="61"/>
  <c r="F37" i="61"/>
  <c r="J39" i="61"/>
  <c r="F42" i="61"/>
  <c r="J45" i="61"/>
  <c r="J49" i="61"/>
  <c r="J55" i="61"/>
  <c r="J20" i="62"/>
  <c r="J26" i="62"/>
  <c r="J38" i="62"/>
  <c r="J44" i="62"/>
  <c r="J54" i="62"/>
  <c r="J62" i="62"/>
  <c r="J70" i="62"/>
  <c r="J74" i="62"/>
  <c r="J78" i="62"/>
  <c r="J82" i="62"/>
  <c r="J86" i="62"/>
  <c r="V90" i="62"/>
  <c r="J94" i="62"/>
  <c r="J98" i="62"/>
  <c r="J102" i="62"/>
  <c r="V104" i="62"/>
  <c r="L77" i="64"/>
  <c r="N77" i="64" s="1"/>
  <c r="Z38" i="65"/>
  <c r="N31" i="66"/>
  <c r="X129" i="66"/>
  <c r="Z129" i="66" s="1"/>
  <c r="T127" i="66"/>
  <c r="Z16" i="67"/>
  <c r="Z21" i="68"/>
  <c r="Z32" i="68"/>
  <c r="F14" i="61"/>
  <c r="F18" i="61"/>
  <c r="J26" i="61"/>
  <c r="F27" i="61"/>
  <c r="J30" i="61"/>
  <c r="F31" i="61"/>
  <c r="J34" i="61"/>
  <c r="J42" i="61"/>
  <c r="F43" i="61"/>
  <c r="F46" i="61"/>
  <c r="J27" i="62"/>
  <c r="J41" i="62"/>
  <c r="J47" i="62"/>
  <c r="J51" i="62"/>
  <c r="J57" i="62"/>
  <c r="J65" i="62"/>
  <c r="J75" i="62"/>
  <c r="J79" i="62"/>
  <c r="J87" i="62"/>
  <c r="V99" i="62"/>
  <c r="V107" i="62"/>
  <c r="V109" i="62"/>
  <c r="V114" i="62"/>
  <c r="Z135" i="64"/>
  <c r="V46" i="65"/>
  <c r="V38" i="65"/>
  <c r="V34" i="65"/>
  <c r="V30" i="65"/>
  <c r="V20" i="65"/>
  <c r="V49" i="65"/>
  <c r="V41" i="65"/>
  <c r="V33" i="65"/>
  <c r="V29" i="65"/>
  <c r="T20" i="65"/>
  <c r="V66" i="65"/>
  <c r="V48" i="65"/>
  <c r="V40" i="65"/>
  <c r="V32" i="65"/>
  <c r="V28" i="65"/>
  <c r="V51" i="65"/>
  <c r="V43" i="65"/>
  <c r="V27" i="65"/>
  <c r="V61" i="65"/>
  <c r="V57" i="65"/>
  <c r="V53" i="65"/>
  <c r="V45" i="65"/>
  <c r="V37" i="65"/>
  <c r="V25" i="65"/>
  <c r="V17" i="65"/>
  <c r="V70" i="65"/>
  <c r="V64" i="65"/>
  <c r="V60" i="65"/>
  <c r="V56" i="65"/>
  <c r="V52" i="65"/>
  <c r="V44" i="65"/>
  <c r="V36" i="65"/>
  <c r="V24" i="65"/>
  <c r="V16" i="65"/>
  <c r="V18" i="65"/>
  <c r="V26" i="65"/>
  <c r="V47" i="65"/>
  <c r="X52" i="65"/>
  <c r="Z52" i="65" s="1"/>
  <c r="Z16" i="66"/>
  <c r="Z24" i="66"/>
  <c r="X28" i="66"/>
  <c r="Z28" i="66" s="1"/>
  <c r="Z32" i="66"/>
  <c r="X36" i="66"/>
  <c r="Z36" i="66" s="1"/>
  <c r="Z40" i="66"/>
  <c r="N86" i="66"/>
  <c r="Z128" i="66"/>
  <c r="Z15" i="67"/>
  <c r="Z74" i="67"/>
  <c r="X74" i="67"/>
  <c r="P12" i="68"/>
  <c r="N16" i="68"/>
  <c r="N99" i="69"/>
  <c r="L99" i="69"/>
  <c r="T16" i="59"/>
  <c r="R19" i="59"/>
  <c r="V25" i="59"/>
  <c r="R26" i="59"/>
  <c r="V41" i="59"/>
  <c r="V53" i="59"/>
  <c r="R54" i="59"/>
  <c r="V57" i="59"/>
  <c r="V61" i="59"/>
  <c r="V63" i="59"/>
  <c r="V68" i="59"/>
  <c r="R16" i="60"/>
  <c r="V24" i="60"/>
  <c r="R25" i="60"/>
  <c r="V28" i="60"/>
  <c r="R29" i="60"/>
  <c r="R34" i="60"/>
  <c r="R38" i="60"/>
  <c r="V40" i="60"/>
  <c r="R41" i="60"/>
  <c r="V44" i="60"/>
  <c r="R45" i="60"/>
  <c r="D16" i="61"/>
  <c r="T16" i="61"/>
  <c r="R19" i="61"/>
  <c r="J21" i="61"/>
  <c r="F22" i="61"/>
  <c r="V25" i="61"/>
  <c r="R26" i="61"/>
  <c r="V29" i="61"/>
  <c r="R30" i="61"/>
  <c r="F33" i="61"/>
  <c r="V33" i="61"/>
  <c r="R34" i="61"/>
  <c r="J35" i="61"/>
  <c r="F38" i="61"/>
  <c r="R39" i="61"/>
  <c r="F41" i="61"/>
  <c r="V41" i="61"/>
  <c r="R42" i="61"/>
  <c r="V45" i="61"/>
  <c r="R49" i="61"/>
  <c r="J51" i="61"/>
  <c r="R55" i="61"/>
  <c r="J58" i="61"/>
  <c r="T17" i="62"/>
  <c r="X17" i="62" s="1"/>
  <c r="J22" i="62"/>
  <c r="V26" i="62"/>
  <c r="J30" i="62"/>
  <c r="J34" i="62"/>
  <c r="V38" i="62"/>
  <c r="J42" i="62"/>
  <c r="V46" i="62"/>
  <c r="V50" i="62"/>
  <c r="V54" i="62"/>
  <c r="J58" i="62"/>
  <c r="V62" i="62"/>
  <c r="J66" i="62"/>
  <c r="V70" i="62"/>
  <c r="V74" i="62"/>
  <c r="J76" i="62"/>
  <c r="V78" i="62"/>
  <c r="J80" i="62"/>
  <c r="V82" i="62"/>
  <c r="V86" i="62"/>
  <c r="J90" i="62"/>
  <c r="V94" i="62"/>
  <c r="V98" i="62"/>
  <c r="F19" i="63"/>
  <c r="F24" i="63"/>
  <c r="F47" i="63"/>
  <c r="F51" i="63"/>
  <c r="Z77" i="64"/>
  <c r="Z94" i="64"/>
  <c r="X94" i="64"/>
  <c r="N96" i="64"/>
  <c r="L96" i="64"/>
  <c r="H12" i="65"/>
  <c r="L12" i="65" s="1"/>
  <c r="N13" i="65"/>
  <c r="V42" i="65"/>
  <c r="V55" i="65"/>
  <c r="V59" i="65"/>
  <c r="D12" i="66"/>
  <c r="L21" i="66"/>
  <c r="L29" i="66"/>
  <c r="N29" i="66" s="1"/>
  <c r="L37" i="66"/>
  <c r="N37" i="66" s="1"/>
  <c r="Z122" i="66"/>
  <c r="L129" i="66"/>
  <c r="N129" i="66" s="1"/>
  <c r="D127" i="66"/>
  <c r="L127" i="66" s="1"/>
  <c r="N127" i="66" s="1"/>
  <c r="P12" i="67"/>
  <c r="L21" i="67"/>
  <c r="N21" i="67" s="1"/>
  <c r="Z44" i="67"/>
  <c r="X44" i="67"/>
  <c r="Z50" i="67"/>
  <c r="Z16" i="68"/>
  <c r="L25" i="68"/>
  <c r="Z26" i="68"/>
  <c r="D12" i="70"/>
  <c r="L14" i="70"/>
  <c r="N14" i="70" s="1"/>
  <c r="V16" i="59"/>
  <c r="V26" i="59"/>
  <c r="R27" i="59"/>
  <c r="V30" i="59"/>
  <c r="R31" i="59"/>
  <c r="R36" i="59"/>
  <c r="V38" i="59"/>
  <c r="R39" i="59"/>
  <c r="R44" i="59"/>
  <c r="R48" i="59"/>
  <c r="V50" i="59"/>
  <c r="R51" i="59"/>
  <c r="V54" i="59"/>
  <c r="R19" i="60"/>
  <c r="V25" i="60"/>
  <c r="R26" i="60"/>
  <c r="V29" i="60"/>
  <c r="V41" i="60"/>
  <c r="R42" i="60"/>
  <c r="V45" i="60"/>
  <c r="R49" i="60"/>
  <c r="R55" i="60"/>
  <c r="F16" i="61"/>
  <c r="V16" i="61"/>
  <c r="J22" i="61"/>
  <c r="F23" i="61"/>
  <c r="V26" i="61"/>
  <c r="J28" i="61"/>
  <c r="V30" i="61"/>
  <c r="V34" i="61"/>
  <c r="J38" i="61"/>
  <c r="V42" i="61"/>
  <c r="R43" i="61"/>
  <c r="J44" i="61"/>
  <c r="F47" i="61"/>
  <c r="F53" i="61"/>
  <c r="J15" i="62"/>
  <c r="J23" i="62"/>
  <c r="J35" i="62"/>
  <c r="J43" i="62"/>
  <c r="V47" i="62"/>
  <c r="V51" i="62"/>
  <c r="J53" i="62"/>
  <c r="V59" i="62"/>
  <c r="J61" i="62"/>
  <c r="V67" i="62"/>
  <c r="J69" i="62"/>
  <c r="V75" i="62"/>
  <c r="V79" i="62"/>
  <c r="V87" i="62"/>
  <c r="V91" i="62"/>
  <c r="J93" i="62"/>
  <c r="J103" i="62"/>
  <c r="V105" i="62"/>
  <c r="J109" i="62"/>
  <c r="V111" i="62"/>
  <c r="Z127" i="64"/>
  <c r="X13" i="65"/>
  <c r="P12" i="65"/>
  <c r="H12" i="66"/>
  <c r="N13" i="66"/>
  <c r="T12" i="67"/>
  <c r="N54" i="67"/>
  <c r="L54" i="67"/>
  <c r="N25" i="68"/>
  <c r="N70" i="68"/>
  <c r="L70" i="68"/>
  <c r="X12" i="59"/>
  <c r="V19" i="59"/>
  <c r="R20" i="59"/>
  <c r="V27" i="59"/>
  <c r="R28" i="59"/>
  <c r="V31" i="59"/>
  <c r="R32" i="59"/>
  <c r="V39" i="59"/>
  <c r="R52" i="59"/>
  <c r="R59" i="59"/>
  <c r="V16" i="60"/>
  <c r="V26" i="60"/>
  <c r="R27" i="60"/>
  <c r="R32" i="60"/>
  <c r="V34" i="60"/>
  <c r="R35" i="60"/>
  <c r="V38" i="60"/>
  <c r="R39" i="60"/>
  <c r="X12" i="61"/>
  <c r="H16" i="61"/>
  <c r="F19" i="61"/>
  <c r="V19" i="61"/>
  <c r="J23" i="61"/>
  <c r="F24" i="61"/>
  <c r="V27" i="61"/>
  <c r="V31" i="61"/>
  <c r="R32" i="61"/>
  <c r="J33" i="61"/>
  <c r="F36" i="61"/>
  <c r="R37" i="61"/>
  <c r="F39" i="61"/>
  <c r="V39" i="61"/>
  <c r="J41" i="61"/>
  <c r="V43" i="61"/>
  <c r="J47" i="61"/>
  <c r="F49" i="61"/>
  <c r="V49" i="61"/>
  <c r="H17" i="62"/>
  <c r="V20" i="62"/>
  <c r="J24" i="62"/>
  <c r="V28" i="62"/>
  <c r="V32" i="62"/>
  <c r="J36" i="62"/>
  <c r="J40" i="62"/>
  <c r="V44" i="62"/>
  <c r="J46" i="62"/>
  <c r="V48" i="62"/>
  <c r="J50" i="62"/>
  <c r="V52" i="62"/>
  <c r="J56" i="62"/>
  <c r="V60" i="62"/>
  <c r="J64" i="62"/>
  <c r="V68" i="62"/>
  <c r="J72" i="62"/>
  <c r="J84" i="62"/>
  <c r="V88" i="62"/>
  <c r="V92" i="62"/>
  <c r="J96" i="62"/>
  <c r="F26" i="63"/>
  <c r="F30" i="63"/>
  <c r="F54" i="63"/>
  <c r="Z141" i="64"/>
  <c r="Z13" i="65"/>
  <c r="N16" i="65"/>
  <c r="V31" i="65"/>
  <c r="V35" i="65"/>
  <c r="N38" i="65"/>
  <c r="V39" i="65"/>
  <c r="V50" i="65"/>
  <c r="X13" i="66"/>
  <c r="P12" i="66"/>
  <c r="X17" i="66"/>
  <c r="Z17" i="66" s="1"/>
  <c r="L24" i="66"/>
  <c r="X25" i="66"/>
  <c r="Z25" i="66" s="1"/>
  <c r="L32" i="66"/>
  <c r="X33" i="66"/>
  <c r="Z33" i="66" s="1"/>
  <c r="L40" i="66"/>
  <c r="N40" i="66" s="1"/>
  <c r="X41" i="66"/>
  <c r="Z41" i="66" s="1"/>
  <c r="N96" i="66"/>
  <c r="N28" i="67"/>
  <c r="X52" i="67"/>
  <c r="Z52" i="67" s="1"/>
  <c r="L17" i="68"/>
  <c r="N17" i="68" s="1"/>
  <c r="Z18" i="68"/>
  <c r="N21" i="68"/>
  <c r="Z29" i="68"/>
  <c r="L13" i="65"/>
  <c r="L13" i="66"/>
  <c r="X13" i="67"/>
  <c r="Z13" i="67" s="1"/>
  <c r="X13" i="68"/>
  <c r="Z13" i="68" s="1"/>
  <c r="L66" i="68"/>
  <c r="N66" i="68" s="1"/>
  <c r="Z75" i="68"/>
  <c r="X14" i="69"/>
  <c r="X19" i="69"/>
  <c r="Z19" i="69" s="1"/>
  <c r="Z37" i="69"/>
  <c r="X46" i="69"/>
  <c r="X20" i="70"/>
  <c r="Z20" i="70" s="1"/>
  <c r="Z61" i="70"/>
  <c r="D12" i="71"/>
  <c r="L14" i="71"/>
  <c r="N14" i="71" s="1"/>
  <c r="N23" i="71"/>
  <c r="Z33" i="71"/>
  <c r="X33" i="71"/>
  <c r="Z70" i="71"/>
  <c r="N76" i="71"/>
  <c r="N80" i="71"/>
  <c r="R23" i="72"/>
  <c r="R47" i="72"/>
  <c r="D12" i="68"/>
  <c r="N31" i="69"/>
  <c r="L31" i="69"/>
  <c r="Z45" i="69"/>
  <c r="Z46" i="69"/>
  <c r="N83" i="69"/>
  <c r="L83" i="69"/>
  <c r="L127" i="69"/>
  <c r="N127" i="69" s="1"/>
  <c r="Z135" i="69"/>
  <c r="Z36" i="70"/>
  <c r="Z71" i="70"/>
  <c r="X71" i="70"/>
  <c r="X20" i="71"/>
  <c r="X28" i="71"/>
  <c r="Z28" i="71" s="1"/>
  <c r="Z18" i="72"/>
  <c r="X18" i="72"/>
  <c r="R31" i="72"/>
  <c r="L57" i="74"/>
  <c r="N57" i="74" s="1"/>
  <c r="X14" i="79"/>
  <c r="Z14" i="79" s="1"/>
  <c r="P12" i="79"/>
  <c r="Z27" i="69"/>
  <c r="X27" i="69"/>
  <c r="N39" i="69"/>
  <c r="L39" i="69"/>
  <c r="X121" i="69"/>
  <c r="Z121" i="69" s="1"/>
  <c r="H12" i="70"/>
  <c r="N13" i="70"/>
  <c r="L13" i="70"/>
  <c r="Z20" i="71"/>
  <c r="L117" i="71"/>
  <c r="D115" i="71"/>
  <c r="L115" i="71" s="1"/>
  <c r="N115" i="71" s="1"/>
  <c r="X13" i="74"/>
  <c r="Z13" i="74" s="1"/>
  <c r="P12" i="74"/>
  <c r="N20" i="69"/>
  <c r="Z22" i="69"/>
  <c r="L34" i="69"/>
  <c r="X53" i="69"/>
  <c r="Z53" i="69" s="1"/>
  <c r="X13" i="70"/>
  <c r="P12" i="70"/>
  <c r="Z27" i="70"/>
  <c r="Z28" i="70"/>
  <c r="Z50" i="70"/>
  <c r="N63" i="70"/>
  <c r="H12" i="71"/>
  <c r="N13" i="71"/>
  <c r="L13" i="71"/>
  <c r="Z19" i="71"/>
  <c r="Z27" i="71"/>
  <c r="X36" i="71"/>
  <c r="Z36" i="71" s="1"/>
  <c r="N59" i="71"/>
  <c r="N108" i="71"/>
  <c r="H12" i="72"/>
  <c r="L15" i="72"/>
  <c r="R34" i="72"/>
  <c r="F62" i="73"/>
  <c r="F50" i="73"/>
  <c r="F34" i="73"/>
  <c r="F30" i="73"/>
  <c r="F65" i="73"/>
  <c r="F61" i="73"/>
  <c r="F57" i="73"/>
  <c r="F53" i="73"/>
  <c r="F49" i="73"/>
  <c r="F44" i="73"/>
  <c r="F41" i="73"/>
  <c r="F33" i="73"/>
  <c r="F29" i="73"/>
  <c r="F16" i="73"/>
  <c r="F75" i="73"/>
  <c r="F69" i="73"/>
  <c r="F60" i="73"/>
  <c r="F56" i="73"/>
  <c r="F28" i="73"/>
  <c r="F23" i="73"/>
  <c r="F73" i="73"/>
  <c r="F67" i="73"/>
  <c r="F59" i="73"/>
  <c r="F55" i="73"/>
  <c r="F46" i="73"/>
  <c r="F43" i="73"/>
  <c r="F38" i="73"/>
  <c r="F27" i="73"/>
  <c r="F20" i="73"/>
  <c r="F64" i="73"/>
  <c r="F52" i="73"/>
  <c r="F48" i="73"/>
  <c r="F45" i="73"/>
  <c r="F40" i="73"/>
  <c r="F37" i="73"/>
  <c r="F32" i="73"/>
  <c r="F25" i="73"/>
  <c r="F17" i="73"/>
  <c r="F78" i="73"/>
  <c r="F71" i="73"/>
  <c r="F36" i="73"/>
  <c r="F24" i="73"/>
  <c r="F39" i="73"/>
  <c r="D20" i="73"/>
  <c r="F66" i="73"/>
  <c r="F54" i="73"/>
  <c r="F26" i="73"/>
  <c r="F63" i="73"/>
  <c r="F42" i="73"/>
  <c r="F35" i="73"/>
  <c r="F51" i="73"/>
  <c r="F47" i="73"/>
  <c r="F58" i="73"/>
  <c r="Z17" i="75"/>
  <c r="X17" i="75"/>
  <c r="P140" i="64"/>
  <c r="X71" i="67"/>
  <c r="Z71" i="67" s="1"/>
  <c r="H12" i="69"/>
  <c r="N15" i="69"/>
  <c r="L15" i="69"/>
  <c r="N34" i="69"/>
  <c r="Z35" i="69"/>
  <c r="X35" i="69"/>
  <c r="L47" i="69"/>
  <c r="N47" i="69" s="1"/>
  <c r="P141" i="69"/>
  <c r="L21" i="70"/>
  <c r="N21" i="70" s="1"/>
  <c r="Z22" i="70"/>
  <c r="N45" i="70"/>
  <c r="L45" i="70"/>
  <c r="X13" i="71"/>
  <c r="P12" i="71"/>
  <c r="Z76" i="71"/>
  <c r="N78" i="71"/>
  <c r="R61" i="72"/>
  <c r="R54" i="72"/>
  <c r="R50" i="72"/>
  <c r="R64" i="72"/>
  <c r="R57" i="72"/>
  <c r="R53" i="72"/>
  <c r="R46" i="72"/>
  <c r="R41" i="72"/>
  <c r="R70" i="72"/>
  <c r="R56" i="72"/>
  <c r="R52" i="72"/>
  <c r="R49" i="72"/>
  <c r="R40" i="72"/>
  <c r="R75" i="72"/>
  <c r="R68" i="72"/>
  <c r="R62" i="72"/>
  <c r="R59" i="72"/>
  <c r="R43" i="72"/>
  <c r="R39" i="72"/>
  <c r="R58" i="72"/>
  <c r="R45" i="72"/>
  <c r="R42" i="72"/>
  <c r="R63" i="72"/>
  <c r="R48" i="72"/>
  <c r="R66" i="72"/>
  <c r="R65" i="72"/>
  <c r="R30" i="72"/>
  <c r="R27" i="72"/>
  <c r="R22" i="72"/>
  <c r="R55" i="72"/>
  <c r="R44" i="72"/>
  <c r="R29" i="72"/>
  <c r="R21" i="72"/>
  <c r="R20" i="72"/>
  <c r="R35" i="72"/>
  <c r="R28" i="72"/>
  <c r="R19" i="72"/>
  <c r="R37" i="72"/>
  <c r="R33" i="72"/>
  <c r="P25" i="72"/>
  <c r="R18" i="72"/>
  <c r="R72" i="72"/>
  <c r="R51" i="72"/>
  <c r="R32" i="72"/>
  <c r="X16" i="72"/>
  <c r="Z16" i="72" s="1"/>
  <c r="R25" i="72"/>
  <c r="N36" i="72"/>
  <c r="L36" i="72"/>
  <c r="F23" i="75"/>
  <c r="F17" i="75"/>
  <c r="F25" i="75"/>
  <c r="F29" i="75"/>
  <c r="D21" i="75"/>
  <c r="F21" i="75" s="1"/>
  <c r="F19" i="75"/>
  <c r="F18" i="75"/>
  <c r="J90" i="79"/>
  <c r="J83" i="79"/>
  <c r="J73" i="79"/>
  <c r="J63" i="79"/>
  <c r="J59" i="79"/>
  <c r="J53" i="79"/>
  <c r="J45" i="79"/>
  <c r="J39" i="79"/>
  <c r="J25" i="79"/>
  <c r="J17" i="79"/>
  <c r="J78" i="79"/>
  <c r="J72" i="79"/>
  <c r="J66" i="79"/>
  <c r="J56" i="79"/>
  <c r="J50" i="79"/>
  <c r="J44" i="79"/>
  <c r="J36" i="79"/>
  <c r="J24" i="79"/>
  <c r="J22" i="79"/>
  <c r="J75" i="79"/>
  <c r="J71" i="79"/>
  <c r="J55" i="79"/>
  <c r="J47" i="79"/>
  <c r="J41" i="79"/>
  <c r="J35" i="79"/>
  <c r="J31" i="79"/>
  <c r="J70" i="79"/>
  <c r="J62" i="79"/>
  <c r="J58" i="79"/>
  <c r="J52" i="79"/>
  <c r="J38" i="79"/>
  <c r="J34" i="79"/>
  <c r="J30" i="79"/>
  <c r="J16" i="79"/>
  <c r="J87" i="79"/>
  <c r="J81" i="79"/>
  <c r="J77" i="79"/>
  <c r="J69" i="79"/>
  <c r="J65" i="79"/>
  <c r="J61" i="79"/>
  <c r="J49" i="79"/>
  <c r="J43" i="79"/>
  <c r="J33" i="79"/>
  <c r="J29" i="79"/>
  <c r="J23" i="79"/>
  <c r="J74" i="79"/>
  <c r="J68" i="79"/>
  <c r="J64" i="79"/>
  <c r="J60" i="79"/>
  <c r="J54" i="79"/>
  <c r="J46" i="79"/>
  <c r="J40" i="79"/>
  <c r="J28" i="79"/>
  <c r="J20" i="79"/>
  <c r="N12" i="79"/>
  <c r="J85" i="79"/>
  <c r="J76" i="79"/>
  <c r="J57" i="79"/>
  <c r="J48" i="79"/>
  <c r="J26" i="79"/>
  <c r="J18" i="79"/>
  <c r="J79" i="79"/>
  <c r="J51" i="79"/>
  <c r="J37" i="79"/>
  <c r="J32" i="79"/>
  <c r="J67" i="79"/>
  <c r="H20" i="79"/>
  <c r="J27" i="79"/>
  <c r="J42" i="79"/>
  <c r="L98" i="66"/>
  <c r="N98" i="66" s="1"/>
  <c r="X36" i="68"/>
  <c r="Z36" i="68" s="1"/>
  <c r="N55" i="68"/>
  <c r="X56" i="68"/>
  <c r="Z56" i="68" s="1"/>
  <c r="X30" i="69"/>
  <c r="N33" i="69"/>
  <c r="N42" i="69"/>
  <c r="Z43" i="69"/>
  <c r="X43" i="69"/>
  <c r="L50" i="69"/>
  <c r="N101" i="69"/>
  <c r="L24" i="70"/>
  <c r="N36" i="70"/>
  <c r="N52" i="70"/>
  <c r="Z58" i="70"/>
  <c r="N61" i="70"/>
  <c r="L61" i="70"/>
  <c r="L16" i="71"/>
  <c r="L21" i="71"/>
  <c r="N21" i="71" s="1"/>
  <c r="L29" i="71"/>
  <c r="N29" i="71" s="1"/>
  <c r="Z30" i="71"/>
  <c r="N116" i="71"/>
  <c r="P115" i="71"/>
  <c r="Z118" i="71"/>
  <c r="T140" i="64"/>
  <c r="L18" i="69"/>
  <c r="L23" i="69"/>
  <c r="N23" i="69" s="1"/>
  <c r="X38" i="69"/>
  <c r="Z38" i="69" s="1"/>
  <c r="N50" i="69"/>
  <c r="Z51" i="69"/>
  <c r="X51" i="69"/>
  <c r="Z82" i="69"/>
  <c r="X109" i="69"/>
  <c r="Z109" i="69" s="1"/>
  <c r="Z133" i="69"/>
  <c r="X133" i="69"/>
  <c r="N135" i="69"/>
  <c r="L135" i="69"/>
  <c r="N15" i="70"/>
  <c r="X17" i="70"/>
  <c r="Z17" i="70" s="1"/>
  <c r="N29" i="70"/>
  <c r="L29" i="70"/>
  <c r="N35" i="70"/>
  <c r="Z78" i="70"/>
  <c r="N16" i="71"/>
  <c r="L24" i="71"/>
  <c r="L32" i="71"/>
  <c r="Z60" i="71"/>
  <c r="N70" i="71"/>
  <c r="Z82" i="71"/>
  <c r="X87" i="71"/>
  <c r="Z87" i="71" s="1"/>
  <c r="Z117" i="71"/>
  <c r="X117" i="71"/>
  <c r="T115" i="71"/>
  <c r="D12" i="72"/>
  <c r="L13" i="72"/>
  <c r="N13" i="72" s="1"/>
  <c r="R36" i="72"/>
  <c r="T12" i="69"/>
  <c r="V45" i="73"/>
  <c r="V37" i="73"/>
  <c r="V25" i="73"/>
  <c r="V17" i="73"/>
  <c r="V44" i="73"/>
  <c r="V36" i="73"/>
  <c r="V24" i="73"/>
  <c r="V16" i="73"/>
  <c r="V69" i="73"/>
  <c r="V63" i="73"/>
  <c r="V51" i="73"/>
  <c r="V47" i="73"/>
  <c r="V39" i="73"/>
  <c r="V35" i="73"/>
  <c r="V31" i="73"/>
  <c r="V23" i="73"/>
  <c r="V62" i="73"/>
  <c r="V50" i="73"/>
  <c r="V46" i="73"/>
  <c r="V38" i="73"/>
  <c r="V34" i="73"/>
  <c r="V30" i="73"/>
  <c r="V64" i="73"/>
  <c r="V60" i="73"/>
  <c r="V56" i="73"/>
  <c r="V52" i="73"/>
  <c r="V48" i="73"/>
  <c r="V40" i="73"/>
  <c r="V32" i="73"/>
  <c r="V28" i="73"/>
  <c r="V73" i="73"/>
  <c r="V67" i="73"/>
  <c r="V59" i="73"/>
  <c r="V55" i="73"/>
  <c r="V43" i="73"/>
  <c r="V27" i="73"/>
  <c r="T20" i="73"/>
  <c r="V54" i="73"/>
  <c r="V66" i="73"/>
  <c r="N53" i="74"/>
  <c r="L53" i="74"/>
  <c r="N25" i="75"/>
  <c r="L25" i="75"/>
  <c r="P12" i="76"/>
  <c r="X13" i="76"/>
  <c r="Z13" i="76" s="1"/>
  <c r="Z14" i="76"/>
  <c r="N23" i="76"/>
  <c r="V29" i="76"/>
  <c r="N32" i="76"/>
  <c r="L32" i="76"/>
  <c r="H12" i="77"/>
  <c r="N14" i="77"/>
  <c r="Z51" i="72"/>
  <c r="Z32" i="73"/>
  <c r="Z48" i="73"/>
  <c r="Z52" i="73"/>
  <c r="H12" i="74"/>
  <c r="N13" i="74"/>
  <c r="L13" i="74"/>
  <c r="N22" i="76"/>
  <c r="D12" i="69"/>
  <c r="N143" i="69"/>
  <c r="T12" i="72"/>
  <c r="X12" i="72" s="1"/>
  <c r="Z42" i="72"/>
  <c r="N44" i="72"/>
  <c r="N22" i="73"/>
  <c r="V22" i="74"/>
  <c r="V23" i="74"/>
  <c r="V31" i="74"/>
  <c r="Z38" i="74"/>
  <c r="Z53" i="74"/>
  <c r="Z67" i="74"/>
  <c r="X67" i="74"/>
  <c r="L69" i="74"/>
  <c r="N69" i="74" s="1"/>
  <c r="F78" i="76"/>
  <c r="F75" i="76"/>
  <c r="F71" i="76"/>
  <c r="F67" i="76"/>
  <c r="F63" i="76"/>
  <c r="F59" i="76"/>
  <c r="F42" i="76"/>
  <c r="F70" i="76"/>
  <c r="F77" i="76"/>
  <c r="F69" i="76"/>
  <c r="F44" i="76"/>
  <c r="F41" i="76"/>
  <c r="F87" i="76"/>
  <c r="F81" i="76"/>
  <c r="F55" i="76"/>
  <c r="F52" i="76"/>
  <c r="F47" i="76"/>
  <c r="F61" i="76"/>
  <c r="F57" i="76"/>
  <c r="F54" i="76"/>
  <c r="F49" i="76"/>
  <c r="F46" i="76"/>
  <c r="F76" i="76"/>
  <c r="F73" i="76"/>
  <c r="F68" i="76"/>
  <c r="F65" i="76"/>
  <c r="F45" i="76"/>
  <c r="F40" i="76"/>
  <c r="F56" i="76"/>
  <c r="F39" i="76"/>
  <c r="F34" i="76"/>
  <c r="F30" i="76"/>
  <c r="F62" i="76"/>
  <c r="F33" i="76"/>
  <c r="F29" i="76"/>
  <c r="F16" i="76"/>
  <c r="F79" i="76"/>
  <c r="F74" i="76"/>
  <c r="F66" i="76"/>
  <c r="F48" i="76"/>
  <c r="F28" i="76"/>
  <c r="F23" i="76"/>
  <c r="F90" i="76"/>
  <c r="F58" i="76"/>
  <c r="F43" i="76"/>
  <c r="F38" i="76"/>
  <c r="F27" i="76"/>
  <c r="F20" i="76"/>
  <c r="F72" i="76"/>
  <c r="F64" i="76"/>
  <c r="F50" i="76"/>
  <c r="F37" i="76"/>
  <c r="F32" i="76"/>
  <c r="F25" i="76"/>
  <c r="F17" i="76"/>
  <c r="F60" i="76"/>
  <c r="F53" i="76"/>
  <c r="F51" i="76"/>
  <c r="F36" i="76"/>
  <c r="F24" i="76"/>
  <c r="Z32" i="76"/>
  <c r="D141" i="69"/>
  <c r="L141" i="69" s="1"/>
  <c r="N141" i="69" s="1"/>
  <c r="T141" i="69"/>
  <c r="P85" i="70"/>
  <c r="X85" i="70" s="1"/>
  <c r="Z85" i="70" s="1"/>
  <c r="X62" i="72"/>
  <c r="Z62" i="72" s="1"/>
  <c r="P61" i="72"/>
  <c r="X61" i="72" s="1"/>
  <c r="Z61" i="72" s="1"/>
  <c r="N66" i="72"/>
  <c r="L66" i="72"/>
  <c r="P12" i="73"/>
  <c r="X13" i="73"/>
  <c r="Z13" i="73" s="1"/>
  <c r="Z38" i="73"/>
  <c r="X38" i="73"/>
  <c r="N40" i="73"/>
  <c r="L40" i="73"/>
  <c r="V78" i="76"/>
  <c r="V54" i="76"/>
  <c r="V46" i="76"/>
  <c r="V42" i="76"/>
  <c r="V73" i="76"/>
  <c r="V65" i="76"/>
  <c r="V72" i="76"/>
  <c r="V64" i="76"/>
  <c r="V60" i="76"/>
  <c r="V56" i="76"/>
  <c r="V48" i="76"/>
  <c r="V44" i="76"/>
  <c r="V81" i="76"/>
  <c r="V75" i="76"/>
  <c r="V71" i="76"/>
  <c r="V67" i="76"/>
  <c r="V63" i="76"/>
  <c r="V59" i="76"/>
  <c r="V55" i="76"/>
  <c r="V47" i="76"/>
  <c r="V77" i="76"/>
  <c r="V69" i="76"/>
  <c r="V61" i="76"/>
  <c r="V57" i="76"/>
  <c r="V49" i="76"/>
  <c r="V41" i="76"/>
  <c r="V76" i="76"/>
  <c r="V68" i="76"/>
  <c r="V52" i="76"/>
  <c r="V40" i="76"/>
  <c r="V58" i="76"/>
  <c r="V43" i="76"/>
  <c r="V37" i="76"/>
  <c r="V25" i="76"/>
  <c r="V17" i="76"/>
  <c r="V85" i="76"/>
  <c r="V53" i="76"/>
  <c r="V36" i="76"/>
  <c r="V24" i="76"/>
  <c r="V16" i="76"/>
  <c r="V35" i="76"/>
  <c r="V31" i="76"/>
  <c r="V23" i="76"/>
  <c r="V50" i="76"/>
  <c r="V39" i="76"/>
  <c r="V34" i="76"/>
  <c r="V30" i="76"/>
  <c r="V74" i="76"/>
  <c r="V66" i="76"/>
  <c r="V32" i="76"/>
  <c r="V28" i="76"/>
  <c r="V27" i="76"/>
  <c r="D83" i="76"/>
  <c r="N44" i="76"/>
  <c r="L44" i="76"/>
  <c r="X16" i="69"/>
  <c r="L20" i="69"/>
  <c r="X24" i="69"/>
  <c r="Z24" i="69" s="1"/>
  <c r="L28" i="69"/>
  <c r="X32" i="69"/>
  <c r="L36" i="69"/>
  <c r="X40" i="69"/>
  <c r="L44" i="69"/>
  <c r="N44" i="69" s="1"/>
  <c r="X48" i="69"/>
  <c r="X14" i="70"/>
  <c r="Z14" i="70" s="1"/>
  <c r="L18" i="70"/>
  <c r="X22" i="70"/>
  <c r="L26" i="70"/>
  <c r="X14" i="71"/>
  <c r="Z14" i="71" s="1"/>
  <c r="L18" i="71"/>
  <c r="X22" i="71"/>
  <c r="Z22" i="71" s="1"/>
  <c r="L26" i="71"/>
  <c r="N26" i="71" s="1"/>
  <c r="X30" i="71"/>
  <c r="L34" i="71"/>
  <c r="X13" i="72"/>
  <c r="Z13" i="72" s="1"/>
  <c r="V57" i="73"/>
  <c r="D12" i="74"/>
  <c r="L14" i="74"/>
  <c r="N14" i="75"/>
  <c r="H12" i="75"/>
  <c r="L12" i="75" s="1"/>
  <c r="T12" i="75"/>
  <c r="X15" i="75"/>
  <c r="Z15" i="75" s="1"/>
  <c r="V22" i="76"/>
  <c r="V51" i="76"/>
  <c r="Z13" i="77"/>
  <c r="X13" i="77"/>
  <c r="T12" i="77"/>
  <c r="Z44" i="72"/>
  <c r="Z58" i="72"/>
  <c r="Z64" i="72"/>
  <c r="Z22" i="73"/>
  <c r="V26" i="73"/>
  <c r="N32" i="73"/>
  <c r="L32" i="73"/>
  <c r="V33" i="73"/>
  <c r="V42" i="73"/>
  <c r="X46" i="73"/>
  <c r="Z46" i="73" s="1"/>
  <c r="N48" i="73"/>
  <c r="L48" i="73"/>
  <c r="V49" i="73"/>
  <c r="N52" i="73"/>
  <c r="L52" i="73"/>
  <c r="V53" i="73"/>
  <c r="V61" i="73"/>
  <c r="L64" i="73"/>
  <c r="N64" i="73" s="1"/>
  <c r="V65" i="73"/>
  <c r="V72" i="74"/>
  <c r="V66" i="74"/>
  <c r="V62" i="74"/>
  <c r="V46" i="74"/>
  <c r="V38" i="74"/>
  <c r="V34" i="74"/>
  <c r="V30" i="74"/>
  <c r="V65" i="74"/>
  <c r="V61" i="74"/>
  <c r="V49" i="74"/>
  <c r="V41" i="74"/>
  <c r="V33" i="74"/>
  <c r="V29" i="74"/>
  <c r="T20" i="74"/>
  <c r="V20" i="74" s="1"/>
  <c r="V68" i="74"/>
  <c r="V60" i="74"/>
  <c r="V56" i="74"/>
  <c r="V52" i="74"/>
  <c r="V48" i="74"/>
  <c r="V40" i="74"/>
  <c r="V32" i="74"/>
  <c r="V28" i="74"/>
  <c r="V67" i="74"/>
  <c r="V59" i="74"/>
  <c r="V55" i="74"/>
  <c r="V51" i="74"/>
  <c r="V43" i="74"/>
  <c r="V27" i="74"/>
  <c r="V69" i="74"/>
  <c r="V57" i="74"/>
  <c r="V53" i="74"/>
  <c r="V45" i="74"/>
  <c r="V37" i="74"/>
  <c r="V25" i="74"/>
  <c r="V17" i="74"/>
  <c r="V64" i="74"/>
  <c r="V44" i="74"/>
  <c r="V36" i="74"/>
  <c r="V24" i="74"/>
  <c r="V16" i="74"/>
  <c r="X16" i="74"/>
  <c r="Z16" i="74" s="1"/>
  <c r="V47" i="74"/>
  <c r="Z69" i="74"/>
  <c r="N13" i="75"/>
  <c r="T20" i="76"/>
  <c r="V38" i="76"/>
  <c r="L49" i="76"/>
  <c r="N49" i="76"/>
  <c r="V62" i="76"/>
  <c r="Z66" i="76"/>
  <c r="Z74" i="76"/>
  <c r="L25" i="77"/>
  <c r="L30" i="77"/>
  <c r="X89" i="77"/>
  <c r="Z89" i="77" s="1"/>
  <c r="L91" i="77"/>
  <c r="X113" i="77"/>
  <c r="Z113" i="77" s="1"/>
  <c r="X117" i="77"/>
  <c r="Z117" i="77" s="1"/>
  <c r="L21" i="78"/>
  <c r="N54" i="79"/>
  <c r="L54" i="79"/>
  <c r="X29" i="81"/>
  <c r="Z29" i="81" s="1"/>
  <c r="H61" i="72"/>
  <c r="N61" i="72" s="1"/>
  <c r="X42" i="76"/>
  <c r="Z42" i="76" s="1"/>
  <c r="N53" i="76"/>
  <c r="Z78" i="76"/>
  <c r="L14" i="77"/>
  <c r="X26" i="77"/>
  <c r="X37" i="77"/>
  <c r="Z37" i="77" s="1"/>
  <c r="Z135" i="77"/>
  <c r="F21" i="78"/>
  <c r="F25" i="78"/>
  <c r="F29" i="78"/>
  <c r="F15" i="78"/>
  <c r="L12" i="78"/>
  <c r="F27" i="78"/>
  <c r="F22" i="78"/>
  <c r="F24" i="78"/>
  <c r="D19" i="78"/>
  <c r="F17" i="78"/>
  <c r="F16" i="78"/>
  <c r="P12" i="78"/>
  <c r="X13" i="78"/>
  <c r="Z13" i="78" s="1"/>
  <c r="F26" i="78"/>
  <c r="Z52" i="79"/>
  <c r="X52" i="79"/>
  <c r="F70" i="84"/>
  <c r="F63" i="84"/>
  <c r="F58" i="84"/>
  <c r="F55" i="84"/>
  <c r="F27" i="84"/>
  <c r="F20" i="84"/>
  <c r="F84" i="84"/>
  <c r="F77" i="84"/>
  <c r="F54" i="84"/>
  <c r="F49" i="84"/>
  <c r="F46" i="84"/>
  <c r="F41" i="84"/>
  <c r="F38" i="84"/>
  <c r="F26" i="84"/>
  <c r="D20" i="84"/>
  <c r="F18" i="84"/>
  <c r="F72" i="84"/>
  <c r="F69" i="84"/>
  <c r="F60" i="84"/>
  <c r="F57" i="84"/>
  <c r="F37" i="84"/>
  <c r="F32" i="84"/>
  <c r="F25" i="84"/>
  <c r="F17" i="84"/>
  <c r="F68" i="84"/>
  <c r="F51" i="84"/>
  <c r="F48" i="84"/>
  <c r="F43" i="84"/>
  <c r="F40" i="84"/>
  <c r="F36" i="84"/>
  <c r="F24" i="84"/>
  <c r="F81" i="84"/>
  <c r="F75" i="84"/>
  <c r="F66" i="84"/>
  <c r="F53" i="84"/>
  <c r="F50" i="84"/>
  <c r="F45" i="84"/>
  <c r="F42" i="84"/>
  <c r="F79" i="84"/>
  <c r="F73" i="84"/>
  <c r="F65" i="84"/>
  <c r="F61" i="84"/>
  <c r="F56" i="84"/>
  <c r="F33" i="84"/>
  <c r="F29" i="84"/>
  <c r="F16" i="84"/>
  <c r="F71" i="84"/>
  <c r="F67" i="84"/>
  <c r="F64" i="84"/>
  <c r="F39" i="84"/>
  <c r="F59" i="84"/>
  <c r="F35" i="84"/>
  <c r="F30" i="84"/>
  <c r="F52" i="84"/>
  <c r="L12" i="84"/>
  <c r="F47" i="84"/>
  <c r="F31" i="84"/>
  <c r="F62" i="84"/>
  <c r="F22" i="84"/>
  <c r="F44" i="84"/>
  <c r="F28" i="84"/>
  <c r="F23" i="84"/>
  <c r="F34" i="84"/>
  <c r="H12" i="73"/>
  <c r="L12" i="73" s="1"/>
  <c r="P12" i="75"/>
  <c r="H12" i="76"/>
  <c r="L12" i="76" s="1"/>
  <c r="X40" i="76"/>
  <c r="Z40" i="76" s="1"/>
  <c r="D12" i="77"/>
  <c r="Z21" i="77"/>
  <c r="Z25" i="77"/>
  <c r="Z36" i="77"/>
  <c r="Z63" i="77"/>
  <c r="Z64" i="77"/>
  <c r="Z84" i="77"/>
  <c r="X84" i="77"/>
  <c r="N86" i="77"/>
  <c r="L86" i="77"/>
  <c r="N137" i="77"/>
  <c r="X22" i="78"/>
  <c r="Z22" i="78" s="1"/>
  <c r="L24" i="78"/>
  <c r="N51" i="80"/>
  <c r="L51" i="80"/>
  <c r="L42" i="76"/>
  <c r="Z20" i="77"/>
  <c r="L33" i="77"/>
  <c r="L38" i="77"/>
  <c r="Z91" i="77"/>
  <c r="N109" i="77"/>
  <c r="V33" i="78"/>
  <c r="V21" i="78"/>
  <c r="V17" i="78"/>
  <c r="V16" i="78"/>
  <c r="V29" i="78"/>
  <c r="V23" i="78"/>
  <c r="V15" i="78"/>
  <c r="V22" i="78"/>
  <c r="V24" i="78"/>
  <c r="T19" i="78"/>
  <c r="V27" i="78"/>
  <c r="V25" i="78"/>
  <c r="N46" i="79"/>
  <c r="L46" i="79"/>
  <c r="X49" i="80"/>
  <c r="Z49" i="80" s="1"/>
  <c r="L58" i="84"/>
  <c r="N58" i="84"/>
  <c r="L13" i="73"/>
  <c r="L13" i="76"/>
  <c r="F19" i="78"/>
  <c r="Z16" i="79"/>
  <c r="X16" i="79"/>
  <c r="N22" i="80"/>
  <c r="X56" i="84"/>
  <c r="Z56" i="84" s="1"/>
  <c r="Z49" i="76"/>
  <c r="Z51" i="76"/>
  <c r="Z81" i="76"/>
  <c r="X81" i="76"/>
  <c r="P12" i="77"/>
  <c r="N17" i="77"/>
  <c r="L17" i="77"/>
  <c r="X18" i="77"/>
  <c r="Z18" i="77" s="1"/>
  <c r="Z29" i="77"/>
  <c r="Z34" i="77"/>
  <c r="X121" i="77"/>
  <c r="Z121" i="77" s="1"/>
  <c r="F23" i="78"/>
  <c r="V26" i="78"/>
  <c r="H97" i="81"/>
  <c r="N16" i="81"/>
  <c r="J21" i="78"/>
  <c r="J23" i="78"/>
  <c r="D12" i="79"/>
  <c r="L13" i="79"/>
  <c r="V23" i="79"/>
  <c r="X43" i="79"/>
  <c r="Z43" i="79" s="1"/>
  <c r="V47" i="79"/>
  <c r="V71" i="79"/>
  <c r="L74" i="79"/>
  <c r="N74" i="79" s="1"/>
  <c r="V75" i="79"/>
  <c r="X81" i="79"/>
  <c r="T12" i="80"/>
  <c r="Z13" i="80"/>
  <c r="N67" i="80"/>
  <c r="L67" i="80"/>
  <c r="T12" i="89"/>
  <c r="J16" i="78"/>
  <c r="J26" i="78"/>
  <c r="Z22" i="79"/>
  <c r="V38" i="79"/>
  <c r="V43" i="79"/>
  <c r="L22" i="80"/>
  <c r="X32" i="80"/>
  <c r="Z32" i="80" s="1"/>
  <c r="N18" i="81"/>
  <c r="L19" i="81"/>
  <c r="N19" i="81" s="1"/>
  <c r="Z52" i="81"/>
  <c r="X52" i="81"/>
  <c r="J82" i="82"/>
  <c r="J75" i="82"/>
  <c r="J51" i="82"/>
  <c r="J43" i="82"/>
  <c r="J37" i="82"/>
  <c r="J25" i="82"/>
  <c r="J17" i="82"/>
  <c r="J70" i="82"/>
  <c r="J48" i="82"/>
  <c r="J40" i="82"/>
  <c r="J36" i="82"/>
  <c r="J24" i="82"/>
  <c r="J22" i="82"/>
  <c r="J67" i="82"/>
  <c r="J61" i="82"/>
  <c r="J57" i="82"/>
  <c r="J53" i="82"/>
  <c r="J45" i="82"/>
  <c r="J35" i="82"/>
  <c r="J31" i="82"/>
  <c r="J66" i="82"/>
  <c r="J50" i="82"/>
  <c r="J42" i="82"/>
  <c r="J34" i="82"/>
  <c r="J30" i="82"/>
  <c r="J16" i="82"/>
  <c r="J79" i="82"/>
  <c r="J73" i="82"/>
  <c r="J69" i="82"/>
  <c r="J65" i="82"/>
  <c r="J47" i="82"/>
  <c r="J39" i="82"/>
  <c r="J33" i="82"/>
  <c r="J29" i="82"/>
  <c r="J23" i="82"/>
  <c r="J64" i="82"/>
  <c r="J60" i="82"/>
  <c r="J56" i="82"/>
  <c r="J52" i="82"/>
  <c r="J44" i="82"/>
  <c r="J28" i="82"/>
  <c r="J20" i="82"/>
  <c r="N12" i="82"/>
  <c r="J71" i="82"/>
  <c r="J63" i="82"/>
  <c r="J38" i="82"/>
  <c r="H20" i="82"/>
  <c r="J49" i="82"/>
  <c r="J77" i="82"/>
  <c r="J68" i="82"/>
  <c r="J32" i="82"/>
  <c r="J41" i="82"/>
  <c r="J58" i="82"/>
  <c r="J54" i="82"/>
  <c r="J62" i="82"/>
  <c r="J55" i="82"/>
  <c r="J46" i="82"/>
  <c r="J26" i="82"/>
  <c r="J18" i="82"/>
  <c r="H19" i="78"/>
  <c r="J24" i="78"/>
  <c r="J33" i="78"/>
  <c r="X13" i="79"/>
  <c r="Z13" i="79" s="1"/>
  <c r="V20" i="79"/>
  <c r="V31" i="79"/>
  <c r="V74" i="79"/>
  <c r="Z47" i="80"/>
  <c r="Z74" i="80"/>
  <c r="X74" i="80"/>
  <c r="Z19" i="81"/>
  <c r="Z84" i="81"/>
  <c r="J59" i="82"/>
  <c r="T12" i="83"/>
  <c r="Z13" i="83"/>
  <c r="J19" i="78"/>
  <c r="J27" i="78"/>
  <c r="Z63" i="79"/>
  <c r="N49" i="80"/>
  <c r="X39" i="82"/>
  <c r="Z39" i="82" s="1"/>
  <c r="V77" i="79"/>
  <c r="V69" i="79"/>
  <c r="V65" i="79"/>
  <c r="V61" i="79"/>
  <c r="V57" i="79"/>
  <c r="V49" i="79"/>
  <c r="V37" i="79"/>
  <c r="V33" i="79"/>
  <c r="V29" i="79"/>
  <c r="T20" i="79"/>
  <c r="V76" i="79"/>
  <c r="V68" i="79"/>
  <c r="V64" i="79"/>
  <c r="V60" i="79"/>
  <c r="V48" i="79"/>
  <c r="V40" i="79"/>
  <c r="V32" i="79"/>
  <c r="V28" i="79"/>
  <c r="V85" i="79"/>
  <c r="V79" i="79"/>
  <c r="V67" i="79"/>
  <c r="V63" i="79"/>
  <c r="V59" i="79"/>
  <c r="V51" i="79"/>
  <c r="V39" i="79"/>
  <c r="V27" i="79"/>
  <c r="V78" i="79"/>
  <c r="V66" i="79"/>
  <c r="V50" i="79"/>
  <c r="V42" i="79"/>
  <c r="V26" i="79"/>
  <c r="V22" i="79"/>
  <c r="V18" i="79"/>
  <c r="V73" i="79"/>
  <c r="V53" i="79"/>
  <c r="V45" i="79"/>
  <c r="V41" i="79"/>
  <c r="V25" i="79"/>
  <c r="V72" i="79"/>
  <c r="V56" i="79"/>
  <c r="V52" i="79"/>
  <c r="V44" i="79"/>
  <c r="V36" i="79"/>
  <c r="V24" i="79"/>
  <c r="V16" i="79"/>
  <c r="V30" i="79"/>
  <c r="V35" i="79"/>
  <c r="V54" i="79"/>
  <c r="N57" i="79"/>
  <c r="L57" i="79"/>
  <c r="P12" i="80"/>
  <c r="X14" i="80"/>
  <c r="Z14" i="80" s="1"/>
  <c r="P16" i="81"/>
  <c r="X14" i="81"/>
  <c r="J15" i="78"/>
  <c r="J25" i="78"/>
  <c r="N16" i="79"/>
  <c r="X23" i="79"/>
  <c r="Z23" i="79" s="1"/>
  <c r="Z50" i="79"/>
  <c r="V58" i="79"/>
  <c r="Z59" i="79"/>
  <c r="Z78" i="79"/>
  <c r="Z41" i="80"/>
  <c r="X41" i="80"/>
  <c r="N43" i="80"/>
  <c r="L43" i="80"/>
  <c r="N46" i="81"/>
  <c r="L46" i="81"/>
  <c r="J27" i="82"/>
  <c r="L70" i="84"/>
  <c r="N70" i="84"/>
  <c r="D12" i="80"/>
  <c r="F90" i="81"/>
  <c r="F86" i="81"/>
  <c r="F83" i="81"/>
  <c r="F79" i="81"/>
  <c r="F59" i="81"/>
  <c r="F54" i="81"/>
  <c r="F51" i="81"/>
  <c r="F46" i="81"/>
  <c r="F43" i="81"/>
  <c r="F39" i="81"/>
  <c r="F31" i="81"/>
  <c r="F27" i="81"/>
  <c r="F101" i="81"/>
  <c r="F95" i="81"/>
  <c r="F78" i="81"/>
  <c r="F69" i="81"/>
  <c r="F42" i="81"/>
  <c r="F99" i="81"/>
  <c r="F89" i="81"/>
  <c r="F85" i="81"/>
  <c r="F77" i="81"/>
  <c r="F72" i="81"/>
  <c r="F93" i="81"/>
  <c r="F88" i="81"/>
  <c r="F76" i="81"/>
  <c r="F68" i="81"/>
  <c r="F63" i="81"/>
  <c r="F91" i="81"/>
  <c r="F87" i="81"/>
  <c r="F82" i="81"/>
  <c r="F75" i="81"/>
  <c r="F71" i="81"/>
  <c r="F67" i="81"/>
  <c r="F58" i="81"/>
  <c r="F55" i="81"/>
  <c r="F50" i="81"/>
  <c r="F47" i="81"/>
  <c r="F38" i="81"/>
  <c r="F35" i="81"/>
  <c r="F104" i="81"/>
  <c r="F97" i="81"/>
  <c r="F74" i="81"/>
  <c r="F70" i="81"/>
  <c r="F66" i="81"/>
  <c r="F62" i="81"/>
  <c r="J19" i="81"/>
  <c r="V21" i="81"/>
  <c r="R22" i="81"/>
  <c r="R24" i="81"/>
  <c r="J35" i="81"/>
  <c r="F36" i="81"/>
  <c r="F37" i="81"/>
  <c r="N38" i="81"/>
  <c r="J39" i="81"/>
  <c r="F44" i="81"/>
  <c r="R49" i="81"/>
  <c r="R50" i="81"/>
  <c r="V64" i="81"/>
  <c r="V67" i="81"/>
  <c r="V76" i="81"/>
  <c r="V84" i="81"/>
  <c r="L86" i="81"/>
  <c r="V88" i="81"/>
  <c r="R97" i="81"/>
  <c r="L22" i="83"/>
  <c r="F40" i="83"/>
  <c r="L45" i="84"/>
  <c r="N45" i="84" s="1"/>
  <c r="H12" i="80"/>
  <c r="J78" i="81"/>
  <c r="J72" i="81"/>
  <c r="J56" i="81"/>
  <c r="J48" i="81"/>
  <c r="J42" i="81"/>
  <c r="J36" i="81"/>
  <c r="J30" i="81"/>
  <c r="J26" i="81"/>
  <c r="J99" i="81"/>
  <c r="J93" i="81"/>
  <c r="J89" i="81"/>
  <c r="J85" i="81"/>
  <c r="J77" i="81"/>
  <c r="J63" i="81"/>
  <c r="J53" i="81"/>
  <c r="J45" i="81"/>
  <c r="J41" i="81"/>
  <c r="J88" i="81"/>
  <c r="J82" i="81"/>
  <c r="J76" i="81"/>
  <c r="J68" i="81"/>
  <c r="J104" i="81"/>
  <c r="J97" i="81"/>
  <c r="J91" i="81"/>
  <c r="J87" i="81"/>
  <c r="J75" i="81"/>
  <c r="J71" i="81"/>
  <c r="J67" i="81"/>
  <c r="J55" i="81"/>
  <c r="J47" i="81"/>
  <c r="J94" i="81"/>
  <c r="J84" i="81"/>
  <c r="J74" i="81"/>
  <c r="J70" i="81"/>
  <c r="J66" i="81"/>
  <c r="J62" i="81"/>
  <c r="J52" i="81"/>
  <c r="J44" i="81"/>
  <c r="J40" i="81"/>
  <c r="J34" i="81"/>
  <c r="J81" i="81"/>
  <c r="J73" i="81"/>
  <c r="J65" i="81"/>
  <c r="J61" i="81"/>
  <c r="J57" i="81"/>
  <c r="J49" i="81"/>
  <c r="J37" i="81"/>
  <c r="J29" i="81"/>
  <c r="J38" i="81"/>
  <c r="F53" i="81"/>
  <c r="N54" i="81"/>
  <c r="L54" i="81"/>
  <c r="R57" i="81"/>
  <c r="R58" i="81"/>
  <c r="L94" i="81"/>
  <c r="N94" i="81" s="1"/>
  <c r="D93" i="81"/>
  <c r="L93" i="81" s="1"/>
  <c r="N93" i="81" s="1"/>
  <c r="X16" i="82"/>
  <c r="Z16" i="82" s="1"/>
  <c r="N41" i="82"/>
  <c r="L41" i="82"/>
  <c r="X47" i="82"/>
  <c r="Z47" i="82" s="1"/>
  <c r="N22" i="83"/>
  <c r="L12" i="81"/>
  <c r="F20" i="81"/>
  <c r="V25" i="81"/>
  <c r="V26" i="81"/>
  <c r="V27" i="81"/>
  <c r="R28" i="81"/>
  <c r="F32" i="81"/>
  <c r="F33" i="81"/>
  <c r="F34" i="81"/>
  <c r="V39" i="81"/>
  <c r="J43" i="81"/>
  <c r="R45" i="81"/>
  <c r="R46" i="81"/>
  <c r="Z48" i="81"/>
  <c r="F52" i="81"/>
  <c r="J54" i="81"/>
  <c r="V55" i="81"/>
  <c r="F61" i="81"/>
  <c r="V71" i="81"/>
  <c r="V75" i="81"/>
  <c r="F81" i="81"/>
  <c r="J86" i="81"/>
  <c r="V87" i="81"/>
  <c r="L90" i="81"/>
  <c r="N90" i="81" s="1"/>
  <c r="F94" i="81"/>
  <c r="J95" i="81"/>
  <c r="D12" i="82"/>
  <c r="L13" i="82"/>
  <c r="Z23" i="82"/>
  <c r="Z43" i="82"/>
  <c r="Z70" i="82"/>
  <c r="F66" i="83"/>
  <c r="F58" i="83"/>
  <c r="F54" i="83"/>
  <c r="F50" i="83"/>
  <c r="F34" i="83"/>
  <c r="F30" i="83"/>
  <c r="F57" i="83"/>
  <c r="F53" i="83"/>
  <c r="F49" i="83"/>
  <c r="F44" i="83"/>
  <c r="F41" i="83"/>
  <c r="F33" i="83"/>
  <c r="F29" i="83"/>
  <c r="F75" i="83"/>
  <c r="F69" i="83"/>
  <c r="F63" i="83"/>
  <c r="F28" i="83"/>
  <c r="F73" i="83"/>
  <c r="F78" i="83"/>
  <c r="F71" i="83"/>
  <c r="F64" i="83"/>
  <c r="F60" i="83"/>
  <c r="F36" i="83"/>
  <c r="F59" i="83"/>
  <c r="F52" i="83"/>
  <c r="F32" i="83"/>
  <c r="F31" i="83"/>
  <c r="F22" i="83"/>
  <c r="F25" i="83"/>
  <c r="F24" i="83"/>
  <c r="F65" i="83"/>
  <c r="F35" i="83"/>
  <c r="F27" i="83"/>
  <c r="F26" i="83"/>
  <c r="F16" i="83"/>
  <c r="F55" i="83"/>
  <c r="F45" i="83"/>
  <c r="F43" i="83"/>
  <c r="F61" i="83"/>
  <c r="F56" i="83"/>
  <c r="F23" i="83"/>
  <c r="F20" i="83"/>
  <c r="F48" i="83"/>
  <c r="F47" i="83"/>
  <c r="F46" i="83"/>
  <c r="F42" i="83"/>
  <c r="F37" i="83"/>
  <c r="D20" i="83"/>
  <c r="F18" i="83"/>
  <c r="N12" i="81"/>
  <c r="J14" i="81"/>
  <c r="J18" i="81"/>
  <c r="J20" i="81"/>
  <c r="F21" i="81"/>
  <c r="F30" i="81"/>
  <c r="J31" i="81"/>
  <c r="J32" i="81"/>
  <c r="J33" i="81"/>
  <c r="R37" i="81"/>
  <c r="R38" i="81"/>
  <c r="X40" i="81"/>
  <c r="Z40" i="81" s="1"/>
  <c r="V48" i="81"/>
  <c r="F60" i="81"/>
  <c r="F65" i="81"/>
  <c r="R82" i="81"/>
  <c r="F84" i="81"/>
  <c r="V91" i="81"/>
  <c r="N49" i="82"/>
  <c r="L49" i="82"/>
  <c r="P12" i="83"/>
  <c r="X14" i="83"/>
  <c r="X16" i="80"/>
  <c r="Z16" i="80" s="1"/>
  <c r="R94" i="81"/>
  <c r="R91" i="81"/>
  <c r="R87" i="81"/>
  <c r="R84" i="81"/>
  <c r="R75" i="81"/>
  <c r="R71" i="81"/>
  <c r="R67" i="81"/>
  <c r="R55" i="81"/>
  <c r="R52" i="81"/>
  <c r="R47" i="81"/>
  <c r="R44" i="81"/>
  <c r="R40" i="81"/>
  <c r="R35" i="81"/>
  <c r="R23" i="81"/>
  <c r="R74" i="81"/>
  <c r="R70" i="81"/>
  <c r="R66" i="81"/>
  <c r="R62" i="81"/>
  <c r="R34" i="81"/>
  <c r="R90" i="81"/>
  <c r="R86" i="81"/>
  <c r="R81" i="81"/>
  <c r="R73" i="81"/>
  <c r="R101" i="81"/>
  <c r="R95" i="81"/>
  <c r="R80" i="81"/>
  <c r="R69" i="81"/>
  <c r="R64" i="81"/>
  <c r="R60" i="81"/>
  <c r="R83" i="81"/>
  <c r="R79" i="81"/>
  <c r="R72" i="81"/>
  <c r="R59" i="81"/>
  <c r="R56" i="81"/>
  <c r="R51" i="81"/>
  <c r="R48" i="81"/>
  <c r="R43" i="81"/>
  <c r="R39" i="81"/>
  <c r="R36" i="81"/>
  <c r="R93" i="81"/>
  <c r="R78" i="81"/>
  <c r="R63" i="81"/>
  <c r="R42" i="81"/>
  <c r="D16" i="81"/>
  <c r="T16" i="81"/>
  <c r="R19" i="81"/>
  <c r="J21" i="81"/>
  <c r="F22" i="81"/>
  <c r="V40" i="81"/>
  <c r="Z44" i="81"/>
  <c r="X44" i="81"/>
  <c r="J51" i="81"/>
  <c r="R53" i="81"/>
  <c r="R54" i="81"/>
  <c r="J60" i="81"/>
  <c r="R61" i="81"/>
  <c r="F64" i="81"/>
  <c r="J69" i="81"/>
  <c r="F80" i="81"/>
  <c r="R85" i="81"/>
  <c r="J90" i="81"/>
  <c r="R99" i="81"/>
  <c r="Z22" i="82"/>
  <c r="N53" i="82"/>
  <c r="Z14" i="83"/>
  <c r="F17" i="83"/>
  <c r="V90" i="85"/>
  <c r="V84" i="85"/>
  <c r="V76" i="85"/>
  <c r="V68" i="85"/>
  <c r="V87" i="85"/>
  <c r="V75" i="85"/>
  <c r="V86" i="85"/>
  <c r="V74" i="85"/>
  <c r="V70" i="85"/>
  <c r="V81" i="85"/>
  <c r="V73" i="85"/>
  <c r="V69" i="85"/>
  <c r="V65" i="85"/>
  <c r="V61" i="85"/>
  <c r="V83" i="85"/>
  <c r="V79" i="85"/>
  <c r="V63" i="85"/>
  <c r="V59" i="85"/>
  <c r="V82" i="85"/>
  <c r="V78" i="85"/>
  <c r="V58" i="85"/>
  <c r="V94" i="85"/>
  <c r="V71" i="85"/>
  <c r="V55" i="85"/>
  <c r="V49" i="85"/>
  <c r="V45" i="85"/>
  <c r="V37" i="85"/>
  <c r="V25" i="85"/>
  <c r="V17" i="85"/>
  <c r="V67" i="85"/>
  <c r="V48" i="85"/>
  <c r="V40" i="85"/>
  <c r="V36" i="85"/>
  <c r="V24" i="85"/>
  <c r="V16" i="85"/>
  <c r="V62" i="85"/>
  <c r="V51" i="85"/>
  <c r="V39" i="85"/>
  <c r="V35" i="85"/>
  <c r="V31" i="85"/>
  <c r="V23" i="85"/>
  <c r="V50" i="85"/>
  <c r="V42" i="85"/>
  <c r="V34" i="85"/>
  <c r="V30" i="85"/>
  <c r="V85" i="85"/>
  <c r="V57" i="85"/>
  <c r="V52" i="85"/>
  <c r="V44" i="85"/>
  <c r="V32" i="85"/>
  <c r="V28" i="85"/>
  <c r="V72" i="85"/>
  <c r="V66" i="85"/>
  <c r="V47" i="85"/>
  <c r="V43" i="85"/>
  <c r="V27" i="85"/>
  <c r="V53" i="85"/>
  <c r="V26" i="85"/>
  <c r="V29" i="85"/>
  <c r="V18" i="85"/>
  <c r="V77" i="85"/>
  <c r="V64" i="85"/>
  <c r="V33" i="85"/>
  <c r="V80" i="85"/>
  <c r="V46" i="85"/>
  <c r="V56" i="85"/>
  <c r="V22" i="85"/>
  <c r="T20" i="85"/>
  <c r="V90" i="81"/>
  <c r="V86" i="81"/>
  <c r="V74" i="81"/>
  <c r="V70" i="81"/>
  <c r="V66" i="81"/>
  <c r="V62" i="81"/>
  <c r="V54" i="81"/>
  <c r="V46" i="81"/>
  <c r="V34" i="81"/>
  <c r="V101" i="81"/>
  <c r="V95" i="81"/>
  <c r="V81" i="81"/>
  <c r="V73" i="81"/>
  <c r="V69" i="81"/>
  <c r="V65" i="81"/>
  <c r="V61" i="81"/>
  <c r="V57" i="81"/>
  <c r="V49" i="81"/>
  <c r="V37" i="81"/>
  <c r="V33" i="81"/>
  <c r="V80" i="81"/>
  <c r="V72" i="81"/>
  <c r="V93" i="81"/>
  <c r="V83" i="81"/>
  <c r="V79" i="81"/>
  <c r="V63" i="81"/>
  <c r="V59" i="81"/>
  <c r="V51" i="81"/>
  <c r="V43" i="81"/>
  <c r="V82" i="81"/>
  <c r="V78" i="81"/>
  <c r="V58" i="81"/>
  <c r="V50" i="81"/>
  <c r="V42" i="81"/>
  <c r="V38" i="81"/>
  <c r="V104" i="81"/>
  <c r="V99" i="81"/>
  <c r="V97" i="81"/>
  <c r="V89" i="81"/>
  <c r="V85" i="81"/>
  <c r="V77" i="81"/>
  <c r="V53" i="81"/>
  <c r="V45" i="81"/>
  <c r="V41" i="81"/>
  <c r="F16" i="81"/>
  <c r="V16" i="81"/>
  <c r="J22" i="81"/>
  <c r="F23" i="81"/>
  <c r="F24" i="81"/>
  <c r="F25" i="81"/>
  <c r="R29" i="81"/>
  <c r="Z36" i="81"/>
  <c r="V44" i="81"/>
  <c r="F48" i="81"/>
  <c r="F49" i="81"/>
  <c r="J59" i="81"/>
  <c r="L63" i="81"/>
  <c r="N63" i="81" s="1"/>
  <c r="J64" i="81"/>
  <c r="R68" i="81"/>
  <c r="F73" i="81"/>
  <c r="J80" i="81"/>
  <c r="Z94" i="81"/>
  <c r="T93" i="81"/>
  <c r="Z13" i="82"/>
  <c r="X73" i="82"/>
  <c r="N32" i="83"/>
  <c r="F51" i="83"/>
  <c r="X16" i="84"/>
  <c r="Z16" i="84" s="1"/>
  <c r="X89" i="85"/>
  <c r="L56" i="83"/>
  <c r="J72" i="84"/>
  <c r="J60" i="84"/>
  <c r="J54" i="84"/>
  <c r="J46" i="84"/>
  <c r="J38" i="84"/>
  <c r="J32" i="84"/>
  <c r="J26" i="84"/>
  <c r="J18" i="84"/>
  <c r="J69" i="84"/>
  <c r="J57" i="84"/>
  <c r="J51" i="84"/>
  <c r="J43" i="84"/>
  <c r="J37" i="84"/>
  <c r="J25" i="84"/>
  <c r="J17" i="84"/>
  <c r="J68" i="84"/>
  <c r="J62" i="84"/>
  <c r="J48" i="84"/>
  <c r="J40" i="84"/>
  <c r="J36" i="84"/>
  <c r="J24" i="84"/>
  <c r="J22" i="84"/>
  <c r="J81" i="84"/>
  <c r="J75" i="84"/>
  <c r="J71" i="84"/>
  <c r="J67" i="84"/>
  <c r="J59" i="84"/>
  <c r="J53" i="84"/>
  <c r="J45" i="84"/>
  <c r="J35" i="84"/>
  <c r="J31" i="84"/>
  <c r="J79" i="84"/>
  <c r="J73" i="84"/>
  <c r="J65" i="84"/>
  <c r="J61" i="84"/>
  <c r="J47" i="84"/>
  <c r="J70" i="84"/>
  <c r="J64" i="84"/>
  <c r="J58" i="84"/>
  <c r="J52" i="84"/>
  <c r="J44" i="84"/>
  <c r="J28" i="84"/>
  <c r="J20" i="84"/>
  <c r="N12" i="84"/>
  <c r="J33" i="84"/>
  <c r="V47" i="84"/>
  <c r="J50" i="84"/>
  <c r="X51" i="84"/>
  <c r="Z51" i="84" s="1"/>
  <c r="J66" i="84"/>
  <c r="V67" i="84"/>
  <c r="N75" i="84"/>
  <c r="L75" i="84"/>
  <c r="Z23" i="85"/>
  <c r="X22" i="87"/>
  <c r="Z22" i="87" s="1"/>
  <c r="X36" i="89"/>
  <c r="Z36" i="89" s="1"/>
  <c r="P12" i="82"/>
  <c r="H12" i="83"/>
  <c r="L12" i="83" s="1"/>
  <c r="N48" i="83"/>
  <c r="L53" i="84"/>
  <c r="N53" i="84" s="1"/>
  <c r="V54" i="84"/>
  <c r="Z60" i="84"/>
  <c r="Z72" i="84"/>
  <c r="Z39" i="85"/>
  <c r="T43" i="88"/>
  <c r="T12" i="82"/>
  <c r="N56" i="83"/>
  <c r="X69" i="83"/>
  <c r="P68" i="83"/>
  <c r="T60" i="89"/>
  <c r="P12" i="85"/>
  <c r="X13" i="85"/>
  <c r="Z13" i="85" s="1"/>
  <c r="L82" i="81"/>
  <c r="N82" i="81" s="1"/>
  <c r="X16" i="83"/>
  <c r="Z16" i="83" s="1"/>
  <c r="L32" i="83"/>
  <c r="Z38" i="83"/>
  <c r="L52" i="83"/>
  <c r="Z69" i="83"/>
  <c r="P12" i="84"/>
  <c r="N16" i="84"/>
  <c r="H20" i="84"/>
  <c r="Z22" i="84"/>
  <c r="V31" i="84"/>
  <c r="J55" i="84"/>
  <c r="J56" i="84"/>
  <c r="Z62" i="84"/>
  <c r="F90" i="85"/>
  <c r="F84" i="85"/>
  <c r="F81" i="85"/>
  <c r="F73" i="85"/>
  <c r="F65" i="85"/>
  <c r="F61" i="85"/>
  <c r="F57" i="85"/>
  <c r="F94" i="85"/>
  <c r="F80" i="85"/>
  <c r="F86" i="85"/>
  <c r="F83" i="85"/>
  <c r="F79" i="85"/>
  <c r="F78" i="85"/>
  <c r="F69" i="85"/>
  <c r="F76" i="85"/>
  <c r="F68" i="85"/>
  <c r="F63" i="85"/>
  <c r="F87" i="85"/>
  <c r="F82" i="85"/>
  <c r="F75" i="85"/>
  <c r="F71" i="85"/>
  <c r="F67" i="85"/>
  <c r="F58" i="85"/>
  <c r="F55" i="85"/>
  <c r="F85" i="85"/>
  <c r="F59" i="85"/>
  <c r="F45" i="85"/>
  <c r="F42" i="85"/>
  <c r="F34" i="85"/>
  <c r="F30" i="85"/>
  <c r="F66" i="85"/>
  <c r="F53" i="85"/>
  <c r="F48" i="85"/>
  <c r="F33" i="85"/>
  <c r="F29" i="85"/>
  <c r="F16" i="85"/>
  <c r="F60" i="85"/>
  <c r="F44" i="85"/>
  <c r="F39" i="85"/>
  <c r="F28" i="85"/>
  <c r="F23" i="85"/>
  <c r="L12" i="85"/>
  <c r="F72" i="85"/>
  <c r="F56" i="85"/>
  <c r="F50" i="85"/>
  <c r="F47" i="85"/>
  <c r="F27" i="85"/>
  <c r="F20" i="85"/>
  <c r="F62" i="85"/>
  <c r="F52" i="85"/>
  <c r="F49" i="85"/>
  <c r="F37" i="85"/>
  <c r="F32" i="85"/>
  <c r="F25" i="85"/>
  <c r="F17" i="85"/>
  <c r="F77" i="85"/>
  <c r="F74" i="85"/>
  <c r="F64" i="85"/>
  <c r="F43" i="85"/>
  <c r="F40" i="85"/>
  <c r="F36" i="85"/>
  <c r="F24" i="85"/>
  <c r="Z14" i="85"/>
  <c r="N32" i="85"/>
  <c r="L32" i="85"/>
  <c r="F35" i="85"/>
  <c r="F38" i="85"/>
  <c r="Z40" i="88"/>
  <c r="X40" i="88"/>
  <c r="Z46" i="83"/>
  <c r="X65" i="83"/>
  <c r="Z65" i="83" s="1"/>
  <c r="V70" i="84"/>
  <c r="V66" i="84"/>
  <c r="V58" i="84"/>
  <c r="V50" i="84"/>
  <c r="V42" i="84"/>
  <c r="V34" i="84"/>
  <c r="V30" i="84"/>
  <c r="V20" i="84"/>
  <c r="V79" i="84"/>
  <c r="V73" i="84"/>
  <c r="V65" i="84"/>
  <c r="V61" i="84"/>
  <c r="V49" i="84"/>
  <c r="V41" i="84"/>
  <c r="V33" i="84"/>
  <c r="V29" i="84"/>
  <c r="T20" i="84"/>
  <c r="V72" i="84"/>
  <c r="V64" i="84"/>
  <c r="V60" i="84"/>
  <c r="V52" i="84"/>
  <c r="V44" i="84"/>
  <c r="V32" i="84"/>
  <c r="V28" i="84"/>
  <c r="V63" i="84"/>
  <c r="V55" i="84"/>
  <c r="V51" i="84"/>
  <c r="V43" i="84"/>
  <c r="V27" i="84"/>
  <c r="V75" i="84"/>
  <c r="V69" i="84"/>
  <c r="V57" i="84"/>
  <c r="V53" i="84"/>
  <c r="V45" i="84"/>
  <c r="V68" i="84"/>
  <c r="V56" i="84"/>
  <c r="V48" i="84"/>
  <c r="V40" i="84"/>
  <c r="V36" i="84"/>
  <c r="V24" i="84"/>
  <c r="V16" i="84"/>
  <c r="J16" i="84"/>
  <c r="V17" i="84"/>
  <c r="V22" i="84"/>
  <c r="J30" i="84"/>
  <c r="J42" i="84"/>
  <c r="X43" i="84"/>
  <c r="Z43" i="84" s="1"/>
  <c r="V62" i="84"/>
  <c r="Z50" i="85"/>
  <c r="X50" i="85"/>
  <c r="N52" i="85"/>
  <c r="L52" i="85"/>
  <c r="N32" i="86"/>
  <c r="J39" i="87"/>
  <c r="J25" i="87"/>
  <c r="J17" i="87"/>
  <c r="J44" i="87"/>
  <c r="J36" i="87"/>
  <c r="J24" i="87"/>
  <c r="J22" i="87"/>
  <c r="J57" i="87"/>
  <c r="J51" i="87"/>
  <c r="J47" i="87"/>
  <c r="J41" i="87"/>
  <c r="J35" i="87"/>
  <c r="J31" i="87"/>
  <c r="J46" i="87"/>
  <c r="J38" i="87"/>
  <c r="J34" i="87"/>
  <c r="J30" i="87"/>
  <c r="J16" i="87"/>
  <c r="J40" i="87"/>
  <c r="J28" i="87"/>
  <c r="J20" i="87"/>
  <c r="N12" i="87"/>
  <c r="J60" i="87"/>
  <c r="J53" i="87"/>
  <c r="J45" i="87"/>
  <c r="J37" i="87"/>
  <c r="J27" i="87"/>
  <c r="H20" i="87"/>
  <c r="J55" i="87"/>
  <c r="J29" i="87"/>
  <c r="J23" i="87"/>
  <c r="J18" i="87"/>
  <c r="J26" i="87"/>
  <c r="J48" i="87"/>
  <c r="J43" i="87"/>
  <c r="J42" i="87"/>
  <c r="J33" i="87"/>
  <c r="N16" i="87"/>
  <c r="L16" i="87"/>
  <c r="L13" i="84"/>
  <c r="J31" i="85"/>
  <c r="J35" i="85"/>
  <c r="J45" i="85"/>
  <c r="Z90" i="85"/>
  <c r="Z14" i="86"/>
  <c r="F18" i="86"/>
  <c r="N23" i="86"/>
  <c r="L23" i="86"/>
  <c r="F38" i="86"/>
  <c r="Z41" i="86"/>
  <c r="J44" i="86"/>
  <c r="J57" i="86"/>
  <c r="J61" i="86"/>
  <c r="J80" i="86"/>
  <c r="J85" i="86"/>
  <c r="R26" i="87"/>
  <c r="Z32" i="88"/>
  <c r="N36" i="88"/>
  <c r="F73" i="86"/>
  <c r="F69" i="86"/>
  <c r="F65" i="86"/>
  <c r="F61" i="86"/>
  <c r="F57" i="86"/>
  <c r="F52" i="86"/>
  <c r="F49" i="86"/>
  <c r="F37" i="86"/>
  <c r="F32" i="86"/>
  <c r="F25" i="86"/>
  <c r="F17" i="86"/>
  <c r="F91" i="86"/>
  <c r="F85" i="86"/>
  <c r="F79" i="86"/>
  <c r="F72" i="86"/>
  <c r="F68" i="86"/>
  <c r="F64" i="86"/>
  <c r="F60" i="86"/>
  <c r="F43" i="86"/>
  <c r="F40" i="86"/>
  <c r="F36" i="86"/>
  <c r="F24" i="86"/>
  <c r="F89" i="86"/>
  <c r="F71" i="86"/>
  <c r="F54" i="86"/>
  <c r="F51" i="86"/>
  <c r="F35" i="86"/>
  <c r="F31" i="86"/>
  <c r="F22" i="86"/>
  <c r="F81" i="86"/>
  <c r="F78" i="86"/>
  <c r="F45" i="86"/>
  <c r="F42" i="86"/>
  <c r="F34" i="86"/>
  <c r="F30" i="86"/>
  <c r="F94" i="86"/>
  <c r="F87" i="86"/>
  <c r="F80" i="86"/>
  <c r="F76" i="86"/>
  <c r="F67" i="86"/>
  <c r="F63" i="86"/>
  <c r="F59" i="86"/>
  <c r="F44" i="86"/>
  <c r="F39" i="86"/>
  <c r="F28" i="86"/>
  <c r="F23" i="86"/>
  <c r="L12" i="86"/>
  <c r="F84" i="86"/>
  <c r="F75" i="86"/>
  <c r="F70" i="86"/>
  <c r="F55" i="86"/>
  <c r="F50" i="86"/>
  <c r="F47" i="86"/>
  <c r="F27" i="86"/>
  <c r="F20" i="86"/>
  <c r="N22" i="86"/>
  <c r="F26" i="86"/>
  <c r="X45" i="86"/>
  <c r="Z45" i="86" s="1"/>
  <c r="X70" i="86"/>
  <c r="Z70" i="86" s="1"/>
  <c r="Z81" i="86"/>
  <c r="X81" i="86"/>
  <c r="X85" i="86"/>
  <c r="P84" i="86"/>
  <c r="X84" i="86" s="1"/>
  <c r="N17" i="88"/>
  <c r="L17" i="88"/>
  <c r="N67" i="90"/>
  <c r="L67" i="90"/>
  <c r="J94" i="85"/>
  <c r="J86" i="85"/>
  <c r="J80" i="85"/>
  <c r="J64" i="85"/>
  <c r="J60" i="85"/>
  <c r="J83" i="85"/>
  <c r="J79" i="85"/>
  <c r="J99" i="85"/>
  <c r="J92" i="85"/>
  <c r="J78" i="85"/>
  <c r="J72" i="85"/>
  <c r="J89" i="85"/>
  <c r="J85" i="85"/>
  <c r="J77" i="85"/>
  <c r="J63" i="85"/>
  <c r="J87" i="85"/>
  <c r="J75" i="85"/>
  <c r="J71" i="85"/>
  <c r="J67" i="85"/>
  <c r="J55" i="85"/>
  <c r="J96" i="85"/>
  <c r="J90" i="85"/>
  <c r="J84" i="85"/>
  <c r="J74" i="85"/>
  <c r="J70" i="85"/>
  <c r="J66" i="85"/>
  <c r="J62" i="85"/>
  <c r="J18" i="85"/>
  <c r="J26" i="85"/>
  <c r="J32" i="85"/>
  <c r="J38" i="85"/>
  <c r="J46" i="85"/>
  <c r="J52" i="85"/>
  <c r="J61" i="85"/>
  <c r="J76" i="85"/>
  <c r="F16" i="86"/>
  <c r="F41" i="86"/>
  <c r="F46" i="86"/>
  <c r="N63" i="86"/>
  <c r="L63" i="86"/>
  <c r="N67" i="86"/>
  <c r="L67" i="86"/>
  <c r="F82" i="86"/>
  <c r="R46" i="87"/>
  <c r="R43" i="87"/>
  <c r="R38" i="87"/>
  <c r="R34" i="87"/>
  <c r="R30" i="87"/>
  <c r="R23" i="87"/>
  <c r="R55" i="87"/>
  <c r="R49" i="87"/>
  <c r="R33" i="87"/>
  <c r="R29" i="87"/>
  <c r="R20" i="87"/>
  <c r="R45" i="87"/>
  <c r="R40" i="87"/>
  <c r="R37" i="87"/>
  <c r="R28" i="87"/>
  <c r="P20" i="87"/>
  <c r="R48" i="87"/>
  <c r="R32" i="87"/>
  <c r="R27" i="87"/>
  <c r="R25" i="87"/>
  <c r="R22" i="87"/>
  <c r="R17" i="87"/>
  <c r="R51" i="87"/>
  <c r="R44" i="87"/>
  <c r="R41" i="87"/>
  <c r="R36" i="87"/>
  <c r="R24" i="87"/>
  <c r="R47" i="87"/>
  <c r="Z44" i="89"/>
  <c r="X44" i="89"/>
  <c r="H20" i="85"/>
  <c r="J27" i="85"/>
  <c r="J41" i="85"/>
  <c r="J47" i="85"/>
  <c r="D20" i="86"/>
  <c r="J49" i="86"/>
  <c r="J50" i="86"/>
  <c r="L59" i="86"/>
  <c r="N59" i="86" s="1"/>
  <c r="F77" i="86"/>
  <c r="R16" i="87"/>
  <c r="R31" i="87"/>
  <c r="R42" i="87"/>
  <c r="R40" i="88"/>
  <c r="R35" i="88"/>
  <c r="R53" i="88"/>
  <c r="R46" i="88"/>
  <c r="R39" i="88"/>
  <c r="R36" i="88"/>
  <c r="R44" i="88"/>
  <c r="R43" i="88"/>
  <c r="R41" i="88"/>
  <c r="R33" i="88"/>
  <c r="R25" i="88"/>
  <c r="P17" i="88"/>
  <c r="R37" i="88"/>
  <c r="R29" i="88"/>
  <c r="R24" i="88"/>
  <c r="R48" i="88"/>
  <c r="R32" i="88"/>
  <c r="R23" i="88"/>
  <c r="R15" i="88"/>
  <c r="R50" i="88"/>
  <c r="R22" i="88"/>
  <c r="R19" i="88"/>
  <c r="R28" i="88"/>
  <c r="X12" i="88"/>
  <c r="R31" i="88"/>
  <c r="R27" i="88"/>
  <c r="R20" i="88"/>
  <c r="R14" i="88"/>
  <c r="D43" i="88"/>
  <c r="L43" i="88" s="1"/>
  <c r="L44" i="88"/>
  <c r="F57" i="89"/>
  <c r="F49" i="89"/>
  <c r="F46" i="89"/>
  <c r="F45" i="89"/>
  <c r="F40" i="89"/>
  <c r="F37" i="89"/>
  <c r="F32" i="89"/>
  <c r="F16" i="89"/>
  <c r="F70" i="89"/>
  <c r="F63" i="89"/>
  <c r="F56" i="89"/>
  <c r="F51" i="89"/>
  <c r="F48" i="89"/>
  <c r="F23" i="89"/>
  <c r="F60" i="89"/>
  <c r="F55" i="89"/>
  <c r="F42" i="89"/>
  <c r="F39" i="89"/>
  <c r="F34" i="89"/>
  <c r="F31" i="89"/>
  <c r="F26" i="89"/>
  <c r="F20" i="89"/>
  <c r="F58" i="89"/>
  <c r="F54" i="89"/>
  <c r="F50" i="89"/>
  <c r="F53" i="89"/>
  <c r="F44" i="89"/>
  <c r="F41" i="89"/>
  <c r="F36" i="89"/>
  <c r="F33" i="89"/>
  <c r="F29" i="89"/>
  <c r="F25" i="89"/>
  <c r="F17" i="89"/>
  <c r="F18" i="89"/>
  <c r="F35" i="89"/>
  <c r="F30" i="89"/>
  <c r="F65" i="89"/>
  <c r="F61" i="89"/>
  <c r="D20" i="89"/>
  <c r="F67" i="89"/>
  <c r="F28" i="89"/>
  <c r="F43" i="89"/>
  <c r="F24" i="89"/>
  <c r="F22" i="89"/>
  <c r="N12" i="85"/>
  <c r="J20" i="85"/>
  <c r="J28" i="85"/>
  <c r="J44" i="85"/>
  <c r="J50" i="85"/>
  <c r="J56" i="85"/>
  <c r="Z69" i="85"/>
  <c r="F33" i="86"/>
  <c r="F48" i="86"/>
  <c r="F53" i="86"/>
  <c r="F62" i="86"/>
  <c r="F66" i="86"/>
  <c r="F74" i="86"/>
  <c r="D12" i="87"/>
  <c r="L13" i="87"/>
  <c r="Z16" i="87"/>
  <c r="N63" i="90"/>
  <c r="L63" i="90"/>
  <c r="T68" i="83"/>
  <c r="J23" i="85"/>
  <c r="J29" i="85"/>
  <c r="J33" i="85"/>
  <c r="J39" i="85"/>
  <c r="J53" i="85"/>
  <c r="J57" i="85"/>
  <c r="J65" i="85"/>
  <c r="J81" i="85"/>
  <c r="J82" i="85"/>
  <c r="N86" i="85"/>
  <c r="J72" i="86"/>
  <c r="J68" i="86"/>
  <c r="J64" i="86"/>
  <c r="J60" i="86"/>
  <c r="J54" i="86"/>
  <c r="J40" i="86"/>
  <c r="J36" i="86"/>
  <c r="J24" i="86"/>
  <c r="J22" i="86"/>
  <c r="J89" i="86"/>
  <c r="J81" i="86"/>
  <c r="J71" i="86"/>
  <c r="J51" i="86"/>
  <c r="J45" i="86"/>
  <c r="J35" i="86"/>
  <c r="J31" i="86"/>
  <c r="J78" i="86"/>
  <c r="J56" i="86"/>
  <c r="J48" i="86"/>
  <c r="J42" i="86"/>
  <c r="J34" i="86"/>
  <c r="J30" i="86"/>
  <c r="J16" i="86"/>
  <c r="J94" i="86"/>
  <c r="J87" i="86"/>
  <c r="J77" i="86"/>
  <c r="J67" i="86"/>
  <c r="J63" i="86"/>
  <c r="J59" i="86"/>
  <c r="J53" i="86"/>
  <c r="J39" i="86"/>
  <c r="J33" i="86"/>
  <c r="J29" i="86"/>
  <c r="J23" i="86"/>
  <c r="J75" i="86"/>
  <c r="J55" i="86"/>
  <c r="J47" i="86"/>
  <c r="J41" i="86"/>
  <c r="J27" i="86"/>
  <c r="H20" i="86"/>
  <c r="J82" i="86"/>
  <c r="J74" i="86"/>
  <c r="J66" i="86"/>
  <c r="J62" i="86"/>
  <c r="J58" i="86"/>
  <c r="J52" i="86"/>
  <c r="J46" i="86"/>
  <c r="J38" i="86"/>
  <c r="J32" i="86"/>
  <c r="J26" i="86"/>
  <c r="J18" i="86"/>
  <c r="N14" i="86"/>
  <c r="L14" i="86"/>
  <c r="T87" i="86"/>
  <c r="L32" i="86"/>
  <c r="N39" i="86"/>
  <c r="L39" i="86"/>
  <c r="X50" i="86"/>
  <c r="Z50" i="86" s="1"/>
  <c r="L52" i="86"/>
  <c r="F58" i="86"/>
  <c r="Z67" i="86"/>
  <c r="R35" i="87"/>
  <c r="L37" i="87"/>
  <c r="R34" i="88"/>
  <c r="F27" i="89"/>
  <c r="L61" i="89"/>
  <c r="D60" i="89"/>
  <c r="L60" i="89" s="1"/>
  <c r="D89" i="85"/>
  <c r="L89" i="85" s="1"/>
  <c r="T89" i="85"/>
  <c r="V20" i="86"/>
  <c r="V30" i="86"/>
  <c r="V34" i="86"/>
  <c r="V42" i="86"/>
  <c r="V50" i="86"/>
  <c r="V70" i="86"/>
  <c r="V78" i="86"/>
  <c r="V84" i="86"/>
  <c r="V53" i="88"/>
  <c r="V48" i="88"/>
  <c r="V46" i="88"/>
  <c r="V34" i="88"/>
  <c r="V50" i="88"/>
  <c r="V44" i="88"/>
  <c r="V38" i="88"/>
  <c r="T17" i="88"/>
  <c r="J22" i="88"/>
  <c r="F23" i="88"/>
  <c r="V26" i="88"/>
  <c r="V30" i="88"/>
  <c r="J32" i="88"/>
  <c r="J35" i="88"/>
  <c r="F36" i="88"/>
  <c r="Z38" i="88"/>
  <c r="V40" i="88"/>
  <c r="X44" i="88"/>
  <c r="Z44" i="88" s="1"/>
  <c r="J53" i="88"/>
  <c r="Z26" i="89"/>
  <c r="L38" i="89"/>
  <c r="N38" i="89" s="1"/>
  <c r="X60" i="89"/>
  <c r="D36" i="100"/>
  <c r="V23" i="86"/>
  <c r="V31" i="86"/>
  <c r="V35" i="86"/>
  <c r="V39" i="86"/>
  <c r="V51" i="86"/>
  <c r="V59" i="86"/>
  <c r="V63" i="86"/>
  <c r="V67" i="86"/>
  <c r="V71" i="86"/>
  <c r="V87" i="86"/>
  <c r="V89" i="86"/>
  <c r="J15" i="88"/>
  <c r="V17" i="88"/>
  <c r="J23" i="88"/>
  <c r="F24" i="88"/>
  <c r="V27" i="88"/>
  <c r="J29" i="88"/>
  <c r="V31" i="88"/>
  <c r="F37" i="88"/>
  <c r="N22" i="89"/>
  <c r="P12" i="86"/>
  <c r="V17" i="86"/>
  <c r="V25" i="86"/>
  <c r="V37" i="86"/>
  <c r="V45" i="86"/>
  <c r="V49" i="86"/>
  <c r="V57" i="86"/>
  <c r="V61" i="86"/>
  <c r="V65" i="86"/>
  <c r="V69" i="86"/>
  <c r="V73" i="86"/>
  <c r="V81" i="86"/>
  <c r="T12" i="87"/>
  <c r="X12" i="87" s="1"/>
  <c r="F53" i="88"/>
  <c r="F46" i="88"/>
  <c r="F39" i="88"/>
  <c r="F41" i="88"/>
  <c r="F50" i="88"/>
  <c r="F44" i="88"/>
  <c r="F38" i="88"/>
  <c r="J17" i="88"/>
  <c r="V21" i="88"/>
  <c r="J25" i="88"/>
  <c r="F26" i="88"/>
  <c r="F30" i="88"/>
  <c r="J33" i="88"/>
  <c r="V35" i="88"/>
  <c r="N38" i="88"/>
  <c r="J39" i="88"/>
  <c r="F40" i="88"/>
  <c r="J41" i="88"/>
  <c r="J43" i="88"/>
  <c r="N44" i="88"/>
  <c r="H43" i="88"/>
  <c r="N43" i="88" s="1"/>
  <c r="Z34" i="89"/>
  <c r="Z47" i="89"/>
  <c r="X47" i="89"/>
  <c r="L57" i="89"/>
  <c r="L36" i="90"/>
  <c r="V18" i="86"/>
  <c r="V22" i="86"/>
  <c r="V26" i="86"/>
  <c r="V38" i="86"/>
  <c r="V46" i="86"/>
  <c r="V54" i="86"/>
  <c r="V58" i="86"/>
  <c r="V62" i="86"/>
  <c r="V66" i="86"/>
  <c r="V74" i="86"/>
  <c r="V82" i="86"/>
  <c r="J36" i="88"/>
  <c r="J50" i="88"/>
  <c r="J44" i="88"/>
  <c r="J48" i="88"/>
  <c r="J40" i="88"/>
  <c r="J20" i="88"/>
  <c r="J26" i="88"/>
  <c r="J30" i="88"/>
  <c r="J38" i="88"/>
  <c r="N49" i="89"/>
  <c r="L49" i="89"/>
  <c r="N57" i="89"/>
  <c r="Z15" i="90"/>
  <c r="N23" i="90"/>
  <c r="N36" i="90"/>
  <c r="X22" i="86"/>
  <c r="Z22" i="86" s="1"/>
  <c r="V27" i="86"/>
  <c r="V43" i="86"/>
  <c r="V47" i="86"/>
  <c r="V55" i="86"/>
  <c r="V75" i="86"/>
  <c r="V79" i="86"/>
  <c r="V85" i="86"/>
  <c r="X13" i="87"/>
  <c r="Z13" i="87" s="1"/>
  <c r="L12" i="88"/>
  <c r="J27" i="88"/>
  <c r="J31" i="88"/>
  <c r="Z36" i="88"/>
  <c r="X43" i="88"/>
  <c r="N13" i="89"/>
  <c r="H12" i="89"/>
  <c r="L12" i="89" s="1"/>
  <c r="Z51" i="89"/>
  <c r="X15" i="90"/>
  <c r="R35" i="91"/>
  <c r="R32" i="91"/>
  <c r="R50" i="91"/>
  <c r="R44" i="91"/>
  <c r="R34" i="91"/>
  <c r="R40" i="91"/>
  <c r="R37" i="91"/>
  <c r="R48" i="91"/>
  <c r="R42" i="91"/>
  <c r="R39" i="91"/>
  <c r="R29" i="91"/>
  <c r="R25" i="91"/>
  <c r="R16" i="91"/>
  <c r="R36" i="91"/>
  <c r="R24" i="91"/>
  <c r="P16" i="91"/>
  <c r="R38" i="91"/>
  <c r="R28" i="91"/>
  <c r="R23" i="91"/>
  <c r="R33" i="91"/>
  <c r="R22" i="91"/>
  <c r="R46" i="91"/>
  <c r="R41" i="91"/>
  <c r="R31" i="91"/>
  <c r="R21" i="91"/>
  <c r="R18" i="91"/>
  <c r="R14" i="91"/>
  <c r="R30" i="91"/>
  <c r="R20" i="91"/>
  <c r="X12" i="91"/>
  <c r="R26" i="91"/>
  <c r="R53" i="91"/>
  <c r="R27" i="91"/>
  <c r="Z46" i="92"/>
  <c r="V28" i="86"/>
  <c r="V32" i="86"/>
  <c r="V44" i="86"/>
  <c r="V52" i="86"/>
  <c r="V76" i="86"/>
  <c r="N12" i="88"/>
  <c r="J14" i="88"/>
  <c r="F21" i="88"/>
  <c r="V24" i="88"/>
  <c r="J28" i="88"/>
  <c r="F32" i="88"/>
  <c r="V32" i="88"/>
  <c r="J34" i="88"/>
  <c r="V36" i="88"/>
  <c r="V37" i="88"/>
  <c r="V39" i="88"/>
  <c r="P12" i="89"/>
  <c r="X13" i="89"/>
  <c r="Z13" i="89" s="1"/>
  <c r="Z14" i="89"/>
  <c r="Z23" i="89"/>
  <c r="Z42" i="89"/>
  <c r="X61" i="89"/>
  <c r="Z61" i="89" s="1"/>
  <c r="T12" i="90"/>
  <c r="Z14" i="90"/>
  <c r="N43" i="90"/>
  <c r="L43" i="90"/>
  <c r="Z57" i="90"/>
  <c r="X57" i="90"/>
  <c r="V50" i="91"/>
  <c r="V44" i="91"/>
  <c r="V38" i="91"/>
  <c r="V34" i="91"/>
  <c r="V40" i="91"/>
  <c r="V39" i="91"/>
  <c r="V53" i="91"/>
  <c r="V48" i="91"/>
  <c r="V46" i="91"/>
  <c r="V42" i="91"/>
  <c r="V41" i="91"/>
  <c r="V33" i="91"/>
  <c r="V36" i="91"/>
  <c r="V28" i="91"/>
  <c r="V24" i="91"/>
  <c r="V32" i="91"/>
  <c r="V23" i="91"/>
  <c r="V22" i="91"/>
  <c r="V18" i="91"/>
  <c r="V14" i="91"/>
  <c r="V31" i="91"/>
  <c r="V30" i="91"/>
  <c r="V21" i="91"/>
  <c r="V20" i="91"/>
  <c r="Z12" i="91"/>
  <c r="V35" i="91"/>
  <c r="V27" i="91"/>
  <c r="V19" i="91"/>
  <c r="V25" i="91"/>
  <c r="V29" i="91"/>
  <c r="V37" i="91"/>
  <c r="V26" i="91"/>
  <c r="V16" i="91"/>
  <c r="T16" i="91"/>
  <c r="D46" i="91"/>
  <c r="D12" i="90"/>
  <c r="R38" i="90"/>
  <c r="R50" i="90"/>
  <c r="Z19" i="91"/>
  <c r="X19" i="91"/>
  <c r="L34" i="91"/>
  <c r="Z18" i="92"/>
  <c r="J71" i="90"/>
  <c r="J59" i="90"/>
  <c r="J53" i="90"/>
  <c r="J45" i="90"/>
  <c r="J31" i="90"/>
  <c r="J23" i="90"/>
  <c r="J78" i="90"/>
  <c r="J70" i="90"/>
  <c r="J66" i="90"/>
  <c r="J62" i="90"/>
  <c r="J58" i="90"/>
  <c r="J50" i="90"/>
  <c r="J42" i="90"/>
  <c r="J36" i="90"/>
  <c r="J30" i="90"/>
  <c r="J87" i="90"/>
  <c r="J81" i="90"/>
  <c r="J75" i="90"/>
  <c r="J69" i="90"/>
  <c r="J65" i="90"/>
  <c r="J55" i="90"/>
  <c r="J68" i="90"/>
  <c r="J64" i="90"/>
  <c r="J52" i="90"/>
  <c r="J44" i="90"/>
  <c r="J40" i="90"/>
  <c r="J28" i="90"/>
  <c r="J20" i="90"/>
  <c r="J85" i="90"/>
  <c r="J77" i="90"/>
  <c r="J61" i="90"/>
  <c r="J57" i="90"/>
  <c r="J49" i="90"/>
  <c r="J39" i="90"/>
  <c r="J35" i="90"/>
  <c r="J27" i="90"/>
  <c r="J25" i="90"/>
  <c r="J74" i="90"/>
  <c r="J54" i="90"/>
  <c r="J46" i="90"/>
  <c r="J19" i="90"/>
  <c r="J29" i="90"/>
  <c r="J34" i="90"/>
  <c r="R42" i="90"/>
  <c r="R43" i="90"/>
  <c r="R55" i="90"/>
  <c r="J76" i="90"/>
  <c r="X81" i="90"/>
  <c r="Z81" i="90" s="1"/>
  <c r="P80" i="90"/>
  <c r="X80" i="90" s="1"/>
  <c r="Z80" i="90" s="1"/>
  <c r="N34" i="91"/>
  <c r="L13" i="90"/>
  <c r="R21" i="90"/>
  <c r="X26" i="90"/>
  <c r="Z26" i="90" s="1"/>
  <c r="R30" i="90"/>
  <c r="R36" i="90"/>
  <c r="R41" i="90"/>
  <c r="J48" i="90"/>
  <c r="R62" i="90"/>
  <c r="R66" i="90"/>
  <c r="R70" i="90"/>
  <c r="J72" i="90"/>
  <c r="Z77" i="90"/>
  <c r="X77" i="90"/>
  <c r="J80" i="90"/>
  <c r="R81" i="90"/>
  <c r="N12" i="90"/>
  <c r="X25" i="90"/>
  <c r="Z25" i="90" s="1"/>
  <c r="J33" i="90"/>
  <c r="Z49" i="90"/>
  <c r="X49" i="90"/>
  <c r="J60" i="90"/>
  <c r="R77" i="90"/>
  <c r="R68" i="90"/>
  <c r="R64" i="90"/>
  <c r="R61" i="90"/>
  <c r="R57" i="90"/>
  <c r="R52" i="90"/>
  <c r="R49" i="90"/>
  <c r="R44" i="90"/>
  <c r="R40" i="90"/>
  <c r="R28" i="90"/>
  <c r="R25" i="90"/>
  <c r="R20" i="90"/>
  <c r="X12" i="90"/>
  <c r="R85" i="90"/>
  <c r="R39" i="90"/>
  <c r="R35" i="90"/>
  <c r="R27" i="90"/>
  <c r="R90" i="90"/>
  <c r="R83" i="90"/>
  <c r="R74" i="90"/>
  <c r="R67" i="90"/>
  <c r="R63" i="90"/>
  <c r="R54" i="90"/>
  <c r="R51" i="90"/>
  <c r="R80" i="90"/>
  <c r="R73" i="90"/>
  <c r="R37" i="90"/>
  <c r="R33" i="90"/>
  <c r="R26" i="90"/>
  <c r="R76" i="90"/>
  <c r="R72" i="90"/>
  <c r="R60" i="90"/>
  <c r="R56" i="90"/>
  <c r="R53" i="90"/>
  <c r="R48" i="90"/>
  <c r="R45" i="90"/>
  <c r="R32" i="90"/>
  <c r="R23" i="90"/>
  <c r="R71" i="90"/>
  <c r="R59" i="90"/>
  <c r="R19" i="90"/>
  <c r="L25" i="90"/>
  <c r="N25" i="90" s="1"/>
  <c r="R34" i="90"/>
  <c r="J56" i="90"/>
  <c r="R65" i="90"/>
  <c r="R69" i="90"/>
  <c r="N75" i="90"/>
  <c r="L28" i="91"/>
  <c r="N28" i="91" s="1"/>
  <c r="N45" i="94"/>
  <c r="L45" i="94"/>
  <c r="J32" i="90"/>
  <c r="J38" i="90"/>
  <c r="J47" i="90"/>
  <c r="N51" i="90"/>
  <c r="L51" i="90"/>
  <c r="Z61" i="90"/>
  <c r="X61" i="90"/>
  <c r="J83" i="90"/>
  <c r="R87" i="90"/>
  <c r="N19" i="91"/>
  <c r="Z30" i="91"/>
  <c r="L13" i="92"/>
  <c r="N13" i="92" s="1"/>
  <c r="D12" i="92"/>
  <c r="P12" i="92"/>
  <c r="X14" i="92"/>
  <c r="Z14" i="92" s="1"/>
  <c r="X46" i="92"/>
  <c r="H16" i="91"/>
  <c r="J23" i="91"/>
  <c r="J34" i="91"/>
  <c r="J40" i="91"/>
  <c r="Z16" i="92"/>
  <c r="N24" i="92"/>
  <c r="J26" i="92"/>
  <c r="L48" i="92"/>
  <c r="J16" i="91"/>
  <c r="J24" i="91"/>
  <c r="F29" i="91"/>
  <c r="J39" i="91"/>
  <c r="J50" i="91"/>
  <c r="X13" i="92"/>
  <c r="T12" i="92"/>
  <c r="X15" i="92"/>
  <c r="Z15" i="92" s="1"/>
  <c r="J24" i="92"/>
  <c r="J25" i="92"/>
  <c r="J38" i="92"/>
  <c r="Z52" i="92"/>
  <c r="J79" i="92"/>
  <c r="J88" i="92"/>
  <c r="T55" i="93"/>
  <c r="V55" i="93" s="1"/>
  <c r="F50" i="91"/>
  <c r="F44" i="91"/>
  <c r="F34" i="91"/>
  <c r="F31" i="91"/>
  <c r="F33" i="91"/>
  <c r="F39" i="91"/>
  <c r="F36" i="91"/>
  <c r="F53" i="91"/>
  <c r="F46" i="91"/>
  <c r="F35" i="91"/>
  <c r="F41" i="91"/>
  <c r="F38" i="91"/>
  <c r="J19" i="91"/>
  <c r="J25" i="91"/>
  <c r="F26" i="91"/>
  <c r="J29" i="91"/>
  <c r="X41" i="91"/>
  <c r="Z41" i="91" s="1"/>
  <c r="F48" i="91"/>
  <c r="Z13" i="92"/>
  <c r="J31" i="92"/>
  <c r="X35" i="92"/>
  <c r="Z35" i="92" s="1"/>
  <c r="X51" i="94"/>
  <c r="Z51" i="94" s="1"/>
  <c r="J48" i="91"/>
  <c r="J42" i="91"/>
  <c r="J53" i="91"/>
  <c r="J46" i="91"/>
  <c r="J36" i="91"/>
  <c r="J41" i="91"/>
  <c r="J35" i="91"/>
  <c r="J38" i="91"/>
  <c r="J32" i="91"/>
  <c r="J26" i="91"/>
  <c r="J37" i="91"/>
  <c r="J76" i="92"/>
  <c r="J58" i="92"/>
  <c r="J50" i="92"/>
  <c r="J42" i="92"/>
  <c r="J36" i="92"/>
  <c r="J32" i="92"/>
  <c r="J18" i="92"/>
  <c r="J81" i="92"/>
  <c r="J75" i="92"/>
  <c r="J55" i="92"/>
  <c r="J47" i="92"/>
  <c r="J78" i="92"/>
  <c r="J74" i="92"/>
  <c r="J68" i="92"/>
  <c r="J64" i="92"/>
  <c r="J60" i="92"/>
  <c r="J52" i="92"/>
  <c r="J44" i="92"/>
  <c r="J30" i="92"/>
  <c r="J22" i="92"/>
  <c r="J73" i="92"/>
  <c r="J57" i="92"/>
  <c r="J49" i="92"/>
  <c r="J41" i="92"/>
  <c r="J35" i="92"/>
  <c r="J29" i="92"/>
  <c r="H22" i="92"/>
  <c r="J84" i="92"/>
  <c r="J80" i="92"/>
  <c r="J72" i="92"/>
  <c r="J54" i="92"/>
  <c r="J46" i="92"/>
  <c r="J40" i="92"/>
  <c r="J28" i="92"/>
  <c r="J20" i="92"/>
  <c r="J77" i="92"/>
  <c r="J71" i="92"/>
  <c r="J67" i="92"/>
  <c r="J63" i="92"/>
  <c r="J59" i="92"/>
  <c r="J51" i="92"/>
  <c r="J43" i="92"/>
  <c r="J39" i="92"/>
  <c r="J27" i="92"/>
  <c r="J19" i="92"/>
  <c r="J34" i="92"/>
  <c r="J37" i="92"/>
  <c r="J53" i="92"/>
  <c r="N77" i="92"/>
  <c r="L77" i="92"/>
  <c r="L15" i="93"/>
  <c r="H12" i="93"/>
  <c r="N15" i="93"/>
  <c r="J83" i="94"/>
  <c r="J75" i="94"/>
  <c r="J67" i="94"/>
  <c r="J92" i="94"/>
  <c r="J86" i="94"/>
  <c r="J80" i="94"/>
  <c r="J74" i="94"/>
  <c r="J66" i="94"/>
  <c r="J62" i="94"/>
  <c r="J85" i="94"/>
  <c r="J73" i="94"/>
  <c r="J69" i="94"/>
  <c r="J65" i="94"/>
  <c r="J61" i="94"/>
  <c r="J82" i="94"/>
  <c r="J72" i="94"/>
  <c r="J84" i="94"/>
  <c r="J78" i="94"/>
  <c r="J68" i="94"/>
  <c r="J81" i="94"/>
  <c r="J77" i="94"/>
  <c r="J63" i="94"/>
  <c r="J59" i="94"/>
  <c r="J47" i="94"/>
  <c r="J37" i="94"/>
  <c r="J33" i="94"/>
  <c r="J25" i="94"/>
  <c r="J23" i="94"/>
  <c r="J56" i="94"/>
  <c r="J52" i="94"/>
  <c r="J44" i="94"/>
  <c r="J36" i="94"/>
  <c r="J32" i="94"/>
  <c r="J88" i="94"/>
  <c r="J79" i="94"/>
  <c r="J70" i="94"/>
  <c r="J55" i="94"/>
  <c r="J49" i="94"/>
  <c r="J41" i="94"/>
  <c r="J35" i="94"/>
  <c r="J31" i="94"/>
  <c r="J17" i="94"/>
  <c r="J76" i="94"/>
  <c r="J64" i="94"/>
  <c r="J46" i="94"/>
  <c r="J30" i="94"/>
  <c r="J24" i="94"/>
  <c r="J51" i="94"/>
  <c r="J43" i="94"/>
  <c r="J29" i="94"/>
  <c r="J71" i="94"/>
  <c r="J60" i="94"/>
  <c r="J54" i="94"/>
  <c r="J48" i="94"/>
  <c r="J40" i="94"/>
  <c r="J34" i="94"/>
  <c r="J28" i="94"/>
  <c r="H21" i="94"/>
  <c r="J50" i="94"/>
  <c r="J18" i="94"/>
  <c r="J26" i="94"/>
  <c r="J19" i="94"/>
  <c r="J42" i="94"/>
  <c r="J38" i="94"/>
  <c r="J53" i="94"/>
  <c r="J39" i="94"/>
  <c r="J27" i="94"/>
  <c r="J57" i="94"/>
  <c r="L12" i="91"/>
  <c r="F20" i="91"/>
  <c r="J27" i="91"/>
  <c r="F42" i="91"/>
  <c r="X24" i="92"/>
  <c r="Z24" i="92" s="1"/>
  <c r="J70" i="92"/>
  <c r="J82" i="92"/>
  <c r="Z23" i="94"/>
  <c r="H80" i="90"/>
  <c r="N12" i="91"/>
  <c r="J14" i="91"/>
  <c r="J18" i="91"/>
  <c r="J20" i="91"/>
  <c r="F21" i="91"/>
  <c r="F28" i="91"/>
  <c r="J30" i="91"/>
  <c r="X32" i="91"/>
  <c r="Z32" i="91" s="1"/>
  <c r="J33" i="92"/>
  <c r="J45" i="92"/>
  <c r="Z54" i="92"/>
  <c r="L56" i="92"/>
  <c r="J62" i="92"/>
  <c r="Z64" i="92"/>
  <c r="J66" i="92"/>
  <c r="L13" i="93"/>
  <c r="D12" i="93"/>
  <c r="X46" i="93"/>
  <c r="Z46" i="93" s="1"/>
  <c r="J58" i="94"/>
  <c r="V37" i="93"/>
  <c r="Z38" i="93"/>
  <c r="Z42" i="93"/>
  <c r="V46" i="93"/>
  <c r="T90" i="94"/>
  <c r="Z41" i="94"/>
  <c r="L53" i="94"/>
  <c r="N53" i="94" s="1"/>
  <c r="J77" i="95"/>
  <c r="J74" i="95"/>
  <c r="J68" i="95"/>
  <c r="J64" i="95"/>
  <c r="J79" i="95"/>
  <c r="J73" i="95"/>
  <c r="J75" i="95"/>
  <c r="J76" i="95"/>
  <c r="J66" i="95"/>
  <c r="J65" i="95"/>
  <c r="J55" i="95"/>
  <c r="J47" i="95"/>
  <c r="J37" i="95"/>
  <c r="J33" i="95"/>
  <c r="J25" i="95"/>
  <c r="J23" i="95"/>
  <c r="J82" i="95"/>
  <c r="J78" i="95"/>
  <c r="J67" i="95"/>
  <c r="J62" i="95"/>
  <c r="J58" i="95"/>
  <c r="J52" i="95"/>
  <c r="J44" i="95"/>
  <c r="J36" i="95"/>
  <c r="J32" i="95"/>
  <c r="J70" i="95"/>
  <c r="J69" i="95"/>
  <c r="J63" i="95"/>
  <c r="J61" i="95"/>
  <c r="J57" i="95"/>
  <c r="J49" i="95"/>
  <c r="J41" i="95"/>
  <c r="J35" i="95"/>
  <c r="J31" i="95"/>
  <c r="J17" i="95"/>
  <c r="J86" i="95"/>
  <c r="J80" i="95"/>
  <c r="J71" i="95"/>
  <c r="J54" i="95"/>
  <c r="J46" i="95"/>
  <c r="J30" i="95"/>
  <c r="J24" i="95"/>
  <c r="J72" i="95"/>
  <c r="J56" i="95"/>
  <c r="J48" i="95"/>
  <c r="J40" i="95"/>
  <c r="J34" i="95"/>
  <c r="J28" i="95"/>
  <c r="H21" i="95"/>
  <c r="J59" i="95"/>
  <c r="J53" i="95"/>
  <c r="J45" i="95"/>
  <c r="J39" i="95"/>
  <c r="J27" i="95"/>
  <c r="J19" i="95"/>
  <c r="J51" i="95"/>
  <c r="J50" i="95"/>
  <c r="J29" i="95"/>
  <c r="J26" i="95"/>
  <c r="J60" i="95"/>
  <c r="J43" i="95"/>
  <c r="J42" i="95"/>
  <c r="J38" i="95"/>
  <c r="J18" i="95"/>
  <c r="Z24" i="93"/>
  <c r="Z28" i="93"/>
  <c r="Z32" i="93"/>
  <c r="R76" i="95"/>
  <c r="R72" i="95"/>
  <c r="R88" i="95"/>
  <c r="R82" i="95"/>
  <c r="R71" i="95"/>
  <c r="R67" i="95"/>
  <c r="R63" i="95"/>
  <c r="R78" i="95"/>
  <c r="R75" i="95"/>
  <c r="R70" i="95"/>
  <c r="R66" i="95"/>
  <c r="R62" i="95"/>
  <c r="R59" i="95"/>
  <c r="R79" i="95"/>
  <c r="R74" i="95"/>
  <c r="R86" i="95"/>
  <c r="R80" i="95"/>
  <c r="R54" i="95"/>
  <c r="R51" i="95"/>
  <c r="R46" i="95"/>
  <c r="R43" i="95"/>
  <c r="R30" i="95"/>
  <c r="R21" i="95"/>
  <c r="R60" i="95"/>
  <c r="R34" i="95"/>
  <c r="R29" i="95"/>
  <c r="P21" i="95"/>
  <c r="R56" i="95"/>
  <c r="R53" i="95"/>
  <c r="R48" i="95"/>
  <c r="R45" i="95"/>
  <c r="R40" i="95"/>
  <c r="R28" i="95"/>
  <c r="X12" i="95"/>
  <c r="Z12" i="95" s="1"/>
  <c r="R91" i="95"/>
  <c r="R73" i="95"/>
  <c r="R39" i="95"/>
  <c r="R27" i="95"/>
  <c r="R19" i="95"/>
  <c r="R65" i="95"/>
  <c r="R64" i="95"/>
  <c r="R37" i="95"/>
  <c r="R33" i="95"/>
  <c r="R25" i="95"/>
  <c r="R84" i="95"/>
  <c r="R61" i="95"/>
  <c r="R58" i="95"/>
  <c r="R52" i="95"/>
  <c r="R49" i="95"/>
  <c r="R44" i="95"/>
  <c r="R41" i="95"/>
  <c r="R36" i="95"/>
  <c r="R32" i="95"/>
  <c r="R17" i="95"/>
  <c r="R69" i="95"/>
  <c r="R57" i="95"/>
  <c r="R24" i="95"/>
  <c r="R77" i="95"/>
  <c r="R68" i="95"/>
  <c r="R55" i="95"/>
  <c r="R31" i="95"/>
  <c r="P12" i="93"/>
  <c r="Z15" i="93"/>
  <c r="Z17" i="94"/>
  <c r="V36" i="93"/>
  <c r="V49" i="93"/>
  <c r="V39" i="93"/>
  <c r="V31" i="93"/>
  <c r="V27" i="93"/>
  <c r="V23" i="93"/>
  <c r="V19" i="93"/>
  <c r="V38" i="93"/>
  <c r="V30" i="93"/>
  <c r="V26" i="93"/>
  <c r="V18" i="93"/>
  <c r="V45" i="93"/>
  <c r="V41" i="93"/>
  <c r="V33" i="93"/>
  <c r="V29" i="93"/>
  <c r="V25" i="93"/>
  <c r="V44" i="93"/>
  <c r="V40" i="93"/>
  <c r="V32" i="93"/>
  <c r="V28" i="93"/>
  <c r="V24" i="93"/>
  <c r="V53" i="93"/>
  <c r="V51" i="93"/>
  <c r="V47" i="93"/>
  <c r="V43" i="93"/>
  <c r="V35" i="93"/>
  <c r="V21" i="93"/>
  <c r="V17" i="93"/>
  <c r="D12" i="94"/>
  <c r="L13" i="94"/>
  <c r="Z49" i="94"/>
  <c r="Z63" i="94"/>
  <c r="R38" i="95"/>
  <c r="Z43" i="94"/>
  <c r="X43" i="94"/>
  <c r="Z34" i="93"/>
  <c r="N46" i="93"/>
  <c r="Z24" i="94"/>
  <c r="N34" i="94"/>
  <c r="V43" i="94"/>
  <c r="X55" i="94"/>
  <c r="Z55" i="94" s="1"/>
  <c r="N59" i="94"/>
  <c r="L59" i="94"/>
  <c r="R18" i="95"/>
  <c r="J21" i="95"/>
  <c r="Z51" i="95"/>
  <c r="N53" i="95"/>
  <c r="V24" i="94"/>
  <c r="V32" i="94"/>
  <c r="V36" i="94"/>
  <c r="V44" i="94"/>
  <c r="V52" i="94"/>
  <c r="V55" i="94"/>
  <c r="V56" i="94"/>
  <c r="V68" i="94"/>
  <c r="V72" i="94"/>
  <c r="N15" i="95"/>
  <c r="L15" i="95"/>
  <c r="Z17" i="95"/>
  <c r="T88" i="95"/>
  <c r="Z41" i="95"/>
  <c r="Z19" i="96"/>
  <c r="P12" i="94"/>
  <c r="V17" i="94"/>
  <c r="V25" i="94"/>
  <c r="V33" i="94"/>
  <c r="V37" i="94"/>
  <c r="V41" i="94"/>
  <c r="Z49" i="95"/>
  <c r="Z55" i="95"/>
  <c r="N75" i="95"/>
  <c r="V79" i="94"/>
  <c r="V71" i="94"/>
  <c r="V63" i="94"/>
  <c r="V59" i="94"/>
  <c r="V88" i="94"/>
  <c r="V78" i="94"/>
  <c r="V70" i="94"/>
  <c r="V81" i="94"/>
  <c r="V77" i="94"/>
  <c r="V80" i="94"/>
  <c r="V76" i="94"/>
  <c r="V92" i="94"/>
  <c r="V90" i="94"/>
  <c r="V86" i="94"/>
  <c r="V82" i="94"/>
  <c r="V74" i="94"/>
  <c r="V66" i="94"/>
  <c r="V62" i="94"/>
  <c r="V85" i="94"/>
  <c r="V73" i="94"/>
  <c r="V69" i="94"/>
  <c r="V65" i="94"/>
  <c r="V61" i="94"/>
  <c r="V57" i="94"/>
  <c r="V18" i="94"/>
  <c r="V26" i="94"/>
  <c r="V38" i="94"/>
  <c r="V42" i="94"/>
  <c r="V50" i="94"/>
  <c r="V58" i="94"/>
  <c r="D12" i="95"/>
  <c r="L13" i="95"/>
  <c r="L24" i="95"/>
  <c r="N24" i="95" s="1"/>
  <c r="N33" i="100"/>
  <c r="L33" i="100"/>
  <c r="V19" i="94"/>
  <c r="V23" i="94"/>
  <c r="V27" i="94"/>
  <c r="V39" i="94"/>
  <c r="V47" i="94"/>
  <c r="X57" i="94"/>
  <c r="Z57" i="94" s="1"/>
  <c r="V60" i="94"/>
  <c r="V83" i="94"/>
  <c r="N23" i="95"/>
  <c r="Z79" i="95"/>
  <c r="X79" i="95"/>
  <c r="R63" i="97"/>
  <c r="R54" i="97"/>
  <c r="R50" i="97"/>
  <c r="R47" i="97"/>
  <c r="R62" i="97"/>
  <c r="R58" i="97"/>
  <c r="R55" i="97"/>
  <c r="R51" i="97"/>
  <c r="R46" i="97"/>
  <c r="R67" i="97"/>
  <c r="R64" i="97"/>
  <c r="R61" i="97"/>
  <c r="R57" i="97"/>
  <c r="R48" i="97"/>
  <c r="R45" i="97"/>
  <c r="R39" i="97"/>
  <c r="R66" i="97"/>
  <c r="R44" i="97"/>
  <c r="R43" i="97"/>
  <c r="R42" i="97"/>
  <c r="R41" i="97"/>
  <c r="R37" i="97"/>
  <c r="R32" i="97"/>
  <c r="R28" i="97"/>
  <c r="X12" i="97"/>
  <c r="Z12" i="97" s="1"/>
  <c r="R56" i="97"/>
  <c r="R49" i="97"/>
  <c r="R36" i="97"/>
  <c r="R31" i="97"/>
  <c r="R27" i="97"/>
  <c r="R20" i="97"/>
  <c r="R26" i="97"/>
  <c r="R30" i="97"/>
  <c r="R25" i="97"/>
  <c r="P17" i="97"/>
  <c r="R59" i="97"/>
  <c r="R52" i="97"/>
  <c r="R35" i="97"/>
  <c r="R23" i="97"/>
  <c r="R60" i="97"/>
  <c r="R53" i="97"/>
  <c r="R34" i="97"/>
  <c r="R22" i="97"/>
  <c r="R19" i="97"/>
  <c r="R15" i="97"/>
  <c r="R40" i="97"/>
  <c r="R24" i="97"/>
  <c r="R21" i="97"/>
  <c r="R71" i="97"/>
  <c r="R38" i="97"/>
  <c r="R29" i="97"/>
  <c r="X66" i="97"/>
  <c r="Z66" i="97" s="1"/>
  <c r="L24" i="93"/>
  <c r="N24" i="93" s="1"/>
  <c r="L28" i="93"/>
  <c r="L32" i="93"/>
  <c r="X38" i="93"/>
  <c r="L40" i="93"/>
  <c r="L17" i="94"/>
  <c r="N17" i="94" s="1"/>
  <c r="V28" i="94"/>
  <c r="V40" i="94"/>
  <c r="V48" i="94"/>
  <c r="V53" i="94"/>
  <c r="V54" i="94"/>
  <c r="Z59" i="94"/>
  <c r="V64" i="94"/>
  <c r="Z80" i="94"/>
  <c r="X80" i="94"/>
  <c r="L82" i="94"/>
  <c r="N82" i="94" s="1"/>
  <c r="V84" i="95"/>
  <c r="V29" i="94"/>
  <c r="V45" i="94"/>
  <c r="V84" i="94"/>
  <c r="V21" i="95"/>
  <c r="V31" i="95"/>
  <c r="V35" i="95"/>
  <c r="V43" i="95"/>
  <c r="V51" i="95"/>
  <c r="X64" i="95"/>
  <c r="Z64" i="95" s="1"/>
  <c r="Z68" i="95"/>
  <c r="V79" i="95"/>
  <c r="L14" i="96"/>
  <c r="N31" i="96"/>
  <c r="N33" i="96"/>
  <c r="L13" i="97"/>
  <c r="N19" i="97"/>
  <c r="Z61" i="97"/>
  <c r="L24" i="99"/>
  <c r="N24" i="99"/>
  <c r="V24" i="95"/>
  <c r="V32" i="95"/>
  <c r="V36" i="95"/>
  <c r="V44" i="95"/>
  <c r="V52" i="95"/>
  <c r="V57" i="95"/>
  <c r="V58" i="95"/>
  <c r="V68" i="95"/>
  <c r="V74" i="95"/>
  <c r="J23" i="96"/>
  <c r="H16" i="96"/>
  <c r="J43" i="96"/>
  <c r="J36" i="96"/>
  <c r="J22" i="96"/>
  <c r="J33" i="96"/>
  <c r="J27" i="96"/>
  <c r="J21" i="96"/>
  <c r="J40" i="96"/>
  <c r="J34" i="96"/>
  <c r="J29" i="96"/>
  <c r="J25" i="96"/>
  <c r="J19" i="96"/>
  <c r="N18" i="96"/>
  <c r="J28" i="96"/>
  <c r="J31" i="96"/>
  <c r="X32" i="96"/>
  <c r="P31" i="96"/>
  <c r="X31" i="96" s="1"/>
  <c r="Z31" i="96" s="1"/>
  <c r="N13" i="97"/>
  <c r="H12" i="97"/>
  <c r="V75" i="95"/>
  <c r="V71" i="95"/>
  <c r="V67" i="95"/>
  <c r="V78" i="95"/>
  <c r="V70" i="95"/>
  <c r="V66" i="95"/>
  <c r="V62" i="95"/>
  <c r="V77" i="95"/>
  <c r="V69" i="95"/>
  <c r="V65" i="95"/>
  <c r="V61" i="95"/>
  <c r="V73" i="95"/>
  <c r="V18" i="95"/>
  <c r="V26" i="95"/>
  <c r="V38" i="95"/>
  <c r="V42" i="95"/>
  <c r="V50" i="95"/>
  <c r="N57" i="95"/>
  <c r="V64" i="95"/>
  <c r="Z77" i="95"/>
  <c r="N12" i="96"/>
  <c r="J14" i="96"/>
  <c r="J20" i="96"/>
  <c r="Z13" i="97"/>
  <c r="N57" i="97"/>
  <c r="V19" i="95"/>
  <c r="V23" i="95"/>
  <c r="V27" i="95"/>
  <c r="V39" i="95"/>
  <c r="V47" i="95"/>
  <c r="V55" i="95"/>
  <c r="V72" i="95"/>
  <c r="P36" i="96"/>
  <c r="J26" i="96"/>
  <c r="X67" i="97"/>
  <c r="Z67" i="97" s="1"/>
  <c r="V28" i="95"/>
  <c r="V40" i="95"/>
  <c r="V48" i="95"/>
  <c r="V56" i="95"/>
  <c r="V59" i="95"/>
  <c r="J24" i="96"/>
  <c r="X27" i="96"/>
  <c r="Z57" i="97"/>
  <c r="D66" i="97"/>
  <c r="P18" i="99"/>
  <c r="X15" i="99"/>
  <c r="V29" i="95"/>
  <c r="V45" i="95"/>
  <c r="V53" i="95"/>
  <c r="V60" i="95"/>
  <c r="V88" i="95"/>
  <c r="Z27" i="96"/>
  <c r="Z36" i="97"/>
  <c r="X51" i="97"/>
  <c r="Z51" i="97" s="1"/>
  <c r="L16" i="98"/>
  <c r="N16" i="98"/>
  <c r="V21" i="96"/>
  <c r="R22" i="96"/>
  <c r="F26" i="96"/>
  <c r="R27" i="96"/>
  <c r="F31" i="96"/>
  <c r="V31" i="96"/>
  <c r="R33" i="96"/>
  <c r="D12" i="97"/>
  <c r="V21" i="97"/>
  <c r="V29" i="97"/>
  <c r="V33" i="97"/>
  <c r="X40" i="97"/>
  <c r="Z40" i="97" s="1"/>
  <c r="V42" i="97"/>
  <c r="N51" i="97"/>
  <c r="Z63" i="97"/>
  <c r="V66" i="97"/>
  <c r="J16" i="98"/>
  <c r="P18" i="98"/>
  <c r="X25" i="98"/>
  <c r="X12" i="100"/>
  <c r="R34" i="100"/>
  <c r="R31" i="100"/>
  <c r="R27" i="100"/>
  <c r="R21" i="100"/>
  <c r="R18" i="100"/>
  <c r="R36" i="100"/>
  <c r="R33" i="100"/>
  <c r="R29" i="100"/>
  <c r="R25" i="100"/>
  <c r="P18" i="100"/>
  <c r="R15" i="100"/>
  <c r="R22" i="100"/>
  <c r="L21" i="100"/>
  <c r="V22" i="97"/>
  <c r="V34" i="97"/>
  <c r="V40" i="97"/>
  <c r="V60" i="97"/>
  <c r="X20" i="99"/>
  <c r="Z20" i="99"/>
  <c r="V34" i="100"/>
  <c r="V31" i="100"/>
  <c r="V27" i="100"/>
  <c r="V36" i="100"/>
  <c r="V33" i="100"/>
  <c r="V29" i="100"/>
  <c r="V25" i="100"/>
  <c r="T18" i="100"/>
  <c r="V15" i="100"/>
  <c r="V22" i="100"/>
  <c r="V20" i="100"/>
  <c r="V16" i="100"/>
  <c r="Z12" i="100"/>
  <c r="V24" i="97"/>
  <c r="L42" i="97"/>
  <c r="N42" i="97"/>
  <c r="V51" i="97"/>
  <c r="N67" i="97"/>
  <c r="H66" i="97"/>
  <c r="F36" i="98"/>
  <c r="F33" i="98"/>
  <c r="F29" i="98"/>
  <c r="F25" i="98"/>
  <c r="D18" i="98"/>
  <c r="F15" i="98"/>
  <c r="L12" i="98"/>
  <c r="F34" i="98"/>
  <c r="F31" i="98"/>
  <c r="F27" i="98"/>
  <c r="F24" i="98"/>
  <c r="F21" i="98"/>
  <c r="F18" i="98"/>
  <c r="F20" i="98"/>
  <c r="X22" i="98"/>
  <c r="Z22" i="98"/>
  <c r="X34" i="99"/>
  <c r="H18" i="100"/>
  <c r="D16" i="96"/>
  <c r="T16" i="96"/>
  <c r="R19" i="96"/>
  <c r="F22" i="96"/>
  <c r="V25" i="96"/>
  <c r="R26" i="96"/>
  <c r="V29" i="96"/>
  <c r="V25" i="97"/>
  <c r="X36" i="97"/>
  <c r="X49" i="97"/>
  <c r="Z49" i="97" s="1"/>
  <c r="J21" i="98"/>
  <c r="J18" i="98"/>
  <c r="J36" i="98"/>
  <c r="J33" i="98"/>
  <c r="J29" i="98"/>
  <c r="J25" i="98"/>
  <c r="H18" i="98"/>
  <c r="J15" i="98"/>
  <c r="J22" i="98"/>
  <c r="N12" i="98"/>
  <c r="L20" i="98"/>
  <c r="N20" i="98"/>
  <c r="J27" i="98"/>
  <c r="X33" i="98"/>
  <c r="V21" i="99"/>
  <c r="V18" i="99"/>
  <c r="V36" i="99"/>
  <c r="V33" i="99"/>
  <c r="V29" i="99"/>
  <c r="V25" i="99"/>
  <c r="T18" i="99"/>
  <c r="V15" i="99"/>
  <c r="V22" i="99"/>
  <c r="X16" i="99"/>
  <c r="Z16" i="99"/>
  <c r="V24" i="99"/>
  <c r="V27" i="99"/>
  <c r="L34" i="99"/>
  <c r="R20" i="100"/>
  <c r="L25" i="100"/>
  <c r="F16" i="96"/>
  <c r="V16" i="96"/>
  <c r="F23" i="96"/>
  <c r="V26" i="96"/>
  <c r="F32" i="96"/>
  <c r="V32" i="96"/>
  <c r="R34" i="96"/>
  <c r="R40" i="96"/>
  <c r="V71" i="97"/>
  <c r="V53" i="97"/>
  <c r="V49" i="97"/>
  <c r="V41" i="97"/>
  <c r="V67" i="97"/>
  <c r="V61" i="97"/>
  <c r="V57" i="97"/>
  <c r="V45" i="97"/>
  <c r="V37" i="97"/>
  <c r="V63" i="97"/>
  <c r="V47" i="97"/>
  <c r="V39" i="97"/>
  <c r="V54" i="97"/>
  <c r="V50" i="97"/>
  <c r="V38" i="97"/>
  <c r="T17" i="97"/>
  <c r="V26" i="97"/>
  <c r="V30" i="97"/>
  <c r="V48" i="97"/>
  <c r="N61" i="97"/>
  <c r="F19" i="96"/>
  <c r="F24" i="96"/>
  <c r="F28" i="96"/>
  <c r="V17" i="97"/>
  <c r="V27" i="97"/>
  <c r="V31" i="97"/>
  <c r="V46" i="97"/>
  <c r="Z55" i="97"/>
  <c r="V56" i="97"/>
  <c r="L29" i="100"/>
  <c r="V18" i="98"/>
  <c r="R24" i="98"/>
  <c r="J16" i="99"/>
  <c r="R18" i="99"/>
  <c r="J20" i="99"/>
  <c r="F22" i="99"/>
  <c r="F16" i="100"/>
  <c r="F20" i="100"/>
  <c r="J24" i="100"/>
  <c r="Z24" i="100"/>
  <c r="V21" i="98"/>
  <c r="R27" i="98"/>
  <c r="R31" i="98"/>
  <c r="L12" i="99"/>
  <c r="F15" i="99"/>
  <c r="D18" i="99"/>
  <c r="R21" i="99"/>
  <c r="F25" i="99"/>
  <c r="F29" i="99"/>
  <c r="F33" i="99"/>
  <c r="F36" i="99"/>
  <c r="J27" i="100"/>
  <c r="J31" i="100"/>
  <c r="J34" i="100"/>
  <c r="V24" i="98"/>
  <c r="J16" i="100"/>
  <c r="J20" i="100"/>
  <c r="X12" i="98"/>
  <c r="V27" i="98"/>
  <c r="V31" i="98"/>
  <c r="V34" i="98"/>
  <c r="J15" i="99"/>
  <c r="H18" i="99"/>
  <c r="J25" i="99"/>
  <c r="R27" i="99"/>
  <c r="J29" i="99"/>
  <c r="R31" i="99"/>
  <c r="J33" i="99"/>
  <c r="L12" i="100"/>
  <c r="F25" i="100"/>
  <c r="F29" i="100"/>
  <c r="F33" i="100"/>
  <c r="J25" i="100"/>
  <c r="J29" i="100"/>
  <c r="J33" i="100"/>
  <c r="J36" i="100"/>
  <c r="V15" i="98"/>
  <c r="T18" i="98"/>
  <c r="V25" i="98"/>
  <c r="V29" i="98"/>
  <c r="V33" i="98"/>
  <c r="H27" i="13" l="1"/>
  <c r="L27" i="41"/>
  <c r="L18" i="13"/>
  <c r="L18" i="32"/>
  <c r="X18" i="52"/>
  <c r="N18" i="34"/>
  <c r="H31" i="11"/>
  <c r="N18" i="11"/>
  <c r="L18" i="46"/>
  <c r="T31" i="7"/>
  <c r="X18" i="49"/>
  <c r="Z18" i="7"/>
  <c r="Z27" i="28"/>
  <c r="Z27" i="13"/>
  <c r="X18" i="7"/>
  <c r="H27" i="19"/>
  <c r="H31" i="19" s="1"/>
  <c r="N18" i="46"/>
  <c r="H27" i="46"/>
  <c r="N18" i="38"/>
  <c r="H31" i="23"/>
  <c r="H36" i="23" s="1"/>
  <c r="N36" i="23" s="1"/>
  <c r="Z18" i="49"/>
  <c r="N18" i="23"/>
  <c r="L18" i="7"/>
  <c r="L18" i="41"/>
  <c r="L18" i="38"/>
  <c r="P27" i="7"/>
  <c r="X18" i="5"/>
  <c r="X18" i="4"/>
  <c r="X18" i="28"/>
  <c r="H27" i="31"/>
  <c r="N18" i="31"/>
  <c r="T27" i="98"/>
  <c r="Z18" i="98"/>
  <c r="L18" i="99"/>
  <c r="D27" i="99"/>
  <c r="Z16" i="96"/>
  <c r="T36" i="96"/>
  <c r="T27" i="100"/>
  <c r="Z18" i="100"/>
  <c r="H27" i="98"/>
  <c r="N18" i="98"/>
  <c r="L16" i="96"/>
  <c r="D36" i="96"/>
  <c r="X18" i="100"/>
  <c r="P27" i="100"/>
  <c r="T91" i="95"/>
  <c r="J44" i="93"/>
  <c r="J38" i="93"/>
  <c r="J53" i="93"/>
  <c r="J47" i="93"/>
  <c r="J43" i="93"/>
  <c r="J35" i="93"/>
  <c r="J40" i="93"/>
  <c r="J32" i="93"/>
  <c r="J28" i="93"/>
  <c r="J24" i="93"/>
  <c r="J58" i="93"/>
  <c r="J51" i="93"/>
  <c r="J37" i="93"/>
  <c r="J21" i="93"/>
  <c r="J46" i="93"/>
  <c r="J42" i="93"/>
  <c r="J34" i="93"/>
  <c r="H21" i="93"/>
  <c r="N12" i="93"/>
  <c r="J39" i="93"/>
  <c r="J31" i="93"/>
  <c r="J27" i="93"/>
  <c r="J19" i="93"/>
  <c r="J45" i="93"/>
  <c r="J33" i="93"/>
  <c r="J29" i="93"/>
  <c r="J25" i="93"/>
  <c r="J30" i="93"/>
  <c r="J26" i="93"/>
  <c r="J49" i="93"/>
  <c r="J36" i="93"/>
  <c r="J23" i="93"/>
  <c r="J41" i="93"/>
  <c r="J17" i="93"/>
  <c r="J55" i="93"/>
  <c r="J18" i="93"/>
  <c r="H46" i="91"/>
  <c r="N16" i="91"/>
  <c r="T46" i="91"/>
  <c r="Z16" i="91"/>
  <c r="P46" i="88"/>
  <c r="X17" i="88"/>
  <c r="H92" i="85"/>
  <c r="V69" i="82"/>
  <c r="V65" i="82"/>
  <c r="V49" i="82"/>
  <c r="V41" i="82"/>
  <c r="V33" i="82"/>
  <c r="V29" i="82"/>
  <c r="T20" i="82"/>
  <c r="V68" i="82"/>
  <c r="V64" i="82"/>
  <c r="V60" i="82"/>
  <c r="V56" i="82"/>
  <c r="V52" i="82"/>
  <c r="V44" i="82"/>
  <c r="V32" i="82"/>
  <c r="V28" i="82"/>
  <c r="V77" i="82"/>
  <c r="V71" i="82"/>
  <c r="V63" i="82"/>
  <c r="V59" i="82"/>
  <c r="V55" i="82"/>
  <c r="V51" i="82"/>
  <c r="V43" i="82"/>
  <c r="V27" i="82"/>
  <c r="V70" i="82"/>
  <c r="V62" i="82"/>
  <c r="V58" i="82"/>
  <c r="V54" i="82"/>
  <c r="V46" i="82"/>
  <c r="V38" i="82"/>
  <c r="V26" i="82"/>
  <c r="V22" i="82"/>
  <c r="V18" i="82"/>
  <c r="V61" i="82"/>
  <c r="V57" i="82"/>
  <c r="V53" i="82"/>
  <c r="V45" i="82"/>
  <c r="V37" i="82"/>
  <c r="V25" i="82"/>
  <c r="V17" i="82"/>
  <c r="V48" i="82"/>
  <c r="V40" i="82"/>
  <c r="V36" i="82"/>
  <c r="V24" i="82"/>
  <c r="V16" i="82"/>
  <c r="V67" i="82"/>
  <c r="V50" i="82"/>
  <c r="V23" i="82"/>
  <c r="V47" i="82"/>
  <c r="V42" i="82"/>
  <c r="V34" i="82"/>
  <c r="V39" i="82"/>
  <c r="V30" i="82"/>
  <c r="V73" i="82"/>
  <c r="V66" i="82"/>
  <c r="V20" i="82"/>
  <c r="V31" i="82"/>
  <c r="V35" i="82"/>
  <c r="H101" i="81"/>
  <c r="T31" i="78"/>
  <c r="V19" i="78"/>
  <c r="F49" i="72"/>
  <c r="F75" i="72"/>
  <c r="F68" i="72"/>
  <c r="F62" i="72"/>
  <c r="F45" i="72"/>
  <c r="F65" i="72"/>
  <c r="F55" i="72"/>
  <c r="F51" i="72"/>
  <c r="F48" i="72"/>
  <c r="F58" i="72"/>
  <c r="F47" i="72"/>
  <c r="F42" i="72"/>
  <c r="F72" i="72"/>
  <c r="F66" i="72"/>
  <c r="F57" i="72"/>
  <c r="F53" i="72"/>
  <c r="F44" i="72"/>
  <c r="F41" i="72"/>
  <c r="F70" i="72"/>
  <c r="F61" i="72"/>
  <c r="F56" i="72"/>
  <c r="F52" i="72"/>
  <c r="F50" i="72"/>
  <c r="F46" i="72"/>
  <c r="F38" i="72"/>
  <c r="F34" i="72"/>
  <c r="F43" i="72"/>
  <c r="F39" i="72"/>
  <c r="F37" i="72"/>
  <c r="F33" i="72"/>
  <c r="F28" i="72"/>
  <c r="F54" i="72"/>
  <c r="F40" i="72"/>
  <c r="F32" i="72"/>
  <c r="F25" i="72"/>
  <c r="F31" i="72"/>
  <c r="D25" i="72"/>
  <c r="F23" i="72"/>
  <c r="F18" i="72"/>
  <c r="F63" i="72"/>
  <c r="F36" i="72"/>
  <c r="F29" i="72"/>
  <c r="F21" i="72"/>
  <c r="F59" i="72"/>
  <c r="F27" i="72"/>
  <c r="F20" i="72"/>
  <c r="L12" i="72"/>
  <c r="F64" i="72"/>
  <c r="F35" i="72"/>
  <c r="F19" i="72"/>
  <c r="F22" i="72"/>
  <c r="F30" i="72"/>
  <c r="X140" i="64"/>
  <c r="R63" i="74"/>
  <c r="R47" i="74"/>
  <c r="R44" i="74"/>
  <c r="R39" i="74"/>
  <c r="R35" i="74"/>
  <c r="R31" i="74"/>
  <c r="R16" i="74"/>
  <c r="R66" i="74"/>
  <c r="R62" i="74"/>
  <c r="R34" i="74"/>
  <c r="R30" i="74"/>
  <c r="R23" i="74"/>
  <c r="R78" i="74"/>
  <c r="R72" i="74"/>
  <c r="R61" i="74"/>
  <c r="R49" i="74"/>
  <c r="R46" i="74"/>
  <c r="R41" i="74"/>
  <c r="R38" i="74"/>
  <c r="R33" i="74"/>
  <c r="R29" i="74"/>
  <c r="R20" i="74"/>
  <c r="R68" i="74"/>
  <c r="R65" i="74"/>
  <c r="R60" i="74"/>
  <c r="R56" i="74"/>
  <c r="R52" i="74"/>
  <c r="R28" i="74"/>
  <c r="P20" i="74"/>
  <c r="X12" i="74"/>
  <c r="Z12" i="74" s="1"/>
  <c r="R76" i="74"/>
  <c r="R70" i="74"/>
  <c r="R67" i="74"/>
  <c r="R58" i="74"/>
  <c r="R54" i="74"/>
  <c r="R26" i="74"/>
  <c r="R18" i="74"/>
  <c r="R81" i="74"/>
  <c r="R74" i="74"/>
  <c r="R50" i="74"/>
  <c r="R45" i="74"/>
  <c r="R42" i="74"/>
  <c r="R37" i="74"/>
  <c r="R25" i="74"/>
  <c r="R22" i="74"/>
  <c r="R17" i="74"/>
  <c r="R59" i="74"/>
  <c r="R55" i="74"/>
  <c r="R43" i="74"/>
  <c r="R27" i="74"/>
  <c r="R69" i="74"/>
  <c r="R48" i="74"/>
  <c r="R57" i="74"/>
  <c r="R40" i="74"/>
  <c r="R32" i="74"/>
  <c r="R51" i="74"/>
  <c r="R64" i="74"/>
  <c r="R36" i="74"/>
  <c r="R24" i="74"/>
  <c r="R53" i="74"/>
  <c r="F83" i="70"/>
  <c r="F78" i="70"/>
  <c r="F59" i="70"/>
  <c r="F54" i="70"/>
  <c r="F51" i="70"/>
  <c r="F47" i="70"/>
  <c r="F43" i="70"/>
  <c r="F69" i="70"/>
  <c r="F66" i="70"/>
  <c r="F62" i="70"/>
  <c r="F46" i="70"/>
  <c r="F42" i="70"/>
  <c r="F86" i="70"/>
  <c r="F80" i="70"/>
  <c r="F77" i="70"/>
  <c r="F65" i="70"/>
  <c r="F56" i="70"/>
  <c r="F53" i="70"/>
  <c r="F41" i="70"/>
  <c r="F36" i="70"/>
  <c r="F90" i="70"/>
  <c r="F76" i="70"/>
  <c r="F71" i="70"/>
  <c r="F68" i="70"/>
  <c r="F64" i="70"/>
  <c r="F40" i="70"/>
  <c r="F74" i="70"/>
  <c r="F70" i="70"/>
  <c r="F61" i="70"/>
  <c r="F45" i="70"/>
  <c r="F38" i="70"/>
  <c r="F81" i="70"/>
  <c r="F73" i="70"/>
  <c r="F57" i="70"/>
  <c r="F52" i="70"/>
  <c r="F49" i="70"/>
  <c r="F37" i="70"/>
  <c r="F60" i="70"/>
  <c r="F55" i="70"/>
  <c r="F44" i="70"/>
  <c r="L12" i="70"/>
  <c r="F82" i="70"/>
  <c r="F48" i="70"/>
  <c r="F35" i="70"/>
  <c r="F39" i="70"/>
  <c r="F85" i="70"/>
  <c r="F72" i="70"/>
  <c r="F75" i="70"/>
  <c r="F67" i="70"/>
  <c r="F63" i="70"/>
  <c r="F31" i="70"/>
  <c r="F79" i="70"/>
  <c r="F58" i="70"/>
  <c r="D33" i="70"/>
  <c r="F33" i="70" s="1"/>
  <c r="F50" i="70"/>
  <c r="R89" i="68"/>
  <c r="R80" i="68"/>
  <c r="R76" i="68"/>
  <c r="R60" i="68"/>
  <c r="R44" i="68"/>
  <c r="R101" i="68"/>
  <c r="R95" i="68"/>
  <c r="R92" i="68"/>
  <c r="R79" i="68"/>
  <c r="R72" i="68"/>
  <c r="R59" i="68"/>
  <c r="R51" i="68"/>
  <c r="R106" i="68"/>
  <c r="R99" i="68"/>
  <c r="R86" i="68"/>
  <c r="R78" i="68"/>
  <c r="R75" i="68"/>
  <c r="R58" i="68"/>
  <c r="R55" i="68"/>
  <c r="R50" i="68"/>
  <c r="R42" i="68"/>
  <c r="R94" i="68"/>
  <c r="R85" i="68"/>
  <c r="R69" i="68"/>
  <c r="R65" i="68"/>
  <c r="R57" i="68"/>
  <c r="R49" i="68"/>
  <c r="R41" i="68"/>
  <c r="R91" i="68"/>
  <c r="R83" i="68"/>
  <c r="R71" i="68"/>
  <c r="R67" i="68"/>
  <c r="R63" i="68"/>
  <c r="R56" i="68"/>
  <c r="R47" i="68"/>
  <c r="R103" i="68"/>
  <c r="R97" i="68"/>
  <c r="R90" i="68"/>
  <c r="R87" i="68"/>
  <c r="R82" i="68"/>
  <c r="R74" i="68"/>
  <c r="R62" i="68"/>
  <c r="R53" i="68"/>
  <c r="R46" i="68"/>
  <c r="R38" i="68"/>
  <c r="R77" i="68"/>
  <c r="R64" i="68"/>
  <c r="R61" i="68"/>
  <c r="R48" i="68"/>
  <c r="R45" i="68"/>
  <c r="R36" i="68"/>
  <c r="R93" i="68"/>
  <c r="R68" i="68"/>
  <c r="R73" i="68"/>
  <c r="R43" i="68"/>
  <c r="R66" i="68"/>
  <c r="R84" i="68"/>
  <c r="R81" i="68"/>
  <c r="R70" i="68"/>
  <c r="P53" i="68"/>
  <c r="X12" i="68"/>
  <c r="R40" i="68"/>
  <c r="R39" i="68"/>
  <c r="R88" i="68"/>
  <c r="R37" i="68"/>
  <c r="H61" i="59"/>
  <c r="N16" i="59"/>
  <c r="D61" i="59"/>
  <c r="L16" i="59"/>
  <c r="V101" i="68"/>
  <c r="V95" i="68"/>
  <c r="V79" i="68"/>
  <c r="V75" i="68"/>
  <c r="V59" i="68"/>
  <c r="V55" i="68"/>
  <c r="V51" i="68"/>
  <c r="V43" i="68"/>
  <c r="V94" i="68"/>
  <c r="V86" i="68"/>
  <c r="V78" i="68"/>
  <c r="V58" i="68"/>
  <c r="V50" i="68"/>
  <c r="V85" i="68"/>
  <c r="V77" i="68"/>
  <c r="V69" i="68"/>
  <c r="V65" i="68"/>
  <c r="V57" i="68"/>
  <c r="V49" i="68"/>
  <c r="V41" i="68"/>
  <c r="V88" i="68"/>
  <c r="V84" i="68"/>
  <c r="V68" i="68"/>
  <c r="V64" i="68"/>
  <c r="V56" i="68"/>
  <c r="V48" i="68"/>
  <c r="V40" i="68"/>
  <c r="V90" i="68"/>
  <c r="V82" i="68"/>
  <c r="V74" i="68"/>
  <c r="V70" i="68"/>
  <c r="V66" i="68"/>
  <c r="V62" i="68"/>
  <c r="T53" i="68"/>
  <c r="V46" i="68"/>
  <c r="V93" i="68"/>
  <c r="V89" i="68"/>
  <c r="V81" i="68"/>
  <c r="V73" i="68"/>
  <c r="V61" i="68"/>
  <c r="V45" i="68"/>
  <c r="V37" i="68"/>
  <c r="V76" i="68"/>
  <c r="V80" i="68"/>
  <c r="V42" i="68"/>
  <c r="V97" i="68"/>
  <c r="V87" i="68"/>
  <c r="V83" i="68"/>
  <c r="V53" i="68"/>
  <c r="V92" i="68"/>
  <c r="V44" i="68"/>
  <c r="V72" i="68"/>
  <c r="V60" i="68"/>
  <c r="V47" i="68"/>
  <c r="V39" i="68"/>
  <c r="V36" i="68"/>
  <c r="Z12" i="68"/>
  <c r="V71" i="68"/>
  <c r="V63" i="68"/>
  <c r="V38" i="68"/>
  <c r="V67" i="68"/>
  <c r="V91" i="68"/>
  <c r="H34" i="55"/>
  <c r="N16" i="55"/>
  <c r="H27" i="53"/>
  <c r="N18" i="53"/>
  <c r="D68" i="65"/>
  <c r="L18" i="52"/>
  <c r="D27" i="52"/>
  <c r="D34" i="55"/>
  <c r="L16" i="55"/>
  <c r="L18" i="37"/>
  <c r="D27" i="37"/>
  <c r="D96" i="45"/>
  <c r="L24" i="45"/>
  <c r="N27" i="41"/>
  <c r="H31" i="41"/>
  <c r="D27" i="35"/>
  <c r="L18" i="35"/>
  <c r="F103" i="33"/>
  <c r="F94" i="33"/>
  <c r="F86" i="33"/>
  <c r="F66" i="33"/>
  <c r="F61" i="33"/>
  <c r="F58" i="33"/>
  <c r="F53" i="33"/>
  <c r="F46" i="33"/>
  <c r="F38" i="33"/>
  <c r="F98" i="33"/>
  <c r="F85" i="33"/>
  <c r="F80" i="33"/>
  <c r="F76" i="33"/>
  <c r="F72" i="33"/>
  <c r="F69" i="33"/>
  <c r="F57" i="33"/>
  <c r="F45" i="33"/>
  <c r="F37" i="33"/>
  <c r="F101" i="33"/>
  <c r="F96" i="33"/>
  <c r="F91" i="33"/>
  <c r="F68" i="33"/>
  <c r="F63" i="33"/>
  <c r="F60" i="33"/>
  <c r="F56" i="33"/>
  <c r="F52" i="33"/>
  <c r="F43" i="33"/>
  <c r="F36" i="33"/>
  <c r="L12" i="33"/>
  <c r="F104" i="33"/>
  <c r="F82" i="33"/>
  <c r="F79" i="33"/>
  <c r="F75" i="33"/>
  <c r="F71" i="33"/>
  <c r="F55" i="33"/>
  <c r="F51" i="33"/>
  <c r="F35" i="33"/>
  <c r="F108" i="33"/>
  <c r="F99" i="33"/>
  <c r="F93" i="33"/>
  <c r="F90" i="33"/>
  <c r="F78" i="33"/>
  <c r="F74" i="33"/>
  <c r="F65" i="33"/>
  <c r="F62" i="33"/>
  <c r="F54" i="33"/>
  <c r="F50" i="33"/>
  <c r="F102" i="33"/>
  <c r="F89" i="33"/>
  <c r="F84" i="33"/>
  <c r="F81" i="33"/>
  <c r="F77" i="33"/>
  <c r="F73" i="33"/>
  <c r="F49" i="33"/>
  <c r="F44" i="33"/>
  <c r="F100" i="33"/>
  <c r="F87" i="33"/>
  <c r="F83" i="33"/>
  <c r="F70" i="33"/>
  <c r="F47" i="33"/>
  <c r="D41" i="33"/>
  <c r="F39" i="33"/>
  <c r="F34" i="33"/>
  <c r="F67" i="33"/>
  <c r="F48" i="33"/>
  <c r="F95" i="33"/>
  <c r="F88" i="33"/>
  <c r="F59" i="33"/>
  <c r="F41" i="33"/>
  <c r="F64" i="33"/>
  <c r="F92" i="33"/>
  <c r="X18" i="32"/>
  <c r="P27" i="32"/>
  <c r="L98" i="33"/>
  <c r="T27" i="29"/>
  <c r="Z18" i="29"/>
  <c r="F123" i="36"/>
  <c r="F113" i="36"/>
  <c r="F110" i="36"/>
  <c r="F102" i="36"/>
  <c r="F98" i="36"/>
  <c r="F94" i="36"/>
  <c r="F90" i="36"/>
  <c r="F86" i="36"/>
  <c r="F82" i="36"/>
  <c r="F77" i="36"/>
  <c r="F74" i="36"/>
  <c r="F46" i="36"/>
  <c r="F34" i="36"/>
  <c r="F26" i="36"/>
  <c r="F109" i="36"/>
  <c r="F101" i="36"/>
  <c r="F93" i="36"/>
  <c r="F89" i="36"/>
  <c r="F85" i="36"/>
  <c r="F68" i="36"/>
  <c r="F65" i="36"/>
  <c r="F60" i="36"/>
  <c r="F56" i="36"/>
  <c r="F53" i="36"/>
  <c r="F45" i="36"/>
  <c r="F41" i="36"/>
  <c r="F33" i="36"/>
  <c r="F119" i="36"/>
  <c r="F115" i="36"/>
  <c r="F112" i="36"/>
  <c r="F108" i="36"/>
  <c r="F92" i="36"/>
  <c r="F84" i="36"/>
  <c r="F79" i="36"/>
  <c r="F76" i="36"/>
  <c r="F44" i="36"/>
  <c r="F40" i="36"/>
  <c r="F31" i="36"/>
  <c r="F124" i="36"/>
  <c r="F107" i="36"/>
  <c r="F70" i="36"/>
  <c r="F67" i="36"/>
  <c r="F62" i="36"/>
  <c r="F59" i="36"/>
  <c r="F55" i="36"/>
  <c r="F50" i="36"/>
  <c r="F43" i="36"/>
  <c r="F39" i="36"/>
  <c r="F118" i="36"/>
  <c r="F114" i="36"/>
  <c r="F106" i="36"/>
  <c r="F97" i="36"/>
  <c r="F81" i="36"/>
  <c r="F78" i="36"/>
  <c r="F73" i="36"/>
  <c r="F58" i="36"/>
  <c r="F38" i="36"/>
  <c r="F25" i="36"/>
  <c r="F122" i="36"/>
  <c r="F117" i="36"/>
  <c r="F105" i="36"/>
  <c r="F100" i="36"/>
  <c r="F88" i="36"/>
  <c r="F69" i="36"/>
  <c r="F64" i="36"/>
  <c r="F61" i="36"/>
  <c r="F57" i="36"/>
  <c r="F52" i="36"/>
  <c r="F49" i="36"/>
  <c r="F37" i="36"/>
  <c r="F32" i="36"/>
  <c r="F125" i="36"/>
  <c r="F120" i="36"/>
  <c r="F116" i="36"/>
  <c r="F111" i="36"/>
  <c r="F104" i="36"/>
  <c r="F96" i="36"/>
  <c r="F91" i="36"/>
  <c r="F83" i="36"/>
  <c r="F80" i="36"/>
  <c r="F75" i="36"/>
  <c r="F72" i="36"/>
  <c r="F48" i="36"/>
  <c r="F36" i="36"/>
  <c r="L12" i="36"/>
  <c r="N12" i="36" s="1"/>
  <c r="F129" i="36"/>
  <c r="F103" i="36"/>
  <c r="F99" i="36"/>
  <c r="F95" i="36"/>
  <c r="F87" i="36"/>
  <c r="F71" i="36"/>
  <c r="F66" i="36"/>
  <c r="F63" i="36"/>
  <c r="F54" i="36"/>
  <c r="F51" i="36"/>
  <c r="F47" i="36"/>
  <c r="F42" i="36"/>
  <c r="F35" i="36"/>
  <c r="D29" i="36"/>
  <c r="F29" i="36" s="1"/>
  <c r="F27" i="36"/>
  <c r="F176" i="30"/>
  <c r="F163" i="30"/>
  <c r="F158" i="30"/>
  <c r="F169" i="30"/>
  <c r="F172" i="30"/>
  <c r="F161" i="30"/>
  <c r="F157" i="30"/>
  <c r="F171" i="30"/>
  <c r="F159" i="30"/>
  <c r="F175" i="30"/>
  <c r="F170" i="30"/>
  <c r="F165" i="30"/>
  <c r="F182" i="30"/>
  <c r="F167" i="30"/>
  <c r="F164" i="30"/>
  <c r="F155" i="30"/>
  <c r="F156" i="30"/>
  <c r="F147" i="30"/>
  <c r="F143" i="30"/>
  <c r="F135" i="30"/>
  <c r="F127" i="30"/>
  <c r="F122" i="30"/>
  <c r="F115" i="30"/>
  <c r="F110" i="30"/>
  <c r="F107" i="30"/>
  <c r="F95" i="30"/>
  <c r="D89" i="30"/>
  <c r="F87" i="30"/>
  <c r="F79" i="30"/>
  <c r="F71" i="30"/>
  <c r="F63" i="30"/>
  <c r="F150" i="30"/>
  <c r="F146" i="30"/>
  <c r="F134" i="30"/>
  <c r="F118" i="30"/>
  <c r="F106" i="30"/>
  <c r="F101" i="30"/>
  <c r="F94" i="30"/>
  <c r="F86" i="30"/>
  <c r="F78" i="30"/>
  <c r="F70" i="30"/>
  <c r="F62" i="30"/>
  <c r="F57" i="30"/>
  <c r="F168" i="30"/>
  <c r="F149" i="30"/>
  <c r="F145" i="30"/>
  <c r="F140" i="30"/>
  <c r="F133" i="30"/>
  <c r="F124" i="30"/>
  <c r="F121" i="30"/>
  <c r="F112" i="30"/>
  <c r="F109" i="30"/>
  <c r="F105" i="30"/>
  <c r="F93" i="30"/>
  <c r="F85" i="30"/>
  <c r="F77" i="30"/>
  <c r="F69" i="30"/>
  <c r="F61" i="30"/>
  <c r="F178" i="30"/>
  <c r="F177" i="30"/>
  <c r="F132" i="30"/>
  <c r="F120" i="30"/>
  <c r="F104" i="30"/>
  <c r="F100" i="30"/>
  <c r="F91" i="30"/>
  <c r="F84" i="30"/>
  <c r="F76" i="30"/>
  <c r="F68" i="30"/>
  <c r="F60" i="30"/>
  <c r="L12" i="30"/>
  <c r="F173" i="30"/>
  <c r="F154" i="30"/>
  <c r="F153" i="30"/>
  <c r="F152" i="30"/>
  <c r="F142" i="30"/>
  <c r="F139" i="30"/>
  <c r="F131" i="30"/>
  <c r="F126" i="30"/>
  <c r="F123" i="30"/>
  <c r="F114" i="30"/>
  <c r="F111" i="30"/>
  <c r="F103" i="30"/>
  <c r="F99" i="30"/>
  <c r="F83" i="30"/>
  <c r="F75" i="30"/>
  <c r="F67" i="30"/>
  <c r="F59" i="30"/>
  <c r="F160" i="30"/>
  <c r="F138" i="30"/>
  <c r="F130" i="30"/>
  <c r="F117" i="30"/>
  <c r="F102" i="30"/>
  <c r="F98" i="30"/>
  <c r="F82" i="30"/>
  <c r="F74" i="30"/>
  <c r="F66" i="30"/>
  <c r="F58" i="30"/>
  <c r="F148" i="30"/>
  <c r="F144" i="30"/>
  <c r="F141" i="30"/>
  <c r="F137" i="30"/>
  <c r="F129" i="30"/>
  <c r="F125" i="30"/>
  <c r="F113" i="30"/>
  <c r="F108" i="30"/>
  <c r="F97" i="30"/>
  <c r="F92" i="30"/>
  <c r="F81" i="30"/>
  <c r="F73" i="30"/>
  <c r="F65" i="30"/>
  <c r="F166" i="30"/>
  <c r="F162" i="30"/>
  <c r="F151" i="30"/>
  <c r="F136" i="30"/>
  <c r="F128" i="30"/>
  <c r="F119" i="30"/>
  <c r="F116" i="30"/>
  <c r="F96" i="30"/>
  <c r="F89" i="30"/>
  <c r="F80" i="30"/>
  <c r="F72" i="30"/>
  <c r="F64" i="30"/>
  <c r="X18" i="29"/>
  <c r="P27" i="29"/>
  <c r="R108" i="33"/>
  <c r="R95" i="33"/>
  <c r="R90" i="33"/>
  <c r="R78" i="33"/>
  <c r="R74" i="33"/>
  <c r="R67" i="33"/>
  <c r="R62" i="33"/>
  <c r="R59" i="33"/>
  <c r="R54" i="33"/>
  <c r="R50" i="33"/>
  <c r="R100" i="33"/>
  <c r="R89" i="33"/>
  <c r="R81" i="33"/>
  <c r="R77" i="33"/>
  <c r="R73" i="33"/>
  <c r="R70" i="33"/>
  <c r="R49" i="33"/>
  <c r="P41" i="33"/>
  <c r="R34" i="33"/>
  <c r="R103" i="33"/>
  <c r="R92" i="33"/>
  <c r="R88" i="33"/>
  <c r="R64" i="33"/>
  <c r="R61" i="33"/>
  <c r="R53" i="33"/>
  <c r="R48" i="33"/>
  <c r="R98" i="33"/>
  <c r="R87" i="33"/>
  <c r="R83" i="33"/>
  <c r="R80" i="33"/>
  <c r="R76" i="33"/>
  <c r="R72" i="33"/>
  <c r="R47" i="33"/>
  <c r="R39" i="33"/>
  <c r="R101" i="33"/>
  <c r="R94" i="33"/>
  <c r="R91" i="33"/>
  <c r="R86" i="33"/>
  <c r="R66" i="33"/>
  <c r="R63" i="33"/>
  <c r="R58" i="33"/>
  <c r="R46" i="33"/>
  <c r="R43" i="33"/>
  <c r="R38" i="33"/>
  <c r="R104" i="33"/>
  <c r="R85" i="33"/>
  <c r="R82" i="33"/>
  <c r="R69" i="33"/>
  <c r="R57" i="33"/>
  <c r="R45" i="33"/>
  <c r="R37" i="33"/>
  <c r="R102" i="33"/>
  <c r="R84" i="33"/>
  <c r="R79" i="33"/>
  <c r="R75" i="33"/>
  <c r="R71" i="33"/>
  <c r="R55" i="33"/>
  <c r="R51" i="33"/>
  <c r="R44" i="33"/>
  <c r="R35" i="33"/>
  <c r="R52" i="33"/>
  <c r="X12" i="33"/>
  <c r="R99" i="33"/>
  <c r="R96" i="33"/>
  <c r="R56" i="33"/>
  <c r="R68" i="33"/>
  <c r="R60" i="33"/>
  <c r="R36" i="33"/>
  <c r="R65" i="33"/>
  <c r="R93" i="33"/>
  <c r="Z322" i="18"/>
  <c r="L18" i="22"/>
  <c r="D27" i="22"/>
  <c r="H27" i="17"/>
  <c r="N18" i="17"/>
  <c r="F146" i="24"/>
  <c r="F137" i="24"/>
  <c r="F134" i="24"/>
  <c r="F126" i="24"/>
  <c r="F118" i="24"/>
  <c r="F113" i="24"/>
  <c r="F110" i="24"/>
  <c r="F90" i="24"/>
  <c r="F83" i="24"/>
  <c r="F74" i="24"/>
  <c r="F66" i="24"/>
  <c r="F58" i="24"/>
  <c r="F167" i="24"/>
  <c r="F160" i="24"/>
  <c r="F153" i="24"/>
  <c r="F140" i="24"/>
  <c r="F133" i="24"/>
  <c r="F125" i="24"/>
  <c r="F117" i="24"/>
  <c r="F104" i="24"/>
  <c r="F101" i="24"/>
  <c r="F96" i="24"/>
  <c r="F89" i="24"/>
  <c r="D83" i="24"/>
  <c r="F81" i="24"/>
  <c r="F73" i="24"/>
  <c r="F65" i="24"/>
  <c r="F57" i="24"/>
  <c r="F157" i="24"/>
  <c r="F143" i="24"/>
  <c r="F136" i="24"/>
  <c r="F132" i="24"/>
  <c r="F124" i="24"/>
  <c r="F116" i="24"/>
  <c r="F112" i="24"/>
  <c r="F100" i="24"/>
  <c r="F88" i="24"/>
  <c r="F80" i="24"/>
  <c r="F72" i="24"/>
  <c r="F64" i="24"/>
  <c r="F155" i="24"/>
  <c r="F150" i="24"/>
  <c r="F139" i="24"/>
  <c r="F131" i="24"/>
  <c r="F123" i="24"/>
  <c r="F115" i="24"/>
  <c r="F106" i="24"/>
  <c r="F103" i="24"/>
  <c r="F99" i="24"/>
  <c r="F95" i="24"/>
  <c r="F87" i="24"/>
  <c r="F79" i="24"/>
  <c r="F71" i="24"/>
  <c r="F63" i="24"/>
  <c r="F145" i="24"/>
  <c r="F142" i="24"/>
  <c r="F138" i="24"/>
  <c r="F130" i="24"/>
  <c r="F122" i="24"/>
  <c r="F114" i="24"/>
  <c r="F109" i="24"/>
  <c r="F98" i="24"/>
  <c r="F94" i="24"/>
  <c r="F85" i="24"/>
  <c r="F78" i="24"/>
  <c r="F70" i="24"/>
  <c r="F62" i="24"/>
  <c r="F164" i="24"/>
  <c r="F158" i="24"/>
  <c r="F152" i="24"/>
  <c r="F149" i="24"/>
  <c r="F141" i="24"/>
  <c r="F129" i="24"/>
  <c r="F121" i="24"/>
  <c r="F105" i="24"/>
  <c r="F97" i="24"/>
  <c r="F93" i="24"/>
  <c r="F77" i="24"/>
  <c r="F69" i="24"/>
  <c r="F61" i="24"/>
  <c r="F56" i="24"/>
  <c r="F162" i="24"/>
  <c r="F148" i="24"/>
  <c r="F144" i="24"/>
  <c r="F135" i="24"/>
  <c r="F128" i="24"/>
  <c r="F120" i="24"/>
  <c r="F111" i="24"/>
  <c r="F108" i="24"/>
  <c r="F92" i="24"/>
  <c r="F76" i="24"/>
  <c r="F68" i="24"/>
  <c r="F60" i="24"/>
  <c r="F154" i="24"/>
  <c r="F151" i="24"/>
  <c r="F147" i="24"/>
  <c r="F127" i="24"/>
  <c r="F119" i="24"/>
  <c r="F107" i="24"/>
  <c r="F102" i="24"/>
  <c r="F91" i="24"/>
  <c r="F86" i="24"/>
  <c r="F75" i="24"/>
  <c r="F67" i="24"/>
  <c r="F59" i="24"/>
  <c r="L12" i="24"/>
  <c r="T27" i="16"/>
  <c r="Z18" i="16"/>
  <c r="R142" i="24"/>
  <c r="R138" i="24"/>
  <c r="R135" i="24"/>
  <c r="R130" i="24"/>
  <c r="R122" i="24"/>
  <c r="R114" i="24"/>
  <c r="R111" i="24"/>
  <c r="R98" i="24"/>
  <c r="R94" i="24"/>
  <c r="R78" i="24"/>
  <c r="R70" i="24"/>
  <c r="R62" i="24"/>
  <c r="R154" i="24"/>
  <c r="R149" i="24"/>
  <c r="R141" i="24"/>
  <c r="R129" i="24"/>
  <c r="R121" i="24"/>
  <c r="R105" i="24"/>
  <c r="R102" i="24"/>
  <c r="R97" i="24"/>
  <c r="R93" i="24"/>
  <c r="R86" i="24"/>
  <c r="R77" i="24"/>
  <c r="R69" i="24"/>
  <c r="R61" i="24"/>
  <c r="R162" i="24"/>
  <c r="R148" i="24"/>
  <c r="R144" i="24"/>
  <c r="R137" i="24"/>
  <c r="R128" i="24"/>
  <c r="R120" i="24"/>
  <c r="R113" i="24"/>
  <c r="R108" i="24"/>
  <c r="R92" i="24"/>
  <c r="R76" i="24"/>
  <c r="R68" i="24"/>
  <c r="R60" i="24"/>
  <c r="R151" i="24"/>
  <c r="R147" i="24"/>
  <c r="R140" i="24"/>
  <c r="R127" i="24"/>
  <c r="R119" i="24"/>
  <c r="R107" i="24"/>
  <c r="R104" i="24"/>
  <c r="R96" i="24"/>
  <c r="R91" i="24"/>
  <c r="P83" i="24"/>
  <c r="R83" i="24" s="1"/>
  <c r="R75" i="24"/>
  <c r="R67" i="24"/>
  <c r="R59" i="24"/>
  <c r="R157" i="24"/>
  <c r="R146" i="24"/>
  <c r="R143" i="24"/>
  <c r="R134" i="24"/>
  <c r="R126" i="24"/>
  <c r="R118" i="24"/>
  <c r="R110" i="24"/>
  <c r="R90" i="24"/>
  <c r="R74" i="24"/>
  <c r="R66" i="24"/>
  <c r="R58" i="24"/>
  <c r="R153" i="24"/>
  <c r="R150" i="24"/>
  <c r="R133" i="24"/>
  <c r="R125" i="24"/>
  <c r="R117" i="24"/>
  <c r="R106" i="24"/>
  <c r="R101" i="24"/>
  <c r="R89" i="24"/>
  <c r="R81" i="24"/>
  <c r="R73" i="24"/>
  <c r="R65" i="24"/>
  <c r="R57" i="24"/>
  <c r="R145" i="24"/>
  <c r="R136" i="24"/>
  <c r="R132" i="24"/>
  <c r="R124" i="24"/>
  <c r="R116" i="24"/>
  <c r="R112" i="24"/>
  <c r="R109" i="24"/>
  <c r="R100" i="24"/>
  <c r="R88" i="24"/>
  <c r="R85" i="24"/>
  <c r="R80" i="24"/>
  <c r="R72" i="24"/>
  <c r="R64" i="24"/>
  <c r="R158" i="24"/>
  <c r="R155" i="24"/>
  <c r="R152" i="24"/>
  <c r="R139" i="24"/>
  <c r="R131" i="24"/>
  <c r="R123" i="24"/>
  <c r="R115" i="24"/>
  <c r="R103" i="24"/>
  <c r="R99" i="24"/>
  <c r="R95" i="24"/>
  <c r="R87" i="24"/>
  <c r="R79" i="24"/>
  <c r="R71" i="24"/>
  <c r="R63" i="24"/>
  <c r="R56" i="24"/>
  <c r="X12" i="24"/>
  <c r="R98" i="21"/>
  <c r="R95" i="21"/>
  <c r="R90" i="21"/>
  <c r="R82" i="21"/>
  <c r="R74" i="21"/>
  <c r="R54" i="21"/>
  <c r="R51" i="21"/>
  <c r="R46" i="21"/>
  <c r="R34" i="21"/>
  <c r="R26" i="21"/>
  <c r="R104" i="21"/>
  <c r="R89" i="21"/>
  <c r="R81" i="21"/>
  <c r="R77" i="21"/>
  <c r="R73" i="21"/>
  <c r="R70" i="21"/>
  <c r="R65" i="21"/>
  <c r="R62" i="21"/>
  <c r="R57" i="21"/>
  <c r="R45" i="21"/>
  <c r="R33" i="21"/>
  <c r="R30" i="21"/>
  <c r="R25" i="21"/>
  <c r="R100" i="21"/>
  <c r="R97" i="21"/>
  <c r="R88" i="21"/>
  <c r="R84" i="21"/>
  <c r="R80" i="21"/>
  <c r="R53" i="21"/>
  <c r="R48" i="21"/>
  <c r="R44" i="21"/>
  <c r="R32" i="21"/>
  <c r="R87" i="21"/>
  <c r="R79" i="21"/>
  <c r="R76" i="21"/>
  <c r="R72" i="21"/>
  <c r="R67" i="21"/>
  <c r="R64" i="21"/>
  <c r="R59" i="21"/>
  <c r="R56" i="21"/>
  <c r="R43" i="21"/>
  <c r="R39" i="21"/>
  <c r="R24" i="21"/>
  <c r="R108" i="21"/>
  <c r="R102" i="21"/>
  <c r="R99" i="21"/>
  <c r="R94" i="21"/>
  <c r="R86" i="21"/>
  <c r="R83" i="21"/>
  <c r="R50" i="21"/>
  <c r="R47" i="21"/>
  <c r="R42" i="21"/>
  <c r="R38" i="21"/>
  <c r="R31" i="21"/>
  <c r="R93" i="21"/>
  <c r="R78" i="21"/>
  <c r="R69" i="21"/>
  <c r="R66" i="21"/>
  <c r="R61" i="21"/>
  <c r="R58" i="21"/>
  <c r="R41" i="21"/>
  <c r="R37" i="21"/>
  <c r="R101" i="21"/>
  <c r="R96" i="21"/>
  <c r="R92" i="21"/>
  <c r="R85" i="21"/>
  <c r="R52" i="21"/>
  <c r="R49" i="21"/>
  <c r="R36" i="21"/>
  <c r="P28" i="21"/>
  <c r="X12" i="21"/>
  <c r="Z12" i="21" s="1"/>
  <c r="R71" i="21"/>
  <c r="R55" i="21"/>
  <c r="R75" i="21"/>
  <c r="R60" i="21"/>
  <c r="R91" i="21"/>
  <c r="R63" i="21"/>
  <c r="R68" i="21"/>
  <c r="R40" i="21"/>
  <c r="R35" i="21"/>
  <c r="D36" i="16"/>
  <c r="X167" i="15"/>
  <c r="P304" i="15"/>
  <c r="D92" i="9"/>
  <c r="L16" i="9"/>
  <c r="P31" i="5"/>
  <c r="P31" i="4"/>
  <c r="H27" i="100"/>
  <c r="N18" i="100"/>
  <c r="L18" i="100"/>
  <c r="F76" i="94"/>
  <c r="F63" i="94"/>
  <c r="F59" i="94"/>
  <c r="F56" i="94"/>
  <c r="F88" i="94"/>
  <c r="F83" i="94"/>
  <c r="F75" i="94"/>
  <c r="F70" i="94"/>
  <c r="F67" i="94"/>
  <c r="F92" i="94"/>
  <c r="F86" i="94"/>
  <c r="F74" i="94"/>
  <c r="F66" i="94"/>
  <c r="F62" i="94"/>
  <c r="F85" i="94"/>
  <c r="F80" i="94"/>
  <c r="F73" i="94"/>
  <c r="F69" i="94"/>
  <c r="F82" i="94"/>
  <c r="F79" i="94"/>
  <c r="F71" i="94"/>
  <c r="F78" i="94"/>
  <c r="F57" i="94"/>
  <c r="F54" i="94"/>
  <c r="F72" i="94"/>
  <c r="F53" i="94"/>
  <c r="F50" i="94"/>
  <c r="F45" i="94"/>
  <c r="F42" i="94"/>
  <c r="F38" i="94"/>
  <c r="F26" i="94"/>
  <c r="F18" i="94"/>
  <c r="F37" i="94"/>
  <c r="F33" i="94"/>
  <c r="F25" i="94"/>
  <c r="F52" i="94"/>
  <c r="F47" i="94"/>
  <c r="F44" i="94"/>
  <c r="F36" i="94"/>
  <c r="F32" i="94"/>
  <c r="F23" i="94"/>
  <c r="F68" i="94"/>
  <c r="F35" i="94"/>
  <c r="F31" i="94"/>
  <c r="F77" i="94"/>
  <c r="F64" i="94"/>
  <c r="F55" i="94"/>
  <c r="F49" i="94"/>
  <c r="F46" i="94"/>
  <c r="F41" i="94"/>
  <c r="F30" i="94"/>
  <c r="F17" i="94"/>
  <c r="F65" i="94"/>
  <c r="F29" i="94"/>
  <c r="F24" i="94"/>
  <c r="F58" i="94"/>
  <c r="F28" i="94"/>
  <c r="F34" i="94"/>
  <c r="F84" i="94"/>
  <c r="F81" i="94"/>
  <c r="F51" i="94"/>
  <c r="F19" i="94"/>
  <c r="F60" i="94"/>
  <c r="F48" i="94"/>
  <c r="F43" i="94"/>
  <c r="F39" i="94"/>
  <c r="F27" i="94"/>
  <c r="L12" i="94"/>
  <c r="N12" i="94" s="1"/>
  <c r="F61" i="94"/>
  <c r="D21" i="94"/>
  <c r="F21" i="94" s="1"/>
  <c r="F40" i="94"/>
  <c r="P46" i="91"/>
  <c r="X16" i="91"/>
  <c r="P53" i="87"/>
  <c r="R71" i="84"/>
  <c r="R67" i="84"/>
  <c r="R59" i="84"/>
  <c r="R56" i="84"/>
  <c r="R35" i="84"/>
  <c r="R31" i="84"/>
  <c r="R16" i="84"/>
  <c r="R66" i="84"/>
  <c r="R50" i="84"/>
  <c r="R47" i="84"/>
  <c r="R42" i="84"/>
  <c r="R39" i="84"/>
  <c r="R34" i="84"/>
  <c r="R30" i="84"/>
  <c r="R23" i="84"/>
  <c r="R79" i="84"/>
  <c r="R73" i="84"/>
  <c r="R70" i="84"/>
  <c r="R65" i="84"/>
  <c r="R61" i="84"/>
  <c r="R58" i="84"/>
  <c r="R33" i="84"/>
  <c r="R29" i="84"/>
  <c r="R20" i="84"/>
  <c r="R64" i="84"/>
  <c r="R52" i="84"/>
  <c r="R49" i="84"/>
  <c r="R44" i="84"/>
  <c r="R41" i="84"/>
  <c r="R28" i="84"/>
  <c r="P20" i="84"/>
  <c r="X12" i="84"/>
  <c r="Z12" i="84" s="1"/>
  <c r="R54" i="84"/>
  <c r="R51" i="84"/>
  <c r="R46" i="84"/>
  <c r="R43" i="84"/>
  <c r="R69" i="84"/>
  <c r="R62" i="84"/>
  <c r="R57" i="84"/>
  <c r="R37" i="84"/>
  <c r="R25" i="84"/>
  <c r="R22" i="84"/>
  <c r="R17" i="84"/>
  <c r="R36" i="84"/>
  <c r="R32" i="84"/>
  <c r="R26" i="84"/>
  <c r="R53" i="84"/>
  <c r="R48" i="84"/>
  <c r="R27" i="84"/>
  <c r="R24" i="84"/>
  <c r="R75" i="84"/>
  <c r="R63" i="84"/>
  <c r="R45" i="84"/>
  <c r="R40" i="84"/>
  <c r="R18" i="84"/>
  <c r="R72" i="84"/>
  <c r="R60" i="84"/>
  <c r="R38" i="84"/>
  <c r="R68" i="84"/>
  <c r="R55" i="84"/>
  <c r="R85" i="85"/>
  <c r="R82" i="85"/>
  <c r="R77" i="85"/>
  <c r="R58" i="85"/>
  <c r="R76" i="85"/>
  <c r="R90" i="85"/>
  <c r="R87" i="85"/>
  <c r="R84" i="85"/>
  <c r="R75" i="85"/>
  <c r="R71" i="85"/>
  <c r="R74" i="85"/>
  <c r="R70" i="85"/>
  <c r="R66" i="85"/>
  <c r="R62" i="85"/>
  <c r="R94" i="85"/>
  <c r="R80" i="85"/>
  <c r="R69" i="85"/>
  <c r="R64" i="85"/>
  <c r="R60" i="85"/>
  <c r="R83" i="85"/>
  <c r="R79" i="85"/>
  <c r="R72" i="85"/>
  <c r="R59" i="85"/>
  <c r="R56" i="85"/>
  <c r="R46" i="85"/>
  <c r="R43" i="85"/>
  <c r="R38" i="85"/>
  <c r="R26" i="85"/>
  <c r="R18" i="85"/>
  <c r="R73" i="85"/>
  <c r="R61" i="85"/>
  <c r="R55" i="85"/>
  <c r="R54" i="85"/>
  <c r="R49" i="85"/>
  <c r="R37" i="85"/>
  <c r="R25" i="85"/>
  <c r="R22" i="85"/>
  <c r="R17" i="85"/>
  <c r="R68" i="85"/>
  <c r="R67" i="85"/>
  <c r="R63" i="85"/>
  <c r="R45" i="85"/>
  <c r="R40" i="85"/>
  <c r="R36" i="85"/>
  <c r="R24" i="85"/>
  <c r="R51" i="85"/>
  <c r="R48" i="85"/>
  <c r="R35" i="85"/>
  <c r="R31" i="85"/>
  <c r="R16" i="85"/>
  <c r="R89" i="85"/>
  <c r="R86" i="85"/>
  <c r="R81" i="85"/>
  <c r="R65" i="85"/>
  <c r="R53" i="85"/>
  <c r="R50" i="85"/>
  <c r="R33" i="85"/>
  <c r="R29" i="85"/>
  <c r="R78" i="85"/>
  <c r="R57" i="85"/>
  <c r="R44" i="85"/>
  <c r="R41" i="85"/>
  <c r="R28" i="85"/>
  <c r="P20" i="85"/>
  <c r="R20" i="85" s="1"/>
  <c r="X12" i="85"/>
  <c r="Z12" i="85" s="1"/>
  <c r="R42" i="85"/>
  <c r="R27" i="85"/>
  <c r="R30" i="85"/>
  <c r="R34" i="85"/>
  <c r="R47" i="85"/>
  <c r="R39" i="85"/>
  <c r="R52" i="85"/>
  <c r="R32" i="85"/>
  <c r="R23" i="85"/>
  <c r="Z43" i="88"/>
  <c r="T83" i="79"/>
  <c r="V70" i="80"/>
  <c r="V62" i="80"/>
  <c r="V58" i="80"/>
  <c r="V54" i="80"/>
  <c r="V46" i="80"/>
  <c r="V38" i="80"/>
  <c r="V26" i="80"/>
  <c r="V22" i="80"/>
  <c r="V18" i="80"/>
  <c r="V69" i="80"/>
  <c r="V61" i="80"/>
  <c r="V57" i="80"/>
  <c r="V53" i="80"/>
  <c r="V45" i="80"/>
  <c r="V37" i="80"/>
  <c r="V25" i="80"/>
  <c r="V17" i="80"/>
  <c r="V78" i="80"/>
  <c r="V72" i="80"/>
  <c r="V60" i="80"/>
  <c r="V48" i="80"/>
  <c r="V40" i="80"/>
  <c r="V36" i="80"/>
  <c r="V24" i="80"/>
  <c r="V16" i="80"/>
  <c r="V71" i="80"/>
  <c r="V47" i="80"/>
  <c r="V39" i="80"/>
  <c r="V35" i="80"/>
  <c r="V31" i="80"/>
  <c r="V23" i="80"/>
  <c r="V66" i="80"/>
  <c r="V50" i="80"/>
  <c r="V42" i="80"/>
  <c r="V34" i="80"/>
  <c r="V30" i="80"/>
  <c r="V20" i="80"/>
  <c r="V65" i="80"/>
  <c r="V49" i="80"/>
  <c r="V41" i="80"/>
  <c r="V33" i="80"/>
  <c r="V29" i="80"/>
  <c r="T20" i="80"/>
  <c r="V74" i="80"/>
  <c r="V59" i="80"/>
  <c r="V67" i="80"/>
  <c r="V63" i="80"/>
  <c r="V68" i="80"/>
  <c r="V64" i="80"/>
  <c r="V43" i="80"/>
  <c r="V28" i="80"/>
  <c r="V56" i="80"/>
  <c r="V52" i="80"/>
  <c r="V51" i="80"/>
  <c r="V55" i="80"/>
  <c r="V44" i="80"/>
  <c r="V27" i="80"/>
  <c r="V32" i="80"/>
  <c r="R136" i="77"/>
  <c r="R133" i="77"/>
  <c r="R121" i="77"/>
  <c r="R117" i="77"/>
  <c r="R113" i="77"/>
  <c r="R108" i="77"/>
  <c r="R100" i="77"/>
  <c r="R92" i="77"/>
  <c r="R89" i="77"/>
  <c r="R76" i="77"/>
  <c r="R72" i="77"/>
  <c r="R56" i="77"/>
  <c r="R48" i="77"/>
  <c r="R124" i="77"/>
  <c r="R107" i="77"/>
  <c r="R99" i="77"/>
  <c r="R83" i="77"/>
  <c r="R80" i="77"/>
  <c r="R75" i="77"/>
  <c r="R71" i="77"/>
  <c r="R64" i="77"/>
  <c r="R55" i="77"/>
  <c r="R47" i="77"/>
  <c r="R40" i="77"/>
  <c r="R144" i="77"/>
  <c r="R138" i="77"/>
  <c r="R135" i="77"/>
  <c r="R130" i="77"/>
  <c r="R110" i="77"/>
  <c r="R106" i="77"/>
  <c r="R98" i="77"/>
  <c r="R94" i="77"/>
  <c r="R91" i="77"/>
  <c r="R74" i="77"/>
  <c r="R70" i="77"/>
  <c r="R61" i="77"/>
  <c r="R54" i="77"/>
  <c r="R46" i="77"/>
  <c r="R129" i="77"/>
  <c r="R105" i="77"/>
  <c r="R97" i="77"/>
  <c r="R85" i="77"/>
  <c r="R82" i="77"/>
  <c r="R69" i="77"/>
  <c r="P61" i="77"/>
  <c r="R53" i="77"/>
  <c r="R45" i="77"/>
  <c r="R127" i="77"/>
  <c r="R123" i="77"/>
  <c r="R119" i="77"/>
  <c r="R115" i="77"/>
  <c r="R103" i="77"/>
  <c r="R87" i="77"/>
  <c r="R84" i="77"/>
  <c r="R79" i="77"/>
  <c r="R67" i="77"/>
  <c r="R59" i="77"/>
  <c r="R51" i="77"/>
  <c r="R43" i="77"/>
  <c r="R134" i="77"/>
  <c r="R131" i="77"/>
  <c r="R126" i="77"/>
  <c r="R122" i="77"/>
  <c r="R118" i="77"/>
  <c r="R114" i="77"/>
  <c r="R111" i="77"/>
  <c r="R102" i="77"/>
  <c r="R95" i="77"/>
  <c r="R90" i="77"/>
  <c r="R78" i="77"/>
  <c r="R66" i="77"/>
  <c r="R63" i="77"/>
  <c r="R58" i="77"/>
  <c r="R50" i="77"/>
  <c r="R42" i="77"/>
  <c r="R137" i="77"/>
  <c r="R120" i="77"/>
  <c r="R101" i="77"/>
  <c r="R77" i="77"/>
  <c r="R132" i="77"/>
  <c r="R128" i="77"/>
  <c r="R125" i="77"/>
  <c r="R96" i="77"/>
  <c r="R86" i="77"/>
  <c r="R68" i="77"/>
  <c r="R49" i="77"/>
  <c r="R104" i="77"/>
  <c r="R52" i="77"/>
  <c r="R116" i="77"/>
  <c r="R112" i="77"/>
  <c r="R88" i="77"/>
  <c r="X12" i="77"/>
  <c r="R140" i="77"/>
  <c r="R73" i="77"/>
  <c r="R109" i="77"/>
  <c r="R93" i="77"/>
  <c r="R57" i="77"/>
  <c r="R81" i="77"/>
  <c r="R44" i="77"/>
  <c r="R41" i="77"/>
  <c r="R65" i="77"/>
  <c r="F135" i="77"/>
  <c r="F132" i="77"/>
  <c r="F128" i="77"/>
  <c r="F120" i="77"/>
  <c r="F116" i="77"/>
  <c r="F112" i="77"/>
  <c r="F104" i="77"/>
  <c r="F96" i="77"/>
  <c r="F91" i="77"/>
  <c r="F88" i="77"/>
  <c r="F68" i="77"/>
  <c r="F61" i="77"/>
  <c r="F52" i="77"/>
  <c r="F44" i="77"/>
  <c r="L12" i="77"/>
  <c r="F127" i="77"/>
  <c r="F123" i="77"/>
  <c r="F119" i="77"/>
  <c r="F115" i="77"/>
  <c r="F103" i="77"/>
  <c r="F87" i="77"/>
  <c r="F82" i="77"/>
  <c r="F79" i="77"/>
  <c r="F67" i="77"/>
  <c r="D61" i="77"/>
  <c r="F59" i="77"/>
  <c r="F51" i="77"/>
  <c r="F43" i="77"/>
  <c r="F137" i="77"/>
  <c r="F134" i="77"/>
  <c r="F126" i="77"/>
  <c r="F122" i="77"/>
  <c r="F118" i="77"/>
  <c r="F114" i="77"/>
  <c r="F109" i="77"/>
  <c r="F102" i="77"/>
  <c r="F93" i="77"/>
  <c r="F90" i="77"/>
  <c r="F78" i="77"/>
  <c r="F73" i="77"/>
  <c r="F66" i="77"/>
  <c r="F58" i="77"/>
  <c r="F50" i="77"/>
  <c r="F42" i="77"/>
  <c r="F125" i="77"/>
  <c r="F101" i="77"/>
  <c r="F84" i="77"/>
  <c r="F81" i="77"/>
  <c r="F77" i="77"/>
  <c r="F65" i="77"/>
  <c r="F57" i="77"/>
  <c r="F49" i="77"/>
  <c r="F41" i="77"/>
  <c r="F140" i="77"/>
  <c r="F107" i="77"/>
  <c r="F99" i="77"/>
  <c r="F86" i="77"/>
  <c r="F83" i="77"/>
  <c r="F75" i="77"/>
  <c r="F71" i="77"/>
  <c r="F55" i="77"/>
  <c r="F47" i="77"/>
  <c r="F144" i="77"/>
  <c r="F138" i="77"/>
  <c r="F133" i="77"/>
  <c r="F130" i="77"/>
  <c r="F121" i="77"/>
  <c r="F117" i="77"/>
  <c r="F113" i="77"/>
  <c r="F110" i="77"/>
  <c r="F106" i="77"/>
  <c r="F98" i="77"/>
  <c r="F94" i="77"/>
  <c r="F89" i="77"/>
  <c r="F74" i="77"/>
  <c r="F70" i="77"/>
  <c r="F54" i="77"/>
  <c r="F46" i="77"/>
  <c r="F100" i="77"/>
  <c r="F76" i="77"/>
  <c r="F72" i="77"/>
  <c r="F45" i="77"/>
  <c r="F108" i="77"/>
  <c r="F85" i="77"/>
  <c r="F80" i="77"/>
  <c r="F48" i="77"/>
  <c r="F136" i="77"/>
  <c r="F131" i="77"/>
  <c r="F124" i="77"/>
  <c r="F95" i="77"/>
  <c r="F129" i="77"/>
  <c r="F97" i="77"/>
  <c r="F69" i="77"/>
  <c r="F40" i="77"/>
  <c r="F111" i="77"/>
  <c r="F105" i="77"/>
  <c r="F53" i="77"/>
  <c r="F56" i="77"/>
  <c r="F63" i="77"/>
  <c r="F64" i="77"/>
  <c r="F92" i="77"/>
  <c r="R33" i="78"/>
  <c r="R26" i="78"/>
  <c r="R17" i="78"/>
  <c r="R21" i="78"/>
  <c r="R16" i="78"/>
  <c r="R23" i="78"/>
  <c r="R25" i="78"/>
  <c r="R22" i="78"/>
  <c r="R19" i="78"/>
  <c r="X12" i="78"/>
  <c r="Z12" i="78" s="1"/>
  <c r="R24" i="78"/>
  <c r="P19" i="78"/>
  <c r="R27" i="78"/>
  <c r="R15" i="78"/>
  <c r="R29" i="78"/>
  <c r="L61" i="72"/>
  <c r="F129" i="69"/>
  <c r="F125" i="69"/>
  <c r="F104" i="69"/>
  <c r="F97" i="69"/>
  <c r="F92" i="69"/>
  <c r="F85" i="69"/>
  <c r="F77" i="69"/>
  <c r="F69" i="69"/>
  <c r="F61" i="69"/>
  <c r="F141" i="69"/>
  <c r="F136" i="69"/>
  <c r="F128" i="69"/>
  <c r="F119" i="69"/>
  <c r="F116" i="69"/>
  <c r="F100" i="69"/>
  <c r="F96" i="69"/>
  <c r="F84" i="69"/>
  <c r="F76" i="69"/>
  <c r="F68" i="69"/>
  <c r="F60" i="69"/>
  <c r="L12" i="69"/>
  <c r="F144" i="69"/>
  <c r="F139" i="69"/>
  <c r="F115" i="69"/>
  <c r="F106" i="69"/>
  <c r="F103" i="69"/>
  <c r="F95" i="69"/>
  <c r="F91" i="69"/>
  <c r="F82" i="69"/>
  <c r="F75" i="69"/>
  <c r="F67" i="69"/>
  <c r="F59" i="69"/>
  <c r="F148" i="69"/>
  <c r="F138" i="69"/>
  <c r="F133" i="69"/>
  <c r="F121" i="69"/>
  <c r="F118" i="69"/>
  <c r="F114" i="69"/>
  <c r="F109" i="69"/>
  <c r="F102" i="69"/>
  <c r="F94" i="69"/>
  <c r="F90" i="69"/>
  <c r="F74" i="69"/>
  <c r="F66" i="69"/>
  <c r="F58" i="69"/>
  <c r="F53" i="69"/>
  <c r="F135" i="69"/>
  <c r="F132" i="69"/>
  <c r="F127" i="69"/>
  <c r="F120" i="69"/>
  <c r="F112" i="69"/>
  <c r="F108" i="69"/>
  <c r="F99" i="69"/>
  <c r="F88" i="69"/>
  <c r="F83" i="69"/>
  <c r="F72" i="69"/>
  <c r="F64" i="69"/>
  <c r="F56" i="69"/>
  <c r="F131" i="69"/>
  <c r="F123" i="69"/>
  <c r="F111" i="69"/>
  <c r="F107" i="69"/>
  <c r="F87" i="69"/>
  <c r="F71" i="69"/>
  <c r="F63" i="69"/>
  <c r="F55" i="69"/>
  <c r="F93" i="69"/>
  <c r="F73" i="69"/>
  <c r="F57" i="69"/>
  <c r="D80" i="69"/>
  <c r="F80" i="69" s="1"/>
  <c r="F70" i="69"/>
  <c r="F54" i="69"/>
  <c r="F130" i="69"/>
  <c r="F122" i="69"/>
  <c r="F117" i="69"/>
  <c r="F101" i="69"/>
  <c r="F137" i="69"/>
  <c r="F126" i="69"/>
  <c r="F105" i="69"/>
  <c r="F62" i="69"/>
  <c r="F86" i="69"/>
  <c r="F98" i="69"/>
  <c r="F78" i="69"/>
  <c r="F65" i="69"/>
  <c r="F142" i="69"/>
  <c r="F134" i="69"/>
  <c r="F110" i="69"/>
  <c r="F89" i="69"/>
  <c r="F124" i="69"/>
  <c r="F113" i="69"/>
  <c r="F143" i="69"/>
  <c r="H83" i="79"/>
  <c r="R79" i="70"/>
  <c r="R75" i="70"/>
  <c r="R55" i="70"/>
  <c r="R52" i="70"/>
  <c r="R39" i="70"/>
  <c r="R85" i="70"/>
  <c r="R74" i="70"/>
  <c r="R70" i="70"/>
  <c r="R67" i="70"/>
  <c r="R63" i="70"/>
  <c r="R38" i="70"/>
  <c r="R35" i="70"/>
  <c r="R31" i="70"/>
  <c r="R81" i="70"/>
  <c r="R78" i="70"/>
  <c r="R73" i="70"/>
  <c r="R57" i="70"/>
  <c r="R54" i="70"/>
  <c r="R49" i="70"/>
  <c r="R37" i="70"/>
  <c r="R72" i="70"/>
  <c r="R69" i="70"/>
  <c r="R60" i="70"/>
  <c r="R48" i="70"/>
  <c r="R44" i="70"/>
  <c r="X12" i="70"/>
  <c r="Z12" i="70" s="1"/>
  <c r="R71" i="70"/>
  <c r="R66" i="70"/>
  <c r="R62" i="70"/>
  <c r="R46" i="70"/>
  <c r="R42" i="70"/>
  <c r="R82" i="70"/>
  <c r="R77" i="70"/>
  <c r="R65" i="70"/>
  <c r="R58" i="70"/>
  <c r="R53" i="70"/>
  <c r="R50" i="70"/>
  <c r="R41" i="70"/>
  <c r="P33" i="70"/>
  <c r="R45" i="70"/>
  <c r="R86" i="70"/>
  <c r="R90" i="70"/>
  <c r="R80" i="70"/>
  <c r="R68" i="70"/>
  <c r="R64" i="70"/>
  <c r="R59" i="70"/>
  <c r="R43" i="70"/>
  <c r="R40" i="70"/>
  <c r="R76" i="70"/>
  <c r="R47" i="70"/>
  <c r="R56" i="70"/>
  <c r="R51" i="70"/>
  <c r="R36" i="70"/>
  <c r="R83" i="70"/>
  <c r="R61" i="70"/>
  <c r="R87" i="79"/>
  <c r="R81" i="79"/>
  <c r="R70" i="79"/>
  <c r="R62" i="79"/>
  <c r="R58" i="79"/>
  <c r="R43" i="79"/>
  <c r="R38" i="79"/>
  <c r="R34" i="79"/>
  <c r="R30" i="79"/>
  <c r="R23" i="79"/>
  <c r="R77" i="79"/>
  <c r="R74" i="79"/>
  <c r="R69" i="79"/>
  <c r="R65" i="79"/>
  <c r="R61" i="79"/>
  <c r="R54" i="79"/>
  <c r="R49" i="79"/>
  <c r="R46" i="79"/>
  <c r="R33" i="79"/>
  <c r="R29" i="79"/>
  <c r="R20" i="79"/>
  <c r="R68" i="79"/>
  <c r="R64" i="79"/>
  <c r="R60" i="79"/>
  <c r="R57" i="79"/>
  <c r="R40" i="79"/>
  <c r="R37" i="79"/>
  <c r="R28" i="79"/>
  <c r="R85" i="79"/>
  <c r="R79" i="79"/>
  <c r="R76" i="79"/>
  <c r="R67" i="79"/>
  <c r="R51" i="79"/>
  <c r="R48" i="79"/>
  <c r="R32" i="79"/>
  <c r="R27" i="79"/>
  <c r="R90" i="79"/>
  <c r="R83" i="79"/>
  <c r="R63" i="79"/>
  <c r="R59" i="79"/>
  <c r="R42" i="79"/>
  <c r="R39" i="79"/>
  <c r="R26" i="79"/>
  <c r="R78" i="79"/>
  <c r="R73" i="79"/>
  <c r="R66" i="79"/>
  <c r="R53" i="79"/>
  <c r="R50" i="79"/>
  <c r="R45" i="79"/>
  <c r="R25" i="79"/>
  <c r="R22" i="79"/>
  <c r="R17" i="79"/>
  <c r="R72" i="79"/>
  <c r="X12" i="79"/>
  <c r="Z12" i="79" s="1"/>
  <c r="R44" i="79"/>
  <c r="R18" i="79"/>
  <c r="R41" i="79"/>
  <c r="R35" i="79"/>
  <c r="R24" i="79"/>
  <c r="R36" i="79"/>
  <c r="R55" i="79"/>
  <c r="R52" i="79"/>
  <c r="R16" i="79"/>
  <c r="R56" i="79"/>
  <c r="R31" i="79"/>
  <c r="R75" i="79"/>
  <c r="R47" i="79"/>
  <c r="R71" i="79"/>
  <c r="P20" i="79"/>
  <c r="F116" i="71"/>
  <c r="F110" i="71"/>
  <c r="F107" i="71"/>
  <c r="F102" i="71"/>
  <c r="F95" i="71"/>
  <c r="F82" i="71"/>
  <c r="F79" i="71"/>
  <c r="F71" i="71"/>
  <c r="F67" i="71"/>
  <c r="F51" i="71"/>
  <c r="F43" i="71"/>
  <c r="F119" i="71"/>
  <c r="F106" i="71"/>
  <c r="F98" i="71"/>
  <c r="F94" i="71"/>
  <c r="F85" i="71"/>
  <c r="F66" i="71"/>
  <c r="F50" i="71"/>
  <c r="F42" i="71"/>
  <c r="F123" i="71"/>
  <c r="F112" i="71"/>
  <c r="F109" i="71"/>
  <c r="F105" i="71"/>
  <c r="F101" i="71"/>
  <c r="F97" i="71"/>
  <c r="F93" i="71"/>
  <c r="F81" i="71"/>
  <c r="F76" i="71"/>
  <c r="F65" i="71"/>
  <c r="F60" i="71"/>
  <c r="F49" i="71"/>
  <c r="F41" i="71"/>
  <c r="F117" i="71"/>
  <c r="F104" i="71"/>
  <c r="F100" i="71"/>
  <c r="F92" i="71"/>
  <c r="F87" i="71"/>
  <c r="F84" i="71"/>
  <c r="F64" i="71"/>
  <c r="F48" i="71"/>
  <c r="F40" i="71"/>
  <c r="F115" i="71"/>
  <c r="F90" i="71"/>
  <c r="F86" i="71"/>
  <c r="F74" i="71"/>
  <c r="F62" i="71"/>
  <c r="F54" i="71"/>
  <c r="F46" i="71"/>
  <c r="F118" i="71"/>
  <c r="F113" i="71"/>
  <c r="F108" i="71"/>
  <c r="F96" i="71"/>
  <c r="F89" i="71"/>
  <c r="F80" i="71"/>
  <c r="F77" i="71"/>
  <c r="F73" i="71"/>
  <c r="F69" i="71"/>
  <c r="F61" i="71"/>
  <c r="F53" i="71"/>
  <c r="F45" i="71"/>
  <c r="D57" i="71"/>
  <c r="F103" i="71"/>
  <c r="F70" i="71"/>
  <c r="F47" i="71"/>
  <c r="F111" i="71"/>
  <c r="F99" i="71"/>
  <c r="F78" i="71"/>
  <c r="F68" i="71"/>
  <c r="F39" i="71"/>
  <c r="F59" i="71"/>
  <c r="F83" i="71"/>
  <c r="F72" i="71"/>
  <c r="F63" i="71"/>
  <c r="F52" i="71"/>
  <c r="F88" i="71"/>
  <c r="F75" i="71"/>
  <c r="F55" i="71"/>
  <c r="L12" i="71"/>
  <c r="F44" i="71"/>
  <c r="F91" i="71"/>
  <c r="F128" i="66"/>
  <c r="F122" i="66"/>
  <c r="F111" i="66"/>
  <c r="F107" i="66"/>
  <c r="F99" i="66"/>
  <c r="F87" i="66"/>
  <c r="F79" i="66"/>
  <c r="F75" i="66"/>
  <c r="F67" i="66"/>
  <c r="F59" i="66"/>
  <c r="F51" i="66"/>
  <c r="F118" i="66"/>
  <c r="F114" i="66"/>
  <c r="F110" i="66"/>
  <c r="F106" i="66"/>
  <c r="F93" i="66"/>
  <c r="F90" i="66"/>
  <c r="F78" i="66"/>
  <c r="F74" i="66"/>
  <c r="F65" i="66"/>
  <c r="F58" i="66"/>
  <c r="F50" i="66"/>
  <c r="F124" i="66"/>
  <c r="F121" i="66"/>
  <c r="F117" i="66"/>
  <c r="F113" i="66"/>
  <c r="F109" i="66"/>
  <c r="F105" i="66"/>
  <c r="F96" i="66"/>
  <c r="F84" i="66"/>
  <c r="F77" i="66"/>
  <c r="F73" i="66"/>
  <c r="F57" i="66"/>
  <c r="F49" i="66"/>
  <c r="F44" i="66"/>
  <c r="F129" i="66"/>
  <c r="F120" i="66"/>
  <c r="F116" i="66"/>
  <c r="F104" i="66"/>
  <c r="F92" i="66"/>
  <c r="F72" i="66"/>
  <c r="F56" i="66"/>
  <c r="F48" i="66"/>
  <c r="F127" i="66"/>
  <c r="F102" i="66"/>
  <c r="F94" i="66"/>
  <c r="F89" i="66"/>
  <c r="F82" i="66"/>
  <c r="F70" i="66"/>
  <c r="F63" i="66"/>
  <c r="F54" i="66"/>
  <c r="F46" i="66"/>
  <c r="F130" i="66"/>
  <c r="F125" i="66"/>
  <c r="F112" i="66"/>
  <c r="F108" i="66"/>
  <c r="F101" i="66"/>
  <c r="F97" i="66"/>
  <c r="F85" i="66"/>
  <c r="F81" i="66"/>
  <c r="F76" i="66"/>
  <c r="F69" i="66"/>
  <c r="D63" i="66"/>
  <c r="F61" i="66"/>
  <c r="F53" i="66"/>
  <c r="F45" i="66"/>
  <c r="F100" i="66"/>
  <c r="F68" i="66"/>
  <c r="F71" i="66"/>
  <c r="F103" i="66"/>
  <c r="F88" i="66"/>
  <c r="F83" i="66"/>
  <c r="F60" i="66"/>
  <c r="F98" i="66"/>
  <c r="F66" i="66"/>
  <c r="F55" i="66"/>
  <c r="L12" i="66"/>
  <c r="F115" i="66"/>
  <c r="F86" i="66"/>
  <c r="F95" i="66"/>
  <c r="F119" i="66"/>
  <c r="F123" i="66"/>
  <c r="F52" i="66"/>
  <c r="F47" i="66"/>
  <c r="F80" i="66"/>
  <c r="F134" i="66"/>
  <c r="F91" i="66"/>
  <c r="X102" i="62"/>
  <c r="Z102" i="62" s="1"/>
  <c r="P111" i="62"/>
  <c r="V78" i="70"/>
  <c r="V74" i="70"/>
  <c r="V70" i="70"/>
  <c r="V54" i="70"/>
  <c r="V38" i="70"/>
  <c r="V81" i="70"/>
  <c r="V73" i="70"/>
  <c r="V69" i="70"/>
  <c r="V57" i="70"/>
  <c r="V49" i="70"/>
  <c r="V37" i="70"/>
  <c r="V86" i="70"/>
  <c r="V80" i="70"/>
  <c r="V72" i="70"/>
  <c r="V60" i="70"/>
  <c r="V56" i="70"/>
  <c r="V48" i="70"/>
  <c r="V44" i="70"/>
  <c r="V36" i="70"/>
  <c r="V83" i="70"/>
  <c r="V71" i="70"/>
  <c r="V59" i="70"/>
  <c r="V51" i="70"/>
  <c r="V47" i="70"/>
  <c r="V43" i="70"/>
  <c r="V77" i="70"/>
  <c r="V65" i="70"/>
  <c r="V61" i="70"/>
  <c r="V53" i="70"/>
  <c r="V45" i="70"/>
  <c r="V41" i="70"/>
  <c r="V90" i="70"/>
  <c r="V76" i="70"/>
  <c r="V68" i="70"/>
  <c r="V64" i="70"/>
  <c r="V52" i="70"/>
  <c r="V40" i="70"/>
  <c r="V58" i="70"/>
  <c r="V39" i="70"/>
  <c r="V66" i="70"/>
  <c r="V62" i="70"/>
  <c r="V75" i="70"/>
  <c r="V50" i="70"/>
  <c r="V42" i="70"/>
  <c r="V79" i="70"/>
  <c r="V46" i="70"/>
  <c r="T33" i="70"/>
  <c r="V82" i="70"/>
  <c r="V35" i="70"/>
  <c r="V55" i="70"/>
  <c r="V67" i="70"/>
  <c r="V63" i="70"/>
  <c r="V31" i="70"/>
  <c r="V85" i="70"/>
  <c r="H27" i="52"/>
  <c r="N18" i="52"/>
  <c r="Z27" i="49"/>
  <c r="T31" i="49"/>
  <c r="X18" i="40"/>
  <c r="P27" i="40"/>
  <c r="L27" i="38"/>
  <c r="D31" i="38"/>
  <c r="P132" i="39"/>
  <c r="T127" i="36"/>
  <c r="D36" i="32"/>
  <c r="D27" i="29"/>
  <c r="L18" i="29"/>
  <c r="T36" i="31"/>
  <c r="Z36" i="31" s="1"/>
  <c r="Z31" i="31"/>
  <c r="L18" i="28"/>
  <c r="D27" i="28"/>
  <c r="X18" i="25"/>
  <c r="P27" i="25"/>
  <c r="P180" i="30"/>
  <c r="X89" i="30"/>
  <c r="N18" i="22"/>
  <c r="H27" i="22"/>
  <c r="X18" i="19"/>
  <c r="P27" i="19"/>
  <c r="H27" i="14"/>
  <c r="N18" i="14"/>
  <c r="F332" i="18"/>
  <c r="F324" i="18"/>
  <c r="F311" i="18"/>
  <c r="F307" i="18"/>
  <c r="F298" i="18"/>
  <c r="F282" i="18"/>
  <c r="F279" i="18"/>
  <c r="F271" i="18"/>
  <c r="F263" i="18"/>
  <c r="F255" i="18"/>
  <c r="F247" i="18"/>
  <c r="F242" i="18"/>
  <c r="F239" i="18"/>
  <c r="F227" i="18"/>
  <c r="F223" i="18"/>
  <c r="F203" i="18"/>
  <c r="F187" i="18"/>
  <c r="F179" i="18"/>
  <c r="F171" i="18"/>
  <c r="F163" i="18"/>
  <c r="F155" i="18"/>
  <c r="F147" i="18"/>
  <c r="F139" i="18"/>
  <c r="F327" i="18"/>
  <c r="F318" i="18"/>
  <c r="F314" i="18"/>
  <c r="F306" i="18"/>
  <c r="F301" i="18"/>
  <c r="F293" i="18"/>
  <c r="F289" i="18"/>
  <c r="F278" i="18"/>
  <c r="F270" i="18"/>
  <c r="F262" i="18"/>
  <c r="F254" i="18"/>
  <c r="F246" i="18"/>
  <c r="F233" i="18"/>
  <c r="F230" i="18"/>
  <c r="F217" i="18"/>
  <c r="F214" i="18"/>
  <c r="F202" i="18"/>
  <c r="F186" i="18"/>
  <c r="F178" i="18"/>
  <c r="F170" i="18"/>
  <c r="F162" i="18"/>
  <c r="F154" i="18"/>
  <c r="F146" i="18"/>
  <c r="F138" i="18"/>
  <c r="F330" i="18"/>
  <c r="F322" i="18"/>
  <c r="F317" i="18"/>
  <c r="F305" i="18"/>
  <c r="F297" i="18"/>
  <c r="F284" i="18"/>
  <c r="F281" i="18"/>
  <c r="F277" i="18"/>
  <c r="F269" i="18"/>
  <c r="F261" i="18"/>
  <c r="F253" i="18"/>
  <c r="F245" i="18"/>
  <c r="F241" i="18"/>
  <c r="F220" i="18"/>
  <c r="F213" i="18"/>
  <c r="F201" i="18"/>
  <c r="F196" i="18"/>
  <c r="F185" i="18"/>
  <c r="F177" i="18"/>
  <c r="F169" i="18"/>
  <c r="F161" i="18"/>
  <c r="F153" i="18"/>
  <c r="F145" i="18"/>
  <c r="F137" i="18"/>
  <c r="F132" i="18"/>
  <c r="F333" i="18"/>
  <c r="F325" i="18"/>
  <c r="F320" i="18"/>
  <c r="F316" i="18"/>
  <c r="F304" i="18"/>
  <c r="F300" i="18"/>
  <c r="F296" i="18"/>
  <c r="F292" i="18"/>
  <c r="F288" i="18"/>
  <c r="F276" i="18"/>
  <c r="F268" i="18"/>
  <c r="F260" i="18"/>
  <c r="F252" i="18"/>
  <c r="F244" i="18"/>
  <c r="F235" i="18"/>
  <c r="F232" i="18"/>
  <c r="F216" i="18"/>
  <c r="F212" i="18"/>
  <c r="F207" i="18"/>
  <c r="F200" i="18"/>
  <c r="F193" i="18"/>
  <c r="F184" i="18"/>
  <c r="F176" i="18"/>
  <c r="F168" i="18"/>
  <c r="F160" i="18"/>
  <c r="F152" i="18"/>
  <c r="F144" i="18"/>
  <c r="F136" i="18"/>
  <c r="F328" i="18"/>
  <c r="F310" i="18"/>
  <c r="F303" i="18"/>
  <c r="F299" i="18"/>
  <c r="F295" i="18"/>
  <c r="F291" i="18"/>
  <c r="F287" i="18"/>
  <c r="F283" i="18"/>
  <c r="F275" i="18"/>
  <c r="F267" i="18"/>
  <c r="F259" i="18"/>
  <c r="F251" i="18"/>
  <c r="F243" i="18"/>
  <c r="F238" i="18"/>
  <c r="F226" i="18"/>
  <c r="F222" i="18"/>
  <c r="F219" i="18"/>
  <c r="F211" i="18"/>
  <c r="F199" i="18"/>
  <c r="D193" i="18"/>
  <c r="F191" i="18"/>
  <c r="F183" i="18"/>
  <c r="F175" i="18"/>
  <c r="F167" i="18"/>
  <c r="F159" i="18"/>
  <c r="F151" i="18"/>
  <c r="F143" i="18"/>
  <c r="F135" i="18"/>
  <c r="F331" i="18"/>
  <c r="F323" i="18"/>
  <c r="F313" i="18"/>
  <c r="F302" i="18"/>
  <c r="F294" i="18"/>
  <c r="F290" i="18"/>
  <c r="F286" i="18"/>
  <c r="F274" i="18"/>
  <c r="F266" i="18"/>
  <c r="F258" i="18"/>
  <c r="F250" i="18"/>
  <c r="F234" i="18"/>
  <c r="F229" i="18"/>
  <c r="F218" i="18"/>
  <c r="F210" i="18"/>
  <c r="F206" i="18"/>
  <c r="F198" i="18"/>
  <c r="F190" i="18"/>
  <c r="F182" i="18"/>
  <c r="F174" i="18"/>
  <c r="F166" i="18"/>
  <c r="F158" i="18"/>
  <c r="F150" i="18"/>
  <c r="F142" i="18"/>
  <c r="F134" i="18"/>
  <c r="F334" i="18"/>
  <c r="F326" i="18"/>
  <c r="F309" i="18"/>
  <c r="F285" i="18"/>
  <c r="F280" i="18"/>
  <c r="F273" i="18"/>
  <c r="F265" i="18"/>
  <c r="F257" i="18"/>
  <c r="F249" i="18"/>
  <c r="F240" i="18"/>
  <c r="F237" i="18"/>
  <c r="F225" i="18"/>
  <c r="F221" i="18"/>
  <c r="F209" i="18"/>
  <c r="F205" i="18"/>
  <c r="F197" i="18"/>
  <c r="F189" i="18"/>
  <c r="F181" i="18"/>
  <c r="F173" i="18"/>
  <c r="F165" i="18"/>
  <c r="F157" i="18"/>
  <c r="F149" i="18"/>
  <c r="F141" i="18"/>
  <c r="F133" i="18"/>
  <c r="F315" i="18"/>
  <c r="F308" i="18"/>
  <c r="F195" i="18"/>
  <c r="F264" i="18"/>
  <c r="F236" i="18"/>
  <c r="F204" i="18"/>
  <c r="F140" i="18"/>
  <c r="F319" i="18"/>
  <c r="F312" i="18"/>
  <c r="F148" i="18"/>
  <c r="L12" i="18"/>
  <c r="N12" i="18" s="1"/>
  <c r="F256" i="18"/>
  <c r="F224" i="18"/>
  <c r="F164" i="18"/>
  <c r="F156" i="18"/>
  <c r="F329" i="18"/>
  <c r="F172" i="18"/>
  <c r="F248" i="18"/>
  <c r="F188" i="18"/>
  <c r="F180" i="18"/>
  <c r="F338" i="18"/>
  <c r="F215" i="18"/>
  <c r="F208" i="18"/>
  <c r="F272" i="18"/>
  <c r="F231" i="18"/>
  <c r="F228" i="18"/>
  <c r="X18" i="17"/>
  <c r="P27" i="17"/>
  <c r="N27" i="19"/>
  <c r="X18" i="16"/>
  <c r="P27" i="16"/>
  <c r="V293" i="15"/>
  <c r="T304" i="15"/>
  <c r="Z167" i="15"/>
  <c r="R167" i="15"/>
  <c r="T27" i="5"/>
  <c r="Z18" i="5"/>
  <c r="J352" i="3"/>
  <c r="J344" i="3"/>
  <c r="J340" i="3"/>
  <c r="J336" i="3"/>
  <c r="J328" i="3"/>
  <c r="J318" i="3"/>
  <c r="J304" i="3"/>
  <c r="J296" i="3"/>
  <c r="J288" i="3"/>
  <c r="J280" i="3"/>
  <c r="J272" i="3"/>
  <c r="J264" i="3"/>
  <c r="J256" i="3"/>
  <c r="J244" i="3"/>
  <c r="J236" i="3"/>
  <c r="J230" i="3"/>
  <c r="J216" i="3"/>
  <c r="J200" i="3"/>
  <c r="J192" i="3"/>
  <c r="J184" i="3"/>
  <c r="J176" i="3"/>
  <c r="J168" i="3"/>
  <c r="J160" i="3"/>
  <c r="J152" i="3"/>
  <c r="J144" i="3"/>
  <c r="J329" i="3"/>
  <c r="J259" i="3"/>
  <c r="J247" i="3"/>
  <c r="J241" i="3"/>
  <c r="J237" i="3"/>
  <c r="J201" i="3"/>
  <c r="J361" i="3"/>
  <c r="J355" i="3"/>
  <c r="J347" i="3"/>
  <c r="J339" i="3"/>
  <c r="J327" i="3"/>
  <c r="J321" i="3"/>
  <c r="J301" i="3"/>
  <c r="J295" i="3"/>
  <c r="J287" i="3"/>
  <c r="J279" i="3"/>
  <c r="J271" i="3"/>
  <c r="J263" i="3"/>
  <c r="J249" i="3"/>
  <c r="J233" i="3"/>
  <c r="J227" i="3"/>
  <c r="J215" i="3"/>
  <c r="J209" i="3"/>
  <c r="J199" i="3"/>
  <c r="J191" i="3"/>
  <c r="J183" i="3"/>
  <c r="J175" i="3"/>
  <c r="J167" i="3"/>
  <c r="J159" i="3"/>
  <c r="J151" i="3"/>
  <c r="J357" i="3"/>
  <c r="J333" i="3"/>
  <c r="J313" i="3"/>
  <c r="J221" i="3"/>
  <c r="J350" i="3"/>
  <c r="J342" i="3"/>
  <c r="J338" i="3"/>
  <c r="J332" i="3"/>
  <c r="J326" i="3"/>
  <c r="J312" i="3"/>
  <c r="J308" i="3"/>
  <c r="J298" i="3"/>
  <c r="J294" i="3"/>
  <c r="J286" i="3"/>
  <c r="J278" i="3"/>
  <c r="J270" i="3"/>
  <c r="J262" i="3"/>
  <c r="J258" i="3"/>
  <c r="J252" i="3"/>
  <c r="J246" i="3"/>
  <c r="J240" i="3"/>
  <c r="J226" i="3"/>
  <c r="J220" i="3"/>
  <c r="J214" i="3"/>
  <c r="J206" i="3"/>
  <c r="J198" i="3"/>
  <c r="J190" i="3"/>
  <c r="J182" i="3"/>
  <c r="J174" i="3"/>
  <c r="J166" i="3"/>
  <c r="J158" i="3"/>
  <c r="J150" i="3"/>
  <c r="J366" i="3"/>
  <c r="J265" i="3"/>
  <c r="J253" i="3"/>
  <c r="J217" i="3"/>
  <c r="J365" i="3"/>
  <c r="J353" i="3"/>
  <c r="J345" i="3"/>
  <c r="J335" i="3"/>
  <c r="J325" i="3"/>
  <c r="J317" i="3"/>
  <c r="J303" i="3"/>
  <c r="J293" i="3"/>
  <c r="J285" i="3"/>
  <c r="J277" i="3"/>
  <c r="J269" i="3"/>
  <c r="J261" i="3"/>
  <c r="J255" i="3"/>
  <c r="J243" i="3"/>
  <c r="J235" i="3"/>
  <c r="J229" i="3"/>
  <c r="J225" i="3"/>
  <c r="J213" i="3"/>
  <c r="H206" i="3"/>
  <c r="J197" i="3"/>
  <c r="J189" i="3"/>
  <c r="J181" i="3"/>
  <c r="J173" i="3"/>
  <c r="J165" i="3"/>
  <c r="J157" i="3"/>
  <c r="J149" i="3"/>
  <c r="J143" i="3"/>
  <c r="J185" i="3"/>
  <c r="J145" i="3"/>
  <c r="J356" i="3"/>
  <c r="J348" i="3"/>
  <c r="J324" i="3"/>
  <c r="J320" i="3"/>
  <c r="J316" i="3"/>
  <c r="J300" i="3"/>
  <c r="J292" i="3"/>
  <c r="J284" i="3"/>
  <c r="J276" i="3"/>
  <c r="J268" i="3"/>
  <c r="J260" i="3"/>
  <c r="J248" i="3"/>
  <c r="J232" i="3"/>
  <c r="J224" i="3"/>
  <c r="J212" i="3"/>
  <c r="J204" i="3"/>
  <c r="J196" i="3"/>
  <c r="J188" i="3"/>
  <c r="J180" i="3"/>
  <c r="J172" i="3"/>
  <c r="J164" i="3"/>
  <c r="J156" i="3"/>
  <c r="J148" i="3"/>
  <c r="N12" i="3"/>
  <c r="J305" i="3"/>
  <c r="J299" i="3"/>
  <c r="J281" i="3"/>
  <c r="J177" i="3"/>
  <c r="J351" i="3"/>
  <c r="J341" i="3"/>
  <c r="J337" i="3"/>
  <c r="J331" i="3"/>
  <c r="J323" i="3"/>
  <c r="J319" i="3"/>
  <c r="J315" i="3"/>
  <c r="J311" i="3"/>
  <c r="J307" i="3"/>
  <c r="J297" i="3"/>
  <c r="J291" i="3"/>
  <c r="J283" i="3"/>
  <c r="J275" i="3"/>
  <c r="J267" i="3"/>
  <c r="J257" i="3"/>
  <c r="J251" i="3"/>
  <c r="J245" i="3"/>
  <c r="J239" i="3"/>
  <c r="J231" i="3"/>
  <c r="J223" i="3"/>
  <c r="J219" i="3"/>
  <c r="J211" i="3"/>
  <c r="J203" i="3"/>
  <c r="J195" i="3"/>
  <c r="J187" i="3"/>
  <c r="J179" i="3"/>
  <c r="J171" i="3"/>
  <c r="J163" i="3"/>
  <c r="J155" i="3"/>
  <c r="J147" i="3"/>
  <c r="J349" i="3"/>
  <c r="J309" i="3"/>
  <c r="J153" i="3"/>
  <c r="J354" i="3"/>
  <c r="J346" i="3"/>
  <c r="J334" i="3"/>
  <c r="J330" i="3"/>
  <c r="J322" i="3"/>
  <c r="J314" i="3"/>
  <c r="J310" i="3"/>
  <c r="J306" i="3"/>
  <c r="J302" i="3"/>
  <c r="J290" i="3"/>
  <c r="J282" i="3"/>
  <c r="J274" i="3"/>
  <c r="J266" i="3"/>
  <c r="J254" i="3"/>
  <c r="J250" i="3"/>
  <c r="J242" i="3"/>
  <c r="J238" i="3"/>
  <c r="J234" i="3"/>
  <c r="J228" i="3"/>
  <c r="J222" i="3"/>
  <c r="J218" i="3"/>
  <c r="J210" i="3"/>
  <c r="J208" i="3"/>
  <c r="J202" i="3"/>
  <c r="J194" i="3"/>
  <c r="J186" i="3"/>
  <c r="J178" i="3"/>
  <c r="J170" i="3"/>
  <c r="J162" i="3"/>
  <c r="J154" i="3"/>
  <c r="J146" i="3"/>
  <c r="J289" i="3"/>
  <c r="J273" i="3"/>
  <c r="J193" i="3"/>
  <c r="J169" i="3"/>
  <c r="J161" i="3"/>
  <c r="T27" i="99"/>
  <c r="Z18" i="99"/>
  <c r="P40" i="96"/>
  <c r="X36" i="96"/>
  <c r="F86" i="95"/>
  <c r="F80" i="95"/>
  <c r="F75" i="95"/>
  <c r="F77" i="95"/>
  <c r="F74" i="95"/>
  <c r="F61" i="95"/>
  <c r="F58" i="95"/>
  <c r="F78" i="95"/>
  <c r="F84" i="95"/>
  <c r="F59" i="95"/>
  <c r="F53" i="95"/>
  <c r="F50" i="95"/>
  <c r="F45" i="95"/>
  <c r="F42" i="95"/>
  <c r="F38" i="95"/>
  <c r="F26" i="95"/>
  <c r="F18" i="95"/>
  <c r="F76" i="95"/>
  <c r="F66" i="95"/>
  <c r="F65" i="95"/>
  <c r="F37" i="95"/>
  <c r="F33" i="95"/>
  <c r="F25" i="95"/>
  <c r="F79" i="95"/>
  <c r="F67" i="95"/>
  <c r="F64" i="95"/>
  <c r="F62" i="95"/>
  <c r="F55" i="95"/>
  <c r="F52" i="95"/>
  <c r="F47" i="95"/>
  <c r="F44" i="95"/>
  <c r="F36" i="95"/>
  <c r="F32" i="95"/>
  <c r="F23" i="95"/>
  <c r="F82" i="95"/>
  <c r="F70" i="95"/>
  <c r="F69" i="95"/>
  <c r="F68" i="95"/>
  <c r="F63" i="95"/>
  <c r="F35" i="95"/>
  <c r="F31" i="95"/>
  <c r="F91" i="95"/>
  <c r="F60" i="95"/>
  <c r="F29" i="95"/>
  <c r="F24" i="95"/>
  <c r="F73" i="95"/>
  <c r="F72" i="95"/>
  <c r="F56" i="95"/>
  <c r="F51" i="95"/>
  <c r="F48" i="95"/>
  <c r="F43" i="95"/>
  <c r="F40" i="95"/>
  <c r="F28" i="95"/>
  <c r="F21" i="95"/>
  <c r="L12" i="95"/>
  <c r="N12" i="95" s="1"/>
  <c r="F41" i="95"/>
  <c r="F34" i="95"/>
  <c r="F17" i="95"/>
  <c r="F54" i="95"/>
  <c r="F46" i="95"/>
  <c r="F88" i="95"/>
  <c r="F27" i="95"/>
  <c r="F19" i="95"/>
  <c r="F57" i="95"/>
  <c r="F39" i="95"/>
  <c r="F30" i="95"/>
  <c r="F71" i="95"/>
  <c r="D21" i="95"/>
  <c r="F49" i="95"/>
  <c r="H90" i="94"/>
  <c r="J21" i="94"/>
  <c r="V55" i="87"/>
  <c r="V49" i="87"/>
  <c r="V45" i="87"/>
  <c r="V37" i="87"/>
  <c r="V33" i="87"/>
  <c r="V29" i="87"/>
  <c r="T20" i="87"/>
  <c r="X20" i="87" s="1"/>
  <c r="V48" i="87"/>
  <c r="V40" i="87"/>
  <c r="V32" i="87"/>
  <c r="V28" i="87"/>
  <c r="Z12" i="87"/>
  <c r="V39" i="87"/>
  <c r="V27" i="87"/>
  <c r="V42" i="87"/>
  <c r="V26" i="87"/>
  <c r="V22" i="87"/>
  <c r="V18" i="87"/>
  <c r="V44" i="87"/>
  <c r="V36" i="87"/>
  <c r="V24" i="87"/>
  <c r="V16" i="87"/>
  <c r="V47" i="87"/>
  <c r="V43" i="87"/>
  <c r="V35" i="87"/>
  <c r="V31" i="87"/>
  <c r="V23" i="87"/>
  <c r="V30" i="87"/>
  <c r="V46" i="87"/>
  <c r="V20" i="87"/>
  <c r="V51" i="87"/>
  <c r="V25" i="87"/>
  <c r="V38" i="87"/>
  <c r="V34" i="87"/>
  <c r="V17" i="87"/>
  <c r="V41" i="87"/>
  <c r="F45" i="87"/>
  <c r="F42" i="87"/>
  <c r="F37" i="87"/>
  <c r="F26" i="87"/>
  <c r="D20" i="87"/>
  <c r="F18" i="87"/>
  <c r="F48" i="87"/>
  <c r="F32" i="87"/>
  <c r="F25" i="87"/>
  <c r="F17" i="87"/>
  <c r="F44" i="87"/>
  <c r="F39" i="87"/>
  <c r="F36" i="87"/>
  <c r="F24" i="87"/>
  <c r="F47" i="87"/>
  <c r="F35" i="87"/>
  <c r="F31" i="87"/>
  <c r="F22" i="87"/>
  <c r="F55" i="87"/>
  <c r="F49" i="87"/>
  <c r="F33" i="87"/>
  <c r="F29" i="87"/>
  <c r="F16" i="87"/>
  <c r="F43" i="87"/>
  <c r="F40" i="87"/>
  <c r="F28" i="87"/>
  <c r="F23" i="87"/>
  <c r="L12" i="87"/>
  <c r="F38" i="87"/>
  <c r="F34" i="87"/>
  <c r="F51" i="87"/>
  <c r="F30" i="87"/>
  <c r="F27" i="87"/>
  <c r="F20" i="87"/>
  <c r="F41" i="87"/>
  <c r="F46" i="87"/>
  <c r="N20" i="87"/>
  <c r="H53" i="87"/>
  <c r="F89" i="85"/>
  <c r="Z60" i="89"/>
  <c r="J75" i="83"/>
  <c r="J69" i="83"/>
  <c r="J63" i="83"/>
  <c r="J57" i="83"/>
  <c r="J53" i="83"/>
  <c r="J49" i="83"/>
  <c r="J41" i="83"/>
  <c r="J33" i="83"/>
  <c r="J46" i="83"/>
  <c r="J38" i="83"/>
  <c r="J28" i="83"/>
  <c r="J73" i="83"/>
  <c r="J65" i="83"/>
  <c r="J43" i="83"/>
  <c r="J27" i="83"/>
  <c r="J62" i="83"/>
  <c r="J56" i="83"/>
  <c r="J52" i="83"/>
  <c r="J59" i="83"/>
  <c r="J55" i="83"/>
  <c r="J51" i="83"/>
  <c r="J47" i="83"/>
  <c r="J39" i="83"/>
  <c r="J35" i="83"/>
  <c r="J31" i="83"/>
  <c r="J78" i="83"/>
  <c r="J64" i="83"/>
  <c r="J25" i="83"/>
  <c r="J24" i="83"/>
  <c r="J16" i="83"/>
  <c r="J54" i="83"/>
  <c r="J34" i="83"/>
  <c r="J26" i="83"/>
  <c r="J60" i="83"/>
  <c r="J45" i="83"/>
  <c r="J44" i="83"/>
  <c r="J23" i="83"/>
  <c r="J20" i="83"/>
  <c r="N12" i="83"/>
  <c r="J61" i="83"/>
  <c r="J48" i="83"/>
  <c r="J42" i="83"/>
  <c r="J36" i="83"/>
  <c r="H20" i="83"/>
  <c r="J66" i="83"/>
  <c r="J40" i="83"/>
  <c r="J37" i="83"/>
  <c r="J18" i="83"/>
  <c r="J68" i="83"/>
  <c r="J50" i="83"/>
  <c r="J29" i="83"/>
  <c r="J17" i="83"/>
  <c r="J58" i="83"/>
  <c r="J71" i="83"/>
  <c r="J30" i="83"/>
  <c r="J22" i="83"/>
  <c r="J32" i="83"/>
  <c r="L20" i="85"/>
  <c r="N20" i="85" s="1"/>
  <c r="J83" i="80"/>
  <c r="J76" i="80"/>
  <c r="J66" i="80"/>
  <c r="J60" i="80"/>
  <c r="J50" i="80"/>
  <c r="J42" i="80"/>
  <c r="J34" i="80"/>
  <c r="J30" i="80"/>
  <c r="J16" i="80"/>
  <c r="J71" i="80"/>
  <c r="J65" i="80"/>
  <c r="J47" i="80"/>
  <c r="J39" i="80"/>
  <c r="J33" i="80"/>
  <c r="J29" i="80"/>
  <c r="J23" i="80"/>
  <c r="J68" i="80"/>
  <c r="J64" i="80"/>
  <c r="J56" i="80"/>
  <c r="J52" i="80"/>
  <c r="J44" i="80"/>
  <c r="J28" i="80"/>
  <c r="J20" i="80"/>
  <c r="N12" i="80"/>
  <c r="J63" i="80"/>
  <c r="J59" i="80"/>
  <c r="J55" i="80"/>
  <c r="J49" i="80"/>
  <c r="J41" i="80"/>
  <c r="J27" i="80"/>
  <c r="H20" i="80"/>
  <c r="J80" i="80"/>
  <c r="J74" i="80"/>
  <c r="J70" i="80"/>
  <c r="J62" i="80"/>
  <c r="J58" i="80"/>
  <c r="J54" i="80"/>
  <c r="J46" i="80"/>
  <c r="J38" i="80"/>
  <c r="J32" i="80"/>
  <c r="J26" i="80"/>
  <c r="J18" i="80"/>
  <c r="J67" i="80"/>
  <c r="J61" i="80"/>
  <c r="J51" i="80"/>
  <c r="J43" i="80"/>
  <c r="J37" i="80"/>
  <c r="J25" i="80"/>
  <c r="J17" i="80"/>
  <c r="J57" i="80"/>
  <c r="J53" i="80"/>
  <c r="J48" i="80"/>
  <c r="J35" i="80"/>
  <c r="J45" i="80"/>
  <c r="J40" i="80"/>
  <c r="J36" i="80"/>
  <c r="J22" i="80"/>
  <c r="J78" i="80"/>
  <c r="J24" i="80"/>
  <c r="J69" i="80"/>
  <c r="J31" i="80"/>
  <c r="J72" i="80"/>
  <c r="P97" i="81"/>
  <c r="X16" i="81"/>
  <c r="N19" i="78"/>
  <c r="H31" i="78"/>
  <c r="T83" i="76"/>
  <c r="T74" i="74"/>
  <c r="F78" i="74"/>
  <c r="F72" i="74"/>
  <c r="F59" i="74"/>
  <c r="F55" i="74"/>
  <c r="F51" i="74"/>
  <c r="F46" i="74"/>
  <c r="F43" i="74"/>
  <c r="F38" i="74"/>
  <c r="F27" i="74"/>
  <c r="F20" i="74"/>
  <c r="F76" i="74"/>
  <c r="F70" i="74"/>
  <c r="F65" i="74"/>
  <c r="F58" i="74"/>
  <c r="F54" i="74"/>
  <c r="F26" i="74"/>
  <c r="D20" i="74"/>
  <c r="F18" i="74"/>
  <c r="F48" i="74"/>
  <c r="F45" i="74"/>
  <c r="F40" i="74"/>
  <c r="F37" i="74"/>
  <c r="F32" i="74"/>
  <c r="F25" i="74"/>
  <c r="F17" i="74"/>
  <c r="F67" i="74"/>
  <c r="F64" i="74"/>
  <c r="F36" i="74"/>
  <c r="F24" i="74"/>
  <c r="F69" i="74"/>
  <c r="F66" i="74"/>
  <c r="F62" i="74"/>
  <c r="F57" i="74"/>
  <c r="F53" i="74"/>
  <c r="F34" i="74"/>
  <c r="F30" i="74"/>
  <c r="F61" i="74"/>
  <c r="F49" i="74"/>
  <c r="F44" i="74"/>
  <c r="F41" i="74"/>
  <c r="F33" i="74"/>
  <c r="F29" i="74"/>
  <c r="F16" i="74"/>
  <c r="F50" i="74"/>
  <c r="F39" i="74"/>
  <c r="F23" i="74"/>
  <c r="F22" i="74"/>
  <c r="F81" i="74"/>
  <c r="F68" i="74"/>
  <c r="L12" i="74"/>
  <c r="F74" i="74"/>
  <c r="F47" i="74"/>
  <c r="F42" i="74"/>
  <c r="F60" i="74"/>
  <c r="F56" i="74"/>
  <c r="F63" i="74"/>
  <c r="F31" i="74"/>
  <c r="F35" i="74"/>
  <c r="F28" i="74"/>
  <c r="F52" i="74"/>
  <c r="T71" i="73"/>
  <c r="P68" i="72"/>
  <c r="J86" i="70"/>
  <c r="J80" i="70"/>
  <c r="J66" i="70"/>
  <c r="J62" i="70"/>
  <c r="J56" i="70"/>
  <c r="J46" i="70"/>
  <c r="J42" i="70"/>
  <c r="J36" i="70"/>
  <c r="J77" i="70"/>
  <c r="J71" i="70"/>
  <c r="J65" i="70"/>
  <c r="J53" i="70"/>
  <c r="J41" i="70"/>
  <c r="J33" i="70"/>
  <c r="J90" i="70"/>
  <c r="J82" i="70"/>
  <c r="J76" i="70"/>
  <c r="J68" i="70"/>
  <c r="J64" i="70"/>
  <c r="J58" i="70"/>
  <c r="J50" i="70"/>
  <c r="J40" i="70"/>
  <c r="H33" i="70"/>
  <c r="J79" i="70"/>
  <c r="J75" i="70"/>
  <c r="J61" i="70"/>
  <c r="J55" i="70"/>
  <c r="J45" i="70"/>
  <c r="J39" i="70"/>
  <c r="J85" i="70"/>
  <c r="J81" i="70"/>
  <c r="J73" i="70"/>
  <c r="J67" i="70"/>
  <c r="J63" i="70"/>
  <c r="J57" i="70"/>
  <c r="J49" i="70"/>
  <c r="J37" i="70"/>
  <c r="J35" i="70"/>
  <c r="J31" i="70"/>
  <c r="J78" i="70"/>
  <c r="J72" i="70"/>
  <c r="J60" i="70"/>
  <c r="J54" i="70"/>
  <c r="J48" i="70"/>
  <c r="J44" i="70"/>
  <c r="N12" i="70"/>
  <c r="J52" i="70"/>
  <c r="J51" i="70"/>
  <c r="J74" i="70"/>
  <c r="J83" i="70"/>
  <c r="J69" i="70"/>
  <c r="J59" i="70"/>
  <c r="J43" i="70"/>
  <c r="J70" i="70"/>
  <c r="J47" i="70"/>
  <c r="J38" i="70"/>
  <c r="R130" i="66"/>
  <c r="R123" i="66"/>
  <c r="R112" i="66"/>
  <c r="R108" i="66"/>
  <c r="R103" i="66"/>
  <c r="R95" i="66"/>
  <c r="R83" i="66"/>
  <c r="R76" i="66"/>
  <c r="R71" i="66"/>
  <c r="P63" i="66"/>
  <c r="R63" i="66" s="1"/>
  <c r="R55" i="66"/>
  <c r="R47" i="66"/>
  <c r="R119" i="66"/>
  <c r="R115" i="66"/>
  <c r="R102" i="66"/>
  <c r="R94" i="66"/>
  <c r="R91" i="66"/>
  <c r="R82" i="66"/>
  <c r="R70" i="66"/>
  <c r="R54" i="66"/>
  <c r="R46" i="66"/>
  <c r="R128" i="66"/>
  <c r="R125" i="66"/>
  <c r="R122" i="66"/>
  <c r="R101" i="66"/>
  <c r="R97" i="66"/>
  <c r="R85" i="66"/>
  <c r="R81" i="66"/>
  <c r="R69" i="66"/>
  <c r="R61" i="66"/>
  <c r="R53" i="66"/>
  <c r="R45" i="66"/>
  <c r="R134" i="66"/>
  <c r="R100" i="66"/>
  <c r="R93" i="66"/>
  <c r="R88" i="66"/>
  <c r="R80" i="66"/>
  <c r="R68" i="66"/>
  <c r="R65" i="66"/>
  <c r="R60" i="66"/>
  <c r="R52" i="66"/>
  <c r="X12" i="66"/>
  <c r="R129" i="66"/>
  <c r="R118" i="66"/>
  <c r="R114" i="66"/>
  <c r="R110" i="66"/>
  <c r="R106" i="66"/>
  <c r="R90" i="66"/>
  <c r="R78" i="66"/>
  <c r="R74" i="66"/>
  <c r="R58" i="66"/>
  <c r="R50" i="66"/>
  <c r="R121" i="66"/>
  <c r="R117" i="66"/>
  <c r="R113" i="66"/>
  <c r="R109" i="66"/>
  <c r="R105" i="66"/>
  <c r="R98" i="66"/>
  <c r="R86" i="66"/>
  <c r="R77" i="66"/>
  <c r="R73" i="66"/>
  <c r="R66" i="66"/>
  <c r="R57" i="66"/>
  <c r="R49" i="66"/>
  <c r="R89" i="66"/>
  <c r="R72" i="66"/>
  <c r="R107" i="66"/>
  <c r="R104" i="66"/>
  <c r="R75" i="66"/>
  <c r="R116" i="66"/>
  <c r="R96" i="66"/>
  <c r="R87" i="66"/>
  <c r="R59" i="66"/>
  <c r="R56" i="66"/>
  <c r="R120" i="66"/>
  <c r="R92" i="66"/>
  <c r="R84" i="66"/>
  <c r="R67" i="66"/>
  <c r="R51" i="66"/>
  <c r="R127" i="66"/>
  <c r="R124" i="66"/>
  <c r="R79" i="66"/>
  <c r="R44" i="66"/>
  <c r="R99" i="66"/>
  <c r="R111" i="66"/>
  <c r="R48" i="66"/>
  <c r="R80" i="67"/>
  <c r="R74" i="67"/>
  <c r="R67" i="67"/>
  <c r="R59" i="67"/>
  <c r="R55" i="67"/>
  <c r="R52" i="67"/>
  <c r="R47" i="67"/>
  <c r="R44" i="67"/>
  <c r="R39" i="67"/>
  <c r="R35" i="67"/>
  <c r="R28" i="67"/>
  <c r="R70" i="67"/>
  <c r="R66" i="67"/>
  <c r="R58" i="67"/>
  <c r="R38" i="67"/>
  <c r="R34" i="67"/>
  <c r="R25" i="67"/>
  <c r="R65" i="67"/>
  <c r="R61" i="67"/>
  <c r="R57" i="67"/>
  <c r="R54" i="67"/>
  <c r="R49" i="67"/>
  <c r="R46" i="67"/>
  <c r="R33" i="67"/>
  <c r="P25" i="67"/>
  <c r="R78" i="67"/>
  <c r="R72" i="67"/>
  <c r="R69" i="67"/>
  <c r="R64" i="67"/>
  <c r="R37" i="67"/>
  <c r="R32" i="67"/>
  <c r="R83" i="67"/>
  <c r="R76" i="67"/>
  <c r="R63" i="67"/>
  <c r="R60" i="67"/>
  <c r="R56" i="67"/>
  <c r="R51" i="67"/>
  <c r="R48" i="67"/>
  <c r="R43" i="67"/>
  <c r="R71" i="67"/>
  <c r="R42" i="67"/>
  <c r="R30" i="67"/>
  <c r="R27" i="67"/>
  <c r="R22" i="67"/>
  <c r="R62" i="67"/>
  <c r="R53" i="67"/>
  <c r="R50" i="67"/>
  <c r="R45" i="67"/>
  <c r="R41" i="67"/>
  <c r="R29" i="67"/>
  <c r="R21" i="67"/>
  <c r="R36" i="67"/>
  <c r="R31" i="67"/>
  <c r="X12" i="67"/>
  <c r="R40" i="67"/>
  <c r="R68" i="67"/>
  <c r="R23" i="67"/>
  <c r="Z127" i="66"/>
  <c r="X127" i="66"/>
  <c r="D74" i="58"/>
  <c r="L16" i="58"/>
  <c r="V133" i="64"/>
  <c r="V129" i="64"/>
  <c r="V125" i="64"/>
  <c r="V117" i="64"/>
  <c r="V109" i="64"/>
  <c r="V101" i="64"/>
  <c r="V93" i="64"/>
  <c r="V89" i="64"/>
  <c r="V85" i="64"/>
  <c r="V136" i="64"/>
  <c r="V132" i="64"/>
  <c r="V128" i="64"/>
  <c r="V124" i="64"/>
  <c r="V116" i="64"/>
  <c r="V108" i="64"/>
  <c r="V92" i="64"/>
  <c r="V88" i="64"/>
  <c r="V84" i="64"/>
  <c r="T75" i="64"/>
  <c r="V141" i="64"/>
  <c r="V135" i="64"/>
  <c r="V131" i="64"/>
  <c r="V127" i="64"/>
  <c r="V115" i="64"/>
  <c r="V107" i="64"/>
  <c r="V95" i="64"/>
  <c r="V87" i="64"/>
  <c r="V83" i="64"/>
  <c r="V138" i="64"/>
  <c r="V130" i="64"/>
  <c r="V114" i="64"/>
  <c r="V106" i="64"/>
  <c r="V98" i="64"/>
  <c r="V94" i="64"/>
  <c r="V120" i="64"/>
  <c r="V112" i="64"/>
  <c r="V104" i="64"/>
  <c r="V100" i="64"/>
  <c r="V96" i="64"/>
  <c r="V145" i="64"/>
  <c r="V123" i="64"/>
  <c r="V119" i="64"/>
  <c r="V111" i="64"/>
  <c r="V103" i="64"/>
  <c r="V99" i="64"/>
  <c r="V91" i="64"/>
  <c r="V79" i="64"/>
  <c r="V75" i="64"/>
  <c r="V67" i="64"/>
  <c r="V59" i="64"/>
  <c r="V51" i="64"/>
  <c r="V77" i="64"/>
  <c r="V66" i="64"/>
  <c r="V58" i="64"/>
  <c r="V137" i="64"/>
  <c r="V126" i="64"/>
  <c r="V97" i="64"/>
  <c r="V80" i="64"/>
  <c r="V73" i="64"/>
  <c r="V65" i="64"/>
  <c r="V57" i="64"/>
  <c r="V121" i="64"/>
  <c r="V113" i="64"/>
  <c r="V105" i="64"/>
  <c r="V90" i="64"/>
  <c r="V86" i="64"/>
  <c r="V82" i="64"/>
  <c r="V70" i="64"/>
  <c r="V62" i="64"/>
  <c r="V54" i="64"/>
  <c r="V134" i="64"/>
  <c r="V78" i="64"/>
  <c r="V69" i="64"/>
  <c r="V61" i="64"/>
  <c r="V53" i="64"/>
  <c r="V140" i="64"/>
  <c r="V102" i="64"/>
  <c r="V63" i="64"/>
  <c r="V118" i="64"/>
  <c r="V71" i="64"/>
  <c r="V68" i="64"/>
  <c r="V64" i="64"/>
  <c r="V55" i="64"/>
  <c r="V72" i="64"/>
  <c r="V60" i="64"/>
  <c r="V56" i="64"/>
  <c r="V52" i="64"/>
  <c r="V81" i="64"/>
  <c r="V110" i="64"/>
  <c r="V122" i="64"/>
  <c r="D70" i="56"/>
  <c r="L16" i="56"/>
  <c r="X16" i="54"/>
  <c r="P22" i="54"/>
  <c r="T62" i="63"/>
  <c r="T27" i="53"/>
  <c r="Z18" i="53"/>
  <c r="P34" i="55"/>
  <c r="X16" i="55"/>
  <c r="X27" i="49"/>
  <c r="P31" i="49"/>
  <c r="H27" i="47"/>
  <c r="N18" i="47"/>
  <c r="N24" i="45"/>
  <c r="H96" i="45"/>
  <c r="H27" i="40"/>
  <c r="N18" i="40"/>
  <c r="R89" i="45"/>
  <c r="R86" i="45"/>
  <c r="R81" i="45"/>
  <c r="R73" i="45"/>
  <c r="R41" i="45"/>
  <c r="R91" i="45"/>
  <c r="R88" i="45"/>
  <c r="R79" i="45"/>
  <c r="R75" i="45"/>
  <c r="R71" i="45"/>
  <c r="R67" i="45"/>
  <c r="R39" i="45"/>
  <c r="R78" i="45"/>
  <c r="R70" i="45"/>
  <c r="R66" i="45"/>
  <c r="R63" i="45"/>
  <c r="R58" i="45"/>
  <c r="R55" i="45"/>
  <c r="R50" i="45"/>
  <c r="R47" i="45"/>
  <c r="R38" i="45"/>
  <c r="R90" i="45"/>
  <c r="R85" i="45"/>
  <c r="R77" i="45"/>
  <c r="R74" i="45"/>
  <c r="R84" i="45"/>
  <c r="R69" i="45"/>
  <c r="R65" i="45"/>
  <c r="R94" i="45"/>
  <c r="R87" i="45"/>
  <c r="R92" i="45"/>
  <c r="R44" i="45"/>
  <c r="R29" i="45"/>
  <c r="R26" i="45"/>
  <c r="R21" i="45"/>
  <c r="R68" i="45"/>
  <c r="R59" i="45"/>
  <c r="R56" i="45"/>
  <c r="R28" i="45"/>
  <c r="X12" i="45"/>
  <c r="R60" i="45"/>
  <c r="R49" i="45"/>
  <c r="R40" i="45"/>
  <c r="R36" i="45"/>
  <c r="R20" i="45"/>
  <c r="R98" i="45"/>
  <c r="R82" i="45"/>
  <c r="R76" i="45"/>
  <c r="R61" i="45"/>
  <c r="R51" i="45"/>
  <c r="R35" i="45"/>
  <c r="R34" i="45"/>
  <c r="R27" i="45"/>
  <c r="R83" i="45"/>
  <c r="R54" i="45"/>
  <c r="R53" i="45"/>
  <c r="R52" i="45"/>
  <c r="R48" i="45"/>
  <c r="R33" i="45"/>
  <c r="R80" i="45"/>
  <c r="R64" i="45"/>
  <c r="R62" i="45"/>
  <c r="R32" i="45"/>
  <c r="P24" i="45"/>
  <c r="R24" i="45" s="1"/>
  <c r="R42" i="45"/>
  <c r="R31" i="45"/>
  <c r="R72" i="45"/>
  <c r="R46" i="45"/>
  <c r="R57" i="45"/>
  <c r="R43" i="45"/>
  <c r="R37" i="45"/>
  <c r="R30" i="45"/>
  <c r="R22" i="45"/>
  <c r="R45" i="45"/>
  <c r="F119" i="42"/>
  <c r="F114" i="42"/>
  <c r="F102" i="42"/>
  <c r="F97" i="42"/>
  <c r="F85" i="42"/>
  <c r="F69" i="42"/>
  <c r="F66" i="42"/>
  <c r="F61" i="42"/>
  <c r="F58" i="42"/>
  <c r="F54" i="42"/>
  <c r="F49" i="42"/>
  <c r="F42" i="42"/>
  <c r="F38" i="42"/>
  <c r="F122" i="42"/>
  <c r="F117" i="42"/>
  <c r="F113" i="42"/>
  <c r="F108" i="42"/>
  <c r="F101" i="42"/>
  <c r="F93" i="42"/>
  <c r="F88" i="42"/>
  <c r="F80" i="42"/>
  <c r="F77" i="42"/>
  <c r="F72" i="42"/>
  <c r="F57" i="42"/>
  <c r="F37" i="42"/>
  <c r="F24" i="42"/>
  <c r="F126" i="42"/>
  <c r="F100" i="42"/>
  <c r="F96" i="42"/>
  <c r="F92" i="42"/>
  <c r="F84" i="42"/>
  <c r="F68" i="42"/>
  <c r="F63" i="42"/>
  <c r="F60" i="42"/>
  <c r="F56" i="42"/>
  <c r="F51" i="42"/>
  <c r="F48" i="42"/>
  <c r="F36" i="42"/>
  <c r="F31" i="42"/>
  <c r="L12" i="42"/>
  <c r="F120" i="42"/>
  <c r="F110" i="42"/>
  <c r="F107" i="42"/>
  <c r="F99" i="42"/>
  <c r="F95" i="42"/>
  <c r="F91" i="42"/>
  <c r="F87" i="42"/>
  <c r="F83" i="42"/>
  <c r="F79" i="42"/>
  <c r="F74" i="42"/>
  <c r="F71" i="42"/>
  <c r="F47" i="42"/>
  <c r="F35" i="42"/>
  <c r="F28" i="42"/>
  <c r="F106" i="42"/>
  <c r="F98" i="42"/>
  <c r="F90" i="42"/>
  <c r="F86" i="42"/>
  <c r="F82" i="42"/>
  <c r="F70" i="42"/>
  <c r="F65" i="42"/>
  <c r="F62" i="42"/>
  <c r="F53" i="42"/>
  <c r="F50" i="42"/>
  <c r="F46" i="42"/>
  <c r="F41" i="42"/>
  <c r="F34" i="42"/>
  <c r="D28" i="42"/>
  <c r="F26" i="42"/>
  <c r="F116" i="42"/>
  <c r="F112" i="42"/>
  <c r="F109" i="42"/>
  <c r="F105" i="42"/>
  <c r="F89" i="42"/>
  <c r="F81" i="42"/>
  <c r="F76" i="42"/>
  <c r="F73" i="42"/>
  <c r="F45" i="42"/>
  <c r="F33" i="42"/>
  <c r="F25" i="42"/>
  <c r="F121" i="42"/>
  <c r="F104" i="42"/>
  <c r="F67" i="42"/>
  <c r="F64" i="42"/>
  <c r="F59" i="42"/>
  <c r="F55" i="42"/>
  <c r="F52" i="42"/>
  <c r="F44" i="42"/>
  <c r="F40" i="42"/>
  <c r="F32" i="42"/>
  <c r="F115" i="42"/>
  <c r="F103" i="42"/>
  <c r="F43" i="42"/>
  <c r="F78" i="42"/>
  <c r="F39" i="42"/>
  <c r="F75" i="42"/>
  <c r="F30" i="42"/>
  <c r="F111" i="42"/>
  <c r="F94" i="42"/>
  <c r="F119" i="51"/>
  <c r="F106" i="51"/>
  <c r="F98" i="51"/>
  <c r="F94" i="51"/>
  <c r="F85" i="51"/>
  <c r="F66" i="51"/>
  <c r="F50" i="51"/>
  <c r="F42" i="51"/>
  <c r="F123" i="51"/>
  <c r="F112" i="51"/>
  <c r="F109" i="51"/>
  <c r="F105" i="51"/>
  <c r="F101" i="51"/>
  <c r="F97" i="51"/>
  <c r="F93" i="51"/>
  <c r="F81" i="51"/>
  <c r="F76" i="51"/>
  <c r="F65" i="51"/>
  <c r="F60" i="51"/>
  <c r="F49" i="51"/>
  <c r="F41" i="51"/>
  <c r="F117" i="51"/>
  <c r="F104" i="51"/>
  <c r="F100" i="51"/>
  <c r="F92" i="51"/>
  <c r="F87" i="51"/>
  <c r="F84" i="51"/>
  <c r="F64" i="51"/>
  <c r="F48" i="51"/>
  <c r="F40" i="51"/>
  <c r="F111" i="51"/>
  <c r="F103" i="51"/>
  <c r="F91" i="51"/>
  <c r="F83" i="51"/>
  <c r="F78" i="51"/>
  <c r="F75" i="51"/>
  <c r="F70" i="51"/>
  <c r="F63" i="51"/>
  <c r="D57" i="51"/>
  <c r="F57" i="51" s="1"/>
  <c r="F55" i="51"/>
  <c r="F47" i="51"/>
  <c r="F115" i="51"/>
  <c r="F90" i="51"/>
  <c r="F86" i="51"/>
  <c r="F74" i="51"/>
  <c r="F62" i="51"/>
  <c r="F54" i="51"/>
  <c r="F46" i="51"/>
  <c r="F118" i="51"/>
  <c r="F113" i="51"/>
  <c r="F108" i="51"/>
  <c r="F96" i="51"/>
  <c r="F89" i="51"/>
  <c r="F80" i="51"/>
  <c r="F77" i="51"/>
  <c r="F73" i="51"/>
  <c r="F69" i="51"/>
  <c r="F61" i="51"/>
  <c r="F53" i="51"/>
  <c r="F45" i="51"/>
  <c r="F99" i="51"/>
  <c r="F88" i="51"/>
  <c r="F72" i="51"/>
  <c r="F68" i="51"/>
  <c r="F59" i="51"/>
  <c r="F52" i="51"/>
  <c r="F44" i="51"/>
  <c r="F39" i="51"/>
  <c r="L12" i="51"/>
  <c r="N12" i="51" s="1"/>
  <c r="F95" i="51"/>
  <c r="F79" i="51"/>
  <c r="F71" i="51"/>
  <c r="F82" i="51"/>
  <c r="F67" i="51"/>
  <c r="F51" i="51"/>
  <c r="F102" i="51"/>
  <c r="F116" i="51"/>
  <c r="F110" i="51"/>
  <c r="F107" i="51"/>
  <c r="F43" i="51"/>
  <c r="H31" i="46"/>
  <c r="N27" i="46"/>
  <c r="X18" i="38"/>
  <c r="P27" i="38"/>
  <c r="T27" i="43"/>
  <c r="Z18" i="43"/>
  <c r="L127" i="39"/>
  <c r="N127" i="39" s="1"/>
  <c r="Z122" i="36"/>
  <c r="Z18" i="41"/>
  <c r="T27" i="41"/>
  <c r="T27" i="34"/>
  <c r="Z18" i="34"/>
  <c r="H36" i="38"/>
  <c r="N36" i="38" s="1"/>
  <c r="N31" i="38"/>
  <c r="H27" i="25"/>
  <c r="N18" i="25"/>
  <c r="H27" i="29"/>
  <c r="N18" i="29"/>
  <c r="H27" i="28"/>
  <c r="N18" i="28"/>
  <c r="P27" i="26"/>
  <c r="X18" i="26"/>
  <c r="D36" i="31"/>
  <c r="N27" i="20"/>
  <c r="H31" i="20"/>
  <c r="T27" i="20"/>
  <c r="Z18" i="20"/>
  <c r="H27" i="16"/>
  <c r="N18" i="16"/>
  <c r="L18" i="16"/>
  <c r="F300" i="15"/>
  <c r="F290" i="15"/>
  <c r="F286" i="15"/>
  <c r="F283" i="15"/>
  <c r="F279" i="15"/>
  <c r="F243" i="15"/>
  <c r="F235" i="15"/>
  <c r="F227" i="15"/>
  <c r="F219" i="15"/>
  <c r="F215" i="15"/>
  <c r="F194" i="15"/>
  <c r="F187" i="15"/>
  <c r="F175" i="15"/>
  <c r="F170" i="15"/>
  <c r="F159" i="15"/>
  <c r="F151" i="15"/>
  <c r="F143" i="15"/>
  <c r="F135" i="15"/>
  <c r="F127" i="15"/>
  <c r="F119" i="15"/>
  <c r="F114" i="15"/>
  <c r="F295" i="15"/>
  <c r="F282" i="15"/>
  <c r="F278" i="15"/>
  <c r="F269" i="15"/>
  <c r="F253" i="15"/>
  <c r="F250" i="15"/>
  <c r="F242" i="15"/>
  <c r="F234" i="15"/>
  <c r="F226" i="15"/>
  <c r="F218" i="15"/>
  <c r="F209" i="15"/>
  <c r="F206" i="15"/>
  <c r="F190" i="15"/>
  <c r="F186" i="15"/>
  <c r="F181" i="15"/>
  <c r="F174" i="15"/>
  <c r="F167" i="15"/>
  <c r="F158" i="15"/>
  <c r="F150" i="15"/>
  <c r="F142" i="15"/>
  <c r="F134" i="15"/>
  <c r="F126" i="15"/>
  <c r="F118" i="15"/>
  <c r="F298" i="15"/>
  <c r="F289" i="15"/>
  <c r="F285" i="15"/>
  <c r="F277" i="15"/>
  <c r="F272" i="15"/>
  <c r="F264" i="15"/>
  <c r="F260" i="15"/>
  <c r="F249" i="15"/>
  <c r="F241" i="15"/>
  <c r="F233" i="15"/>
  <c r="F225" i="15"/>
  <c r="F217" i="15"/>
  <c r="F212" i="15"/>
  <c r="F200" i="15"/>
  <c r="F196" i="15"/>
  <c r="F193" i="15"/>
  <c r="F185" i="15"/>
  <c r="F173" i="15"/>
  <c r="D167" i="15"/>
  <c r="F165" i="15"/>
  <c r="F157" i="15"/>
  <c r="F149" i="15"/>
  <c r="F141" i="15"/>
  <c r="F133" i="15"/>
  <c r="F125" i="15"/>
  <c r="F117" i="15"/>
  <c r="F301" i="15"/>
  <c r="F293" i="15"/>
  <c r="F288" i="15"/>
  <c r="F276" i="15"/>
  <c r="F268" i="15"/>
  <c r="F255" i="15"/>
  <c r="F252" i="15"/>
  <c r="F248" i="15"/>
  <c r="F240" i="15"/>
  <c r="F232" i="15"/>
  <c r="F224" i="15"/>
  <c r="F208" i="15"/>
  <c r="F203" i="15"/>
  <c r="F192" i="15"/>
  <c r="F184" i="15"/>
  <c r="F180" i="15"/>
  <c r="F172" i="15"/>
  <c r="F164" i="15"/>
  <c r="F156" i="15"/>
  <c r="F148" i="15"/>
  <c r="F140" i="15"/>
  <c r="F132" i="15"/>
  <c r="F124" i="15"/>
  <c r="F116" i="15"/>
  <c r="L12" i="15"/>
  <c r="N12" i="15" s="1"/>
  <c r="F296" i="15"/>
  <c r="F291" i="15"/>
  <c r="F287" i="15"/>
  <c r="F275" i="15"/>
  <c r="F271" i="15"/>
  <c r="F267" i="15"/>
  <c r="F263" i="15"/>
  <c r="F259" i="15"/>
  <c r="F247" i="15"/>
  <c r="F239" i="15"/>
  <c r="F231" i="15"/>
  <c r="F223" i="15"/>
  <c r="F214" i="15"/>
  <c r="F211" i="15"/>
  <c r="F199" i="15"/>
  <c r="F195" i="15"/>
  <c r="F183" i="15"/>
  <c r="F179" i="15"/>
  <c r="F171" i="15"/>
  <c r="F163" i="15"/>
  <c r="F155" i="15"/>
  <c r="F147" i="15"/>
  <c r="F139" i="15"/>
  <c r="F131" i="15"/>
  <c r="F123" i="15"/>
  <c r="F115" i="15"/>
  <c r="F299" i="15"/>
  <c r="F281" i="15"/>
  <c r="F274" i="15"/>
  <c r="F270" i="15"/>
  <c r="F266" i="15"/>
  <c r="F262" i="15"/>
  <c r="F258" i="15"/>
  <c r="F254" i="15"/>
  <c r="F246" i="15"/>
  <c r="F238" i="15"/>
  <c r="F230" i="15"/>
  <c r="F222" i="15"/>
  <c r="F210" i="15"/>
  <c r="F205" i="15"/>
  <c r="F202" i="15"/>
  <c r="F198" i="15"/>
  <c r="F189" i="15"/>
  <c r="F182" i="15"/>
  <c r="F178" i="15"/>
  <c r="F169" i="15"/>
  <c r="F162" i="15"/>
  <c r="F154" i="15"/>
  <c r="F146" i="15"/>
  <c r="F138" i="15"/>
  <c r="F130" i="15"/>
  <c r="F122" i="15"/>
  <c r="F302" i="15"/>
  <c r="F294" i="15"/>
  <c r="F284" i="15"/>
  <c r="F273" i="15"/>
  <c r="F265" i="15"/>
  <c r="F261" i="15"/>
  <c r="F257" i="15"/>
  <c r="F245" i="15"/>
  <c r="F237" i="15"/>
  <c r="F229" i="15"/>
  <c r="F221" i="15"/>
  <c r="F216" i="15"/>
  <c r="F213" i="15"/>
  <c r="F201" i="15"/>
  <c r="F197" i="15"/>
  <c r="F177" i="15"/>
  <c r="F161" i="15"/>
  <c r="F153" i="15"/>
  <c r="F145" i="15"/>
  <c r="F137" i="15"/>
  <c r="F129" i="15"/>
  <c r="F121" i="15"/>
  <c r="F306" i="15"/>
  <c r="F297" i="15"/>
  <c r="F280" i="15"/>
  <c r="F256" i="15"/>
  <c r="F251" i="15"/>
  <c r="F244" i="15"/>
  <c r="F236" i="15"/>
  <c r="F228" i="15"/>
  <c r="F220" i="15"/>
  <c r="F207" i="15"/>
  <c r="F204" i="15"/>
  <c r="F191" i="15"/>
  <c r="F188" i="15"/>
  <c r="F176" i="15"/>
  <c r="F160" i="15"/>
  <c r="F152" i="15"/>
  <c r="F144" i="15"/>
  <c r="F136" i="15"/>
  <c r="F128" i="15"/>
  <c r="F120" i="15"/>
  <c r="X18" i="14"/>
  <c r="P27" i="14"/>
  <c r="X18" i="13"/>
  <c r="P27" i="13"/>
  <c r="V306" i="12"/>
  <c r="V300" i="12"/>
  <c r="V296" i="12"/>
  <c r="V284" i="12"/>
  <c r="V276" i="12"/>
  <c r="V256" i="12"/>
  <c r="V248" i="12"/>
  <c r="V240" i="12"/>
  <c r="V232" i="12"/>
  <c r="V224" i="12"/>
  <c r="V216" i="12"/>
  <c r="V212" i="12"/>
  <c r="V204" i="12"/>
  <c r="V200" i="12"/>
  <c r="V196" i="12"/>
  <c r="V188" i="12"/>
  <c r="V184" i="12"/>
  <c r="V176" i="12"/>
  <c r="V168" i="12"/>
  <c r="V160" i="12"/>
  <c r="V152" i="12"/>
  <c r="V144" i="12"/>
  <c r="V136" i="12"/>
  <c r="V128" i="12"/>
  <c r="V120" i="12"/>
  <c r="V309" i="12"/>
  <c r="V299" i="12"/>
  <c r="V295" i="12"/>
  <c r="V283" i="12"/>
  <c r="V279" i="12"/>
  <c r="V275" i="12"/>
  <c r="V259" i="12"/>
  <c r="V255" i="12"/>
  <c r="V247" i="12"/>
  <c r="V239" i="12"/>
  <c r="V231" i="12"/>
  <c r="V223" i="12"/>
  <c r="V215" i="12"/>
  <c r="V207" i="12"/>
  <c r="V203" i="12"/>
  <c r="V199" i="12"/>
  <c r="V187" i="12"/>
  <c r="V183" i="12"/>
  <c r="V175" i="12"/>
  <c r="V167" i="12"/>
  <c r="V159" i="12"/>
  <c r="V151" i="12"/>
  <c r="V143" i="12"/>
  <c r="V135" i="12"/>
  <c r="V127" i="12"/>
  <c r="V119" i="12"/>
  <c r="V304" i="12"/>
  <c r="V282" i="12"/>
  <c r="V278" i="12"/>
  <c r="V274" i="12"/>
  <c r="V270" i="12"/>
  <c r="V266" i="12"/>
  <c r="V258" i="12"/>
  <c r="V254" i="12"/>
  <c r="V246" i="12"/>
  <c r="V238" i="12"/>
  <c r="V230" i="12"/>
  <c r="V218" i="12"/>
  <c r="V214" i="12"/>
  <c r="V206" i="12"/>
  <c r="V202" i="12"/>
  <c r="V186" i="12"/>
  <c r="V182" i="12"/>
  <c r="V166" i="12"/>
  <c r="V158" i="12"/>
  <c r="V150" i="12"/>
  <c r="V142" i="12"/>
  <c r="V134" i="12"/>
  <c r="V126" i="12"/>
  <c r="V118" i="12"/>
  <c r="V315" i="12"/>
  <c r="V307" i="12"/>
  <c r="V289" i="12"/>
  <c r="V281" i="12"/>
  <c r="V277" i="12"/>
  <c r="V273" i="12"/>
  <c r="V269" i="12"/>
  <c r="V265" i="12"/>
  <c r="V261" i="12"/>
  <c r="V253" i="12"/>
  <c r="V245" i="12"/>
  <c r="V237" i="12"/>
  <c r="V229" i="12"/>
  <c r="V217" i="12"/>
  <c r="V209" i="12"/>
  <c r="V205" i="12"/>
  <c r="V201" i="12"/>
  <c r="V193" i="12"/>
  <c r="V181" i="12"/>
  <c r="T172" i="12"/>
  <c r="V172" i="12" s="1"/>
  <c r="V165" i="12"/>
  <c r="V157" i="12"/>
  <c r="V149" i="12"/>
  <c r="V141" i="12"/>
  <c r="V133" i="12"/>
  <c r="V125" i="12"/>
  <c r="V117" i="12"/>
  <c r="V310" i="12"/>
  <c r="V302" i="12"/>
  <c r="V292" i="12"/>
  <c r="V288" i="12"/>
  <c r="V280" i="12"/>
  <c r="V272" i="12"/>
  <c r="V268" i="12"/>
  <c r="V264" i="12"/>
  <c r="V260" i="12"/>
  <c r="V252" i="12"/>
  <c r="V244" i="12"/>
  <c r="V236" i="12"/>
  <c r="V228" i="12"/>
  <c r="V220" i="12"/>
  <c r="V208" i="12"/>
  <c r="V192" i="12"/>
  <c r="V180" i="12"/>
  <c r="V164" i="12"/>
  <c r="V156" i="12"/>
  <c r="V148" i="12"/>
  <c r="V140" i="12"/>
  <c r="V132" i="12"/>
  <c r="V124" i="12"/>
  <c r="Z12" i="12"/>
  <c r="V305" i="12"/>
  <c r="V291" i="12"/>
  <c r="V287" i="12"/>
  <c r="V271" i="12"/>
  <c r="V267" i="12"/>
  <c r="V263" i="12"/>
  <c r="V251" i="12"/>
  <c r="V243" i="12"/>
  <c r="V235" i="12"/>
  <c r="V227" i="12"/>
  <c r="V219" i="12"/>
  <c r="V211" i="12"/>
  <c r="V195" i="12"/>
  <c r="V191" i="12"/>
  <c r="V179" i="12"/>
  <c r="V163" i="12"/>
  <c r="V155" i="12"/>
  <c r="V147" i="12"/>
  <c r="V139" i="12"/>
  <c r="V131" i="12"/>
  <c r="V123" i="12"/>
  <c r="V308" i="12"/>
  <c r="V298" i="12"/>
  <c r="V294" i="12"/>
  <c r="V290" i="12"/>
  <c r="V286" i="12"/>
  <c r="V262" i="12"/>
  <c r="V250" i="12"/>
  <c r="V242" i="12"/>
  <c r="V234" i="12"/>
  <c r="V226" i="12"/>
  <c r="V222" i="12"/>
  <c r="V210" i="12"/>
  <c r="V198" i="12"/>
  <c r="V194" i="12"/>
  <c r="V190" i="12"/>
  <c r="V178" i="12"/>
  <c r="V174" i="12"/>
  <c r="V170" i="12"/>
  <c r="V162" i="12"/>
  <c r="V154" i="12"/>
  <c r="V146" i="12"/>
  <c r="V138" i="12"/>
  <c r="V130" i="12"/>
  <c r="V122" i="12"/>
  <c r="V311" i="12"/>
  <c r="V303" i="12"/>
  <c r="V297" i="12"/>
  <c r="V293" i="12"/>
  <c r="V285" i="12"/>
  <c r="V257" i="12"/>
  <c r="V249" i="12"/>
  <c r="V241" i="12"/>
  <c r="V233" i="12"/>
  <c r="V225" i="12"/>
  <c r="V221" i="12"/>
  <c r="V213" i="12"/>
  <c r="V197" i="12"/>
  <c r="V189" i="12"/>
  <c r="V185" i="12"/>
  <c r="V177" i="12"/>
  <c r="V169" i="12"/>
  <c r="V161" i="12"/>
  <c r="V153" i="12"/>
  <c r="V145" i="12"/>
  <c r="V137" i="12"/>
  <c r="V129" i="12"/>
  <c r="V121" i="12"/>
  <c r="H313" i="12"/>
  <c r="N27" i="13"/>
  <c r="H31" i="13"/>
  <c r="L18" i="5"/>
  <c r="D27" i="5"/>
  <c r="R322" i="18"/>
  <c r="P31" i="8"/>
  <c r="X18" i="99"/>
  <c r="P27" i="99"/>
  <c r="X16" i="96"/>
  <c r="P69" i="97"/>
  <c r="X17" i="97"/>
  <c r="R46" i="93"/>
  <c r="R42" i="93"/>
  <c r="R37" i="93"/>
  <c r="R34" i="93"/>
  <c r="P21" i="93"/>
  <c r="R39" i="93"/>
  <c r="R36" i="93"/>
  <c r="R31" i="93"/>
  <c r="R27" i="93"/>
  <c r="R19" i="93"/>
  <c r="R55" i="93"/>
  <c r="R49" i="93"/>
  <c r="R30" i="93"/>
  <c r="R26" i="93"/>
  <c r="R23" i="93"/>
  <c r="R45" i="93"/>
  <c r="R41" i="93"/>
  <c r="R38" i="93"/>
  <c r="R33" i="93"/>
  <c r="R29" i="93"/>
  <c r="R25" i="93"/>
  <c r="R44" i="93"/>
  <c r="R17" i="93"/>
  <c r="R43" i="93"/>
  <c r="R53" i="93"/>
  <c r="R47" i="93"/>
  <c r="X12" i="93"/>
  <c r="Z12" i="93" s="1"/>
  <c r="R58" i="93"/>
  <c r="R40" i="93"/>
  <c r="R21" i="93"/>
  <c r="R35" i="93"/>
  <c r="R18" i="93"/>
  <c r="R51" i="93"/>
  <c r="R32" i="93"/>
  <c r="R28" i="93"/>
  <c r="R24" i="93"/>
  <c r="F45" i="93"/>
  <c r="F41" i="93"/>
  <c r="F36" i="93"/>
  <c r="F33" i="93"/>
  <c r="F29" i="93"/>
  <c r="F25" i="93"/>
  <c r="F55" i="93"/>
  <c r="F49" i="93"/>
  <c r="F44" i="93"/>
  <c r="F23" i="93"/>
  <c r="F53" i="93"/>
  <c r="F47" i="93"/>
  <c r="F43" i="93"/>
  <c r="F38" i="93"/>
  <c r="F35" i="93"/>
  <c r="F40" i="93"/>
  <c r="F37" i="93"/>
  <c r="F32" i="93"/>
  <c r="F28" i="93"/>
  <c r="F24" i="93"/>
  <c r="F58" i="93"/>
  <c r="F51" i="93"/>
  <c r="F21" i="93"/>
  <c r="L12" i="93"/>
  <c r="F42" i="93"/>
  <c r="F19" i="93"/>
  <c r="F17" i="93"/>
  <c r="F46" i="93"/>
  <c r="F39" i="93"/>
  <c r="F34" i="93"/>
  <c r="D21" i="93"/>
  <c r="F30" i="93"/>
  <c r="F26" i="93"/>
  <c r="F31" i="93"/>
  <c r="F27" i="93"/>
  <c r="F18" i="93"/>
  <c r="R84" i="92"/>
  <c r="R73" i="92"/>
  <c r="R57" i="92"/>
  <c r="R54" i="92"/>
  <c r="R49" i="92"/>
  <c r="R46" i="92"/>
  <c r="R41" i="92"/>
  <c r="R29" i="92"/>
  <c r="R80" i="92"/>
  <c r="R77" i="92"/>
  <c r="R72" i="92"/>
  <c r="R71" i="92"/>
  <c r="R67" i="92"/>
  <c r="R63" i="92"/>
  <c r="R59" i="92"/>
  <c r="R56" i="92"/>
  <c r="R51" i="92"/>
  <c r="R48" i="92"/>
  <c r="R43" i="92"/>
  <c r="R39" i="92"/>
  <c r="R27" i="92"/>
  <c r="R24" i="92"/>
  <c r="R19" i="92"/>
  <c r="R88" i="92"/>
  <c r="R82" i="92"/>
  <c r="R79" i="92"/>
  <c r="R70" i="92"/>
  <c r="R66" i="92"/>
  <c r="R62" i="92"/>
  <c r="R38" i="92"/>
  <c r="R34" i="92"/>
  <c r="R26" i="92"/>
  <c r="R69" i="92"/>
  <c r="R65" i="92"/>
  <c r="R61" i="92"/>
  <c r="R58" i="92"/>
  <c r="R53" i="92"/>
  <c r="R50" i="92"/>
  <c r="R45" i="92"/>
  <c r="R42" i="92"/>
  <c r="R37" i="92"/>
  <c r="R33" i="92"/>
  <c r="R18" i="92"/>
  <c r="R81" i="92"/>
  <c r="R76" i="92"/>
  <c r="R36" i="92"/>
  <c r="R32" i="92"/>
  <c r="R25" i="92"/>
  <c r="R31" i="92"/>
  <c r="P22" i="92"/>
  <c r="R64" i="92"/>
  <c r="R47" i="92"/>
  <c r="X12" i="92"/>
  <c r="R68" i="92"/>
  <c r="R60" i="92"/>
  <c r="R35" i="92"/>
  <c r="R28" i="92"/>
  <c r="R78" i="92"/>
  <c r="R74" i="92"/>
  <c r="R55" i="92"/>
  <c r="R44" i="92"/>
  <c r="R75" i="92"/>
  <c r="R20" i="92"/>
  <c r="R52" i="92"/>
  <c r="R40" i="92"/>
  <c r="R22" i="92"/>
  <c r="R30" i="92"/>
  <c r="J70" i="89"/>
  <c r="J63" i="89"/>
  <c r="J51" i="89"/>
  <c r="J45" i="89"/>
  <c r="J37" i="89"/>
  <c r="J23" i="89"/>
  <c r="J60" i="89"/>
  <c r="J56" i="89"/>
  <c r="J48" i="89"/>
  <c r="J42" i="89"/>
  <c r="J34" i="89"/>
  <c r="J26" i="89"/>
  <c r="J20" i="89"/>
  <c r="N12" i="89"/>
  <c r="J55" i="89"/>
  <c r="J39" i="89"/>
  <c r="J31" i="89"/>
  <c r="H20" i="89"/>
  <c r="J58" i="89"/>
  <c r="J54" i="89"/>
  <c r="J50" i="89"/>
  <c r="J44" i="89"/>
  <c r="J36" i="89"/>
  <c r="J30" i="89"/>
  <c r="J18" i="89"/>
  <c r="J67" i="89"/>
  <c r="J61" i="89"/>
  <c r="J53" i="89"/>
  <c r="J47" i="89"/>
  <c r="J41" i="89"/>
  <c r="J33" i="89"/>
  <c r="J52" i="89"/>
  <c r="J38" i="89"/>
  <c r="J28" i="89"/>
  <c r="J24" i="89"/>
  <c r="J22" i="89"/>
  <c r="J40" i="89"/>
  <c r="J35" i="89"/>
  <c r="J25" i="89"/>
  <c r="J57" i="89"/>
  <c r="J49" i="89"/>
  <c r="J65" i="89"/>
  <c r="J32" i="89"/>
  <c r="J27" i="89"/>
  <c r="J46" i="89"/>
  <c r="J43" i="89"/>
  <c r="J17" i="89"/>
  <c r="J16" i="89"/>
  <c r="J29" i="89"/>
  <c r="H87" i="86"/>
  <c r="R79" i="82"/>
  <c r="R73" i="82"/>
  <c r="R66" i="82"/>
  <c r="R50" i="82"/>
  <c r="R47" i="82"/>
  <c r="R42" i="82"/>
  <c r="R39" i="82"/>
  <c r="R34" i="82"/>
  <c r="R30" i="82"/>
  <c r="R23" i="82"/>
  <c r="R69" i="82"/>
  <c r="R65" i="82"/>
  <c r="R33" i="82"/>
  <c r="R29" i="82"/>
  <c r="R20" i="82"/>
  <c r="R64" i="82"/>
  <c r="R60" i="82"/>
  <c r="R56" i="82"/>
  <c r="R52" i="82"/>
  <c r="R49" i="82"/>
  <c r="R44" i="82"/>
  <c r="R41" i="82"/>
  <c r="R28" i="82"/>
  <c r="P20" i="82"/>
  <c r="X12" i="82"/>
  <c r="Z12" i="82" s="1"/>
  <c r="R77" i="82"/>
  <c r="R71" i="82"/>
  <c r="R68" i="82"/>
  <c r="R63" i="82"/>
  <c r="R59" i="82"/>
  <c r="R55" i="82"/>
  <c r="R32" i="82"/>
  <c r="R27" i="82"/>
  <c r="R82" i="82"/>
  <c r="R75" i="82"/>
  <c r="R62" i="82"/>
  <c r="R58" i="82"/>
  <c r="R54" i="82"/>
  <c r="R51" i="82"/>
  <c r="R46" i="82"/>
  <c r="R43" i="82"/>
  <c r="R38" i="82"/>
  <c r="R26" i="82"/>
  <c r="R18" i="82"/>
  <c r="R70" i="82"/>
  <c r="R37" i="82"/>
  <c r="R25" i="82"/>
  <c r="R22" i="82"/>
  <c r="R17" i="82"/>
  <c r="R61" i="82"/>
  <c r="R45" i="82"/>
  <c r="R31" i="82"/>
  <c r="R67" i="82"/>
  <c r="R40" i="82"/>
  <c r="R36" i="82"/>
  <c r="R16" i="82"/>
  <c r="R53" i="82"/>
  <c r="R35" i="82"/>
  <c r="R57" i="82"/>
  <c r="R24" i="82"/>
  <c r="R48" i="82"/>
  <c r="D92" i="85"/>
  <c r="J70" i="76"/>
  <c r="J62" i="76"/>
  <c r="J58" i="76"/>
  <c r="J50" i="76"/>
  <c r="J44" i="76"/>
  <c r="J87" i="76"/>
  <c r="J81" i="76"/>
  <c r="J77" i="76"/>
  <c r="J69" i="76"/>
  <c r="J74" i="76"/>
  <c r="J66" i="76"/>
  <c r="J52" i="76"/>
  <c r="J85" i="76"/>
  <c r="J79" i="76"/>
  <c r="J61" i="76"/>
  <c r="J57" i="76"/>
  <c r="J49" i="76"/>
  <c r="J43" i="76"/>
  <c r="J90" i="76"/>
  <c r="J83" i="76"/>
  <c r="J73" i="76"/>
  <c r="J65" i="76"/>
  <c r="J51" i="76"/>
  <c r="J45" i="76"/>
  <c r="J78" i="76"/>
  <c r="J72" i="76"/>
  <c r="J64" i="76"/>
  <c r="J60" i="76"/>
  <c r="J56" i="76"/>
  <c r="J48" i="76"/>
  <c r="J42" i="76"/>
  <c r="J47" i="76"/>
  <c r="J46" i="76"/>
  <c r="J33" i="76"/>
  <c r="J29" i="76"/>
  <c r="J23" i="76"/>
  <c r="J38" i="76"/>
  <c r="J28" i="76"/>
  <c r="J20" i="76"/>
  <c r="N12" i="76"/>
  <c r="J76" i="76"/>
  <c r="J68" i="76"/>
  <c r="J27" i="76"/>
  <c r="H20" i="76"/>
  <c r="J75" i="76"/>
  <c r="J67" i="76"/>
  <c r="J32" i="76"/>
  <c r="J26" i="76"/>
  <c r="J18" i="76"/>
  <c r="J59" i="76"/>
  <c r="J40" i="76"/>
  <c r="J36" i="76"/>
  <c r="J24" i="76"/>
  <c r="J22" i="76"/>
  <c r="J55" i="76"/>
  <c r="J54" i="76"/>
  <c r="J35" i="76"/>
  <c r="J31" i="76"/>
  <c r="J53" i="76"/>
  <c r="J41" i="76"/>
  <c r="J37" i="76"/>
  <c r="J30" i="76"/>
  <c r="J16" i="76"/>
  <c r="J34" i="76"/>
  <c r="J25" i="76"/>
  <c r="J63" i="76"/>
  <c r="J39" i="76"/>
  <c r="J71" i="76"/>
  <c r="J17" i="76"/>
  <c r="R85" i="76"/>
  <c r="R79" i="76"/>
  <c r="R76" i="76"/>
  <c r="R68" i="76"/>
  <c r="R43" i="76"/>
  <c r="R40" i="76"/>
  <c r="R90" i="76"/>
  <c r="R83" i="76"/>
  <c r="R78" i="76"/>
  <c r="R73" i="76"/>
  <c r="R65" i="76"/>
  <c r="R45" i="76"/>
  <c r="R42" i="76"/>
  <c r="R72" i="76"/>
  <c r="R64" i="76"/>
  <c r="R60" i="76"/>
  <c r="R56" i="76"/>
  <c r="R53" i="76"/>
  <c r="R48" i="76"/>
  <c r="R87" i="76"/>
  <c r="R81" i="76"/>
  <c r="R70" i="76"/>
  <c r="R62" i="76"/>
  <c r="R58" i="76"/>
  <c r="R55" i="76"/>
  <c r="R50" i="76"/>
  <c r="R47" i="76"/>
  <c r="R77" i="76"/>
  <c r="R74" i="76"/>
  <c r="R69" i="76"/>
  <c r="R66" i="76"/>
  <c r="R41" i="76"/>
  <c r="R38" i="76"/>
  <c r="R75" i="76"/>
  <c r="R67" i="76"/>
  <c r="R26" i="76"/>
  <c r="R18" i="76"/>
  <c r="R71" i="76"/>
  <c r="R63" i="76"/>
  <c r="R51" i="76"/>
  <c r="R49" i="76"/>
  <c r="R44" i="76"/>
  <c r="R37" i="76"/>
  <c r="R25" i="76"/>
  <c r="R22" i="76"/>
  <c r="R17" i="76"/>
  <c r="R59" i="76"/>
  <c r="R36" i="76"/>
  <c r="R24" i="76"/>
  <c r="R54" i="76"/>
  <c r="R52" i="76"/>
  <c r="R35" i="76"/>
  <c r="R31" i="76"/>
  <c r="R16" i="76"/>
  <c r="R61" i="76"/>
  <c r="R46" i="76"/>
  <c r="R33" i="76"/>
  <c r="R29" i="76"/>
  <c r="R20" i="76"/>
  <c r="R28" i="76"/>
  <c r="P20" i="76"/>
  <c r="X12" i="76"/>
  <c r="Z12" i="76" s="1"/>
  <c r="R34" i="76"/>
  <c r="R30" i="76"/>
  <c r="R57" i="76"/>
  <c r="R39" i="76"/>
  <c r="R23" i="76"/>
  <c r="R32" i="76"/>
  <c r="R27" i="76"/>
  <c r="Z140" i="64"/>
  <c r="J65" i="72"/>
  <c r="J55" i="72"/>
  <c r="J51" i="72"/>
  <c r="J45" i="72"/>
  <c r="J58" i="72"/>
  <c r="J48" i="72"/>
  <c r="J42" i="72"/>
  <c r="J63" i="72"/>
  <c r="J47" i="72"/>
  <c r="J66" i="72"/>
  <c r="J54" i="72"/>
  <c r="J50" i="72"/>
  <c r="J44" i="72"/>
  <c r="J70" i="72"/>
  <c r="J64" i="72"/>
  <c r="J56" i="72"/>
  <c r="J52" i="72"/>
  <c r="J46" i="72"/>
  <c r="J40" i="72"/>
  <c r="J59" i="72"/>
  <c r="J49" i="72"/>
  <c r="J43" i="72"/>
  <c r="J39" i="72"/>
  <c r="J37" i="72"/>
  <c r="J33" i="72"/>
  <c r="J61" i="72"/>
  <c r="J57" i="72"/>
  <c r="J32" i="72"/>
  <c r="H25" i="72"/>
  <c r="J18" i="72"/>
  <c r="J31" i="72"/>
  <c r="J23" i="72"/>
  <c r="J62" i="72"/>
  <c r="J36" i="72"/>
  <c r="J30" i="72"/>
  <c r="J22" i="72"/>
  <c r="J20" i="72"/>
  <c r="N12" i="72"/>
  <c r="J35" i="72"/>
  <c r="J19" i="72"/>
  <c r="J28" i="72"/>
  <c r="J53" i="72"/>
  <c r="J21" i="72"/>
  <c r="J29" i="72"/>
  <c r="J38" i="72"/>
  <c r="J34" i="72"/>
  <c r="J27" i="72"/>
  <c r="J41" i="72"/>
  <c r="J112" i="71"/>
  <c r="J106" i="71"/>
  <c r="J98" i="71"/>
  <c r="J94" i="71"/>
  <c r="J76" i="71"/>
  <c r="J66" i="71"/>
  <c r="J60" i="71"/>
  <c r="J50" i="71"/>
  <c r="J42" i="71"/>
  <c r="J123" i="71"/>
  <c r="J117" i="71"/>
  <c r="J109" i="71"/>
  <c r="J105" i="71"/>
  <c r="J101" i="71"/>
  <c r="J97" i="71"/>
  <c r="J93" i="71"/>
  <c r="J87" i="71"/>
  <c r="J81" i="71"/>
  <c r="J65" i="71"/>
  <c r="J57" i="71"/>
  <c r="J49" i="71"/>
  <c r="J41" i="71"/>
  <c r="J104" i="71"/>
  <c r="J100" i="71"/>
  <c r="J92" i="71"/>
  <c r="J84" i="71"/>
  <c r="J78" i="71"/>
  <c r="J70" i="71"/>
  <c r="J64" i="71"/>
  <c r="H57" i="71"/>
  <c r="J48" i="71"/>
  <c r="J40" i="71"/>
  <c r="J115" i="71"/>
  <c r="J111" i="71"/>
  <c r="J103" i="71"/>
  <c r="J91" i="71"/>
  <c r="J83" i="71"/>
  <c r="J75" i="71"/>
  <c r="J63" i="71"/>
  <c r="J55" i="71"/>
  <c r="J47" i="71"/>
  <c r="J113" i="71"/>
  <c r="J99" i="71"/>
  <c r="J89" i="71"/>
  <c r="J77" i="71"/>
  <c r="J73" i="71"/>
  <c r="J69" i="71"/>
  <c r="J61" i="71"/>
  <c r="J59" i="71"/>
  <c r="J53" i="71"/>
  <c r="J45" i="71"/>
  <c r="J39" i="71"/>
  <c r="J116" i="71"/>
  <c r="J110" i="71"/>
  <c r="J102" i="71"/>
  <c r="J88" i="71"/>
  <c r="J82" i="71"/>
  <c r="J72" i="71"/>
  <c r="J68" i="71"/>
  <c r="J52" i="71"/>
  <c r="J44" i="71"/>
  <c r="N12" i="71"/>
  <c r="J86" i="71"/>
  <c r="J67" i="71"/>
  <c r="J108" i="71"/>
  <c r="J107" i="71"/>
  <c r="J62" i="71"/>
  <c r="J96" i="71"/>
  <c r="J95" i="71"/>
  <c r="J74" i="71"/>
  <c r="J71" i="71"/>
  <c r="J54" i="71"/>
  <c r="J51" i="71"/>
  <c r="J118" i="71"/>
  <c r="J90" i="71"/>
  <c r="J119" i="71"/>
  <c r="J80" i="71"/>
  <c r="J79" i="71"/>
  <c r="J43" i="71"/>
  <c r="J46" i="71"/>
  <c r="J85" i="71"/>
  <c r="N17" i="62"/>
  <c r="H107" i="62"/>
  <c r="J124" i="66"/>
  <c r="J118" i="66"/>
  <c r="J114" i="66"/>
  <c r="J110" i="66"/>
  <c r="J106" i="66"/>
  <c r="J96" i="66"/>
  <c r="J90" i="66"/>
  <c r="J84" i="66"/>
  <c r="J78" i="66"/>
  <c r="J74" i="66"/>
  <c r="J58" i="66"/>
  <c r="J50" i="66"/>
  <c r="J44" i="66"/>
  <c r="J129" i="66"/>
  <c r="J121" i="66"/>
  <c r="J117" i="66"/>
  <c r="J113" i="66"/>
  <c r="J109" i="66"/>
  <c r="J105" i="66"/>
  <c r="J77" i="66"/>
  <c r="J73" i="66"/>
  <c r="J57" i="66"/>
  <c r="J49" i="66"/>
  <c r="J120" i="66"/>
  <c r="J116" i="66"/>
  <c r="J104" i="66"/>
  <c r="J98" i="66"/>
  <c r="J92" i="66"/>
  <c r="J86" i="66"/>
  <c r="J72" i="66"/>
  <c r="J66" i="66"/>
  <c r="J56" i="66"/>
  <c r="J48" i="66"/>
  <c r="J127" i="66"/>
  <c r="J123" i="66"/>
  <c r="J103" i="66"/>
  <c r="J95" i="66"/>
  <c r="J89" i="66"/>
  <c r="J83" i="66"/>
  <c r="J71" i="66"/>
  <c r="J55" i="66"/>
  <c r="J47" i="66"/>
  <c r="J125" i="66"/>
  <c r="J119" i="66"/>
  <c r="J115" i="66"/>
  <c r="J101" i="66"/>
  <c r="J97" i="66"/>
  <c r="J91" i="66"/>
  <c r="J85" i="66"/>
  <c r="J81" i="66"/>
  <c r="J69" i="66"/>
  <c r="J61" i="66"/>
  <c r="J53" i="66"/>
  <c r="J45" i="66"/>
  <c r="J134" i="66"/>
  <c r="J128" i="66"/>
  <c r="J122" i="66"/>
  <c r="J100" i="66"/>
  <c r="J88" i="66"/>
  <c r="J80" i="66"/>
  <c r="J68" i="66"/>
  <c r="J60" i="66"/>
  <c r="J52" i="66"/>
  <c r="N12" i="66"/>
  <c r="J93" i="66"/>
  <c r="J87" i="66"/>
  <c r="H63" i="66"/>
  <c r="J63" i="66" s="1"/>
  <c r="J59" i="66"/>
  <c r="J130" i="66"/>
  <c r="J54" i="66"/>
  <c r="J51" i="66"/>
  <c r="J108" i="66"/>
  <c r="J107" i="66"/>
  <c r="J75" i="66"/>
  <c r="J112" i="66"/>
  <c r="J82" i="66"/>
  <c r="J79" i="66"/>
  <c r="J70" i="66"/>
  <c r="J67" i="66"/>
  <c r="J111" i="66"/>
  <c r="J102" i="66"/>
  <c r="J76" i="66"/>
  <c r="J46" i="66"/>
  <c r="J65" i="66"/>
  <c r="J99" i="66"/>
  <c r="J94" i="66"/>
  <c r="T61" i="59"/>
  <c r="Z16" i="59"/>
  <c r="H74" i="58"/>
  <c r="N16" i="58"/>
  <c r="D107" i="62"/>
  <c r="L17" i="62"/>
  <c r="V128" i="66"/>
  <c r="V122" i="66"/>
  <c r="V102" i="66"/>
  <c r="V94" i="66"/>
  <c r="V82" i="66"/>
  <c r="V70" i="66"/>
  <c r="V54" i="66"/>
  <c r="V46" i="66"/>
  <c r="V125" i="66"/>
  <c r="V101" i="66"/>
  <c r="V97" i="66"/>
  <c r="V93" i="66"/>
  <c r="V85" i="66"/>
  <c r="V81" i="66"/>
  <c r="V69" i="66"/>
  <c r="V65" i="66"/>
  <c r="V61" i="66"/>
  <c r="V53" i="66"/>
  <c r="V45" i="66"/>
  <c r="V134" i="66"/>
  <c r="V124" i="66"/>
  <c r="V100" i="66"/>
  <c r="V96" i="66"/>
  <c r="V88" i="66"/>
  <c r="V84" i="66"/>
  <c r="V80" i="66"/>
  <c r="V68" i="66"/>
  <c r="V60" i="66"/>
  <c r="V52" i="66"/>
  <c r="V44" i="66"/>
  <c r="Z12" i="66"/>
  <c r="V129" i="66"/>
  <c r="V111" i="66"/>
  <c r="V107" i="66"/>
  <c r="V99" i="66"/>
  <c r="V87" i="66"/>
  <c r="V79" i="66"/>
  <c r="V75" i="66"/>
  <c r="V67" i="66"/>
  <c r="V59" i="66"/>
  <c r="V51" i="66"/>
  <c r="V127" i="66"/>
  <c r="V121" i="66"/>
  <c r="V117" i="66"/>
  <c r="V113" i="66"/>
  <c r="V109" i="66"/>
  <c r="V105" i="66"/>
  <c r="V89" i="66"/>
  <c r="V77" i="66"/>
  <c r="V73" i="66"/>
  <c r="V57" i="66"/>
  <c r="V49" i="66"/>
  <c r="V130" i="66"/>
  <c r="V120" i="66"/>
  <c r="V116" i="66"/>
  <c r="V112" i="66"/>
  <c r="V108" i="66"/>
  <c r="V104" i="66"/>
  <c r="V92" i="66"/>
  <c r="V76" i="66"/>
  <c r="V72" i="66"/>
  <c r="T63" i="66"/>
  <c r="V63" i="66" s="1"/>
  <c r="V56" i="66"/>
  <c r="V48" i="66"/>
  <c r="V103" i="66"/>
  <c r="V74" i="66"/>
  <c r="V66" i="66"/>
  <c r="V115" i="66"/>
  <c r="V106" i="66"/>
  <c r="V98" i="66"/>
  <c r="V78" i="66"/>
  <c r="V119" i="66"/>
  <c r="V91" i="66"/>
  <c r="V86" i="66"/>
  <c r="V95" i="66"/>
  <c r="V47" i="66"/>
  <c r="V50" i="66"/>
  <c r="V71" i="66"/>
  <c r="V118" i="66"/>
  <c r="V83" i="66"/>
  <c r="V58" i="66"/>
  <c r="V123" i="66"/>
  <c r="V90" i="66"/>
  <c r="V110" i="66"/>
  <c r="V114" i="66"/>
  <c r="V55" i="66"/>
  <c r="D62" i="63"/>
  <c r="R134" i="64"/>
  <c r="R126" i="64"/>
  <c r="R118" i="64"/>
  <c r="R110" i="64"/>
  <c r="R102" i="64"/>
  <c r="R99" i="64"/>
  <c r="R90" i="64"/>
  <c r="R86" i="64"/>
  <c r="R140" i="64"/>
  <c r="R133" i="64"/>
  <c r="R129" i="64"/>
  <c r="R125" i="64"/>
  <c r="R122" i="64"/>
  <c r="R117" i="64"/>
  <c r="R109" i="64"/>
  <c r="R93" i="64"/>
  <c r="R89" i="64"/>
  <c r="R85" i="64"/>
  <c r="R78" i="64"/>
  <c r="R136" i="64"/>
  <c r="R132" i="64"/>
  <c r="R128" i="64"/>
  <c r="R116" i="64"/>
  <c r="R108" i="64"/>
  <c r="R101" i="64"/>
  <c r="R88" i="64"/>
  <c r="R84" i="64"/>
  <c r="R131" i="64"/>
  <c r="R124" i="64"/>
  <c r="R115" i="64"/>
  <c r="R107" i="64"/>
  <c r="R95" i="64"/>
  <c r="R92" i="64"/>
  <c r="R130" i="64"/>
  <c r="R121" i="64"/>
  <c r="R113" i="64"/>
  <c r="R105" i="64"/>
  <c r="R97" i="64"/>
  <c r="R94" i="64"/>
  <c r="R81" i="64"/>
  <c r="R137" i="64"/>
  <c r="R120" i="64"/>
  <c r="R112" i="64"/>
  <c r="R104" i="64"/>
  <c r="R100" i="64"/>
  <c r="R80" i="64"/>
  <c r="R77" i="64"/>
  <c r="R96" i="64"/>
  <c r="R79" i="64"/>
  <c r="R68" i="64"/>
  <c r="R60" i="64"/>
  <c r="R52" i="64"/>
  <c r="X12" i="64"/>
  <c r="Z12" i="64" s="1"/>
  <c r="R145" i="64"/>
  <c r="R141" i="64"/>
  <c r="R67" i="64"/>
  <c r="R59" i="64"/>
  <c r="R127" i="64"/>
  <c r="P75" i="64"/>
  <c r="R66" i="64"/>
  <c r="R58" i="64"/>
  <c r="R51" i="64"/>
  <c r="R138" i="64"/>
  <c r="R87" i="64"/>
  <c r="R71" i="64"/>
  <c r="R63" i="64"/>
  <c r="R55" i="64"/>
  <c r="R135" i="64"/>
  <c r="R123" i="64"/>
  <c r="R119" i="64"/>
  <c r="R111" i="64"/>
  <c r="R103" i="64"/>
  <c r="R83" i="64"/>
  <c r="R82" i="64"/>
  <c r="R70" i="64"/>
  <c r="R62" i="64"/>
  <c r="R54" i="64"/>
  <c r="R106" i="64"/>
  <c r="R98" i="64"/>
  <c r="R114" i="64"/>
  <c r="R65" i="64"/>
  <c r="R64" i="64"/>
  <c r="R91" i="64"/>
  <c r="R73" i="64"/>
  <c r="R72" i="64"/>
  <c r="R69" i="64"/>
  <c r="R61" i="64"/>
  <c r="R57" i="64"/>
  <c r="R56" i="64"/>
  <c r="R53" i="64"/>
  <c r="V116" i="71"/>
  <c r="V110" i="71"/>
  <c r="V102" i="71"/>
  <c r="V90" i="71"/>
  <c r="V86" i="71"/>
  <c r="V82" i="71"/>
  <c r="V74" i="71"/>
  <c r="V62" i="71"/>
  <c r="V54" i="71"/>
  <c r="V46" i="71"/>
  <c r="V119" i="71"/>
  <c r="V113" i="71"/>
  <c r="V89" i="71"/>
  <c r="V85" i="71"/>
  <c r="V77" i="71"/>
  <c r="V73" i="71"/>
  <c r="V69" i="71"/>
  <c r="V61" i="71"/>
  <c r="V53" i="71"/>
  <c r="V45" i="71"/>
  <c r="V112" i="71"/>
  <c r="V88" i="71"/>
  <c r="V76" i="71"/>
  <c r="V72" i="71"/>
  <c r="V68" i="71"/>
  <c r="V60" i="71"/>
  <c r="V52" i="71"/>
  <c r="V44" i="71"/>
  <c r="V117" i="71"/>
  <c r="V107" i="71"/>
  <c r="V95" i="71"/>
  <c r="V87" i="71"/>
  <c r="V79" i="71"/>
  <c r="V71" i="71"/>
  <c r="V67" i="71"/>
  <c r="V51" i="71"/>
  <c r="V43" i="71"/>
  <c r="V123" i="71"/>
  <c r="V115" i="71"/>
  <c r="V109" i="71"/>
  <c r="V105" i="71"/>
  <c r="V101" i="71"/>
  <c r="V97" i="71"/>
  <c r="V93" i="71"/>
  <c r="V81" i="71"/>
  <c r="V65" i="71"/>
  <c r="V49" i="71"/>
  <c r="V41" i="71"/>
  <c r="V118" i="71"/>
  <c r="V108" i="71"/>
  <c r="V104" i="71"/>
  <c r="V100" i="71"/>
  <c r="V96" i="71"/>
  <c r="V92" i="71"/>
  <c r="V84" i="71"/>
  <c r="V80" i="71"/>
  <c r="V64" i="71"/>
  <c r="V48" i="71"/>
  <c r="V40" i="71"/>
  <c r="V42" i="71"/>
  <c r="V83" i="71"/>
  <c r="V75" i="71"/>
  <c r="V63" i="71"/>
  <c r="V55" i="71"/>
  <c r="V99" i="71"/>
  <c r="V91" i="71"/>
  <c r="V70" i="71"/>
  <c r="V66" i="71"/>
  <c r="V106" i="71"/>
  <c r="V103" i="71"/>
  <c r="T57" i="71"/>
  <c r="V57" i="71" s="1"/>
  <c r="V47" i="71"/>
  <c r="V39" i="71"/>
  <c r="V98" i="71"/>
  <c r="V78" i="71"/>
  <c r="V50" i="71"/>
  <c r="V94" i="71"/>
  <c r="V59" i="71"/>
  <c r="V111" i="71"/>
  <c r="R113" i="69"/>
  <c r="R105" i="69"/>
  <c r="R93" i="69"/>
  <c r="R89" i="69"/>
  <c r="R73" i="69"/>
  <c r="R65" i="69"/>
  <c r="R57" i="69"/>
  <c r="R143" i="69"/>
  <c r="R137" i="69"/>
  <c r="R132" i="69"/>
  <c r="R120" i="69"/>
  <c r="R117" i="69"/>
  <c r="R112" i="69"/>
  <c r="R108" i="69"/>
  <c r="R101" i="69"/>
  <c r="R88" i="69"/>
  <c r="P80" i="69"/>
  <c r="R80" i="69" s="1"/>
  <c r="R72" i="69"/>
  <c r="R64" i="69"/>
  <c r="R56" i="69"/>
  <c r="R131" i="69"/>
  <c r="R123" i="69"/>
  <c r="R111" i="69"/>
  <c r="R107" i="69"/>
  <c r="R104" i="69"/>
  <c r="R92" i="69"/>
  <c r="R87" i="69"/>
  <c r="R71" i="69"/>
  <c r="R63" i="69"/>
  <c r="R55" i="69"/>
  <c r="R141" i="69"/>
  <c r="R134" i="69"/>
  <c r="R130" i="69"/>
  <c r="R126" i="69"/>
  <c r="R122" i="69"/>
  <c r="R119" i="69"/>
  <c r="R110" i="69"/>
  <c r="R98" i="69"/>
  <c r="R86" i="69"/>
  <c r="R78" i="69"/>
  <c r="R70" i="69"/>
  <c r="R62" i="69"/>
  <c r="R54" i="69"/>
  <c r="R136" i="69"/>
  <c r="R133" i="69"/>
  <c r="R128" i="69"/>
  <c r="R121" i="69"/>
  <c r="R116" i="69"/>
  <c r="R109" i="69"/>
  <c r="R100" i="69"/>
  <c r="R96" i="69"/>
  <c r="R84" i="69"/>
  <c r="R76" i="69"/>
  <c r="R68" i="69"/>
  <c r="R60" i="69"/>
  <c r="R53" i="69"/>
  <c r="X12" i="69"/>
  <c r="R142" i="69"/>
  <c r="R139" i="69"/>
  <c r="R124" i="69"/>
  <c r="R115" i="69"/>
  <c r="R103" i="69"/>
  <c r="R95" i="69"/>
  <c r="R91" i="69"/>
  <c r="R75" i="69"/>
  <c r="R67" i="69"/>
  <c r="R59" i="69"/>
  <c r="R114" i="69"/>
  <c r="R106" i="69"/>
  <c r="R97" i="69"/>
  <c r="R77" i="69"/>
  <c r="R118" i="69"/>
  <c r="R94" i="69"/>
  <c r="R82" i="69"/>
  <c r="R74" i="69"/>
  <c r="R138" i="69"/>
  <c r="R102" i="69"/>
  <c r="R148" i="69"/>
  <c r="R144" i="69"/>
  <c r="R127" i="69"/>
  <c r="R83" i="69"/>
  <c r="R99" i="69"/>
  <c r="R69" i="69"/>
  <c r="R135" i="69"/>
  <c r="R129" i="69"/>
  <c r="R125" i="69"/>
  <c r="R66" i="69"/>
  <c r="R61" i="69"/>
  <c r="R58" i="69"/>
  <c r="R90" i="69"/>
  <c r="R85" i="69"/>
  <c r="J147" i="64"/>
  <c r="J141" i="64"/>
  <c r="J135" i="64"/>
  <c r="J127" i="64"/>
  <c r="J121" i="64"/>
  <c r="J113" i="64"/>
  <c r="J105" i="64"/>
  <c r="J97" i="64"/>
  <c r="J87" i="64"/>
  <c r="J81" i="64"/>
  <c r="J130" i="64"/>
  <c r="J120" i="64"/>
  <c r="J112" i="64"/>
  <c r="J104" i="64"/>
  <c r="J100" i="64"/>
  <c r="J94" i="64"/>
  <c r="J80" i="64"/>
  <c r="J145" i="64"/>
  <c r="J137" i="64"/>
  <c r="J123" i="64"/>
  <c r="J119" i="64"/>
  <c r="J111" i="64"/>
  <c r="J103" i="64"/>
  <c r="J91" i="64"/>
  <c r="J79" i="64"/>
  <c r="J77" i="64"/>
  <c r="J134" i="64"/>
  <c r="J126" i="64"/>
  <c r="J118" i="64"/>
  <c r="J110" i="64"/>
  <c r="J102" i="64"/>
  <c r="J96" i="64"/>
  <c r="J90" i="64"/>
  <c r="J86" i="64"/>
  <c r="J140" i="64"/>
  <c r="J136" i="64"/>
  <c r="J132" i="64"/>
  <c r="J128" i="64"/>
  <c r="J122" i="64"/>
  <c r="J116" i="64"/>
  <c r="J108" i="64"/>
  <c r="J88" i="64"/>
  <c r="J84" i="64"/>
  <c r="J131" i="64"/>
  <c r="J115" i="64"/>
  <c r="J107" i="64"/>
  <c r="J101" i="64"/>
  <c r="J95" i="64"/>
  <c r="J83" i="64"/>
  <c r="J75" i="64"/>
  <c r="J138" i="64"/>
  <c r="J124" i="64"/>
  <c r="J71" i="64"/>
  <c r="J63" i="64"/>
  <c r="J55" i="64"/>
  <c r="J125" i="64"/>
  <c r="J92" i="64"/>
  <c r="J82" i="64"/>
  <c r="J70" i="64"/>
  <c r="J62" i="64"/>
  <c r="J54" i="64"/>
  <c r="J117" i="64"/>
  <c r="J114" i="64"/>
  <c r="J109" i="64"/>
  <c r="J106" i="64"/>
  <c r="J69" i="64"/>
  <c r="J61" i="64"/>
  <c r="J53" i="64"/>
  <c r="J89" i="64"/>
  <c r="J85" i="64"/>
  <c r="H75" i="64"/>
  <c r="J66" i="64"/>
  <c r="J58" i="64"/>
  <c r="J143" i="64"/>
  <c r="J133" i="64"/>
  <c r="J99" i="64"/>
  <c r="J73" i="64"/>
  <c r="J65" i="64"/>
  <c r="J57" i="64"/>
  <c r="J51" i="64"/>
  <c r="J64" i="64"/>
  <c r="J60" i="64"/>
  <c r="J78" i="64"/>
  <c r="J72" i="64"/>
  <c r="J56" i="64"/>
  <c r="J52" i="64"/>
  <c r="N12" i="64"/>
  <c r="J98" i="64"/>
  <c r="J150" i="64"/>
  <c r="J129" i="64"/>
  <c r="J93" i="64"/>
  <c r="J67" i="64"/>
  <c r="J59" i="64"/>
  <c r="J68" i="64"/>
  <c r="X16" i="63"/>
  <c r="P58" i="63"/>
  <c r="X18" i="47"/>
  <c r="P27" i="47"/>
  <c r="H69" i="48"/>
  <c r="L18" i="53"/>
  <c r="D27" i="53"/>
  <c r="P70" i="56"/>
  <c r="X16" i="56"/>
  <c r="X119" i="42"/>
  <c r="Z119" i="42" s="1"/>
  <c r="H27" i="44"/>
  <c r="N18" i="44"/>
  <c r="P65" i="59"/>
  <c r="X61" i="59"/>
  <c r="P73" i="48"/>
  <c r="L18" i="50"/>
  <c r="D27" i="50"/>
  <c r="N122" i="36"/>
  <c r="L122" i="36"/>
  <c r="L18" i="44"/>
  <c r="D27" i="44"/>
  <c r="L18" i="34"/>
  <c r="D27" i="34"/>
  <c r="J122" i="36"/>
  <c r="T27" i="32"/>
  <c r="Z18" i="32"/>
  <c r="X18" i="31"/>
  <c r="P27" i="31"/>
  <c r="T27" i="26"/>
  <c r="Z18" i="26"/>
  <c r="V103" i="33"/>
  <c r="V89" i="33"/>
  <c r="V81" i="33"/>
  <c r="V77" i="33"/>
  <c r="V73" i="33"/>
  <c r="V61" i="33"/>
  <c r="V53" i="33"/>
  <c r="V49" i="33"/>
  <c r="V98" i="33"/>
  <c r="V92" i="33"/>
  <c r="V88" i="33"/>
  <c r="V80" i="33"/>
  <c r="V76" i="33"/>
  <c r="V72" i="33"/>
  <c r="V64" i="33"/>
  <c r="V48" i="33"/>
  <c r="V101" i="33"/>
  <c r="V91" i="33"/>
  <c r="V87" i="33"/>
  <c r="V83" i="33"/>
  <c r="V63" i="33"/>
  <c r="V47" i="33"/>
  <c r="V43" i="33"/>
  <c r="V39" i="33"/>
  <c r="V104" i="33"/>
  <c r="V94" i="33"/>
  <c r="V86" i="33"/>
  <c r="V82" i="33"/>
  <c r="V66" i="33"/>
  <c r="V58" i="33"/>
  <c r="V46" i="33"/>
  <c r="V38" i="33"/>
  <c r="V99" i="33"/>
  <c r="V93" i="33"/>
  <c r="V85" i="33"/>
  <c r="V69" i="33"/>
  <c r="V65" i="33"/>
  <c r="V57" i="33"/>
  <c r="V45" i="33"/>
  <c r="V37" i="33"/>
  <c r="V102" i="33"/>
  <c r="V96" i="33"/>
  <c r="V84" i="33"/>
  <c r="V68" i="33"/>
  <c r="V60" i="33"/>
  <c r="V56" i="33"/>
  <c r="V52" i="33"/>
  <c r="V44" i="33"/>
  <c r="V36" i="33"/>
  <c r="Z12" i="33"/>
  <c r="V108" i="33"/>
  <c r="V100" i="33"/>
  <c r="V90" i="33"/>
  <c r="V78" i="33"/>
  <c r="V74" i="33"/>
  <c r="V70" i="33"/>
  <c r="V62" i="33"/>
  <c r="V54" i="33"/>
  <c r="V50" i="33"/>
  <c r="T41" i="33"/>
  <c r="V34" i="33"/>
  <c r="V75" i="33"/>
  <c r="V79" i="33"/>
  <c r="V71" i="33"/>
  <c r="V41" i="33"/>
  <c r="V51" i="33"/>
  <c r="V95" i="33"/>
  <c r="V67" i="33"/>
  <c r="V59" i="33"/>
  <c r="V55" i="33"/>
  <c r="V35" i="33"/>
  <c r="R128" i="27"/>
  <c r="R121" i="27"/>
  <c r="R117" i="27"/>
  <c r="R105" i="27"/>
  <c r="R93" i="27"/>
  <c r="R90" i="27"/>
  <c r="R73" i="27"/>
  <c r="R64" i="27"/>
  <c r="R57" i="27"/>
  <c r="R49" i="27"/>
  <c r="R131" i="27"/>
  <c r="R124" i="27"/>
  <c r="R113" i="27"/>
  <c r="R109" i="27"/>
  <c r="R104" i="27"/>
  <c r="R96" i="27"/>
  <c r="R84" i="27"/>
  <c r="R77" i="27"/>
  <c r="R72" i="27"/>
  <c r="P64" i="27"/>
  <c r="R56" i="27"/>
  <c r="R48" i="27"/>
  <c r="R120" i="27"/>
  <c r="R116" i="27"/>
  <c r="R103" i="27"/>
  <c r="R95" i="27"/>
  <c r="R92" i="27"/>
  <c r="R83" i="27"/>
  <c r="R71" i="27"/>
  <c r="R55" i="27"/>
  <c r="R47" i="27"/>
  <c r="R129" i="27"/>
  <c r="R126" i="27"/>
  <c r="R123" i="27"/>
  <c r="R102" i="27"/>
  <c r="R98" i="27"/>
  <c r="R86" i="27"/>
  <c r="R82" i="27"/>
  <c r="R70" i="27"/>
  <c r="R62" i="27"/>
  <c r="R54" i="27"/>
  <c r="R46" i="27"/>
  <c r="R135" i="27"/>
  <c r="R101" i="27"/>
  <c r="R94" i="27"/>
  <c r="R89" i="27"/>
  <c r="R81" i="27"/>
  <c r="R69" i="27"/>
  <c r="R66" i="27"/>
  <c r="R61" i="27"/>
  <c r="R53" i="27"/>
  <c r="R125" i="27"/>
  <c r="R112" i="27"/>
  <c r="R108" i="27"/>
  <c r="R100" i="27"/>
  <c r="R97" i="27"/>
  <c r="R88" i="27"/>
  <c r="R85" i="27"/>
  <c r="R80" i="27"/>
  <c r="R76" i="27"/>
  <c r="R68" i="27"/>
  <c r="R60" i="27"/>
  <c r="R52" i="27"/>
  <c r="R45" i="27"/>
  <c r="X12" i="27"/>
  <c r="Z12" i="27" s="1"/>
  <c r="R130" i="27"/>
  <c r="R119" i="27"/>
  <c r="R115" i="27"/>
  <c r="R111" i="27"/>
  <c r="R107" i="27"/>
  <c r="R91" i="27"/>
  <c r="R79" i="27"/>
  <c r="R75" i="27"/>
  <c r="R59" i="27"/>
  <c r="R51" i="27"/>
  <c r="R122" i="27"/>
  <c r="R118" i="27"/>
  <c r="R114" i="27"/>
  <c r="R110" i="27"/>
  <c r="R106" i="27"/>
  <c r="R99" i="27"/>
  <c r="R87" i="27"/>
  <c r="R78" i="27"/>
  <c r="R74" i="27"/>
  <c r="R67" i="27"/>
  <c r="R58" i="27"/>
  <c r="R50" i="27"/>
  <c r="L64" i="27"/>
  <c r="D133" i="27"/>
  <c r="T27" i="19"/>
  <c r="Z18" i="19"/>
  <c r="X18" i="20"/>
  <c r="P27" i="20"/>
  <c r="X18" i="22"/>
  <c r="P27" i="22"/>
  <c r="H106" i="21"/>
  <c r="H27" i="10"/>
  <c r="N18" i="10"/>
  <c r="D31" i="13"/>
  <c r="L27" i="13"/>
  <c r="T27" i="11"/>
  <c r="Z18" i="11"/>
  <c r="T27" i="17"/>
  <c r="Z18" i="17"/>
  <c r="T27" i="10"/>
  <c r="Z18" i="10"/>
  <c r="T106" i="21"/>
  <c r="X193" i="18"/>
  <c r="P336" i="18"/>
  <c r="T27" i="8"/>
  <c r="X27" i="8" s="1"/>
  <c r="Z18" i="8"/>
  <c r="X27" i="7"/>
  <c r="P31" i="7"/>
  <c r="X18" i="8"/>
  <c r="T36" i="7"/>
  <c r="Z36" i="7" s="1"/>
  <c r="Z31" i="7"/>
  <c r="N66" i="97"/>
  <c r="X18" i="98"/>
  <c r="P27" i="98"/>
  <c r="L66" i="97"/>
  <c r="J55" i="97"/>
  <c r="J51" i="97"/>
  <c r="J71" i="97"/>
  <c r="J63" i="97"/>
  <c r="J53" i="97"/>
  <c r="J47" i="97"/>
  <c r="J41" i="97"/>
  <c r="J59" i="97"/>
  <c r="J49" i="97"/>
  <c r="J43" i="97"/>
  <c r="J66" i="97"/>
  <c r="J62" i="97"/>
  <c r="J58" i="97"/>
  <c r="J46" i="97"/>
  <c r="J40" i="97"/>
  <c r="J61" i="97"/>
  <c r="J52" i="97"/>
  <c r="J35" i="97"/>
  <c r="J23" i="97"/>
  <c r="J60" i="97"/>
  <c r="J45" i="97"/>
  <c r="J39" i="97"/>
  <c r="J34" i="97"/>
  <c r="J22" i="97"/>
  <c r="J67" i="97"/>
  <c r="J64" i="97"/>
  <c r="J54" i="97"/>
  <c r="J42" i="97"/>
  <c r="J38" i="97"/>
  <c r="J33" i="97"/>
  <c r="J29" i="97"/>
  <c r="J21" i="97"/>
  <c r="J19" i="97"/>
  <c r="J15" i="97"/>
  <c r="J57" i="97"/>
  <c r="J48" i="97"/>
  <c r="J44" i="97"/>
  <c r="J37" i="97"/>
  <c r="J32" i="97"/>
  <c r="J28" i="97"/>
  <c r="J36" i="97"/>
  <c r="J26" i="97"/>
  <c r="J20" i="97"/>
  <c r="J50" i="97"/>
  <c r="J25" i="97"/>
  <c r="J56" i="97"/>
  <c r="J31" i="97"/>
  <c r="J27" i="97"/>
  <c r="J24" i="97"/>
  <c r="H17" i="97"/>
  <c r="J17" i="97" s="1"/>
  <c r="J30" i="97"/>
  <c r="R72" i="94"/>
  <c r="R64" i="94"/>
  <c r="R60" i="94"/>
  <c r="R57" i="94"/>
  <c r="R84" i="94"/>
  <c r="R79" i="94"/>
  <c r="R71" i="94"/>
  <c r="R68" i="94"/>
  <c r="R78" i="94"/>
  <c r="R63" i="94"/>
  <c r="R88" i="94"/>
  <c r="R81" i="94"/>
  <c r="R77" i="94"/>
  <c r="R70" i="94"/>
  <c r="R83" i="94"/>
  <c r="R80" i="94"/>
  <c r="R75" i="94"/>
  <c r="R67" i="94"/>
  <c r="R92" i="94"/>
  <c r="R86" i="94"/>
  <c r="R74" i="94"/>
  <c r="R66" i="94"/>
  <c r="R62" i="94"/>
  <c r="R58" i="94"/>
  <c r="R55" i="94"/>
  <c r="R76" i="94"/>
  <c r="R69" i="94"/>
  <c r="R51" i="94"/>
  <c r="R46" i="94"/>
  <c r="R43" i="94"/>
  <c r="R30" i="94"/>
  <c r="R21" i="94"/>
  <c r="R34" i="94"/>
  <c r="R29" i="94"/>
  <c r="P21" i="94"/>
  <c r="R65" i="94"/>
  <c r="R59" i="94"/>
  <c r="R54" i="94"/>
  <c r="R48" i="94"/>
  <c r="R45" i="94"/>
  <c r="R40" i="94"/>
  <c r="R28" i="94"/>
  <c r="X12" i="94"/>
  <c r="Z12" i="94" s="1"/>
  <c r="R53" i="94"/>
  <c r="R39" i="94"/>
  <c r="R27" i="94"/>
  <c r="R19" i="94"/>
  <c r="R85" i="94"/>
  <c r="R61" i="94"/>
  <c r="R50" i="94"/>
  <c r="R47" i="94"/>
  <c r="R42" i="94"/>
  <c r="R38" i="94"/>
  <c r="R26" i="94"/>
  <c r="R23" i="94"/>
  <c r="R18" i="94"/>
  <c r="R37" i="94"/>
  <c r="R33" i="94"/>
  <c r="R25" i="94"/>
  <c r="R31" i="94"/>
  <c r="R35" i="94"/>
  <c r="R24" i="94"/>
  <c r="R82" i="94"/>
  <c r="R52" i="94"/>
  <c r="R32" i="94"/>
  <c r="R56" i="94"/>
  <c r="R49" i="94"/>
  <c r="R36" i="94"/>
  <c r="R44" i="94"/>
  <c r="R17" i="94"/>
  <c r="R73" i="94"/>
  <c r="R41" i="94"/>
  <c r="H84" i="95"/>
  <c r="T94" i="94"/>
  <c r="N80" i="90"/>
  <c r="L80" i="90"/>
  <c r="H86" i="92"/>
  <c r="F90" i="92"/>
  <c r="F93" i="92"/>
  <c r="F69" i="92"/>
  <c r="F65" i="92"/>
  <c r="F61" i="92"/>
  <c r="F56" i="92"/>
  <c r="F53" i="92"/>
  <c r="F48" i="92"/>
  <c r="F45" i="92"/>
  <c r="F37" i="92"/>
  <c r="F33" i="92"/>
  <c r="F24" i="92"/>
  <c r="F79" i="92"/>
  <c r="F76" i="92"/>
  <c r="F86" i="92"/>
  <c r="F75" i="92"/>
  <c r="F58" i="92"/>
  <c r="F55" i="92"/>
  <c r="F50" i="92"/>
  <c r="F47" i="92"/>
  <c r="F42" i="92"/>
  <c r="F31" i="92"/>
  <c r="F18" i="92"/>
  <c r="F81" i="92"/>
  <c r="F78" i="92"/>
  <c r="F74" i="92"/>
  <c r="F30" i="92"/>
  <c r="F25" i="92"/>
  <c r="F73" i="92"/>
  <c r="F68" i="92"/>
  <c r="F64" i="92"/>
  <c r="F60" i="92"/>
  <c r="F57" i="92"/>
  <c r="F52" i="92"/>
  <c r="F49" i="92"/>
  <c r="F44" i="92"/>
  <c r="F41" i="92"/>
  <c r="F29" i="92"/>
  <c r="F22" i="92"/>
  <c r="F80" i="92"/>
  <c r="F72" i="92"/>
  <c r="F40" i="92"/>
  <c r="F35" i="92"/>
  <c r="F28" i="92"/>
  <c r="D22" i="92"/>
  <c r="F20" i="92"/>
  <c r="L12" i="92"/>
  <c r="N12" i="92" s="1"/>
  <c r="F66" i="92"/>
  <c r="F62" i="92"/>
  <c r="F46" i="92"/>
  <c r="F27" i="92"/>
  <c r="F82" i="92"/>
  <c r="F70" i="92"/>
  <c r="F77" i="92"/>
  <c r="F67" i="92"/>
  <c r="F63" i="92"/>
  <c r="F59" i="92"/>
  <c r="F54" i="92"/>
  <c r="F34" i="92"/>
  <c r="F84" i="92"/>
  <c r="F71" i="92"/>
  <c r="F19" i="92"/>
  <c r="F88" i="92"/>
  <c r="F43" i="92"/>
  <c r="F38" i="92"/>
  <c r="F32" i="92"/>
  <c r="F39" i="92"/>
  <c r="F51" i="92"/>
  <c r="F36" i="92"/>
  <c r="F26" i="92"/>
  <c r="L20" i="86"/>
  <c r="N20" i="86" s="1"/>
  <c r="D87" i="86"/>
  <c r="T97" i="81"/>
  <c r="Z16" i="81"/>
  <c r="F62" i="82"/>
  <c r="F58" i="82"/>
  <c r="F54" i="82"/>
  <c r="F49" i="82"/>
  <c r="F46" i="82"/>
  <c r="F41" i="82"/>
  <c r="F38" i="82"/>
  <c r="F26" i="82"/>
  <c r="D20" i="82"/>
  <c r="F18" i="82"/>
  <c r="F68" i="82"/>
  <c r="F37" i="82"/>
  <c r="F32" i="82"/>
  <c r="F25" i="82"/>
  <c r="F17" i="82"/>
  <c r="F82" i="82"/>
  <c r="F75" i="82"/>
  <c r="F51" i="82"/>
  <c r="F48" i="82"/>
  <c r="F43" i="82"/>
  <c r="F40" i="82"/>
  <c r="F36" i="82"/>
  <c r="F24" i="82"/>
  <c r="F70" i="82"/>
  <c r="F67" i="82"/>
  <c r="F35" i="82"/>
  <c r="F31" i="82"/>
  <c r="F22" i="82"/>
  <c r="F66" i="82"/>
  <c r="F61" i="82"/>
  <c r="F57" i="82"/>
  <c r="F53" i="82"/>
  <c r="F50" i="82"/>
  <c r="F45" i="82"/>
  <c r="F42" i="82"/>
  <c r="F34" i="82"/>
  <c r="F30" i="82"/>
  <c r="F69" i="82"/>
  <c r="F65" i="82"/>
  <c r="F33" i="82"/>
  <c r="F29" i="82"/>
  <c r="F16" i="82"/>
  <c r="F56" i="82"/>
  <c r="F52" i="82"/>
  <c r="F47" i="82"/>
  <c r="F27" i="82"/>
  <c r="F71" i="82"/>
  <c r="F63" i="82"/>
  <c r="F60" i="82"/>
  <c r="F44" i="82"/>
  <c r="F20" i="82"/>
  <c r="F39" i="82"/>
  <c r="F28" i="82"/>
  <c r="F77" i="82"/>
  <c r="F73" i="82"/>
  <c r="F64" i="82"/>
  <c r="F79" i="82"/>
  <c r="L12" i="82"/>
  <c r="F55" i="82"/>
  <c r="F23" i="82"/>
  <c r="F59" i="82"/>
  <c r="R80" i="80"/>
  <c r="R74" i="80"/>
  <c r="R63" i="80"/>
  <c r="R59" i="80"/>
  <c r="R55" i="80"/>
  <c r="R32" i="80"/>
  <c r="R27" i="80"/>
  <c r="R70" i="80"/>
  <c r="R67" i="80"/>
  <c r="R62" i="80"/>
  <c r="R58" i="80"/>
  <c r="R54" i="80"/>
  <c r="R51" i="80"/>
  <c r="R46" i="80"/>
  <c r="R43" i="80"/>
  <c r="R38" i="80"/>
  <c r="R26" i="80"/>
  <c r="R18" i="80"/>
  <c r="R61" i="80"/>
  <c r="R37" i="80"/>
  <c r="R25" i="80"/>
  <c r="R22" i="80"/>
  <c r="R17" i="80"/>
  <c r="R78" i="80"/>
  <c r="R72" i="80"/>
  <c r="R69" i="80"/>
  <c r="R57" i="80"/>
  <c r="R53" i="80"/>
  <c r="R48" i="80"/>
  <c r="R45" i="80"/>
  <c r="R40" i="80"/>
  <c r="R36" i="80"/>
  <c r="R24" i="80"/>
  <c r="R83" i="80"/>
  <c r="R76" i="80"/>
  <c r="R60" i="80"/>
  <c r="R35" i="80"/>
  <c r="R31" i="80"/>
  <c r="R16" i="80"/>
  <c r="R71" i="80"/>
  <c r="R66" i="80"/>
  <c r="R50" i="80"/>
  <c r="R47" i="80"/>
  <c r="R42" i="80"/>
  <c r="R39" i="80"/>
  <c r="R34" i="80"/>
  <c r="R30" i="80"/>
  <c r="R23" i="80"/>
  <c r="R49" i="80"/>
  <c r="R44" i="80"/>
  <c r="R33" i="80"/>
  <c r="R41" i="80"/>
  <c r="R68" i="80"/>
  <c r="R64" i="80"/>
  <c r="R28" i="80"/>
  <c r="R20" i="80"/>
  <c r="R29" i="80"/>
  <c r="R52" i="80"/>
  <c r="P20" i="80"/>
  <c r="R65" i="80"/>
  <c r="R56" i="80"/>
  <c r="X12" i="80"/>
  <c r="Z12" i="80" s="1"/>
  <c r="V61" i="83"/>
  <c r="V45" i="83"/>
  <c r="V37" i="83"/>
  <c r="V64" i="83"/>
  <c r="V60" i="83"/>
  <c r="V44" i="83"/>
  <c r="V36" i="83"/>
  <c r="V24" i="83"/>
  <c r="V69" i="83"/>
  <c r="V63" i="83"/>
  <c r="V59" i="83"/>
  <c r="V55" i="83"/>
  <c r="V51" i="83"/>
  <c r="V47" i="83"/>
  <c r="V39" i="83"/>
  <c r="V35" i="83"/>
  <c r="V31" i="83"/>
  <c r="V66" i="83"/>
  <c r="V58" i="83"/>
  <c r="V54" i="83"/>
  <c r="V50" i="83"/>
  <c r="V73" i="83"/>
  <c r="V43" i="83"/>
  <c r="V27" i="83"/>
  <c r="V49" i="83"/>
  <c r="V40" i="83"/>
  <c r="V38" i="83"/>
  <c r="V18" i="83"/>
  <c r="V57" i="83"/>
  <c r="V41" i="83"/>
  <c r="V28" i="83"/>
  <c r="V22" i="83"/>
  <c r="V17" i="83"/>
  <c r="V68" i="83"/>
  <c r="V32" i="83"/>
  <c r="V29" i="83"/>
  <c r="V16" i="83"/>
  <c r="V62" i="83"/>
  <c r="V52" i="83"/>
  <c r="V30" i="83"/>
  <c r="V33" i="83"/>
  <c r="V23" i="83"/>
  <c r="V53" i="83"/>
  <c r="V34" i="83"/>
  <c r="V25" i="83"/>
  <c r="T20" i="83"/>
  <c r="V56" i="83"/>
  <c r="V65" i="83"/>
  <c r="V48" i="83"/>
  <c r="V42" i="83"/>
  <c r="V26" i="83"/>
  <c r="V46" i="83"/>
  <c r="V57" i="89"/>
  <c r="V53" i="89"/>
  <c r="V49" i="89"/>
  <c r="V41" i="89"/>
  <c r="V33" i="89"/>
  <c r="V29" i="89"/>
  <c r="V25" i="89"/>
  <c r="V17" i="89"/>
  <c r="V52" i="89"/>
  <c r="V40" i="89"/>
  <c r="V32" i="89"/>
  <c r="V28" i="89"/>
  <c r="V24" i="89"/>
  <c r="V16" i="89"/>
  <c r="V65" i="89"/>
  <c r="V51" i="89"/>
  <c r="V43" i="89"/>
  <c r="V35" i="89"/>
  <c r="V27" i="89"/>
  <c r="V23" i="89"/>
  <c r="V60" i="89"/>
  <c r="V46" i="89"/>
  <c r="V42" i="89"/>
  <c r="V34" i="89"/>
  <c r="V26" i="89"/>
  <c r="V45" i="89"/>
  <c r="V37" i="89"/>
  <c r="V56" i="89"/>
  <c r="V48" i="89"/>
  <c r="V44" i="89"/>
  <c r="V36" i="89"/>
  <c r="V31" i="89"/>
  <c r="T20" i="89"/>
  <c r="V20" i="89" s="1"/>
  <c r="V50" i="89"/>
  <c r="V22" i="89"/>
  <c r="V58" i="89"/>
  <c r="V54" i="89"/>
  <c r="V47" i="89"/>
  <c r="V38" i="89"/>
  <c r="V18" i="89"/>
  <c r="V61" i="89"/>
  <c r="V39" i="89"/>
  <c r="V30" i="89"/>
  <c r="V55" i="89"/>
  <c r="F57" i="79"/>
  <c r="F42" i="79"/>
  <c r="F37" i="79"/>
  <c r="F26" i="79"/>
  <c r="D20" i="79"/>
  <c r="F18" i="79"/>
  <c r="F76" i="79"/>
  <c r="F73" i="79"/>
  <c r="F53" i="79"/>
  <c r="F48" i="79"/>
  <c r="F45" i="79"/>
  <c r="F32" i="79"/>
  <c r="F25" i="79"/>
  <c r="F17" i="79"/>
  <c r="F90" i="79"/>
  <c r="F83" i="79"/>
  <c r="F72" i="79"/>
  <c r="F63" i="79"/>
  <c r="F59" i="79"/>
  <c r="F56" i="79"/>
  <c r="F44" i="79"/>
  <c r="F39" i="79"/>
  <c r="F36" i="79"/>
  <c r="F24" i="79"/>
  <c r="F78" i="79"/>
  <c r="F75" i="79"/>
  <c r="F71" i="79"/>
  <c r="F66" i="79"/>
  <c r="F55" i="79"/>
  <c r="F50" i="79"/>
  <c r="F47" i="79"/>
  <c r="F35" i="79"/>
  <c r="F31" i="79"/>
  <c r="F22" i="79"/>
  <c r="F70" i="79"/>
  <c r="F62" i="79"/>
  <c r="F58" i="79"/>
  <c r="F41" i="79"/>
  <c r="F38" i="79"/>
  <c r="F34" i="79"/>
  <c r="F30" i="79"/>
  <c r="F77" i="79"/>
  <c r="F69" i="79"/>
  <c r="F65" i="79"/>
  <c r="F61" i="79"/>
  <c r="F52" i="79"/>
  <c r="F49" i="79"/>
  <c r="F33" i="79"/>
  <c r="F29" i="79"/>
  <c r="F16" i="79"/>
  <c r="F81" i="79"/>
  <c r="F64" i="79"/>
  <c r="F46" i="79"/>
  <c r="F85" i="79"/>
  <c r="F68" i="79"/>
  <c r="F43" i="79"/>
  <c r="F23" i="79"/>
  <c r="F87" i="79"/>
  <c r="F40" i="79"/>
  <c r="L12" i="79"/>
  <c r="F54" i="79"/>
  <c r="F27" i="79"/>
  <c r="F79" i="79"/>
  <c r="F60" i="79"/>
  <c r="F51" i="79"/>
  <c r="F28" i="79"/>
  <c r="F74" i="79"/>
  <c r="F67" i="79"/>
  <c r="F20" i="79"/>
  <c r="P21" i="75"/>
  <c r="X12" i="75"/>
  <c r="R29" i="75"/>
  <c r="R19" i="75"/>
  <c r="R23" i="75"/>
  <c r="R18" i="75"/>
  <c r="R17" i="75"/>
  <c r="R21" i="75"/>
  <c r="R25" i="75"/>
  <c r="R26" i="73"/>
  <c r="R18" i="73"/>
  <c r="R66" i="73"/>
  <c r="R58" i="73"/>
  <c r="R54" i="73"/>
  <c r="R45" i="73"/>
  <c r="R42" i="73"/>
  <c r="R37" i="73"/>
  <c r="R25" i="73"/>
  <c r="R22" i="73"/>
  <c r="R17" i="73"/>
  <c r="R36" i="73"/>
  <c r="R24" i="73"/>
  <c r="R63" i="73"/>
  <c r="R51" i="73"/>
  <c r="R47" i="73"/>
  <c r="R44" i="73"/>
  <c r="R39" i="73"/>
  <c r="R35" i="73"/>
  <c r="R31" i="73"/>
  <c r="R16" i="73"/>
  <c r="R65" i="73"/>
  <c r="R61" i="73"/>
  <c r="R57" i="73"/>
  <c r="R53" i="73"/>
  <c r="R49" i="73"/>
  <c r="R46" i="73"/>
  <c r="R41" i="73"/>
  <c r="R38" i="73"/>
  <c r="R33" i="73"/>
  <c r="R29" i="73"/>
  <c r="R60" i="73"/>
  <c r="R56" i="73"/>
  <c r="R28" i="73"/>
  <c r="P20" i="73"/>
  <c r="R20" i="73" s="1"/>
  <c r="X12" i="73"/>
  <c r="Z12" i="73" s="1"/>
  <c r="R40" i="73"/>
  <c r="R62" i="73"/>
  <c r="R34" i="73"/>
  <c r="R23" i="73"/>
  <c r="R50" i="73"/>
  <c r="R67" i="73"/>
  <c r="R59" i="73"/>
  <c r="R55" i="73"/>
  <c r="R30" i="73"/>
  <c r="R64" i="73"/>
  <c r="R52" i="73"/>
  <c r="R48" i="73"/>
  <c r="R32" i="73"/>
  <c r="R27" i="73"/>
  <c r="R69" i="73"/>
  <c r="R43" i="73"/>
  <c r="R73" i="73"/>
  <c r="J137" i="77"/>
  <c r="J127" i="77"/>
  <c r="J123" i="77"/>
  <c r="J119" i="77"/>
  <c r="J115" i="77"/>
  <c r="J109" i="77"/>
  <c r="J103" i="77"/>
  <c r="J93" i="77"/>
  <c r="J87" i="77"/>
  <c r="J79" i="77"/>
  <c r="J73" i="77"/>
  <c r="J67" i="77"/>
  <c r="J59" i="77"/>
  <c r="J51" i="77"/>
  <c r="J43" i="77"/>
  <c r="J134" i="77"/>
  <c r="J126" i="77"/>
  <c r="J122" i="77"/>
  <c r="J118" i="77"/>
  <c r="J114" i="77"/>
  <c r="J102" i="77"/>
  <c r="J90" i="77"/>
  <c r="J84" i="77"/>
  <c r="J78" i="77"/>
  <c r="J66" i="77"/>
  <c r="J58" i="77"/>
  <c r="J50" i="77"/>
  <c r="J42" i="77"/>
  <c r="J131" i="77"/>
  <c r="J125" i="77"/>
  <c r="J111" i="77"/>
  <c r="J101" i="77"/>
  <c r="J95" i="77"/>
  <c r="J81" i="77"/>
  <c r="J77" i="77"/>
  <c r="J65" i="77"/>
  <c r="J63" i="77"/>
  <c r="J57" i="77"/>
  <c r="J49" i="77"/>
  <c r="J41" i="77"/>
  <c r="J146" i="77"/>
  <c r="J140" i="77"/>
  <c r="J136" i="77"/>
  <c r="J108" i="77"/>
  <c r="J100" i="77"/>
  <c r="J92" i="77"/>
  <c r="J86" i="77"/>
  <c r="J76" i="77"/>
  <c r="J72" i="77"/>
  <c r="J56" i="77"/>
  <c r="J48" i="77"/>
  <c r="J144" i="77"/>
  <c r="J138" i="77"/>
  <c r="J130" i="77"/>
  <c r="J124" i="77"/>
  <c r="J110" i="77"/>
  <c r="J106" i="77"/>
  <c r="J98" i="77"/>
  <c r="J94" i="77"/>
  <c r="J80" i="77"/>
  <c r="J74" i="77"/>
  <c r="J70" i="77"/>
  <c r="J64" i="77"/>
  <c r="J54" i="77"/>
  <c r="J46" i="77"/>
  <c r="J40" i="77"/>
  <c r="J135" i="77"/>
  <c r="J129" i="77"/>
  <c r="J105" i="77"/>
  <c r="J97" i="77"/>
  <c r="J91" i="77"/>
  <c r="J85" i="77"/>
  <c r="J69" i="77"/>
  <c r="J61" i="77"/>
  <c r="J53" i="77"/>
  <c r="J45" i="77"/>
  <c r="J116" i="77"/>
  <c r="J88" i="77"/>
  <c r="J82" i="77"/>
  <c r="J149" i="77"/>
  <c r="J121" i="77"/>
  <c r="J120" i="77"/>
  <c r="J142" i="77"/>
  <c r="J133" i="77"/>
  <c r="J132" i="77"/>
  <c r="J128" i="77"/>
  <c r="J68" i="77"/>
  <c r="H61" i="77"/>
  <c r="J107" i="77"/>
  <c r="J52" i="77"/>
  <c r="J47" i="77"/>
  <c r="J75" i="77"/>
  <c r="N12" i="77"/>
  <c r="J104" i="77"/>
  <c r="J71" i="77"/>
  <c r="J44" i="77"/>
  <c r="J112" i="77"/>
  <c r="J113" i="77"/>
  <c r="J96" i="77"/>
  <c r="J83" i="77"/>
  <c r="J117" i="77"/>
  <c r="J99" i="77"/>
  <c r="J55" i="77"/>
  <c r="J89" i="77"/>
  <c r="V20" i="73"/>
  <c r="V132" i="69"/>
  <c r="V120" i="69"/>
  <c r="V112" i="69"/>
  <c r="V108" i="69"/>
  <c r="V104" i="69"/>
  <c r="V92" i="69"/>
  <c r="V88" i="69"/>
  <c r="V72" i="69"/>
  <c r="V64" i="69"/>
  <c r="V56" i="69"/>
  <c r="V141" i="69"/>
  <c r="V131" i="69"/>
  <c r="V123" i="69"/>
  <c r="V119" i="69"/>
  <c r="V111" i="69"/>
  <c r="V107" i="69"/>
  <c r="V87" i="69"/>
  <c r="V71" i="69"/>
  <c r="V63" i="69"/>
  <c r="V55" i="69"/>
  <c r="V144" i="69"/>
  <c r="V134" i="69"/>
  <c r="V130" i="69"/>
  <c r="V126" i="69"/>
  <c r="V122" i="69"/>
  <c r="V110" i="69"/>
  <c r="V106" i="69"/>
  <c r="V98" i="69"/>
  <c r="V86" i="69"/>
  <c r="V82" i="69"/>
  <c r="V78" i="69"/>
  <c r="V70" i="69"/>
  <c r="V62" i="69"/>
  <c r="V54" i="69"/>
  <c r="V133" i="69"/>
  <c r="V129" i="69"/>
  <c r="V125" i="69"/>
  <c r="V121" i="69"/>
  <c r="V109" i="69"/>
  <c r="V97" i="69"/>
  <c r="V85" i="69"/>
  <c r="V77" i="69"/>
  <c r="V69" i="69"/>
  <c r="V61" i="69"/>
  <c r="V53" i="69"/>
  <c r="V139" i="69"/>
  <c r="V135" i="69"/>
  <c r="V127" i="69"/>
  <c r="V115" i="69"/>
  <c r="V103" i="69"/>
  <c r="V99" i="69"/>
  <c r="V95" i="69"/>
  <c r="V91" i="69"/>
  <c r="V83" i="69"/>
  <c r="V75" i="69"/>
  <c r="V67" i="69"/>
  <c r="V59" i="69"/>
  <c r="V148" i="69"/>
  <c r="V138" i="69"/>
  <c r="V118" i="69"/>
  <c r="V114" i="69"/>
  <c r="V102" i="69"/>
  <c r="V94" i="69"/>
  <c r="V90" i="69"/>
  <c r="V80" i="69"/>
  <c r="V74" i="69"/>
  <c r="V66" i="69"/>
  <c r="V58" i="69"/>
  <c r="V136" i="69"/>
  <c r="V105" i="69"/>
  <c r="V143" i="69"/>
  <c r="V142" i="69"/>
  <c r="V124" i="69"/>
  <c r="V65" i="69"/>
  <c r="Z12" i="69"/>
  <c r="V89" i="69"/>
  <c r="V68" i="69"/>
  <c r="V128" i="69"/>
  <c r="V117" i="69"/>
  <c r="V113" i="69"/>
  <c r="V101" i="69"/>
  <c r="V60" i="69"/>
  <c r="V57" i="69"/>
  <c r="V137" i="69"/>
  <c r="V93" i="69"/>
  <c r="V84" i="69"/>
  <c r="V73" i="69"/>
  <c r="V76" i="69"/>
  <c r="V116" i="69"/>
  <c r="V96" i="69"/>
  <c r="V100" i="69"/>
  <c r="T80" i="69"/>
  <c r="D71" i="73"/>
  <c r="R75" i="65"/>
  <c r="R68" i="65"/>
  <c r="R52" i="65"/>
  <c r="R47" i="65"/>
  <c r="R44" i="65"/>
  <c r="R39" i="65"/>
  <c r="R35" i="65"/>
  <c r="R31" i="65"/>
  <c r="R16" i="65"/>
  <c r="R63" i="65"/>
  <c r="R59" i="65"/>
  <c r="R55" i="65"/>
  <c r="R34" i="65"/>
  <c r="R30" i="65"/>
  <c r="R23" i="65"/>
  <c r="R49" i="65"/>
  <c r="R46" i="65"/>
  <c r="R41" i="65"/>
  <c r="R38" i="65"/>
  <c r="R33" i="65"/>
  <c r="R29" i="65"/>
  <c r="R20" i="65"/>
  <c r="R28" i="65"/>
  <c r="P20" i="65"/>
  <c r="X12" i="65"/>
  <c r="Z12" i="65" s="1"/>
  <c r="R62" i="65"/>
  <c r="R58" i="65"/>
  <c r="R54" i="65"/>
  <c r="R26" i="65"/>
  <c r="R18" i="65"/>
  <c r="R61" i="65"/>
  <c r="R57" i="65"/>
  <c r="R53" i="65"/>
  <c r="R50" i="65"/>
  <c r="R45" i="65"/>
  <c r="R42" i="65"/>
  <c r="R37" i="65"/>
  <c r="R25" i="65"/>
  <c r="R22" i="65"/>
  <c r="R17" i="65"/>
  <c r="R70" i="65"/>
  <c r="R66" i="65"/>
  <c r="R40" i="65"/>
  <c r="R32" i="65"/>
  <c r="R36" i="65"/>
  <c r="R43" i="65"/>
  <c r="R60" i="65"/>
  <c r="R56" i="65"/>
  <c r="R48" i="65"/>
  <c r="R51" i="65"/>
  <c r="R27" i="65"/>
  <c r="R64" i="65"/>
  <c r="R72" i="65"/>
  <c r="R24" i="65"/>
  <c r="T51" i="61"/>
  <c r="Z16" i="61"/>
  <c r="F63" i="67"/>
  <c r="F54" i="67"/>
  <c r="F51" i="67"/>
  <c r="F46" i="67"/>
  <c r="F43" i="67"/>
  <c r="F31" i="67"/>
  <c r="D25" i="67"/>
  <c r="F23" i="67"/>
  <c r="F69" i="67"/>
  <c r="F42" i="67"/>
  <c r="F37" i="67"/>
  <c r="F30" i="67"/>
  <c r="F22" i="67"/>
  <c r="F83" i="67"/>
  <c r="F76" i="67"/>
  <c r="F60" i="67"/>
  <c r="F56" i="67"/>
  <c r="F53" i="67"/>
  <c r="F48" i="67"/>
  <c r="F45" i="67"/>
  <c r="F41" i="67"/>
  <c r="F29" i="67"/>
  <c r="F71" i="67"/>
  <c r="F68" i="67"/>
  <c r="F40" i="67"/>
  <c r="F36" i="67"/>
  <c r="F27" i="67"/>
  <c r="L12" i="67"/>
  <c r="N12" i="67" s="1"/>
  <c r="F67" i="67"/>
  <c r="F62" i="67"/>
  <c r="F59" i="67"/>
  <c r="F55" i="67"/>
  <c r="F50" i="67"/>
  <c r="F47" i="67"/>
  <c r="F39" i="67"/>
  <c r="F35" i="67"/>
  <c r="F70" i="67"/>
  <c r="F66" i="67"/>
  <c r="F58" i="67"/>
  <c r="F38" i="67"/>
  <c r="F34" i="67"/>
  <c r="F21" i="67"/>
  <c r="F80" i="67"/>
  <c r="F74" i="67"/>
  <c r="F65" i="67"/>
  <c r="F61" i="67"/>
  <c r="F57" i="67"/>
  <c r="F52" i="67"/>
  <c r="F49" i="67"/>
  <c r="F44" i="67"/>
  <c r="F33" i="67"/>
  <c r="F28" i="67"/>
  <c r="F64" i="67"/>
  <c r="F25" i="67"/>
  <c r="F72" i="67"/>
  <c r="F78" i="67"/>
  <c r="F32" i="67"/>
  <c r="D51" i="60"/>
  <c r="L16" i="60"/>
  <c r="H76" i="67"/>
  <c r="T27" i="47"/>
  <c r="Z18" i="47"/>
  <c r="V119" i="51"/>
  <c r="V113" i="51"/>
  <c r="V89" i="51"/>
  <c r="V85" i="51"/>
  <c r="V77" i="51"/>
  <c r="V73" i="51"/>
  <c r="V69" i="51"/>
  <c r="V61" i="51"/>
  <c r="V53" i="51"/>
  <c r="V45" i="51"/>
  <c r="V112" i="51"/>
  <c r="V88" i="51"/>
  <c r="V76" i="51"/>
  <c r="V72" i="51"/>
  <c r="V68" i="51"/>
  <c r="V60" i="51"/>
  <c r="V52" i="51"/>
  <c r="V44" i="51"/>
  <c r="Z12" i="51"/>
  <c r="V117" i="51"/>
  <c r="V107" i="51"/>
  <c r="V95" i="51"/>
  <c r="V87" i="51"/>
  <c r="V79" i="51"/>
  <c r="V71" i="51"/>
  <c r="V67" i="51"/>
  <c r="V51" i="51"/>
  <c r="V43" i="51"/>
  <c r="V106" i="51"/>
  <c r="V98" i="51"/>
  <c r="V94" i="51"/>
  <c r="V78" i="51"/>
  <c r="V70" i="51"/>
  <c r="V66" i="51"/>
  <c r="T57" i="51"/>
  <c r="V50" i="51"/>
  <c r="V42" i="51"/>
  <c r="V123" i="51"/>
  <c r="V115" i="51"/>
  <c r="V109" i="51"/>
  <c r="V105" i="51"/>
  <c r="V101" i="51"/>
  <c r="V97" i="51"/>
  <c r="V93" i="51"/>
  <c r="V81" i="51"/>
  <c r="V65" i="51"/>
  <c r="V49" i="51"/>
  <c r="V41" i="51"/>
  <c r="V118" i="51"/>
  <c r="V108" i="51"/>
  <c r="V104" i="51"/>
  <c r="V100" i="51"/>
  <c r="V96" i="51"/>
  <c r="V92" i="51"/>
  <c r="V84" i="51"/>
  <c r="V80" i="51"/>
  <c r="V64" i="51"/>
  <c r="V48" i="51"/>
  <c r="V40" i="51"/>
  <c r="V111" i="51"/>
  <c r="V103" i="51"/>
  <c r="V99" i="51"/>
  <c r="V91" i="51"/>
  <c r="V83" i="51"/>
  <c r="V75" i="51"/>
  <c r="V63" i="51"/>
  <c r="V59" i="51"/>
  <c r="V55" i="51"/>
  <c r="V47" i="51"/>
  <c r="V39" i="51"/>
  <c r="V116" i="51"/>
  <c r="V46" i="51"/>
  <c r="V86" i="51"/>
  <c r="V74" i="51"/>
  <c r="V54" i="51"/>
  <c r="V110" i="51"/>
  <c r="V90" i="51"/>
  <c r="V82" i="51"/>
  <c r="V102" i="51"/>
  <c r="V62" i="51"/>
  <c r="H27" i="49"/>
  <c r="L27" i="49" s="1"/>
  <c r="N18" i="49"/>
  <c r="X18" i="43"/>
  <c r="P27" i="43"/>
  <c r="X16" i="59"/>
  <c r="L17" i="48"/>
  <c r="N17" i="48" s="1"/>
  <c r="D69" i="48"/>
  <c r="X57" i="51"/>
  <c r="P121" i="51"/>
  <c r="T27" i="38"/>
  <c r="Z18" i="38"/>
  <c r="H27" i="43"/>
  <c r="N18" i="43"/>
  <c r="V128" i="39"/>
  <c r="V122" i="39"/>
  <c r="V118" i="39"/>
  <c r="V110" i="39"/>
  <c r="V82" i="39"/>
  <c r="V70" i="39"/>
  <c r="V58" i="39"/>
  <c r="V50" i="39"/>
  <c r="V46" i="39"/>
  <c r="V38" i="39"/>
  <c r="V125" i="39"/>
  <c r="V121" i="39"/>
  <c r="V109" i="39"/>
  <c r="V101" i="39"/>
  <c r="V85" i="39"/>
  <c r="V73" i="39"/>
  <c r="V65" i="39"/>
  <c r="V61" i="39"/>
  <c r="V49" i="39"/>
  <c r="V45" i="39"/>
  <c r="V134" i="39"/>
  <c r="V124" i="39"/>
  <c r="V120" i="39"/>
  <c r="V108" i="39"/>
  <c r="V104" i="39"/>
  <c r="V100" i="39"/>
  <c r="V92" i="39"/>
  <c r="V84" i="39"/>
  <c r="V76" i="39"/>
  <c r="V72" i="39"/>
  <c r="V64" i="39"/>
  <c r="V60" i="39"/>
  <c r="V48" i="39"/>
  <c r="V44" i="39"/>
  <c r="V129" i="39"/>
  <c r="V115" i="39"/>
  <c r="V107" i="39"/>
  <c r="V103" i="39"/>
  <c r="V99" i="39"/>
  <c r="V95" i="39"/>
  <c r="V91" i="39"/>
  <c r="V87" i="39"/>
  <c r="V79" i="39"/>
  <c r="V75" i="39"/>
  <c r="V67" i="39"/>
  <c r="V63" i="39"/>
  <c r="V55" i="39"/>
  <c r="V43" i="39"/>
  <c r="V114" i="39"/>
  <c r="V106" i="39"/>
  <c r="V102" i="39"/>
  <c r="V98" i="39"/>
  <c r="V94" i="39"/>
  <c r="V90" i="39"/>
  <c r="V86" i="39"/>
  <c r="V78" i="39"/>
  <c r="V74" i="39"/>
  <c r="V66" i="39"/>
  <c r="V62" i="39"/>
  <c r="V54" i="39"/>
  <c r="V42" i="39"/>
  <c r="V127" i="39"/>
  <c r="V117" i="39"/>
  <c r="V113" i="39"/>
  <c r="V105" i="39"/>
  <c r="V97" i="39"/>
  <c r="V93" i="39"/>
  <c r="V89" i="39"/>
  <c r="V81" i="39"/>
  <c r="V77" i="39"/>
  <c r="V69" i="39"/>
  <c r="V57" i="39"/>
  <c r="V53" i="39"/>
  <c r="V41" i="39"/>
  <c r="V37" i="39"/>
  <c r="V33" i="39"/>
  <c r="V130" i="39"/>
  <c r="V116" i="39"/>
  <c r="V112" i="39"/>
  <c r="V96" i="39"/>
  <c r="V88" i="39"/>
  <c r="V80" i="39"/>
  <c r="V68" i="39"/>
  <c r="V56" i="39"/>
  <c r="V52" i="39"/>
  <c r="V31" i="39"/>
  <c r="V71" i="39"/>
  <c r="V32" i="39"/>
  <c r="V111" i="39"/>
  <c r="V39" i="39"/>
  <c r="V119" i="39"/>
  <c r="V59" i="39"/>
  <c r="V51" i="39"/>
  <c r="Z12" i="39"/>
  <c r="V83" i="39"/>
  <c r="V40" i="39"/>
  <c r="T35" i="39"/>
  <c r="X35" i="39" s="1"/>
  <c r="V123" i="39"/>
  <c r="V47" i="39"/>
  <c r="X18" i="53"/>
  <c r="P27" i="53"/>
  <c r="N27" i="37"/>
  <c r="H31" i="37"/>
  <c r="R125" i="36"/>
  <c r="R118" i="36"/>
  <c r="R114" i="36"/>
  <c r="R111" i="36"/>
  <c r="R106" i="36"/>
  <c r="R91" i="36"/>
  <c r="R83" i="36"/>
  <c r="R78" i="36"/>
  <c r="R75" i="36"/>
  <c r="R58" i="36"/>
  <c r="R38" i="36"/>
  <c r="R117" i="36"/>
  <c r="R105" i="36"/>
  <c r="R69" i="36"/>
  <c r="R66" i="36"/>
  <c r="R61" i="36"/>
  <c r="R57" i="36"/>
  <c r="R54" i="36"/>
  <c r="R49" i="36"/>
  <c r="R42" i="36"/>
  <c r="R37" i="36"/>
  <c r="P29" i="36"/>
  <c r="R123" i="36"/>
  <c r="R120" i="36"/>
  <c r="R116" i="36"/>
  <c r="R113" i="36"/>
  <c r="R104" i="36"/>
  <c r="R96" i="36"/>
  <c r="R80" i="36"/>
  <c r="R77" i="36"/>
  <c r="R72" i="36"/>
  <c r="R48" i="36"/>
  <c r="R36" i="36"/>
  <c r="X12" i="36"/>
  <c r="Z12" i="36" s="1"/>
  <c r="R129" i="36"/>
  <c r="R103" i="36"/>
  <c r="R99" i="36"/>
  <c r="R95" i="36"/>
  <c r="R87" i="36"/>
  <c r="R71" i="36"/>
  <c r="R68" i="36"/>
  <c r="R63" i="36"/>
  <c r="R60" i="36"/>
  <c r="R56" i="36"/>
  <c r="R51" i="36"/>
  <c r="R47" i="36"/>
  <c r="R35" i="36"/>
  <c r="R27" i="36"/>
  <c r="R119" i="36"/>
  <c r="R115" i="36"/>
  <c r="R110" i="36"/>
  <c r="R102" i="36"/>
  <c r="R98" i="36"/>
  <c r="R94" i="36"/>
  <c r="R90" i="36"/>
  <c r="R86" i="36"/>
  <c r="R82" i="36"/>
  <c r="R79" i="36"/>
  <c r="R74" i="36"/>
  <c r="R46" i="36"/>
  <c r="R34" i="36"/>
  <c r="R31" i="36"/>
  <c r="R26" i="36"/>
  <c r="R124" i="36"/>
  <c r="R109" i="36"/>
  <c r="R101" i="36"/>
  <c r="R93" i="36"/>
  <c r="R89" i="36"/>
  <c r="R85" i="36"/>
  <c r="R70" i="36"/>
  <c r="R65" i="36"/>
  <c r="R62" i="36"/>
  <c r="R53" i="36"/>
  <c r="R50" i="36"/>
  <c r="R45" i="36"/>
  <c r="R41" i="36"/>
  <c r="R33" i="36"/>
  <c r="R112" i="36"/>
  <c r="R108" i="36"/>
  <c r="R97" i="36"/>
  <c r="R92" i="36"/>
  <c r="R84" i="36"/>
  <c r="R81" i="36"/>
  <c r="R76" i="36"/>
  <c r="R73" i="36"/>
  <c r="R44" i="36"/>
  <c r="R40" i="36"/>
  <c r="R25" i="36"/>
  <c r="R122" i="36"/>
  <c r="R107" i="36"/>
  <c r="R100" i="36"/>
  <c r="R88" i="36"/>
  <c r="R67" i="36"/>
  <c r="R64" i="36"/>
  <c r="R59" i="36"/>
  <c r="R55" i="36"/>
  <c r="R52" i="36"/>
  <c r="R43" i="36"/>
  <c r="R39" i="36"/>
  <c r="R32" i="36"/>
  <c r="L18" i="26"/>
  <c r="D27" i="26"/>
  <c r="D27" i="19"/>
  <c r="L18" i="19"/>
  <c r="L18" i="11"/>
  <c r="D27" i="11"/>
  <c r="L18" i="17"/>
  <c r="D27" i="17"/>
  <c r="L18" i="10"/>
  <c r="D27" i="10"/>
  <c r="V28" i="21"/>
  <c r="T27" i="14"/>
  <c r="Z18" i="14"/>
  <c r="X293" i="15"/>
  <c r="Z293" i="15" s="1"/>
  <c r="X302" i="12"/>
  <c r="Z302" i="12" s="1"/>
  <c r="J172" i="12"/>
  <c r="H27" i="7"/>
  <c r="L27" i="7" s="1"/>
  <c r="N18" i="7"/>
  <c r="T36" i="13"/>
  <c r="Z36" i="13" s="1"/>
  <c r="Z31" i="13"/>
  <c r="R193" i="18"/>
  <c r="L18" i="8"/>
  <c r="D27" i="8"/>
  <c r="T27" i="4"/>
  <c r="Z18" i="4"/>
  <c r="P83" i="90"/>
  <c r="F90" i="90"/>
  <c r="F83" i="90"/>
  <c r="F76" i="90"/>
  <c r="F72" i="90"/>
  <c r="F67" i="90"/>
  <c r="F63" i="90"/>
  <c r="F60" i="90"/>
  <c r="F56" i="90"/>
  <c r="F51" i="90"/>
  <c r="F48" i="90"/>
  <c r="F43" i="90"/>
  <c r="F32" i="90"/>
  <c r="F19" i="90"/>
  <c r="F80" i="90"/>
  <c r="F71" i="90"/>
  <c r="F59" i="90"/>
  <c r="F31" i="90"/>
  <c r="F26" i="90"/>
  <c r="F78" i="90"/>
  <c r="F70" i="90"/>
  <c r="F66" i="90"/>
  <c r="F62" i="90"/>
  <c r="F58" i="90"/>
  <c r="F53" i="90"/>
  <c r="F50" i="90"/>
  <c r="F69" i="90"/>
  <c r="F65" i="90"/>
  <c r="F41" i="90"/>
  <c r="F36" i="90"/>
  <c r="F29" i="90"/>
  <c r="D23" i="90"/>
  <c r="F21" i="90"/>
  <c r="F87" i="90"/>
  <c r="F81" i="90"/>
  <c r="F75" i="90"/>
  <c r="F68" i="90"/>
  <c r="F64" i="90"/>
  <c r="F55" i="90"/>
  <c r="F52" i="90"/>
  <c r="F47" i="90"/>
  <c r="F44" i="90"/>
  <c r="F40" i="90"/>
  <c r="F28" i="90"/>
  <c r="F20" i="90"/>
  <c r="F85" i="90"/>
  <c r="F74" i="90"/>
  <c r="F25" i="90"/>
  <c r="F23" i="90"/>
  <c r="F46" i="90"/>
  <c r="F45" i="90"/>
  <c r="F39" i="90"/>
  <c r="F38" i="90"/>
  <c r="F57" i="90"/>
  <c r="F33" i="90"/>
  <c r="L12" i="90"/>
  <c r="F61" i="90"/>
  <c r="F54" i="90"/>
  <c r="F49" i="90"/>
  <c r="F35" i="90"/>
  <c r="F34" i="90"/>
  <c r="F73" i="90"/>
  <c r="F27" i="90"/>
  <c r="F77" i="90"/>
  <c r="F37" i="90"/>
  <c r="F30" i="90"/>
  <c r="F42" i="90"/>
  <c r="R67" i="89"/>
  <c r="R61" i="89"/>
  <c r="R58" i="89"/>
  <c r="R54" i="89"/>
  <c r="R50" i="89"/>
  <c r="R47" i="89"/>
  <c r="R30" i="89"/>
  <c r="R18" i="89"/>
  <c r="R53" i="89"/>
  <c r="R41" i="89"/>
  <c r="R38" i="89"/>
  <c r="R33" i="89"/>
  <c r="R29" i="89"/>
  <c r="R25" i="89"/>
  <c r="R22" i="89"/>
  <c r="R17" i="89"/>
  <c r="R57" i="89"/>
  <c r="R52" i="89"/>
  <c r="R49" i="89"/>
  <c r="R28" i="89"/>
  <c r="R24" i="89"/>
  <c r="R65" i="89"/>
  <c r="R43" i="89"/>
  <c r="R40" i="89"/>
  <c r="R35" i="89"/>
  <c r="R32" i="89"/>
  <c r="R27" i="89"/>
  <c r="R16" i="89"/>
  <c r="R70" i="89"/>
  <c r="R63" i="89"/>
  <c r="R51" i="89"/>
  <c r="R46" i="89"/>
  <c r="R60" i="89"/>
  <c r="R45" i="89"/>
  <c r="R42" i="89"/>
  <c r="R37" i="89"/>
  <c r="R34" i="89"/>
  <c r="R26" i="89"/>
  <c r="R20" i="89"/>
  <c r="R36" i="89"/>
  <c r="R31" i="89"/>
  <c r="R23" i="89"/>
  <c r="P20" i="89"/>
  <c r="R55" i="89"/>
  <c r="R44" i="89"/>
  <c r="R56" i="89"/>
  <c r="R48" i="89"/>
  <c r="R39" i="89"/>
  <c r="X12" i="89"/>
  <c r="Z12" i="89" s="1"/>
  <c r="T91" i="86"/>
  <c r="T77" i="84"/>
  <c r="X68" i="83"/>
  <c r="Z68" i="83" s="1"/>
  <c r="T92" i="85"/>
  <c r="V20" i="85"/>
  <c r="L16" i="81"/>
  <c r="D97" i="81"/>
  <c r="R78" i="83"/>
  <c r="R71" i="83"/>
  <c r="R62" i="83"/>
  <c r="R68" i="83"/>
  <c r="R61" i="83"/>
  <c r="R45" i="83"/>
  <c r="R42" i="83"/>
  <c r="R37" i="83"/>
  <c r="R25" i="83"/>
  <c r="R22" i="83"/>
  <c r="R64" i="83"/>
  <c r="R60" i="83"/>
  <c r="R36" i="83"/>
  <c r="R59" i="83"/>
  <c r="R55" i="83"/>
  <c r="R51" i="83"/>
  <c r="R65" i="83"/>
  <c r="R28" i="83"/>
  <c r="R73" i="83"/>
  <c r="R43" i="83"/>
  <c r="R66" i="83"/>
  <c r="R56" i="83"/>
  <c r="R49" i="83"/>
  <c r="R48" i="83"/>
  <c r="R46" i="83"/>
  <c r="R18" i="83"/>
  <c r="R69" i="83"/>
  <c r="R57" i="83"/>
  <c r="R50" i="83"/>
  <c r="R47" i="83"/>
  <c r="R41" i="83"/>
  <c r="R40" i="83"/>
  <c r="R38" i="83"/>
  <c r="R17" i="83"/>
  <c r="R75" i="83"/>
  <c r="R63" i="83"/>
  <c r="R58" i="83"/>
  <c r="R39" i="83"/>
  <c r="R29" i="83"/>
  <c r="R32" i="83"/>
  <c r="R30" i="83"/>
  <c r="R16" i="83"/>
  <c r="R52" i="83"/>
  <c r="R33" i="83"/>
  <c r="R31" i="83"/>
  <c r="R24" i="83"/>
  <c r="R35" i="83"/>
  <c r="R53" i="83"/>
  <c r="R44" i="83"/>
  <c r="R23" i="83"/>
  <c r="R54" i="83"/>
  <c r="R34" i="83"/>
  <c r="R27" i="83"/>
  <c r="X12" i="83"/>
  <c r="Z12" i="83" s="1"/>
  <c r="P20" i="83"/>
  <c r="R20" i="83"/>
  <c r="R26" i="83"/>
  <c r="D46" i="88"/>
  <c r="J75" i="73"/>
  <c r="J69" i="73"/>
  <c r="J65" i="73"/>
  <c r="J61" i="73"/>
  <c r="J57" i="73"/>
  <c r="J53" i="73"/>
  <c r="J49" i="73"/>
  <c r="J41" i="73"/>
  <c r="J33" i="73"/>
  <c r="J29" i="73"/>
  <c r="J23" i="73"/>
  <c r="J60" i="73"/>
  <c r="J56" i="73"/>
  <c r="J46" i="73"/>
  <c r="J38" i="73"/>
  <c r="J28" i="73"/>
  <c r="J20" i="73"/>
  <c r="N12" i="73"/>
  <c r="J73" i="73"/>
  <c r="J67" i="73"/>
  <c r="J59" i="73"/>
  <c r="J55" i="73"/>
  <c r="J43" i="73"/>
  <c r="J27" i="73"/>
  <c r="H20" i="73"/>
  <c r="L20" i="73" s="1"/>
  <c r="J64" i="73"/>
  <c r="J52" i="73"/>
  <c r="J48" i="73"/>
  <c r="J40" i="73"/>
  <c r="J32" i="73"/>
  <c r="J26" i="73"/>
  <c r="J18" i="73"/>
  <c r="J66" i="73"/>
  <c r="J58" i="73"/>
  <c r="J54" i="73"/>
  <c r="J42" i="73"/>
  <c r="J36" i="73"/>
  <c r="J24" i="73"/>
  <c r="J22" i="73"/>
  <c r="J63" i="73"/>
  <c r="J51" i="73"/>
  <c r="J47" i="73"/>
  <c r="J39" i="73"/>
  <c r="J35" i="73"/>
  <c r="J31" i="73"/>
  <c r="J71" i="73"/>
  <c r="J25" i="73"/>
  <c r="J45" i="73"/>
  <c r="J17" i="73"/>
  <c r="J37" i="73"/>
  <c r="J78" i="73"/>
  <c r="J44" i="73"/>
  <c r="J30" i="73"/>
  <c r="J16" i="73"/>
  <c r="J50" i="73"/>
  <c r="J62" i="73"/>
  <c r="J34" i="73"/>
  <c r="L19" i="78"/>
  <c r="D31" i="78"/>
  <c r="D87" i="76"/>
  <c r="V20" i="76"/>
  <c r="X115" i="71"/>
  <c r="Z115" i="71" s="1"/>
  <c r="N16" i="61"/>
  <c r="H51" i="61"/>
  <c r="D51" i="61"/>
  <c r="L16" i="61"/>
  <c r="T68" i="65"/>
  <c r="H51" i="60"/>
  <c r="N16" i="60"/>
  <c r="X16" i="61"/>
  <c r="L18" i="47"/>
  <c r="D27" i="47"/>
  <c r="D143" i="64"/>
  <c r="L75" i="64"/>
  <c r="J17" i="48"/>
  <c r="P74" i="57"/>
  <c r="T27" i="52"/>
  <c r="X27" i="52" s="1"/>
  <c r="Z18" i="52"/>
  <c r="T51" i="60"/>
  <c r="Z16" i="60"/>
  <c r="X16" i="60"/>
  <c r="H27" i="50"/>
  <c r="N18" i="50"/>
  <c r="T27" i="50"/>
  <c r="Z18" i="50"/>
  <c r="T27" i="40"/>
  <c r="Z18" i="40"/>
  <c r="X18" i="41"/>
  <c r="P27" i="41"/>
  <c r="T31" i="54"/>
  <c r="Z26" i="54"/>
  <c r="T27" i="44"/>
  <c r="X27" i="44" s="1"/>
  <c r="Z18" i="44"/>
  <c r="F128" i="39"/>
  <c r="F118" i="39"/>
  <c r="F115" i="39"/>
  <c r="F107" i="39"/>
  <c r="F103" i="39"/>
  <c r="F99" i="39"/>
  <c r="F95" i="39"/>
  <c r="F91" i="39"/>
  <c r="F87" i="39"/>
  <c r="F82" i="39"/>
  <c r="F79" i="39"/>
  <c r="F75" i="39"/>
  <c r="F70" i="39"/>
  <c r="F67" i="39"/>
  <c r="F63" i="39"/>
  <c r="F58" i="39"/>
  <c r="F55" i="39"/>
  <c r="F43" i="39"/>
  <c r="F38" i="39"/>
  <c r="F114" i="39"/>
  <c r="F106" i="39"/>
  <c r="F98" i="39"/>
  <c r="F94" i="39"/>
  <c r="F90" i="39"/>
  <c r="F78" i="39"/>
  <c r="F54" i="39"/>
  <c r="F42" i="39"/>
  <c r="F124" i="39"/>
  <c r="F120" i="39"/>
  <c r="F117" i="39"/>
  <c r="F113" i="39"/>
  <c r="F97" i="39"/>
  <c r="F89" i="39"/>
  <c r="F84" i="39"/>
  <c r="F81" i="39"/>
  <c r="F72" i="39"/>
  <c r="F69" i="39"/>
  <c r="F60" i="39"/>
  <c r="F57" i="39"/>
  <c r="F53" i="39"/>
  <c r="F48" i="39"/>
  <c r="F41" i="39"/>
  <c r="F129" i="39"/>
  <c r="F112" i="39"/>
  <c r="F52" i="39"/>
  <c r="F40" i="39"/>
  <c r="F32" i="39"/>
  <c r="F123" i="39"/>
  <c r="F119" i="39"/>
  <c r="F111" i="39"/>
  <c r="F102" i="39"/>
  <c r="F86" i="39"/>
  <c r="F83" i="39"/>
  <c r="F74" i="39"/>
  <c r="F71" i="39"/>
  <c r="F66" i="39"/>
  <c r="F62" i="39"/>
  <c r="F59" i="39"/>
  <c r="F51" i="39"/>
  <c r="F47" i="39"/>
  <c r="F39" i="39"/>
  <c r="F127" i="39"/>
  <c r="F122" i="39"/>
  <c r="F110" i="39"/>
  <c r="F105" i="39"/>
  <c r="F93" i="39"/>
  <c r="F77" i="39"/>
  <c r="F50" i="39"/>
  <c r="F46" i="39"/>
  <c r="F37" i="39"/>
  <c r="F130" i="39"/>
  <c r="F125" i="39"/>
  <c r="F121" i="39"/>
  <c r="F116" i="39"/>
  <c r="F109" i="39"/>
  <c r="F101" i="39"/>
  <c r="F96" i="39"/>
  <c r="F88" i="39"/>
  <c r="F85" i="39"/>
  <c r="F80" i="39"/>
  <c r="F73" i="39"/>
  <c r="F68" i="39"/>
  <c r="F65" i="39"/>
  <c r="F61" i="39"/>
  <c r="F56" i="39"/>
  <c r="F49" i="39"/>
  <c r="F45" i="39"/>
  <c r="F134" i="39"/>
  <c r="F76" i="39"/>
  <c r="D35" i="39"/>
  <c r="F108" i="39"/>
  <c r="F92" i="39"/>
  <c r="F100" i="39"/>
  <c r="F31" i="39"/>
  <c r="F44" i="39"/>
  <c r="F64" i="39"/>
  <c r="F33" i="39"/>
  <c r="F104" i="39"/>
  <c r="L12" i="39"/>
  <c r="H27" i="32"/>
  <c r="N18" i="32"/>
  <c r="T124" i="42"/>
  <c r="T27" i="35"/>
  <c r="X27" i="35" s="1"/>
  <c r="Z18" i="35"/>
  <c r="T27" i="25"/>
  <c r="Z18" i="25"/>
  <c r="P31" i="35"/>
  <c r="X98" i="33"/>
  <c r="Z98" i="33" s="1"/>
  <c r="P31" i="28"/>
  <c r="X27" i="28"/>
  <c r="J101" i="33"/>
  <c r="J91" i="33"/>
  <c r="J85" i="33"/>
  <c r="J69" i="33"/>
  <c r="J63" i="33"/>
  <c r="J57" i="33"/>
  <c r="J45" i="33"/>
  <c r="J43" i="33"/>
  <c r="J37" i="33"/>
  <c r="J104" i="33"/>
  <c r="J96" i="33"/>
  <c r="J82" i="33"/>
  <c r="J68" i="33"/>
  <c r="J60" i="33"/>
  <c r="J56" i="33"/>
  <c r="J52" i="33"/>
  <c r="J36" i="33"/>
  <c r="N12" i="33"/>
  <c r="J99" i="33"/>
  <c r="J93" i="33"/>
  <c r="J79" i="33"/>
  <c r="J75" i="33"/>
  <c r="J71" i="33"/>
  <c r="J65" i="33"/>
  <c r="J55" i="33"/>
  <c r="J51" i="33"/>
  <c r="J35" i="33"/>
  <c r="J108" i="33"/>
  <c r="J102" i="33"/>
  <c r="J90" i="33"/>
  <c r="J84" i="33"/>
  <c r="J78" i="33"/>
  <c r="J74" i="33"/>
  <c r="J62" i="33"/>
  <c r="J54" i="33"/>
  <c r="J50" i="33"/>
  <c r="J44" i="33"/>
  <c r="J95" i="33"/>
  <c r="J89" i="33"/>
  <c r="J81" i="33"/>
  <c r="J77" i="33"/>
  <c r="J73" i="33"/>
  <c r="J67" i="33"/>
  <c r="J59" i="33"/>
  <c r="J49" i="33"/>
  <c r="J100" i="33"/>
  <c r="J92" i="33"/>
  <c r="J88" i="33"/>
  <c r="J70" i="33"/>
  <c r="J64" i="33"/>
  <c r="J48" i="33"/>
  <c r="H41" i="33"/>
  <c r="J34" i="33"/>
  <c r="J98" i="33"/>
  <c r="J94" i="33"/>
  <c r="J86" i="33"/>
  <c r="J80" i="33"/>
  <c r="J76" i="33"/>
  <c r="J72" i="33"/>
  <c r="J66" i="33"/>
  <c r="J58" i="33"/>
  <c r="J46" i="33"/>
  <c r="J38" i="33"/>
  <c r="J103" i="33"/>
  <c r="J87" i="33"/>
  <c r="J53" i="33"/>
  <c r="J83" i="33"/>
  <c r="J61" i="33"/>
  <c r="J47" i="33"/>
  <c r="J39" i="33"/>
  <c r="N128" i="27"/>
  <c r="H27" i="26"/>
  <c r="N18" i="26"/>
  <c r="T27" i="23"/>
  <c r="Z18" i="23"/>
  <c r="H304" i="15"/>
  <c r="D27" i="14"/>
  <c r="L18" i="14"/>
  <c r="P27" i="11"/>
  <c r="X18" i="11"/>
  <c r="J157" i="24"/>
  <c r="J153" i="24"/>
  <c r="J143" i="24"/>
  <c r="J133" i="24"/>
  <c r="J125" i="24"/>
  <c r="J117" i="24"/>
  <c r="J101" i="24"/>
  <c r="J89" i="24"/>
  <c r="J81" i="24"/>
  <c r="J73" i="24"/>
  <c r="J65" i="24"/>
  <c r="J57" i="24"/>
  <c r="J150" i="24"/>
  <c r="J136" i="24"/>
  <c r="J132" i="24"/>
  <c r="J124" i="24"/>
  <c r="J116" i="24"/>
  <c r="J112" i="24"/>
  <c r="J106" i="24"/>
  <c r="J100" i="24"/>
  <c r="J88" i="24"/>
  <c r="J80" i="24"/>
  <c r="J72" i="24"/>
  <c r="J64" i="24"/>
  <c r="J155" i="24"/>
  <c r="J145" i="24"/>
  <c r="J139" i="24"/>
  <c r="J131" i="24"/>
  <c r="J123" i="24"/>
  <c r="J115" i="24"/>
  <c r="J109" i="24"/>
  <c r="J103" i="24"/>
  <c r="J99" i="24"/>
  <c r="J95" i="24"/>
  <c r="J87" i="24"/>
  <c r="J85" i="24"/>
  <c r="J79" i="24"/>
  <c r="J71" i="24"/>
  <c r="J63" i="24"/>
  <c r="J158" i="24"/>
  <c r="J152" i="24"/>
  <c r="J142" i="24"/>
  <c r="J138" i="24"/>
  <c r="J130" i="24"/>
  <c r="J122" i="24"/>
  <c r="J114" i="24"/>
  <c r="J98" i="24"/>
  <c r="J94" i="24"/>
  <c r="J78" i="24"/>
  <c r="J70" i="24"/>
  <c r="J62" i="24"/>
  <c r="J56" i="24"/>
  <c r="J149" i="24"/>
  <c r="J141" i="24"/>
  <c r="J135" i="24"/>
  <c r="J129" i="24"/>
  <c r="J121" i="24"/>
  <c r="J111" i="24"/>
  <c r="J105" i="24"/>
  <c r="J97" i="24"/>
  <c r="J93" i="24"/>
  <c r="J77" i="24"/>
  <c r="J69" i="24"/>
  <c r="J61" i="24"/>
  <c r="J162" i="24"/>
  <c r="J154" i="24"/>
  <c r="J148" i="24"/>
  <c r="J144" i="24"/>
  <c r="J128" i="24"/>
  <c r="J120" i="24"/>
  <c r="J108" i="24"/>
  <c r="J102" i="24"/>
  <c r="J92" i="24"/>
  <c r="J86" i="24"/>
  <c r="J76" i="24"/>
  <c r="J68" i="24"/>
  <c r="J60" i="24"/>
  <c r="J151" i="24"/>
  <c r="J147" i="24"/>
  <c r="J137" i="24"/>
  <c r="J127" i="24"/>
  <c r="J119" i="24"/>
  <c r="J113" i="24"/>
  <c r="J107" i="24"/>
  <c r="J91" i="24"/>
  <c r="J83" i="24"/>
  <c r="J75" i="24"/>
  <c r="J67" i="24"/>
  <c r="J146" i="24"/>
  <c r="J140" i="24"/>
  <c r="J134" i="24"/>
  <c r="J126" i="24"/>
  <c r="J118" i="24"/>
  <c r="J110" i="24"/>
  <c r="J104" i="24"/>
  <c r="J96" i="24"/>
  <c r="J90" i="24"/>
  <c r="H83" i="24"/>
  <c r="J74" i="24"/>
  <c r="J66" i="24"/>
  <c r="J58" i="24"/>
  <c r="N12" i="24"/>
  <c r="J59" i="24"/>
  <c r="N322" i="18"/>
  <c r="V322" i="18"/>
  <c r="J167" i="15"/>
  <c r="V354" i="3"/>
  <c r="V346" i="3"/>
  <c r="V324" i="3"/>
  <c r="V320" i="3"/>
  <c r="V316" i="3"/>
  <c r="V300" i="3"/>
  <c r="V292" i="3"/>
  <c r="V284" i="3"/>
  <c r="V276" i="3"/>
  <c r="V268" i="3"/>
  <c r="V260" i="3"/>
  <c r="V248" i="3"/>
  <c r="V232" i="3"/>
  <c r="V228" i="3"/>
  <c r="V224" i="3"/>
  <c r="V212" i="3"/>
  <c r="V208" i="3"/>
  <c r="V204" i="3"/>
  <c r="V196" i="3"/>
  <c r="V188" i="3"/>
  <c r="V180" i="3"/>
  <c r="V172" i="3"/>
  <c r="V164" i="3"/>
  <c r="V156" i="3"/>
  <c r="V148" i="3"/>
  <c r="V269" i="3"/>
  <c r="V213" i="3"/>
  <c r="V165" i="3"/>
  <c r="V366" i="3"/>
  <c r="V357" i="3"/>
  <c r="V349" i="3"/>
  <c r="V331" i="3"/>
  <c r="V323" i="3"/>
  <c r="V319" i="3"/>
  <c r="V315" i="3"/>
  <c r="V311" i="3"/>
  <c r="V307" i="3"/>
  <c r="V299" i="3"/>
  <c r="V291" i="3"/>
  <c r="V283" i="3"/>
  <c r="V275" i="3"/>
  <c r="V267" i="3"/>
  <c r="V259" i="3"/>
  <c r="V251" i="3"/>
  <c r="V247" i="3"/>
  <c r="V239" i="3"/>
  <c r="V231" i="3"/>
  <c r="V223" i="3"/>
  <c r="V219" i="3"/>
  <c r="V211" i="3"/>
  <c r="V203" i="3"/>
  <c r="V195" i="3"/>
  <c r="V187" i="3"/>
  <c r="V179" i="3"/>
  <c r="V171" i="3"/>
  <c r="V163" i="3"/>
  <c r="V155" i="3"/>
  <c r="V147" i="3"/>
  <c r="V337" i="3"/>
  <c r="V297" i="3"/>
  <c r="V285" i="3"/>
  <c r="V245" i="3"/>
  <c r="V197" i="3"/>
  <c r="V157" i="3"/>
  <c r="V352" i="3"/>
  <c r="V344" i="3"/>
  <c r="V334" i="3"/>
  <c r="V330" i="3"/>
  <c r="V322" i="3"/>
  <c r="V318" i="3"/>
  <c r="V314" i="3"/>
  <c r="V310" i="3"/>
  <c r="V306" i="3"/>
  <c r="V302" i="3"/>
  <c r="V290" i="3"/>
  <c r="V282" i="3"/>
  <c r="V274" i="3"/>
  <c r="V266" i="3"/>
  <c r="V254" i="3"/>
  <c r="V250" i="3"/>
  <c r="V242" i="3"/>
  <c r="V238" i="3"/>
  <c r="V234" i="3"/>
  <c r="V230" i="3"/>
  <c r="V222" i="3"/>
  <c r="V218" i="3"/>
  <c r="V210" i="3"/>
  <c r="V202" i="3"/>
  <c r="V194" i="3"/>
  <c r="V186" i="3"/>
  <c r="V178" i="3"/>
  <c r="V170" i="3"/>
  <c r="V162" i="3"/>
  <c r="V154" i="3"/>
  <c r="V146" i="3"/>
  <c r="V293" i="3"/>
  <c r="V355" i="3"/>
  <c r="V347" i="3"/>
  <c r="V333" i="3"/>
  <c r="V329" i="3"/>
  <c r="V321" i="3"/>
  <c r="V313" i="3"/>
  <c r="V309" i="3"/>
  <c r="V305" i="3"/>
  <c r="V301" i="3"/>
  <c r="V289" i="3"/>
  <c r="V281" i="3"/>
  <c r="V273" i="3"/>
  <c r="V265" i="3"/>
  <c r="V253" i="3"/>
  <c r="V249" i="3"/>
  <c r="V241" i="3"/>
  <c r="V237" i="3"/>
  <c r="V233" i="3"/>
  <c r="V221" i="3"/>
  <c r="V217" i="3"/>
  <c r="V209" i="3"/>
  <c r="V201" i="3"/>
  <c r="V193" i="3"/>
  <c r="V185" i="3"/>
  <c r="V177" i="3"/>
  <c r="V169" i="3"/>
  <c r="V161" i="3"/>
  <c r="V153" i="3"/>
  <c r="V145" i="3"/>
  <c r="V351" i="3"/>
  <c r="V341" i="3"/>
  <c r="V277" i="3"/>
  <c r="V189" i="3"/>
  <c r="V181" i="3"/>
  <c r="V173" i="3"/>
  <c r="V149" i="3"/>
  <c r="V350" i="3"/>
  <c r="V340" i="3"/>
  <c r="V336" i="3"/>
  <c r="V332" i="3"/>
  <c r="V328" i="3"/>
  <c r="V312" i="3"/>
  <c r="V308" i="3"/>
  <c r="V304" i="3"/>
  <c r="V296" i="3"/>
  <c r="V288" i="3"/>
  <c r="V280" i="3"/>
  <c r="V272" i="3"/>
  <c r="V264" i="3"/>
  <c r="V256" i="3"/>
  <c r="V252" i="3"/>
  <c r="V244" i="3"/>
  <c r="V240" i="3"/>
  <c r="V236" i="3"/>
  <c r="V220" i="3"/>
  <c r="V216" i="3"/>
  <c r="V200" i="3"/>
  <c r="V192" i="3"/>
  <c r="V184" i="3"/>
  <c r="V176" i="3"/>
  <c r="V168" i="3"/>
  <c r="V160" i="3"/>
  <c r="V152" i="3"/>
  <c r="V144" i="3"/>
  <c r="V325" i="3"/>
  <c r="V317" i="3"/>
  <c r="V365" i="3"/>
  <c r="V361" i="3"/>
  <c r="V353" i="3"/>
  <c r="V345" i="3"/>
  <c r="V339" i="3"/>
  <c r="V335" i="3"/>
  <c r="V327" i="3"/>
  <c r="V303" i="3"/>
  <c r="V295" i="3"/>
  <c r="V287" i="3"/>
  <c r="V279" i="3"/>
  <c r="V271" i="3"/>
  <c r="V263" i="3"/>
  <c r="V255" i="3"/>
  <c r="V243" i="3"/>
  <c r="V235" i="3"/>
  <c r="V227" i="3"/>
  <c r="V215" i="3"/>
  <c r="T206" i="3"/>
  <c r="V199" i="3"/>
  <c r="V191" i="3"/>
  <c r="V183" i="3"/>
  <c r="V175" i="3"/>
  <c r="V167" i="3"/>
  <c r="V159" i="3"/>
  <c r="V151" i="3"/>
  <c r="V143" i="3"/>
  <c r="V257" i="3"/>
  <c r="V229" i="3"/>
  <c r="V225" i="3"/>
  <c r="V356" i="3"/>
  <c r="V348" i="3"/>
  <c r="V342" i="3"/>
  <c r="V338" i="3"/>
  <c r="V326" i="3"/>
  <c r="V298" i="3"/>
  <c r="V294" i="3"/>
  <c r="V286" i="3"/>
  <c r="V278" i="3"/>
  <c r="V270" i="3"/>
  <c r="V262" i="3"/>
  <c r="V258" i="3"/>
  <c r="V246" i="3"/>
  <c r="V226" i="3"/>
  <c r="V214" i="3"/>
  <c r="V198" i="3"/>
  <c r="V190" i="3"/>
  <c r="V182" i="3"/>
  <c r="V174" i="3"/>
  <c r="V166" i="3"/>
  <c r="V158" i="3"/>
  <c r="V150" i="3"/>
  <c r="V261" i="3"/>
  <c r="H336" i="18"/>
  <c r="D22" i="6"/>
  <c r="L16" i="6"/>
  <c r="H27" i="8"/>
  <c r="N18" i="8"/>
  <c r="L206" i="3"/>
  <c r="D359" i="3"/>
  <c r="H36" i="11"/>
  <c r="N36" i="11" s="1"/>
  <c r="N31" i="11"/>
  <c r="L18" i="4"/>
  <c r="D27" i="4"/>
  <c r="H31" i="6"/>
  <c r="N26" i="6"/>
  <c r="T26" i="6"/>
  <c r="Z22" i="6"/>
  <c r="H27" i="99"/>
  <c r="N18" i="99"/>
  <c r="T69" i="97"/>
  <c r="Z17" i="97"/>
  <c r="L18" i="98"/>
  <c r="D27" i="98"/>
  <c r="H36" i="96"/>
  <c r="N16" i="96"/>
  <c r="R17" i="97"/>
  <c r="P84" i="95"/>
  <c r="X21" i="95"/>
  <c r="Z21" i="95" s="1"/>
  <c r="L16" i="91"/>
  <c r="H83" i="90"/>
  <c r="R84" i="86"/>
  <c r="R77" i="86"/>
  <c r="R70" i="86"/>
  <c r="R53" i="86"/>
  <c r="R50" i="86"/>
  <c r="R33" i="86"/>
  <c r="R29" i="86"/>
  <c r="R20" i="86"/>
  <c r="R80" i="86"/>
  <c r="R76" i="86"/>
  <c r="R44" i="86"/>
  <c r="R41" i="86"/>
  <c r="R28" i="86"/>
  <c r="P20" i="86"/>
  <c r="X12" i="86"/>
  <c r="Z12" i="86" s="1"/>
  <c r="R75" i="86"/>
  <c r="R55" i="86"/>
  <c r="R52" i="86"/>
  <c r="R47" i="86"/>
  <c r="R32" i="86"/>
  <c r="R27" i="86"/>
  <c r="R91" i="86"/>
  <c r="R85" i="86"/>
  <c r="R82" i="86"/>
  <c r="R79" i="86"/>
  <c r="R74" i="86"/>
  <c r="R66" i="86"/>
  <c r="R62" i="86"/>
  <c r="R58" i="86"/>
  <c r="R46" i="86"/>
  <c r="R43" i="86"/>
  <c r="R38" i="86"/>
  <c r="R26" i="86"/>
  <c r="R18" i="86"/>
  <c r="R81" i="86"/>
  <c r="R72" i="86"/>
  <c r="R68" i="86"/>
  <c r="R64" i="86"/>
  <c r="R60" i="86"/>
  <c r="R45" i="86"/>
  <c r="R40" i="86"/>
  <c r="R36" i="86"/>
  <c r="R24" i="86"/>
  <c r="R89" i="86"/>
  <c r="R71" i="86"/>
  <c r="R56" i="86"/>
  <c r="R51" i="86"/>
  <c r="R48" i="86"/>
  <c r="R35" i="86"/>
  <c r="R31" i="86"/>
  <c r="R16" i="86"/>
  <c r="R94" i="86"/>
  <c r="R59" i="86"/>
  <c r="R30" i="86"/>
  <c r="R25" i="86"/>
  <c r="R87" i="86"/>
  <c r="R78" i="86"/>
  <c r="R67" i="86"/>
  <c r="R63" i="86"/>
  <c r="R42" i="86"/>
  <c r="R37" i="86"/>
  <c r="R17" i="86"/>
  <c r="R34" i="86"/>
  <c r="R22" i="86"/>
  <c r="R57" i="86"/>
  <c r="R39" i="86"/>
  <c r="R69" i="86"/>
  <c r="R73" i="86"/>
  <c r="R54" i="86"/>
  <c r="R23" i="86"/>
  <c r="R61" i="86"/>
  <c r="R49" i="86"/>
  <c r="R65" i="86"/>
  <c r="T46" i="88"/>
  <c r="Z17" i="88"/>
  <c r="Z89" i="85"/>
  <c r="H46" i="88"/>
  <c r="F35" i="80"/>
  <c r="F31" i="80"/>
  <c r="F22" i="80"/>
  <c r="F69" i="80"/>
  <c r="F66" i="80"/>
  <c r="F57" i="80"/>
  <c r="F53" i="80"/>
  <c r="F50" i="80"/>
  <c r="F45" i="80"/>
  <c r="F42" i="80"/>
  <c r="F34" i="80"/>
  <c r="F30" i="80"/>
  <c r="F83" i="80"/>
  <c r="F76" i="80"/>
  <c r="F65" i="80"/>
  <c r="F60" i="80"/>
  <c r="F33" i="80"/>
  <c r="F29" i="80"/>
  <c r="F16" i="80"/>
  <c r="F71" i="80"/>
  <c r="F68" i="80"/>
  <c r="F64" i="80"/>
  <c r="F56" i="80"/>
  <c r="F52" i="80"/>
  <c r="F47" i="80"/>
  <c r="F44" i="80"/>
  <c r="F39" i="80"/>
  <c r="F28" i="80"/>
  <c r="F23" i="80"/>
  <c r="L12" i="80"/>
  <c r="F63" i="80"/>
  <c r="F59" i="80"/>
  <c r="F55" i="80"/>
  <c r="F27" i="80"/>
  <c r="F20" i="80"/>
  <c r="F70" i="80"/>
  <c r="F62" i="80"/>
  <c r="F58" i="80"/>
  <c r="F54" i="80"/>
  <c r="F49" i="80"/>
  <c r="F46" i="80"/>
  <c r="F41" i="80"/>
  <c r="F38" i="80"/>
  <c r="F26" i="80"/>
  <c r="D20" i="80"/>
  <c r="F18" i="80"/>
  <c r="F61" i="80"/>
  <c r="F51" i="80"/>
  <c r="F25" i="80"/>
  <c r="F17" i="80"/>
  <c r="F80" i="80"/>
  <c r="F48" i="80"/>
  <c r="F43" i="80"/>
  <c r="F32" i="80"/>
  <c r="F40" i="80"/>
  <c r="F36" i="80"/>
  <c r="F72" i="80"/>
  <c r="F74" i="80"/>
  <c r="F37" i="80"/>
  <c r="F78" i="80"/>
  <c r="F67" i="80"/>
  <c r="F24" i="80"/>
  <c r="X93" i="81"/>
  <c r="Z93" i="81" s="1"/>
  <c r="D77" i="84"/>
  <c r="L20" i="84"/>
  <c r="Z12" i="75"/>
  <c r="V29" i="75"/>
  <c r="V23" i="75"/>
  <c r="V19" i="75"/>
  <c r="V18" i="75"/>
  <c r="V17" i="75"/>
  <c r="V25" i="75"/>
  <c r="V21" i="75"/>
  <c r="T21" i="75"/>
  <c r="J76" i="74"/>
  <c r="J70" i="74"/>
  <c r="J58" i="74"/>
  <c r="J54" i="74"/>
  <c r="J48" i="74"/>
  <c r="J40" i="74"/>
  <c r="J32" i="74"/>
  <c r="J26" i="74"/>
  <c r="J18" i="74"/>
  <c r="J67" i="74"/>
  <c r="J45" i="74"/>
  <c r="J37" i="74"/>
  <c r="J25" i="74"/>
  <c r="J17" i="74"/>
  <c r="J81" i="74"/>
  <c r="J74" i="74"/>
  <c r="J64" i="74"/>
  <c r="J50" i="74"/>
  <c r="J42" i="74"/>
  <c r="J36" i="74"/>
  <c r="J24" i="74"/>
  <c r="J22" i="74"/>
  <c r="J69" i="74"/>
  <c r="J63" i="74"/>
  <c r="J57" i="74"/>
  <c r="J53" i="74"/>
  <c r="J47" i="74"/>
  <c r="J39" i="74"/>
  <c r="J35" i="74"/>
  <c r="J31" i="74"/>
  <c r="J61" i="74"/>
  <c r="J49" i="74"/>
  <c r="J41" i="74"/>
  <c r="J33" i="74"/>
  <c r="J29" i="74"/>
  <c r="J23" i="74"/>
  <c r="J78" i="74"/>
  <c r="J72" i="74"/>
  <c r="J68" i="74"/>
  <c r="J60" i="74"/>
  <c r="J56" i="74"/>
  <c r="J52" i="74"/>
  <c r="J46" i="74"/>
  <c r="J38" i="74"/>
  <c r="J28" i="74"/>
  <c r="J20" i="74"/>
  <c r="N12" i="74"/>
  <c r="J65" i="74"/>
  <c r="J51" i="74"/>
  <c r="J16" i="74"/>
  <c r="J55" i="74"/>
  <c r="J27" i="74"/>
  <c r="J62" i="74"/>
  <c r="J59" i="74"/>
  <c r="J44" i="74"/>
  <c r="J43" i="74"/>
  <c r="J30" i="74"/>
  <c r="J66" i="74"/>
  <c r="J34" i="74"/>
  <c r="H20" i="74"/>
  <c r="D27" i="75"/>
  <c r="X141" i="69"/>
  <c r="Z141" i="69" s="1"/>
  <c r="J144" i="69"/>
  <c r="J136" i="69"/>
  <c r="J128" i="69"/>
  <c r="J116" i="69"/>
  <c r="J106" i="69"/>
  <c r="J100" i="69"/>
  <c r="J96" i="69"/>
  <c r="J84" i="69"/>
  <c r="J82" i="69"/>
  <c r="J76" i="69"/>
  <c r="J68" i="69"/>
  <c r="J60" i="69"/>
  <c r="N12" i="69"/>
  <c r="J139" i="69"/>
  <c r="J133" i="69"/>
  <c r="J121" i="69"/>
  <c r="J115" i="69"/>
  <c r="J109" i="69"/>
  <c r="J103" i="69"/>
  <c r="J95" i="69"/>
  <c r="J91" i="69"/>
  <c r="J75" i="69"/>
  <c r="J67" i="69"/>
  <c r="J59" i="69"/>
  <c r="J53" i="69"/>
  <c r="J148" i="69"/>
  <c r="J142" i="69"/>
  <c r="J138" i="69"/>
  <c r="J124" i="69"/>
  <c r="J118" i="69"/>
  <c r="J114" i="69"/>
  <c r="J102" i="69"/>
  <c r="J94" i="69"/>
  <c r="J90" i="69"/>
  <c r="J74" i="69"/>
  <c r="J66" i="69"/>
  <c r="J58" i="69"/>
  <c r="J135" i="69"/>
  <c r="J127" i="69"/>
  <c r="J113" i="69"/>
  <c r="J105" i="69"/>
  <c r="J99" i="69"/>
  <c r="J93" i="69"/>
  <c r="J89" i="69"/>
  <c r="J83" i="69"/>
  <c r="J73" i="69"/>
  <c r="J65" i="69"/>
  <c r="J57" i="69"/>
  <c r="J143" i="69"/>
  <c r="J137" i="69"/>
  <c r="J131" i="69"/>
  <c r="J123" i="69"/>
  <c r="J117" i="69"/>
  <c r="J111" i="69"/>
  <c r="J107" i="69"/>
  <c r="J101" i="69"/>
  <c r="J87" i="69"/>
  <c r="H80" i="69"/>
  <c r="J80" i="69" s="1"/>
  <c r="J71" i="69"/>
  <c r="J63" i="69"/>
  <c r="J55" i="69"/>
  <c r="J134" i="69"/>
  <c r="J130" i="69"/>
  <c r="J126" i="69"/>
  <c r="J122" i="69"/>
  <c r="J110" i="69"/>
  <c r="J104" i="69"/>
  <c r="J98" i="69"/>
  <c r="J92" i="69"/>
  <c r="J86" i="69"/>
  <c r="J78" i="69"/>
  <c r="J70" i="69"/>
  <c r="J62" i="69"/>
  <c r="J54" i="69"/>
  <c r="J69" i="69"/>
  <c r="J132" i="69"/>
  <c r="J129" i="69"/>
  <c r="J125" i="69"/>
  <c r="J108" i="69"/>
  <c r="J61" i="69"/>
  <c r="J85" i="69"/>
  <c r="J64" i="69"/>
  <c r="J141" i="69"/>
  <c r="J119" i="69"/>
  <c r="J97" i="69"/>
  <c r="J88" i="69"/>
  <c r="J77" i="69"/>
  <c r="J112" i="69"/>
  <c r="J120" i="69"/>
  <c r="J72" i="69"/>
  <c r="J56" i="69"/>
  <c r="J72" i="65"/>
  <c r="J66" i="65"/>
  <c r="J62" i="65"/>
  <c r="J58" i="65"/>
  <c r="J54" i="65"/>
  <c r="J48" i="65"/>
  <c r="J40" i="65"/>
  <c r="J32" i="65"/>
  <c r="J26" i="65"/>
  <c r="J18" i="65"/>
  <c r="J61" i="65"/>
  <c r="J57" i="65"/>
  <c r="J53" i="65"/>
  <c r="J45" i="65"/>
  <c r="J37" i="65"/>
  <c r="J25" i="65"/>
  <c r="J17" i="65"/>
  <c r="J70" i="65"/>
  <c r="J64" i="65"/>
  <c r="J60" i="65"/>
  <c r="J56" i="65"/>
  <c r="J50" i="65"/>
  <c r="J42" i="65"/>
  <c r="J36" i="65"/>
  <c r="J24" i="65"/>
  <c r="J22" i="65"/>
  <c r="J47" i="65"/>
  <c r="J39" i="65"/>
  <c r="J35" i="65"/>
  <c r="J31" i="65"/>
  <c r="J63" i="65"/>
  <c r="J59" i="65"/>
  <c r="J55" i="65"/>
  <c r="J49" i="65"/>
  <c r="J41" i="65"/>
  <c r="J33" i="65"/>
  <c r="J29" i="65"/>
  <c r="J23" i="65"/>
  <c r="J46" i="65"/>
  <c r="J38" i="65"/>
  <c r="J28" i="65"/>
  <c r="J20" i="65"/>
  <c r="N12" i="65"/>
  <c r="J44" i="65"/>
  <c r="J43" i="65"/>
  <c r="J34" i="65"/>
  <c r="J30" i="65"/>
  <c r="J75" i="65"/>
  <c r="J27" i="65"/>
  <c r="J68" i="65"/>
  <c r="J52" i="65"/>
  <c r="J51" i="65"/>
  <c r="H20" i="65"/>
  <c r="J16" i="65"/>
  <c r="T107" i="62"/>
  <c r="Z17" i="62"/>
  <c r="D70" i="57"/>
  <c r="L16" i="57"/>
  <c r="P58" i="60"/>
  <c r="X18" i="50"/>
  <c r="P27" i="50"/>
  <c r="L12" i="64"/>
  <c r="T70" i="56"/>
  <c r="Z16" i="56"/>
  <c r="Z17" i="48"/>
  <c r="T69" i="48"/>
  <c r="D31" i="54"/>
  <c r="P58" i="61"/>
  <c r="Z27" i="46"/>
  <c r="T31" i="46"/>
  <c r="D27" i="40"/>
  <c r="L18" i="40"/>
  <c r="D31" i="49"/>
  <c r="P27" i="46"/>
  <c r="X18" i="46"/>
  <c r="X127" i="39"/>
  <c r="Z127" i="39" s="1"/>
  <c r="Z18" i="37"/>
  <c r="T27" i="37"/>
  <c r="V98" i="45"/>
  <c r="V92" i="45"/>
  <c r="V88" i="45"/>
  <c r="V80" i="45"/>
  <c r="V72" i="45"/>
  <c r="V68" i="45"/>
  <c r="V64" i="45"/>
  <c r="V56" i="45"/>
  <c r="V48" i="45"/>
  <c r="V40" i="45"/>
  <c r="V90" i="45"/>
  <c r="V78" i="45"/>
  <c r="V74" i="45"/>
  <c r="V70" i="45"/>
  <c r="V66" i="45"/>
  <c r="V58" i="45"/>
  <c r="V50" i="45"/>
  <c r="V38" i="45"/>
  <c r="V85" i="45"/>
  <c r="V77" i="45"/>
  <c r="V69" i="45"/>
  <c r="V65" i="45"/>
  <c r="V57" i="45"/>
  <c r="V49" i="45"/>
  <c r="V37" i="45"/>
  <c r="V94" i="45"/>
  <c r="V84" i="45"/>
  <c r="V76" i="45"/>
  <c r="V60" i="45"/>
  <c r="V52" i="45"/>
  <c r="V44" i="45"/>
  <c r="V87" i="45"/>
  <c r="V83" i="45"/>
  <c r="V86" i="45"/>
  <c r="V55" i="45"/>
  <c r="V28" i="45"/>
  <c r="V20" i="45"/>
  <c r="Z12" i="45"/>
  <c r="V73" i="45"/>
  <c r="V61" i="45"/>
  <c r="V51" i="45"/>
  <c r="V39" i="45"/>
  <c r="V36" i="45"/>
  <c r="V27" i="45"/>
  <c r="V89" i="45"/>
  <c r="V82" i="45"/>
  <c r="V79" i="45"/>
  <c r="V63" i="45"/>
  <c r="V53" i="45"/>
  <c r="V35" i="45"/>
  <c r="V34" i="45"/>
  <c r="V75" i="45"/>
  <c r="V54" i="45"/>
  <c r="V47" i="45"/>
  <c r="V33" i="45"/>
  <c r="T24" i="45"/>
  <c r="V71" i="45"/>
  <c r="V62" i="45"/>
  <c r="V41" i="45"/>
  <c r="V32" i="45"/>
  <c r="V45" i="45"/>
  <c r="V42" i="45"/>
  <c r="V31" i="45"/>
  <c r="V91" i="45"/>
  <c r="V46" i="45"/>
  <c r="V43" i="45"/>
  <c r="V30" i="45"/>
  <c r="V26" i="45"/>
  <c r="V22" i="45"/>
  <c r="V29" i="45"/>
  <c r="V21" i="45"/>
  <c r="V67" i="45"/>
  <c r="V81" i="45"/>
  <c r="V59" i="45"/>
  <c r="X115" i="51"/>
  <c r="Z115" i="51" s="1"/>
  <c r="H121" i="51"/>
  <c r="P31" i="44"/>
  <c r="R121" i="42"/>
  <c r="R106" i="42"/>
  <c r="R98" i="42"/>
  <c r="R90" i="42"/>
  <c r="R86" i="42"/>
  <c r="R82" i="42"/>
  <c r="R70" i="42"/>
  <c r="R67" i="42"/>
  <c r="R62" i="42"/>
  <c r="R59" i="42"/>
  <c r="R55" i="42"/>
  <c r="R50" i="42"/>
  <c r="R46" i="42"/>
  <c r="R34" i="42"/>
  <c r="R26" i="42"/>
  <c r="R109" i="42"/>
  <c r="R105" i="42"/>
  <c r="R94" i="42"/>
  <c r="R89" i="42"/>
  <c r="R81" i="42"/>
  <c r="R78" i="42"/>
  <c r="R73" i="42"/>
  <c r="R45" i="42"/>
  <c r="R33" i="42"/>
  <c r="R30" i="42"/>
  <c r="R25" i="42"/>
  <c r="R119" i="42"/>
  <c r="R104" i="42"/>
  <c r="R97" i="42"/>
  <c r="R85" i="42"/>
  <c r="R69" i="42"/>
  <c r="R64" i="42"/>
  <c r="R61" i="42"/>
  <c r="R52" i="42"/>
  <c r="R49" i="42"/>
  <c r="R44" i="42"/>
  <c r="R40" i="42"/>
  <c r="R32" i="42"/>
  <c r="R122" i="42"/>
  <c r="R115" i="42"/>
  <c r="R111" i="42"/>
  <c r="R108" i="42"/>
  <c r="R103" i="42"/>
  <c r="R88" i="42"/>
  <c r="R80" i="42"/>
  <c r="R75" i="42"/>
  <c r="R72" i="42"/>
  <c r="R43" i="42"/>
  <c r="R39" i="42"/>
  <c r="R24" i="42"/>
  <c r="R114" i="42"/>
  <c r="R102" i="42"/>
  <c r="R66" i="42"/>
  <c r="R63" i="42"/>
  <c r="R58" i="42"/>
  <c r="R54" i="42"/>
  <c r="R51" i="42"/>
  <c r="R42" i="42"/>
  <c r="R38" i="42"/>
  <c r="R31" i="42"/>
  <c r="R120" i="42"/>
  <c r="R117" i="42"/>
  <c r="R113" i="42"/>
  <c r="R110" i="42"/>
  <c r="R101" i="42"/>
  <c r="R93" i="42"/>
  <c r="R77" i="42"/>
  <c r="R74" i="42"/>
  <c r="R57" i="42"/>
  <c r="R37" i="42"/>
  <c r="R126" i="42"/>
  <c r="R100" i="42"/>
  <c r="R96" i="42"/>
  <c r="R92" i="42"/>
  <c r="R84" i="42"/>
  <c r="R68" i="42"/>
  <c r="R65" i="42"/>
  <c r="R60" i="42"/>
  <c r="R56" i="42"/>
  <c r="R53" i="42"/>
  <c r="R48" i="42"/>
  <c r="R41" i="42"/>
  <c r="R36" i="42"/>
  <c r="P28" i="42"/>
  <c r="R28" i="42" s="1"/>
  <c r="X12" i="42"/>
  <c r="Z12" i="42" s="1"/>
  <c r="R116" i="42"/>
  <c r="R87" i="42"/>
  <c r="R99" i="42"/>
  <c r="R71" i="42"/>
  <c r="R79" i="42"/>
  <c r="R76" i="42"/>
  <c r="R107" i="42"/>
  <c r="R91" i="42"/>
  <c r="R47" i="42"/>
  <c r="R35" i="42"/>
  <c r="R112" i="42"/>
  <c r="R95" i="42"/>
  <c r="R83" i="42"/>
  <c r="H127" i="36"/>
  <c r="H27" i="35"/>
  <c r="N18" i="35"/>
  <c r="V119" i="42"/>
  <c r="L18" i="25"/>
  <c r="D27" i="25"/>
  <c r="X18" i="35"/>
  <c r="J172" i="30"/>
  <c r="J166" i="30"/>
  <c r="J162" i="30"/>
  <c r="J177" i="30"/>
  <c r="J168" i="30"/>
  <c r="J160" i="30"/>
  <c r="J178" i="30"/>
  <c r="J170" i="30"/>
  <c r="J173" i="30"/>
  <c r="J167" i="30"/>
  <c r="J169" i="30"/>
  <c r="J163" i="30"/>
  <c r="J158" i="30"/>
  <c r="J150" i="30"/>
  <c r="J146" i="30"/>
  <c r="J140" i="30"/>
  <c r="J134" i="30"/>
  <c r="J124" i="30"/>
  <c r="J118" i="30"/>
  <c r="J112" i="30"/>
  <c r="J106" i="30"/>
  <c r="J94" i="30"/>
  <c r="J86" i="30"/>
  <c r="J78" i="30"/>
  <c r="J70" i="30"/>
  <c r="J62" i="30"/>
  <c r="J182" i="30"/>
  <c r="J176" i="30"/>
  <c r="J155" i="30"/>
  <c r="J149" i="30"/>
  <c r="J145" i="30"/>
  <c r="J133" i="30"/>
  <c r="J121" i="30"/>
  <c r="J109" i="30"/>
  <c r="J105" i="30"/>
  <c r="J93" i="30"/>
  <c r="J91" i="30"/>
  <c r="J85" i="30"/>
  <c r="J77" i="30"/>
  <c r="J69" i="30"/>
  <c r="J61" i="30"/>
  <c r="J159" i="30"/>
  <c r="J157" i="30"/>
  <c r="J142" i="30"/>
  <c r="J132" i="30"/>
  <c r="J126" i="30"/>
  <c r="J120" i="30"/>
  <c r="J114" i="30"/>
  <c r="J104" i="30"/>
  <c r="J100" i="30"/>
  <c r="J84" i="30"/>
  <c r="J76" i="30"/>
  <c r="J68" i="30"/>
  <c r="J60" i="30"/>
  <c r="N12" i="30"/>
  <c r="J154" i="30"/>
  <c r="J153" i="30"/>
  <c r="J152" i="30"/>
  <c r="J139" i="30"/>
  <c r="J131" i="30"/>
  <c r="J123" i="30"/>
  <c r="J117" i="30"/>
  <c r="J111" i="30"/>
  <c r="J103" i="30"/>
  <c r="J99" i="30"/>
  <c r="J83" i="30"/>
  <c r="J75" i="30"/>
  <c r="J67" i="30"/>
  <c r="J59" i="30"/>
  <c r="J148" i="30"/>
  <c r="J144" i="30"/>
  <c r="J138" i="30"/>
  <c r="J130" i="30"/>
  <c r="J108" i="30"/>
  <c r="J102" i="30"/>
  <c r="J98" i="30"/>
  <c r="J92" i="30"/>
  <c r="J82" i="30"/>
  <c r="J74" i="30"/>
  <c r="J66" i="30"/>
  <c r="J58" i="30"/>
  <c r="J165" i="30"/>
  <c r="J164" i="30"/>
  <c r="J151" i="30"/>
  <c r="J141" i="30"/>
  <c r="J137" i="30"/>
  <c r="J129" i="30"/>
  <c r="J125" i="30"/>
  <c r="J119" i="30"/>
  <c r="J113" i="30"/>
  <c r="J97" i="30"/>
  <c r="J81" i="30"/>
  <c r="J73" i="30"/>
  <c r="J65" i="30"/>
  <c r="J161" i="30"/>
  <c r="J136" i="30"/>
  <c r="J128" i="30"/>
  <c r="J122" i="30"/>
  <c r="J116" i="30"/>
  <c r="J110" i="30"/>
  <c r="J96" i="30"/>
  <c r="H89" i="30"/>
  <c r="J80" i="30"/>
  <c r="J72" i="30"/>
  <c r="J64" i="30"/>
  <c r="J175" i="30"/>
  <c r="J171" i="30"/>
  <c r="J156" i="30"/>
  <c r="J147" i="30"/>
  <c r="J143" i="30"/>
  <c r="J135" i="30"/>
  <c r="J127" i="30"/>
  <c r="J115" i="30"/>
  <c r="J107" i="30"/>
  <c r="J101" i="30"/>
  <c r="J95" i="30"/>
  <c r="J87" i="30"/>
  <c r="J79" i="30"/>
  <c r="J71" i="30"/>
  <c r="J63" i="30"/>
  <c r="J57" i="30"/>
  <c r="Z128" i="27"/>
  <c r="X157" i="24"/>
  <c r="Z157" i="24" s="1"/>
  <c r="T36" i="28"/>
  <c r="Z36" i="28" s="1"/>
  <c r="Z31" i="28"/>
  <c r="D27" i="23"/>
  <c r="L18" i="23"/>
  <c r="J28" i="21"/>
  <c r="V149" i="24"/>
  <c r="V141" i="24"/>
  <c r="V137" i="24"/>
  <c r="V129" i="24"/>
  <c r="V121" i="24"/>
  <c r="V113" i="24"/>
  <c r="V105" i="24"/>
  <c r="V97" i="24"/>
  <c r="V93" i="24"/>
  <c r="V77" i="24"/>
  <c r="V69" i="24"/>
  <c r="V61" i="24"/>
  <c r="V162" i="24"/>
  <c r="V148" i="24"/>
  <c r="V144" i="24"/>
  <c r="V140" i="24"/>
  <c r="V128" i="24"/>
  <c r="V120" i="24"/>
  <c r="V108" i="24"/>
  <c r="V104" i="24"/>
  <c r="V96" i="24"/>
  <c r="V92" i="24"/>
  <c r="T83" i="24"/>
  <c r="V76" i="24"/>
  <c r="V68" i="24"/>
  <c r="V60" i="24"/>
  <c r="V157" i="24"/>
  <c r="V151" i="24"/>
  <c r="V147" i="24"/>
  <c r="V143" i="24"/>
  <c r="V127" i="24"/>
  <c r="V119" i="24"/>
  <c r="V107" i="24"/>
  <c r="V91" i="24"/>
  <c r="V75" i="24"/>
  <c r="V67" i="24"/>
  <c r="V59" i="24"/>
  <c r="V150" i="24"/>
  <c r="V146" i="24"/>
  <c r="V134" i="24"/>
  <c r="V126" i="24"/>
  <c r="V118" i="24"/>
  <c r="V110" i="24"/>
  <c r="V106" i="24"/>
  <c r="V90" i="24"/>
  <c r="V74" i="24"/>
  <c r="V66" i="24"/>
  <c r="V58" i="24"/>
  <c r="V153" i="24"/>
  <c r="V145" i="24"/>
  <c r="V133" i="24"/>
  <c r="V125" i="24"/>
  <c r="V117" i="24"/>
  <c r="V109" i="24"/>
  <c r="V101" i="24"/>
  <c r="V89" i="24"/>
  <c r="V85" i="24"/>
  <c r="V81" i="24"/>
  <c r="V73" i="24"/>
  <c r="V65" i="24"/>
  <c r="V57" i="24"/>
  <c r="V158" i="24"/>
  <c r="V152" i="24"/>
  <c r="V136" i="24"/>
  <c r="V132" i="24"/>
  <c r="V124" i="24"/>
  <c r="V116" i="24"/>
  <c r="V112" i="24"/>
  <c r="V100" i="24"/>
  <c r="V88" i="24"/>
  <c r="V80" i="24"/>
  <c r="V72" i="24"/>
  <c r="V64" i="24"/>
  <c r="V56" i="24"/>
  <c r="V155" i="24"/>
  <c r="V139" i="24"/>
  <c r="V135" i="24"/>
  <c r="V131" i="24"/>
  <c r="V123" i="24"/>
  <c r="V115" i="24"/>
  <c r="V111" i="24"/>
  <c r="V103" i="24"/>
  <c r="V99" i="24"/>
  <c r="V95" i="24"/>
  <c r="V87" i="24"/>
  <c r="V79" i="24"/>
  <c r="V71" i="24"/>
  <c r="V63" i="24"/>
  <c r="V154" i="24"/>
  <c r="V142" i="24"/>
  <c r="V138" i="24"/>
  <c r="V130" i="24"/>
  <c r="V122" i="24"/>
  <c r="V114" i="24"/>
  <c r="V102" i="24"/>
  <c r="V98" i="24"/>
  <c r="V94" i="24"/>
  <c r="V86" i="24"/>
  <c r="V78" i="24"/>
  <c r="V70" i="24"/>
  <c r="V62" i="24"/>
  <c r="Z12" i="24"/>
  <c r="X172" i="12"/>
  <c r="P313" i="12"/>
  <c r="H92" i="9"/>
  <c r="N16" i="9"/>
  <c r="D313" i="12"/>
  <c r="L172" i="12"/>
  <c r="N172" i="12" s="1"/>
  <c r="L302" i="12"/>
  <c r="N302" i="12" s="1"/>
  <c r="P22" i="6"/>
  <c r="X16" i="6"/>
  <c r="P99" i="9"/>
  <c r="P359" i="3"/>
  <c r="X206" i="3"/>
  <c r="X12" i="3"/>
  <c r="Z12" i="3" s="1"/>
  <c r="F62" i="97"/>
  <c r="F58" i="97"/>
  <c r="F49" i="97"/>
  <c r="F46" i="97"/>
  <c r="F67" i="97"/>
  <c r="F61" i="97"/>
  <c r="F57" i="97"/>
  <c r="F54" i="97"/>
  <c r="F50" i="97"/>
  <c r="F45" i="97"/>
  <c r="F63" i="97"/>
  <c r="F60" i="97"/>
  <c r="F56" i="97"/>
  <c r="F52" i="97"/>
  <c r="F47" i="97"/>
  <c r="F44" i="97"/>
  <c r="F59" i="97"/>
  <c r="F43" i="97"/>
  <c r="F38" i="97"/>
  <c r="F24" i="97"/>
  <c r="F17" i="97"/>
  <c r="F53" i="97"/>
  <c r="F35" i="97"/>
  <c r="F30" i="97"/>
  <c r="F23" i="97"/>
  <c r="D17" i="97"/>
  <c r="F39" i="97"/>
  <c r="F34" i="97"/>
  <c r="F22" i="97"/>
  <c r="F66" i="97"/>
  <c r="F64" i="97"/>
  <c r="F55" i="97"/>
  <c r="F41" i="97"/>
  <c r="F40" i="97"/>
  <c r="F33" i="97"/>
  <c r="F29" i="97"/>
  <c r="F21" i="97"/>
  <c r="F31" i="97"/>
  <c r="F27" i="97"/>
  <c r="F26" i="97"/>
  <c r="F71" i="97"/>
  <c r="F42" i="97"/>
  <c r="F20" i="97"/>
  <c r="F15" i="97"/>
  <c r="F51" i="97"/>
  <c r="F48" i="97"/>
  <c r="L12" i="97"/>
  <c r="N12" i="97" s="1"/>
  <c r="F37" i="97"/>
  <c r="F36" i="97"/>
  <c r="F28" i="97"/>
  <c r="F19" i="97"/>
  <c r="F25" i="97"/>
  <c r="F32" i="97"/>
  <c r="T58" i="93"/>
  <c r="V80" i="92"/>
  <c r="V72" i="92"/>
  <c r="V56" i="92"/>
  <c r="V48" i="92"/>
  <c r="V40" i="92"/>
  <c r="V28" i="92"/>
  <c r="V24" i="92"/>
  <c r="V20" i="92"/>
  <c r="Z12" i="92"/>
  <c r="V79" i="92"/>
  <c r="V71" i="92"/>
  <c r="V67" i="92"/>
  <c r="V63" i="92"/>
  <c r="V59" i="92"/>
  <c r="V51" i="92"/>
  <c r="V43" i="92"/>
  <c r="V88" i="92"/>
  <c r="V82" i="92"/>
  <c r="V70" i="92"/>
  <c r="V66" i="92"/>
  <c r="V62" i="92"/>
  <c r="V58" i="92"/>
  <c r="V50" i="92"/>
  <c r="V42" i="92"/>
  <c r="V38" i="92"/>
  <c r="V34" i="92"/>
  <c r="V26" i="92"/>
  <c r="V18" i="92"/>
  <c r="V81" i="92"/>
  <c r="V69" i="92"/>
  <c r="V65" i="92"/>
  <c r="V61" i="92"/>
  <c r="V53" i="92"/>
  <c r="V45" i="92"/>
  <c r="V37" i="92"/>
  <c r="V33" i="92"/>
  <c r="V25" i="92"/>
  <c r="V76" i="92"/>
  <c r="V68" i="92"/>
  <c r="V64" i="92"/>
  <c r="V60" i="92"/>
  <c r="V52" i="92"/>
  <c r="V44" i="92"/>
  <c r="V36" i="92"/>
  <c r="V32" i="92"/>
  <c r="V22" i="92"/>
  <c r="V75" i="92"/>
  <c r="V55" i="92"/>
  <c r="V47" i="92"/>
  <c r="V35" i="92"/>
  <c r="V31" i="92"/>
  <c r="T22" i="92"/>
  <c r="V84" i="92"/>
  <c r="V73" i="92"/>
  <c r="V41" i="92"/>
  <c r="V19" i="92"/>
  <c r="V78" i="92"/>
  <c r="V74" i="92"/>
  <c r="V49" i="92"/>
  <c r="V39" i="92"/>
  <c r="V29" i="92"/>
  <c r="V46" i="92"/>
  <c r="V27" i="92"/>
  <c r="V77" i="92"/>
  <c r="V30" i="92"/>
  <c r="V57" i="92"/>
  <c r="V54" i="92"/>
  <c r="L46" i="91"/>
  <c r="D50" i="91"/>
  <c r="V85" i="90"/>
  <c r="V67" i="90"/>
  <c r="V63" i="90"/>
  <c r="V51" i="90"/>
  <c r="V43" i="90"/>
  <c r="V39" i="90"/>
  <c r="V35" i="90"/>
  <c r="V27" i="90"/>
  <c r="V19" i="90"/>
  <c r="V80" i="90"/>
  <c r="V74" i="90"/>
  <c r="V54" i="90"/>
  <c r="V46" i="90"/>
  <c r="V38" i="90"/>
  <c r="V34" i="90"/>
  <c r="V26" i="90"/>
  <c r="V73" i="90"/>
  <c r="V53" i="90"/>
  <c r="V76" i="90"/>
  <c r="V72" i="90"/>
  <c r="V60" i="90"/>
  <c r="V56" i="90"/>
  <c r="V48" i="90"/>
  <c r="V36" i="90"/>
  <c r="V32" i="90"/>
  <c r="T23" i="90"/>
  <c r="V81" i="90"/>
  <c r="V75" i="90"/>
  <c r="V71" i="90"/>
  <c r="V59" i="90"/>
  <c r="V55" i="90"/>
  <c r="V47" i="90"/>
  <c r="V31" i="90"/>
  <c r="V78" i="90"/>
  <c r="V70" i="90"/>
  <c r="V66" i="90"/>
  <c r="V62" i="90"/>
  <c r="V58" i="90"/>
  <c r="V50" i="90"/>
  <c r="V42" i="90"/>
  <c r="V69" i="90"/>
  <c r="V65" i="90"/>
  <c r="V33" i="90"/>
  <c r="V28" i="90"/>
  <c r="V49" i="90"/>
  <c r="V40" i="90"/>
  <c r="V29" i="90"/>
  <c r="V77" i="90"/>
  <c r="V41" i="90"/>
  <c r="V30" i="90"/>
  <c r="V21" i="90"/>
  <c r="V20" i="90"/>
  <c r="V45" i="90"/>
  <c r="V25" i="90"/>
  <c r="V23" i="90"/>
  <c r="V37" i="90"/>
  <c r="V44" i="90"/>
  <c r="V64" i="90"/>
  <c r="V61" i="90"/>
  <c r="V68" i="90"/>
  <c r="V52" i="90"/>
  <c r="Z12" i="90"/>
  <c r="V57" i="90"/>
  <c r="L20" i="89"/>
  <c r="D63" i="89"/>
  <c r="H77" i="84"/>
  <c r="N20" i="84"/>
  <c r="V89" i="85"/>
  <c r="D71" i="83"/>
  <c r="L20" i="83"/>
  <c r="H75" i="82"/>
  <c r="V135" i="77"/>
  <c r="V107" i="77"/>
  <c r="V99" i="77"/>
  <c r="V91" i="77"/>
  <c r="V83" i="77"/>
  <c r="V75" i="77"/>
  <c r="V71" i="77"/>
  <c r="V55" i="77"/>
  <c r="V47" i="77"/>
  <c r="V144" i="77"/>
  <c r="V138" i="77"/>
  <c r="V130" i="77"/>
  <c r="V110" i="77"/>
  <c r="V106" i="77"/>
  <c r="V98" i="77"/>
  <c r="V94" i="77"/>
  <c r="V82" i="77"/>
  <c r="V74" i="77"/>
  <c r="V70" i="77"/>
  <c r="T61" i="77"/>
  <c r="V61" i="77" s="1"/>
  <c r="V54" i="77"/>
  <c r="V46" i="77"/>
  <c r="V137" i="77"/>
  <c r="V129" i="77"/>
  <c r="V109" i="77"/>
  <c r="V105" i="77"/>
  <c r="V97" i="77"/>
  <c r="V93" i="77"/>
  <c r="V85" i="77"/>
  <c r="V73" i="77"/>
  <c r="V69" i="77"/>
  <c r="V53" i="77"/>
  <c r="V45" i="77"/>
  <c r="V132" i="77"/>
  <c r="V128" i="77"/>
  <c r="V120" i="77"/>
  <c r="V116" i="77"/>
  <c r="V112" i="77"/>
  <c r="V104" i="77"/>
  <c r="V96" i="77"/>
  <c r="V88" i="77"/>
  <c r="V84" i="77"/>
  <c r="V68" i="77"/>
  <c r="V52" i="77"/>
  <c r="V44" i="77"/>
  <c r="Z12" i="77"/>
  <c r="V140" i="77"/>
  <c r="V134" i="77"/>
  <c r="V126" i="77"/>
  <c r="V122" i="77"/>
  <c r="V118" i="77"/>
  <c r="V114" i="77"/>
  <c r="V102" i="77"/>
  <c r="V90" i="77"/>
  <c r="V86" i="77"/>
  <c r="V78" i="77"/>
  <c r="V66" i="77"/>
  <c r="V58" i="77"/>
  <c r="V50" i="77"/>
  <c r="V42" i="77"/>
  <c r="V133" i="77"/>
  <c r="V125" i="77"/>
  <c r="V121" i="77"/>
  <c r="V117" i="77"/>
  <c r="V113" i="77"/>
  <c r="V101" i="77"/>
  <c r="V89" i="77"/>
  <c r="V81" i="77"/>
  <c r="V77" i="77"/>
  <c r="V65" i="77"/>
  <c r="V57" i="77"/>
  <c r="V49" i="77"/>
  <c r="V41" i="77"/>
  <c r="V51" i="77"/>
  <c r="V40" i="77"/>
  <c r="V111" i="77"/>
  <c r="V64" i="77"/>
  <c r="V63" i="77"/>
  <c r="V43" i="77"/>
  <c r="V87" i="77"/>
  <c r="V80" i="77"/>
  <c r="V131" i="77"/>
  <c r="V124" i="77"/>
  <c r="V119" i="77"/>
  <c r="V100" i="77"/>
  <c r="V76" i="77"/>
  <c r="V72" i="77"/>
  <c r="V59" i="77"/>
  <c r="V127" i="77"/>
  <c r="V123" i="77"/>
  <c r="V108" i="77"/>
  <c r="V95" i="77"/>
  <c r="V79" i="77"/>
  <c r="V67" i="77"/>
  <c r="V48" i="77"/>
  <c r="V136" i="77"/>
  <c r="V115" i="77"/>
  <c r="V92" i="77"/>
  <c r="V103" i="77"/>
  <c r="V56" i="77"/>
  <c r="J17" i="75"/>
  <c r="J25" i="75"/>
  <c r="J29" i="75"/>
  <c r="J19" i="75"/>
  <c r="J18" i="75"/>
  <c r="H21" i="75"/>
  <c r="J21" i="75" s="1"/>
  <c r="N12" i="75"/>
  <c r="J23" i="75"/>
  <c r="V57" i="72"/>
  <c r="V53" i="72"/>
  <c r="V49" i="72"/>
  <c r="V41" i="72"/>
  <c r="V70" i="72"/>
  <c r="V62" i="72"/>
  <c r="V56" i="72"/>
  <c r="V52" i="72"/>
  <c r="V40" i="72"/>
  <c r="V65" i="72"/>
  <c r="V59" i="72"/>
  <c r="V55" i="72"/>
  <c r="V51" i="72"/>
  <c r="V43" i="72"/>
  <c r="V58" i="72"/>
  <c r="V42" i="72"/>
  <c r="V38" i="72"/>
  <c r="V66" i="72"/>
  <c r="V48" i="72"/>
  <c r="V44" i="72"/>
  <c r="V61" i="72"/>
  <c r="V47" i="72"/>
  <c r="V54" i="72"/>
  <c r="V29" i="72"/>
  <c r="V21" i="72"/>
  <c r="V28" i="72"/>
  <c r="V20" i="72"/>
  <c r="Z12" i="72"/>
  <c r="V35" i="72"/>
  <c r="V19" i="72"/>
  <c r="V46" i="72"/>
  <c r="V34" i="72"/>
  <c r="T25" i="72"/>
  <c r="V18" i="72"/>
  <c r="V50" i="72"/>
  <c r="V39" i="72"/>
  <c r="V36" i="72"/>
  <c r="V32" i="72"/>
  <c r="V31" i="72"/>
  <c r="V27" i="72"/>
  <c r="V23" i="72"/>
  <c r="V45" i="72"/>
  <c r="V37" i="72"/>
  <c r="V33" i="72"/>
  <c r="V64" i="72"/>
  <c r="V63" i="72"/>
  <c r="V30" i="72"/>
  <c r="V22" i="72"/>
  <c r="R118" i="71"/>
  <c r="R111" i="71"/>
  <c r="R108" i="71"/>
  <c r="R103" i="71"/>
  <c r="R96" i="71"/>
  <c r="R91" i="71"/>
  <c r="R83" i="71"/>
  <c r="R80" i="71"/>
  <c r="R75" i="71"/>
  <c r="R63" i="71"/>
  <c r="R55" i="71"/>
  <c r="R47" i="71"/>
  <c r="R99" i="71"/>
  <c r="R90" i="71"/>
  <c r="R86" i="71"/>
  <c r="R74" i="71"/>
  <c r="R62" i="71"/>
  <c r="R59" i="71"/>
  <c r="R54" i="71"/>
  <c r="R46" i="71"/>
  <c r="R39" i="71"/>
  <c r="R116" i="71"/>
  <c r="R113" i="71"/>
  <c r="R110" i="71"/>
  <c r="R102" i="71"/>
  <c r="R89" i="71"/>
  <c r="R82" i="71"/>
  <c r="R77" i="71"/>
  <c r="R73" i="71"/>
  <c r="R69" i="71"/>
  <c r="R61" i="71"/>
  <c r="R53" i="71"/>
  <c r="R45" i="71"/>
  <c r="R119" i="71"/>
  <c r="R88" i="71"/>
  <c r="R85" i="71"/>
  <c r="R72" i="71"/>
  <c r="R68" i="71"/>
  <c r="R52" i="71"/>
  <c r="R44" i="71"/>
  <c r="X12" i="71"/>
  <c r="Z12" i="71" s="1"/>
  <c r="R117" i="71"/>
  <c r="R106" i="71"/>
  <c r="R98" i="71"/>
  <c r="R94" i="71"/>
  <c r="R87" i="71"/>
  <c r="R66" i="71"/>
  <c r="R50" i="71"/>
  <c r="R42" i="71"/>
  <c r="R123" i="71"/>
  <c r="R109" i="71"/>
  <c r="R105" i="71"/>
  <c r="R101" i="71"/>
  <c r="R97" i="71"/>
  <c r="R93" i="71"/>
  <c r="R81" i="71"/>
  <c r="R78" i="71"/>
  <c r="R70" i="71"/>
  <c r="R65" i="71"/>
  <c r="P57" i="71"/>
  <c r="R57" i="71" s="1"/>
  <c r="R49" i="71"/>
  <c r="R41" i="71"/>
  <c r="R104" i="71"/>
  <c r="R95" i="71"/>
  <c r="R92" i="71"/>
  <c r="R71" i="71"/>
  <c r="R51" i="71"/>
  <c r="R100" i="71"/>
  <c r="R60" i="71"/>
  <c r="R48" i="71"/>
  <c r="R79" i="71"/>
  <c r="R43" i="71"/>
  <c r="R40" i="71"/>
  <c r="R76" i="71"/>
  <c r="R84" i="71"/>
  <c r="R115" i="71"/>
  <c r="R112" i="71"/>
  <c r="R67" i="71"/>
  <c r="R64" i="71"/>
  <c r="R107" i="71"/>
  <c r="F106" i="68"/>
  <c r="F99" i="68"/>
  <c r="F88" i="68"/>
  <c r="F84" i="68"/>
  <c r="F75" i="68"/>
  <c r="F68" i="68"/>
  <c r="F64" i="68"/>
  <c r="F55" i="68"/>
  <c r="F48" i="68"/>
  <c r="F94" i="68"/>
  <c r="F91" i="68"/>
  <c r="F83" i="68"/>
  <c r="F71" i="68"/>
  <c r="F67" i="68"/>
  <c r="F63" i="68"/>
  <c r="F47" i="68"/>
  <c r="F90" i="68"/>
  <c r="F82" i="68"/>
  <c r="F77" i="68"/>
  <c r="F74" i="68"/>
  <c r="F62" i="68"/>
  <c r="F46" i="68"/>
  <c r="F93" i="68"/>
  <c r="F81" i="68"/>
  <c r="F73" i="68"/>
  <c r="F61" i="68"/>
  <c r="F56" i="68"/>
  <c r="F45" i="68"/>
  <c r="F101" i="68"/>
  <c r="F95" i="68"/>
  <c r="F79" i="68"/>
  <c r="F70" i="68"/>
  <c r="F66" i="68"/>
  <c r="F59" i="68"/>
  <c r="D53" i="68"/>
  <c r="F51" i="68"/>
  <c r="F89" i="68"/>
  <c r="F86" i="68"/>
  <c r="F78" i="68"/>
  <c r="F58" i="68"/>
  <c r="F50" i="68"/>
  <c r="F42" i="68"/>
  <c r="F97" i="68"/>
  <c r="F87" i="68"/>
  <c r="F60" i="68"/>
  <c r="F44" i="68"/>
  <c r="F92" i="68"/>
  <c r="F85" i="68"/>
  <c r="F76" i="68"/>
  <c r="F72" i="68"/>
  <c r="F41" i="68"/>
  <c r="F40" i="68"/>
  <c r="F39" i="68"/>
  <c r="F38" i="68"/>
  <c r="F37" i="68"/>
  <c r="L12" i="68"/>
  <c r="F103" i="68"/>
  <c r="F80" i="68"/>
  <c r="F49" i="68"/>
  <c r="F65" i="68"/>
  <c r="F69" i="68"/>
  <c r="F57" i="68"/>
  <c r="F53" i="68"/>
  <c r="F36" i="68"/>
  <c r="F43" i="68"/>
  <c r="V70" i="67"/>
  <c r="V66" i="67"/>
  <c r="V58" i="67"/>
  <c r="V54" i="67"/>
  <c r="V46" i="67"/>
  <c r="V38" i="67"/>
  <c r="V34" i="67"/>
  <c r="T25" i="67"/>
  <c r="V69" i="67"/>
  <c r="V65" i="67"/>
  <c r="V61" i="67"/>
  <c r="V57" i="67"/>
  <c r="V49" i="67"/>
  <c r="V37" i="67"/>
  <c r="V33" i="67"/>
  <c r="V78" i="67"/>
  <c r="V72" i="67"/>
  <c r="V64" i="67"/>
  <c r="V60" i="67"/>
  <c r="V56" i="67"/>
  <c r="V48" i="67"/>
  <c r="V32" i="67"/>
  <c r="V71" i="67"/>
  <c r="V63" i="67"/>
  <c r="V51" i="67"/>
  <c r="V43" i="67"/>
  <c r="V31" i="67"/>
  <c r="V27" i="67"/>
  <c r="V23" i="67"/>
  <c r="V62" i="67"/>
  <c r="V50" i="67"/>
  <c r="V42" i="67"/>
  <c r="V53" i="67"/>
  <c r="V45" i="67"/>
  <c r="V41" i="67"/>
  <c r="V29" i="67"/>
  <c r="V21" i="67"/>
  <c r="V74" i="67"/>
  <c r="V68" i="67"/>
  <c r="V52" i="67"/>
  <c r="V44" i="67"/>
  <c r="V40" i="67"/>
  <c r="V36" i="67"/>
  <c r="V28" i="67"/>
  <c r="Z12" i="67"/>
  <c r="V25" i="67"/>
  <c r="V67" i="67"/>
  <c r="V55" i="67"/>
  <c r="V59" i="67"/>
  <c r="V39" i="67"/>
  <c r="V30" i="67"/>
  <c r="V47" i="67"/>
  <c r="V35" i="67"/>
  <c r="V22" i="67"/>
  <c r="X16" i="58"/>
  <c r="P74" i="58"/>
  <c r="T70" i="57"/>
  <c r="Z16" i="57"/>
  <c r="T81" i="58"/>
  <c r="J91" i="68"/>
  <c r="J83" i="68"/>
  <c r="J77" i="68"/>
  <c r="J71" i="68"/>
  <c r="J67" i="68"/>
  <c r="J63" i="68"/>
  <c r="J47" i="68"/>
  <c r="J90" i="68"/>
  <c r="J82" i="68"/>
  <c r="J74" i="68"/>
  <c r="J62" i="68"/>
  <c r="J56" i="68"/>
  <c r="J46" i="68"/>
  <c r="J97" i="68"/>
  <c r="J93" i="68"/>
  <c r="J87" i="68"/>
  <c r="J81" i="68"/>
  <c r="J73" i="68"/>
  <c r="J61" i="68"/>
  <c r="J53" i="68"/>
  <c r="J45" i="68"/>
  <c r="J80" i="68"/>
  <c r="J76" i="68"/>
  <c r="J70" i="68"/>
  <c r="J66" i="68"/>
  <c r="J60" i="68"/>
  <c r="H53" i="68"/>
  <c r="J44" i="68"/>
  <c r="J92" i="68"/>
  <c r="J86" i="68"/>
  <c r="J78" i="68"/>
  <c r="J72" i="68"/>
  <c r="J58" i="68"/>
  <c r="J50" i="68"/>
  <c r="J85" i="68"/>
  <c r="J75" i="68"/>
  <c r="J69" i="68"/>
  <c r="J65" i="68"/>
  <c r="J57" i="68"/>
  <c r="J55" i="68"/>
  <c r="J49" i="68"/>
  <c r="J41" i="68"/>
  <c r="J101" i="68"/>
  <c r="J84" i="68"/>
  <c r="J79" i="68"/>
  <c r="J89" i="68"/>
  <c r="J88" i="68"/>
  <c r="J51" i="68"/>
  <c r="J40" i="68"/>
  <c r="J39" i="68"/>
  <c r="J38" i="68"/>
  <c r="J37" i="68"/>
  <c r="N12" i="68"/>
  <c r="J94" i="68"/>
  <c r="J64" i="68"/>
  <c r="J48" i="68"/>
  <c r="J68" i="68"/>
  <c r="J59" i="68"/>
  <c r="J36" i="68"/>
  <c r="J95" i="68"/>
  <c r="J43" i="68"/>
  <c r="J42" i="68"/>
  <c r="H58" i="63"/>
  <c r="L58" i="63" s="1"/>
  <c r="N16" i="63"/>
  <c r="T34" i="55"/>
  <c r="Z16" i="55"/>
  <c r="L115" i="51"/>
  <c r="N115" i="51" s="1"/>
  <c r="N66" i="48"/>
  <c r="L66" i="48"/>
  <c r="P31" i="52"/>
  <c r="J117" i="42"/>
  <c r="J113" i="42"/>
  <c r="J101" i="42"/>
  <c r="J93" i="42"/>
  <c r="J77" i="42"/>
  <c r="J63" i="42"/>
  <c r="J57" i="42"/>
  <c r="J51" i="42"/>
  <c r="J37" i="42"/>
  <c r="J31" i="42"/>
  <c r="J126" i="42"/>
  <c r="J120" i="42"/>
  <c r="J110" i="42"/>
  <c r="J100" i="42"/>
  <c r="J96" i="42"/>
  <c r="J92" i="42"/>
  <c r="J84" i="42"/>
  <c r="J74" i="42"/>
  <c r="J68" i="42"/>
  <c r="J60" i="42"/>
  <c r="J56" i="42"/>
  <c r="J48" i="42"/>
  <c r="J36" i="42"/>
  <c r="J28" i="42"/>
  <c r="N12" i="42"/>
  <c r="J107" i="42"/>
  <c r="J99" i="42"/>
  <c r="J95" i="42"/>
  <c r="J91" i="42"/>
  <c r="J87" i="42"/>
  <c r="J83" i="42"/>
  <c r="J79" i="42"/>
  <c r="J71" i="42"/>
  <c r="J65" i="42"/>
  <c r="J53" i="42"/>
  <c r="J47" i="42"/>
  <c r="J41" i="42"/>
  <c r="J35" i="42"/>
  <c r="H28" i="42"/>
  <c r="J131" i="42"/>
  <c r="J124" i="42"/>
  <c r="J116" i="42"/>
  <c r="J112" i="42"/>
  <c r="J106" i="42"/>
  <c r="J98" i="42"/>
  <c r="J90" i="42"/>
  <c r="J86" i="42"/>
  <c r="J82" i="42"/>
  <c r="J76" i="42"/>
  <c r="J70" i="42"/>
  <c r="J62" i="42"/>
  <c r="J50" i="42"/>
  <c r="J46" i="42"/>
  <c r="J34" i="42"/>
  <c r="J26" i="42"/>
  <c r="J121" i="42"/>
  <c r="J109" i="42"/>
  <c r="J105" i="42"/>
  <c r="J89" i="42"/>
  <c r="J81" i="42"/>
  <c r="J73" i="42"/>
  <c r="J67" i="42"/>
  <c r="J59" i="42"/>
  <c r="J55" i="42"/>
  <c r="J45" i="42"/>
  <c r="J33" i="42"/>
  <c r="J25" i="42"/>
  <c r="J104" i="42"/>
  <c r="J94" i="42"/>
  <c r="J78" i="42"/>
  <c r="J64" i="42"/>
  <c r="J52" i="42"/>
  <c r="J44" i="42"/>
  <c r="J40" i="42"/>
  <c r="J32" i="42"/>
  <c r="J30" i="42"/>
  <c r="J119" i="42"/>
  <c r="J115" i="42"/>
  <c r="J111" i="42"/>
  <c r="J103" i="42"/>
  <c r="J97" i="42"/>
  <c r="J85" i="42"/>
  <c r="J75" i="42"/>
  <c r="J69" i="42"/>
  <c r="J61" i="42"/>
  <c r="J49" i="42"/>
  <c r="J43" i="42"/>
  <c r="J39" i="42"/>
  <c r="J58" i="42"/>
  <c r="J38" i="42"/>
  <c r="J128" i="42"/>
  <c r="J122" i="42"/>
  <c r="J54" i="42"/>
  <c r="J88" i="42"/>
  <c r="J24" i="42"/>
  <c r="J72" i="42"/>
  <c r="J66" i="42"/>
  <c r="J114" i="42"/>
  <c r="J102" i="42"/>
  <c r="J80" i="42"/>
  <c r="J42" i="42"/>
  <c r="J108" i="42"/>
  <c r="H74" i="56"/>
  <c r="L27" i="46"/>
  <c r="D31" i="46"/>
  <c r="L18" i="43"/>
  <c r="D27" i="43"/>
  <c r="J124" i="39"/>
  <c r="J120" i="39"/>
  <c r="J114" i="39"/>
  <c r="J106" i="39"/>
  <c r="J98" i="39"/>
  <c r="J94" i="39"/>
  <c r="J90" i="39"/>
  <c r="J84" i="39"/>
  <c r="J78" i="39"/>
  <c r="J72" i="39"/>
  <c r="J60" i="39"/>
  <c r="J54" i="39"/>
  <c r="J48" i="39"/>
  <c r="J42" i="39"/>
  <c r="H35" i="39"/>
  <c r="J35" i="39" s="1"/>
  <c r="J129" i="39"/>
  <c r="J117" i="39"/>
  <c r="J113" i="39"/>
  <c r="J97" i="39"/>
  <c r="J89" i="39"/>
  <c r="J81" i="39"/>
  <c r="J69" i="39"/>
  <c r="J57" i="39"/>
  <c r="J53" i="39"/>
  <c r="J41" i="39"/>
  <c r="J33" i="39"/>
  <c r="J112" i="39"/>
  <c r="J102" i="39"/>
  <c r="J86" i="39"/>
  <c r="J74" i="39"/>
  <c r="J66" i="39"/>
  <c r="J62" i="39"/>
  <c r="J52" i="39"/>
  <c r="J40" i="39"/>
  <c r="J127" i="39"/>
  <c r="J123" i="39"/>
  <c r="J119" i="39"/>
  <c r="J111" i="39"/>
  <c r="J105" i="39"/>
  <c r="J93" i="39"/>
  <c r="J83" i="39"/>
  <c r="J77" i="39"/>
  <c r="J71" i="39"/>
  <c r="J59" i="39"/>
  <c r="J51" i="39"/>
  <c r="J47" i="39"/>
  <c r="J39" i="39"/>
  <c r="J37" i="39"/>
  <c r="J130" i="39"/>
  <c r="J122" i="39"/>
  <c r="J116" i="39"/>
  <c r="J110" i="39"/>
  <c r="J96" i="39"/>
  <c r="J88" i="39"/>
  <c r="J80" i="39"/>
  <c r="J68" i="39"/>
  <c r="J56" i="39"/>
  <c r="J50" i="39"/>
  <c r="J46" i="39"/>
  <c r="J125" i="39"/>
  <c r="J121" i="39"/>
  <c r="J109" i="39"/>
  <c r="J101" i="39"/>
  <c r="J85" i="39"/>
  <c r="J73" i="39"/>
  <c r="J65" i="39"/>
  <c r="J61" i="39"/>
  <c r="J49" i="39"/>
  <c r="J45" i="39"/>
  <c r="J31" i="39"/>
  <c r="J134" i="39"/>
  <c r="J128" i="39"/>
  <c r="J118" i="39"/>
  <c r="J108" i="39"/>
  <c r="J104" i="39"/>
  <c r="J100" i="39"/>
  <c r="J92" i="39"/>
  <c r="J82" i="39"/>
  <c r="J76" i="39"/>
  <c r="J70" i="39"/>
  <c r="J64" i="39"/>
  <c r="J58" i="39"/>
  <c r="J44" i="39"/>
  <c r="J107" i="39"/>
  <c r="J99" i="39"/>
  <c r="J67" i="39"/>
  <c r="J87" i="39"/>
  <c r="J79" i="39"/>
  <c r="J43" i="39"/>
  <c r="J115" i="39"/>
  <c r="J63" i="39"/>
  <c r="J95" i="39"/>
  <c r="J55" i="39"/>
  <c r="J38" i="39"/>
  <c r="J103" i="39"/>
  <c r="J32" i="39"/>
  <c r="J75" i="39"/>
  <c r="N12" i="39"/>
  <c r="J91" i="39"/>
  <c r="N22" i="54"/>
  <c r="H26" i="54"/>
  <c r="L26" i="54" s="1"/>
  <c r="P27" i="37"/>
  <c r="X18" i="37"/>
  <c r="N98" i="33"/>
  <c r="N175" i="30"/>
  <c r="N27" i="34"/>
  <c r="H31" i="34"/>
  <c r="P27" i="34"/>
  <c r="X18" i="34"/>
  <c r="T133" i="27"/>
  <c r="L18" i="20"/>
  <c r="D27" i="20"/>
  <c r="T27" i="22"/>
  <c r="Z18" i="22"/>
  <c r="T180" i="30"/>
  <c r="Z89" i="30"/>
  <c r="X18" i="23"/>
  <c r="P27" i="23"/>
  <c r="F108" i="21"/>
  <c r="F102" i="21"/>
  <c r="F97" i="21"/>
  <c r="F94" i="21"/>
  <c r="F86" i="21"/>
  <c r="F53" i="21"/>
  <c r="F50" i="21"/>
  <c r="F42" i="21"/>
  <c r="F38" i="21"/>
  <c r="F93" i="21"/>
  <c r="F76" i="21"/>
  <c r="F72" i="21"/>
  <c r="F69" i="21"/>
  <c r="F64" i="21"/>
  <c r="F61" i="21"/>
  <c r="F56" i="21"/>
  <c r="F41" i="21"/>
  <c r="F37" i="21"/>
  <c r="F24" i="21"/>
  <c r="F99" i="21"/>
  <c r="F96" i="21"/>
  <c r="F92" i="21"/>
  <c r="F83" i="21"/>
  <c r="F52" i="21"/>
  <c r="F47" i="21"/>
  <c r="F36" i="21"/>
  <c r="F31" i="21"/>
  <c r="L12" i="21"/>
  <c r="N12" i="21" s="1"/>
  <c r="F91" i="21"/>
  <c r="F78" i="21"/>
  <c r="F75" i="21"/>
  <c r="F71" i="21"/>
  <c r="F66" i="21"/>
  <c r="F63" i="21"/>
  <c r="F58" i="21"/>
  <c r="F55" i="21"/>
  <c r="F35" i="21"/>
  <c r="F28" i="21"/>
  <c r="F101" i="21"/>
  <c r="F98" i="21"/>
  <c r="F90" i="21"/>
  <c r="F85" i="21"/>
  <c r="F82" i="21"/>
  <c r="F74" i="21"/>
  <c r="F54" i="21"/>
  <c r="F49" i="21"/>
  <c r="F46" i="21"/>
  <c r="F34" i="21"/>
  <c r="D28" i="21"/>
  <c r="F26" i="21"/>
  <c r="F89" i="21"/>
  <c r="F81" i="21"/>
  <c r="F77" i="21"/>
  <c r="F73" i="21"/>
  <c r="F68" i="21"/>
  <c r="F65" i="21"/>
  <c r="F60" i="21"/>
  <c r="F57" i="21"/>
  <c r="F45" i="21"/>
  <c r="F40" i="21"/>
  <c r="F33" i="21"/>
  <c r="F25" i="21"/>
  <c r="F100" i="21"/>
  <c r="F95" i="21"/>
  <c r="F88" i="21"/>
  <c r="F84" i="21"/>
  <c r="F80" i="21"/>
  <c r="F51" i="21"/>
  <c r="F48" i="21"/>
  <c r="F44" i="21"/>
  <c r="F32" i="21"/>
  <c r="F70" i="21"/>
  <c r="F30" i="21"/>
  <c r="F87" i="21"/>
  <c r="F59" i="21"/>
  <c r="F43" i="21"/>
  <c r="F62" i="21"/>
  <c r="F79" i="21"/>
  <c r="F67" i="21"/>
  <c r="F39" i="21"/>
  <c r="F104" i="21"/>
  <c r="X18" i="10"/>
  <c r="P27" i="10"/>
  <c r="H133" i="27"/>
  <c r="N64" i="27"/>
  <c r="Z193" i="18"/>
  <c r="T336" i="18"/>
  <c r="V193" i="18"/>
  <c r="H27" i="5"/>
  <c r="N18" i="5"/>
  <c r="T92" i="9"/>
  <c r="Z16" i="9"/>
  <c r="D31" i="7"/>
  <c r="H27" i="4"/>
  <c r="N18" i="4"/>
  <c r="N31" i="23" l="1"/>
  <c r="N27" i="31"/>
  <c r="H31" i="31"/>
  <c r="L27" i="31"/>
  <c r="P31" i="10"/>
  <c r="X27" i="10"/>
  <c r="H31" i="5"/>
  <c r="N27" i="5"/>
  <c r="Z23" i="90"/>
  <c r="T83" i="90"/>
  <c r="X23" i="90"/>
  <c r="P363" i="3"/>
  <c r="R359" i="3"/>
  <c r="D31" i="23"/>
  <c r="L27" i="23"/>
  <c r="H180" i="30"/>
  <c r="N27" i="35"/>
  <c r="H31" i="35"/>
  <c r="T96" i="45"/>
  <c r="P31" i="46"/>
  <c r="X27" i="46"/>
  <c r="T111" i="62"/>
  <c r="D31" i="75"/>
  <c r="F27" i="75"/>
  <c r="D31" i="98"/>
  <c r="L27" i="98"/>
  <c r="Z206" i="3"/>
  <c r="T359" i="3"/>
  <c r="P31" i="11"/>
  <c r="X27" i="11"/>
  <c r="N27" i="26"/>
  <c r="H31" i="26"/>
  <c r="P36" i="35"/>
  <c r="N27" i="32"/>
  <c r="H31" i="32"/>
  <c r="L27" i="32"/>
  <c r="T31" i="52"/>
  <c r="Z27" i="52"/>
  <c r="L46" i="88"/>
  <c r="D50" i="88"/>
  <c r="P87" i="90"/>
  <c r="T31" i="14"/>
  <c r="Z27" i="14"/>
  <c r="H31" i="43"/>
  <c r="N27" i="43"/>
  <c r="X27" i="43"/>
  <c r="P31" i="43"/>
  <c r="D76" i="67"/>
  <c r="L25" i="67"/>
  <c r="N25" i="67" s="1"/>
  <c r="T55" i="61"/>
  <c r="Z51" i="61"/>
  <c r="X51" i="61"/>
  <c r="X20" i="80"/>
  <c r="P76" i="80"/>
  <c r="P340" i="18"/>
  <c r="X336" i="18"/>
  <c r="R336" i="18"/>
  <c r="P31" i="22"/>
  <c r="X27" i="22"/>
  <c r="P31" i="31"/>
  <c r="X27" i="31"/>
  <c r="D31" i="53"/>
  <c r="L27" i="53"/>
  <c r="P62" i="63"/>
  <c r="X58" i="63"/>
  <c r="Z58" i="63" s="1"/>
  <c r="H78" i="58"/>
  <c r="H68" i="72"/>
  <c r="P83" i="76"/>
  <c r="X20" i="76"/>
  <c r="Z20" i="76" s="1"/>
  <c r="P31" i="14"/>
  <c r="X27" i="14"/>
  <c r="N27" i="28"/>
  <c r="H31" i="28"/>
  <c r="Z27" i="34"/>
  <c r="T31" i="34"/>
  <c r="L28" i="42"/>
  <c r="N28" i="42" s="1"/>
  <c r="D124" i="42"/>
  <c r="N27" i="47"/>
  <c r="H31" i="47"/>
  <c r="T65" i="63"/>
  <c r="T143" i="64"/>
  <c r="T87" i="76"/>
  <c r="V83" i="76"/>
  <c r="H94" i="94"/>
  <c r="J90" i="94"/>
  <c r="P43" i="96"/>
  <c r="T31" i="5"/>
  <c r="X31" i="5" s="1"/>
  <c r="Z27" i="5"/>
  <c r="L193" i="18"/>
  <c r="N193" i="18" s="1"/>
  <c r="D336" i="18"/>
  <c r="N27" i="22"/>
  <c r="H31" i="22"/>
  <c r="P136" i="39"/>
  <c r="R132" i="39"/>
  <c r="H87" i="79"/>
  <c r="X28" i="21"/>
  <c r="Z28" i="21" s="1"/>
  <c r="P106" i="21"/>
  <c r="R28" i="21"/>
  <c r="D160" i="24"/>
  <c r="L83" i="24"/>
  <c r="D31" i="52"/>
  <c r="L27" i="52"/>
  <c r="P74" i="74"/>
  <c r="X20" i="74"/>
  <c r="Z20" i="74" s="1"/>
  <c r="X27" i="34"/>
  <c r="P31" i="34"/>
  <c r="D31" i="43"/>
  <c r="L27" i="43"/>
  <c r="N31" i="34"/>
  <c r="H36" i="34"/>
  <c r="N36" i="34" s="1"/>
  <c r="T74" i="57"/>
  <c r="T68" i="72"/>
  <c r="D67" i="89"/>
  <c r="L28" i="21"/>
  <c r="N28" i="21" s="1"/>
  <c r="D106" i="21"/>
  <c r="T31" i="22"/>
  <c r="Z27" i="22"/>
  <c r="D36" i="46"/>
  <c r="L31" i="46"/>
  <c r="T38" i="55"/>
  <c r="H99" i="68"/>
  <c r="P78" i="58"/>
  <c r="X74" i="58"/>
  <c r="Z74" i="58" s="1"/>
  <c r="L17" i="97"/>
  <c r="D69" i="97"/>
  <c r="H96" i="9"/>
  <c r="P36" i="44"/>
  <c r="D36" i="49"/>
  <c r="X27" i="50"/>
  <c r="P31" i="50"/>
  <c r="H74" i="74"/>
  <c r="H87" i="90"/>
  <c r="H31" i="8"/>
  <c r="N27" i="8"/>
  <c r="T31" i="44"/>
  <c r="Z27" i="44"/>
  <c r="Z27" i="50"/>
  <c r="T31" i="50"/>
  <c r="X70" i="57"/>
  <c r="Z70" i="57" s="1"/>
  <c r="T81" i="84"/>
  <c r="V77" i="84"/>
  <c r="D83" i="90"/>
  <c r="L23" i="90"/>
  <c r="N27" i="7"/>
  <c r="H31" i="7"/>
  <c r="L31" i="7" s="1"/>
  <c r="D31" i="19"/>
  <c r="L27" i="19"/>
  <c r="Z27" i="47"/>
  <c r="T31" i="47"/>
  <c r="T146" i="69"/>
  <c r="H142" i="77"/>
  <c r="T101" i="81"/>
  <c r="H88" i="95"/>
  <c r="J84" i="95"/>
  <c r="P90" i="94"/>
  <c r="X21" i="94"/>
  <c r="Z21" i="94" s="1"/>
  <c r="Z27" i="11"/>
  <c r="T31" i="11"/>
  <c r="P68" i="59"/>
  <c r="H143" i="64"/>
  <c r="N75" i="64"/>
  <c r="P75" i="82"/>
  <c r="X20" i="82"/>
  <c r="H91" i="86"/>
  <c r="D304" i="15"/>
  <c r="L167" i="15"/>
  <c r="N167" i="15" s="1"/>
  <c r="Z27" i="41"/>
  <c r="T31" i="41"/>
  <c r="P36" i="49"/>
  <c r="X31" i="49"/>
  <c r="P26" i="54"/>
  <c r="X22" i="54"/>
  <c r="H35" i="78"/>
  <c r="N31" i="78"/>
  <c r="N20" i="83"/>
  <c r="H71" i="83"/>
  <c r="L71" i="83" s="1"/>
  <c r="D53" i="87"/>
  <c r="L20" i="87"/>
  <c r="H31" i="52"/>
  <c r="N27" i="52"/>
  <c r="T88" i="70"/>
  <c r="V33" i="70"/>
  <c r="L63" i="66"/>
  <c r="D132" i="66"/>
  <c r="D142" i="77"/>
  <c r="L61" i="77"/>
  <c r="N61" i="77" s="1"/>
  <c r="P77" i="84"/>
  <c r="X20" i="84"/>
  <c r="Z20" i="84" s="1"/>
  <c r="D96" i="9"/>
  <c r="L92" i="9"/>
  <c r="N92" i="9" s="1"/>
  <c r="N27" i="17"/>
  <c r="H31" i="17"/>
  <c r="D180" i="30"/>
  <c r="L89" i="30"/>
  <c r="N89" i="30" s="1"/>
  <c r="P31" i="32"/>
  <c r="X27" i="32"/>
  <c r="T50" i="91"/>
  <c r="V91" i="95"/>
  <c r="Z27" i="100"/>
  <c r="T31" i="100"/>
  <c r="L27" i="20"/>
  <c r="D31" i="20"/>
  <c r="D99" i="68"/>
  <c r="L53" i="68"/>
  <c r="N53" i="68" s="1"/>
  <c r="T142" i="77"/>
  <c r="H79" i="82"/>
  <c r="P317" i="12"/>
  <c r="R313" i="12"/>
  <c r="H131" i="36"/>
  <c r="J127" i="36"/>
  <c r="L31" i="54"/>
  <c r="H68" i="65"/>
  <c r="D81" i="84"/>
  <c r="L77" i="84"/>
  <c r="N77" i="84" s="1"/>
  <c r="D31" i="4"/>
  <c r="L27" i="4"/>
  <c r="H160" i="24"/>
  <c r="N83" i="24"/>
  <c r="D31" i="14"/>
  <c r="L27" i="14"/>
  <c r="Z27" i="25"/>
  <c r="T31" i="25"/>
  <c r="D132" i="39"/>
  <c r="L35" i="39"/>
  <c r="P77" i="57"/>
  <c r="X74" i="57"/>
  <c r="H55" i="60"/>
  <c r="D101" i="81"/>
  <c r="L97" i="81"/>
  <c r="N97" i="81" s="1"/>
  <c r="Z27" i="4"/>
  <c r="T31" i="4"/>
  <c r="X31" i="4" s="1"/>
  <c r="L27" i="10"/>
  <c r="D31" i="10"/>
  <c r="L27" i="26"/>
  <c r="D31" i="26"/>
  <c r="T132" i="39"/>
  <c r="X132" i="39" s="1"/>
  <c r="Z35" i="39"/>
  <c r="V35" i="39"/>
  <c r="Z27" i="38"/>
  <c r="T31" i="38"/>
  <c r="D91" i="86"/>
  <c r="L87" i="86"/>
  <c r="N87" i="86" s="1"/>
  <c r="H90" i="92"/>
  <c r="J86" i="92"/>
  <c r="T110" i="21"/>
  <c r="V106" i="21"/>
  <c r="P31" i="20"/>
  <c r="X27" i="20"/>
  <c r="H73" i="48"/>
  <c r="J69" i="48"/>
  <c r="D65" i="63"/>
  <c r="Z61" i="59"/>
  <c r="T65" i="59"/>
  <c r="X65" i="59" s="1"/>
  <c r="H63" i="89"/>
  <c r="L63" i="89" s="1"/>
  <c r="N20" i="89"/>
  <c r="D31" i="5"/>
  <c r="L27" i="5"/>
  <c r="N27" i="29"/>
  <c r="H31" i="29"/>
  <c r="H36" i="46"/>
  <c r="N36" i="46" s="1"/>
  <c r="N31" i="46"/>
  <c r="Z27" i="99"/>
  <c r="T31" i="99"/>
  <c r="P31" i="17"/>
  <c r="X27" i="17"/>
  <c r="D36" i="38"/>
  <c r="L36" i="38" s="1"/>
  <c r="L31" i="38"/>
  <c r="P308" i="15"/>
  <c r="X304" i="15"/>
  <c r="R304" i="15"/>
  <c r="P160" i="24"/>
  <c r="X83" i="24"/>
  <c r="D31" i="22"/>
  <c r="L27" i="22"/>
  <c r="P106" i="33"/>
  <c r="X41" i="33"/>
  <c r="Z41" i="33" s="1"/>
  <c r="D100" i="45"/>
  <c r="L96" i="45"/>
  <c r="F96" i="45"/>
  <c r="D72" i="65"/>
  <c r="L68" i="65"/>
  <c r="L61" i="59"/>
  <c r="D65" i="59"/>
  <c r="P99" i="68"/>
  <c r="X53" i="68"/>
  <c r="Z53" i="68" s="1"/>
  <c r="X27" i="100"/>
  <c r="P31" i="100"/>
  <c r="T40" i="96"/>
  <c r="X40" i="96" s="1"/>
  <c r="Z36" i="96"/>
  <c r="H31" i="4"/>
  <c r="N27" i="4"/>
  <c r="P36" i="52"/>
  <c r="X31" i="52"/>
  <c r="H62" i="63"/>
  <c r="L62" i="63" s="1"/>
  <c r="N58" i="63"/>
  <c r="P121" i="71"/>
  <c r="X57" i="71"/>
  <c r="J89" i="30"/>
  <c r="L27" i="25"/>
  <c r="D31" i="25"/>
  <c r="P124" i="42"/>
  <c r="X28" i="42"/>
  <c r="Z28" i="42" s="1"/>
  <c r="T73" i="48"/>
  <c r="Z69" i="48"/>
  <c r="V69" i="48"/>
  <c r="H146" i="69"/>
  <c r="N46" i="88"/>
  <c r="H50" i="88"/>
  <c r="P87" i="86"/>
  <c r="X20" i="86"/>
  <c r="Z20" i="86" s="1"/>
  <c r="T73" i="97"/>
  <c r="V69" i="97"/>
  <c r="D26" i="6"/>
  <c r="L22" i="6"/>
  <c r="H31" i="50"/>
  <c r="N27" i="50"/>
  <c r="T72" i="65"/>
  <c r="V68" i="65"/>
  <c r="P71" i="83"/>
  <c r="X20" i="83"/>
  <c r="Z20" i="83" s="1"/>
  <c r="X20" i="89"/>
  <c r="P63" i="89"/>
  <c r="L27" i="8"/>
  <c r="D31" i="8"/>
  <c r="P125" i="51"/>
  <c r="X121" i="51"/>
  <c r="R121" i="51"/>
  <c r="H31" i="49"/>
  <c r="L31" i="49" s="1"/>
  <c r="N27" i="49"/>
  <c r="Z57" i="51"/>
  <c r="T121" i="51"/>
  <c r="H80" i="67"/>
  <c r="J76" i="67"/>
  <c r="T71" i="83"/>
  <c r="D36" i="13"/>
  <c r="L31" i="13"/>
  <c r="Z27" i="32"/>
  <c r="T31" i="32"/>
  <c r="H31" i="44"/>
  <c r="N27" i="44"/>
  <c r="P146" i="69"/>
  <c r="X80" i="69"/>
  <c r="Z80" i="69" s="1"/>
  <c r="P143" i="64"/>
  <c r="X75" i="64"/>
  <c r="Z75" i="64" s="1"/>
  <c r="T132" i="66"/>
  <c r="D96" i="85"/>
  <c r="L92" i="85"/>
  <c r="F92" i="85"/>
  <c r="P73" i="97"/>
  <c r="X69" i="97"/>
  <c r="Z69" i="97" s="1"/>
  <c r="R69" i="97"/>
  <c r="D84" i="95"/>
  <c r="L21" i="95"/>
  <c r="N21" i="95" s="1"/>
  <c r="Z304" i="15"/>
  <c r="T308" i="15"/>
  <c r="V304" i="15"/>
  <c r="P184" i="30"/>
  <c r="X180" i="30"/>
  <c r="Z180" i="30" s="1"/>
  <c r="R180" i="30"/>
  <c r="D31" i="29"/>
  <c r="L27" i="29"/>
  <c r="T87" i="79"/>
  <c r="V83" i="79"/>
  <c r="P57" i="87"/>
  <c r="R53" i="87"/>
  <c r="N27" i="100"/>
  <c r="H31" i="100"/>
  <c r="L27" i="100"/>
  <c r="D31" i="37"/>
  <c r="L27" i="37"/>
  <c r="L20" i="65"/>
  <c r="N20" i="65" s="1"/>
  <c r="T35" i="78"/>
  <c r="V31" i="78"/>
  <c r="N46" i="91"/>
  <c r="H50" i="91"/>
  <c r="Z336" i="18"/>
  <c r="T340" i="18"/>
  <c r="V336" i="18"/>
  <c r="D36" i="7"/>
  <c r="D53" i="91"/>
  <c r="P26" i="6"/>
  <c r="X22" i="6"/>
  <c r="T160" i="24"/>
  <c r="Z83" i="24"/>
  <c r="V83" i="24"/>
  <c r="H125" i="51"/>
  <c r="J121" i="51"/>
  <c r="T31" i="37"/>
  <c r="Z27" i="37"/>
  <c r="D31" i="40"/>
  <c r="L27" i="40"/>
  <c r="P88" i="95"/>
  <c r="X84" i="95"/>
  <c r="Z84" i="95" s="1"/>
  <c r="H308" i="15"/>
  <c r="J304" i="15"/>
  <c r="H106" i="33"/>
  <c r="T31" i="35"/>
  <c r="X31" i="35" s="1"/>
  <c r="Z27" i="35"/>
  <c r="F35" i="39"/>
  <c r="P31" i="41"/>
  <c r="X27" i="41"/>
  <c r="D90" i="76"/>
  <c r="T94" i="86"/>
  <c r="V91" i="86"/>
  <c r="L27" i="17"/>
  <c r="D31" i="17"/>
  <c r="P127" i="36"/>
  <c r="X29" i="36"/>
  <c r="Z29" i="36" s="1"/>
  <c r="N31" i="37"/>
  <c r="H36" i="37"/>
  <c r="N36" i="37" s="1"/>
  <c r="V57" i="51"/>
  <c r="P71" i="73"/>
  <c r="X20" i="73"/>
  <c r="Z20" i="73" s="1"/>
  <c r="P36" i="7"/>
  <c r="X36" i="7" s="1"/>
  <c r="X31" i="7"/>
  <c r="D31" i="50"/>
  <c r="L27" i="50"/>
  <c r="J25" i="72"/>
  <c r="H36" i="13"/>
  <c r="N36" i="13" s="1"/>
  <c r="N31" i="13"/>
  <c r="Z172" i="12"/>
  <c r="T313" i="12"/>
  <c r="N27" i="16"/>
  <c r="H31" i="16"/>
  <c r="L27" i="16"/>
  <c r="N27" i="25"/>
  <c r="H31" i="25"/>
  <c r="N27" i="40"/>
  <c r="H31" i="40"/>
  <c r="P38" i="55"/>
  <c r="X34" i="55"/>
  <c r="Z34" i="55" s="1"/>
  <c r="D74" i="56"/>
  <c r="L70" i="56"/>
  <c r="N70" i="56" s="1"/>
  <c r="D78" i="58"/>
  <c r="L74" i="58"/>
  <c r="N74" i="58" s="1"/>
  <c r="D74" i="74"/>
  <c r="L20" i="74"/>
  <c r="N20" i="74" s="1"/>
  <c r="P101" i="81"/>
  <c r="X97" i="81"/>
  <c r="Z97" i="81" s="1"/>
  <c r="H76" i="80"/>
  <c r="P31" i="25"/>
  <c r="X27" i="25"/>
  <c r="P31" i="40"/>
  <c r="X27" i="40"/>
  <c r="P36" i="4"/>
  <c r="R41" i="33"/>
  <c r="H65" i="59"/>
  <c r="N61" i="59"/>
  <c r="D40" i="96"/>
  <c r="L36" i="96"/>
  <c r="L27" i="99"/>
  <c r="D31" i="99"/>
  <c r="P31" i="23"/>
  <c r="X27" i="23"/>
  <c r="H77" i="56"/>
  <c r="H124" i="42"/>
  <c r="T76" i="67"/>
  <c r="Z25" i="67"/>
  <c r="V25" i="72"/>
  <c r="D75" i="83"/>
  <c r="H137" i="27"/>
  <c r="N133" i="27"/>
  <c r="J133" i="27"/>
  <c r="T137" i="27"/>
  <c r="V133" i="27"/>
  <c r="X27" i="37"/>
  <c r="P31" i="37"/>
  <c r="Z22" i="92"/>
  <c r="T86" i="92"/>
  <c r="V58" i="93"/>
  <c r="V24" i="45"/>
  <c r="T36" i="46"/>
  <c r="Z36" i="46" s="1"/>
  <c r="Z31" i="46"/>
  <c r="T27" i="75"/>
  <c r="Z21" i="75"/>
  <c r="L20" i="80"/>
  <c r="N20" i="80" s="1"/>
  <c r="D76" i="80"/>
  <c r="N27" i="99"/>
  <c r="H31" i="99"/>
  <c r="H340" i="18"/>
  <c r="J336" i="18"/>
  <c r="J41" i="33"/>
  <c r="P36" i="28"/>
  <c r="X36" i="28" s="1"/>
  <c r="X31" i="28"/>
  <c r="T128" i="42"/>
  <c r="V124" i="42"/>
  <c r="D147" i="64"/>
  <c r="L143" i="64"/>
  <c r="L31" i="78"/>
  <c r="D35" i="78"/>
  <c r="F31" i="78"/>
  <c r="D73" i="48"/>
  <c r="L69" i="48"/>
  <c r="N69" i="48" s="1"/>
  <c r="F69" i="48"/>
  <c r="D55" i="60"/>
  <c r="L51" i="60"/>
  <c r="N51" i="60" s="1"/>
  <c r="P27" i="75"/>
  <c r="X21" i="75"/>
  <c r="D86" i="92"/>
  <c r="L22" i="92"/>
  <c r="N22" i="92" s="1"/>
  <c r="Z27" i="10"/>
  <c r="T31" i="10"/>
  <c r="N27" i="10"/>
  <c r="H31" i="10"/>
  <c r="T31" i="19"/>
  <c r="Z27" i="19"/>
  <c r="X64" i="27"/>
  <c r="Z64" i="27" s="1"/>
  <c r="P133" i="27"/>
  <c r="T106" i="33"/>
  <c r="L27" i="34"/>
  <c r="D31" i="34"/>
  <c r="X27" i="47"/>
  <c r="P31" i="47"/>
  <c r="H111" i="62"/>
  <c r="H121" i="71"/>
  <c r="X22" i="92"/>
  <c r="P86" i="92"/>
  <c r="P51" i="93"/>
  <c r="X21" i="93"/>
  <c r="Z21" i="93" s="1"/>
  <c r="P31" i="99"/>
  <c r="X27" i="99"/>
  <c r="H100" i="45"/>
  <c r="N96" i="45"/>
  <c r="J96" i="45"/>
  <c r="H88" i="70"/>
  <c r="P72" i="72"/>
  <c r="P31" i="16"/>
  <c r="X27" i="16"/>
  <c r="N27" i="14"/>
  <c r="H31" i="14"/>
  <c r="P114" i="62"/>
  <c r="P88" i="70"/>
  <c r="X33" i="70"/>
  <c r="Z33" i="70" s="1"/>
  <c r="R33" i="70"/>
  <c r="P31" i="78"/>
  <c r="X19" i="78"/>
  <c r="Z19" i="78" s="1"/>
  <c r="X61" i="77"/>
  <c r="Z61" i="77" s="1"/>
  <c r="P142" i="77"/>
  <c r="Z20" i="80"/>
  <c r="T76" i="80"/>
  <c r="P50" i="91"/>
  <c r="X46" i="91"/>
  <c r="Z46" i="91" s="1"/>
  <c r="X27" i="4"/>
  <c r="T31" i="16"/>
  <c r="Z27" i="16"/>
  <c r="D106" i="33"/>
  <c r="L41" i="33"/>
  <c r="N41" i="33" s="1"/>
  <c r="N27" i="53"/>
  <c r="H31" i="53"/>
  <c r="T99" i="68"/>
  <c r="D68" i="72"/>
  <c r="L25" i="72"/>
  <c r="N25" i="72" s="1"/>
  <c r="T75" i="82"/>
  <c r="Z20" i="82"/>
  <c r="N92" i="85"/>
  <c r="H96" i="85"/>
  <c r="H31" i="54"/>
  <c r="N26" i="54"/>
  <c r="H132" i="39"/>
  <c r="N35" i="39"/>
  <c r="D74" i="57"/>
  <c r="L70" i="57"/>
  <c r="N70" i="57" s="1"/>
  <c r="T50" i="88"/>
  <c r="Z46" i="88"/>
  <c r="D363" i="3"/>
  <c r="F359" i="3"/>
  <c r="T31" i="23"/>
  <c r="Z27" i="23"/>
  <c r="T55" i="60"/>
  <c r="X51" i="60"/>
  <c r="Z51" i="60" s="1"/>
  <c r="L27" i="47"/>
  <c r="D31" i="47"/>
  <c r="D55" i="61"/>
  <c r="L51" i="61"/>
  <c r="N51" i="61" s="1"/>
  <c r="T96" i="85"/>
  <c r="V92" i="85"/>
  <c r="L27" i="11"/>
  <c r="D31" i="11"/>
  <c r="P31" i="53"/>
  <c r="X27" i="53"/>
  <c r="D83" i="79"/>
  <c r="L20" i="79"/>
  <c r="N20" i="79" s="1"/>
  <c r="H69" i="97"/>
  <c r="N17" i="97"/>
  <c r="P31" i="98"/>
  <c r="X27" i="98"/>
  <c r="D137" i="27"/>
  <c r="L133" i="27"/>
  <c r="F133" i="27"/>
  <c r="X69" i="48"/>
  <c r="D111" i="62"/>
  <c r="L107" i="62"/>
  <c r="N107" i="62" s="1"/>
  <c r="P31" i="13"/>
  <c r="X27" i="13"/>
  <c r="Z27" i="20"/>
  <c r="T31" i="20"/>
  <c r="P31" i="26"/>
  <c r="X27" i="26"/>
  <c r="Z27" i="43"/>
  <c r="T31" i="43"/>
  <c r="D121" i="51"/>
  <c r="L57" i="51"/>
  <c r="N57" i="51" s="1"/>
  <c r="T31" i="53"/>
  <c r="Z27" i="53"/>
  <c r="X25" i="72"/>
  <c r="Z25" i="72" s="1"/>
  <c r="T78" i="74"/>
  <c r="V74" i="74"/>
  <c r="T53" i="87"/>
  <c r="Z20" i="87"/>
  <c r="N206" i="3"/>
  <c r="H359" i="3"/>
  <c r="P31" i="19"/>
  <c r="X27" i="19"/>
  <c r="D31" i="28"/>
  <c r="L27" i="28"/>
  <c r="T36" i="49"/>
  <c r="Z36" i="49" s="1"/>
  <c r="Z31" i="49"/>
  <c r="X107" i="62"/>
  <c r="Z107" i="62" s="1"/>
  <c r="L57" i="71"/>
  <c r="N57" i="71" s="1"/>
  <c r="D121" i="71"/>
  <c r="F57" i="71"/>
  <c r="P36" i="5"/>
  <c r="D31" i="35"/>
  <c r="L27" i="35"/>
  <c r="H104" i="81"/>
  <c r="N21" i="93"/>
  <c r="H51" i="93"/>
  <c r="T96" i="9"/>
  <c r="X92" i="9"/>
  <c r="Z92" i="9" s="1"/>
  <c r="T184" i="30"/>
  <c r="V180" i="30"/>
  <c r="H27" i="75"/>
  <c r="N21" i="75"/>
  <c r="H81" i="84"/>
  <c r="D317" i="12"/>
  <c r="L313" i="12"/>
  <c r="F313" i="12"/>
  <c r="T74" i="56"/>
  <c r="L21" i="75"/>
  <c r="H40" i="96"/>
  <c r="N36" i="96"/>
  <c r="Z26" i="6"/>
  <c r="T31" i="6"/>
  <c r="V206" i="3"/>
  <c r="T31" i="40"/>
  <c r="Z27" i="40"/>
  <c r="H55" i="61"/>
  <c r="H71" i="73"/>
  <c r="L71" i="73" s="1"/>
  <c r="N20" i="73"/>
  <c r="R29" i="36"/>
  <c r="P68" i="65"/>
  <c r="X20" i="65"/>
  <c r="Z20" i="65" s="1"/>
  <c r="D75" i="73"/>
  <c r="Z20" i="89"/>
  <c r="T63" i="89"/>
  <c r="V20" i="83"/>
  <c r="D75" i="82"/>
  <c r="L20" i="82"/>
  <c r="N20" i="82" s="1"/>
  <c r="T97" i="94"/>
  <c r="V94" i="94"/>
  <c r="Z27" i="8"/>
  <c r="T31" i="8"/>
  <c r="X31" i="8" s="1"/>
  <c r="Z27" i="17"/>
  <c r="T31" i="17"/>
  <c r="H110" i="21"/>
  <c r="J106" i="21"/>
  <c r="Z27" i="26"/>
  <c r="T31" i="26"/>
  <c r="D31" i="44"/>
  <c r="L27" i="44"/>
  <c r="P76" i="48"/>
  <c r="X73" i="48"/>
  <c r="R73" i="48"/>
  <c r="P74" i="56"/>
  <c r="X70" i="56"/>
  <c r="Z70" i="56" s="1"/>
  <c r="Z57" i="71"/>
  <c r="T121" i="71"/>
  <c r="R75" i="64"/>
  <c r="H132" i="66"/>
  <c r="N63" i="66"/>
  <c r="H83" i="76"/>
  <c r="N20" i="76"/>
  <c r="L20" i="76"/>
  <c r="L21" i="93"/>
  <c r="D51" i="93"/>
  <c r="P36" i="8"/>
  <c r="H317" i="12"/>
  <c r="N313" i="12"/>
  <c r="J313" i="12"/>
  <c r="H36" i="20"/>
  <c r="N36" i="20" s="1"/>
  <c r="N31" i="20"/>
  <c r="X27" i="38"/>
  <c r="P31" i="38"/>
  <c r="P96" i="45"/>
  <c r="X24" i="45"/>
  <c r="Z24" i="45" s="1"/>
  <c r="P76" i="67"/>
  <c r="X25" i="67"/>
  <c r="P132" i="66"/>
  <c r="X63" i="66"/>
  <c r="Z63" i="66" s="1"/>
  <c r="T75" i="73"/>
  <c r="V71" i="73"/>
  <c r="H57" i="87"/>
  <c r="H36" i="19"/>
  <c r="N36" i="19" s="1"/>
  <c r="N31" i="19"/>
  <c r="T131" i="36"/>
  <c r="V127" i="36"/>
  <c r="P83" i="79"/>
  <c r="X20" i="79"/>
  <c r="Z20" i="79" s="1"/>
  <c r="L80" i="69"/>
  <c r="N80" i="69" s="1"/>
  <c r="D146" i="69"/>
  <c r="X20" i="85"/>
  <c r="Z20" i="85" s="1"/>
  <c r="P92" i="85"/>
  <c r="D90" i="94"/>
  <c r="L21" i="94"/>
  <c r="N21" i="94" s="1"/>
  <c r="X27" i="5"/>
  <c r="P31" i="29"/>
  <c r="X27" i="29"/>
  <c r="D127" i="36"/>
  <c r="L29" i="36"/>
  <c r="N29" i="36" s="1"/>
  <c r="T31" i="29"/>
  <c r="Z27" i="29"/>
  <c r="H36" i="41"/>
  <c r="N31" i="41"/>
  <c r="L31" i="41"/>
  <c r="L34" i="55"/>
  <c r="N34" i="55" s="1"/>
  <c r="D38" i="55"/>
  <c r="H38" i="55"/>
  <c r="L33" i="70"/>
  <c r="N33" i="70" s="1"/>
  <c r="D88" i="70"/>
  <c r="X46" i="88"/>
  <c r="P50" i="88"/>
  <c r="N27" i="98"/>
  <c r="H31" i="98"/>
  <c r="T31" i="98"/>
  <c r="Z27" i="98"/>
  <c r="N31" i="31" l="1"/>
  <c r="H36" i="31"/>
  <c r="L31" i="31"/>
  <c r="V97" i="94"/>
  <c r="H31" i="75"/>
  <c r="J27" i="75"/>
  <c r="P36" i="26"/>
  <c r="X31" i="26"/>
  <c r="T36" i="23"/>
  <c r="Z36" i="23" s="1"/>
  <c r="Z31" i="23"/>
  <c r="D43" i="96"/>
  <c r="L40" i="96"/>
  <c r="X50" i="88"/>
  <c r="P53" i="88"/>
  <c r="P36" i="29"/>
  <c r="X31" i="29"/>
  <c r="H113" i="21"/>
  <c r="J110" i="21"/>
  <c r="P72" i="65"/>
  <c r="X68" i="65"/>
  <c r="Z68" i="65" s="1"/>
  <c r="H363" i="3"/>
  <c r="N359" i="3"/>
  <c r="J359" i="3"/>
  <c r="T36" i="20"/>
  <c r="Z36" i="20" s="1"/>
  <c r="Z31" i="20"/>
  <c r="D58" i="61"/>
  <c r="L55" i="61"/>
  <c r="D72" i="72"/>
  <c r="L68" i="72"/>
  <c r="D36" i="34"/>
  <c r="L36" i="34" s="1"/>
  <c r="L31" i="34"/>
  <c r="L78" i="58"/>
  <c r="D81" i="58"/>
  <c r="V94" i="86"/>
  <c r="P76" i="97"/>
  <c r="X73" i="97"/>
  <c r="R73" i="97"/>
  <c r="H90" i="90"/>
  <c r="P87" i="79"/>
  <c r="X83" i="79"/>
  <c r="Z83" i="79" s="1"/>
  <c r="P100" i="45"/>
  <c r="X96" i="45"/>
  <c r="R96" i="45"/>
  <c r="H136" i="66"/>
  <c r="J132" i="66"/>
  <c r="R76" i="48"/>
  <c r="T36" i="17"/>
  <c r="Z36" i="17" s="1"/>
  <c r="Z31" i="17"/>
  <c r="L75" i="82"/>
  <c r="N75" i="82" s="1"/>
  <c r="D79" i="82"/>
  <c r="T187" i="30"/>
  <c r="V184" i="30"/>
  <c r="T36" i="53"/>
  <c r="Z36" i="53" s="1"/>
  <c r="Z31" i="53"/>
  <c r="D140" i="27"/>
  <c r="L137" i="27"/>
  <c r="F137" i="27"/>
  <c r="P36" i="53"/>
  <c r="X31" i="53"/>
  <c r="D36" i="47"/>
  <c r="L31" i="47"/>
  <c r="L359" i="3"/>
  <c r="H36" i="14"/>
  <c r="N36" i="14" s="1"/>
  <c r="N31" i="14"/>
  <c r="L55" i="60"/>
  <c r="D58" i="60"/>
  <c r="L147" i="64"/>
  <c r="D150" i="64"/>
  <c r="P36" i="37"/>
  <c r="X31" i="37"/>
  <c r="N77" i="56"/>
  <c r="H68" i="59"/>
  <c r="H80" i="80"/>
  <c r="N76" i="80"/>
  <c r="D36" i="40"/>
  <c r="L31" i="40"/>
  <c r="T164" i="24"/>
  <c r="Z160" i="24"/>
  <c r="V160" i="24"/>
  <c r="T343" i="18"/>
  <c r="V340" i="18"/>
  <c r="P150" i="69"/>
  <c r="X146" i="69"/>
  <c r="R146" i="69"/>
  <c r="P75" i="83"/>
  <c r="X71" i="83"/>
  <c r="D31" i="6"/>
  <c r="L31" i="6" s="1"/>
  <c r="N31" i="6" s="1"/>
  <c r="L26" i="6"/>
  <c r="H150" i="69"/>
  <c r="J146" i="69"/>
  <c r="L65" i="59"/>
  <c r="N65" i="59" s="1"/>
  <c r="D68" i="59"/>
  <c r="L68" i="59" s="1"/>
  <c r="P110" i="33"/>
  <c r="X106" i="33"/>
  <c r="R106" i="33"/>
  <c r="H36" i="29"/>
  <c r="N36" i="29" s="1"/>
  <c r="N31" i="29"/>
  <c r="T36" i="38"/>
  <c r="Z36" i="38" s="1"/>
  <c r="Z31" i="38"/>
  <c r="H164" i="24"/>
  <c r="J160" i="24"/>
  <c r="H82" i="82"/>
  <c r="D184" i="30"/>
  <c r="L180" i="30"/>
  <c r="F180" i="30"/>
  <c r="D146" i="77"/>
  <c r="L142" i="77"/>
  <c r="F142" i="77"/>
  <c r="N142" i="77"/>
  <c r="H146" i="77"/>
  <c r="T41" i="55"/>
  <c r="D70" i="89"/>
  <c r="T147" i="64"/>
  <c r="V143" i="64"/>
  <c r="T36" i="34"/>
  <c r="Z36" i="34" s="1"/>
  <c r="Z31" i="34"/>
  <c r="L27" i="75"/>
  <c r="N27" i="75" s="1"/>
  <c r="H36" i="35"/>
  <c r="N36" i="35" s="1"/>
  <c r="N31" i="35"/>
  <c r="P368" i="3"/>
  <c r="R363" i="3"/>
  <c r="P36" i="19"/>
  <c r="X31" i="19"/>
  <c r="P146" i="77"/>
  <c r="X142" i="77"/>
  <c r="R142" i="77"/>
  <c r="P31" i="75"/>
  <c r="X27" i="75"/>
  <c r="R27" i="75"/>
  <c r="H60" i="87"/>
  <c r="H320" i="12"/>
  <c r="N317" i="12"/>
  <c r="J317" i="12"/>
  <c r="T36" i="16"/>
  <c r="Z36" i="16" s="1"/>
  <c r="Z31" i="16"/>
  <c r="H92" i="70"/>
  <c r="J88" i="70"/>
  <c r="X86" i="92"/>
  <c r="P90" i="92"/>
  <c r="R86" i="92"/>
  <c r="H140" i="27"/>
  <c r="N137" i="27"/>
  <c r="J137" i="27"/>
  <c r="P36" i="25"/>
  <c r="X31" i="25"/>
  <c r="H110" i="33"/>
  <c r="N106" i="33"/>
  <c r="J106" i="33"/>
  <c r="P187" i="30"/>
  <c r="X184" i="30"/>
  <c r="Z184" i="30" s="1"/>
  <c r="R184" i="30"/>
  <c r="T75" i="83"/>
  <c r="Z71" i="83"/>
  <c r="V71" i="83"/>
  <c r="D36" i="25"/>
  <c r="L31" i="25"/>
  <c r="X99" i="68"/>
  <c r="Z99" i="68" s="1"/>
  <c r="P103" i="68"/>
  <c r="P36" i="20"/>
  <c r="X36" i="20" s="1"/>
  <c r="X31" i="20"/>
  <c r="D36" i="10"/>
  <c r="L31" i="10"/>
  <c r="H94" i="86"/>
  <c r="D92" i="70"/>
  <c r="L88" i="70"/>
  <c r="N88" i="70" s="1"/>
  <c r="F88" i="70"/>
  <c r="N36" i="41"/>
  <c r="L36" i="41"/>
  <c r="X31" i="38"/>
  <c r="P36" i="38"/>
  <c r="X36" i="38" s="1"/>
  <c r="D36" i="11"/>
  <c r="L36" i="11" s="1"/>
  <c r="L31" i="11"/>
  <c r="D368" i="3"/>
  <c r="L363" i="3"/>
  <c r="F363" i="3"/>
  <c r="N31" i="54"/>
  <c r="T103" i="68"/>
  <c r="V99" i="68"/>
  <c r="P35" i="78"/>
  <c r="X31" i="78"/>
  <c r="Z31" i="78" s="1"/>
  <c r="R31" i="78"/>
  <c r="T36" i="10"/>
  <c r="Z36" i="10" s="1"/>
  <c r="Z31" i="10"/>
  <c r="H343" i="18"/>
  <c r="J340" i="18"/>
  <c r="D78" i="83"/>
  <c r="L75" i="83"/>
  <c r="D77" i="56"/>
  <c r="L77" i="56" s="1"/>
  <c r="L74" i="56"/>
  <c r="N74" i="56" s="1"/>
  <c r="H36" i="16"/>
  <c r="N31" i="16"/>
  <c r="L31" i="16"/>
  <c r="L31" i="50"/>
  <c r="D36" i="50"/>
  <c r="D36" i="37"/>
  <c r="L36" i="37" s="1"/>
  <c r="L31" i="37"/>
  <c r="T90" i="79"/>
  <c r="V87" i="79"/>
  <c r="T311" i="15"/>
  <c r="V308" i="15"/>
  <c r="H36" i="4"/>
  <c r="N36" i="4" s="1"/>
  <c r="N31" i="4"/>
  <c r="Z31" i="4"/>
  <c r="T36" i="4"/>
  <c r="Z36" i="4" s="1"/>
  <c r="H36" i="17"/>
  <c r="N36" i="17" s="1"/>
  <c r="N31" i="17"/>
  <c r="L132" i="66"/>
  <c r="N132" i="66" s="1"/>
  <c r="D136" i="66"/>
  <c r="F132" i="66"/>
  <c r="D57" i="87"/>
  <c r="L53" i="87"/>
  <c r="N53" i="87" s="1"/>
  <c r="F53" i="87"/>
  <c r="X36" i="49"/>
  <c r="P79" i="82"/>
  <c r="X75" i="82"/>
  <c r="X90" i="94"/>
  <c r="Z90" i="94" s="1"/>
  <c r="P94" i="94"/>
  <c r="R90" i="94"/>
  <c r="H78" i="74"/>
  <c r="H99" i="9"/>
  <c r="L31" i="43"/>
  <c r="D36" i="43"/>
  <c r="D164" i="24"/>
  <c r="L160" i="24"/>
  <c r="N160" i="24" s="1"/>
  <c r="P139" i="39"/>
  <c r="X136" i="39"/>
  <c r="R136" i="39"/>
  <c r="N68" i="72"/>
  <c r="H72" i="72"/>
  <c r="J68" i="72"/>
  <c r="P36" i="31"/>
  <c r="X36" i="31" s="1"/>
  <c r="X31" i="31"/>
  <c r="H36" i="43"/>
  <c r="N36" i="43" s="1"/>
  <c r="N31" i="43"/>
  <c r="T36" i="52"/>
  <c r="Z36" i="52" s="1"/>
  <c r="Z31" i="52"/>
  <c r="D34" i="75"/>
  <c r="L31" i="75"/>
  <c r="F31" i="75"/>
  <c r="T78" i="73"/>
  <c r="V75" i="73"/>
  <c r="D320" i="12"/>
  <c r="L317" i="12"/>
  <c r="F317" i="12"/>
  <c r="D125" i="51"/>
  <c r="L121" i="51"/>
  <c r="N121" i="51" s="1"/>
  <c r="F121" i="51"/>
  <c r="H36" i="53"/>
  <c r="N36" i="53" s="1"/>
  <c r="N31" i="53"/>
  <c r="H125" i="71"/>
  <c r="J121" i="71"/>
  <c r="H36" i="99"/>
  <c r="N36" i="99" s="1"/>
  <c r="N31" i="99"/>
  <c r="P36" i="23"/>
  <c r="X31" i="23"/>
  <c r="P131" i="36"/>
  <c r="X127" i="36"/>
  <c r="Z127" i="36" s="1"/>
  <c r="R127" i="36"/>
  <c r="Z31" i="37"/>
  <c r="T36" i="37"/>
  <c r="Z36" i="37" s="1"/>
  <c r="P31" i="6"/>
  <c r="X31" i="6" s="1"/>
  <c r="Z31" i="6" s="1"/>
  <c r="X26" i="6"/>
  <c r="H53" i="91"/>
  <c r="D99" i="85"/>
  <c r="L96" i="85"/>
  <c r="F96" i="85"/>
  <c r="H36" i="44"/>
  <c r="N36" i="44" s="1"/>
  <c r="N31" i="44"/>
  <c r="P128" i="51"/>
  <c r="X125" i="51"/>
  <c r="R125" i="51"/>
  <c r="Z73" i="97"/>
  <c r="T76" i="97"/>
  <c r="V73" i="97"/>
  <c r="D36" i="22"/>
  <c r="L31" i="22"/>
  <c r="T113" i="21"/>
  <c r="V110" i="21"/>
  <c r="L132" i="39"/>
  <c r="D136" i="39"/>
  <c r="F132" i="39"/>
  <c r="D36" i="4"/>
  <c r="L31" i="4"/>
  <c r="H134" i="36"/>
  <c r="J131" i="36"/>
  <c r="T146" i="77"/>
  <c r="Z142" i="77"/>
  <c r="V142" i="77"/>
  <c r="H75" i="83"/>
  <c r="N71" i="83"/>
  <c r="T36" i="41"/>
  <c r="Z36" i="41" s="1"/>
  <c r="Z31" i="41"/>
  <c r="T150" i="69"/>
  <c r="Z146" i="69"/>
  <c r="V146" i="69"/>
  <c r="D87" i="90"/>
  <c r="L83" i="90"/>
  <c r="N83" i="90" s="1"/>
  <c r="T36" i="44"/>
  <c r="Z36" i="44" s="1"/>
  <c r="Z31" i="44"/>
  <c r="P36" i="50"/>
  <c r="X31" i="50"/>
  <c r="D73" i="97"/>
  <c r="L69" i="97"/>
  <c r="N69" i="97" s="1"/>
  <c r="F69" i="97"/>
  <c r="X31" i="34"/>
  <c r="P36" i="34"/>
  <c r="H36" i="22"/>
  <c r="N36" i="22" s="1"/>
  <c r="N31" i="22"/>
  <c r="H36" i="28"/>
  <c r="N36" i="28" s="1"/>
  <c r="N31" i="28"/>
  <c r="H81" i="58"/>
  <c r="N78" i="58"/>
  <c r="P36" i="11"/>
  <c r="X31" i="11"/>
  <c r="T87" i="90"/>
  <c r="V83" i="90"/>
  <c r="Z31" i="8"/>
  <c r="T36" i="8"/>
  <c r="Z36" i="8" s="1"/>
  <c r="T57" i="87"/>
  <c r="V53" i="87"/>
  <c r="H41" i="55"/>
  <c r="H84" i="84"/>
  <c r="N81" i="84"/>
  <c r="T131" i="42"/>
  <c r="V128" i="42"/>
  <c r="D36" i="99"/>
  <c r="L31" i="99"/>
  <c r="P41" i="55"/>
  <c r="X41" i="55" s="1"/>
  <c r="X38" i="55"/>
  <c r="Z38" i="55" s="1"/>
  <c r="P36" i="41"/>
  <c r="X31" i="41"/>
  <c r="T75" i="65"/>
  <c r="V72" i="65"/>
  <c r="Z40" i="96"/>
  <c r="T43" i="96"/>
  <c r="P36" i="17"/>
  <c r="X31" i="17"/>
  <c r="T36" i="25"/>
  <c r="Z36" i="25" s="1"/>
  <c r="Z31" i="25"/>
  <c r="T53" i="91"/>
  <c r="Z50" i="91"/>
  <c r="H147" i="64"/>
  <c r="N143" i="64"/>
  <c r="T36" i="47"/>
  <c r="Z36" i="47" s="1"/>
  <c r="Z31" i="47"/>
  <c r="L36" i="46"/>
  <c r="T72" i="72"/>
  <c r="V68" i="72"/>
  <c r="P110" i="21"/>
  <c r="X106" i="21"/>
  <c r="Z106" i="21" s="1"/>
  <c r="R106" i="21"/>
  <c r="P36" i="22"/>
  <c r="X31" i="22"/>
  <c r="T58" i="61"/>
  <c r="X55" i="61"/>
  <c r="Z55" i="61" s="1"/>
  <c r="T36" i="14"/>
  <c r="Z36" i="14" s="1"/>
  <c r="Z31" i="14"/>
  <c r="H36" i="32"/>
  <c r="N31" i="32"/>
  <c r="L31" i="32"/>
  <c r="T363" i="3"/>
  <c r="V359" i="3"/>
  <c r="T114" i="62"/>
  <c r="H184" i="30"/>
  <c r="N180" i="30"/>
  <c r="J180" i="30"/>
  <c r="D94" i="94"/>
  <c r="L90" i="94"/>
  <c r="N90" i="94" s="1"/>
  <c r="F90" i="94"/>
  <c r="D55" i="93"/>
  <c r="L51" i="93"/>
  <c r="T67" i="89"/>
  <c r="V63" i="89"/>
  <c r="P36" i="13"/>
  <c r="X36" i="13" s="1"/>
  <c r="X31" i="13"/>
  <c r="H103" i="45"/>
  <c r="J100" i="45"/>
  <c r="T36" i="29"/>
  <c r="Z36" i="29" s="1"/>
  <c r="Z31" i="29"/>
  <c r="T36" i="26"/>
  <c r="Z36" i="26" s="1"/>
  <c r="Z31" i="26"/>
  <c r="H43" i="96"/>
  <c r="N40" i="96"/>
  <c r="Z31" i="43"/>
  <c r="T36" i="43"/>
  <c r="Z36" i="43" s="1"/>
  <c r="P36" i="16"/>
  <c r="X31" i="16"/>
  <c r="P104" i="81"/>
  <c r="X101" i="81"/>
  <c r="T317" i="12"/>
  <c r="Z313" i="12"/>
  <c r="V313" i="12"/>
  <c r="D36" i="17"/>
  <c r="L31" i="17"/>
  <c r="N31" i="100"/>
  <c r="H36" i="100"/>
  <c r="L31" i="100"/>
  <c r="L31" i="8"/>
  <c r="D36" i="8"/>
  <c r="Z31" i="98"/>
  <c r="T36" i="98"/>
  <c r="Z36" i="98" s="1"/>
  <c r="P136" i="66"/>
  <c r="X132" i="66"/>
  <c r="Z132" i="66" s="1"/>
  <c r="R132" i="66"/>
  <c r="T99" i="9"/>
  <c r="X96" i="9"/>
  <c r="Z96" i="9" s="1"/>
  <c r="D36" i="28"/>
  <c r="L31" i="28"/>
  <c r="D114" i="62"/>
  <c r="L114" i="62" s="1"/>
  <c r="L111" i="62"/>
  <c r="H73" i="97"/>
  <c r="J69" i="97"/>
  <c r="T58" i="60"/>
  <c r="X55" i="60"/>
  <c r="Z55" i="60" s="1"/>
  <c r="T80" i="80"/>
  <c r="V76" i="80"/>
  <c r="P92" i="70"/>
  <c r="X88" i="70"/>
  <c r="Z88" i="70" s="1"/>
  <c r="R88" i="70"/>
  <c r="X68" i="72"/>
  <c r="Z68" i="72" s="1"/>
  <c r="P36" i="99"/>
  <c r="X31" i="99"/>
  <c r="N111" i="62"/>
  <c r="H114" i="62"/>
  <c r="D90" i="92"/>
  <c r="L86" i="92"/>
  <c r="N86" i="92" s="1"/>
  <c r="L76" i="80"/>
  <c r="D80" i="80"/>
  <c r="T140" i="27"/>
  <c r="V137" i="27"/>
  <c r="T80" i="67"/>
  <c r="V76" i="67"/>
  <c r="H36" i="40"/>
  <c r="N36" i="40" s="1"/>
  <c r="N31" i="40"/>
  <c r="H128" i="51"/>
  <c r="J125" i="51"/>
  <c r="D36" i="29"/>
  <c r="L31" i="29"/>
  <c r="D88" i="95"/>
  <c r="L84" i="95"/>
  <c r="N84" i="95" s="1"/>
  <c r="T136" i="66"/>
  <c r="V132" i="66"/>
  <c r="T125" i="51"/>
  <c r="Z121" i="51"/>
  <c r="V121" i="51"/>
  <c r="Z73" i="48"/>
  <c r="T76" i="48"/>
  <c r="V73" i="48"/>
  <c r="P36" i="100"/>
  <c r="X31" i="100"/>
  <c r="P164" i="24"/>
  <c r="X160" i="24"/>
  <c r="R160" i="24"/>
  <c r="Z31" i="99"/>
  <c r="T36" i="99"/>
  <c r="Z36" i="99" s="1"/>
  <c r="D36" i="5"/>
  <c r="L31" i="5"/>
  <c r="H93" i="92"/>
  <c r="J90" i="92"/>
  <c r="Z132" i="39"/>
  <c r="T136" i="39"/>
  <c r="V132" i="39"/>
  <c r="D104" i="81"/>
  <c r="L104" i="81" s="1"/>
  <c r="N104" i="81" s="1"/>
  <c r="L101" i="81"/>
  <c r="N101" i="81" s="1"/>
  <c r="D84" i="84"/>
  <c r="L84" i="84" s="1"/>
  <c r="L81" i="84"/>
  <c r="X313" i="12"/>
  <c r="D103" i="68"/>
  <c r="L99" i="68"/>
  <c r="D99" i="9"/>
  <c r="L99" i="9" s="1"/>
  <c r="L96" i="9"/>
  <c r="N96" i="9" s="1"/>
  <c r="T92" i="70"/>
  <c r="V88" i="70"/>
  <c r="H91" i="95"/>
  <c r="J88" i="95"/>
  <c r="H36" i="8"/>
  <c r="N36" i="8" s="1"/>
  <c r="N31" i="8"/>
  <c r="D340" i="18"/>
  <c r="L336" i="18"/>
  <c r="N336" i="18" s="1"/>
  <c r="F336" i="18"/>
  <c r="H97" i="94"/>
  <c r="J94" i="94"/>
  <c r="N31" i="47"/>
  <c r="H36" i="47"/>
  <c r="N36" i="47" s="1"/>
  <c r="X83" i="90"/>
  <c r="Z83" i="90" s="1"/>
  <c r="T134" i="36"/>
  <c r="V131" i="36"/>
  <c r="T125" i="71"/>
  <c r="V121" i="71"/>
  <c r="D36" i="44"/>
  <c r="L31" i="44"/>
  <c r="H75" i="73"/>
  <c r="N71" i="73"/>
  <c r="D36" i="35"/>
  <c r="L31" i="35"/>
  <c r="P36" i="98"/>
  <c r="X31" i="98"/>
  <c r="H99" i="85"/>
  <c r="N96" i="85"/>
  <c r="T110" i="33"/>
  <c r="Z106" i="33"/>
  <c r="V106" i="33"/>
  <c r="P96" i="85"/>
  <c r="X92" i="85"/>
  <c r="Z92" i="85" s="1"/>
  <c r="R92" i="85"/>
  <c r="H58" i="61"/>
  <c r="N55" i="61"/>
  <c r="Z50" i="88"/>
  <c r="T53" i="88"/>
  <c r="X50" i="91"/>
  <c r="P53" i="91"/>
  <c r="X53" i="91" s="1"/>
  <c r="P137" i="27"/>
  <c r="X133" i="27"/>
  <c r="Z133" i="27" s="1"/>
  <c r="R133" i="27"/>
  <c r="L73" i="48"/>
  <c r="N73" i="48" s="1"/>
  <c r="D76" i="48"/>
  <c r="F73" i="48"/>
  <c r="H311" i="15"/>
  <c r="J308" i="15"/>
  <c r="L50" i="91"/>
  <c r="N50" i="91" s="1"/>
  <c r="T36" i="32"/>
  <c r="Z36" i="32" s="1"/>
  <c r="Z31" i="32"/>
  <c r="H83" i="67"/>
  <c r="J80" i="67"/>
  <c r="P125" i="71"/>
  <c r="X121" i="71"/>
  <c r="Z121" i="71" s="1"/>
  <c r="R121" i="71"/>
  <c r="L72" i="65"/>
  <c r="D75" i="65"/>
  <c r="N31" i="98"/>
  <c r="H36" i="98"/>
  <c r="N36" i="98" s="1"/>
  <c r="D41" i="55"/>
  <c r="L41" i="55" s="1"/>
  <c r="L38" i="55"/>
  <c r="N38" i="55" s="1"/>
  <c r="D131" i="36"/>
  <c r="L127" i="36"/>
  <c r="N127" i="36" s="1"/>
  <c r="F127" i="36"/>
  <c r="D150" i="69"/>
  <c r="L146" i="69"/>
  <c r="N146" i="69" s="1"/>
  <c r="F146" i="69"/>
  <c r="P77" i="56"/>
  <c r="X77" i="56" s="1"/>
  <c r="X74" i="56"/>
  <c r="L75" i="73"/>
  <c r="D78" i="73"/>
  <c r="H55" i="93"/>
  <c r="N51" i="93"/>
  <c r="T81" i="74"/>
  <c r="V78" i="74"/>
  <c r="T99" i="85"/>
  <c r="V96" i="85"/>
  <c r="D77" i="57"/>
  <c r="L77" i="57" s="1"/>
  <c r="N77" i="57" s="1"/>
  <c r="L74" i="57"/>
  <c r="N74" i="57" s="1"/>
  <c r="Z75" i="82"/>
  <c r="T79" i="82"/>
  <c r="V75" i="82"/>
  <c r="D110" i="33"/>
  <c r="L106" i="33"/>
  <c r="F106" i="33"/>
  <c r="X111" i="62"/>
  <c r="Z111" i="62" s="1"/>
  <c r="P75" i="72"/>
  <c r="X72" i="72"/>
  <c r="P36" i="47"/>
  <c r="X36" i="47" s="1"/>
  <c r="X31" i="47"/>
  <c r="L35" i="78"/>
  <c r="D38" i="78"/>
  <c r="F35" i="78"/>
  <c r="Z86" i="92"/>
  <c r="T90" i="92"/>
  <c r="V86" i="92"/>
  <c r="P36" i="40"/>
  <c r="X31" i="40"/>
  <c r="D78" i="74"/>
  <c r="L74" i="74"/>
  <c r="N74" i="74" s="1"/>
  <c r="P75" i="73"/>
  <c r="X71" i="73"/>
  <c r="Z71" i="73" s="1"/>
  <c r="R71" i="73"/>
  <c r="P91" i="95"/>
  <c r="X91" i="95" s="1"/>
  <c r="Z91" i="95" s="1"/>
  <c r="X88" i="95"/>
  <c r="Z88" i="95" s="1"/>
  <c r="P67" i="89"/>
  <c r="X63" i="89"/>
  <c r="Z63" i="89" s="1"/>
  <c r="H36" i="50"/>
  <c r="N36" i="50" s="1"/>
  <c r="N31" i="50"/>
  <c r="X87" i="86"/>
  <c r="Z87" i="86" s="1"/>
  <c r="P91" i="86"/>
  <c r="H65" i="63"/>
  <c r="L65" i="63" s="1"/>
  <c r="N62" i="63"/>
  <c r="H76" i="48"/>
  <c r="J73" i="48"/>
  <c r="D36" i="26"/>
  <c r="L31" i="26"/>
  <c r="P320" i="12"/>
  <c r="X317" i="12"/>
  <c r="R317" i="12"/>
  <c r="D36" i="20"/>
  <c r="L36" i="20" s="1"/>
  <c r="L31" i="20"/>
  <c r="N35" i="78"/>
  <c r="H38" i="78"/>
  <c r="D308" i="15"/>
  <c r="L304" i="15"/>
  <c r="N304" i="15" s="1"/>
  <c r="F304" i="15"/>
  <c r="T84" i="84"/>
  <c r="V81" i="84"/>
  <c r="P81" i="58"/>
  <c r="X81" i="58" s="1"/>
  <c r="Z81" i="58" s="1"/>
  <c r="X78" i="58"/>
  <c r="Z78" i="58" s="1"/>
  <c r="T36" i="22"/>
  <c r="Z36" i="22" s="1"/>
  <c r="Z31" i="22"/>
  <c r="T77" i="57"/>
  <c r="Z74" i="57"/>
  <c r="P78" i="74"/>
  <c r="X74" i="74"/>
  <c r="Z74" i="74" s="1"/>
  <c r="P36" i="14"/>
  <c r="X31" i="14"/>
  <c r="P65" i="63"/>
  <c r="X65" i="63" s="1"/>
  <c r="Z65" i="63" s="1"/>
  <c r="X62" i="63"/>
  <c r="Z62" i="63" s="1"/>
  <c r="D80" i="67"/>
  <c r="L76" i="67"/>
  <c r="N76" i="67" s="1"/>
  <c r="P90" i="90"/>
  <c r="X87" i="90"/>
  <c r="P36" i="46"/>
  <c r="X36" i="46" s="1"/>
  <c r="X31" i="46"/>
  <c r="D36" i="23"/>
  <c r="L36" i="23" s="1"/>
  <c r="L31" i="23"/>
  <c r="H36" i="5"/>
  <c r="N36" i="5" s="1"/>
  <c r="N31" i="5"/>
  <c r="H87" i="76"/>
  <c r="L83" i="76"/>
  <c r="N83" i="76" s="1"/>
  <c r="T77" i="56"/>
  <c r="Z74" i="56"/>
  <c r="L83" i="79"/>
  <c r="N83" i="79" s="1"/>
  <c r="D87" i="79"/>
  <c r="X114" i="62"/>
  <c r="T36" i="19"/>
  <c r="Z36" i="19" s="1"/>
  <c r="Z31" i="19"/>
  <c r="H36" i="25"/>
  <c r="N36" i="25" s="1"/>
  <c r="N31" i="25"/>
  <c r="T36" i="35"/>
  <c r="Z36" i="35" s="1"/>
  <c r="Z31" i="35"/>
  <c r="T38" i="78"/>
  <c r="V35" i="78"/>
  <c r="P60" i="87"/>
  <c r="X57" i="87"/>
  <c r="R57" i="87"/>
  <c r="P147" i="64"/>
  <c r="X143" i="64"/>
  <c r="Z143" i="64" s="1"/>
  <c r="R143" i="64"/>
  <c r="L36" i="13"/>
  <c r="H53" i="88"/>
  <c r="P128" i="42"/>
  <c r="X124" i="42"/>
  <c r="Z124" i="42" s="1"/>
  <c r="R124" i="42"/>
  <c r="L100" i="45"/>
  <c r="N100" i="45" s="1"/>
  <c r="D103" i="45"/>
  <c r="F100" i="45"/>
  <c r="H67" i="89"/>
  <c r="L67" i="89" s="1"/>
  <c r="N63" i="89"/>
  <c r="H58" i="60"/>
  <c r="N55" i="60"/>
  <c r="D36" i="14"/>
  <c r="L31" i="14"/>
  <c r="H72" i="65"/>
  <c r="N68" i="65"/>
  <c r="P36" i="32"/>
  <c r="X31" i="32"/>
  <c r="P81" i="84"/>
  <c r="X77" i="84"/>
  <c r="Z77" i="84" s="1"/>
  <c r="R77" i="84"/>
  <c r="T36" i="11"/>
  <c r="Z36" i="11" s="1"/>
  <c r="Z31" i="11"/>
  <c r="T104" i="81"/>
  <c r="Z101" i="81"/>
  <c r="D36" i="19"/>
  <c r="L36" i="19" s="1"/>
  <c r="L31" i="19"/>
  <c r="X31" i="44"/>
  <c r="H103" i="68"/>
  <c r="N99" i="68"/>
  <c r="J99" i="68"/>
  <c r="D110" i="21"/>
  <c r="L106" i="21"/>
  <c r="N106" i="21" s="1"/>
  <c r="F106" i="21"/>
  <c r="H90" i="79"/>
  <c r="T90" i="76"/>
  <c r="V87" i="76"/>
  <c r="D128" i="42"/>
  <c r="L124" i="42"/>
  <c r="F124" i="42"/>
  <c r="P343" i="18"/>
  <c r="X340" i="18"/>
  <c r="Z340" i="18" s="1"/>
  <c r="R340" i="18"/>
  <c r="P36" i="43"/>
  <c r="X31" i="43"/>
  <c r="D53" i="88"/>
  <c r="L50" i="88"/>
  <c r="N50" i="88" s="1"/>
  <c r="L31" i="98"/>
  <c r="D36" i="98"/>
  <c r="T100" i="45"/>
  <c r="Z96" i="45"/>
  <c r="V96" i="45"/>
  <c r="P80" i="67"/>
  <c r="X76" i="67"/>
  <c r="Z76" i="67" s="1"/>
  <c r="T36" i="40"/>
  <c r="Z36" i="40" s="1"/>
  <c r="Z31" i="40"/>
  <c r="D125" i="71"/>
  <c r="L121" i="71"/>
  <c r="N121" i="71" s="1"/>
  <c r="F121" i="71"/>
  <c r="P55" i="93"/>
  <c r="X51" i="93"/>
  <c r="Z51" i="93" s="1"/>
  <c r="H128" i="42"/>
  <c r="N124" i="42"/>
  <c r="H136" i="39"/>
  <c r="N132" i="39"/>
  <c r="J132" i="39"/>
  <c r="H36" i="10"/>
  <c r="N36" i="10" s="1"/>
  <c r="N31" i="10"/>
  <c r="T31" i="75"/>
  <c r="Z27" i="75"/>
  <c r="V27" i="75"/>
  <c r="X53" i="87"/>
  <c r="Z53" i="87" s="1"/>
  <c r="H36" i="49"/>
  <c r="N36" i="49" s="1"/>
  <c r="N31" i="49"/>
  <c r="P311" i="15"/>
  <c r="X308" i="15"/>
  <c r="Z308" i="15" s="1"/>
  <c r="R308" i="15"/>
  <c r="Z65" i="59"/>
  <c r="T68" i="59"/>
  <c r="X68" i="59" s="1"/>
  <c r="D94" i="86"/>
  <c r="L94" i="86" s="1"/>
  <c r="L91" i="86"/>
  <c r="N91" i="86" s="1"/>
  <c r="T36" i="100"/>
  <c r="Z36" i="100" s="1"/>
  <c r="Z31" i="100"/>
  <c r="H36" i="52"/>
  <c r="N36" i="52" s="1"/>
  <c r="N31" i="52"/>
  <c r="P31" i="54"/>
  <c r="X31" i="54" s="1"/>
  <c r="Z31" i="54" s="1"/>
  <c r="X26" i="54"/>
  <c r="N31" i="7"/>
  <c r="H36" i="7"/>
  <c r="N36" i="7" s="1"/>
  <c r="Z31" i="50"/>
  <c r="T36" i="50"/>
  <c r="Z36" i="50" s="1"/>
  <c r="D36" i="52"/>
  <c r="L36" i="52" s="1"/>
  <c r="L31" i="52"/>
  <c r="Z31" i="5"/>
  <c r="T36" i="5"/>
  <c r="Z36" i="5" s="1"/>
  <c r="P87" i="76"/>
  <c r="X83" i="76"/>
  <c r="Z83" i="76" s="1"/>
  <c r="D36" i="53"/>
  <c r="L36" i="53" s="1"/>
  <c r="L31" i="53"/>
  <c r="P80" i="80"/>
  <c r="X76" i="80"/>
  <c r="Z76" i="80" s="1"/>
  <c r="H36" i="26"/>
  <c r="N36" i="26" s="1"/>
  <c r="N31" i="26"/>
  <c r="X359" i="3"/>
  <c r="Z359" i="3" s="1"/>
  <c r="P36" i="10"/>
  <c r="X31" i="10"/>
  <c r="X36" i="23" l="1"/>
  <c r="L36" i="4"/>
  <c r="X36" i="16"/>
  <c r="L36" i="14"/>
  <c r="X36" i="44"/>
  <c r="X36" i="43"/>
  <c r="X36" i="17"/>
  <c r="L36" i="7"/>
  <c r="L36" i="99"/>
  <c r="X36" i="35"/>
  <c r="X36" i="14"/>
  <c r="L36" i="44"/>
  <c r="X36" i="34"/>
  <c r="X36" i="53"/>
  <c r="X36" i="41"/>
  <c r="X36" i="10"/>
  <c r="X36" i="52"/>
  <c r="L36" i="17"/>
  <c r="X36" i="98"/>
  <c r="X36" i="22"/>
  <c r="L36" i="98"/>
  <c r="L36" i="28"/>
  <c r="L36" i="8"/>
  <c r="X36" i="29"/>
  <c r="X36" i="26"/>
  <c r="N36" i="31"/>
  <c r="L36" i="31"/>
  <c r="R60" i="87"/>
  <c r="H58" i="93"/>
  <c r="P83" i="80"/>
  <c r="X83" i="80" s="1"/>
  <c r="X80" i="80"/>
  <c r="T34" i="75"/>
  <c r="V31" i="75"/>
  <c r="P83" i="67"/>
  <c r="X83" i="67" s="1"/>
  <c r="X80" i="67"/>
  <c r="L53" i="88"/>
  <c r="D131" i="42"/>
  <c r="L128" i="42"/>
  <c r="F128" i="42"/>
  <c r="D113" i="21"/>
  <c r="L110" i="21"/>
  <c r="N110" i="21" s="1"/>
  <c r="F110" i="21"/>
  <c r="H90" i="76"/>
  <c r="L87" i="76"/>
  <c r="N87" i="76" s="1"/>
  <c r="P81" i="74"/>
  <c r="X81" i="74" s="1"/>
  <c r="X78" i="74"/>
  <c r="Z78" i="74" s="1"/>
  <c r="L38" i="78"/>
  <c r="N38" i="78" s="1"/>
  <c r="F38" i="78"/>
  <c r="D134" i="36"/>
  <c r="L131" i="36"/>
  <c r="N131" i="36" s="1"/>
  <c r="F131" i="36"/>
  <c r="V76" i="48"/>
  <c r="D83" i="80"/>
  <c r="L80" i="80"/>
  <c r="N80" i="80" s="1"/>
  <c r="X58" i="60"/>
  <c r="Z58" i="60" s="1"/>
  <c r="Z43" i="96"/>
  <c r="N41" i="55"/>
  <c r="T153" i="69"/>
  <c r="V150" i="69"/>
  <c r="L99" i="85"/>
  <c r="F99" i="85"/>
  <c r="H128" i="71"/>
  <c r="J125" i="71"/>
  <c r="L320" i="12"/>
  <c r="F320" i="12"/>
  <c r="X43" i="96"/>
  <c r="P82" i="82"/>
  <c r="X82" i="82" s="1"/>
  <c r="X79" i="82"/>
  <c r="Z311" i="15"/>
  <c r="V311" i="15"/>
  <c r="D95" i="70"/>
  <c r="L92" i="70"/>
  <c r="F92" i="70"/>
  <c r="X187" i="30"/>
  <c r="R187" i="30"/>
  <c r="J140" i="27"/>
  <c r="X31" i="75"/>
  <c r="Z31" i="75" s="1"/>
  <c r="P34" i="75"/>
  <c r="R31" i="75"/>
  <c r="R368" i="3"/>
  <c r="T150" i="64"/>
  <c r="V147" i="64"/>
  <c r="Z343" i="18"/>
  <c r="V343" i="18"/>
  <c r="J113" i="21"/>
  <c r="D311" i="15"/>
  <c r="L308" i="15"/>
  <c r="N308" i="15" s="1"/>
  <c r="F308" i="15"/>
  <c r="D343" i="18"/>
  <c r="L340" i="18"/>
  <c r="N340" i="18" s="1"/>
  <c r="F340" i="18"/>
  <c r="T139" i="66"/>
  <c r="V136" i="66"/>
  <c r="X311" i="15"/>
  <c r="R311" i="15"/>
  <c r="P58" i="93"/>
  <c r="X58" i="93" s="1"/>
  <c r="Z58" i="93" s="1"/>
  <c r="X55" i="93"/>
  <c r="Z55" i="93" s="1"/>
  <c r="H75" i="65"/>
  <c r="N72" i="65"/>
  <c r="L103" i="45"/>
  <c r="N103" i="45" s="1"/>
  <c r="F103" i="45"/>
  <c r="V38" i="78"/>
  <c r="D81" i="74"/>
  <c r="L81" i="74" s="1"/>
  <c r="L78" i="74"/>
  <c r="N78" i="74" s="1"/>
  <c r="D113" i="33"/>
  <c r="L110" i="33"/>
  <c r="F110" i="33"/>
  <c r="V99" i="85"/>
  <c r="P128" i="71"/>
  <c r="X125" i="71"/>
  <c r="Z125" i="71" s="1"/>
  <c r="R125" i="71"/>
  <c r="P140" i="27"/>
  <c r="X137" i="27"/>
  <c r="Z137" i="27" s="1"/>
  <c r="R137" i="27"/>
  <c r="T139" i="39"/>
  <c r="Z136" i="39"/>
  <c r="V136" i="39"/>
  <c r="L88" i="95"/>
  <c r="N88" i="95" s="1"/>
  <c r="D91" i="95"/>
  <c r="L91" i="95" s="1"/>
  <c r="X36" i="5"/>
  <c r="J103" i="45"/>
  <c r="D58" i="93"/>
  <c r="L58" i="93" s="1"/>
  <c r="L55" i="93"/>
  <c r="N55" i="93" s="1"/>
  <c r="Z114" i="62"/>
  <c r="P113" i="21"/>
  <c r="X110" i="21"/>
  <c r="Z110" i="21" s="1"/>
  <c r="R110" i="21"/>
  <c r="H150" i="64"/>
  <c r="N147" i="64"/>
  <c r="T90" i="90"/>
  <c r="Z87" i="90"/>
  <c r="V87" i="90"/>
  <c r="X36" i="50"/>
  <c r="P134" i="36"/>
  <c r="X131" i="36"/>
  <c r="Z131" i="36" s="1"/>
  <c r="R131" i="36"/>
  <c r="N99" i="9"/>
  <c r="X36" i="8"/>
  <c r="N94" i="86"/>
  <c r="D149" i="77"/>
  <c r="L146" i="77"/>
  <c r="F146" i="77"/>
  <c r="H167" i="24"/>
  <c r="J164" i="24"/>
  <c r="P113" i="33"/>
  <c r="X110" i="33"/>
  <c r="R110" i="33"/>
  <c r="N68" i="59"/>
  <c r="Z77" i="57"/>
  <c r="P70" i="89"/>
  <c r="X67" i="89"/>
  <c r="J311" i="15"/>
  <c r="J97" i="94"/>
  <c r="J134" i="36"/>
  <c r="V113" i="21"/>
  <c r="V78" i="73"/>
  <c r="H81" i="74"/>
  <c r="J343" i="18"/>
  <c r="T106" i="68"/>
  <c r="Z103" i="68"/>
  <c r="V103" i="68"/>
  <c r="L36" i="25"/>
  <c r="X90" i="92"/>
  <c r="P93" i="92"/>
  <c r="R90" i="92"/>
  <c r="X77" i="57"/>
  <c r="P78" i="83"/>
  <c r="X75" i="83"/>
  <c r="Z75" i="83" s="1"/>
  <c r="L140" i="27"/>
  <c r="N140" i="27" s="1"/>
  <c r="F140" i="27"/>
  <c r="D82" i="82"/>
  <c r="L82" i="82" s="1"/>
  <c r="L79" i="82"/>
  <c r="N79" i="82" s="1"/>
  <c r="H139" i="66"/>
  <c r="J136" i="66"/>
  <c r="D83" i="67"/>
  <c r="L83" i="67" s="1"/>
  <c r="N83" i="67" s="1"/>
  <c r="L80" i="67"/>
  <c r="N80" i="67" s="1"/>
  <c r="J76" i="48"/>
  <c r="T128" i="71"/>
  <c r="V125" i="71"/>
  <c r="D106" i="68"/>
  <c r="L106" i="68" s="1"/>
  <c r="L103" i="68"/>
  <c r="P90" i="76"/>
  <c r="X90" i="76" s="1"/>
  <c r="X87" i="76"/>
  <c r="Z87" i="76" s="1"/>
  <c r="T103" i="45"/>
  <c r="V100" i="45"/>
  <c r="Z90" i="76"/>
  <c r="V90" i="76"/>
  <c r="N103" i="68"/>
  <c r="H106" i="68"/>
  <c r="J103" i="68"/>
  <c r="P150" i="64"/>
  <c r="X147" i="64"/>
  <c r="Z147" i="64" s="1"/>
  <c r="R147" i="64"/>
  <c r="X36" i="40"/>
  <c r="T82" i="82"/>
  <c r="Z79" i="82"/>
  <c r="V79" i="82"/>
  <c r="X36" i="4"/>
  <c r="L36" i="35"/>
  <c r="N91" i="95"/>
  <c r="J91" i="95"/>
  <c r="L36" i="29"/>
  <c r="T83" i="67"/>
  <c r="Z80" i="67"/>
  <c r="V80" i="67"/>
  <c r="D93" i="92"/>
  <c r="L93" i="92" s="1"/>
  <c r="L90" i="92"/>
  <c r="N90" i="92" s="1"/>
  <c r="P95" i="70"/>
  <c r="X92" i="70"/>
  <c r="R92" i="70"/>
  <c r="N73" i="97"/>
  <c r="H76" i="97"/>
  <c r="J73" i="97"/>
  <c r="T320" i="12"/>
  <c r="X320" i="12" s="1"/>
  <c r="Z317" i="12"/>
  <c r="V317" i="12"/>
  <c r="Z53" i="91"/>
  <c r="Z75" i="65"/>
  <c r="V75" i="65"/>
  <c r="X36" i="11"/>
  <c r="X128" i="51"/>
  <c r="R128" i="51"/>
  <c r="X139" i="39"/>
  <c r="R139" i="39"/>
  <c r="V90" i="79"/>
  <c r="N36" i="16"/>
  <c r="L36" i="16"/>
  <c r="N110" i="33"/>
  <c r="H113" i="33"/>
  <c r="J110" i="33"/>
  <c r="N320" i="12"/>
  <c r="J320" i="12"/>
  <c r="P149" i="77"/>
  <c r="X146" i="77"/>
  <c r="R146" i="77"/>
  <c r="T167" i="24"/>
  <c r="Z164" i="24"/>
  <c r="V164" i="24"/>
  <c r="H368" i="3"/>
  <c r="N363" i="3"/>
  <c r="J363" i="3"/>
  <c r="X53" i="88"/>
  <c r="Z53" i="88" s="1"/>
  <c r="D90" i="79"/>
  <c r="L90" i="79" s="1"/>
  <c r="L87" i="79"/>
  <c r="N87" i="79" s="1"/>
  <c r="D128" i="71"/>
  <c r="L125" i="71"/>
  <c r="N125" i="71" s="1"/>
  <c r="F125" i="71"/>
  <c r="N65" i="63"/>
  <c r="Z81" i="74"/>
  <c r="V81" i="74"/>
  <c r="J83" i="67"/>
  <c r="N93" i="92"/>
  <c r="J93" i="92"/>
  <c r="P167" i="24"/>
  <c r="X164" i="24"/>
  <c r="R164" i="24"/>
  <c r="T128" i="51"/>
  <c r="Z125" i="51"/>
  <c r="V125" i="51"/>
  <c r="L53" i="91"/>
  <c r="N53" i="91" s="1"/>
  <c r="N114" i="62"/>
  <c r="X99" i="9"/>
  <c r="Z99" i="9" s="1"/>
  <c r="D97" i="94"/>
  <c r="L94" i="94"/>
  <c r="N94" i="94" s="1"/>
  <c r="F94" i="94"/>
  <c r="T368" i="3"/>
  <c r="X368" i="3" s="1"/>
  <c r="V363" i="3"/>
  <c r="X58" i="61"/>
  <c r="Z58" i="61" s="1"/>
  <c r="T75" i="72"/>
  <c r="Z72" i="72"/>
  <c r="V72" i="72"/>
  <c r="T60" i="87"/>
  <c r="X60" i="87" s="1"/>
  <c r="Z57" i="87"/>
  <c r="V57" i="87"/>
  <c r="N75" i="83"/>
  <c r="H78" i="83"/>
  <c r="L78" i="83" s="1"/>
  <c r="D60" i="87"/>
  <c r="L57" i="87"/>
  <c r="N57" i="87" s="1"/>
  <c r="F57" i="87"/>
  <c r="L36" i="10"/>
  <c r="Z41" i="55"/>
  <c r="D187" i="30"/>
  <c r="L184" i="30"/>
  <c r="F184" i="30"/>
  <c r="X36" i="37"/>
  <c r="X76" i="97"/>
  <c r="R76" i="97"/>
  <c r="D75" i="72"/>
  <c r="L72" i="72"/>
  <c r="H34" i="75"/>
  <c r="N31" i="75"/>
  <c r="J31" i="75"/>
  <c r="V84" i="84"/>
  <c r="P99" i="85"/>
  <c r="X96" i="85"/>
  <c r="Z96" i="85" s="1"/>
  <c r="R96" i="85"/>
  <c r="Z68" i="59"/>
  <c r="H139" i="39"/>
  <c r="J136" i="39"/>
  <c r="X343" i="18"/>
  <c r="R343" i="18"/>
  <c r="N90" i="79"/>
  <c r="P84" i="84"/>
  <c r="X81" i="84"/>
  <c r="Z81" i="84" s="1"/>
  <c r="R81" i="84"/>
  <c r="N58" i="60"/>
  <c r="P131" i="42"/>
  <c r="X128" i="42"/>
  <c r="Z128" i="42" s="1"/>
  <c r="R128" i="42"/>
  <c r="Z77" i="56"/>
  <c r="R320" i="12"/>
  <c r="P94" i="86"/>
  <c r="X94" i="86" s="1"/>
  <c r="Z94" i="86" s="1"/>
  <c r="X91" i="86"/>
  <c r="Z91" i="86" s="1"/>
  <c r="T93" i="92"/>
  <c r="Z90" i="92"/>
  <c r="V90" i="92"/>
  <c r="X75" i="72"/>
  <c r="L150" i="69"/>
  <c r="D153" i="69"/>
  <c r="F150" i="69"/>
  <c r="L75" i="65"/>
  <c r="L76" i="48"/>
  <c r="N76" i="48" s="1"/>
  <c r="F76" i="48"/>
  <c r="T113" i="33"/>
  <c r="Z110" i="33"/>
  <c r="V110" i="33"/>
  <c r="H78" i="73"/>
  <c r="N75" i="73"/>
  <c r="V134" i="36"/>
  <c r="T83" i="80"/>
  <c r="Z80" i="80"/>
  <c r="V80" i="80"/>
  <c r="N36" i="100"/>
  <c r="L36" i="100"/>
  <c r="X104" i="81"/>
  <c r="Z104" i="81" s="1"/>
  <c r="V131" i="42"/>
  <c r="D90" i="90"/>
  <c r="L90" i="90" s="1"/>
  <c r="N90" i="90" s="1"/>
  <c r="L87" i="90"/>
  <c r="N87" i="90" s="1"/>
  <c r="L36" i="22"/>
  <c r="D128" i="51"/>
  <c r="L125" i="51"/>
  <c r="N125" i="51" s="1"/>
  <c r="F125" i="51"/>
  <c r="D167" i="24"/>
  <c r="L167" i="24" s="1"/>
  <c r="L164" i="24"/>
  <c r="N164" i="24" s="1"/>
  <c r="P97" i="94"/>
  <c r="X94" i="94"/>
  <c r="Z94" i="94" s="1"/>
  <c r="R94" i="94"/>
  <c r="T78" i="83"/>
  <c r="V75" i="83"/>
  <c r="X36" i="25"/>
  <c r="X36" i="19"/>
  <c r="H149" i="77"/>
  <c r="N146" i="77"/>
  <c r="P153" i="69"/>
  <c r="X150" i="69"/>
  <c r="Z150" i="69" s="1"/>
  <c r="R150" i="69"/>
  <c r="L36" i="40"/>
  <c r="L150" i="64"/>
  <c r="L36" i="47"/>
  <c r="P103" i="45"/>
  <c r="X100" i="45"/>
  <c r="Z100" i="45" s="1"/>
  <c r="R100" i="45"/>
  <c r="P75" i="65"/>
  <c r="X75" i="65" s="1"/>
  <c r="X72" i="65"/>
  <c r="Z72" i="65" s="1"/>
  <c r="T70" i="89"/>
  <c r="Z67" i="89"/>
  <c r="V67" i="89"/>
  <c r="D139" i="39"/>
  <c r="L136" i="39"/>
  <c r="N136" i="39" s="1"/>
  <c r="F136" i="39"/>
  <c r="L34" i="75"/>
  <c r="F34" i="75"/>
  <c r="H75" i="72"/>
  <c r="N72" i="72"/>
  <c r="J72" i="72"/>
  <c r="L36" i="43"/>
  <c r="D139" i="66"/>
  <c r="L136" i="66"/>
  <c r="N136" i="66" s="1"/>
  <c r="F136" i="66"/>
  <c r="L368" i="3"/>
  <c r="F368" i="3"/>
  <c r="H95" i="70"/>
  <c r="N92" i="70"/>
  <c r="J92" i="70"/>
  <c r="N82" i="82"/>
  <c r="H153" i="69"/>
  <c r="N150" i="69"/>
  <c r="J150" i="69"/>
  <c r="L58" i="61"/>
  <c r="N58" i="61" s="1"/>
  <c r="L43" i="96"/>
  <c r="N43" i="96" s="1"/>
  <c r="N53" i="88"/>
  <c r="Z92" i="70"/>
  <c r="T95" i="70"/>
  <c r="V92" i="70"/>
  <c r="X36" i="100"/>
  <c r="H131" i="42"/>
  <c r="N128" i="42"/>
  <c r="X36" i="32"/>
  <c r="H70" i="89"/>
  <c r="L70" i="89" s="1"/>
  <c r="N67" i="89"/>
  <c r="L36" i="49"/>
  <c r="L36" i="26"/>
  <c r="P78" i="73"/>
  <c r="X75" i="73"/>
  <c r="Z75" i="73" s="1"/>
  <c r="R75" i="73"/>
  <c r="L78" i="73"/>
  <c r="N99" i="85"/>
  <c r="L36" i="5"/>
  <c r="J128" i="51"/>
  <c r="V140" i="27"/>
  <c r="X36" i="99"/>
  <c r="P139" i="66"/>
  <c r="X136" i="66"/>
  <c r="Z136" i="66" s="1"/>
  <c r="R136" i="66"/>
  <c r="H187" i="30"/>
  <c r="N184" i="30"/>
  <c r="J184" i="30"/>
  <c r="N36" i="32"/>
  <c r="L36" i="32"/>
  <c r="N84" i="84"/>
  <c r="D76" i="97"/>
  <c r="L73" i="97"/>
  <c r="F73" i="97"/>
  <c r="T149" i="77"/>
  <c r="Z146" i="77"/>
  <c r="V146" i="77"/>
  <c r="Z76" i="97"/>
  <c r="V76" i="97"/>
  <c r="L36" i="50"/>
  <c r="P38" i="78"/>
  <c r="X35" i="78"/>
  <c r="Z35" i="78" s="1"/>
  <c r="R35" i="78"/>
  <c r="P106" i="68"/>
  <c r="X106" i="68" s="1"/>
  <c r="X103" i="68"/>
  <c r="X363" i="3"/>
  <c r="Z363" i="3" s="1"/>
  <c r="H83" i="80"/>
  <c r="L58" i="60"/>
  <c r="Z187" i="30"/>
  <c r="V187" i="30"/>
  <c r="X76" i="48"/>
  <c r="Z76" i="48" s="1"/>
  <c r="P90" i="79"/>
  <c r="X90" i="79" s="1"/>
  <c r="Z90" i="79" s="1"/>
  <c r="X87" i="79"/>
  <c r="Z87" i="79" s="1"/>
  <c r="L81" i="58"/>
  <c r="N81" i="58" s="1"/>
  <c r="J75" i="72" l="1"/>
  <c r="L97" i="94"/>
  <c r="N97" i="94" s="1"/>
  <c r="F97" i="94"/>
  <c r="Z149" i="77"/>
  <c r="V149" i="77"/>
  <c r="X78" i="73"/>
  <c r="Z78" i="73" s="1"/>
  <c r="R78" i="73"/>
  <c r="Z78" i="83"/>
  <c r="V78" i="83"/>
  <c r="Z83" i="67"/>
  <c r="V83" i="67"/>
  <c r="L128" i="51"/>
  <c r="N128" i="51" s="1"/>
  <c r="F128" i="51"/>
  <c r="L153" i="69"/>
  <c r="F153" i="69"/>
  <c r="N34" i="75"/>
  <c r="J34" i="75"/>
  <c r="L187" i="30"/>
  <c r="F187" i="30"/>
  <c r="X167" i="24"/>
  <c r="R167" i="24"/>
  <c r="Z106" i="68"/>
  <c r="V106" i="68"/>
  <c r="N150" i="64"/>
  <c r="V139" i="66"/>
  <c r="V153" i="69"/>
  <c r="L113" i="21"/>
  <c r="N113" i="21" s="1"/>
  <c r="F113" i="21"/>
  <c r="V70" i="89"/>
  <c r="L60" i="87"/>
  <c r="N60" i="87" s="1"/>
  <c r="F60" i="87"/>
  <c r="V90" i="90"/>
  <c r="Z139" i="39"/>
  <c r="V139" i="39"/>
  <c r="J139" i="39"/>
  <c r="X149" i="77"/>
  <c r="R149" i="77"/>
  <c r="Z82" i="82"/>
  <c r="V82" i="82"/>
  <c r="X78" i="83"/>
  <c r="L83" i="80"/>
  <c r="X38" i="78"/>
  <c r="Z38" i="78" s="1"/>
  <c r="R38" i="78"/>
  <c r="N187" i="30"/>
  <c r="J187" i="30"/>
  <c r="N78" i="73"/>
  <c r="N153" i="69"/>
  <c r="J153" i="69"/>
  <c r="X153" i="69"/>
  <c r="Z153" i="69" s="1"/>
  <c r="R153" i="69"/>
  <c r="X84" i="84"/>
  <c r="Z84" i="84" s="1"/>
  <c r="R84" i="84"/>
  <c r="N368" i="3"/>
  <c r="J368" i="3"/>
  <c r="N139" i="66"/>
  <c r="J139" i="66"/>
  <c r="X70" i="89"/>
  <c r="Z70" i="89" s="1"/>
  <c r="N167" i="24"/>
  <c r="J167" i="24"/>
  <c r="X140" i="27"/>
  <c r="Z140" i="27" s="1"/>
  <c r="R140" i="27"/>
  <c r="L113" i="33"/>
  <c r="F113" i="33"/>
  <c r="N75" i="65"/>
  <c r="X90" i="90"/>
  <c r="Z90" i="90" s="1"/>
  <c r="V34" i="75"/>
  <c r="L76" i="97"/>
  <c r="F76" i="97"/>
  <c r="X34" i="75"/>
  <c r="Z34" i="75" s="1"/>
  <c r="R34" i="75"/>
  <c r="L95" i="70"/>
  <c r="F95" i="70"/>
  <c r="L75" i="72"/>
  <c r="N75" i="72" s="1"/>
  <c r="N83" i="80"/>
  <c r="L139" i="66"/>
  <c r="F139" i="66"/>
  <c r="Z368" i="3"/>
  <c r="V368" i="3"/>
  <c r="X95" i="70"/>
  <c r="R95" i="70"/>
  <c r="Z103" i="45"/>
  <c r="V103" i="45"/>
  <c r="V128" i="71"/>
  <c r="X134" i="36"/>
  <c r="Z134" i="36" s="1"/>
  <c r="R134" i="36"/>
  <c r="X139" i="66"/>
  <c r="Z139" i="66" s="1"/>
  <c r="R139" i="66"/>
  <c r="L139" i="39"/>
  <c r="N139" i="39" s="1"/>
  <c r="F139" i="39"/>
  <c r="X103" i="45"/>
  <c r="R103" i="45"/>
  <c r="X97" i="94"/>
  <c r="Z97" i="94" s="1"/>
  <c r="R97" i="94"/>
  <c r="Z60" i="87"/>
  <c r="V60" i="87"/>
  <c r="L128" i="71"/>
  <c r="N128" i="71" s="1"/>
  <c r="F128" i="71"/>
  <c r="X150" i="64"/>
  <c r="R150" i="64"/>
  <c r="L343" i="18"/>
  <c r="N343" i="18" s="1"/>
  <c r="F343" i="18"/>
  <c r="J128" i="71"/>
  <c r="L131" i="42"/>
  <c r="N131" i="42" s="1"/>
  <c r="F131" i="42"/>
  <c r="Z83" i="80"/>
  <c r="V83" i="80"/>
  <c r="Z167" i="24"/>
  <c r="V167" i="24"/>
  <c r="Z320" i="12"/>
  <c r="V320" i="12"/>
  <c r="N81" i="74"/>
  <c r="L149" i="77"/>
  <c r="N149" i="77" s="1"/>
  <c r="F149" i="77"/>
  <c r="X128" i="71"/>
  <c r="Z128" i="71" s="1"/>
  <c r="R128" i="71"/>
  <c r="L134" i="36"/>
  <c r="N134" i="36" s="1"/>
  <c r="F134" i="36"/>
  <c r="L90" i="76"/>
  <c r="N90" i="76" s="1"/>
  <c r="Z95" i="70"/>
  <c r="V95" i="70"/>
  <c r="Z113" i="33"/>
  <c r="V113" i="33"/>
  <c r="X99" i="85"/>
  <c r="Z99" i="85" s="1"/>
  <c r="R99" i="85"/>
  <c r="N113" i="33"/>
  <c r="J113" i="33"/>
  <c r="X93" i="92"/>
  <c r="R93" i="92"/>
  <c r="X113" i="21"/>
  <c r="Z113" i="21" s="1"/>
  <c r="R113" i="21"/>
  <c r="N70" i="89"/>
  <c r="N95" i="70"/>
  <c r="J95" i="70"/>
  <c r="Z93" i="92"/>
  <c r="V93" i="92"/>
  <c r="X131" i="42"/>
  <c r="Z131" i="42" s="1"/>
  <c r="R131" i="42"/>
  <c r="Z128" i="51"/>
  <c r="V128" i="51"/>
  <c r="N106" i="68"/>
  <c r="J106" i="68"/>
  <c r="Z150" i="64"/>
  <c r="V150" i="64"/>
  <c r="N58" i="93"/>
  <c r="N76" i="97"/>
  <c r="J76" i="97"/>
  <c r="L311" i="15"/>
  <c r="N311" i="15" s="1"/>
  <c r="F311" i="15"/>
  <c r="Z75" i="72"/>
  <c r="V75" i="72"/>
  <c r="X113" i="33"/>
  <c r="R113" i="33"/>
  <c r="N78" i="83"/>
</calcChain>
</file>

<file path=xl/sharedStrings.xml><?xml version="1.0" encoding="utf-8"?>
<sst xmlns="http://schemas.openxmlformats.org/spreadsheetml/2006/main" count="2922" uniqueCount="314">
  <si>
    <t>Grid Title</t>
  </si>
  <si>
    <t>FxCode Text</t>
  </si>
  <si>
    <t>Storage Type</t>
  </si>
  <si>
    <t>Dim3Text</t>
  </si>
  <si>
    <t>Dim4Relate to data</t>
  </si>
  <si>
    <t>Variable Dim0Relate to data</t>
  </si>
  <si>
    <t>Variable Dim5Special Rules</t>
  </si>
  <si>
    <t>Variable Dim6</t>
  </si>
  <si>
    <t>Variable Dim6Relate to data</t>
  </si>
  <si>
    <t>Variable Dim8Text</t>
  </si>
  <si>
    <t>Variable Dim Name12</t>
  </si>
  <si>
    <t>Variable Dim12Text</t>
  </si>
  <si>
    <t>Storage Field0</t>
  </si>
  <si>
    <t>Storage Field9 Name</t>
  </si>
  <si>
    <t>Storage Field14</t>
  </si>
  <si>
    <t>Storage Field18</t>
  </si>
  <si>
    <t>DimGridName</t>
  </si>
  <si>
    <t>Chart 4th Data Series</t>
  </si>
  <si>
    <t>Chart 4th Data Series Name</t>
  </si>
  <si>
    <t>IGRowLabelRange</t>
  </si>
  <si>
    <t>MinDG</t>
  </si>
  <si>
    <t>Division 308 - Combined Textbooks</t>
  </si>
  <si>
    <t>Division 331 - Combined 315 &amp; 326</t>
  </si>
  <si>
    <t xml:space="preserve">Forty Niner Shops, Inc. </t>
  </si>
  <si>
    <t>Module Name</t>
  </si>
  <si>
    <t>Time  Relate to data</t>
  </si>
  <si>
    <t>Scenario  Special Rules</t>
  </si>
  <si>
    <t>Category  Special Rules</t>
  </si>
  <si>
    <t>Dim2Text</t>
  </si>
  <si>
    <t>Variable Dim7Special Rules</t>
  </si>
  <si>
    <t>Variable Dim7Text</t>
  </si>
  <si>
    <t>Variable Dim10Relate to data</t>
  </si>
  <si>
    <t>Variable Dim10Special Rules</t>
  </si>
  <si>
    <t>Variable Dim11Text</t>
  </si>
  <si>
    <t>Variable Dim Name16</t>
  </si>
  <si>
    <t>Storage Field3 Name</t>
  </si>
  <si>
    <t>Storage Field4</t>
  </si>
  <si>
    <t>Storage Field8</t>
  </si>
  <si>
    <t>LIDColLabelRange</t>
  </si>
  <si>
    <t>YEAR TO DATE</t>
  </si>
  <si>
    <t>% of Sales</t>
  </si>
  <si>
    <t>Time Text</t>
  </si>
  <si>
    <t>Dim0Special Rules</t>
  </si>
  <si>
    <t>Dim1</t>
  </si>
  <si>
    <t>Variable Dim Name1</t>
  </si>
  <si>
    <t>Variable Dim1Relate to data</t>
  </si>
  <si>
    <t>Variable Dim Name5</t>
  </si>
  <si>
    <t>Variable Dim6Text</t>
  </si>
  <si>
    <t>Variable Dim10Text</t>
  </si>
  <si>
    <t>Variable Dim12Special Rules</t>
  </si>
  <si>
    <t>Variable Dim16Relate to data</t>
  </si>
  <si>
    <t>Storage Field13 Name</t>
  </si>
  <si>
    <t>Storage Field19 Name</t>
  </si>
  <si>
    <t>ChartType</t>
  </si>
  <si>
    <t>Chart 5th Data Series</t>
  </si>
  <si>
    <t>Division 310 &amp; 491 - C-Stores &amp; Cash Food Operations</t>
  </si>
  <si>
    <t>Tess.Monzon@csulb.edu</t>
  </si>
  <si>
    <t>Actual</t>
  </si>
  <si>
    <t>Grid Cell Range</t>
  </si>
  <si>
    <t>Time  Special Rules</t>
  </si>
  <si>
    <t>Scenario</t>
  </si>
  <si>
    <t>Retain Zero Value</t>
  </si>
  <si>
    <t>Dim1Text</t>
  </si>
  <si>
    <t>Dim2Special Rules</t>
  </si>
  <si>
    <t>Dim Label3</t>
  </si>
  <si>
    <t>Dim5</t>
  </si>
  <si>
    <t>Dim5Relate to data</t>
  </si>
  <si>
    <t>Dim Label7</t>
  </si>
  <si>
    <t>Dim9</t>
  </si>
  <si>
    <t>Variable Dim7Relate to data</t>
  </si>
  <si>
    <t>Variable Dim Name9</t>
  </si>
  <si>
    <t>Variable Dim9Special Rules</t>
  </si>
  <si>
    <t>Variable Dim13</t>
  </si>
  <si>
    <t>Variable Dim14Special Rules</t>
  </si>
  <si>
    <t>Storage Field8 Name</t>
  </si>
  <si>
    <t>Storage Field11</t>
  </si>
  <si>
    <t>StorageGridName</t>
  </si>
  <si>
    <t>Chart 2nd Data Series</t>
  </si>
  <si>
    <t>Chart 2nd Data Series Name</t>
  </si>
  <si>
    <t>LIDRowsNumber</t>
  </si>
  <si>
    <t>Division 330 - Combined 307 &amp; 314</t>
  </si>
  <si>
    <t>Interest Income/Other</t>
  </si>
  <si>
    <t>Grid Special Rules</t>
  </si>
  <si>
    <t>Dim0Text</t>
  </si>
  <si>
    <t>Dim4Special Rules</t>
  </si>
  <si>
    <t>Variable Dim3</t>
  </si>
  <si>
    <t>Variable Dim5Text</t>
  </si>
  <si>
    <t>Variable Dim7</t>
  </si>
  <si>
    <t>Variable Dim11Relate to data</t>
  </si>
  <si>
    <t>Variable Dim Name13</t>
  </si>
  <si>
    <t>Variable Dim16Special Rules</t>
  </si>
  <si>
    <t>Variable Dim17</t>
  </si>
  <si>
    <t>Variable Dim17Relate to data</t>
  </si>
  <si>
    <t>Storage Field1</t>
  </si>
  <si>
    <t>Storage Field2 Name</t>
  </si>
  <si>
    <t>Storage Field15</t>
  </si>
  <si>
    <t>Storage Field18 Name</t>
  </si>
  <si>
    <t>Storage Field19</t>
  </si>
  <si>
    <t>Running Actual Sheet row Number</t>
  </si>
  <si>
    <t>ChartDisplayLabel</t>
  </si>
  <si>
    <t>Chart 6th Data Series Name</t>
  </si>
  <si>
    <t>DG Display Label</t>
  </si>
  <si>
    <t>IGDataRange</t>
  </si>
  <si>
    <t>IGDecimalDigits</t>
  </si>
  <si>
    <t>Division 5 - ID Card Services</t>
  </si>
  <si>
    <t>Division 491 - Cash Food Operations</t>
  </si>
  <si>
    <t>Division 3 - Bookstore &amp; C-Stores</t>
  </si>
  <si>
    <t>GROSS MARGIN</t>
  </si>
  <si>
    <t>Entity Special Rules</t>
  </si>
  <si>
    <t>Updated Date</t>
  </si>
  <si>
    <t>Dim0Relate to data</t>
  </si>
  <si>
    <t>Dim6Relate to data</t>
  </si>
  <si>
    <t>Dim6Special Rules</t>
  </si>
  <si>
    <t>Variable Dim0Special Rules</t>
  </si>
  <si>
    <t>Variable Dim2Relate to data</t>
  </si>
  <si>
    <t>Variable Dim4Text</t>
  </si>
  <si>
    <t>Variable Dim Name17</t>
  </si>
  <si>
    <t>Variable Dim18Special Rules</t>
  </si>
  <si>
    <t>Storage Field5</t>
  </si>
  <si>
    <t>Storage Field9</t>
  </si>
  <si>
    <t>Storage Field12 Name</t>
  </si>
  <si>
    <t>Enable SIMWindow</t>
  </si>
  <si>
    <t>Chart 6th Data Series</t>
  </si>
  <si>
    <t>BudgetTotal</t>
  </si>
  <si>
    <t>Division 332 - Combined 316, 320, &amp; 323</t>
  </si>
  <si>
    <t>OPERATING CONTRIBUTION</t>
  </si>
  <si>
    <t>Variance</t>
  </si>
  <si>
    <t>G &amp; A Allocation</t>
  </si>
  <si>
    <t>Entity</t>
  </si>
  <si>
    <t>Time</t>
  </si>
  <si>
    <t>Dim Label0</t>
  </si>
  <si>
    <t>Dim2</t>
  </si>
  <si>
    <t>Dim8Special Rules</t>
  </si>
  <si>
    <t>Variable Dim Name2</t>
  </si>
  <si>
    <t>Variable Dim3Text</t>
  </si>
  <si>
    <t>Variable Dim8Relate to data</t>
  </si>
  <si>
    <t>Storage Field7 Name</t>
  </si>
  <si>
    <t>Chart 1stData Series</t>
  </si>
  <si>
    <t>Division 2 - Administration</t>
  </si>
  <si>
    <t>Sales</t>
  </si>
  <si>
    <t>Dim Label4</t>
  </si>
  <si>
    <t>Dim6</t>
  </si>
  <si>
    <t>Dim Label8</t>
  </si>
  <si>
    <t>Variable Dim0</t>
  </si>
  <si>
    <t>Variable Dim2Special Rules</t>
  </si>
  <si>
    <t>Variable Dim2Text</t>
  </si>
  <si>
    <t>Variable Dim Name6</t>
  </si>
  <si>
    <t>Variable Dim10</t>
  </si>
  <si>
    <t>Variable Dim12Relate to data</t>
  </si>
  <si>
    <t>Variable Dim14</t>
  </si>
  <si>
    <t>Variable Dim18Relate to data</t>
  </si>
  <si>
    <t>Variable Dim19Text</t>
  </si>
  <si>
    <t>Storage Field1 Name</t>
  </si>
  <si>
    <t>Storage Field12</t>
  </si>
  <si>
    <t>Storage Field17 Name</t>
  </si>
  <si>
    <t>DimSheetName</t>
  </si>
  <si>
    <t>StorageSheetName</t>
  </si>
  <si>
    <t>Running Actual Grid Number</t>
  </si>
  <si>
    <t>DGHide</t>
  </si>
  <si>
    <t>IGDisplayLabel</t>
  </si>
  <si>
    <t>Entity Relate to data</t>
  </si>
  <si>
    <t>Scenario  Relate to data</t>
  </si>
  <si>
    <t>Dim1Relate to data</t>
  </si>
  <si>
    <t>Dim7Relate to data</t>
  </si>
  <si>
    <t>Dim9Text</t>
  </si>
  <si>
    <t>Variable Dim3Relate to data</t>
  </si>
  <si>
    <t>Variable Dim4</t>
  </si>
  <si>
    <t>Variable Dim4Special Rules</t>
  </si>
  <si>
    <t>Variable Dim8</t>
  </si>
  <si>
    <t>Variable Dim9Relate to data</t>
  </si>
  <si>
    <t>Variable Dim Name10</t>
  </si>
  <si>
    <t>Variable Dim Name14</t>
  </si>
  <si>
    <t>Variable Dim18</t>
  </si>
  <si>
    <t>Variable Dim18Text</t>
  </si>
  <si>
    <t>Storage Field2</t>
  </si>
  <si>
    <t>Storage Field11 Name</t>
  </si>
  <si>
    <t>Storage Field16</t>
  </si>
  <si>
    <t>Interface Setting Grid Number</t>
  </si>
  <si>
    <t>Chart Legend Location</t>
  </si>
  <si>
    <t>Chart 3rd Data Series</t>
  </si>
  <si>
    <t>DGRow Label</t>
  </si>
  <si>
    <t>ActualTotal</t>
  </si>
  <si>
    <t>Division 492 - Residential Dining</t>
  </si>
  <si>
    <t>Gain/(Loss) on FMV of Investments</t>
  </si>
  <si>
    <t>Scenario Text</t>
  </si>
  <si>
    <t>Category</t>
  </si>
  <si>
    <t>FxCode  Special Rules</t>
  </si>
  <si>
    <t>Variable Dim1Text</t>
  </si>
  <si>
    <t>Variable Dim6Special Rules</t>
  </si>
  <si>
    <t>Variable Dim11Special Rules</t>
  </si>
  <si>
    <t>Variable Dim17Text</t>
  </si>
  <si>
    <t>Variable Dim Name18</t>
  </si>
  <si>
    <t>Storage Field0 Name</t>
  </si>
  <si>
    <t>Storage Field6</t>
  </si>
  <si>
    <t>Storage Field6 Name</t>
  </si>
  <si>
    <t>Active Grid Number</t>
  </si>
  <si>
    <t>Chart 3rd Data SeriesName</t>
  </si>
  <si>
    <t>IGHide</t>
  </si>
  <si>
    <t>Division 310 - C-Stores</t>
  </si>
  <si>
    <t>Division 4 - Food Services</t>
  </si>
  <si>
    <t>Category  Relate to data</t>
  </si>
  <si>
    <t>FxCode  Relate to data</t>
  </si>
  <si>
    <t>Dim1Special Rules</t>
  </si>
  <si>
    <t>Dim2Relate to data</t>
  </si>
  <si>
    <t>Dim3</t>
  </si>
  <si>
    <t>Dim8Text</t>
  </si>
  <si>
    <t>Variable Dim0Text</t>
  </si>
  <si>
    <t>Variable Dim Name3</t>
  </si>
  <si>
    <t>Variable Dim8Special Rules</t>
  </si>
  <si>
    <t>Variable Dim13Relate to data</t>
  </si>
  <si>
    <t>Variable Dim19Relate to data</t>
  </si>
  <si>
    <t>Storage Field10 Name</t>
  </si>
  <si>
    <t>Storage Field16 Name</t>
  </si>
  <si>
    <t>ChartXAxiesLabel</t>
  </si>
  <si>
    <t>Chart 1st DataSeries Name</t>
  </si>
  <si>
    <t>Chart 5th Data Series Name</t>
  </si>
  <si>
    <t>EnableLID</t>
  </si>
  <si>
    <t>Division 1 - Corporate</t>
  </si>
  <si>
    <t>Division 6 - Computer Store</t>
  </si>
  <si>
    <t>Dim Label1</t>
  </si>
  <si>
    <t>Dim3Special Rules</t>
  </si>
  <si>
    <t>Dim Label5</t>
  </si>
  <si>
    <t>Dim7</t>
  </si>
  <si>
    <t>Dim7Text</t>
  </si>
  <si>
    <t>Dim8Relate to data</t>
  </si>
  <si>
    <t>Dim Label9</t>
  </si>
  <si>
    <t>Variable Dim1</t>
  </si>
  <si>
    <t>Variable Dim4Relate to data</t>
  </si>
  <si>
    <t>Variable Dim Name7</t>
  </si>
  <si>
    <t>Variable Dim11</t>
  </si>
  <si>
    <t>Variable Dim13Special Rules</t>
  </si>
  <si>
    <t>Variable Dim15</t>
  </si>
  <si>
    <t>Variable Dim16Text</t>
  </si>
  <si>
    <t>Storage Field5 Name</t>
  </si>
  <si>
    <t>SliderMinMovePer</t>
  </si>
  <si>
    <t>TotalHide</t>
  </si>
  <si>
    <t>Combined Operating Statement by Department</t>
  </si>
  <si>
    <t>Prior Year</t>
  </si>
  <si>
    <t>Sheet Name</t>
  </si>
  <si>
    <t>Entity Text</t>
  </si>
  <si>
    <t>Category Text</t>
  </si>
  <si>
    <t>Dim5Special Rules</t>
  </si>
  <si>
    <t>Dim6Text</t>
  </si>
  <si>
    <t>Variable Dim5</t>
  </si>
  <si>
    <t>Variable Dim9</t>
  </si>
  <si>
    <t>Variable Dim Name11</t>
  </si>
  <si>
    <t>Variable Dim14Relate to data</t>
  </si>
  <si>
    <t>Variable Dim15Special Rules</t>
  </si>
  <si>
    <t>Variable Dim15Text</t>
  </si>
  <si>
    <t>Variable Dim19</t>
  </si>
  <si>
    <t>Storage Field13</t>
  </si>
  <si>
    <t>Storage Field17</t>
  </si>
  <si>
    <t>DG Decimal Digits</t>
  </si>
  <si>
    <t>LIDHide</t>
  </si>
  <si>
    <t>SliderMaxpercentage</t>
  </si>
  <si>
    <t>Division 300 - Bookstore</t>
  </si>
  <si>
    <t>Cost of Goods Sold</t>
  </si>
  <si>
    <t>% Variance</t>
  </si>
  <si>
    <t xml:space="preserve">FxCode </t>
  </si>
  <si>
    <t>Dim3Relate to data</t>
  </si>
  <si>
    <t>Dim9Relate to data</t>
  </si>
  <si>
    <t>Variable Dim5Relate to data</t>
  </si>
  <si>
    <t>Variable Dim14Text</t>
  </si>
  <si>
    <t>Variable Dim Name15</t>
  </si>
  <si>
    <t>Variable Dim17Special Rules</t>
  </si>
  <si>
    <t>Variable Dim Name19</t>
  </si>
  <si>
    <t>Storage Field3</t>
  </si>
  <si>
    <t>Storage Field7</t>
  </si>
  <si>
    <t>Storage Field15 Name</t>
  </si>
  <si>
    <t>Period Type</t>
  </si>
  <si>
    <t>ChartHide</t>
  </si>
  <si>
    <t>DGData</t>
  </si>
  <si>
    <t>IGColLabelRange</t>
  </si>
  <si>
    <t>LIDActualDataRange</t>
  </si>
  <si>
    <t>LIDDisplayLabel</t>
  </si>
  <si>
    <t>TotalGridHeadings</t>
  </si>
  <si>
    <t>OPERATING INCOME</t>
  </si>
  <si>
    <t>Created Date</t>
  </si>
  <si>
    <t>Dim0</t>
  </si>
  <si>
    <t>Dim4</t>
  </si>
  <si>
    <t>Dim5Text</t>
  </si>
  <si>
    <t>Dim7Special Rules</t>
  </si>
  <si>
    <t>Variable Dim Name0</t>
  </si>
  <si>
    <t>Variable Dim1Special Rules</t>
  </si>
  <si>
    <t>Variable Dim Name4</t>
  </si>
  <si>
    <t>Variable Dim13Text</t>
  </si>
  <si>
    <t>Variable Dim19Special Rules</t>
  </si>
  <si>
    <t>Storage Field4 Name</t>
  </si>
  <si>
    <t>DGCol Label</t>
  </si>
  <si>
    <t>MinChart</t>
  </si>
  <si>
    <t>EnableCustomSpreading</t>
  </si>
  <si>
    <t>CURRENT PERIOD</t>
  </si>
  <si>
    <t>Credits &amp; Revenues</t>
  </si>
  <si>
    <t>NET CONTRIBUTION</t>
  </si>
  <si>
    <t>Operating Expenses</t>
  </si>
  <si>
    <t>InfoManager Number</t>
  </si>
  <si>
    <t>Dim Label2</t>
  </si>
  <si>
    <t>Dim4Text</t>
  </si>
  <si>
    <t>Dim Label6</t>
  </si>
  <si>
    <t>Dim8</t>
  </si>
  <si>
    <t>Dim9Special Rules</t>
  </si>
  <si>
    <t>Variable Dim2</t>
  </si>
  <si>
    <t>Variable Dim3Special Rules</t>
  </si>
  <si>
    <t>Variable Dim Name8</t>
  </si>
  <si>
    <t>Variable Dim9Text</t>
  </si>
  <si>
    <t>Variable Dim12</t>
  </si>
  <si>
    <t>Variable Dim15Relate to data</t>
  </si>
  <si>
    <t>Variable Dim16</t>
  </si>
  <si>
    <t>Storage Field10</t>
  </si>
  <si>
    <t>Storage Field14 Name</t>
  </si>
  <si>
    <t>SaveType</t>
  </si>
  <si>
    <t>FormatType</t>
  </si>
  <si>
    <t>All Departments</t>
  </si>
  <si>
    <t>Division 300 &amp; 317 - Bookstore &amp; Computer Store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</si>
</sst>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[$-409]mmmm\ d\,\ yyyy;@"/>
    <numFmt numFmtId="166" formatCode="[$-409]m/d/yy\ h:mm\ AM/PM;@"/>
    <numFmt numFmtId="167" formatCode="#,##0.0%;\(#,##0.0%\)"/>
    <numFmt numFmtId="168" formatCode="_(&quot;$&quot;* #,##0_);_(&quot;$&quot;* \(#,##0\);_(&quot;$&quot;* &quot;-&quot;??_);_(@_)"/>
  </numFmts>
  <fonts count="7" x14ac:knownFonts="1">
    <font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0" tint="-0.4999542222357860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theme="0" tint="-0.49995422223578601"/>
      <name val="Calibri"/>
      <family val="2"/>
      <scheme val="minor"/>
    </font>
    <font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C324"/>
        <bgColor indexed="64"/>
      </patternFill>
    </fill>
    <fill>
      <patternFill patternType="solid">
        <fgColor indexed="43"/>
        <bgColor indexed="64"/>
      </patternFill>
    </fill>
  </fills>
  <borders count="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9" fontId="6" fillId="0" borderId="0" applyFont="0" applyFill="0" applyBorder="0" applyAlignment="0" applyProtection="0"/>
  </cellStyleXfs>
  <cellXfs count="67">
    <xf numFmtId="0" fontId="0" fillId="0" borderId="0" xfId="0"/>
    <xf numFmtId="164" fontId="0" fillId="0" borderId="0" xfId="1" applyNumberFormat="1" applyFont="1" applyFill="1" applyBorder="1"/>
    <xf numFmtId="164" fontId="1" fillId="0" borderId="0" xfId="1" applyNumberFormat="1" applyFont="1" applyFill="1"/>
    <xf numFmtId="164" fontId="0" fillId="0" borderId="0" xfId="1" applyNumberFormat="1" applyFont="1" applyFill="1"/>
    <xf numFmtId="164" fontId="2" fillId="0" borderId="0" xfId="1" applyNumberFormat="1" applyFont="1" applyFill="1"/>
    <xf numFmtId="167" fontId="0" fillId="0" borderId="0" xfId="3" applyNumberFormat="1" applyFont="1" applyFill="1" applyBorder="1"/>
    <xf numFmtId="164" fontId="1" fillId="0" borderId="0" xfId="1" applyNumberFormat="1" applyFont="1" applyFill="1" applyBorder="1"/>
    <xf numFmtId="167" fontId="1" fillId="0" borderId="0" xfId="3" applyNumberFormat="1" applyFont="1" applyFill="1" applyBorder="1"/>
    <xf numFmtId="167" fontId="0" fillId="0" borderId="0" xfId="3" applyNumberFormat="1" applyFont="1" applyFill="1"/>
    <xf numFmtId="0" fontId="0" fillId="0" borderId="0" xfId="0" applyFill="1"/>
    <xf numFmtId="0" fontId="1" fillId="0" borderId="0" xfId="0" applyFont="1" applyFill="1"/>
    <xf numFmtId="0" fontId="2" fillId="0" borderId="0" xfId="0" applyFont="1" applyFill="1"/>
    <xf numFmtId="0" fontId="0" fillId="0" borderId="0" xfId="0" applyFont="1" applyFill="1" applyBorder="1"/>
    <xf numFmtId="167" fontId="2" fillId="0" borderId="0" xfId="3" applyNumberFormat="1" applyFont="1" applyFill="1"/>
    <xf numFmtId="164" fontId="2" fillId="2" borderId="0" xfId="1" applyNumberFormat="1" applyFont="1" applyFill="1" applyBorder="1"/>
    <xf numFmtId="164" fontId="2" fillId="2" borderId="0" xfId="1" applyNumberFormat="1" applyFont="1" applyFill="1"/>
    <xf numFmtId="0" fontId="2" fillId="2" borderId="1" xfId="0" applyFont="1" applyFill="1" applyBorder="1" applyAlignment="1">
      <alignment horizontal="centerContinuous"/>
    </xf>
    <xf numFmtId="0" fontId="0" fillId="0" borderId="0" xfId="0" applyAlignment="1">
      <alignment horizontal="centerContinuous"/>
    </xf>
    <xf numFmtId="164" fontId="0" fillId="0" borderId="0" xfId="1" applyNumberFormat="1" applyFont="1"/>
    <xf numFmtId="167" fontId="1" fillId="0" borderId="0" xfId="3" applyNumberFormat="1" applyFont="1" applyFill="1"/>
    <xf numFmtId="164" fontId="2" fillId="0" borderId="0" xfId="1" applyNumberFormat="1" applyFont="1" applyFill="1" applyBorder="1"/>
    <xf numFmtId="168" fontId="2" fillId="2" borderId="2" xfId="2" applyNumberFormat="1" applyFont="1" applyFill="1" applyBorder="1"/>
    <xf numFmtId="167" fontId="2" fillId="2" borderId="2" xfId="3" applyNumberFormat="1" applyFont="1" applyFill="1" applyBorder="1"/>
    <xf numFmtId="0" fontId="1" fillId="0" borderId="0" xfId="0" applyFont="1"/>
    <xf numFmtId="0" fontId="2" fillId="0" borderId="0" xfId="0" applyFont="1"/>
    <xf numFmtId="49" fontId="1" fillId="0" borderId="0" xfId="0" applyNumberFormat="1" applyFont="1" applyFill="1" applyAlignment="1">
      <alignment horizontal="right"/>
    </xf>
    <xf numFmtId="49" fontId="0" fillId="0" borderId="0" xfId="0" applyNumberFormat="1" applyFont="1" applyFill="1" applyBorder="1" applyAlignment="1">
      <alignment horizontal="right"/>
    </xf>
    <xf numFmtId="0" fontId="0" fillId="0" borderId="0" xfId="0" applyFont="1" applyBorder="1"/>
    <xf numFmtId="0" fontId="2" fillId="2" borderId="0" xfId="0" applyFont="1" applyFill="1" applyAlignment="1">
      <alignment horizontal="left"/>
    </xf>
    <xf numFmtId="0" fontId="2" fillId="0" borderId="0" xfId="0" applyFont="1" applyFill="1" applyAlignment="1">
      <alignment horizontal="left"/>
    </xf>
    <xf numFmtId="167" fontId="2" fillId="2" borderId="1" xfId="3" applyNumberFormat="1" applyFont="1" applyFill="1" applyBorder="1" applyAlignment="1">
      <alignment horizontal="center"/>
    </xf>
    <xf numFmtId="167" fontId="2" fillId="2" borderId="3" xfId="3" applyNumberFormat="1" applyFont="1" applyFill="1" applyBorder="1"/>
    <xf numFmtId="167" fontId="2" fillId="0" borderId="0" xfId="3" applyNumberFormat="1" applyFont="1" applyFill="1" applyBorder="1"/>
    <xf numFmtId="168" fontId="2" fillId="2" borderId="4" xfId="2" applyNumberFormat="1" applyFont="1" applyFill="1" applyBorder="1"/>
    <xf numFmtId="168" fontId="2" fillId="2" borderId="3" xfId="2" applyNumberFormat="1" applyFont="1" applyFill="1" applyBorder="1"/>
    <xf numFmtId="167" fontId="2" fillId="2" borderId="4" xfId="3" applyNumberFormat="1" applyFont="1" applyFill="1" applyBorder="1"/>
    <xf numFmtId="49" fontId="2" fillId="0" borderId="0" xfId="0" applyNumberFormat="1" applyFont="1" applyFill="1" applyBorder="1" applyAlignment="1">
      <alignment horizontal="center"/>
    </xf>
    <xf numFmtId="0" fontId="0" fillId="0" borderId="0" xfId="0" applyFill="1" applyBorder="1"/>
    <xf numFmtId="167" fontId="0" fillId="0" borderId="0" xfId="0" applyNumberFormat="1" applyAlignment="1">
      <alignment horizontal="centerContinuous"/>
    </xf>
    <xf numFmtId="167" fontId="2" fillId="2" borderId="1" xfId="3" applyNumberFormat="1" applyFont="1" applyFill="1" applyBorder="1" applyAlignment="1">
      <alignment horizontal="centerContinuous"/>
    </xf>
    <xf numFmtId="167" fontId="0" fillId="0" borderId="0" xfId="0" applyNumberFormat="1"/>
    <xf numFmtId="0" fontId="0" fillId="3" borderId="5" xfId="0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/>
    </xf>
    <xf numFmtId="167" fontId="0" fillId="0" borderId="0" xfId="1" applyNumberFormat="1" applyFont="1"/>
    <xf numFmtId="49" fontId="1" fillId="0" borderId="0" xfId="0" applyNumberFormat="1" applyFont="1" applyFill="1"/>
    <xf numFmtId="167" fontId="0" fillId="0" borderId="0" xfId="3" applyNumberFormat="1" applyFont="1"/>
    <xf numFmtId="167" fontId="0" fillId="0" borderId="0" xfId="3" applyNumberFormat="1" applyFont="1" applyAlignment="1">
      <alignment horizontal="centerContinuous"/>
    </xf>
    <xf numFmtId="167" fontId="0" fillId="0" borderId="0" xfId="0" applyNumberFormat="1" applyFill="1"/>
    <xf numFmtId="164" fontId="2" fillId="0" borderId="0" xfId="1" applyNumberFormat="1" applyFont="1" applyAlignment="1">
      <alignment horizontal="left"/>
    </xf>
    <xf numFmtId="167" fontId="2" fillId="2" borderId="1" xfId="0" applyNumberFormat="1" applyFont="1" applyFill="1" applyBorder="1" applyAlignment="1">
      <alignment horizontal="centerContinuous"/>
    </xf>
    <xf numFmtId="0" fontId="2" fillId="2" borderId="1" xfId="0" applyNumberFormat="1" applyFont="1" applyFill="1" applyBorder="1" applyAlignment="1">
      <alignment horizontal="center"/>
    </xf>
    <xf numFmtId="49" fontId="2" fillId="0" borderId="0" xfId="0" applyNumberFormat="1" applyFont="1" applyFill="1"/>
    <xf numFmtId="0" fontId="0" fillId="0" borderId="0" xfId="0" applyBorder="1"/>
    <xf numFmtId="0" fontId="0" fillId="0" borderId="0" xfId="0" applyFill="1" applyAlignment="1">
      <alignment horizontal="centerContinuous"/>
    </xf>
    <xf numFmtId="164" fontId="2" fillId="0" borderId="0" xfId="1" applyNumberFormat="1" applyFont="1" applyFill="1" applyAlignment="1">
      <alignment horizontal="centerContinuous"/>
    </xf>
    <xf numFmtId="0" fontId="3" fillId="0" borderId="0" xfId="0" applyFont="1" applyAlignment="1">
      <alignment horizontal="left"/>
    </xf>
    <xf numFmtId="166" fontId="3" fillId="0" borderId="0" xfId="0" applyNumberFormat="1" applyFont="1" applyAlignment="1">
      <alignment horizontal="left"/>
    </xf>
    <xf numFmtId="0" fontId="4" fillId="0" borderId="0" xfId="0" applyFont="1" applyFill="1"/>
    <xf numFmtId="0" fontId="2" fillId="0" borderId="0" xfId="0" applyFont="1" applyFill="1" applyBorder="1"/>
    <xf numFmtId="165" fontId="0" fillId="0" borderId="0" xfId="0" applyNumberFormat="1"/>
    <xf numFmtId="0" fontId="5" fillId="0" borderId="0" xfId="0" applyFont="1"/>
    <xf numFmtId="49" fontId="2" fillId="2" borderId="1" xfId="0" applyNumberFormat="1" applyFont="1" applyFill="1" applyBorder="1" applyAlignment="1">
      <alignment horizontal="center"/>
    </xf>
    <xf numFmtId="0" fontId="2" fillId="0" borderId="0" xfId="0" applyFont="1" applyAlignment="1">
      <alignment horizontal="left"/>
    </xf>
    <xf numFmtId="14" fontId="2" fillId="0" borderId="0" xfId="0" applyNumberFormat="1" applyFont="1" applyAlignment="1">
      <alignment horizontal="left"/>
    </xf>
    <xf numFmtId="0" fontId="2" fillId="0" borderId="0" xfId="0" applyNumberFormat="1" applyFont="1" applyAlignment="1">
      <alignment horizontal="left"/>
    </xf>
    <xf numFmtId="49" fontId="0" fillId="0" borderId="0" xfId="0" applyNumberFormat="1"/>
    <xf numFmtId="49" fontId="0" fillId="3" borderId="5" xfId="0" applyNumberFormat="1" applyFill="1" applyBorder="1" applyAlignment="1">
      <alignment horizontal="center" vertical="center" wrapText="1"/>
    </xf>
  </cellXfs>
  <cellStyles count="4">
    <cellStyle name="Comma" xfId="1" builtinId="3"/>
    <cellStyle name="Currency" xfId="2" builtinId="4"/>
    <cellStyle name="Normal" xfId="0" builtinId="0"/>
    <cellStyle name="Percent" xfId="3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styles" Target="styles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sharedStrings" Target="sharedString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calcChain" Target="calcChain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1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2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2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2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2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2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3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3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3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3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3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3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3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3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3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3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3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3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3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4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4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4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4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4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4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4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4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4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4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4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4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4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4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4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4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5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5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5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5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5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5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5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5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5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5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5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5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5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5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5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5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6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6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6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6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8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6.xml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7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8.xml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9.xml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0.xml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1.xml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2.xml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3.xml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4.xml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5.xml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6.xml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7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8.xml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9.xml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0.xml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1.xml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2.xml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3.xml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4.xml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5.xml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6.xml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7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8.xml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9.xml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0.xml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1.xml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2.xml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3.xml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4.xml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5.xml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6.xml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7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8.xml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9.xml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0.xml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1.xml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2.xml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3.xml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4.xml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5.xml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6.xml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8.xml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9.xml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0.xml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1.xml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2.xml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3.xml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4.xml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5.xml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6.xml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8.xml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9.xml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0.xml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1.xml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2.xml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3.xml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4.xml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5.xml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6.xml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DZ3"/>
  <sheetViews>
    <sheetView workbookViewId="0"/>
  </sheetViews>
  <sheetFormatPr defaultRowHeight="15" x14ac:dyDescent="0.25"/>
  <cols>
    <col min="1" max="130" width="20.7109375" customWidth="1"/>
  </cols>
  <sheetData>
    <row r="1" spans="1:130" x14ac:dyDescent="0.25">
      <c r="B1">
        <v>4</v>
      </c>
    </row>
    <row r="3" spans="1:130" ht="30" x14ac:dyDescent="0.25">
      <c r="A3" s="41" t="s">
        <v>177</v>
      </c>
      <c r="B3" s="41" t="s">
        <v>195</v>
      </c>
      <c r="C3" s="41" t="s">
        <v>238</v>
      </c>
      <c r="D3" s="41" t="s">
        <v>98</v>
      </c>
      <c r="E3" s="41" t="s">
        <v>157</v>
      </c>
      <c r="F3" s="41" t="s">
        <v>0</v>
      </c>
      <c r="G3" s="41" t="s">
        <v>178</v>
      </c>
      <c r="H3" s="41" t="s">
        <v>53</v>
      </c>
      <c r="I3" s="41" t="s">
        <v>99</v>
      </c>
      <c r="J3" s="41" t="s">
        <v>213</v>
      </c>
      <c r="K3" s="41" t="s">
        <v>137</v>
      </c>
      <c r="L3" s="41" t="s">
        <v>214</v>
      </c>
      <c r="M3" s="41" t="s">
        <v>77</v>
      </c>
      <c r="N3" s="41" t="s">
        <v>78</v>
      </c>
      <c r="O3" s="41" t="s">
        <v>179</v>
      </c>
      <c r="P3" s="41" t="s">
        <v>196</v>
      </c>
      <c r="Q3" s="41" t="s">
        <v>17</v>
      </c>
      <c r="R3" s="41" t="s">
        <v>18</v>
      </c>
      <c r="S3" s="41" t="s">
        <v>54</v>
      </c>
      <c r="T3" s="41" t="s">
        <v>215</v>
      </c>
      <c r="U3" s="41" t="s">
        <v>270</v>
      </c>
      <c r="V3" s="41" t="s">
        <v>288</v>
      </c>
      <c r="W3" s="41" t="s">
        <v>180</v>
      </c>
      <c r="X3" s="41" t="s">
        <v>271</v>
      </c>
      <c r="Y3" s="41" t="s">
        <v>101</v>
      </c>
      <c r="Z3" s="41" t="s">
        <v>252</v>
      </c>
      <c r="AA3" s="41" t="s">
        <v>158</v>
      </c>
      <c r="AB3" s="41" t="s">
        <v>272</v>
      </c>
      <c r="AC3" s="41" t="s">
        <v>19</v>
      </c>
      <c r="AD3" s="41" t="s">
        <v>102</v>
      </c>
      <c r="AE3" s="41" t="s">
        <v>159</v>
      </c>
      <c r="AF3" s="41" t="s">
        <v>103</v>
      </c>
      <c r="AG3" s="41" t="s">
        <v>197</v>
      </c>
      <c r="AH3" s="41" t="s">
        <v>38</v>
      </c>
      <c r="AI3" s="41" t="s">
        <v>273</v>
      </c>
      <c r="AJ3" s="41" t="s">
        <v>274</v>
      </c>
      <c r="AK3" s="41" t="s">
        <v>79</v>
      </c>
      <c r="AL3" s="41" t="s">
        <v>253</v>
      </c>
      <c r="AM3" s="41" t="s">
        <v>254</v>
      </c>
      <c r="AN3" s="41" t="s">
        <v>234</v>
      </c>
      <c r="AO3" s="41" t="s">
        <v>310</v>
      </c>
      <c r="AP3" s="41" t="s">
        <v>311</v>
      </c>
      <c r="AQ3" s="41" t="s">
        <v>123</v>
      </c>
      <c r="AR3" s="41" t="s">
        <v>181</v>
      </c>
      <c r="AS3" s="41" t="s">
        <v>235</v>
      </c>
      <c r="AT3" s="41" t="s">
        <v>275</v>
      </c>
      <c r="AU3" s="41" t="s">
        <v>216</v>
      </c>
      <c r="AV3" s="41" t="s">
        <v>122</v>
      </c>
      <c r="AW3" s="41" t="s">
        <v>100</v>
      </c>
      <c r="AX3" s="41" t="s">
        <v>289</v>
      </c>
      <c r="AY3" s="41" t="s">
        <v>20</v>
      </c>
      <c r="AZ3" s="41" t="s">
        <v>290</v>
      </c>
      <c r="BA3" s="41" t="s">
        <v>277</v>
      </c>
      <c r="BB3" s="41" t="s">
        <v>109</v>
      </c>
      <c r="BC3" s="41"/>
      <c r="BD3" s="41"/>
      <c r="BE3" s="41"/>
      <c r="BF3" s="41"/>
      <c r="BG3" s="41"/>
      <c r="BH3" s="41"/>
      <c r="BI3" s="41"/>
      <c r="BJ3" s="41"/>
      <c r="BK3" s="41"/>
      <c r="BL3" s="41"/>
      <c r="BM3" s="41"/>
      <c r="BN3" s="41"/>
      <c r="BO3" s="41"/>
      <c r="BP3" s="41"/>
      <c r="BQ3" s="41"/>
      <c r="BR3" s="41"/>
      <c r="BS3" s="41"/>
      <c r="BT3" s="41"/>
      <c r="BU3" s="41"/>
      <c r="BV3" s="41"/>
      <c r="BW3" s="41"/>
      <c r="BX3" s="41"/>
      <c r="BY3" s="41"/>
      <c r="BZ3" s="41"/>
      <c r="CA3" s="41"/>
      <c r="CB3" s="41"/>
      <c r="CC3" s="41"/>
      <c r="CD3" s="41"/>
      <c r="CE3" s="41"/>
      <c r="CF3" s="41"/>
      <c r="CG3" s="41"/>
      <c r="CH3" s="41"/>
      <c r="CI3" s="41"/>
      <c r="CJ3" s="41"/>
      <c r="CK3" s="41"/>
      <c r="CL3" s="41"/>
      <c r="CM3" s="41"/>
      <c r="CN3" s="41"/>
      <c r="CO3" s="41"/>
      <c r="CP3" s="41"/>
      <c r="CQ3" s="41"/>
      <c r="CR3" s="41"/>
      <c r="CS3" s="41"/>
      <c r="CT3" s="41"/>
      <c r="CU3" s="41"/>
      <c r="CV3" s="41"/>
      <c r="CW3" s="41"/>
      <c r="CX3" s="41"/>
      <c r="CY3" s="41"/>
      <c r="CZ3" s="41"/>
      <c r="DA3" s="41"/>
      <c r="DB3" s="41"/>
      <c r="DC3" s="41"/>
      <c r="DD3" s="41"/>
      <c r="DE3" s="41"/>
      <c r="DF3" s="41"/>
      <c r="DG3" s="41"/>
      <c r="DH3" s="41"/>
      <c r="DI3" s="41"/>
      <c r="DJ3" s="41"/>
      <c r="DK3" s="41"/>
      <c r="DL3" s="41"/>
      <c r="DM3" s="41"/>
      <c r="DN3" s="41"/>
      <c r="DO3" s="41"/>
      <c r="DP3" s="41"/>
      <c r="DQ3" s="41"/>
      <c r="DR3" s="41"/>
      <c r="DS3" s="41"/>
      <c r="DT3" s="41"/>
      <c r="DU3" s="41"/>
      <c r="DV3" s="41"/>
      <c r="DW3" s="41"/>
      <c r="DX3" s="41"/>
      <c r="DY3" s="41"/>
      <c r="DZ3" s="41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62" t="s">
        <v>23</v>
      </c>
    </row>
    <row r="3" spans="1:26" x14ac:dyDescent="0.25">
      <c r="D3" s="62" t="s">
        <v>236</v>
      </c>
      <c r="E3" s="17"/>
      <c r="F3" s="46"/>
      <c r="G3" s="17"/>
      <c r="H3" s="17"/>
      <c r="I3" s="17"/>
      <c r="J3" s="38"/>
      <c r="K3" s="17"/>
      <c r="L3" s="17"/>
      <c r="M3" s="17"/>
      <c r="N3" s="46"/>
      <c r="O3" s="53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2" t="e">
        <f ca="1">CONCATENATE("Period ",RIGHT(_xll.OneStop.ReportPlayer.OSRFunctions.OSRGet("Period","PeriodId"),2),", ",_xll.OneStop.ReportPlayer.OSRFunctions.OSRGet("Period","Year"))</f>
        <v>#NAME?</v>
      </c>
      <c r="E4" s="17"/>
      <c r="F4" s="46"/>
      <c r="G4" s="17"/>
      <c r="H4" s="17"/>
      <c r="I4" s="17"/>
      <c r="J4" s="38"/>
      <c r="K4" s="17"/>
      <c r="L4" s="17"/>
      <c r="M4" s="17"/>
      <c r="N4" s="46"/>
      <c r="O4" s="53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4"/>
      <c r="D5" s="64" t="e">
        <f ca="1">_xll.OneStop.ReportPlayer.OSRFunctions.OSRGet("Period","PeriodEnd")</f>
        <v>#NAME?</v>
      </c>
      <c r="E5" s="17"/>
      <c r="F5" s="46"/>
      <c r="G5" s="17"/>
      <c r="H5" s="17"/>
      <c r="I5" s="17"/>
      <c r="J5" s="38"/>
      <c r="K5" s="17"/>
      <c r="L5" s="17"/>
      <c r="M5" s="17"/>
      <c r="N5" s="46"/>
      <c r="O5" s="53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4"/>
      <c r="B6" s="48"/>
      <c r="C6" s="48"/>
      <c r="D6" s="24" t="s">
        <v>138</v>
      </c>
      <c r="E6" s="17"/>
      <c r="F6" s="46"/>
      <c r="G6" s="17"/>
      <c r="H6" s="17"/>
      <c r="I6" s="17"/>
      <c r="J6" s="38"/>
      <c r="K6" s="17"/>
      <c r="L6" s="17"/>
      <c r="M6" s="17"/>
      <c r="N6" s="46"/>
      <c r="O6" s="54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9"/>
    </row>
    <row r="8" spans="1:26" x14ac:dyDescent="0.25">
      <c r="B8" s="59"/>
    </row>
    <row r="9" spans="1:26" x14ac:dyDescent="0.25">
      <c r="B9" s="9"/>
      <c r="C9" s="9"/>
      <c r="D9" s="16" t="s">
        <v>291</v>
      </c>
      <c r="E9" s="16"/>
      <c r="F9" s="39"/>
      <c r="G9" s="16"/>
      <c r="H9" s="16"/>
      <c r="I9" s="16"/>
      <c r="J9" s="49"/>
      <c r="K9" s="16"/>
      <c r="L9" s="16"/>
      <c r="M9" s="16"/>
      <c r="N9" s="39"/>
      <c r="P9" s="16" t="s">
        <v>39</v>
      </c>
      <c r="Q9" s="16"/>
      <c r="R9" s="39"/>
      <c r="S9" s="16"/>
      <c r="T9" s="16"/>
      <c r="U9" s="16"/>
      <c r="V9" s="49"/>
      <c r="W9" s="16"/>
      <c r="X9" s="16"/>
      <c r="Y9" s="16"/>
      <c r="Z9" s="39"/>
    </row>
    <row r="10" spans="1:26" x14ac:dyDescent="0.25">
      <c r="A10" s="11"/>
      <c r="B10" s="58"/>
      <c r="C10" s="11"/>
      <c r="D10" s="42" t="s">
        <v>57</v>
      </c>
      <c r="E10" s="36"/>
      <c r="F10" s="30" t="s">
        <v>40</v>
      </c>
      <c r="G10" s="36"/>
      <c r="H10" s="50" t="s">
        <v>237</v>
      </c>
      <c r="I10" s="36"/>
      <c r="J10" s="30" t="s">
        <v>40</v>
      </c>
      <c r="K10" s="11"/>
      <c r="L10" s="42" t="s">
        <v>126</v>
      </c>
      <c r="M10" s="11"/>
      <c r="N10" s="30" t="s">
        <v>257</v>
      </c>
      <c r="O10" s="11"/>
      <c r="P10" s="61" t="s">
        <v>57</v>
      </c>
      <c r="Q10" s="36"/>
      <c r="R10" s="30" t="s">
        <v>40</v>
      </c>
      <c r="S10" s="36"/>
      <c r="T10" s="50" t="s">
        <v>237</v>
      </c>
      <c r="U10" s="36"/>
      <c r="V10" s="30" t="s">
        <v>40</v>
      </c>
      <c r="W10" s="11"/>
      <c r="X10" s="42" t="s">
        <v>126</v>
      </c>
      <c r="Y10" s="11"/>
      <c r="Z10" s="30" t="s">
        <v>257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4" customFormat="1" collapsed="1" x14ac:dyDescent="0.25">
      <c r="A12" s="11"/>
      <c r="B12" s="29" t="s">
        <v>139</v>
      </c>
      <c r="C12" s="11"/>
      <c r="D12" s="4" t="e">
        <f ca="1">SUM(_xll.OneStop.ReportPlayer.OSRFunctions.OSRRef(D13))</f>
        <v>#NAME?</v>
      </c>
      <c r="E12" s="4"/>
      <c r="F12" s="13"/>
      <c r="G12" s="4"/>
      <c r="H12" s="4" t="e">
        <f ca="1">SUM(_xll.OneStop.ReportPlayer.OSRFunctions.OSRRef(H13))</f>
        <v>#NAME?</v>
      </c>
      <c r="I12" s="4"/>
      <c r="J12" s="13"/>
      <c r="K12" s="4"/>
      <c r="L12" s="4" t="e">
        <f t="shared" ref="L12:L13" ca="1" si="0">+D12-H12</f>
        <v>#NAME?</v>
      </c>
      <c r="M12" s="4"/>
      <c r="N12" s="13" t="e">
        <f t="shared" ref="N12:N13" ca="1" si="1">IF(H12=0,0,L12/H12)</f>
        <v>#NAME?</v>
      </c>
      <c r="O12" s="11"/>
      <c r="P12" s="4" t="e">
        <f ca="1">SUM(_xll.OneStop.ReportPlayer.OSRFunctions.OSRRef(P13))</f>
        <v>#NAME?</v>
      </c>
      <c r="Q12" s="4"/>
      <c r="R12" s="13"/>
      <c r="S12" s="4"/>
      <c r="T12" s="4" t="e">
        <f ca="1">SUM(_xll.OneStop.ReportPlayer.OSRFunctions.OSRRef(T13))</f>
        <v>#NAME?</v>
      </c>
      <c r="U12" s="4"/>
      <c r="V12" s="13"/>
      <c r="W12" s="4"/>
      <c r="X12" s="4" t="e">
        <f t="shared" ref="X12:X13" ca="1" si="2">+P12-T12</f>
        <v>#NAME?</v>
      </c>
      <c r="Y12" s="4"/>
      <c r="Z12" s="13" t="e">
        <f t="shared" ref="Z12:Z13" ca="1" si="3">IF(T12=0,0,X12/T12)</f>
        <v>#NAME?</v>
      </c>
    </row>
    <row r="13" spans="1:26" s="23" customFormat="1" hidden="1" outlineLevel="1" x14ac:dyDescent="0.25">
      <c r="A13" s="44"/>
      <c r="B13" s="10" t="e">
        <f ca="1">CONCATENATE("          ", _xll.OneStop.ReportPlayer.OSRFunctions.OSRGet("d_Account","Code"), " - ", _xll.OneStop.ReportPlayer.OSRFunctions.OSRGet("d_Account","Description"))</f>
        <v>#NAME?</v>
      </c>
      <c r="C13" s="10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0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1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4" customFormat="1" collapsed="1" x14ac:dyDescent="0.25">
      <c r="A15" s="11"/>
      <c r="B15" s="29" t="s">
        <v>256</v>
      </c>
      <c r="C15" s="11"/>
      <c r="D15" s="4" t="e">
        <f ca="1">SUM(_xll.OneStop.ReportPlayer.OSRFunctions.OSRRef(D16))</f>
        <v>#NAME?</v>
      </c>
      <c r="E15" s="4"/>
      <c r="F15" s="13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3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3" t="e">
        <f t="shared" ref="N15:N16" ca="1" si="7">IF(H15=0,0,L15/H15)</f>
        <v>#NAME?</v>
      </c>
      <c r="O15" s="11"/>
      <c r="P15" s="4" t="e">
        <f ca="1">SUM(_xll.OneStop.ReportPlayer.OSRFunctions.OSRRef(P16))</f>
        <v>#NAME?</v>
      </c>
      <c r="Q15" s="4"/>
      <c r="R15" s="13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3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3" t="e">
        <f t="shared" ref="Z15:Z16" ca="1" si="11">IF(T15=0,0,X15/T15)</f>
        <v>#NAME?</v>
      </c>
    </row>
    <row r="16" spans="1:26" s="23" customFormat="1" hidden="1" outlineLevel="1" x14ac:dyDescent="0.25">
      <c r="A16" s="44"/>
      <c r="B16" s="10" t="e">
        <f ca="1">CONCATENATE("          ", _xll.OneStop.ReportPlayer.OSRFunctions.OSRGet("d_Account","Code"), " - ", _xll.OneStop.ReportPlayer.OSRFunctions.OSRGet("d_Account","Description"))</f>
        <v>#NAME?</v>
      </c>
      <c r="C16" s="10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0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1"/>
      <c r="C17" s="11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1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4" customFormat="1" x14ac:dyDescent="0.25">
      <c r="A18" s="11"/>
      <c r="B18" s="28" t="s">
        <v>107</v>
      </c>
      <c r="C18" s="28"/>
      <c r="D18" s="21" t="e">
        <f ca="1">D12-D15</f>
        <v>#NAME?</v>
      </c>
      <c r="E18" s="14"/>
      <c r="F18" s="22" t="e">
        <f ca="1">IF(D$12=0,0,D18/D$12)</f>
        <v>#NAME?</v>
      </c>
      <c r="G18" s="14"/>
      <c r="H18" s="21" t="e">
        <f ca="1">H12-H15</f>
        <v>#NAME?</v>
      </c>
      <c r="I18" s="14"/>
      <c r="J18" s="22" t="e">
        <f ca="1">IF(H$12=0,0,H18/H$12)</f>
        <v>#NAME?</v>
      </c>
      <c r="K18" s="15"/>
      <c r="L18" s="21" t="e">
        <f ca="1">+D18-H18</f>
        <v>#NAME?</v>
      </c>
      <c r="M18" s="15"/>
      <c r="N18" s="22" t="e">
        <f ca="1">IF(H18=0,0,L18/H18)</f>
        <v>#NAME?</v>
      </c>
      <c r="O18" s="29"/>
      <c r="P18" s="21" t="e">
        <f ca="1">P12-P15</f>
        <v>#NAME?</v>
      </c>
      <c r="Q18" s="14"/>
      <c r="R18" s="22" t="e">
        <f ca="1">IF(P$12=0,0,P18/P$12)</f>
        <v>#NAME?</v>
      </c>
      <c r="S18" s="14"/>
      <c r="T18" s="21" t="e">
        <f ca="1">T12-T15</f>
        <v>#NAME?</v>
      </c>
      <c r="U18" s="14"/>
      <c r="V18" s="22" t="e">
        <f ca="1">IF(T$12=0,0,T18/T$12)</f>
        <v>#NAME?</v>
      </c>
      <c r="W18" s="15"/>
      <c r="X18" s="21" t="e">
        <f ca="1">+P18-T18</f>
        <v>#NAME?</v>
      </c>
      <c r="Y18" s="15"/>
      <c r="Z18" s="22" t="e">
        <f ca="1">IF(T18=0,0,X18/T18)</f>
        <v>#NAME?</v>
      </c>
    </row>
    <row r="19" spans="1:26" x14ac:dyDescent="0.25">
      <c r="A19" s="9"/>
      <c r="B19" s="11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4" customFormat="1" x14ac:dyDescent="0.25">
      <c r="A20" s="11"/>
      <c r="B20" s="29" t="s">
        <v>294</v>
      </c>
      <c r="C20" s="11"/>
      <c r="D20" s="20" t="e">
        <f ca="1">SUM(_xll.OneStop.ReportPlayer.OSRFunctions.OSRRef(D22))</f>
        <v>#NAME?</v>
      </c>
      <c r="E20" s="20"/>
      <c r="F20" s="32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2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2" t="e">
        <f t="shared" ref="N20:N22" ca="1" si="15">IF(H20=0,0,L20/H20)</f>
        <v>#NAME?</v>
      </c>
      <c r="O20" s="11"/>
      <c r="P20" s="20" t="e">
        <f ca="1">SUM(_xll.OneStop.ReportPlayer.OSRFunctions.OSRRef(P22))</f>
        <v>#NAME?</v>
      </c>
      <c r="Q20" s="20"/>
      <c r="R20" s="32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2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2" t="e">
        <f t="shared" ref="Z20:Z22" ca="1" si="19">IF(T20=0,0,X20/T20)</f>
        <v>#NAME?</v>
      </c>
    </row>
    <row r="21" spans="1:26" s="27" customFormat="1" outlineLevel="1" collapsed="1" x14ac:dyDescent="0.25">
      <c r="A21" s="26"/>
      <c r="B21" s="12" t="e">
        <f ca="1">CONCATENATE("     ",_xll.OneStop.ReportPlayer.OSRFunctions.OSRGet("d_Account","AccountCategory"))</f>
        <v>#NAME?</v>
      </c>
      <c r="C21" s="12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2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3" customFormat="1" hidden="1" outlineLevel="2" x14ac:dyDescent="0.25">
      <c r="A22" s="25"/>
      <c r="B22" s="10" t="e">
        <f ca="1">CONCATENATE("          ", _xll.OneStop.ReportPlayer.OSRFunctions.OSRGet("d_Account","Code"), " - ", _xll.OneStop.ReportPlayer.OSRFunctions.OSRGet("d_Account","Description"))</f>
        <v>#NAME?</v>
      </c>
      <c r="C22" s="10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0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2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4" customFormat="1" collapsed="1" x14ac:dyDescent="0.25">
      <c r="A24" s="11"/>
      <c r="B24" s="29" t="s">
        <v>292</v>
      </c>
      <c r="C24" s="11"/>
      <c r="D24" s="4" t="e">
        <f ca="1">SUM(_xll.OneStop.ReportPlayer.OSRFunctions.OSRRef(D25))</f>
        <v>#NAME?</v>
      </c>
      <c r="E24" s="4"/>
      <c r="F24" s="13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3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3" t="e">
        <f t="shared" ref="N24:N25" ca="1" si="23">IF(H24=0,0,L24/H24)</f>
        <v>#NAME?</v>
      </c>
      <c r="O24" s="11"/>
      <c r="P24" s="4" t="e">
        <f ca="1">SUM(_xll.OneStop.ReportPlayer.OSRFunctions.OSRRef(P25))</f>
        <v>#NAME?</v>
      </c>
      <c r="Q24" s="4"/>
      <c r="R24" s="13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3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3" t="e">
        <f t="shared" ref="Z24:Z25" ca="1" si="27">IF(T24=0,0,X24/T24)</f>
        <v>#NAME?</v>
      </c>
    </row>
    <row r="25" spans="1:26" s="23" customFormat="1" hidden="1" outlineLevel="1" x14ac:dyDescent="0.25">
      <c r="A25" s="44"/>
      <c r="B25" s="10" t="e">
        <f ca="1">CONCATENATE("          ", _xll.OneStop.ReportPlayer.OSRFunctions.OSRGet("d_Account","Code"), " - ", _xll.OneStop.ReportPlayer.OSRFunctions.OSRGet("d_Account","Description"))</f>
        <v>#NAME?</v>
      </c>
      <c r="C25" s="10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0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1"/>
      <c r="C26" s="11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1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4" customFormat="1" x14ac:dyDescent="0.25">
      <c r="A27" s="11"/>
      <c r="B27" s="28" t="s">
        <v>276</v>
      </c>
      <c r="C27" s="28"/>
      <c r="D27" s="21" t="e">
        <f ca="1">+D18-D20+D24</f>
        <v>#NAME?</v>
      </c>
      <c r="E27" s="14"/>
      <c r="F27" s="22" t="e">
        <f ca="1">IF(D$12=0,0,D27/D$12)</f>
        <v>#NAME?</v>
      </c>
      <c r="G27" s="14"/>
      <c r="H27" s="21" t="e">
        <f ca="1">+H18-H20+H24</f>
        <v>#NAME?</v>
      </c>
      <c r="I27" s="14"/>
      <c r="J27" s="22" t="e">
        <f ca="1">IF(H$12=0,0,H27/H$12)</f>
        <v>#NAME?</v>
      </c>
      <c r="K27" s="15"/>
      <c r="L27" s="21" t="e">
        <f ca="1">+D27-H27</f>
        <v>#NAME?</v>
      </c>
      <c r="M27" s="15"/>
      <c r="N27" s="22" t="e">
        <f ca="1">IF(H27=0,0,L27/H27)</f>
        <v>#NAME?</v>
      </c>
      <c r="O27" s="29"/>
      <c r="P27" s="21" t="e">
        <f ca="1">+P18-P20+P24</f>
        <v>#NAME?</v>
      </c>
      <c r="Q27" s="14"/>
      <c r="R27" s="22" t="e">
        <f ca="1">IF(P$12=0,0,P27/P$12)</f>
        <v>#NAME?</v>
      </c>
      <c r="S27" s="14"/>
      <c r="T27" s="21" t="e">
        <f ca="1">+T18-T20+T24</f>
        <v>#NAME?</v>
      </c>
      <c r="U27" s="14"/>
      <c r="V27" s="22" t="e">
        <f ca="1">IF(T$12=0,0,T27/T$12)</f>
        <v>#NAME?</v>
      </c>
      <c r="W27" s="15"/>
      <c r="X27" s="21" t="e">
        <f ca="1">+P27-T27</f>
        <v>#NAME?</v>
      </c>
      <c r="Y27" s="15"/>
      <c r="Z27" s="22" t="e">
        <f ca="1">IF(T27=0,0,X27/T27)</f>
        <v>#NAME?</v>
      </c>
    </row>
    <row r="28" spans="1:26" x14ac:dyDescent="0.25">
      <c r="A28" s="9"/>
      <c r="B28" s="11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4" customFormat="1" x14ac:dyDescent="0.25">
      <c r="A29" s="51"/>
      <c r="B29" s="11" t="s">
        <v>127</v>
      </c>
      <c r="C29" s="11"/>
      <c r="D29" s="4" t="e">
        <f ca="1">_xll.OneStop.ReportPlayer.OSRFunctions.OSRGet("GL_F_Trans","Value1")</f>
        <v>#NAME?</v>
      </c>
      <c r="E29" s="4"/>
      <c r="F29" s="13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3" t="e">
        <f ca="1">IF(H$12=0,0,H29/H$12)</f>
        <v>#NAME?</v>
      </c>
      <c r="K29" s="4"/>
      <c r="L29" s="4" t="e">
        <f ca="1">+D29-H29</f>
        <v>#NAME?</v>
      </c>
      <c r="M29" s="4"/>
      <c r="N29" s="13" t="e">
        <f ca="1">IF(H29=0,0,L29/H29)</f>
        <v>#NAME?</v>
      </c>
      <c r="O29" s="11"/>
      <c r="P29" s="4" t="e">
        <f ca="1">_xll.OneStop.ReportPlayer.OSRFunctions.OSRGet("GL_F_Trans","Value1")</f>
        <v>#NAME?</v>
      </c>
      <c r="Q29" s="4"/>
      <c r="R29" s="13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3" t="e">
        <f ca="1">IF(T$12=0,0,T29/T$12)</f>
        <v>#NAME?</v>
      </c>
      <c r="W29" s="4"/>
      <c r="X29" s="4" t="e">
        <f ca="1">+P29-T29</f>
        <v>#NAME?</v>
      </c>
      <c r="Y29" s="4"/>
      <c r="Z29" s="13" t="e">
        <f ca="1">IF(T29=0,0,X29/T29)</f>
        <v>#NAME?</v>
      </c>
    </row>
    <row r="30" spans="1:26" x14ac:dyDescent="0.25">
      <c r="A30" s="9"/>
      <c r="B30" s="11"/>
      <c r="C30" s="11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1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4" customFormat="1" ht="15.75" thickBot="1" x14ac:dyDescent="0.3">
      <c r="A31" s="11"/>
      <c r="B31" s="28" t="s">
        <v>125</v>
      </c>
      <c r="C31" s="28"/>
      <c r="D31" s="34" t="e">
        <f ca="1">+D27-D29</f>
        <v>#NAME?</v>
      </c>
      <c r="E31" s="14"/>
      <c r="F31" s="31" t="e">
        <f ca="1">IF(D$12=0,0,D31/D$12)</f>
        <v>#NAME?</v>
      </c>
      <c r="G31" s="14"/>
      <c r="H31" s="34" t="e">
        <f ca="1">+H27-H29</f>
        <v>#NAME?</v>
      </c>
      <c r="I31" s="14"/>
      <c r="J31" s="31" t="e">
        <f ca="1">IF(H$12=0,0,H31/H$12)</f>
        <v>#NAME?</v>
      </c>
      <c r="K31" s="15"/>
      <c r="L31" s="34" t="e">
        <f ca="1">D31-H31</f>
        <v>#NAME?</v>
      </c>
      <c r="M31" s="15"/>
      <c r="N31" s="31" t="e">
        <f ca="1">IF(H31=0,0,L31/H31)</f>
        <v>#NAME?</v>
      </c>
      <c r="O31" s="29"/>
      <c r="P31" s="34" t="e">
        <f ca="1">+P27-P29</f>
        <v>#NAME?</v>
      </c>
      <c r="Q31" s="14"/>
      <c r="R31" s="31" t="e">
        <f ca="1">IF(P$12=0,0,P31/P$12)</f>
        <v>#NAME?</v>
      </c>
      <c r="S31" s="14"/>
      <c r="T31" s="34" t="e">
        <f ca="1">+T27-T29</f>
        <v>#NAME?</v>
      </c>
      <c r="U31" s="14"/>
      <c r="V31" s="31" t="e">
        <f ca="1">IF(T$12=0,0,T31/T$12)</f>
        <v>#NAME?</v>
      </c>
      <c r="W31" s="15"/>
      <c r="X31" s="34" t="e">
        <f ca="1">P31-T31</f>
        <v>#NAME?</v>
      </c>
      <c r="Y31" s="15"/>
      <c r="Z31" s="31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4" customFormat="1" x14ac:dyDescent="0.25">
      <c r="A33" s="51"/>
      <c r="B33" s="11" t="s">
        <v>183</v>
      </c>
      <c r="C33" s="11"/>
      <c r="D33" s="4" t="e">
        <f ca="1">-_xll.OneStop.ReportPlayer.OSRFunctions.OSRGet("GL_F_Trans","Value1")</f>
        <v>#NAME?</v>
      </c>
      <c r="E33" s="4"/>
      <c r="F33" s="13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3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3" t="e">
        <f t="shared" ref="N33:N34" ca="1" si="31">IF(H33=0,0,L33/H33)</f>
        <v>#NAME?</v>
      </c>
      <c r="O33" s="11"/>
      <c r="P33" s="4" t="e">
        <f ca="1">-_xll.OneStop.ReportPlayer.OSRFunctions.OSRGet("GL_F_Trans","Value1")</f>
        <v>#NAME?</v>
      </c>
      <c r="Q33" s="4"/>
      <c r="R33" s="13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3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3" t="e">
        <f t="shared" ref="Z33:Z34" ca="1" si="35">IF(T33=0,0,X33/T33)</f>
        <v>#NAME?</v>
      </c>
    </row>
    <row r="34" spans="1:26" s="24" customFormat="1" x14ac:dyDescent="0.25">
      <c r="A34" s="51"/>
      <c r="B34" s="11" t="s">
        <v>81</v>
      </c>
      <c r="C34" s="11"/>
      <c r="D34" s="4" t="e">
        <f ca="1">-_xll.OneStop.ReportPlayer.OSRFunctions.OSRGet("GL_F_Trans","Value1")</f>
        <v>#NAME?</v>
      </c>
      <c r="E34" s="4"/>
      <c r="F34" s="13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3" t="e">
        <f t="shared" ca="1" si="29"/>
        <v>#NAME?</v>
      </c>
      <c r="K34" s="4"/>
      <c r="L34" s="4" t="e">
        <f t="shared" ca="1" si="30"/>
        <v>#NAME?</v>
      </c>
      <c r="M34" s="4"/>
      <c r="N34" s="13" t="e">
        <f t="shared" ca="1" si="31"/>
        <v>#NAME?</v>
      </c>
      <c r="O34" s="11"/>
      <c r="P34" s="4" t="e">
        <f ca="1">-_xll.OneStop.ReportPlayer.OSRFunctions.OSRGet("GL_F_Trans","Value1")</f>
        <v>#NAME?</v>
      </c>
      <c r="Q34" s="4"/>
      <c r="R34" s="13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3" t="e">
        <f t="shared" ca="1" si="33"/>
        <v>#NAME?</v>
      </c>
      <c r="W34" s="4"/>
      <c r="X34" s="4" t="e">
        <f t="shared" ca="1" si="34"/>
        <v>#NAME?</v>
      </c>
      <c r="Y34" s="4"/>
      <c r="Z34" s="13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4" customFormat="1" ht="15.75" thickBot="1" x14ac:dyDescent="0.3">
      <c r="A36" s="11"/>
      <c r="B36" s="28" t="s">
        <v>293</v>
      </c>
      <c r="C36" s="28"/>
      <c r="D36" s="33" t="e">
        <f ca="1">SUM(D31:D35)</f>
        <v>#NAME?</v>
      </c>
      <c r="E36" s="14"/>
      <c r="F36" s="35" t="e">
        <f ca="1">IF(D$12=0,0,D36/D$12)</f>
        <v>#NAME?</v>
      </c>
      <c r="G36" s="14"/>
      <c r="H36" s="33" t="e">
        <f ca="1">SUM(H31:H35)</f>
        <v>#NAME?</v>
      </c>
      <c r="I36" s="14"/>
      <c r="J36" s="35" t="e">
        <f ca="1">IF(H$12=0,0,H36/H$12)</f>
        <v>#NAME?</v>
      </c>
      <c r="K36" s="15"/>
      <c r="L36" s="33" t="e">
        <f ca="1">+D36-H36</f>
        <v>#NAME?</v>
      </c>
      <c r="M36" s="15"/>
      <c r="N36" s="35" t="e">
        <f ca="1">IF(H36=0,0,L36/H36)</f>
        <v>#NAME?</v>
      </c>
      <c r="O36" s="29"/>
      <c r="P36" s="33" t="e">
        <f ca="1">SUM(P31:P35)</f>
        <v>#NAME?</v>
      </c>
      <c r="Q36" s="14"/>
      <c r="R36" s="35" t="e">
        <f ca="1">IF(P$12=0,0,P36/P$12)</f>
        <v>#NAME?</v>
      </c>
      <c r="S36" s="14"/>
      <c r="T36" s="33" t="e">
        <f ca="1">SUM(T31:T35)</f>
        <v>#NAME?</v>
      </c>
      <c r="U36" s="14"/>
      <c r="V36" s="35" t="e">
        <f ca="1">IF(T$12=0,0,T36/T$12)</f>
        <v>#NAME?</v>
      </c>
      <c r="W36" s="15"/>
      <c r="X36" s="33" t="e">
        <f ca="1">+P36-T36</f>
        <v>#NAME?</v>
      </c>
      <c r="Y36" s="15"/>
      <c r="Z36" s="35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56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55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60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sheetPr>
    <tabColor rgb="FF92D05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62" t="s">
        <v>23</v>
      </c>
    </row>
    <row r="3" spans="1:26" x14ac:dyDescent="0.25">
      <c r="D3" s="62" t="s">
        <v>236</v>
      </c>
      <c r="E3" s="17"/>
      <c r="F3" s="46"/>
      <c r="G3" s="17"/>
      <c r="H3" s="17"/>
      <c r="I3" s="17"/>
      <c r="J3" s="38"/>
      <c r="K3" s="17"/>
      <c r="L3" s="17"/>
      <c r="M3" s="17"/>
      <c r="N3" s="46"/>
      <c r="O3" s="53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2" t="e">
        <f ca="1">CONCATENATE("Period ",RIGHT(_xll.OneStop.ReportPlayer.OSRFunctions.OSRGet("Period","PeriodId"),2),", ",_xll.OneStop.ReportPlayer.OSRFunctions.OSRGet("Period","Year"))</f>
        <v>#NAME?</v>
      </c>
      <c r="E4" s="17"/>
      <c r="F4" s="46"/>
      <c r="G4" s="17"/>
      <c r="H4" s="17"/>
      <c r="I4" s="17"/>
      <c r="J4" s="38"/>
      <c r="K4" s="17"/>
      <c r="L4" s="17"/>
      <c r="M4" s="17"/>
      <c r="N4" s="46"/>
      <c r="O4" s="53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4"/>
      <c r="D5" s="64" t="e">
        <f ca="1">_xll.OneStop.ReportPlayer.OSRFunctions.OSRGet("Period","PeriodEnd")</f>
        <v>#NAME?</v>
      </c>
      <c r="E5" s="17"/>
      <c r="F5" s="46"/>
      <c r="G5" s="17"/>
      <c r="H5" s="17"/>
      <c r="I5" s="17"/>
      <c r="J5" s="38"/>
      <c r="K5" s="17"/>
      <c r="L5" s="17"/>
      <c r="M5" s="17"/>
      <c r="N5" s="46"/>
      <c r="O5" s="53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4"/>
      <c r="B6" s="48"/>
      <c r="C6" s="48"/>
      <c r="D6" s="24" t="e">
        <f ca="1">CONCATENATE("Department ",_xll.OneStop.ReportPlayer.OSRFunctions.OSRGet("d_dim0","Code"), " - ", _xll.OneStop.ReportPlayer.OSRFunctions.OSRGet("d_dim0","Description"))</f>
        <v>#NAME?</v>
      </c>
      <c r="E6" s="17"/>
      <c r="F6" s="46"/>
      <c r="G6" s="17"/>
      <c r="H6" s="17"/>
      <c r="I6" s="17"/>
      <c r="J6" s="38"/>
      <c r="K6" s="17"/>
      <c r="L6" s="17"/>
      <c r="M6" s="17"/>
      <c r="N6" s="46"/>
      <c r="O6" s="54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9"/>
    </row>
    <row r="8" spans="1:26" x14ac:dyDescent="0.25">
      <c r="B8" s="59"/>
    </row>
    <row r="9" spans="1:26" x14ac:dyDescent="0.25">
      <c r="B9" s="9"/>
      <c r="C9" s="9"/>
      <c r="D9" s="16" t="s">
        <v>291</v>
      </c>
      <c r="E9" s="16"/>
      <c r="F9" s="39"/>
      <c r="G9" s="16"/>
      <c r="H9" s="16"/>
      <c r="I9" s="16"/>
      <c r="J9" s="49"/>
      <c r="K9" s="16"/>
      <c r="L9" s="16"/>
      <c r="M9" s="16"/>
      <c r="N9" s="39"/>
      <c r="P9" s="16" t="s">
        <v>39</v>
      </c>
      <c r="Q9" s="16"/>
      <c r="R9" s="39"/>
      <c r="S9" s="16"/>
      <c r="T9" s="16"/>
      <c r="U9" s="16"/>
      <c r="V9" s="49"/>
      <c r="W9" s="16"/>
      <c r="X9" s="16"/>
      <c r="Y9" s="16"/>
      <c r="Z9" s="39"/>
    </row>
    <row r="10" spans="1:26" x14ac:dyDescent="0.25">
      <c r="A10" s="11"/>
      <c r="B10" s="58"/>
      <c r="C10" s="11"/>
      <c r="D10" s="42" t="s">
        <v>57</v>
      </c>
      <c r="E10" s="36"/>
      <c r="F10" s="30" t="s">
        <v>40</v>
      </c>
      <c r="G10" s="36"/>
      <c r="H10" s="50" t="s">
        <v>237</v>
      </c>
      <c r="I10" s="36"/>
      <c r="J10" s="30" t="s">
        <v>40</v>
      </c>
      <c r="K10" s="11"/>
      <c r="L10" s="42" t="s">
        <v>126</v>
      </c>
      <c r="M10" s="11"/>
      <c r="N10" s="30" t="s">
        <v>257</v>
      </c>
      <c r="O10" s="11"/>
      <c r="P10" s="61" t="s">
        <v>57</v>
      </c>
      <c r="Q10" s="36"/>
      <c r="R10" s="30" t="s">
        <v>40</v>
      </c>
      <c r="S10" s="36"/>
      <c r="T10" s="50" t="s">
        <v>237</v>
      </c>
      <c r="U10" s="36"/>
      <c r="V10" s="30" t="s">
        <v>40</v>
      </c>
      <c r="W10" s="11"/>
      <c r="X10" s="42" t="s">
        <v>126</v>
      </c>
      <c r="Y10" s="11"/>
      <c r="Z10" s="30" t="s">
        <v>257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4" customFormat="1" collapsed="1" x14ac:dyDescent="0.25">
      <c r="A12" s="11"/>
      <c r="B12" s="29" t="s">
        <v>139</v>
      </c>
      <c r="C12" s="11"/>
      <c r="D12" s="4" t="e">
        <f ca="1">SUM(_xll.OneStop.ReportPlayer.OSRFunctions.OSRRef(D13))</f>
        <v>#NAME?</v>
      </c>
      <c r="E12" s="4"/>
      <c r="F12" s="13"/>
      <c r="G12" s="4"/>
      <c r="H12" s="4" t="e">
        <f ca="1">SUM(_xll.OneStop.ReportPlayer.OSRFunctions.OSRRef(H13))</f>
        <v>#NAME?</v>
      </c>
      <c r="I12" s="4"/>
      <c r="J12" s="13"/>
      <c r="K12" s="4"/>
      <c r="L12" s="4" t="e">
        <f t="shared" ref="L12:L13" ca="1" si="0">+D12-H12</f>
        <v>#NAME?</v>
      </c>
      <c r="M12" s="4"/>
      <c r="N12" s="13" t="e">
        <f t="shared" ref="N12:N13" ca="1" si="1">IF(H12=0,0,L12/H12)</f>
        <v>#NAME?</v>
      </c>
      <c r="O12" s="11"/>
      <c r="P12" s="4" t="e">
        <f ca="1">SUM(_xll.OneStop.ReportPlayer.OSRFunctions.OSRRef(P13))</f>
        <v>#NAME?</v>
      </c>
      <c r="Q12" s="4"/>
      <c r="R12" s="13"/>
      <c r="S12" s="4"/>
      <c r="T12" s="4" t="e">
        <f ca="1">SUM(_xll.OneStop.ReportPlayer.OSRFunctions.OSRRef(T13))</f>
        <v>#NAME?</v>
      </c>
      <c r="U12" s="4"/>
      <c r="V12" s="13"/>
      <c r="W12" s="4"/>
      <c r="X12" s="4" t="e">
        <f t="shared" ref="X12:X13" ca="1" si="2">+P12-T12</f>
        <v>#NAME?</v>
      </c>
      <c r="Y12" s="4"/>
      <c r="Z12" s="13" t="e">
        <f t="shared" ref="Z12:Z13" ca="1" si="3">IF(T12=0,0,X12/T12)</f>
        <v>#NAME?</v>
      </c>
    </row>
    <row r="13" spans="1:26" s="23" customFormat="1" hidden="1" outlineLevel="1" x14ac:dyDescent="0.25">
      <c r="A13" s="44"/>
      <c r="B13" s="10" t="e">
        <f ca="1">CONCATENATE("          ", _xll.OneStop.ReportPlayer.OSRFunctions.OSRGet("d_Account","Code"), " - ", _xll.OneStop.ReportPlayer.OSRFunctions.OSRGet("d_Account","Description"))</f>
        <v>#NAME?</v>
      </c>
      <c r="C13" s="10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0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1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4" customFormat="1" collapsed="1" x14ac:dyDescent="0.25">
      <c r="A15" s="11"/>
      <c r="B15" s="29" t="s">
        <v>256</v>
      </c>
      <c r="C15" s="11"/>
      <c r="D15" s="4" t="e">
        <f ca="1">SUM(_xll.OneStop.ReportPlayer.OSRFunctions.OSRRef(D16))</f>
        <v>#NAME?</v>
      </c>
      <c r="E15" s="4"/>
      <c r="F15" s="13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3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3" t="e">
        <f t="shared" ref="N15:N16" ca="1" si="7">IF(H15=0,0,L15/H15)</f>
        <v>#NAME?</v>
      </c>
      <c r="O15" s="11"/>
      <c r="P15" s="4" t="e">
        <f ca="1">SUM(_xll.OneStop.ReportPlayer.OSRFunctions.OSRRef(P16))</f>
        <v>#NAME?</v>
      </c>
      <c r="Q15" s="4"/>
      <c r="R15" s="13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3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3" t="e">
        <f t="shared" ref="Z15:Z16" ca="1" si="11">IF(T15=0,0,X15/T15)</f>
        <v>#NAME?</v>
      </c>
    </row>
    <row r="16" spans="1:26" s="23" customFormat="1" hidden="1" outlineLevel="1" x14ac:dyDescent="0.25">
      <c r="A16" s="44"/>
      <c r="B16" s="10" t="e">
        <f ca="1">CONCATENATE("          ", _xll.OneStop.ReportPlayer.OSRFunctions.OSRGet("d_Account","Code"), " - ", _xll.OneStop.ReportPlayer.OSRFunctions.OSRGet("d_Account","Description"))</f>
        <v>#NAME?</v>
      </c>
      <c r="C16" s="10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0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1"/>
      <c r="C17" s="11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1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4" customFormat="1" x14ac:dyDescent="0.25">
      <c r="A18" s="11"/>
      <c r="B18" s="28" t="s">
        <v>107</v>
      </c>
      <c r="C18" s="28"/>
      <c r="D18" s="21" t="e">
        <f ca="1">D12-D15</f>
        <v>#NAME?</v>
      </c>
      <c r="E18" s="14"/>
      <c r="F18" s="22" t="e">
        <f ca="1">IF(D$12=0,0,D18/D$12)</f>
        <v>#NAME?</v>
      </c>
      <c r="G18" s="14"/>
      <c r="H18" s="21" t="e">
        <f ca="1">H12-H15</f>
        <v>#NAME?</v>
      </c>
      <c r="I18" s="14"/>
      <c r="J18" s="22" t="e">
        <f ca="1">IF(H$12=0,0,H18/H$12)</f>
        <v>#NAME?</v>
      </c>
      <c r="K18" s="15"/>
      <c r="L18" s="21" t="e">
        <f ca="1">+D18-H18</f>
        <v>#NAME?</v>
      </c>
      <c r="M18" s="15"/>
      <c r="N18" s="22" t="e">
        <f ca="1">IF(H18=0,0,L18/H18)</f>
        <v>#NAME?</v>
      </c>
      <c r="O18" s="29"/>
      <c r="P18" s="21" t="e">
        <f ca="1">P12-P15</f>
        <v>#NAME?</v>
      </c>
      <c r="Q18" s="14"/>
      <c r="R18" s="22" t="e">
        <f ca="1">IF(P$12=0,0,P18/P$12)</f>
        <v>#NAME?</v>
      </c>
      <c r="S18" s="14"/>
      <c r="T18" s="21" t="e">
        <f ca="1">T12-T15</f>
        <v>#NAME?</v>
      </c>
      <c r="U18" s="14"/>
      <c r="V18" s="22" t="e">
        <f ca="1">IF(T$12=0,0,T18/T$12)</f>
        <v>#NAME?</v>
      </c>
      <c r="W18" s="15"/>
      <c r="X18" s="21" t="e">
        <f ca="1">+P18-T18</f>
        <v>#NAME?</v>
      </c>
      <c r="Y18" s="15"/>
      <c r="Z18" s="22" t="e">
        <f ca="1">IF(T18=0,0,X18/T18)</f>
        <v>#NAME?</v>
      </c>
    </row>
    <row r="19" spans="1:26" x14ac:dyDescent="0.25">
      <c r="A19" s="9"/>
      <c r="B19" s="11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4" customFormat="1" x14ac:dyDescent="0.25">
      <c r="A20" s="11"/>
      <c r="B20" s="29" t="s">
        <v>294</v>
      </c>
      <c r="C20" s="11"/>
      <c r="D20" s="20" t="e">
        <f ca="1">SUM(_xll.OneStop.ReportPlayer.OSRFunctions.OSRRef(D22))</f>
        <v>#NAME?</v>
      </c>
      <c r="E20" s="20"/>
      <c r="F20" s="32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2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2" t="e">
        <f t="shared" ref="N20:N22" ca="1" si="15">IF(H20=0,0,L20/H20)</f>
        <v>#NAME?</v>
      </c>
      <c r="O20" s="11"/>
      <c r="P20" s="20" t="e">
        <f ca="1">SUM(_xll.OneStop.ReportPlayer.OSRFunctions.OSRRef(P22))</f>
        <v>#NAME?</v>
      </c>
      <c r="Q20" s="20"/>
      <c r="R20" s="32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2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2" t="e">
        <f t="shared" ref="Z20:Z22" ca="1" si="19">IF(T20=0,0,X20/T20)</f>
        <v>#NAME?</v>
      </c>
    </row>
    <row r="21" spans="1:26" s="27" customFormat="1" outlineLevel="1" collapsed="1" x14ac:dyDescent="0.25">
      <c r="A21" s="26"/>
      <c r="B21" s="12" t="e">
        <f ca="1">CONCATENATE("     ",_xll.OneStop.ReportPlayer.OSRFunctions.OSRGet("d_Account","AccountCategory"))</f>
        <v>#NAME?</v>
      </c>
      <c r="C21" s="12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2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3" customFormat="1" hidden="1" outlineLevel="2" x14ac:dyDescent="0.25">
      <c r="A22" s="25"/>
      <c r="B22" s="10" t="e">
        <f ca="1">CONCATENATE("          ", _xll.OneStop.ReportPlayer.OSRFunctions.OSRGet("d_Account","Code"), " - ", _xll.OneStop.ReportPlayer.OSRFunctions.OSRGet("d_Account","Description"))</f>
        <v>#NAME?</v>
      </c>
      <c r="C22" s="10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0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2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4" customFormat="1" collapsed="1" x14ac:dyDescent="0.25">
      <c r="A24" s="11"/>
      <c r="B24" s="29" t="s">
        <v>292</v>
      </c>
      <c r="C24" s="11"/>
      <c r="D24" s="4" t="e">
        <f ca="1">SUM(_xll.OneStop.ReportPlayer.OSRFunctions.OSRRef(D25))</f>
        <v>#NAME?</v>
      </c>
      <c r="E24" s="4"/>
      <c r="F24" s="13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3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3" t="e">
        <f t="shared" ref="N24:N25" ca="1" si="23">IF(H24=0,0,L24/H24)</f>
        <v>#NAME?</v>
      </c>
      <c r="O24" s="11"/>
      <c r="P24" s="4" t="e">
        <f ca="1">SUM(_xll.OneStop.ReportPlayer.OSRFunctions.OSRRef(P25))</f>
        <v>#NAME?</v>
      </c>
      <c r="Q24" s="4"/>
      <c r="R24" s="13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3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3" t="e">
        <f t="shared" ref="Z24:Z25" ca="1" si="27">IF(T24=0,0,X24/T24)</f>
        <v>#NAME?</v>
      </c>
    </row>
    <row r="25" spans="1:26" s="23" customFormat="1" hidden="1" outlineLevel="1" x14ac:dyDescent="0.25">
      <c r="A25" s="44"/>
      <c r="B25" s="10" t="e">
        <f ca="1">CONCATENATE("          ", _xll.OneStop.ReportPlayer.OSRFunctions.OSRGet("d_Account","Code"), " - ", _xll.OneStop.ReportPlayer.OSRFunctions.OSRGet("d_Account","Description"))</f>
        <v>#NAME?</v>
      </c>
      <c r="C25" s="10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0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1"/>
      <c r="C26" s="11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1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4" customFormat="1" x14ac:dyDescent="0.25">
      <c r="A27" s="11"/>
      <c r="B27" s="28" t="s">
        <v>276</v>
      </c>
      <c r="C27" s="28"/>
      <c r="D27" s="21" t="e">
        <f ca="1">+D18-D20+D24</f>
        <v>#NAME?</v>
      </c>
      <c r="E27" s="14"/>
      <c r="F27" s="22" t="e">
        <f ca="1">IF(D$12=0,0,D27/D$12)</f>
        <v>#NAME?</v>
      </c>
      <c r="G27" s="14"/>
      <c r="H27" s="21" t="e">
        <f ca="1">+H18-H20+H24</f>
        <v>#NAME?</v>
      </c>
      <c r="I27" s="14"/>
      <c r="J27" s="22" t="e">
        <f ca="1">IF(H$12=0,0,H27/H$12)</f>
        <v>#NAME?</v>
      </c>
      <c r="K27" s="15"/>
      <c r="L27" s="21" t="e">
        <f ca="1">+D27-H27</f>
        <v>#NAME?</v>
      </c>
      <c r="M27" s="15"/>
      <c r="N27" s="22" t="e">
        <f ca="1">IF(H27=0,0,L27/H27)</f>
        <v>#NAME?</v>
      </c>
      <c r="O27" s="29"/>
      <c r="P27" s="21" t="e">
        <f ca="1">+P18-P20+P24</f>
        <v>#NAME?</v>
      </c>
      <c r="Q27" s="14"/>
      <c r="R27" s="22" t="e">
        <f ca="1">IF(P$12=0,0,P27/P$12)</f>
        <v>#NAME?</v>
      </c>
      <c r="S27" s="14"/>
      <c r="T27" s="21" t="e">
        <f ca="1">+T18-T20+T24</f>
        <v>#NAME?</v>
      </c>
      <c r="U27" s="14"/>
      <c r="V27" s="22" t="e">
        <f ca="1">IF(T$12=0,0,T27/T$12)</f>
        <v>#NAME?</v>
      </c>
      <c r="W27" s="15"/>
      <c r="X27" s="21" t="e">
        <f ca="1">+P27-T27</f>
        <v>#NAME?</v>
      </c>
      <c r="Y27" s="15"/>
      <c r="Z27" s="22" t="e">
        <f ca="1">IF(T27=0,0,X27/T27)</f>
        <v>#NAME?</v>
      </c>
    </row>
    <row r="28" spans="1:26" x14ac:dyDescent="0.25">
      <c r="A28" s="9"/>
      <c r="B28" s="11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4" customFormat="1" x14ac:dyDescent="0.25">
      <c r="A29" s="51"/>
      <c r="B29" s="11" t="s">
        <v>127</v>
      </c>
      <c r="C29" s="11"/>
      <c r="D29" s="4" t="e">
        <f ca="1">_xll.OneStop.ReportPlayer.OSRFunctions.OSRGet("GL_F_Trans","Value1")</f>
        <v>#NAME?</v>
      </c>
      <c r="E29" s="4"/>
      <c r="F29" s="13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3" t="e">
        <f ca="1">IF(H$12=0,0,H29/H$12)</f>
        <v>#NAME?</v>
      </c>
      <c r="K29" s="4"/>
      <c r="L29" s="4" t="e">
        <f ca="1">+D29-H29</f>
        <v>#NAME?</v>
      </c>
      <c r="M29" s="4"/>
      <c r="N29" s="13" t="e">
        <f ca="1">IF(H29=0,0,L29/H29)</f>
        <v>#NAME?</v>
      </c>
      <c r="O29" s="11"/>
      <c r="P29" s="4" t="e">
        <f ca="1">_xll.OneStop.ReportPlayer.OSRFunctions.OSRGet("GL_F_Trans","Value1")</f>
        <v>#NAME?</v>
      </c>
      <c r="Q29" s="4"/>
      <c r="R29" s="13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3" t="e">
        <f ca="1">IF(T$12=0,0,T29/T$12)</f>
        <v>#NAME?</v>
      </c>
      <c r="W29" s="4"/>
      <c r="X29" s="4" t="e">
        <f ca="1">+P29-T29</f>
        <v>#NAME?</v>
      </c>
      <c r="Y29" s="4"/>
      <c r="Z29" s="13" t="e">
        <f ca="1">IF(T29=0,0,X29/T29)</f>
        <v>#NAME?</v>
      </c>
    </row>
    <row r="30" spans="1:26" x14ac:dyDescent="0.25">
      <c r="A30" s="9"/>
      <c r="B30" s="11"/>
      <c r="C30" s="11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1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4" customFormat="1" ht="15.75" thickBot="1" x14ac:dyDescent="0.3">
      <c r="A31" s="11"/>
      <c r="B31" s="28" t="s">
        <v>125</v>
      </c>
      <c r="C31" s="28"/>
      <c r="D31" s="34" t="e">
        <f ca="1">+D27-D29</f>
        <v>#NAME?</v>
      </c>
      <c r="E31" s="14"/>
      <c r="F31" s="31" t="e">
        <f ca="1">IF(D$12=0,0,D31/D$12)</f>
        <v>#NAME?</v>
      </c>
      <c r="G31" s="14"/>
      <c r="H31" s="34" t="e">
        <f ca="1">+H27-H29</f>
        <v>#NAME?</v>
      </c>
      <c r="I31" s="14"/>
      <c r="J31" s="31" t="e">
        <f ca="1">IF(H$12=0,0,H31/H$12)</f>
        <v>#NAME?</v>
      </c>
      <c r="K31" s="15"/>
      <c r="L31" s="34" t="e">
        <f ca="1">D31-H31</f>
        <v>#NAME?</v>
      </c>
      <c r="M31" s="15"/>
      <c r="N31" s="31" t="e">
        <f ca="1">IF(H31=0,0,L31/H31)</f>
        <v>#NAME?</v>
      </c>
      <c r="O31" s="29"/>
      <c r="P31" s="34" t="e">
        <f ca="1">+P27-P29</f>
        <v>#NAME?</v>
      </c>
      <c r="Q31" s="14"/>
      <c r="R31" s="31" t="e">
        <f ca="1">IF(P$12=0,0,P31/P$12)</f>
        <v>#NAME?</v>
      </c>
      <c r="S31" s="14"/>
      <c r="T31" s="34" t="e">
        <f ca="1">+T27-T29</f>
        <v>#NAME?</v>
      </c>
      <c r="U31" s="14"/>
      <c r="V31" s="31" t="e">
        <f ca="1">IF(T$12=0,0,T31/T$12)</f>
        <v>#NAME?</v>
      </c>
      <c r="W31" s="15"/>
      <c r="X31" s="34" t="e">
        <f ca="1">P31-T31</f>
        <v>#NAME?</v>
      </c>
      <c r="Y31" s="15"/>
      <c r="Z31" s="31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4" customFormat="1" x14ac:dyDescent="0.25">
      <c r="A33" s="51"/>
      <c r="B33" s="11" t="s">
        <v>183</v>
      </c>
      <c r="C33" s="11"/>
      <c r="D33" s="4" t="e">
        <f ca="1">-_xll.OneStop.ReportPlayer.OSRFunctions.OSRGet("GL_F_Trans","Value1")</f>
        <v>#NAME?</v>
      </c>
      <c r="E33" s="4"/>
      <c r="F33" s="13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3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3" t="e">
        <f t="shared" ref="N33:N34" ca="1" si="31">IF(H33=0,0,L33/H33)</f>
        <v>#NAME?</v>
      </c>
      <c r="O33" s="11"/>
      <c r="P33" s="4" t="e">
        <f ca="1">-_xll.OneStop.ReportPlayer.OSRFunctions.OSRGet("GL_F_Trans","Value1")</f>
        <v>#NAME?</v>
      </c>
      <c r="Q33" s="4"/>
      <c r="R33" s="13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3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3" t="e">
        <f t="shared" ref="Z33:Z34" ca="1" si="35">IF(T33=0,0,X33/T33)</f>
        <v>#NAME?</v>
      </c>
    </row>
    <row r="34" spans="1:26" s="24" customFormat="1" x14ac:dyDescent="0.25">
      <c r="A34" s="51"/>
      <c r="B34" s="11" t="s">
        <v>81</v>
      </c>
      <c r="C34" s="11"/>
      <c r="D34" s="4" t="e">
        <f ca="1">-_xll.OneStop.ReportPlayer.OSRFunctions.OSRGet("GL_F_Trans","Value1")</f>
        <v>#NAME?</v>
      </c>
      <c r="E34" s="4"/>
      <c r="F34" s="13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3" t="e">
        <f t="shared" ca="1" si="29"/>
        <v>#NAME?</v>
      </c>
      <c r="K34" s="4"/>
      <c r="L34" s="4" t="e">
        <f t="shared" ca="1" si="30"/>
        <v>#NAME?</v>
      </c>
      <c r="M34" s="4"/>
      <c r="N34" s="13" t="e">
        <f t="shared" ca="1" si="31"/>
        <v>#NAME?</v>
      </c>
      <c r="O34" s="11"/>
      <c r="P34" s="4" t="e">
        <f ca="1">-_xll.OneStop.ReportPlayer.OSRFunctions.OSRGet("GL_F_Trans","Value1")</f>
        <v>#NAME?</v>
      </c>
      <c r="Q34" s="4"/>
      <c r="R34" s="13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3" t="e">
        <f t="shared" ca="1" si="33"/>
        <v>#NAME?</v>
      </c>
      <c r="W34" s="4"/>
      <c r="X34" s="4" t="e">
        <f t="shared" ca="1" si="34"/>
        <v>#NAME?</v>
      </c>
      <c r="Y34" s="4"/>
      <c r="Z34" s="13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4" customFormat="1" ht="15.75" thickBot="1" x14ac:dyDescent="0.3">
      <c r="A36" s="11"/>
      <c r="B36" s="28" t="s">
        <v>293</v>
      </c>
      <c r="C36" s="28"/>
      <c r="D36" s="33" t="e">
        <f ca="1">SUM(D31:D35)</f>
        <v>#NAME?</v>
      </c>
      <c r="E36" s="14"/>
      <c r="F36" s="35" t="e">
        <f ca="1">IF(D$12=0,0,D36/D$12)</f>
        <v>#NAME?</v>
      </c>
      <c r="G36" s="14"/>
      <c r="H36" s="33" t="e">
        <f ca="1">SUM(H31:H35)</f>
        <v>#NAME?</v>
      </c>
      <c r="I36" s="14"/>
      <c r="J36" s="35" t="e">
        <f ca="1">IF(H$12=0,0,H36/H$12)</f>
        <v>#NAME?</v>
      </c>
      <c r="K36" s="15"/>
      <c r="L36" s="33" t="e">
        <f ca="1">+D36-H36</f>
        <v>#NAME?</v>
      </c>
      <c r="M36" s="15"/>
      <c r="N36" s="35" t="e">
        <f ca="1">IF(H36=0,0,L36/H36)</f>
        <v>#NAME?</v>
      </c>
      <c r="O36" s="29"/>
      <c r="P36" s="33" t="e">
        <f ca="1">SUM(P31:P35)</f>
        <v>#NAME?</v>
      </c>
      <c r="Q36" s="14"/>
      <c r="R36" s="35" t="e">
        <f ca="1">IF(P$12=0,0,P36/P$12)</f>
        <v>#NAME?</v>
      </c>
      <c r="S36" s="14"/>
      <c r="T36" s="33" t="e">
        <f ca="1">SUM(T31:T35)</f>
        <v>#NAME?</v>
      </c>
      <c r="U36" s="14"/>
      <c r="V36" s="35" t="e">
        <f ca="1">IF(T$12=0,0,T36/T$12)</f>
        <v>#NAME?</v>
      </c>
      <c r="W36" s="15"/>
      <c r="X36" s="33" t="e">
        <f ca="1">+P36-T36</f>
        <v>#NAME?</v>
      </c>
      <c r="Y36" s="15"/>
      <c r="Z36" s="35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56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55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60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62" t="s">
        <v>23</v>
      </c>
    </row>
    <row r="3" spans="1:26" x14ac:dyDescent="0.25">
      <c r="D3" s="62" t="s">
        <v>236</v>
      </c>
      <c r="E3" s="17"/>
      <c r="F3" s="46"/>
      <c r="G3" s="17"/>
      <c r="H3" s="17"/>
      <c r="I3" s="17"/>
      <c r="J3" s="38"/>
      <c r="K3" s="17"/>
      <c r="L3" s="17"/>
      <c r="M3" s="17"/>
      <c r="N3" s="46"/>
      <c r="O3" s="53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2" t="e">
        <f ca="1">CONCATENATE("Period ",RIGHT(_xll.OneStop.ReportPlayer.OSRFunctions.OSRGet("Period","PeriodId"),2),", ",_xll.OneStop.ReportPlayer.OSRFunctions.OSRGet("Period","Year"))</f>
        <v>#NAME?</v>
      </c>
      <c r="E4" s="17"/>
      <c r="F4" s="46"/>
      <c r="G4" s="17"/>
      <c r="H4" s="17"/>
      <c r="I4" s="17"/>
      <c r="J4" s="38"/>
      <c r="K4" s="17"/>
      <c r="L4" s="17"/>
      <c r="M4" s="17"/>
      <c r="N4" s="46"/>
      <c r="O4" s="53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4"/>
      <c r="D5" s="64" t="e">
        <f ca="1">_xll.OneStop.ReportPlayer.OSRFunctions.OSRGet("Period","PeriodEnd")</f>
        <v>#NAME?</v>
      </c>
      <c r="E5" s="17"/>
      <c r="F5" s="46"/>
      <c r="G5" s="17"/>
      <c r="H5" s="17"/>
      <c r="I5" s="17"/>
      <c r="J5" s="38"/>
      <c r="K5" s="17"/>
      <c r="L5" s="17"/>
      <c r="M5" s="17"/>
      <c r="N5" s="46"/>
      <c r="O5" s="53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4"/>
      <c r="B6" s="48"/>
      <c r="C6" s="48"/>
      <c r="D6" s="24" t="s">
        <v>106</v>
      </c>
      <c r="E6" s="17"/>
      <c r="F6" s="46"/>
      <c r="G6" s="17"/>
      <c r="H6" s="17"/>
      <c r="I6" s="17"/>
      <c r="J6" s="38"/>
      <c r="K6" s="17"/>
      <c r="L6" s="17"/>
      <c r="M6" s="17"/>
      <c r="N6" s="46"/>
      <c r="O6" s="54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9"/>
    </row>
    <row r="8" spans="1:26" x14ac:dyDescent="0.25">
      <c r="B8" s="59"/>
    </row>
    <row r="9" spans="1:26" x14ac:dyDescent="0.25">
      <c r="B9" s="9"/>
      <c r="C9" s="9"/>
      <c r="D9" s="16" t="s">
        <v>291</v>
      </c>
      <c r="E9" s="16"/>
      <c r="F9" s="39"/>
      <c r="G9" s="16"/>
      <c r="H9" s="16"/>
      <c r="I9" s="16"/>
      <c r="J9" s="49"/>
      <c r="K9" s="16"/>
      <c r="L9" s="16"/>
      <c r="M9" s="16"/>
      <c r="N9" s="39"/>
      <c r="P9" s="16" t="s">
        <v>39</v>
      </c>
      <c r="Q9" s="16"/>
      <c r="R9" s="39"/>
      <c r="S9" s="16"/>
      <c r="T9" s="16"/>
      <c r="U9" s="16"/>
      <c r="V9" s="49"/>
      <c r="W9" s="16"/>
      <c r="X9" s="16"/>
      <c r="Y9" s="16"/>
      <c r="Z9" s="39"/>
    </row>
    <row r="10" spans="1:26" x14ac:dyDescent="0.25">
      <c r="A10" s="11"/>
      <c r="B10" s="58"/>
      <c r="C10" s="11"/>
      <c r="D10" s="42" t="s">
        <v>57</v>
      </c>
      <c r="E10" s="36"/>
      <c r="F10" s="30" t="s">
        <v>40</v>
      </c>
      <c r="G10" s="36"/>
      <c r="H10" s="50" t="s">
        <v>237</v>
      </c>
      <c r="I10" s="36"/>
      <c r="J10" s="30" t="s">
        <v>40</v>
      </c>
      <c r="K10" s="11"/>
      <c r="L10" s="42" t="s">
        <v>126</v>
      </c>
      <c r="M10" s="11"/>
      <c r="N10" s="30" t="s">
        <v>257</v>
      </c>
      <c r="O10" s="11"/>
      <c r="P10" s="61" t="s">
        <v>57</v>
      </c>
      <c r="Q10" s="36"/>
      <c r="R10" s="30" t="s">
        <v>40</v>
      </c>
      <c r="S10" s="36"/>
      <c r="T10" s="50" t="s">
        <v>237</v>
      </c>
      <c r="U10" s="36"/>
      <c r="V10" s="30" t="s">
        <v>40</v>
      </c>
      <c r="W10" s="11"/>
      <c r="X10" s="42" t="s">
        <v>126</v>
      </c>
      <c r="Y10" s="11"/>
      <c r="Z10" s="30" t="s">
        <v>257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4" customFormat="1" collapsed="1" x14ac:dyDescent="0.25">
      <c r="A12" s="11"/>
      <c r="B12" s="29" t="s">
        <v>139</v>
      </c>
      <c r="C12" s="11"/>
      <c r="D12" s="4" t="e">
        <f ca="1">SUM(_xll.OneStop.ReportPlayer.OSRFunctions.OSRRef(D13))</f>
        <v>#NAME?</v>
      </c>
      <c r="E12" s="4"/>
      <c r="F12" s="13"/>
      <c r="G12" s="4"/>
      <c r="H12" s="4" t="e">
        <f ca="1">SUM(_xll.OneStop.ReportPlayer.OSRFunctions.OSRRef(H13))</f>
        <v>#NAME?</v>
      </c>
      <c r="I12" s="4"/>
      <c r="J12" s="13"/>
      <c r="K12" s="4"/>
      <c r="L12" s="4" t="e">
        <f t="shared" ref="L12:L13" ca="1" si="0">+D12-H12</f>
        <v>#NAME?</v>
      </c>
      <c r="M12" s="4"/>
      <c r="N12" s="13" t="e">
        <f t="shared" ref="N12:N13" ca="1" si="1">IF(H12=0,0,L12/H12)</f>
        <v>#NAME?</v>
      </c>
      <c r="O12" s="11"/>
      <c r="P12" s="4" t="e">
        <f ca="1">SUM(_xll.OneStop.ReportPlayer.OSRFunctions.OSRRef(P13))</f>
        <v>#NAME?</v>
      </c>
      <c r="Q12" s="4"/>
      <c r="R12" s="13"/>
      <c r="S12" s="4"/>
      <c r="T12" s="4" t="e">
        <f ca="1">SUM(_xll.OneStop.ReportPlayer.OSRFunctions.OSRRef(T13))</f>
        <v>#NAME?</v>
      </c>
      <c r="U12" s="4"/>
      <c r="V12" s="13"/>
      <c r="W12" s="4"/>
      <c r="X12" s="4" t="e">
        <f t="shared" ref="X12:X13" ca="1" si="2">+P12-T12</f>
        <v>#NAME?</v>
      </c>
      <c r="Y12" s="4"/>
      <c r="Z12" s="13" t="e">
        <f t="shared" ref="Z12:Z13" ca="1" si="3">IF(T12=0,0,X12/T12)</f>
        <v>#NAME?</v>
      </c>
    </row>
    <row r="13" spans="1:26" s="23" customFormat="1" hidden="1" outlineLevel="1" x14ac:dyDescent="0.25">
      <c r="A13" s="44"/>
      <c r="B13" s="10" t="e">
        <f ca="1">CONCATENATE("          ", _xll.OneStop.ReportPlayer.OSRFunctions.OSRGet("d_Account","Code"), " - ", _xll.OneStop.ReportPlayer.OSRFunctions.OSRGet("d_Account","Description"))</f>
        <v>#NAME?</v>
      </c>
      <c r="C13" s="10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0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1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4" customFormat="1" collapsed="1" x14ac:dyDescent="0.25">
      <c r="A15" s="11"/>
      <c r="B15" s="29" t="s">
        <v>256</v>
      </c>
      <c r="C15" s="11"/>
      <c r="D15" s="4" t="e">
        <f ca="1">SUM(_xll.OneStop.ReportPlayer.OSRFunctions.OSRRef(D16))</f>
        <v>#NAME?</v>
      </c>
      <c r="E15" s="4"/>
      <c r="F15" s="13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3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3" t="e">
        <f t="shared" ref="N15:N16" ca="1" si="7">IF(H15=0,0,L15/H15)</f>
        <v>#NAME?</v>
      </c>
      <c r="O15" s="11"/>
      <c r="P15" s="4" t="e">
        <f ca="1">SUM(_xll.OneStop.ReportPlayer.OSRFunctions.OSRRef(P16))</f>
        <v>#NAME?</v>
      </c>
      <c r="Q15" s="4"/>
      <c r="R15" s="13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3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3" t="e">
        <f t="shared" ref="Z15:Z16" ca="1" si="11">IF(T15=0,0,X15/T15)</f>
        <v>#NAME?</v>
      </c>
    </row>
    <row r="16" spans="1:26" s="23" customFormat="1" hidden="1" outlineLevel="1" x14ac:dyDescent="0.25">
      <c r="A16" s="44"/>
      <c r="B16" s="10" t="e">
        <f ca="1">CONCATENATE("          ", _xll.OneStop.ReportPlayer.OSRFunctions.OSRGet("d_Account","Code"), " - ", _xll.OneStop.ReportPlayer.OSRFunctions.OSRGet("d_Account","Description"))</f>
        <v>#NAME?</v>
      </c>
      <c r="C16" s="10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0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1"/>
      <c r="C17" s="11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1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4" customFormat="1" x14ac:dyDescent="0.25">
      <c r="A18" s="11"/>
      <c r="B18" s="28" t="s">
        <v>107</v>
      </c>
      <c r="C18" s="28"/>
      <c r="D18" s="21" t="e">
        <f ca="1">D12-D15</f>
        <v>#NAME?</v>
      </c>
      <c r="E18" s="14"/>
      <c r="F18" s="22" t="e">
        <f ca="1">IF(D$12=0,0,D18/D$12)</f>
        <v>#NAME?</v>
      </c>
      <c r="G18" s="14"/>
      <c r="H18" s="21" t="e">
        <f ca="1">H12-H15</f>
        <v>#NAME?</v>
      </c>
      <c r="I18" s="14"/>
      <c r="J18" s="22" t="e">
        <f ca="1">IF(H$12=0,0,H18/H$12)</f>
        <v>#NAME?</v>
      </c>
      <c r="K18" s="15"/>
      <c r="L18" s="21" t="e">
        <f ca="1">+D18-H18</f>
        <v>#NAME?</v>
      </c>
      <c r="M18" s="15"/>
      <c r="N18" s="22" t="e">
        <f ca="1">IF(H18=0,0,L18/H18)</f>
        <v>#NAME?</v>
      </c>
      <c r="O18" s="29"/>
      <c r="P18" s="21" t="e">
        <f ca="1">P12-P15</f>
        <v>#NAME?</v>
      </c>
      <c r="Q18" s="14"/>
      <c r="R18" s="22" t="e">
        <f ca="1">IF(P$12=0,0,P18/P$12)</f>
        <v>#NAME?</v>
      </c>
      <c r="S18" s="14"/>
      <c r="T18" s="21" t="e">
        <f ca="1">T12-T15</f>
        <v>#NAME?</v>
      </c>
      <c r="U18" s="14"/>
      <c r="V18" s="22" t="e">
        <f ca="1">IF(T$12=0,0,T18/T$12)</f>
        <v>#NAME?</v>
      </c>
      <c r="W18" s="15"/>
      <c r="X18" s="21" t="e">
        <f ca="1">+P18-T18</f>
        <v>#NAME?</v>
      </c>
      <c r="Y18" s="15"/>
      <c r="Z18" s="22" t="e">
        <f ca="1">IF(T18=0,0,X18/T18)</f>
        <v>#NAME?</v>
      </c>
    </row>
    <row r="19" spans="1:26" x14ac:dyDescent="0.25">
      <c r="A19" s="9"/>
      <c r="B19" s="11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4" customFormat="1" x14ac:dyDescent="0.25">
      <c r="A20" s="11"/>
      <c r="B20" s="29" t="s">
        <v>294</v>
      </c>
      <c r="C20" s="11"/>
      <c r="D20" s="20" t="e">
        <f ca="1">SUM(_xll.OneStop.ReportPlayer.OSRFunctions.OSRRef(D22))</f>
        <v>#NAME?</v>
      </c>
      <c r="E20" s="20"/>
      <c r="F20" s="32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2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2" t="e">
        <f t="shared" ref="N20:N22" ca="1" si="15">IF(H20=0,0,L20/H20)</f>
        <v>#NAME?</v>
      </c>
      <c r="O20" s="11"/>
      <c r="P20" s="20" t="e">
        <f ca="1">SUM(_xll.OneStop.ReportPlayer.OSRFunctions.OSRRef(P22))</f>
        <v>#NAME?</v>
      </c>
      <c r="Q20" s="20"/>
      <c r="R20" s="32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2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2" t="e">
        <f t="shared" ref="Z20:Z22" ca="1" si="19">IF(T20=0,0,X20/T20)</f>
        <v>#NAME?</v>
      </c>
    </row>
    <row r="21" spans="1:26" s="27" customFormat="1" outlineLevel="1" collapsed="1" x14ac:dyDescent="0.25">
      <c r="A21" s="26"/>
      <c r="B21" s="12" t="e">
        <f ca="1">CONCATENATE("     ",_xll.OneStop.ReportPlayer.OSRFunctions.OSRGet("d_Account","AccountCategory"))</f>
        <v>#NAME?</v>
      </c>
      <c r="C21" s="12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2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3" customFormat="1" hidden="1" outlineLevel="2" x14ac:dyDescent="0.25">
      <c r="A22" s="25"/>
      <c r="B22" s="10" t="e">
        <f ca="1">CONCATENATE("          ", _xll.OneStop.ReportPlayer.OSRFunctions.OSRGet("d_Account","Code"), " - ", _xll.OneStop.ReportPlayer.OSRFunctions.OSRGet("d_Account","Description"))</f>
        <v>#NAME?</v>
      </c>
      <c r="C22" s="10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0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2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4" customFormat="1" collapsed="1" x14ac:dyDescent="0.25">
      <c r="A24" s="11"/>
      <c r="B24" s="29" t="s">
        <v>292</v>
      </c>
      <c r="C24" s="11"/>
      <c r="D24" s="4" t="e">
        <f ca="1">SUM(_xll.OneStop.ReportPlayer.OSRFunctions.OSRRef(D25))</f>
        <v>#NAME?</v>
      </c>
      <c r="E24" s="4"/>
      <c r="F24" s="13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3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3" t="e">
        <f t="shared" ref="N24:N25" ca="1" si="23">IF(H24=0,0,L24/H24)</f>
        <v>#NAME?</v>
      </c>
      <c r="O24" s="11"/>
      <c r="P24" s="4" t="e">
        <f ca="1">SUM(_xll.OneStop.ReportPlayer.OSRFunctions.OSRRef(P25))</f>
        <v>#NAME?</v>
      </c>
      <c r="Q24" s="4"/>
      <c r="R24" s="13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3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3" t="e">
        <f t="shared" ref="Z24:Z25" ca="1" si="27">IF(T24=0,0,X24/T24)</f>
        <v>#NAME?</v>
      </c>
    </row>
    <row r="25" spans="1:26" s="23" customFormat="1" hidden="1" outlineLevel="1" x14ac:dyDescent="0.25">
      <c r="A25" s="44"/>
      <c r="B25" s="10" t="e">
        <f ca="1">CONCATENATE("          ", _xll.OneStop.ReportPlayer.OSRFunctions.OSRGet("d_Account","Code"), " - ", _xll.OneStop.ReportPlayer.OSRFunctions.OSRGet("d_Account","Description"))</f>
        <v>#NAME?</v>
      </c>
      <c r="C25" s="10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0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1"/>
      <c r="C26" s="11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1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4" customFormat="1" x14ac:dyDescent="0.25">
      <c r="A27" s="11"/>
      <c r="B27" s="28" t="s">
        <v>276</v>
      </c>
      <c r="C27" s="28"/>
      <c r="D27" s="21" t="e">
        <f ca="1">+D18-D20+D24</f>
        <v>#NAME?</v>
      </c>
      <c r="E27" s="14"/>
      <c r="F27" s="22" t="e">
        <f ca="1">IF(D$12=0,0,D27/D$12)</f>
        <v>#NAME?</v>
      </c>
      <c r="G27" s="14"/>
      <c r="H27" s="21" t="e">
        <f ca="1">+H18-H20+H24</f>
        <v>#NAME?</v>
      </c>
      <c r="I27" s="14"/>
      <c r="J27" s="22" t="e">
        <f ca="1">IF(H$12=0,0,H27/H$12)</f>
        <v>#NAME?</v>
      </c>
      <c r="K27" s="15"/>
      <c r="L27" s="21" t="e">
        <f ca="1">+D27-H27</f>
        <v>#NAME?</v>
      </c>
      <c r="M27" s="15"/>
      <c r="N27" s="22" t="e">
        <f ca="1">IF(H27=0,0,L27/H27)</f>
        <v>#NAME?</v>
      </c>
      <c r="O27" s="29"/>
      <c r="P27" s="21" t="e">
        <f ca="1">+P18-P20+P24</f>
        <v>#NAME?</v>
      </c>
      <c r="Q27" s="14"/>
      <c r="R27" s="22" t="e">
        <f ca="1">IF(P$12=0,0,P27/P$12)</f>
        <v>#NAME?</v>
      </c>
      <c r="S27" s="14"/>
      <c r="T27" s="21" t="e">
        <f ca="1">+T18-T20+T24</f>
        <v>#NAME?</v>
      </c>
      <c r="U27" s="14"/>
      <c r="V27" s="22" t="e">
        <f ca="1">IF(T$12=0,0,T27/T$12)</f>
        <v>#NAME?</v>
      </c>
      <c r="W27" s="15"/>
      <c r="X27" s="21" t="e">
        <f ca="1">+P27-T27</f>
        <v>#NAME?</v>
      </c>
      <c r="Y27" s="15"/>
      <c r="Z27" s="22" t="e">
        <f ca="1">IF(T27=0,0,X27/T27)</f>
        <v>#NAME?</v>
      </c>
    </row>
    <row r="28" spans="1:26" x14ac:dyDescent="0.25">
      <c r="A28" s="9"/>
      <c r="B28" s="11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4" customFormat="1" x14ac:dyDescent="0.25">
      <c r="A29" s="51"/>
      <c r="B29" s="11" t="s">
        <v>127</v>
      </c>
      <c r="C29" s="11"/>
      <c r="D29" s="4" t="e">
        <f ca="1">_xll.OneStop.ReportPlayer.OSRFunctions.OSRGet("GL_F_Trans","Value1")</f>
        <v>#NAME?</v>
      </c>
      <c r="E29" s="4"/>
      <c r="F29" s="13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3" t="e">
        <f ca="1">IF(H$12=0,0,H29/H$12)</f>
        <v>#NAME?</v>
      </c>
      <c r="K29" s="4"/>
      <c r="L29" s="4" t="e">
        <f ca="1">+D29-H29</f>
        <v>#NAME?</v>
      </c>
      <c r="M29" s="4"/>
      <c r="N29" s="13" t="e">
        <f ca="1">IF(H29=0,0,L29/H29)</f>
        <v>#NAME?</v>
      </c>
      <c r="O29" s="11"/>
      <c r="P29" s="4" t="e">
        <f ca="1">_xll.OneStop.ReportPlayer.OSRFunctions.OSRGet("GL_F_Trans","Value1")</f>
        <v>#NAME?</v>
      </c>
      <c r="Q29" s="4"/>
      <c r="R29" s="13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3" t="e">
        <f ca="1">IF(T$12=0,0,T29/T$12)</f>
        <v>#NAME?</v>
      </c>
      <c r="W29" s="4"/>
      <c r="X29" s="4" t="e">
        <f ca="1">+P29-T29</f>
        <v>#NAME?</v>
      </c>
      <c r="Y29" s="4"/>
      <c r="Z29" s="13" t="e">
        <f ca="1">IF(T29=0,0,X29/T29)</f>
        <v>#NAME?</v>
      </c>
    </row>
    <row r="30" spans="1:26" x14ac:dyDescent="0.25">
      <c r="A30" s="9"/>
      <c r="B30" s="11"/>
      <c r="C30" s="11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1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4" customFormat="1" ht="15.75" thickBot="1" x14ac:dyDescent="0.3">
      <c r="A31" s="11"/>
      <c r="B31" s="28" t="s">
        <v>125</v>
      </c>
      <c r="C31" s="28"/>
      <c r="D31" s="34" t="e">
        <f ca="1">+D27-D29</f>
        <v>#NAME?</v>
      </c>
      <c r="E31" s="14"/>
      <c r="F31" s="31" t="e">
        <f ca="1">IF(D$12=0,0,D31/D$12)</f>
        <v>#NAME?</v>
      </c>
      <c r="G31" s="14"/>
      <c r="H31" s="34" t="e">
        <f ca="1">+H27-H29</f>
        <v>#NAME?</v>
      </c>
      <c r="I31" s="14"/>
      <c r="J31" s="31" t="e">
        <f ca="1">IF(H$12=0,0,H31/H$12)</f>
        <v>#NAME?</v>
      </c>
      <c r="K31" s="15"/>
      <c r="L31" s="34" t="e">
        <f ca="1">D31-H31</f>
        <v>#NAME?</v>
      </c>
      <c r="M31" s="15"/>
      <c r="N31" s="31" t="e">
        <f ca="1">IF(H31=0,0,L31/H31)</f>
        <v>#NAME?</v>
      </c>
      <c r="O31" s="29"/>
      <c r="P31" s="34" t="e">
        <f ca="1">+P27-P29</f>
        <v>#NAME?</v>
      </c>
      <c r="Q31" s="14"/>
      <c r="R31" s="31" t="e">
        <f ca="1">IF(P$12=0,0,P31/P$12)</f>
        <v>#NAME?</v>
      </c>
      <c r="S31" s="14"/>
      <c r="T31" s="34" t="e">
        <f ca="1">+T27-T29</f>
        <v>#NAME?</v>
      </c>
      <c r="U31" s="14"/>
      <c r="V31" s="31" t="e">
        <f ca="1">IF(T$12=0,0,T31/T$12)</f>
        <v>#NAME?</v>
      </c>
      <c r="W31" s="15"/>
      <c r="X31" s="34" t="e">
        <f ca="1">P31-T31</f>
        <v>#NAME?</v>
      </c>
      <c r="Y31" s="15"/>
      <c r="Z31" s="31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4" customFormat="1" x14ac:dyDescent="0.25">
      <c r="A33" s="51"/>
      <c r="B33" s="11" t="s">
        <v>183</v>
      </c>
      <c r="C33" s="11"/>
      <c r="D33" s="4" t="e">
        <f ca="1">-_xll.OneStop.ReportPlayer.OSRFunctions.OSRGet("GL_F_Trans","Value1")</f>
        <v>#NAME?</v>
      </c>
      <c r="E33" s="4"/>
      <c r="F33" s="13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3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3" t="e">
        <f t="shared" ref="N33:N34" ca="1" si="31">IF(H33=0,0,L33/H33)</f>
        <v>#NAME?</v>
      </c>
      <c r="O33" s="11"/>
      <c r="P33" s="4" t="e">
        <f ca="1">-_xll.OneStop.ReportPlayer.OSRFunctions.OSRGet("GL_F_Trans","Value1")</f>
        <v>#NAME?</v>
      </c>
      <c r="Q33" s="4"/>
      <c r="R33" s="13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3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3" t="e">
        <f t="shared" ref="Z33:Z34" ca="1" si="35">IF(T33=0,0,X33/T33)</f>
        <v>#NAME?</v>
      </c>
    </row>
    <row r="34" spans="1:26" s="24" customFormat="1" x14ac:dyDescent="0.25">
      <c r="A34" s="51"/>
      <c r="B34" s="11" t="s">
        <v>81</v>
      </c>
      <c r="C34" s="11"/>
      <c r="D34" s="4" t="e">
        <f ca="1">-_xll.OneStop.ReportPlayer.OSRFunctions.OSRGet("GL_F_Trans","Value1")</f>
        <v>#NAME?</v>
      </c>
      <c r="E34" s="4"/>
      <c r="F34" s="13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3" t="e">
        <f t="shared" ca="1" si="29"/>
        <v>#NAME?</v>
      </c>
      <c r="K34" s="4"/>
      <c r="L34" s="4" t="e">
        <f t="shared" ca="1" si="30"/>
        <v>#NAME?</v>
      </c>
      <c r="M34" s="4"/>
      <c r="N34" s="13" t="e">
        <f t="shared" ca="1" si="31"/>
        <v>#NAME?</v>
      </c>
      <c r="O34" s="11"/>
      <c r="P34" s="4" t="e">
        <f ca="1">-_xll.OneStop.ReportPlayer.OSRFunctions.OSRGet("GL_F_Trans","Value1")</f>
        <v>#NAME?</v>
      </c>
      <c r="Q34" s="4"/>
      <c r="R34" s="13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3" t="e">
        <f t="shared" ca="1" si="33"/>
        <v>#NAME?</v>
      </c>
      <c r="W34" s="4"/>
      <c r="X34" s="4" t="e">
        <f t="shared" ca="1" si="34"/>
        <v>#NAME?</v>
      </c>
      <c r="Y34" s="4"/>
      <c r="Z34" s="13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4" customFormat="1" ht="15.75" thickBot="1" x14ac:dyDescent="0.3">
      <c r="A36" s="11"/>
      <c r="B36" s="28" t="s">
        <v>293</v>
      </c>
      <c r="C36" s="28"/>
      <c r="D36" s="33" t="e">
        <f ca="1">SUM(D31:D35)</f>
        <v>#NAME?</v>
      </c>
      <c r="E36" s="14"/>
      <c r="F36" s="35" t="e">
        <f ca="1">IF(D$12=0,0,D36/D$12)</f>
        <v>#NAME?</v>
      </c>
      <c r="G36" s="14"/>
      <c r="H36" s="33" t="e">
        <f ca="1">SUM(H31:H35)</f>
        <v>#NAME?</v>
      </c>
      <c r="I36" s="14"/>
      <c r="J36" s="35" t="e">
        <f ca="1">IF(H$12=0,0,H36/H$12)</f>
        <v>#NAME?</v>
      </c>
      <c r="K36" s="15"/>
      <c r="L36" s="33" t="e">
        <f ca="1">+D36-H36</f>
        <v>#NAME?</v>
      </c>
      <c r="M36" s="15"/>
      <c r="N36" s="35" t="e">
        <f ca="1">IF(H36=0,0,L36/H36)</f>
        <v>#NAME?</v>
      </c>
      <c r="O36" s="29"/>
      <c r="P36" s="33" t="e">
        <f ca="1">SUM(P31:P35)</f>
        <v>#NAME?</v>
      </c>
      <c r="Q36" s="14"/>
      <c r="R36" s="35" t="e">
        <f ca="1">IF(P$12=0,0,P36/P$12)</f>
        <v>#NAME?</v>
      </c>
      <c r="S36" s="14"/>
      <c r="T36" s="33" t="e">
        <f ca="1">SUM(T31:T35)</f>
        <v>#NAME?</v>
      </c>
      <c r="U36" s="14"/>
      <c r="V36" s="35" t="e">
        <f ca="1">IF(T$12=0,0,T36/T$12)</f>
        <v>#NAME?</v>
      </c>
      <c r="W36" s="15"/>
      <c r="X36" s="33" t="e">
        <f ca="1">+P36-T36</f>
        <v>#NAME?</v>
      </c>
      <c r="Y36" s="15"/>
      <c r="Z36" s="35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56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55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60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62" t="s">
        <v>23</v>
      </c>
    </row>
    <row r="3" spans="1:26" x14ac:dyDescent="0.25">
      <c r="D3" s="62" t="s">
        <v>236</v>
      </c>
      <c r="E3" s="17"/>
      <c r="F3" s="46"/>
      <c r="G3" s="17"/>
      <c r="H3" s="17"/>
      <c r="I3" s="17"/>
      <c r="J3" s="38"/>
      <c r="K3" s="17"/>
      <c r="L3" s="17"/>
      <c r="M3" s="17"/>
      <c r="N3" s="46"/>
      <c r="O3" s="53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2" t="e">
        <f ca="1">CONCATENATE("Period ",RIGHT(_xll.OneStop.ReportPlayer.OSRFunctions.OSRGet("Period","PeriodId"),2),", ",_xll.OneStop.ReportPlayer.OSRFunctions.OSRGet("Period","Year"))</f>
        <v>#NAME?</v>
      </c>
      <c r="E4" s="17"/>
      <c r="F4" s="46"/>
      <c r="G4" s="17"/>
      <c r="H4" s="17"/>
      <c r="I4" s="17"/>
      <c r="J4" s="38"/>
      <c r="K4" s="17"/>
      <c r="L4" s="17"/>
      <c r="M4" s="17"/>
      <c r="N4" s="46"/>
      <c r="O4" s="53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4"/>
      <c r="D5" s="64" t="e">
        <f ca="1">_xll.OneStop.ReportPlayer.OSRFunctions.OSRGet("Period","PeriodEnd")</f>
        <v>#NAME?</v>
      </c>
      <c r="E5" s="17"/>
      <c r="F5" s="46"/>
      <c r="G5" s="17"/>
      <c r="H5" s="17"/>
      <c r="I5" s="17"/>
      <c r="J5" s="38"/>
      <c r="K5" s="17"/>
      <c r="L5" s="17"/>
      <c r="M5" s="17"/>
      <c r="N5" s="46"/>
      <c r="O5" s="53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4"/>
      <c r="B6" s="48"/>
      <c r="C6" s="48"/>
      <c r="D6" s="24" t="s">
        <v>106</v>
      </c>
      <c r="E6" s="17"/>
      <c r="F6" s="46"/>
      <c r="G6" s="17"/>
      <c r="H6" s="17"/>
      <c r="I6" s="17"/>
      <c r="J6" s="38"/>
      <c r="K6" s="17"/>
      <c r="L6" s="17"/>
      <c r="M6" s="17"/>
      <c r="N6" s="46"/>
      <c r="O6" s="54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9"/>
    </row>
    <row r="8" spans="1:26" x14ac:dyDescent="0.25">
      <c r="B8" s="59"/>
    </row>
    <row r="9" spans="1:26" x14ac:dyDescent="0.25">
      <c r="B9" s="9"/>
      <c r="C9" s="9"/>
      <c r="D9" s="16" t="s">
        <v>291</v>
      </c>
      <c r="E9" s="16"/>
      <c r="F9" s="39"/>
      <c r="G9" s="16"/>
      <c r="H9" s="16"/>
      <c r="I9" s="16"/>
      <c r="J9" s="49"/>
      <c r="K9" s="16"/>
      <c r="L9" s="16"/>
      <c r="M9" s="16"/>
      <c r="N9" s="39"/>
      <c r="P9" s="16" t="s">
        <v>39</v>
      </c>
      <c r="Q9" s="16"/>
      <c r="R9" s="39"/>
      <c r="S9" s="16"/>
      <c r="T9" s="16"/>
      <c r="U9" s="16"/>
      <c r="V9" s="49"/>
      <c r="W9" s="16"/>
      <c r="X9" s="16"/>
      <c r="Y9" s="16"/>
      <c r="Z9" s="39"/>
    </row>
    <row r="10" spans="1:26" x14ac:dyDescent="0.25">
      <c r="A10" s="11"/>
      <c r="B10" s="58"/>
      <c r="C10" s="11"/>
      <c r="D10" s="42" t="s">
        <v>57</v>
      </c>
      <c r="E10" s="36"/>
      <c r="F10" s="30" t="s">
        <v>40</v>
      </c>
      <c r="G10" s="36"/>
      <c r="H10" s="50" t="s">
        <v>237</v>
      </c>
      <c r="I10" s="36"/>
      <c r="J10" s="30" t="s">
        <v>40</v>
      </c>
      <c r="K10" s="11"/>
      <c r="L10" s="42" t="s">
        <v>126</v>
      </c>
      <c r="M10" s="11"/>
      <c r="N10" s="30" t="s">
        <v>257</v>
      </c>
      <c r="O10" s="11"/>
      <c r="P10" s="61" t="s">
        <v>57</v>
      </c>
      <c r="Q10" s="36"/>
      <c r="R10" s="30" t="s">
        <v>40</v>
      </c>
      <c r="S10" s="36"/>
      <c r="T10" s="50" t="s">
        <v>237</v>
      </c>
      <c r="U10" s="36"/>
      <c r="V10" s="30" t="s">
        <v>40</v>
      </c>
      <c r="W10" s="11"/>
      <c r="X10" s="42" t="s">
        <v>126</v>
      </c>
      <c r="Y10" s="11"/>
      <c r="Z10" s="30" t="s">
        <v>257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4" customFormat="1" collapsed="1" x14ac:dyDescent="0.25">
      <c r="A12" s="11"/>
      <c r="B12" s="29" t="s">
        <v>139</v>
      </c>
      <c r="C12" s="11"/>
      <c r="D12" s="4" t="e">
        <f ca="1">SUM(_xll.OneStop.ReportPlayer.OSRFunctions.OSRRef(D13))</f>
        <v>#NAME?</v>
      </c>
      <c r="E12" s="4"/>
      <c r="F12" s="13"/>
      <c r="G12" s="4"/>
      <c r="H12" s="4" t="e">
        <f ca="1">SUM(_xll.OneStop.ReportPlayer.OSRFunctions.OSRRef(H13))</f>
        <v>#NAME?</v>
      </c>
      <c r="I12" s="4"/>
      <c r="J12" s="13"/>
      <c r="K12" s="4"/>
      <c r="L12" s="4" t="e">
        <f t="shared" ref="L12:L13" ca="1" si="0">+D12-H12</f>
        <v>#NAME?</v>
      </c>
      <c r="M12" s="4"/>
      <c r="N12" s="13" t="e">
        <f t="shared" ref="N12:N13" ca="1" si="1">IF(H12=0,0,L12/H12)</f>
        <v>#NAME?</v>
      </c>
      <c r="O12" s="11"/>
      <c r="P12" s="4" t="e">
        <f ca="1">SUM(_xll.OneStop.ReportPlayer.OSRFunctions.OSRRef(P13))</f>
        <v>#NAME?</v>
      </c>
      <c r="Q12" s="4"/>
      <c r="R12" s="13"/>
      <c r="S12" s="4"/>
      <c r="T12" s="4" t="e">
        <f ca="1">SUM(_xll.OneStop.ReportPlayer.OSRFunctions.OSRRef(T13))</f>
        <v>#NAME?</v>
      </c>
      <c r="U12" s="4"/>
      <c r="V12" s="13"/>
      <c r="W12" s="4"/>
      <c r="X12" s="4" t="e">
        <f t="shared" ref="X12:X13" ca="1" si="2">+P12-T12</f>
        <v>#NAME?</v>
      </c>
      <c r="Y12" s="4"/>
      <c r="Z12" s="13" t="e">
        <f t="shared" ref="Z12:Z13" ca="1" si="3">IF(T12=0,0,X12/T12)</f>
        <v>#NAME?</v>
      </c>
    </row>
    <row r="13" spans="1:26" s="23" customFormat="1" hidden="1" outlineLevel="1" x14ac:dyDescent="0.25">
      <c r="A13" s="44"/>
      <c r="B13" s="10" t="e">
        <f ca="1">CONCATENATE("          ", _xll.OneStop.ReportPlayer.OSRFunctions.OSRGet("d_Account","Code"), " - ", _xll.OneStop.ReportPlayer.OSRFunctions.OSRGet("d_Account","Description"))</f>
        <v>#NAME?</v>
      </c>
      <c r="C13" s="10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0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1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4" customFormat="1" collapsed="1" x14ac:dyDescent="0.25">
      <c r="A15" s="11"/>
      <c r="B15" s="29" t="s">
        <v>256</v>
      </c>
      <c r="C15" s="11"/>
      <c r="D15" s="4" t="e">
        <f ca="1">SUM(_xll.OneStop.ReportPlayer.OSRFunctions.OSRRef(D16))</f>
        <v>#NAME?</v>
      </c>
      <c r="E15" s="4"/>
      <c r="F15" s="13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3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3" t="e">
        <f t="shared" ref="N15:N16" ca="1" si="7">IF(H15=0,0,L15/H15)</f>
        <v>#NAME?</v>
      </c>
      <c r="O15" s="11"/>
      <c r="P15" s="4" t="e">
        <f ca="1">SUM(_xll.OneStop.ReportPlayer.OSRFunctions.OSRRef(P16))</f>
        <v>#NAME?</v>
      </c>
      <c r="Q15" s="4"/>
      <c r="R15" s="13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3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3" t="e">
        <f t="shared" ref="Z15:Z16" ca="1" si="11">IF(T15=0,0,X15/T15)</f>
        <v>#NAME?</v>
      </c>
    </row>
    <row r="16" spans="1:26" s="23" customFormat="1" hidden="1" outlineLevel="1" x14ac:dyDescent="0.25">
      <c r="A16" s="44"/>
      <c r="B16" s="10" t="e">
        <f ca="1">CONCATENATE("          ", _xll.OneStop.ReportPlayer.OSRFunctions.OSRGet("d_Account","Code"), " - ", _xll.OneStop.ReportPlayer.OSRFunctions.OSRGet("d_Account","Description"))</f>
        <v>#NAME?</v>
      </c>
      <c r="C16" s="10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0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1"/>
      <c r="C17" s="11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1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4" customFormat="1" x14ac:dyDescent="0.25">
      <c r="A18" s="11"/>
      <c r="B18" s="28" t="s">
        <v>107</v>
      </c>
      <c r="C18" s="28"/>
      <c r="D18" s="21" t="e">
        <f ca="1">D12-D15</f>
        <v>#NAME?</v>
      </c>
      <c r="E18" s="14"/>
      <c r="F18" s="22" t="e">
        <f ca="1">IF(D$12=0,0,D18/D$12)</f>
        <v>#NAME?</v>
      </c>
      <c r="G18" s="14"/>
      <c r="H18" s="21" t="e">
        <f ca="1">H12-H15</f>
        <v>#NAME?</v>
      </c>
      <c r="I18" s="14"/>
      <c r="J18" s="22" t="e">
        <f ca="1">IF(H$12=0,0,H18/H$12)</f>
        <v>#NAME?</v>
      </c>
      <c r="K18" s="15"/>
      <c r="L18" s="21" t="e">
        <f ca="1">+D18-H18</f>
        <v>#NAME?</v>
      </c>
      <c r="M18" s="15"/>
      <c r="N18" s="22" t="e">
        <f ca="1">IF(H18=0,0,L18/H18)</f>
        <v>#NAME?</v>
      </c>
      <c r="O18" s="29"/>
      <c r="P18" s="21" t="e">
        <f ca="1">P12-P15</f>
        <v>#NAME?</v>
      </c>
      <c r="Q18" s="14"/>
      <c r="R18" s="22" t="e">
        <f ca="1">IF(P$12=0,0,P18/P$12)</f>
        <v>#NAME?</v>
      </c>
      <c r="S18" s="14"/>
      <c r="T18" s="21" t="e">
        <f ca="1">T12-T15</f>
        <v>#NAME?</v>
      </c>
      <c r="U18" s="14"/>
      <c r="V18" s="22" t="e">
        <f ca="1">IF(T$12=0,0,T18/T$12)</f>
        <v>#NAME?</v>
      </c>
      <c r="W18" s="15"/>
      <c r="X18" s="21" t="e">
        <f ca="1">+P18-T18</f>
        <v>#NAME?</v>
      </c>
      <c r="Y18" s="15"/>
      <c r="Z18" s="22" t="e">
        <f ca="1">IF(T18=0,0,X18/T18)</f>
        <v>#NAME?</v>
      </c>
    </row>
    <row r="19" spans="1:26" x14ac:dyDescent="0.25">
      <c r="A19" s="9"/>
      <c r="B19" s="11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4" customFormat="1" x14ac:dyDescent="0.25">
      <c r="A20" s="11"/>
      <c r="B20" s="29" t="s">
        <v>294</v>
      </c>
      <c r="C20" s="11"/>
      <c r="D20" s="20" t="e">
        <f ca="1">SUM(_xll.OneStop.ReportPlayer.OSRFunctions.OSRRef(D22))</f>
        <v>#NAME?</v>
      </c>
      <c r="E20" s="20"/>
      <c r="F20" s="32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2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2" t="e">
        <f t="shared" ref="N20:N22" ca="1" si="15">IF(H20=0,0,L20/H20)</f>
        <v>#NAME?</v>
      </c>
      <c r="O20" s="11"/>
      <c r="P20" s="20" t="e">
        <f ca="1">SUM(_xll.OneStop.ReportPlayer.OSRFunctions.OSRRef(P22))</f>
        <v>#NAME?</v>
      </c>
      <c r="Q20" s="20"/>
      <c r="R20" s="32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2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2" t="e">
        <f t="shared" ref="Z20:Z22" ca="1" si="19">IF(T20=0,0,X20/T20)</f>
        <v>#NAME?</v>
      </c>
    </row>
    <row r="21" spans="1:26" s="27" customFormat="1" outlineLevel="1" collapsed="1" x14ac:dyDescent="0.25">
      <c r="A21" s="26"/>
      <c r="B21" s="12" t="e">
        <f ca="1">CONCATENATE("     ",_xll.OneStop.ReportPlayer.OSRFunctions.OSRGet("d_Account","AccountCategory"))</f>
        <v>#NAME?</v>
      </c>
      <c r="C21" s="12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2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3" customFormat="1" hidden="1" outlineLevel="2" x14ac:dyDescent="0.25">
      <c r="A22" s="25"/>
      <c r="B22" s="10" t="e">
        <f ca="1">CONCATENATE("          ", _xll.OneStop.ReportPlayer.OSRFunctions.OSRGet("d_Account","Code"), " - ", _xll.OneStop.ReportPlayer.OSRFunctions.OSRGet("d_Account","Description"))</f>
        <v>#NAME?</v>
      </c>
      <c r="C22" s="10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0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2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4" customFormat="1" collapsed="1" x14ac:dyDescent="0.25">
      <c r="A24" s="11"/>
      <c r="B24" s="29" t="s">
        <v>292</v>
      </c>
      <c r="C24" s="11"/>
      <c r="D24" s="4" t="e">
        <f ca="1">SUM(_xll.OneStop.ReportPlayer.OSRFunctions.OSRRef(D25))</f>
        <v>#NAME?</v>
      </c>
      <c r="E24" s="4"/>
      <c r="F24" s="13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3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3" t="e">
        <f t="shared" ref="N24:N25" ca="1" si="23">IF(H24=0,0,L24/H24)</f>
        <v>#NAME?</v>
      </c>
      <c r="O24" s="11"/>
      <c r="P24" s="4" t="e">
        <f ca="1">SUM(_xll.OneStop.ReportPlayer.OSRFunctions.OSRRef(P25))</f>
        <v>#NAME?</v>
      </c>
      <c r="Q24" s="4"/>
      <c r="R24" s="13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3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3" t="e">
        <f t="shared" ref="Z24:Z25" ca="1" si="27">IF(T24=0,0,X24/T24)</f>
        <v>#NAME?</v>
      </c>
    </row>
    <row r="25" spans="1:26" s="23" customFormat="1" hidden="1" outlineLevel="1" x14ac:dyDescent="0.25">
      <c r="A25" s="44"/>
      <c r="B25" s="10" t="e">
        <f ca="1">CONCATENATE("          ", _xll.OneStop.ReportPlayer.OSRFunctions.OSRGet("d_Account","Code"), " - ", _xll.OneStop.ReportPlayer.OSRFunctions.OSRGet("d_Account","Description"))</f>
        <v>#NAME?</v>
      </c>
      <c r="C25" s="10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0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1"/>
      <c r="C26" s="11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1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4" customFormat="1" x14ac:dyDescent="0.25">
      <c r="A27" s="11"/>
      <c r="B27" s="28" t="s">
        <v>276</v>
      </c>
      <c r="C27" s="28"/>
      <c r="D27" s="21" t="e">
        <f ca="1">+D18-D20+D24</f>
        <v>#NAME?</v>
      </c>
      <c r="E27" s="14"/>
      <c r="F27" s="22" t="e">
        <f ca="1">IF(D$12=0,0,D27/D$12)</f>
        <v>#NAME?</v>
      </c>
      <c r="G27" s="14"/>
      <c r="H27" s="21" t="e">
        <f ca="1">+H18-H20+H24</f>
        <v>#NAME?</v>
      </c>
      <c r="I27" s="14"/>
      <c r="J27" s="22" t="e">
        <f ca="1">IF(H$12=0,0,H27/H$12)</f>
        <v>#NAME?</v>
      </c>
      <c r="K27" s="15"/>
      <c r="L27" s="21" t="e">
        <f ca="1">+D27-H27</f>
        <v>#NAME?</v>
      </c>
      <c r="M27" s="15"/>
      <c r="N27" s="22" t="e">
        <f ca="1">IF(H27=0,0,L27/H27)</f>
        <v>#NAME?</v>
      </c>
      <c r="O27" s="29"/>
      <c r="P27" s="21" t="e">
        <f ca="1">+P18-P20+P24</f>
        <v>#NAME?</v>
      </c>
      <c r="Q27" s="14"/>
      <c r="R27" s="22" t="e">
        <f ca="1">IF(P$12=0,0,P27/P$12)</f>
        <v>#NAME?</v>
      </c>
      <c r="S27" s="14"/>
      <c r="T27" s="21" t="e">
        <f ca="1">+T18-T20+T24</f>
        <v>#NAME?</v>
      </c>
      <c r="U27" s="14"/>
      <c r="V27" s="22" t="e">
        <f ca="1">IF(T$12=0,0,T27/T$12)</f>
        <v>#NAME?</v>
      </c>
      <c r="W27" s="15"/>
      <c r="X27" s="21" t="e">
        <f ca="1">+P27-T27</f>
        <v>#NAME?</v>
      </c>
      <c r="Y27" s="15"/>
      <c r="Z27" s="22" t="e">
        <f ca="1">IF(T27=0,0,X27/T27)</f>
        <v>#NAME?</v>
      </c>
    </row>
    <row r="28" spans="1:26" x14ac:dyDescent="0.25">
      <c r="A28" s="9"/>
      <c r="B28" s="11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4" customFormat="1" x14ac:dyDescent="0.25">
      <c r="A29" s="51"/>
      <c r="B29" s="11" t="s">
        <v>127</v>
      </c>
      <c r="C29" s="11"/>
      <c r="D29" s="4" t="e">
        <f ca="1">_xll.OneStop.ReportPlayer.OSRFunctions.OSRGet("GL_F_Trans","Value1")</f>
        <v>#NAME?</v>
      </c>
      <c r="E29" s="4"/>
      <c r="F29" s="13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3" t="e">
        <f ca="1">IF(H$12=0,0,H29/H$12)</f>
        <v>#NAME?</v>
      </c>
      <c r="K29" s="4"/>
      <c r="L29" s="4" t="e">
        <f ca="1">+D29-H29</f>
        <v>#NAME?</v>
      </c>
      <c r="M29" s="4"/>
      <c r="N29" s="13" t="e">
        <f ca="1">IF(H29=0,0,L29/H29)</f>
        <v>#NAME?</v>
      </c>
      <c r="O29" s="11"/>
      <c r="P29" s="4" t="e">
        <f ca="1">_xll.OneStop.ReportPlayer.OSRFunctions.OSRGet("GL_F_Trans","Value1")</f>
        <v>#NAME?</v>
      </c>
      <c r="Q29" s="4"/>
      <c r="R29" s="13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3" t="e">
        <f ca="1">IF(T$12=0,0,T29/T$12)</f>
        <v>#NAME?</v>
      </c>
      <c r="W29" s="4"/>
      <c r="X29" s="4" t="e">
        <f ca="1">+P29-T29</f>
        <v>#NAME?</v>
      </c>
      <c r="Y29" s="4"/>
      <c r="Z29" s="13" t="e">
        <f ca="1">IF(T29=0,0,X29/T29)</f>
        <v>#NAME?</v>
      </c>
    </row>
    <row r="30" spans="1:26" x14ac:dyDescent="0.25">
      <c r="A30" s="9"/>
      <c r="B30" s="11"/>
      <c r="C30" s="11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1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4" customFormat="1" ht="15.75" thickBot="1" x14ac:dyDescent="0.3">
      <c r="A31" s="11"/>
      <c r="B31" s="28" t="s">
        <v>125</v>
      </c>
      <c r="C31" s="28"/>
      <c r="D31" s="34" t="e">
        <f ca="1">+D27-D29</f>
        <v>#NAME?</v>
      </c>
      <c r="E31" s="14"/>
      <c r="F31" s="31" t="e">
        <f ca="1">IF(D$12=0,0,D31/D$12)</f>
        <v>#NAME?</v>
      </c>
      <c r="G31" s="14"/>
      <c r="H31" s="34" t="e">
        <f ca="1">+H27-H29</f>
        <v>#NAME?</v>
      </c>
      <c r="I31" s="14"/>
      <c r="J31" s="31" t="e">
        <f ca="1">IF(H$12=0,0,H31/H$12)</f>
        <v>#NAME?</v>
      </c>
      <c r="K31" s="15"/>
      <c r="L31" s="34" t="e">
        <f ca="1">D31-H31</f>
        <v>#NAME?</v>
      </c>
      <c r="M31" s="15"/>
      <c r="N31" s="31" t="e">
        <f ca="1">IF(H31=0,0,L31/H31)</f>
        <v>#NAME?</v>
      </c>
      <c r="O31" s="29"/>
      <c r="P31" s="34" t="e">
        <f ca="1">+P27-P29</f>
        <v>#NAME?</v>
      </c>
      <c r="Q31" s="14"/>
      <c r="R31" s="31" t="e">
        <f ca="1">IF(P$12=0,0,P31/P$12)</f>
        <v>#NAME?</v>
      </c>
      <c r="S31" s="14"/>
      <c r="T31" s="34" t="e">
        <f ca="1">+T27-T29</f>
        <v>#NAME?</v>
      </c>
      <c r="U31" s="14"/>
      <c r="V31" s="31" t="e">
        <f ca="1">IF(T$12=0,0,T31/T$12)</f>
        <v>#NAME?</v>
      </c>
      <c r="W31" s="15"/>
      <c r="X31" s="34" t="e">
        <f ca="1">P31-T31</f>
        <v>#NAME?</v>
      </c>
      <c r="Y31" s="15"/>
      <c r="Z31" s="31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4" customFormat="1" x14ac:dyDescent="0.25">
      <c r="A33" s="51"/>
      <c r="B33" s="11" t="s">
        <v>183</v>
      </c>
      <c r="C33" s="11"/>
      <c r="D33" s="4" t="e">
        <f ca="1">-_xll.OneStop.ReportPlayer.OSRFunctions.OSRGet("GL_F_Trans","Value1")</f>
        <v>#NAME?</v>
      </c>
      <c r="E33" s="4"/>
      <c r="F33" s="13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3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3" t="e">
        <f t="shared" ref="N33:N34" ca="1" si="31">IF(H33=0,0,L33/H33)</f>
        <v>#NAME?</v>
      </c>
      <c r="O33" s="11"/>
      <c r="P33" s="4" t="e">
        <f ca="1">-_xll.OneStop.ReportPlayer.OSRFunctions.OSRGet("GL_F_Trans","Value1")</f>
        <v>#NAME?</v>
      </c>
      <c r="Q33" s="4"/>
      <c r="R33" s="13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3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3" t="e">
        <f t="shared" ref="Z33:Z34" ca="1" si="35">IF(T33=0,0,X33/T33)</f>
        <v>#NAME?</v>
      </c>
    </row>
    <row r="34" spans="1:26" s="24" customFormat="1" x14ac:dyDescent="0.25">
      <c r="A34" s="51"/>
      <c r="B34" s="11" t="s">
        <v>81</v>
      </c>
      <c r="C34" s="11"/>
      <c r="D34" s="4" t="e">
        <f ca="1">-_xll.OneStop.ReportPlayer.OSRFunctions.OSRGet("GL_F_Trans","Value1")</f>
        <v>#NAME?</v>
      </c>
      <c r="E34" s="4"/>
      <c r="F34" s="13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3" t="e">
        <f t="shared" ca="1" si="29"/>
        <v>#NAME?</v>
      </c>
      <c r="K34" s="4"/>
      <c r="L34" s="4" t="e">
        <f t="shared" ca="1" si="30"/>
        <v>#NAME?</v>
      </c>
      <c r="M34" s="4"/>
      <c r="N34" s="13" t="e">
        <f t="shared" ca="1" si="31"/>
        <v>#NAME?</v>
      </c>
      <c r="O34" s="11"/>
      <c r="P34" s="4" t="e">
        <f ca="1">-_xll.OneStop.ReportPlayer.OSRFunctions.OSRGet("GL_F_Trans","Value1")</f>
        <v>#NAME?</v>
      </c>
      <c r="Q34" s="4"/>
      <c r="R34" s="13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3" t="e">
        <f t="shared" ca="1" si="33"/>
        <v>#NAME?</v>
      </c>
      <c r="W34" s="4"/>
      <c r="X34" s="4" t="e">
        <f t="shared" ca="1" si="34"/>
        <v>#NAME?</v>
      </c>
      <c r="Y34" s="4"/>
      <c r="Z34" s="13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4" customFormat="1" ht="15.75" thickBot="1" x14ac:dyDescent="0.3">
      <c r="A36" s="11"/>
      <c r="B36" s="28" t="s">
        <v>293</v>
      </c>
      <c r="C36" s="28"/>
      <c r="D36" s="33" t="e">
        <f ca="1">SUM(D31:D35)</f>
        <v>#NAME?</v>
      </c>
      <c r="E36" s="14"/>
      <c r="F36" s="35" t="e">
        <f ca="1">IF(D$12=0,0,D36/D$12)</f>
        <v>#NAME?</v>
      </c>
      <c r="G36" s="14"/>
      <c r="H36" s="33" t="e">
        <f ca="1">SUM(H31:H35)</f>
        <v>#NAME?</v>
      </c>
      <c r="I36" s="14"/>
      <c r="J36" s="35" t="e">
        <f ca="1">IF(H$12=0,0,H36/H$12)</f>
        <v>#NAME?</v>
      </c>
      <c r="K36" s="15"/>
      <c r="L36" s="33" t="e">
        <f ca="1">+D36-H36</f>
        <v>#NAME?</v>
      </c>
      <c r="M36" s="15"/>
      <c r="N36" s="35" t="e">
        <f ca="1">IF(H36=0,0,L36/H36)</f>
        <v>#NAME?</v>
      </c>
      <c r="O36" s="29"/>
      <c r="P36" s="33" t="e">
        <f ca="1">SUM(P31:P35)</f>
        <v>#NAME?</v>
      </c>
      <c r="Q36" s="14"/>
      <c r="R36" s="35" t="e">
        <f ca="1">IF(P$12=0,0,P36/P$12)</f>
        <v>#NAME?</v>
      </c>
      <c r="S36" s="14"/>
      <c r="T36" s="33" t="e">
        <f ca="1">SUM(T31:T35)</f>
        <v>#NAME?</v>
      </c>
      <c r="U36" s="14"/>
      <c r="V36" s="35" t="e">
        <f ca="1">IF(T$12=0,0,T36/T$12)</f>
        <v>#NAME?</v>
      </c>
      <c r="W36" s="15"/>
      <c r="X36" s="33" t="e">
        <f ca="1">+P36-T36</f>
        <v>#NAME?</v>
      </c>
      <c r="Y36" s="15"/>
      <c r="Z36" s="35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56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55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60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62" t="s">
        <v>23</v>
      </c>
    </row>
    <row r="3" spans="1:26" x14ac:dyDescent="0.25">
      <c r="D3" s="62" t="s">
        <v>236</v>
      </c>
      <c r="E3" s="17"/>
      <c r="F3" s="46"/>
      <c r="G3" s="17"/>
      <c r="H3" s="17"/>
      <c r="I3" s="17"/>
      <c r="J3" s="38"/>
      <c r="K3" s="17"/>
      <c r="L3" s="17"/>
      <c r="M3" s="17"/>
      <c r="N3" s="46"/>
      <c r="O3" s="53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2" t="e">
        <f ca="1">CONCATENATE("Period ",RIGHT(_xll.OneStop.ReportPlayer.OSRFunctions.OSRGet("Period","PeriodId"),2),", ",_xll.OneStop.ReportPlayer.OSRFunctions.OSRGet("Period","Year"))</f>
        <v>#NAME?</v>
      </c>
      <c r="E4" s="17"/>
      <c r="F4" s="46"/>
      <c r="G4" s="17"/>
      <c r="H4" s="17"/>
      <c r="I4" s="17"/>
      <c r="J4" s="38"/>
      <c r="K4" s="17"/>
      <c r="L4" s="17"/>
      <c r="M4" s="17"/>
      <c r="N4" s="46"/>
      <c r="O4" s="53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4"/>
      <c r="D5" s="64" t="e">
        <f ca="1">_xll.OneStop.ReportPlayer.OSRFunctions.OSRGet("Period","PeriodEnd")</f>
        <v>#NAME?</v>
      </c>
      <c r="E5" s="17"/>
      <c r="F5" s="46"/>
      <c r="G5" s="17"/>
      <c r="H5" s="17"/>
      <c r="I5" s="17"/>
      <c r="J5" s="38"/>
      <c r="K5" s="17"/>
      <c r="L5" s="17"/>
      <c r="M5" s="17"/>
      <c r="N5" s="46"/>
      <c r="O5" s="53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4"/>
      <c r="B6" s="48"/>
      <c r="C6" s="48"/>
      <c r="D6" s="24" t="s">
        <v>255</v>
      </c>
      <c r="E6" s="17"/>
      <c r="F6" s="46"/>
      <c r="G6" s="17"/>
      <c r="H6" s="17"/>
      <c r="I6" s="17"/>
      <c r="J6" s="38"/>
      <c r="K6" s="17"/>
      <c r="L6" s="17"/>
      <c r="M6" s="17"/>
      <c r="N6" s="46"/>
      <c r="O6" s="54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9"/>
    </row>
    <row r="8" spans="1:26" x14ac:dyDescent="0.25">
      <c r="B8" s="59"/>
    </row>
    <row r="9" spans="1:26" x14ac:dyDescent="0.25">
      <c r="B9" s="9"/>
      <c r="C9" s="9"/>
      <c r="D9" s="16" t="s">
        <v>291</v>
      </c>
      <c r="E9" s="16"/>
      <c r="F9" s="39"/>
      <c r="G9" s="16"/>
      <c r="H9" s="16"/>
      <c r="I9" s="16"/>
      <c r="J9" s="49"/>
      <c r="K9" s="16"/>
      <c r="L9" s="16"/>
      <c r="M9" s="16"/>
      <c r="N9" s="39"/>
      <c r="P9" s="16" t="s">
        <v>39</v>
      </c>
      <c r="Q9" s="16"/>
      <c r="R9" s="39"/>
      <c r="S9" s="16"/>
      <c r="T9" s="16"/>
      <c r="U9" s="16"/>
      <c r="V9" s="49"/>
      <c r="W9" s="16"/>
      <c r="X9" s="16"/>
      <c r="Y9" s="16"/>
      <c r="Z9" s="39"/>
    </row>
    <row r="10" spans="1:26" x14ac:dyDescent="0.25">
      <c r="A10" s="11"/>
      <c r="B10" s="58"/>
      <c r="C10" s="11"/>
      <c r="D10" s="42" t="s">
        <v>57</v>
      </c>
      <c r="E10" s="36"/>
      <c r="F10" s="30" t="s">
        <v>40</v>
      </c>
      <c r="G10" s="36"/>
      <c r="H10" s="50" t="s">
        <v>237</v>
      </c>
      <c r="I10" s="36"/>
      <c r="J10" s="30" t="s">
        <v>40</v>
      </c>
      <c r="K10" s="11"/>
      <c r="L10" s="42" t="s">
        <v>126</v>
      </c>
      <c r="M10" s="11"/>
      <c r="N10" s="30" t="s">
        <v>257</v>
      </c>
      <c r="O10" s="11"/>
      <c r="P10" s="61" t="s">
        <v>57</v>
      </c>
      <c r="Q10" s="36"/>
      <c r="R10" s="30" t="s">
        <v>40</v>
      </c>
      <c r="S10" s="36"/>
      <c r="T10" s="50" t="s">
        <v>237</v>
      </c>
      <c r="U10" s="36"/>
      <c r="V10" s="30" t="s">
        <v>40</v>
      </c>
      <c r="W10" s="11"/>
      <c r="X10" s="42" t="s">
        <v>126</v>
      </c>
      <c r="Y10" s="11"/>
      <c r="Z10" s="30" t="s">
        <v>257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4" customFormat="1" collapsed="1" x14ac:dyDescent="0.25">
      <c r="A12" s="11"/>
      <c r="B12" s="29" t="s">
        <v>139</v>
      </c>
      <c r="C12" s="11"/>
      <c r="D12" s="4" t="e">
        <f ca="1">SUM(_xll.OneStop.ReportPlayer.OSRFunctions.OSRRef(D13))</f>
        <v>#NAME?</v>
      </c>
      <c r="E12" s="4"/>
      <c r="F12" s="13"/>
      <c r="G12" s="4"/>
      <c r="H12" s="4" t="e">
        <f ca="1">SUM(_xll.OneStop.ReportPlayer.OSRFunctions.OSRRef(H13))</f>
        <v>#NAME?</v>
      </c>
      <c r="I12" s="4"/>
      <c r="J12" s="13"/>
      <c r="K12" s="4"/>
      <c r="L12" s="4" t="e">
        <f t="shared" ref="L12:L13" ca="1" si="0">+D12-H12</f>
        <v>#NAME?</v>
      </c>
      <c r="M12" s="4"/>
      <c r="N12" s="13" t="e">
        <f t="shared" ref="N12:N13" ca="1" si="1">IF(H12=0,0,L12/H12)</f>
        <v>#NAME?</v>
      </c>
      <c r="O12" s="11"/>
      <c r="P12" s="4" t="e">
        <f ca="1">SUM(_xll.OneStop.ReportPlayer.OSRFunctions.OSRRef(P13))</f>
        <v>#NAME?</v>
      </c>
      <c r="Q12" s="4"/>
      <c r="R12" s="13"/>
      <c r="S12" s="4"/>
      <c r="T12" s="4" t="e">
        <f ca="1">SUM(_xll.OneStop.ReportPlayer.OSRFunctions.OSRRef(T13))</f>
        <v>#NAME?</v>
      </c>
      <c r="U12" s="4"/>
      <c r="V12" s="13"/>
      <c r="W12" s="4"/>
      <c r="X12" s="4" t="e">
        <f t="shared" ref="X12:X13" ca="1" si="2">+P12-T12</f>
        <v>#NAME?</v>
      </c>
      <c r="Y12" s="4"/>
      <c r="Z12" s="13" t="e">
        <f t="shared" ref="Z12:Z13" ca="1" si="3">IF(T12=0,0,X12/T12)</f>
        <v>#NAME?</v>
      </c>
    </row>
    <row r="13" spans="1:26" s="23" customFormat="1" hidden="1" outlineLevel="1" x14ac:dyDescent="0.25">
      <c r="A13" s="44"/>
      <c r="B13" s="10" t="e">
        <f ca="1">CONCATENATE("          ", _xll.OneStop.ReportPlayer.OSRFunctions.OSRGet("d_Account","Code"), " - ", _xll.OneStop.ReportPlayer.OSRFunctions.OSRGet("d_Account","Description"))</f>
        <v>#NAME?</v>
      </c>
      <c r="C13" s="10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0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1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4" customFormat="1" collapsed="1" x14ac:dyDescent="0.25">
      <c r="A15" s="11"/>
      <c r="B15" s="29" t="s">
        <v>256</v>
      </c>
      <c r="C15" s="11"/>
      <c r="D15" s="4" t="e">
        <f ca="1">SUM(_xll.OneStop.ReportPlayer.OSRFunctions.OSRRef(D16))</f>
        <v>#NAME?</v>
      </c>
      <c r="E15" s="4"/>
      <c r="F15" s="13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3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3" t="e">
        <f t="shared" ref="N15:N16" ca="1" si="7">IF(H15=0,0,L15/H15)</f>
        <v>#NAME?</v>
      </c>
      <c r="O15" s="11"/>
      <c r="P15" s="4" t="e">
        <f ca="1">SUM(_xll.OneStop.ReportPlayer.OSRFunctions.OSRRef(P16))</f>
        <v>#NAME?</v>
      </c>
      <c r="Q15" s="4"/>
      <c r="R15" s="13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3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3" t="e">
        <f t="shared" ref="Z15:Z16" ca="1" si="11">IF(T15=0,0,X15/T15)</f>
        <v>#NAME?</v>
      </c>
    </row>
    <row r="16" spans="1:26" s="23" customFormat="1" hidden="1" outlineLevel="1" x14ac:dyDescent="0.25">
      <c r="A16" s="44"/>
      <c r="B16" s="10" t="e">
        <f ca="1">CONCATENATE("          ", _xll.OneStop.ReportPlayer.OSRFunctions.OSRGet("d_Account","Code"), " - ", _xll.OneStop.ReportPlayer.OSRFunctions.OSRGet("d_Account","Description"))</f>
        <v>#NAME?</v>
      </c>
      <c r="C16" s="10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0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1"/>
      <c r="C17" s="11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1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4" customFormat="1" x14ac:dyDescent="0.25">
      <c r="A18" s="11"/>
      <c r="B18" s="28" t="s">
        <v>107</v>
      </c>
      <c r="C18" s="28"/>
      <c r="D18" s="21" t="e">
        <f ca="1">D12-D15</f>
        <v>#NAME?</v>
      </c>
      <c r="E18" s="14"/>
      <c r="F18" s="22" t="e">
        <f ca="1">IF(D$12=0,0,D18/D$12)</f>
        <v>#NAME?</v>
      </c>
      <c r="G18" s="14"/>
      <c r="H18" s="21" t="e">
        <f ca="1">H12-H15</f>
        <v>#NAME?</v>
      </c>
      <c r="I18" s="14"/>
      <c r="J18" s="22" t="e">
        <f ca="1">IF(H$12=0,0,H18/H$12)</f>
        <v>#NAME?</v>
      </c>
      <c r="K18" s="15"/>
      <c r="L18" s="21" t="e">
        <f ca="1">+D18-H18</f>
        <v>#NAME?</v>
      </c>
      <c r="M18" s="15"/>
      <c r="N18" s="22" t="e">
        <f ca="1">IF(H18=0,0,L18/H18)</f>
        <v>#NAME?</v>
      </c>
      <c r="O18" s="29"/>
      <c r="P18" s="21" t="e">
        <f ca="1">P12-P15</f>
        <v>#NAME?</v>
      </c>
      <c r="Q18" s="14"/>
      <c r="R18" s="22" t="e">
        <f ca="1">IF(P$12=0,0,P18/P$12)</f>
        <v>#NAME?</v>
      </c>
      <c r="S18" s="14"/>
      <c r="T18" s="21" t="e">
        <f ca="1">T12-T15</f>
        <v>#NAME?</v>
      </c>
      <c r="U18" s="14"/>
      <c r="V18" s="22" t="e">
        <f ca="1">IF(T$12=0,0,T18/T$12)</f>
        <v>#NAME?</v>
      </c>
      <c r="W18" s="15"/>
      <c r="X18" s="21" t="e">
        <f ca="1">+P18-T18</f>
        <v>#NAME?</v>
      </c>
      <c r="Y18" s="15"/>
      <c r="Z18" s="22" t="e">
        <f ca="1">IF(T18=0,0,X18/T18)</f>
        <v>#NAME?</v>
      </c>
    </row>
    <row r="19" spans="1:26" x14ac:dyDescent="0.25">
      <c r="A19" s="9"/>
      <c r="B19" s="11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4" customFormat="1" x14ac:dyDescent="0.25">
      <c r="A20" s="11"/>
      <c r="B20" s="29" t="s">
        <v>294</v>
      </c>
      <c r="C20" s="11"/>
      <c r="D20" s="20" t="e">
        <f ca="1">SUM(_xll.OneStop.ReportPlayer.OSRFunctions.OSRRef(D22))</f>
        <v>#NAME?</v>
      </c>
      <c r="E20" s="20"/>
      <c r="F20" s="32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2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2" t="e">
        <f t="shared" ref="N20:N22" ca="1" si="15">IF(H20=0,0,L20/H20)</f>
        <v>#NAME?</v>
      </c>
      <c r="O20" s="11"/>
      <c r="P20" s="20" t="e">
        <f ca="1">SUM(_xll.OneStop.ReportPlayer.OSRFunctions.OSRRef(P22))</f>
        <v>#NAME?</v>
      </c>
      <c r="Q20" s="20"/>
      <c r="R20" s="32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2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2" t="e">
        <f t="shared" ref="Z20:Z22" ca="1" si="19">IF(T20=0,0,X20/T20)</f>
        <v>#NAME?</v>
      </c>
    </row>
    <row r="21" spans="1:26" s="27" customFormat="1" outlineLevel="1" collapsed="1" x14ac:dyDescent="0.25">
      <c r="A21" s="26"/>
      <c r="B21" s="12" t="e">
        <f ca="1">CONCATENATE("     ",_xll.OneStop.ReportPlayer.OSRFunctions.OSRGet("d_Account","AccountCategory"))</f>
        <v>#NAME?</v>
      </c>
      <c r="C21" s="12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2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3" customFormat="1" hidden="1" outlineLevel="2" x14ac:dyDescent="0.25">
      <c r="A22" s="25"/>
      <c r="B22" s="10" t="e">
        <f ca="1">CONCATENATE("          ", _xll.OneStop.ReportPlayer.OSRFunctions.OSRGet("d_Account","Code"), " - ", _xll.OneStop.ReportPlayer.OSRFunctions.OSRGet("d_Account","Description"))</f>
        <v>#NAME?</v>
      </c>
      <c r="C22" s="10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0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2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4" customFormat="1" collapsed="1" x14ac:dyDescent="0.25">
      <c r="A24" s="11"/>
      <c r="B24" s="29" t="s">
        <v>292</v>
      </c>
      <c r="C24" s="11"/>
      <c r="D24" s="4" t="e">
        <f ca="1">SUM(_xll.OneStop.ReportPlayer.OSRFunctions.OSRRef(D25))</f>
        <v>#NAME?</v>
      </c>
      <c r="E24" s="4"/>
      <c r="F24" s="13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3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3" t="e">
        <f t="shared" ref="N24:N25" ca="1" si="23">IF(H24=0,0,L24/H24)</f>
        <v>#NAME?</v>
      </c>
      <c r="O24" s="11"/>
      <c r="P24" s="4" t="e">
        <f ca="1">SUM(_xll.OneStop.ReportPlayer.OSRFunctions.OSRRef(P25))</f>
        <v>#NAME?</v>
      </c>
      <c r="Q24" s="4"/>
      <c r="R24" s="13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3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3" t="e">
        <f t="shared" ref="Z24:Z25" ca="1" si="27">IF(T24=0,0,X24/T24)</f>
        <v>#NAME?</v>
      </c>
    </row>
    <row r="25" spans="1:26" s="23" customFormat="1" hidden="1" outlineLevel="1" x14ac:dyDescent="0.25">
      <c r="A25" s="44"/>
      <c r="B25" s="10" t="e">
        <f ca="1">CONCATENATE("          ", _xll.OneStop.ReportPlayer.OSRFunctions.OSRGet("d_Account","Code"), " - ", _xll.OneStop.ReportPlayer.OSRFunctions.OSRGet("d_Account","Description"))</f>
        <v>#NAME?</v>
      </c>
      <c r="C25" s="10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0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1"/>
      <c r="C26" s="11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1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4" customFormat="1" x14ac:dyDescent="0.25">
      <c r="A27" s="11"/>
      <c r="B27" s="28" t="s">
        <v>276</v>
      </c>
      <c r="C27" s="28"/>
      <c r="D27" s="21" t="e">
        <f ca="1">+D18-D20+D24</f>
        <v>#NAME?</v>
      </c>
      <c r="E27" s="14"/>
      <c r="F27" s="22" t="e">
        <f ca="1">IF(D$12=0,0,D27/D$12)</f>
        <v>#NAME?</v>
      </c>
      <c r="G27" s="14"/>
      <c r="H27" s="21" t="e">
        <f ca="1">+H18-H20+H24</f>
        <v>#NAME?</v>
      </c>
      <c r="I27" s="14"/>
      <c r="J27" s="22" t="e">
        <f ca="1">IF(H$12=0,0,H27/H$12)</f>
        <v>#NAME?</v>
      </c>
      <c r="K27" s="15"/>
      <c r="L27" s="21" t="e">
        <f ca="1">+D27-H27</f>
        <v>#NAME?</v>
      </c>
      <c r="M27" s="15"/>
      <c r="N27" s="22" t="e">
        <f ca="1">IF(H27=0,0,L27/H27)</f>
        <v>#NAME?</v>
      </c>
      <c r="O27" s="29"/>
      <c r="P27" s="21" t="e">
        <f ca="1">+P18-P20+P24</f>
        <v>#NAME?</v>
      </c>
      <c r="Q27" s="14"/>
      <c r="R27" s="22" t="e">
        <f ca="1">IF(P$12=0,0,P27/P$12)</f>
        <v>#NAME?</v>
      </c>
      <c r="S27" s="14"/>
      <c r="T27" s="21" t="e">
        <f ca="1">+T18-T20+T24</f>
        <v>#NAME?</v>
      </c>
      <c r="U27" s="14"/>
      <c r="V27" s="22" t="e">
        <f ca="1">IF(T$12=0,0,T27/T$12)</f>
        <v>#NAME?</v>
      </c>
      <c r="W27" s="15"/>
      <c r="X27" s="21" t="e">
        <f ca="1">+P27-T27</f>
        <v>#NAME?</v>
      </c>
      <c r="Y27" s="15"/>
      <c r="Z27" s="22" t="e">
        <f ca="1">IF(T27=0,0,X27/T27)</f>
        <v>#NAME?</v>
      </c>
    </row>
    <row r="28" spans="1:26" x14ac:dyDescent="0.25">
      <c r="A28" s="9"/>
      <c r="B28" s="11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4" customFormat="1" x14ac:dyDescent="0.25">
      <c r="A29" s="51"/>
      <c r="B29" s="11" t="s">
        <v>127</v>
      </c>
      <c r="C29" s="11"/>
      <c r="D29" s="4" t="e">
        <f ca="1">_xll.OneStop.ReportPlayer.OSRFunctions.OSRGet("GL_F_Trans","Value1")</f>
        <v>#NAME?</v>
      </c>
      <c r="E29" s="4"/>
      <c r="F29" s="13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3" t="e">
        <f ca="1">IF(H$12=0,0,H29/H$12)</f>
        <v>#NAME?</v>
      </c>
      <c r="K29" s="4"/>
      <c r="L29" s="4" t="e">
        <f ca="1">+D29-H29</f>
        <v>#NAME?</v>
      </c>
      <c r="M29" s="4"/>
      <c r="N29" s="13" t="e">
        <f ca="1">IF(H29=0,0,L29/H29)</f>
        <v>#NAME?</v>
      </c>
      <c r="O29" s="11"/>
      <c r="P29" s="4" t="e">
        <f ca="1">_xll.OneStop.ReportPlayer.OSRFunctions.OSRGet("GL_F_Trans","Value1")</f>
        <v>#NAME?</v>
      </c>
      <c r="Q29" s="4"/>
      <c r="R29" s="13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3" t="e">
        <f ca="1">IF(T$12=0,0,T29/T$12)</f>
        <v>#NAME?</v>
      </c>
      <c r="W29" s="4"/>
      <c r="X29" s="4" t="e">
        <f ca="1">+P29-T29</f>
        <v>#NAME?</v>
      </c>
      <c r="Y29" s="4"/>
      <c r="Z29" s="13" t="e">
        <f ca="1">IF(T29=0,0,X29/T29)</f>
        <v>#NAME?</v>
      </c>
    </row>
    <row r="30" spans="1:26" x14ac:dyDescent="0.25">
      <c r="A30" s="9"/>
      <c r="B30" s="11"/>
      <c r="C30" s="11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1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4" customFormat="1" ht="15.75" thickBot="1" x14ac:dyDescent="0.3">
      <c r="A31" s="11"/>
      <c r="B31" s="28" t="s">
        <v>125</v>
      </c>
      <c r="C31" s="28"/>
      <c r="D31" s="34" t="e">
        <f ca="1">+D27-D29</f>
        <v>#NAME?</v>
      </c>
      <c r="E31" s="14"/>
      <c r="F31" s="31" t="e">
        <f ca="1">IF(D$12=0,0,D31/D$12)</f>
        <v>#NAME?</v>
      </c>
      <c r="G31" s="14"/>
      <c r="H31" s="34" t="e">
        <f ca="1">+H27-H29</f>
        <v>#NAME?</v>
      </c>
      <c r="I31" s="14"/>
      <c r="J31" s="31" t="e">
        <f ca="1">IF(H$12=0,0,H31/H$12)</f>
        <v>#NAME?</v>
      </c>
      <c r="K31" s="15"/>
      <c r="L31" s="34" t="e">
        <f ca="1">D31-H31</f>
        <v>#NAME?</v>
      </c>
      <c r="M31" s="15"/>
      <c r="N31" s="31" t="e">
        <f ca="1">IF(H31=0,0,L31/H31)</f>
        <v>#NAME?</v>
      </c>
      <c r="O31" s="29"/>
      <c r="P31" s="34" t="e">
        <f ca="1">+P27-P29</f>
        <v>#NAME?</v>
      </c>
      <c r="Q31" s="14"/>
      <c r="R31" s="31" t="e">
        <f ca="1">IF(P$12=0,0,P31/P$12)</f>
        <v>#NAME?</v>
      </c>
      <c r="S31" s="14"/>
      <c r="T31" s="34" t="e">
        <f ca="1">+T27-T29</f>
        <v>#NAME?</v>
      </c>
      <c r="U31" s="14"/>
      <c r="V31" s="31" t="e">
        <f ca="1">IF(T$12=0,0,T31/T$12)</f>
        <v>#NAME?</v>
      </c>
      <c r="W31" s="15"/>
      <c r="X31" s="34" t="e">
        <f ca="1">P31-T31</f>
        <v>#NAME?</v>
      </c>
      <c r="Y31" s="15"/>
      <c r="Z31" s="31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4" customFormat="1" x14ac:dyDescent="0.25">
      <c r="A33" s="51"/>
      <c r="B33" s="11" t="s">
        <v>183</v>
      </c>
      <c r="C33" s="11"/>
      <c r="D33" s="4" t="e">
        <f ca="1">-_xll.OneStop.ReportPlayer.OSRFunctions.OSRGet("GL_F_Trans","Value1")</f>
        <v>#NAME?</v>
      </c>
      <c r="E33" s="4"/>
      <c r="F33" s="13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3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3" t="e">
        <f t="shared" ref="N33:N34" ca="1" si="31">IF(H33=0,0,L33/H33)</f>
        <v>#NAME?</v>
      </c>
      <c r="O33" s="11"/>
      <c r="P33" s="4" t="e">
        <f ca="1">-_xll.OneStop.ReportPlayer.OSRFunctions.OSRGet("GL_F_Trans","Value1")</f>
        <v>#NAME?</v>
      </c>
      <c r="Q33" s="4"/>
      <c r="R33" s="13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3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3" t="e">
        <f t="shared" ref="Z33:Z34" ca="1" si="35">IF(T33=0,0,X33/T33)</f>
        <v>#NAME?</v>
      </c>
    </row>
    <row r="34" spans="1:26" s="24" customFormat="1" x14ac:dyDescent="0.25">
      <c r="A34" s="51"/>
      <c r="B34" s="11" t="s">
        <v>81</v>
      </c>
      <c r="C34" s="11"/>
      <c r="D34" s="4" t="e">
        <f ca="1">-_xll.OneStop.ReportPlayer.OSRFunctions.OSRGet("GL_F_Trans","Value1")</f>
        <v>#NAME?</v>
      </c>
      <c r="E34" s="4"/>
      <c r="F34" s="13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3" t="e">
        <f t="shared" ca="1" si="29"/>
        <v>#NAME?</v>
      </c>
      <c r="K34" s="4"/>
      <c r="L34" s="4" t="e">
        <f t="shared" ca="1" si="30"/>
        <v>#NAME?</v>
      </c>
      <c r="M34" s="4"/>
      <c r="N34" s="13" t="e">
        <f t="shared" ca="1" si="31"/>
        <v>#NAME?</v>
      </c>
      <c r="O34" s="11"/>
      <c r="P34" s="4" t="e">
        <f ca="1">-_xll.OneStop.ReportPlayer.OSRFunctions.OSRGet("GL_F_Trans","Value1")</f>
        <v>#NAME?</v>
      </c>
      <c r="Q34" s="4"/>
      <c r="R34" s="13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3" t="e">
        <f t="shared" ca="1" si="33"/>
        <v>#NAME?</v>
      </c>
      <c r="W34" s="4"/>
      <c r="X34" s="4" t="e">
        <f t="shared" ca="1" si="34"/>
        <v>#NAME?</v>
      </c>
      <c r="Y34" s="4"/>
      <c r="Z34" s="13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4" customFormat="1" ht="15.75" thickBot="1" x14ac:dyDescent="0.3">
      <c r="A36" s="11"/>
      <c r="B36" s="28" t="s">
        <v>293</v>
      </c>
      <c r="C36" s="28"/>
      <c r="D36" s="33" t="e">
        <f ca="1">SUM(D31:D35)</f>
        <v>#NAME?</v>
      </c>
      <c r="E36" s="14"/>
      <c r="F36" s="35" t="e">
        <f ca="1">IF(D$12=0,0,D36/D$12)</f>
        <v>#NAME?</v>
      </c>
      <c r="G36" s="14"/>
      <c r="H36" s="33" t="e">
        <f ca="1">SUM(H31:H35)</f>
        <v>#NAME?</v>
      </c>
      <c r="I36" s="14"/>
      <c r="J36" s="35" t="e">
        <f ca="1">IF(H$12=0,0,H36/H$12)</f>
        <v>#NAME?</v>
      </c>
      <c r="K36" s="15"/>
      <c r="L36" s="33" t="e">
        <f ca="1">+D36-H36</f>
        <v>#NAME?</v>
      </c>
      <c r="M36" s="15"/>
      <c r="N36" s="35" t="e">
        <f ca="1">IF(H36=0,0,L36/H36)</f>
        <v>#NAME?</v>
      </c>
      <c r="O36" s="29"/>
      <c r="P36" s="33" t="e">
        <f ca="1">SUM(P31:P35)</f>
        <v>#NAME?</v>
      </c>
      <c r="Q36" s="14"/>
      <c r="R36" s="35" t="e">
        <f ca="1">IF(P$12=0,0,P36/P$12)</f>
        <v>#NAME?</v>
      </c>
      <c r="S36" s="14"/>
      <c r="T36" s="33" t="e">
        <f ca="1">SUM(T31:T35)</f>
        <v>#NAME?</v>
      </c>
      <c r="U36" s="14"/>
      <c r="V36" s="35" t="e">
        <f ca="1">IF(T$12=0,0,T36/T$12)</f>
        <v>#NAME?</v>
      </c>
      <c r="W36" s="15"/>
      <c r="X36" s="33" t="e">
        <f ca="1">+P36-T36</f>
        <v>#NAME?</v>
      </c>
      <c r="Y36" s="15"/>
      <c r="Z36" s="35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56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55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60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62" t="s">
        <v>23</v>
      </c>
    </row>
    <row r="3" spans="1:26" x14ac:dyDescent="0.25">
      <c r="D3" s="62" t="s">
        <v>236</v>
      </c>
      <c r="E3" s="17"/>
      <c r="F3" s="46"/>
      <c r="G3" s="17"/>
      <c r="H3" s="17"/>
      <c r="I3" s="17"/>
      <c r="J3" s="38"/>
      <c r="K3" s="17"/>
      <c r="L3" s="17"/>
      <c r="M3" s="17"/>
      <c r="N3" s="46"/>
      <c r="O3" s="53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2" t="e">
        <f ca="1">CONCATENATE("Period ",RIGHT(_xll.OneStop.ReportPlayer.OSRFunctions.OSRGet("Period","PeriodId"),2),", ",_xll.OneStop.ReportPlayer.OSRFunctions.OSRGet("Period","Year"))</f>
        <v>#NAME?</v>
      </c>
      <c r="E4" s="17"/>
      <c r="F4" s="46"/>
      <c r="G4" s="17"/>
      <c r="H4" s="17"/>
      <c r="I4" s="17"/>
      <c r="J4" s="38"/>
      <c r="K4" s="17"/>
      <c r="L4" s="17"/>
      <c r="M4" s="17"/>
      <c r="N4" s="46"/>
      <c r="O4" s="53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4"/>
      <c r="D5" s="64" t="e">
        <f ca="1">_xll.OneStop.ReportPlayer.OSRFunctions.OSRGet("Period","PeriodEnd")</f>
        <v>#NAME?</v>
      </c>
      <c r="E5" s="17"/>
      <c r="F5" s="46"/>
      <c r="G5" s="17"/>
      <c r="H5" s="17"/>
      <c r="I5" s="17"/>
      <c r="J5" s="38"/>
      <c r="K5" s="17"/>
      <c r="L5" s="17"/>
      <c r="M5" s="17"/>
      <c r="N5" s="46"/>
      <c r="O5" s="53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4"/>
      <c r="B6" s="48"/>
      <c r="C6" s="48"/>
      <c r="D6" s="24" t="s">
        <v>255</v>
      </c>
      <c r="E6" s="17"/>
      <c r="F6" s="46"/>
      <c r="G6" s="17"/>
      <c r="H6" s="17"/>
      <c r="I6" s="17"/>
      <c r="J6" s="38"/>
      <c r="K6" s="17"/>
      <c r="L6" s="17"/>
      <c r="M6" s="17"/>
      <c r="N6" s="46"/>
      <c r="O6" s="54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9"/>
    </row>
    <row r="8" spans="1:26" x14ac:dyDescent="0.25">
      <c r="B8" s="59"/>
    </row>
    <row r="9" spans="1:26" x14ac:dyDescent="0.25">
      <c r="B9" s="9"/>
      <c r="C9" s="9"/>
      <c r="D9" s="16" t="s">
        <v>291</v>
      </c>
      <c r="E9" s="16"/>
      <c r="F9" s="39"/>
      <c r="G9" s="16"/>
      <c r="H9" s="16"/>
      <c r="I9" s="16"/>
      <c r="J9" s="49"/>
      <c r="K9" s="16"/>
      <c r="L9" s="16"/>
      <c r="M9" s="16"/>
      <c r="N9" s="39"/>
      <c r="P9" s="16" t="s">
        <v>39</v>
      </c>
      <c r="Q9" s="16"/>
      <c r="R9" s="39"/>
      <c r="S9" s="16"/>
      <c r="T9" s="16"/>
      <c r="U9" s="16"/>
      <c r="V9" s="49"/>
      <c r="W9" s="16"/>
      <c r="X9" s="16"/>
      <c r="Y9" s="16"/>
      <c r="Z9" s="39"/>
    </row>
    <row r="10" spans="1:26" x14ac:dyDescent="0.25">
      <c r="A10" s="11"/>
      <c r="B10" s="58"/>
      <c r="C10" s="11"/>
      <c r="D10" s="42" t="s">
        <v>57</v>
      </c>
      <c r="E10" s="36"/>
      <c r="F10" s="30" t="s">
        <v>40</v>
      </c>
      <c r="G10" s="36"/>
      <c r="H10" s="50" t="s">
        <v>237</v>
      </c>
      <c r="I10" s="36"/>
      <c r="J10" s="30" t="s">
        <v>40</v>
      </c>
      <c r="K10" s="11"/>
      <c r="L10" s="42" t="s">
        <v>126</v>
      </c>
      <c r="M10" s="11"/>
      <c r="N10" s="30" t="s">
        <v>257</v>
      </c>
      <c r="O10" s="11"/>
      <c r="P10" s="61" t="s">
        <v>57</v>
      </c>
      <c r="Q10" s="36"/>
      <c r="R10" s="30" t="s">
        <v>40</v>
      </c>
      <c r="S10" s="36"/>
      <c r="T10" s="50" t="s">
        <v>237</v>
      </c>
      <c r="U10" s="36"/>
      <c r="V10" s="30" t="s">
        <v>40</v>
      </c>
      <c r="W10" s="11"/>
      <c r="X10" s="42" t="s">
        <v>126</v>
      </c>
      <c r="Y10" s="11"/>
      <c r="Z10" s="30" t="s">
        <v>257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4" customFormat="1" collapsed="1" x14ac:dyDescent="0.25">
      <c r="A12" s="11"/>
      <c r="B12" s="29" t="s">
        <v>139</v>
      </c>
      <c r="C12" s="11"/>
      <c r="D12" s="4" t="e">
        <f ca="1">SUM(_xll.OneStop.ReportPlayer.OSRFunctions.OSRRef(D13))</f>
        <v>#NAME?</v>
      </c>
      <c r="E12" s="4"/>
      <c r="F12" s="13"/>
      <c r="G12" s="4"/>
      <c r="H12" s="4" t="e">
        <f ca="1">SUM(_xll.OneStop.ReportPlayer.OSRFunctions.OSRRef(H13))</f>
        <v>#NAME?</v>
      </c>
      <c r="I12" s="4"/>
      <c r="J12" s="13"/>
      <c r="K12" s="4"/>
      <c r="L12" s="4" t="e">
        <f t="shared" ref="L12:L13" ca="1" si="0">+D12-H12</f>
        <v>#NAME?</v>
      </c>
      <c r="M12" s="4"/>
      <c r="N12" s="13" t="e">
        <f t="shared" ref="N12:N13" ca="1" si="1">IF(H12=0,0,L12/H12)</f>
        <v>#NAME?</v>
      </c>
      <c r="O12" s="11"/>
      <c r="P12" s="4" t="e">
        <f ca="1">SUM(_xll.OneStop.ReportPlayer.OSRFunctions.OSRRef(P13))</f>
        <v>#NAME?</v>
      </c>
      <c r="Q12" s="4"/>
      <c r="R12" s="13"/>
      <c r="S12" s="4"/>
      <c r="T12" s="4" t="e">
        <f ca="1">SUM(_xll.OneStop.ReportPlayer.OSRFunctions.OSRRef(T13))</f>
        <v>#NAME?</v>
      </c>
      <c r="U12" s="4"/>
      <c r="V12" s="13"/>
      <c r="W12" s="4"/>
      <c r="X12" s="4" t="e">
        <f t="shared" ref="X12:X13" ca="1" si="2">+P12-T12</f>
        <v>#NAME?</v>
      </c>
      <c r="Y12" s="4"/>
      <c r="Z12" s="13" t="e">
        <f t="shared" ref="Z12:Z13" ca="1" si="3">IF(T12=0,0,X12/T12)</f>
        <v>#NAME?</v>
      </c>
    </row>
    <row r="13" spans="1:26" s="23" customFormat="1" hidden="1" outlineLevel="1" x14ac:dyDescent="0.25">
      <c r="A13" s="44"/>
      <c r="B13" s="10" t="e">
        <f ca="1">CONCATENATE("          ", _xll.OneStop.ReportPlayer.OSRFunctions.OSRGet("d_Account","Code"), " - ", _xll.OneStop.ReportPlayer.OSRFunctions.OSRGet("d_Account","Description"))</f>
        <v>#NAME?</v>
      </c>
      <c r="C13" s="10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0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1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4" customFormat="1" collapsed="1" x14ac:dyDescent="0.25">
      <c r="A15" s="11"/>
      <c r="B15" s="29" t="s">
        <v>256</v>
      </c>
      <c r="C15" s="11"/>
      <c r="D15" s="4" t="e">
        <f ca="1">SUM(_xll.OneStop.ReportPlayer.OSRFunctions.OSRRef(D16))</f>
        <v>#NAME?</v>
      </c>
      <c r="E15" s="4"/>
      <c r="F15" s="13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3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3" t="e">
        <f t="shared" ref="N15:N16" ca="1" si="7">IF(H15=0,0,L15/H15)</f>
        <v>#NAME?</v>
      </c>
      <c r="O15" s="11"/>
      <c r="P15" s="4" t="e">
        <f ca="1">SUM(_xll.OneStop.ReportPlayer.OSRFunctions.OSRRef(P16))</f>
        <v>#NAME?</v>
      </c>
      <c r="Q15" s="4"/>
      <c r="R15" s="13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3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3" t="e">
        <f t="shared" ref="Z15:Z16" ca="1" si="11">IF(T15=0,0,X15/T15)</f>
        <v>#NAME?</v>
      </c>
    </row>
    <row r="16" spans="1:26" s="23" customFormat="1" hidden="1" outlineLevel="1" x14ac:dyDescent="0.25">
      <c r="A16" s="44"/>
      <c r="B16" s="10" t="e">
        <f ca="1">CONCATENATE("          ", _xll.OneStop.ReportPlayer.OSRFunctions.OSRGet("d_Account","Code"), " - ", _xll.OneStop.ReportPlayer.OSRFunctions.OSRGet("d_Account","Description"))</f>
        <v>#NAME?</v>
      </c>
      <c r="C16" s="10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0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1"/>
      <c r="C17" s="11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1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4" customFormat="1" x14ac:dyDescent="0.25">
      <c r="A18" s="11"/>
      <c r="B18" s="28" t="s">
        <v>107</v>
      </c>
      <c r="C18" s="28"/>
      <c r="D18" s="21" t="e">
        <f ca="1">D12-D15</f>
        <v>#NAME?</v>
      </c>
      <c r="E18" s="14"/>
      <c r="F18" s="22" t="e">
        <f ca="1">IF(D$12=0,0,D18/D$12)</f>
        <v>#NAME?</v>
      </c>
      <c r="G18" s="14"/>
      <c r="H18" s="21" t="e">
        <f ca="1">H12-H15</f>
        <v>#NAME?</v>
      </c>
      <c r="I18" s="14"/>
      <c r="J18" s="22" t="e">
        <f ca="1">IF(H$12=0,0,H18/H$12)</f>
        <v>#NAME?</v>
      </c>
      <c r="K18" s="15"/>
      <c r="L18" s="21" t="e">
        <f ca="1">+D18-H18</f>
        <v>#NAME?</v>
      </c>
      <c r="M18" s="15"/>
      <c r="N18" s="22" t="e">
        <f ca="1">IF(H18=0,0,L18/H18)</f>
        <v>#NAME?</v>
      </c>
      <c r="O18" s="29"/>
      <c r="P18" s="21" t="e">
        <f ca="1">P12-P15</f>
        <v>#NAME?</v>
      </c>
      <c r="Q18" s="14"/>
      <c r="R18" s="22" t="e">
        <f ca="1">IF(P$12=0,0,P18/P$12)</f>
        <v>#NAME?</v>
      </c>
      <c r="S18" s="14"/>
      <c r="T18" s="21" t="e">
        <f ca="1">T12-T15</f>
        <v>#NAME?</v>
      </c>
      <c r="U18" s="14"/>
      <c r="V18" s="22" t="e">
        <f ca="1">IF(T$12=0,0,T18/T$12)</f>
        <v>#NAME?</v>
      </c>
      <c r="W18" s="15"/>
      <c r="X18" s="21" t="e">
        <f ca="1">+P18-T18</f>
        <v>#NAME?</v>
      </c>
      <c r="Y18" s="15"/>
      <c r="Z18" s="22" t="e">
        <f ca="1">IF(T18=0,0,X18/T18)</f>
        <v>#NAME?</v>
      </c>
    </row>
    <row r="19" spans="1:26" x14ac:dyDescent="0.25">
      <c r="A19" s="9"/>
      <c r="B19" s="11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4" customFormat="1" x14ac:dyDescent="0.25">
      <c r="A20" s="11"/>
      <c r="B20" s="29" t="s">
        <v>294</v>
      </c>
      <c r="C20" s="11"/>
      <c r="D20" s="20" t="e">
        <f ca="1">SUM(_xll.OneStop.ReportPlayer.OSRFunctions.OSRRef(D22))</f>
        <v>#NAME?</v>
      </c>
      <c r="E20" s="20"/>
      <c r="F20" s="32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2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2" t="e">
        <f t="shared" ref="N20:N22" ca="1" si="15">IF(H20=0,0,L20/H20)</f>
        <v>#NAME?</v>
      </c>
      <c r="O20" s="11"/>
      <c r="P20" s="20" t="e">
        <f ca="1">SUM(_xll.OneStop.ReportPlayer.OSRFunctions.OSRRef(P22))</f>
        <v>#NAME?</v>
      </c>
      <c r="Q20" s="20"/>
      <c r="R20" s="32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2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2" t="e">
        <f t="shared" ref="Z20:Z22" ca="1" si="19">IF(T20=0,0,X20/T20)</f>
        <v>#NAME?</v>
      </c>
    </row>
    <row r="21" spans="1:26" s="27" customFormat="1" outlineLevel="1" collapsed="1" x14ac:dyDescent="0.25">
      <c r="A21" s="26"/>
      <c r="B21" s="12" t="e">
        <f ca="1">CONCATENATE("     ",_xll.OneStop.ReportPlayer.OSRFunctions.OSRGet("d_Account","AccountCategory"))</f>
        <v>#NAME?</v>
      </c>
      <c r="C21" s="12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2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3" customFormat="1" hidden="1" outlineLevel="2" x14ac:dyDescent="0.25">
      <c r="A22" s="25"/>
      <c r="B22" s="10" t="e">
        <f ca="1">CONCATENATE("          ", _xll.OneStop.ReportPlayer.OSRFunctions.OSRGet("d_Account","Code"), " - ", _xll.OneStop.ReportPlayer.OSRFunctions.OSRGet("d_Account","Description"))</f>
        <v>#NAME?</v>
      </c>
      <c r="C22" s="10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0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2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4" customFormat="1" collapsed="1" x14ac:dyDescent="0.25">
      <c r="A24" s="11"/>
      <c r="B24" s="29" t="s">
        <v>292</v>
      </c>
      <c r="C24" s="11"/>
      <c r="D24" s="4" t="e">
        <f ca="1">SUM(_xll.OneStop.ReportPlayer.OSRFunctions.OSRRef(D25))</f>
        <v>#NAME?</v>
      </c>
      <c r="E24" s="4"/>
      <c r="F24" s="13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3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3" t="e">
        <f t="shared" ref="N24:N25" ca="1" si="23">IF(H24=0,0,L24/H24)</f>
        <v>#NAME?</v>
      </c>
      <c r="O24" s="11"/>
      <c r="P24" s="4" t="e">
        <f ca="1">SUM(_xll.OneStop.ReportPlayer.OSRFunctions.OSRRef(P25))</f>
        <v>#NAME?</v>
      </c>
      <c r="Q24" s="4"/>
      <c r="R24" s="13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3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3" t="e">
        <f t="shared" ref="Z24:Z25" ca="1" si="27">IF(T24=0,0,X24/T24)</f>
        <v>#NAME?</v>
      </c>
    </row>
    <row r="25" spans="1:26" s="23" customFormat="1" hidden="1" outlineLevel="1" x14ac:dyDescent="0.25">
      <c r="A25" s="44"/>
      <c r="B25" s="10" t="e">
        <f ca="1">CONCATENATE("          ", _xll.OneStop.ReportPlayer.OSRFunctions.OSRGet("d_Account","Code"), " - ", _xll.OneStop.ReportPlayer.OSRFunctions.OSRGet("d_Account","Description"))</f>
        <v>#NAME?</v>
      </c>
      <c r="C25" s="10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0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1"/>
      <c r="C26" s="11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1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4" customFormat="1" x14ac:dyDescent="0.25">
      <c r="A27" s="11"/>
      <c r="B27" s="28" t="s">
        <v>276</v>
      </c>
      <c r="C27" s="28"/>
      <c r="D27" s="21" t="e">
        <f ca="1">+D18-D20+D24</f>
        <v>#NAME?</v>
      </c>
      <c r="E27" s="14"/>
      <c r="F27" s="22" t="e">
        <f ca="1">IF(D$12=0,0,D27/D$12)</f>
        <v>#NAME?</v>
      </c>
      <c r="G27" s="14"/>
      <c r="H27" s="21" t="e">
        <f ca="1">+H18-H20+H24</f>
        <v>#NAME?</v>
      </c>
      <c r="I27" s="14"/>
      <c r="J27" s="22" t="e">
        <f ca="1">IF(H$12=0,0,H27/H$12)</f>
        <v>#NAME?</v>
      </c>
      <c r="K27" s="15"/>
      <c r="L27" s="21" t="e">
        <f ca="1">+D27-H27</f>
        <v>#NAME?</v>
      </c>
      <c r="M27" s="15"/>
      <c r="N27" s="22" t="e">
        <f ca="1">IF(H27=0,0,L27/H27)</f>
        <v>#NAME?</v>
      </c>
      <c r="O27" s="29"/>
      <c r="P27" s="21" t="e">
        <f ca="1">+P18-P20+P24</f>
        <v>#NAME?</v>
      </c>
      <c r="Q27" s="14"/>
      <c r="R27" s="22" t="e">
        <f ca="1">IF(P$12=0,0,P27/P$12)</f>
        <v>#NAME?</v>
      </c>
      <c r="S27" s="14"/>
      <c r="T27" s="21" t="e">
        <f ca="1">+T18-T20+T24</f>
        <v>#NAME?</v>
      </c>
      <c r="U27" s="14"/>
      <c r="V27" s="22" t="e">
        <f ca="1">IF(T$12=0,0,T27/T$12)</f>
        <v>#NAME?</v>
      </c>
      <c r="W27" s="15"/>
      <c r="X27" s="21" t="e">
        <f ca="1">+P27-T27</f>
        <v>#NAME?</v>
      </c>
      <c r="Y27" s="15"/>
      <c r="Z27" s="22" t="e">
        <f ca="1">IF(T27=0,0,X27/T27)</f>
        <v>#NAME?</v>
      </c>
    </row>
    <row r="28" spans="1:26" x14ac:dyDescent="0.25">
      <c r="A28" s="9"/>
      <c r="B28" s="11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4" customFormat="1" x14ac:dyDescent="0.25">
      <c r="A29" s="51"/>
      <c r="B29" s="11" t="s">
        <v>127</v>
      </c>
      <c r="C29" s="11"/>
      <c r="D29" s="4" t="e">
        <f ca="1">_xll.OneStop.ReportPlayer.OSRFunctions.OSRGet("GL_F_Trans","Value1")</f>
        <v>#NAME?</v>
      </c>
      <c r="E29" s="4"/>
      <c r="F29" s="13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3" t="e">
        <f ca="1">IF(H$12=0,0,H29/H$12)</f>
        <v>#NAME?</v>
      </c>
      <c r="K29" s="4"/>
      <c r="L29" s="4" t="e">
        <f ca="1">+D29-H29</f>
        <v>#NAME?</v>
      </c>
      <c r="M29" s="4"/>
      <c r="N29" s="13" t="e">
        <f ca="1">IF(H29=0,0,L29/H29)</f>
        <v>#NAME?</v>
      </c>
      <c r="O29" s="11"/>
      <c r="P29" s="4" t="e">
        <f ca="1">_xll.OneStop.ReportPlayer.OSRFunctions.OSRGet("GL_F_Trans","Value1")</f>
        <v>#NAME?</v>
      </c>
      <c r="Q29" s="4"/>
      <c r="R29" s="13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3" t="e">
        <f ca="1">IF(T$12=0,0,T29/T$12)</f>
        <v>#NAME?</v>
      </c>
      <c r="W29" s="4"/>
      <c r="X29" s="4" t="e">
        <f ca="1">+P29-T29</f>
        <v>#NAME?</v>
      </c>
      <c r="Y29" s="4"/>
      <c r="Z29" s="13" t="e">
        <f ca="1">IF(T29=0,0,X29/T29)</f>
        <v>#NAME?</v>
      </c>
    </row>
    <row r="30" spans="1:26" x14ac:dyDescent="0.25">
      <c r="A30" s="9"/>
      <c r="B30" s="11"/>
      <c r="C30" s="11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1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4" customFormat="1" ht="15.75" thickBot="1" x14ac:dyDescent="0.3">
      <c r="A31" s="11"/>
      <c r="B31" s="28" t="s">
        <v>125</v>
      </c>
      <c r="C31" s="28"/>
      <c r="D31" s="34" t="e">
        <f ca="1">+D27-D29</f>
        <v>#NAME?</v>
      </c>
      <c r="E31" s="14"/>
      <c r="F31" s="31" t="e">
        <f ca="1">IF(D$12=0,0,D31/D$12)</f>
        <v>#NAME?</v>
      </c>
      <c r="G31" s="14"/>
      <c r="H31" s="34" t="e">
        <f ca="1">+H27-H29</f>
        <v>#NAME?</v>
      </c>
      <c r="I31" s="14"/>
      <c r="J31" s="31" t="e">
        <f ca="1">IF(H$12=0,0,H31/H$12)</f>
        <v>#NAME?</v>
      </c>
      <c r="K31" s="15"/>
      <c r="L31" s="34" t="e">
        <f ca="1">D31-H31</f>
        <v>#NAME?</v>
      </c>
      <c r="M31" s="15"/>
      <c r="N31" s="31" t="e">
        <f ca="1">IF(H31=0,0,L31/H31)</f>
        <v>#NAME?</v>
      </c>
      <c r="O31" s="29"/>
      <c r="P31" s="34" t="e">
        <f ca="1">+P27-P29</f>
        <v>#NAME?</v>
      </c>
      <c r="Q31" s="14"/>
      <c r="R31" s="31" t="e">
        <f ca="1">IF(P$12=0,0,P31/P$12)</f>
        <v>#NAME?</v>
      </c>
      <c r="S31" s="14"/>
      <c r="T31" s="34" t="e">
        <f ca="1">+T27-T29</f>
        <v>#NAME?</v>
      </c>
      <c r="U31" s="14"/>
      <c r="V31" s="31" t="e">
        <f ca="1">IF(T$12=0,0,T31/T$12)</f>
        <v>#NAME?</v>
      </c>
      <c r="W31" s="15"/>
      <c r="X31" s="34" t="e">
        <f ca="1">P31-T31</f>
        <v>#NAME?</v>
      </c>
      <c r="Y31" s="15"/>
      <c r="Z31" s="31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4" customFormat="1" x14ac:dyDescent="0.25">
      <c r="A33" s="51"/>
      <c r="B33" s="11" t="s">
        <v>183</v>
      </c>
      <c r="C33" s="11"/>
      <c r="D33" s="4" t="e">
        <f ca="1">-_xll.OneStop.ReportPlayer.OSRFunctions.OSRGet("GL_F_Trans","Value1")</f>
        <v>#NAME?</v>
      </c>
      <c r="E33" s="4"/>
      <c r="F33" s="13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3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3" t="e">
        <f t="shared" ref="N33:N34" ca="1" si="31">IF(H33=0,0,L33/H33)</f>
        <v>#NAME?</v>
      </c>
      <c r="O33" s="11"/>
      <c r="P33" s="4" t="e">
        <f ca="1">-_xll.OneStop.ReportPlayer.OSRFunctions.OSRGet("GL_F_Trans","Value1")</f>
        <v>#NAME?</v>
      </c>
      <c r="Q33" s="4"/>
      <c r="R33" s="13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3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3" t="e">
        <f t="shared" ref="Z33:Z34" ca="1" si="35">IF(T33=0,0,X33/T33)</f>
        <v>#NAME?</v>
      </c>
    </row>
    <row r="34" spans="1:26" s="24" customFormat="1" x14ac:dyDescent="0.25">
      <c r="A34" s="51"/>
      <c r="B34" s="11" t="s">
        <v>81</v>
      </c>
      <c r="C34" s="11"/>
      <c r="D34" s="4" t="e">
        <f ca="1">-_xll.OneStop.ReportPlayer.OSRFunctions.OSRGet("GL_F_Trans","Value1")</f>
        <v>#NAME?</v>
      </c>
      <c r="E34" s="4"/>
      <c r="F34" s="13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3" t="e">
        <f t="shared" ca="1" si="29"/>
        <v>#NAME?</v>
      </c>
      <c r="K34" s="4"/>
      <c r="L34" s="4" t="e">
        <f t="shared" ca="1" si="30"/>
        <v>#NAME?</v>
      </c>
      <c r="M34" s="4"/>
      <c r="N34" s="13" t="e">
        <f t="shared" ca="1" si="31"/>
        <v>#NAME?</v>
      </c>
      <c r="O34" s="11"/>
      <c r="P34" s="4" t="e">
        <f ca="1">-_xll.OneStop.ReportPlayer.OSRFunctions.OSRGet("GL_F_Trans","Value1")</f>
        <v>#NAME?</v>
      </c>
      <c r="Q34" s="4"/>
      <c r="R34" s="13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3" t="e">
        <f t="shared" ca="1" si="33"/>
        <v>#NAME?</v>
      </c>
      <c r="W34" s="4"/>
      <c r="X34" s="4" t="e">
        <f t="shared" ca="1" si="34"/>
        <v>#NAME?</v>
      </c>
      <c r="Y34" s="4"/>
      <c r="Z34" s="13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4" customFormat="1" ht="15.75" thickBot="1" x14ac:dyDescent="0.3">
      <c r="A36" s="11"/>
      <c r="B36" s="28" t="s">
        <v>293</v>
      </c>
      <c r="C36" s="28"/>
      <c r="D36" s="33" t="e">
        <f ca="1">SUM(D31:D35)</f>
        <v>#NAME?</v>
      </c>
      <c r="E36" s="14"/>
      <c r="F36" s="35" t="e">
        <f ca="1">IF(D$12=0,0,D36/D$12)</f>
        <v>#NAME?</v>
      </c>
      <c r="G36" s="14"/>
      <c r="H36" s="33" t="e">
        <f ca="1">SUM(H31:H35)</f>
        <v>#NAME?</v>
      </c>
      <c r="I36" s="14"/>
      <c r="J36" s="35" t="e">
        <f ca="1">IF(H$12=0,0,H36/H$12)</f>
        <v>#NAME?</v>
      </c>
      <c r="K36" s="15"/>
      <c r="L36" s="33" t="e">
        <f ca="1">+D36-H36</f>
        <v>#NAME?</v>
      </c>
      <c r="M36" s="15"/>
      <c r="N36" s="35" t="e">
        <f ca="1">IF(H36=0,0,L36/H36)</f>
        <v>#NAME?</v>
      </c>
      <c r="O36" s="29"/>
      <c r="P36" s="33" t="e">
        <f ca="1">SUM(P31:P35)</f>
        <v>#NAME?</v>
      </c>
      <c r="Q36" s="14"/>
      <c r="R36" s="35" t="e">
        <f ca="1">IF(P$12=0,0,P36/P$12)</f>
        <v>#NAME?</v>
      </c>
      <c r="S36" s="14"/>
      <c r="T36" s="33" t="e">
        <f ca="1">SUM(T31:T35)</f>
        <v>#NAME?</v>
      </c>
      <c r="U36" s="14"/>
      <c r="V36" s="35" t="e">
        <f ca="1">IF(T$12=0,0,T36/T$12)</f>
        <v>#NAME?</v>
      </c>
      <c r="W36" s="15"/>
      <c r="X36" s="33" t="e">
        <f ca="1">+P36-T36</f>
        <v>#NAME?</v>
      </c>
      <c r="Y36" s="15"/>
      <c r="Z36" s="35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56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55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60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theme="5" tint="0.39997558519241921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62" t="s">
        <v>23</v>
      </c>
    </row>
    <row r="3" spans="1:26" x14ac:dyDescent="0.25">
      <c r="D3" s="62" t="s">
        <v>236</v>
      </c>
      <c r="E3" s="17"/>
      <c r="F3" s="46"/>
      <c r="G3" s="17"/>
      <c r="H3" s="17"/>
      <c r="I3" s="17"/>
      <c r="J3" s="38"/>
      <c r="K3" s="17"/>
      <c r="L3" s="17"/>
      <c r="M3" s="17"/>
      <c r="N3" s="46"/>
      <c r="O3" s="53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2" t="e">
        <f ca="1">CONCATENATE("Period ",RIGHT(_xll.OneStop.ReportPlayer.OSRFunctions.OSRGet("Period","PeriodId"),2),", ",_xll.OneStop.ReportPlayer.OSRFunctions.OSRGet("Period","Year"))</f>
        <v>#NAME?</v>
      </c>
      <c r="E4" s="17"/>
      <c r="F4" s="46"/>
      <c r="G4" s="17"/>
      <c r="H4" s="17"/>
      <c r="I4" s="17"/>
      <c r="J4" s="38"/>
      <c r="K4" s="17"/>
      <c r="L4" s="17"/>
      <c r="M4" s="17"/>
      <c r="N4" s="46"/>
      <c r="O4" s="53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4"/>
      <c r="D5" s="64" t="e">
        <f ca="1">_xll.OneStop.ReportPlayer.OSRFunctions.OSRGet("Period","PeriodEnd")</f>
        <v>#NAME?</v>
      </c>
      <c r="E5" s="17"/>
      <c r="F5" s="46"/>
      <c r="G5" s="17"/>
      <c r="H5" s="17"/>
      <c r="I5" s="17"/>
      <c r="J5" s="38"/>
      <c r="K5" s="17"/>
      <c r="L5" s="17"/>
      <c r="M5" s="17"/>
      <c r="N5" s="46"/>
      <c r="O5" s="53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4"/>
      <c r="B6" s="48"/>
      <c r="C6" s="48"/>
      <c r="D6" s="24" t="s">
        <v>313</v>
      </c>
      <c r="E6" s="17"/>
      <c r="F6" s="46"/>
      <c r="G6" s="17"/>
      <c r="H6" s="17"/>
      <c r="I6" s="17"/>
      <c r="J6" s="38"/>
      <c r="K6" s="17"/>
      <c r="L6" s="17"/>
      <c r="M6" s="17"/>
      <c r="N6" s="46"/>
      <c r="O6" s="54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9"/>
    </row>
    <row r="8" spans="1:26" x14ac:dyDescent="0.25">
      <c r="B8" s="59"/>
    </row>
    <row r="9" spans="1:26" x14ac:dyDescent="0.25">
      <c r="B9" s="9"/>
      <c r="C9" s="9"/>
      <c r="D9" s="16" t="s">
        <v>291</v>
      </c>
      <c r="E9" s="16"/>
      <c r="F9" s="39"/>
      <c r="G9" s="16"/>
      <c r="H9" s="16"/>
      <c r="I9" s="16"/>
      <c r="J9" s="49"/>
      <c r="K9" s="16"/>
      <c r="L9" s="16"/>
      <c r="M9" s="16"/>
      <c r="N9" s="39"/>
      <c r="P9" s="16" t="s">
        <v>39</v>
      </c>
      <c r="Q9" s="16"/>
      <c r="R9" s="39"/>
      <c r="S9" s="16"/>
      <c r="T9" s="16"/>
      <c r="U9" s="16"/>
      <c r="V9" s="49"/>
      <c r="W9" s="16"/>
      <c r="X9" s="16"/>
      <c r="Y9" s="16"/>
      <c r="Z9" s="39"/>
    </row>
    <row r="10" spans="1:26" x14ac:dyDescent="0.25">
      <c r="A10" s="11"/>
      <c r="B10" s="58"/>
      <c r="C10" s="11"/>
      <c r="D10" s="42" t="s">
        <v>57</v>
      </c>
      <c r="E10" s="36"/>
      <c r="F10" s="30" t="s">
        <v>40</v>
      </c>
      <c r="G10" s="36"/>
      <c r="H10" s="50" t="s">
        <v>237</v>
      </c>
      <c r="I10" s="36"/>
      <c r="J10" s="30" t="s">
        <v>40</v>
      </c>
      <c r="K10" s="11"/>
      <c r="L10" s="42" t="s">
        <v>126</v>
      </c>
      <c r="M10" s="11"/>
      <c r="N10" s="30" t="s">
        <v>257</v>
      </c>
      <c r="O10" s="11"/>
      <c r="P10" s="61" t="s">
        <v>57</v>
      </c>
      <c r="Q10" s="36"/>
      <c r="R10" s="30" t="s">
        <v>40</v>
      </c>
      <c r="S10" s="36"/>
      <c r="T10" s="50" t="s">
        <v>237</v>
      </c>
      <c r="U10" s="36"/>
      <c r="V10" s="30" t="s">
        <v>40</v>
      </c>
      <c r="W10" s="11"/>
      <c r="X10" s="42" t="s">
        <v>126</v>
      </c>
      <c r="Y10" s="11"/>
      <c r="Z10" s="30" t="s">
        <v>257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4" customFormat="1" collapsed="1" x14ac:dyDescent="0.25">
      <c r="A12" s="11"/>
      <c r="B12" s="29" t="s">
        <v>139</v>
      </c>
      <c r="C12" s="11"/>
      <c r="D12" s="4" t="e">
        <f ca="1">SUM(_xll.OneStop.ReportPlayer.OSRFunctions.OSRRef(D13))</f>
        <v>#NAME?</v>
      </c>
      <c r="E12" s="4"/>
      <c r="F12" s="13"/>
      <c r="G12" s="4"/>
      <c r="H12" s="4" t="e">
        <f ca="1">SUM(_xll.OneStop.ReportPlayer.OSRFunctions.OSRRef(H13))</f>
        <v>#NAME?</v>
      </c>
      <c r="I12" s="4"/>
      <c r="J12" s="13"/>
      <c r="K12" s="4"/>
      <c r="L12" s="4" t="e">
        <f t="shared" ref="L12:L13" ca="1" si="0">+D12-H12</f>
        <v>#NAME?</v>
      </c>
      <c r="M12" s="4"/>
      <c r="N12" s="13" t="e">
        <f t="shared" ref="N12:N13" ca="1" si="1">IF(H12=0,0,L12/H12)</f>
        <v>#NAME?</v>
      </c>
      <c r="O12" s="11"/>
      <c r="P12" s="4" t="e">
        <f ca="1">SUM(_xll.OneStop.ReportPlayer.OSRFunctions.OSRRef(P13))</f>
        <v>#NAME?</v>
      </c>
      <c r="Q12" s="4"/>
      <c r="R12" s="13"/>
      <c r="S12" s="4"/>
      <c r="T12" s="4" t="e">
        <f ca="1">SUM(_xll.OneStop.ReportPlayer.OSRFunctions.OSRRef(T13))</f>
        <v>#NAME?</v>
      </c>
      <c r="U12" s="4"/>
      <c r="V12" s="13"/>
      <c r="W12" s="4"/>
      <c r="X12" s="4" t="e">
        <f t="shared" ref="X12:X13" ca="1" si="2">+P12-T12</f>
        <v>#NAME?</v>
      </c>
      <c r="Y12" s="4"/>
      <c r="Z12" s="13" t="e">
        <f t="shared" ref="Z12:Z13" ca="1" si="3">IF(T12=0,0,X12/T12)</f>
        <v>#NAME?</v>
      </c>
    </row>
    <row r="13" spans="1:26" s="23" customFormat="1" hidden="1" outlineLevel="1" x14ac:dyDescent="0.25">
      <c r="A13" s="44"/>
      <c r="B13" s="10" t="e">
        <f ca="1">CONCATENATE("          ", _xll.OneStop.ReportPlayer.OSRFunctions.OSRGet("d_Account","Code"), " - ", _xll.OneStop.ReportPlayer.OSRFunctions.OSRGet("d_Account","Description"))</f>
        <v>#NAME?</v>
      </c>
      <c r="C13" s="10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0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1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4" customFormat="1" collapsed="1" x14ac:dyDescent="0.25">
      <c r="A15" s="11"/>
      <c r="B15" s="29" t="s">
        <v>256</v>
      </c>
      <c r="C15" s="11"/>
      <c r="D15" s="4" t="e">
        <f ca="1">SUM(_xll.OneStop.ReportPlayer.OSRFunctions.OSRRef(D16))</f>
        <v>#NAME?</v>
      </c>
      <c r="E15" s="4"/>
      <c r="F15" s="13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3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3" t="e">
        <f t="shared" ref="N15:N16" ca="1" si="7">IF(H15=0,0,L15/H15)</f>
        <v>#NAME?</v>
      </c>
      <c r="O15" s="11"/>
      <c r="P15" s="4" t="e">
        <f ca="1">SUM(_xll.OneStop.ReportPlayer.OSRFunctions.OSRRef(P16))</f>
        <v>#NAME?</v>
      </c>
      <c r="Q15" s="4"/>
      <c r="R15" s="13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3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3" t="e">
        <f t="shared" ref="Z15:Z16" ca="1" si="11">IF(T15=0,0,X15/T15)</f>
        <v>#NAME?</v>
      </c>
    </row>
    <row r="16" spans="1:26" s="23" customFormat="1" hidden="1" outlineLevel="1" x14ac:dyDescent="0.25">
      <c r="A16" s="44"/>
      <c r="B16" s="10" t="e">
        <f ca="1">CONCATENATE("          ", _xll.OneStop.ReportPlayer.OSRFunctions.OSRGet("d_Account","Code"), " - ", _xll.OneStop.ReportPlayer.OSRFunctions.OSRGet("d_Account","Description"))</f>
        <v>#NAME?</v>
      </c>
      <c r="C16" s="10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0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1"/>
      <c r="C17" s="11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1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4" customFormat="1" x14ac:dyDescent="0.25">
      <c r="A18" s="11"/>
      <c r="B18" s="28" t="s">
        <v>107</v>
      </c>
      <c r="C18" s="28"/>
      <c r="D18" s="21" t="e">
        <f ca="1">D12-D15</f>
        <v>#NAME?</v>
      </c>
      <c r="E18" s="14"/>
      <c r="F18" s="22" t="e">
        <f ca="1">IF(D$12=0,0,D18/D$12)</f>
        <v>#NAME?</v>
      </c>
      <c r="G18" s="14"/>
      <c r="H18" s="21" t="e">
        <f ca="1">H12-H15</f>
        <v>#NAME?</v>
      </c>
      <c r="I18" s="14"/>
      <c r="J18" s="22" t="e">
        <f ca="1">IF(H$12=0,0,H18/H$12)</f>
        <v>#NAME?</v>
      </c>
      <c r="K18" s="15"/>
      <c r="L18" s="21" t="e">
        <f ca="1">+D18-H18</f>
        <v>#NAME?</v>
      </c>
      <c r="M18" s="15"/>
      <c r="N18" s="22" t="e">
        <f ca="1">IF(H18=0,0,L18/H18)</f>
        <v>#NAME?</v>
      </c>
      <c r="O18" s="29"/>
      <c r="P18" s="21" t="e">
        <f ca="1">P12-P15</f>
        <v>#NAME?</v>
      </c>
      <c r="Q18" s="14"/>
      <c r="R18" s="22" t="e">
        <f ca="1">IF(P$12=0,0,P18/P$12)</f>
        <v>#NAME?</v>
      </c>
      <c r="S18" s="14"/>
      <c r="T18" s="21" t="e">
        <f ca="1">T12-T15</f>
        <v>#NAME?</v>
      </c>
      <c r="U18" s="14"/>
      <c r="V18" s="22" t="e">
        <f ca="1">IF(T$12=0,0,T18/T$12)</f>
        <v>#NAME?</v>
      </c>
      <c r="W18" s="15"/>
      <c r="X18" s="21" t="e">
        <f ca="1">+P18-T18</f>
        <v>#NAME?</v>
      </c>
      <c r="Y18" s="15"/>
      <c r="Z18" s="22" t="e">
        <f ca="1">IF(T18=0,0,X18/T18)</f>
        <v>#NAME?</v>
      </c>
    </row>
    <row r="19" spans="1:26" x14ac:dyDescent="0.25">
      <c r="A19" s="9"/>
      <c r="B19" s="11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4" customFormat="1" x14ac:dyDescent="0.25">
      <c r="A20" s="11"/>
      <c r="B20" s="29" t="s">
        <v>294</v>
      </c>
      <c r="C20" s="11"/>
      <c r="D20" s="20" t="e">
        <f ca="1">SUM(_xll.OneStop.ReportPlayer.OSRFunctions.OSRRef(D22))</f>
        <v>#NAME?</v>
      </c>
      <c r="E20" s="20"/>
      <c r="F20" s="32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2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2" t="e">
        <f t="shared" ref="N20:N22" ca="1" si="15">IF(H20=0,0,L20/H20)</f>
        <v>#NAME?</v>
      </c>
      <c r="O20" s="11"/>
      <c r="P20" s="20" t="e">
        <f ca="1">SUM(_xll.OneStop.ReportPlayer.OSRFunctions.OSRRef(P22))</f>
        <v>#NAME?</v>
      </c>
      <c r="Q20" s="20"/>
      <c r="R20" s="32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2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2" t="e">
        <f t="shared" ref="Z20:Z22" ca="1" si="19">IF(T20=0,0,X20/T20)</f>
        <v>#NAME?</v>
      </c>
    </row>
    <row r="21" spans="1:26" s="27" customFormat="1" outlineLevel="1" collapsed="1" x14ac:dyDescent="0.25">
      <c r="A21" s="26"/>
      <c r="B21" s="12" t="e">
        <f ca="1">CONCATENATE("     ",_xll.OneStop.ReportPlayer.OSRFunctions.OSRGet("d_Account","AccountCategory"))</f>
        <v>#NAME?</v>
      </c>
      <c r="C21" s="12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2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3" customFormat="1" hidden="1" outlineLevel="2" x14ac:dyDescent="0.25">
      <c r="A22" s="25"/>
      <c r="B22" s="10" t="e">
        <f ca="1">CONCATENATE("          ", _xll.OneStop.ReportPlayer.OSRFunctions.OSRGet("d_Account","Code"), " - ", _xll.OneStop.ReportPlayer.OSRFunctions.OSRGet("d_Account","Description"))</f>
        <v>#NAME?</v>
      </c>
      <c r="C22" s="10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0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2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4" customFormat="1" collapsed="1" x14ac:dyDescent="0.25">
      <c r="A24" s="11"/>
      <c r="B24" s="29" t="s">
        <v>292</v>
      </c>
      <c r="C24" s="11"/>
      <c r="D24" s="4" t="e">
        <f ca="1">SUM(_xll.OneStop.ReportPlayer.OSRFunctions.OSRRef(D25))</f>
        <v>#NAME?</v>
      </c>
      <c r="E24" s="4"/>
      <c r="F24" s="13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3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3" t="e">
        <f t="shared" ref="N24:N25" ca="1" si="23">IF(H24=0,0,L24/H24)</f>
        <v>#NAME?</v>
      </c>
      <c r="O24" s="11"/>
      <c r="P24" s="4" t="e">
        <f ca="1">SUM(_xll.OneStop.ReportPlayer.OSRFunctions.OSRRef(P25))</f>
        <v>#NAME?</v>
      </c>
      <c r="Q24" s="4"/>
      <c r="R24" s="13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3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3" t="e">
        <f t="shared" ref="Z24:Z25" ca="1" si="27">IF(T24=0,0,X24/T24)</f>
        <v>#NAME?</v>
      </c>
    </row>
    <row r="25" spans="1:26" s="23" customFormat="1" hidden="1" outlineLevel="1" x14ac:dyDescent="0.25">
      <c r="A25" s="44"/>
      <c r="B25" s="10" t="e">
        <f ca="1">CONCATENATE("          ", _xll.OneStop.ReportPlayer.OSRFunctions.OSRGet("d_Account","Code"), " - ", _xll.OneStop.ReportPlayer.OSRFunctions.OSRGet("d_Account","Description"))</f>
        <v>#NAME?</v>
      </c>
      <c r="C25" s="10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0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1"/>
      <c r="C26" s="11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1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4" customFormat="1" x14ac:dyDescent="0.25">
      <c r="A27" s="11"/>
      <c r="B27" s="28" t="s">
        <v>276</v>
      </c>
      <c r="C27" s="28"/>
      <c r="D27" s="21" t="e">
        <f ca="1">+D18-D20+D24</f>
        <v>#NAME?</v>
      </c>
      <c r="E27" s="14"/>
      <c r="F27" s="22" t="e">
        <f ca="1">IF(D$12=0,0,D27/D$12)</f>
        <v>#NAME?</v>
      </c>
      <c r="G27" s="14"/>
      <c r="H27" s="21" t="e">
        <f ca="1">+H18-H20+H24</f>
        <v>#NAME?</v>
      </c>
      <c r="I27" s="14"/>
      <c r="J27" s="22" t="e">
        <f ca="1">IF(H$12=0,0,H27/H$12)</f>
        <v>#NAME?</v>
      </c>
      <c r="K27" s="15"/>
      <c r="L27" s="21" t="e">
        <f ca="1">+D27-H27</f>
        <v>#NAME?</v>
      </c>
      <c r="M27" s="15"/>
      <c r="N27" s="22" t="e">
        <f ca="1">IF(H27=0,0,L27/H27)</f>
        <v>#NAME?</v>
      </c>
      <c r="O27" s="29"/>
      <c r="P27" s="21" t="e">
        <f ca="1">+P18-P20+P24</f>
        <v>#NAME?</v>
      </c>
      <c r="Q27" s="14"/>
      <c r="R27" s="22" t="e">
        <f ca="1">IF(P$12=0,0,P27/P$12)</f>
        <v>#NAME?</v>
      </c>
      <c r="S27" s="14"/>
      <c r="T27" s="21" t="e">
        <f ca="1">+T18-T20+T24</f>
        <v>#NAME?</v>
      </c>
      <c r="U27" s="14"/>
      <c r="V27" s="22" t="e">
        <f ca="1">IF(T$12=0,0,T27/T$12)</f>
        <v>#NAME?</v>
      </c>
      <c r="W27" s="15"/>
      <c r="X27" s="21" t="e">
        <f ca="1">+P27-T27</f>
        <v>#NAME?</v>
      </c>
      <c r="Y27" s="15"/>
      <c r="Z27" s="22" t="e">
        <f ca="1">IF(T27=0,0,X27/T27)</f>
        <v>#NAME?</v>
      </c>
    </row>
    <row r="28" spans="1:26" x14ac:dyDescent="0.25">
      <c r="A28" s="9"/>
      <c r="B28" s="11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4" customFormat="1" x14ac:dyDescent="0.25">
      <c r="A29" s="51"/>
      <c r="B29" s="11" t="s">
        <v>127</v>
      </c>
      <c r="C29" s="11"/>
      <c r="D29" s="4" t="e">
        <f ca="1">_xll.OneStop.ReportPlayer.OSRFunctions.OSRGet("GL_F_Trans","Value1")</f>
        <v>#NAME?</v>
      </c>
      <c r="E29" s="4"/>
      <c r="F29" s="13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3" t="e">
        <f ca="1">IF(H$12=0,0,H29/H$12)</f>
        <v>#NAME?</v>
      </c>
      <c r="K29" s="4"/>
      <c r="L29" s="4" t="e">
        <f ca="1">+D29-H29</f>
        <v>#NAME?</v>
      </c>
      <c r="M29" s="4"/>
      <c r="N29" s="13" t="e">
        <f ca="1">IF(H29=0,0,L29/H29)</f>
        <v>#NAME?</v>
      </c>
      <c r="O29" s="11"/>
      <c r="P29" s="4" t="e">
        <f ca="1">_xll.OneStop.ReportPlayer.OSRFunctions.OSRGet("GL_F_Trans","Value1")</f>
        <v>#NAME?</v>
      </c>
      <c r="Q29" s="4"/>
      <c r="R29" s="13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3" t="e">
        <f ca="1">IF(T$12=0,0,T29/T$12)</f>
        <v>#NAME?</v>
      </c>
      <c r="W29" s="4"/>
      <c r="X29" s="4" t="e">
        <f ca="1">+P29-T29</f>
        <v>#NAME?</v>
      </c>
      <c r="Y29" s="4"/>
      <c r="Z29" s="13" t="e">
        <f ca="1">IF(T29=0,0,X29/T29)</f>
        <v>#NAME?</v>
      </c>
    </row>
    <row r="30" spans="1:26" x14ac:dyDescent="0.25">
      <c r="A30" s="9"/>
      <c r="B30" s="11"/>
      <c r="C30" s="11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1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4" customFormat="1" ht="15.75" thickBot="1" x14ac:dyDescent="0.3">
      <c r="A31" s="11"/>
      <c r="B31" s="28" t="s">
        <v>125</v>
      </c>
      <c r="C31" s="28"/>
      <c r="D31" s="34" t="e">
        <f ca="1">+D27-D29</f>
        <v>#NAME?</v>
      </c>
      <c r="E31" s="14"/>
      <c r="F31" s="31" t="e">
        <f ca="1">IF(D$12=0,0,D31/D$12)</f>
        <v>#NAME?</v>
      </c>
      <c r="G31" s="14"/>
      <c r="H31" s="34" t="e">
        <f ca="1">+H27-H29</f>
        <v>#NAME?</v>
      </c>
      <c r="I31" s="14"/>
      <c r="J31" s="31" t="e">
        <f ca="1">IF(H$12=0,0,H31/H$12)</f>
        <v>#NAME?</v>
      </c>
      <c r="K31" s="15"/>
      <c r="L31" s="34" t="e">
        <f ca="1">D31-H31</f>
        <v>#NAME?</v>
      </c>
      <c r="M31" s="15"/>
      <c r="N31" s="31" t="e">
        <f ca="1">IF(H31=0,0,L31/H31)</f>
        <v>#NAME?</v>
      </c>
      <c r="O31" s="29"/>
      <c r="P31" s="34" t="e">
        <f ca="1">+P27-P29</f>
        <v>#NAME?</v>
      </c>
      <c r="Q31" s="14"/>
      <c r="R31" s="31" t="e">
        <f ca="1">IF(P$12=0,0,P31/P$12)</f>
        <v>#NAME?</v>
      </c>
      <c r="S31" s="14"/>
      <c r="T31" s="34" t="e">
        <f ca="1">+T27-T29</f>
        <v>#NAME?</v>
      </c>
      <c r="U31" s="14"/>
      <c r="V31" s="31" t="e">
        <f ca="1">IF(T$12=0,0,T31/T$12)</f>
        <v>#NAME?</v>
      </c>
      <c r="W31" s="15"/>
      <c r="X31" s="34" t="e">
        <f ca="1">P31-T31</f>
        <v>#NAME?</v>
      </c>
      <c r="Y31" s="15"/>
      <c r="Z31" s="31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4" customFormat="1" x14ac:dyDescent="0.25">
      <c r="A33" s="51"/>
      <c r="B33" s="11" t="s">
        <v>183</v>
      </c>
      <c r="C33" s="11"/>
      <c r="D33" s="4" t="e">
        <f ca="1">-_xll.OneStop.ReportPlayer.OSRFunctions.OSRGet("GL_F_Trans","Value1")</f>
        <v>#NAME?</v>
      </c>
      <c r="E33" s="4"/>
      <c r="F33" s="13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3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3" t="e">
        <f t="shared" ref="N33:N34" ca="1" si="31">IF(H33=0,0,L33/H33)</f>
        <v>#NAME?</v>
      </c>
      <c r="O33" s="11"/>
      <c r="P33" s="4" t="e">
        <f ca="1">-_xll.OneStop.ReportPlayer.OSRFunctions.OSRGet("GL_F_Trans","Value1")</f>
        <v>#NAME?</v>
      </c>
      <c r="Q33" s="4"/>
      <c r="R33" s="13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3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3" t="e">
        <f t="shared" ref="Z33:Z34" ca="1" si="35">IF(T33=0,0,X33/T33)</f>
        <v>#NAME?</v>
      </c>
    </row>
    <row r="34" spans="1:26" s="24" customFormat="1" x14ac:dyDescent="0.25">
      <c r="A34" s="51"/>
      <c r="B34" s="11" t="s">
        <v>81</v>
      </c>
      <c r="C34" s="11"/>
      <c r="D34" s="4" t="e">
        <f ca="1">-_xll.OneStop.ReportPlayer.OSRFunctions.OSRGet("GL_F_Trans","Value1")</f>
        <v>#NAME?</v>
      </c>
      <c r="E34" s="4"/>
      <c r="F34" s="13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3" t="e">
        <f t="shared" ca="1" si="29"/>
        <v>#NAME?</v>
      </c>
      <c r="K34" s="4"/>
      <c r="L34" s="4" t="e">
        <f t="shared" ca="1" si="30"/>
        <v>#NAME?</v>
      </c>
      <c r="M34" s="4"/>
      <c r="N34" s="13" t="e">
        <f t="shared" ca="1" si="31"/>
        <v>#NAME?</v>
      </c>
      <c r="O34" s="11"/>
      <c r="P34" s="4" t="e">
        <f ca="1">-_xll.OneStop.ReportPlayer.OSRFunctions.OSRGet("GL_F_Trans","Value1")</f>
        <v>#NAME?</v>
      </c>
      <c r="Q34" s="4"/>
      <c r="R34" s="13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3" t="e">
        <f t="shared" ca="1" si="33"/>
        <v>#NAME?</v>
      </c>
      <c r="W34" s="4"/>
      <c r="X34" s="4" t="e">
        <f t="shared" ca="1" si="34"/>
        <v>#NAME?</v>
      </c>
      <c r="Y34" s="4"/>
      <c r="Z34" s="13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4" customFormat="1" ht="15.75" thickBot="1" x14ac:dyDescent="0.3">
      <c r="A36" s="11"/>
      <c r="B36" s="28" t="s">
        <v>293</v>
      </c>
      <c r="C36" s="28"/>
      <c r="D36" s="33" t="e">
        <f ca="1">SUM(D31:D35)</f>
        <v>#NAME?</v>
      </c>
      <c r="E36" s="14"/>
      <c r="F36" s="35" t="e">
        <f ca="1">IF(D$12=0,0,D36/D$12)</f>
        <v>#NAME?</v>
      </c>
      <c r="G36" s="14"/>
      <c r="H36" s="33" t="e">
        <f ca="1">SUM(H31:H35)</f>
        <v>#NAME?</v>
      </c>
      <c r="I36" s="14"/>
      <c r="J36" s="35" t="e">
        <f ca="1">IF(H$12=0,0,H36/H$12)</f>
        <v>#NAME?</v>
      </c>
      <c r="K36" s="15"/>
      <c r="L36" s="33" t="e">
        <f ca="1">+D36-H36</f>
        <v>#NAME?</v>
      </c>
      <c r="M36" s="15"/>
      <c r="N36" s="35" t="e">
        <f ca="1">IF(H36=0,0,L36/H36)</f>
        <v>#NAME?</v>
      </c>
      <c r="O36" s="29"/>
      <c r="P36" s="33" t="e">
        <f ca="1">SUM(P31:P35)</f>
        <v>#NAME?</v>
      </c>
      <c r="Q36" s="14"/>
      <c r="R36" s="35" t="e">
        <f ca="1">IF(P$12=0,0,P36/P$12)</f>
        <v>#NAME?</v>
      </c>
      <c r="S36" s="14"/>
      <c r="T36" s="33" t="e">
        <f ca="1">SUM(T31:T35)</f>
        <v>#NAME?</v>
      </c>
      <c r="U36" s="14"/>
      <c r="V36" s="35" t="e">
        <f ca="1">IF(T$12=0,0,T36/T$12)</f>
        <v>#NAME?</v>
      </c>
      <c r="W36" s="15"/>
      <c r="X36" s="33" t="e">
        <f ca="1">+P36-T36</f>
        <v>#NAME?</v>
      </c>
      <c r="Y36" s="15"/>
      <c r="Z36" s="35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56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55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60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theme="5" tint="0.39997558519241921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62" t="s">
        <v>23</v>
      </c>
    </row>
    <row r="3" spans="1:26" x14ac:dyDescent="0.25">
      <c r="D3" s="62" t="s">
        <v>236</v>
      </c>
      <c r="E3" s="17"/>
      <c r="F3" s="46"/>
      <c r="G3" s="17"/>
      <c r="H3" s="17"/>
      <c r="I3" s="17"/>
      <c r="J3" s="38"/>
      <c r="K3" s="17"/>
      <c r="L3" s="17"/>
      <c r="M3" s="17"/>
      <c r="N3" s="46"/>
      <c r="O3" s="53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2" t="e">
        <f ca="1">CONCATENATE("Period ",RIGHT(_xll.OneStop.ReportPlayer.OSRFunctions.OSRGet("Period","PeriodId"),2),", ",_xll.OneStop.ReportPlayer.OSRFunctions.OSRGet("Period","Year"))</f>
        <v>#NAME?</v>
      </c>
      <c r="E4" s="17"/>
      <c r="F4" s="46"/>
      <c r="G4" s="17"/>
      <c r="H4" s="17"/>
      <c r="I4" s="17"/>
      <c r="J4" s="38"/>
      <c r="K4" s="17"/>
      <c r="L4" s="17"/>
      <c r="M4" s="17"/>
      <c r="N4" s="46"/>
      <c r="O4" s="53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4"/>
      <c r="D5" s="64" t="e">
        <f ca="1">_xll.OneStop.ReportPlayer.OSRFunctions.OSRGet("Period","PeriodEnd")</f>
        <v>#NAME?</v>
      </c>
      <c r="E5" s="17"/>
      <c r="F5" s="46"/>
      <c r="G5" s="17"/>
      <c r="H5" s="17"/>
      <c r="I5" s="17"/>
      <c r="J5" s="38"/>
      <c r="K5" s="17"/>
      <c r="L5" s="17"/>
      <c r="M5" s="17"/>
      <c r="N5" s="46"/>
      <c r="O5" s="53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4"/>
      <c r="B6" s="48"/>
      <c r="C6" s="48"/>
      <c r="D6" s="24" t="s">
        <v>313</v>
      </c>
      <c r="E6" s="17"/>
      <c r="F6" s="46"/>
      <c r="G6" s="17"/>
      <c r="H6" s="17"/>
      <c r="I6" s="17"/>
      <c r="J6" s="38"/>
      <c r="K6" s="17"/>
      <c r="L6" s="17"/>
      <c r="M6" s="17"/>
      <c r="N6" s="46"/>
      <c r="O6" s="54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9"/>
    </row>
    <row r="8" spans="1:26" x14ac:dyDescent="0.25">
      <c r="B8" s="59"/>
    </row>
    <row r="9" spans="1:26" x14ac:dyDescent="0.25">
      <c r="B9" s="9"/>
      <c r="C9" s="9"/>
      <c r="D9" s="16" t="s">
        <v>291</v>
      </c>
      <c r="E9" s="16"/>
      <c r="F9" s="39"/>
      <c r="G9" s="16"/>
      <c r="H9" s="16"/>
      <c r="I9" s="16"/>
      <c r="J9" s="49"/>
      <c r="K9" s="16"/>
      <c r="L9" s="16"/>
      <c r="M9" s="16"/>
      <c r="N9" s="39"/>
      <c r="P9" s="16" t="s">
        <v>39</v>
      </c>
      <c r="Q9" s="16"/>
      <c r="R9" s="39"/>
      <c r="S9" s="16"/>
      <c r="T9" s="16"/>
      <c r="U9" s="16"/>
      <c r="V9" s="49"/>
      <c r="W9" s="16"/>
      <c r="X9" s="16"/>
      <c r="Y9" s="16"/>
      <c r="Z9" s="39"/>
    </row>
    <row r="10" spans="1:26" x14ac:dyDescent="0.25">
      <c r="A10" s="11"/>
      <c r="B10" s="58"/>
      <c r="C10" s="11"/>
      <c r="D10" s="42" t="s">
        <v>57</v>
      </c>
      <c r="E10" s="36"/>
      <c r="F10" s="30" t="s">
        <v>40</v>
      </c>
      <c r="G10" s="36"/>
      <c r="H10" s="50" t="s">
        <v>237</v>
      </c>
      <c r="I10" s="36"/>
      <c r="J10" s="30" t="s">
        <v>40</v>
      </c>
      <c r="K10" s="11"/>
      <c r="L10" s="42" t="s">
        <v>126</v>
      </c>
      <c r="M10" s="11"/>
      <c r="N10" s="30" t="s">
        <v>257</v>
      </c>
      <c r="O10" s="11"/>
      <c r="P10" s="61" t="s">
        <v>57</v>
      </c>
      <c r="Q10" s="36"/>
      <c r="R10" s="30" t="s">
        <v>40</v>
      </c>
      <c r="S10" s="36"/>
      <c r="T10" s="50" t="s">
        <v>237</v>
      </c>
      <c r="U10" s="36"/>
      <c r="V10" s="30" t="s">
        <v>40</v>
      </c>
      <c r="W10" s="11"/>
      <c r="X10" s="42" t="s">
        <v>126</v>
      </c>
      <c r="Y10" s="11"/>
      <c r="Z10" s="30" t="s">
        <v>257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4" customFormat="1" collapsed="1" x14ac:dyDescent="0.25">
      <c r="A12" s="11"/>
      <c r="B12" s="29" t="s">
        <v>139</v>
      </c>
      <c r="C12" s="11"/>
      <c r="D12" s="4" t="e">
        <f ca="1">SUM(_xll.OneStop.ReportPlayer.OSRFunctions.OSRRef(D13))</f>
        <v>#NAME?</v>
      </c>
      <c r="E12" s="4"/>
      <c r="F12" s="13"/>
      <c r="G12" s="4"/>
      <c r="H12" s="4" t="e">
        <f ca="1">SUM(_xll.OneStop.ReportPlayer.OSRFunctions.OSRRef(H13))</f>
        <v>#NAME?</v>
      </c>
      <c r="I12" s="4"/>
      <c r="J12" s="13"/>
      <c r="K12" s="4"/>
      <c r="L12" s="4" t="e">
        <f t="shared" ref="L12:L13" ca="1" si="0">+D12-H12</f>
        <v>#NAME?</v>
      </c>
      <c r="M12" s="4"/>
      <c r="N12" s="13" t="e">
        <f t="shared" ref="N12:N13" ca="1" si="1">IF(H12=0,0,L12/H12)</f>
        <v>#NAME?</v>
      </c>
      <c r="O12" s="11"/>
      <c r="P12" s="4" t="e">
        <f ca="1">SUM(_xll.OneStop.ReportPlayer.OSRFunctions.OSRRef(P13))</f>
        <v>#NAME?</v>
      </c>
      <c r="Q12" s="4"/>
      <c r="R12" s="13"/>
      <c r="S12" s="4"/>
      <c r="T12" s="4" t="e">
        <f ca="1">SUM(_xll.OneStop.ReportPlayer.OSRFunctions.OSRRef(T13))</f>
        <v>#NAME?</v>
      </c>
      <c r="U12" s="4"/>
      <c r="V12" s="13"/>
      <c r="W12" s="4"/>
      <c r="X12" s="4" t="e">
        <f t="shared" ref="X12:X13" ca="1" si="2">+P12-T12</f>
        <v>#NAME?</v>
      </c>
      <c r="Y12" s="4"/>
      <c r="Z12" s="13" t="e">
        <f t="shared" ref="Z12:Z13" ca="1" si="3">IF(T12=0,0,X12/T12)</f>
        <v>#NAME?</v>
      </c>
    </row>
    <row r="13" spans="1:26" s="23" customFormat="1" hidden="1" outlineLevel="1" x14ac:dyDescent="0.25">
      <c r="A13" s="44"/>
      <c r="B13" s="10" t="e">
        <f ca="1">CONCATENATE("          ", _xll.OneStop.ReportPlayer.OSRFunctions.OSRGet("d_Account","Code"), " - ", _xll.OneStop.ReportPlayer.OSRFunctions.OSRGet("d_Account","Description"))</f>
        <v>#NAME?</v>
      </c>
      <c r="C13" s="10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0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1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4" customFormat="1" collapsed="1" x14ac:dyDescent="0.25">
      <c r="A15" s="11"/>
      <c r="B15" s="29" t="s">
        <v>256</v>
      </c>
      <c r="C15" s="11"/>
      <c r="D15" s="4" t="e">
        <f ca="1">SUM(_xll.OneStop.ReportPlayer.OSRFunctions.OSRRef(D16))</f>
        <v>#NAME?</v>
      </c>
      <c r="E15" s="4"/>
      <c r="F15" s="13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3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3" t="e">
        <f t="shared" ref="N15:N16" ca="1" si="7">IF(H15=0,0,L15/H15)</f>
        <v>#NAME?</v>
      </c>
      <c r="O15" s="11"/>
      <c r="P15" s="4" t="e">
        <f ca="1">SUM(_xll.OneStop.ReportPlayer.OSRFunctions.OSRRef(P16))</f>
        <v>#NAME?</v>
      </c>
      <c r="Q15" s="4"/>
      <c r="R15" s="13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3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3" t="e">
        <f t="shared" ref="Z15:Z16" ca="1" si="11">IF(T15=0,0,X15/T15)</f>
        <v>#NAME?</v>
      </c>
    </row>
    <row r="16" spans="1:26" s="23" customFormat="1" hidden="1" outlineLevel="1" x14ac:dyDescent="0.25">
      <c r="A16" s="44"/>
      <c r="B16" s="10" t="e">
        <f ca="1">CONCATENATE("          ", _xll.OneStop.ReportPlayer.OSRFunctions.OSRGet("d_Account","Code"), " - ", _xll.OneStop.ReportPlayer.OSRFunctions.OSRGet("d_Account","Description"))</f>
        <v>#NAME?</v>
      </c>
      <c r="C16" s="10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0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1"/>
      <c r="C17" s="11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1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4" customFormat="1" x14ac:dyDescent="0.25">
      <c r="A18" s="11"/>
      <c r="B18" s="28" t="s">
        <v>107</v>
      </c>
      <c r="C18" s="28"/>
      <c r="D18" s="21" t="e">
        <f ca="1">D12-D15</f>
        <v>#NAME?</v>
      </c>
      <c r="E18" s="14"/>
      <c r="F18" s="22" t="e">
        <f ca="1">IF(D$12=0,0,D18/D$12)</f>
        <v>#NAME?</v>
      </c>
      <c r="G18" s="14"/>
      <c r="H18" s="21" t="e">
        <f ca="1">H12-H15</f>
        <v>#NAME?</v>
      </c>
      <c r="I18" s="14"/>
      <c r="J18" s="22" t="e">
        <f ca="1">IF(H$12=0,0,H18/H$12)</f>
        <v>#NAME?</v>
      </c>
      <c r="K18" s="15"/>
      <c r="L18" s="21" t="e">
        <f ca="1">+D18-H18</f>
        <v>#NAME?</v>
      </c>
      <c r="M18" s="15"/>
      <c r="N18" s="22" t="e">
        <f ca="1">IF(H18=0,0,L18/H18)</f>
        <v>#NAME?</v>
      </c>
      <c r="O18" s="29"/>
      <c r="P18" s="21" t="e">
        <f ca="1">P12-P15</f>
        <v>#NAME?</v>
      </c>
      <c r="Q18" s="14"/>
      <c r="R18" s="22" t="e">
        <f ca="1">IF(P$12=0,0,P18/P$12)</f>
        <v>#NAME?</v>
      </c>
      <c r="S18" s="14"/>
      <c r="T18" s="21" t="e">
        <f ca="1">T12-T15</f>
        <v>#NAME?</v>
      </c>
      <c r="U18" s="14"/>
      <c r="V18" s="22" t="e">
        <f ca="1">IF(T$12=0,0,T18/T$12)</f>
        <v>#NAME?</v>
      </c>
      <c r="W18" s="15"/>
      <c r="X18" s="21" t="e">
        <f ca="1">+P18-T18</f>
        <v>#NAME?</v>
      </c>
      <c r="Y18" s="15"/>
      <c r="Z18" s="22" t="e">
        <f ca="1">IF(T18=0,0,X18/T18)</f>
        <v>#NAME?</v>
      </c>
    </row>
    <row r="19" spans="1:26" x14ac:dyDescent="0.25">
      <c r="A19" s="9"/>
      <c r="B19" s="11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4" customFormat="1" x14ac:dyDescent="0.25">
      <c r="A20" s="11"/>
      <c r="B20" s="29" t="s">
        <v>294</v>
      </c>
      <c r="C20" s="11"/>
      <c r="D20" s="20" t="e">
        <f ca="1">SUM(_xll.OneStop.ReportPlayer.OSRFunctions.OSRRef(D22))</f>
        <v>#NAME?</v>
      </c>
      <c r="E20" s="20"/>
      <c r="F20" s="32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2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2" t="e">
        <f t="shared" ref="N20:N22" ca="1" si="15">IF(H20=0,0,L20/H20)</f>
        <v>#NAME?</v>
      </c>
      <c r="O20" s="11"/>
      <c r="P20" s="20" t="e">
        <f ca="1">SUM(_xll.OneStop.ReportPlayer.OSRFunctions.OSRRef(P22))</f>
        <v>#NAME?</v>
      </c>
      <c r="Q20" s="20"/>
      <c r="R20" s="32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2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2" t="e">
        <f t="shared" ref="Z20:Z22" ca="1" si="19">IF(T20=0,0,X20/T20)</f>
        <v>#NAME?</v>
      </c>
    </row>
    <row r="21" spans="1:26" s="27" customFormat="1" outlineLevel="1" collapsed="1" x14ac:dyDescent="0.25">
      <c r="A21" s="26"/>
      <c r="B21" s="12" t="e">
        <f ca="1">CONCATENATE("     ",_xll.OneStop.ReportPlayer.OSRFunctions.OSRGet("d_Account","AccountCategory"))</f>
        <v>#NAME?</v>
      </c>
      <c r="C21" s="12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2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3" customFormat="1" hidden="1" outlineLevel="2" x14ac:dyDescent="0.25">
      <c r="A22" s="25"/>
      <c r="B22" s="10" t="e">
        <f ca="1">CONCATENATE("          ", _xll.OneStop.ReportPlayer.OSRFunctions.OSRGet("d_Account","Code"), " - ", _xll.OneStop.ReportPlayer.OSRFunctions.OSRGet("d_Account","Description"))</f>
        <v>#NAME?</v>
      </c>
      <c r="C22" s="10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0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2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4" customFormat="1" collapsed="1" x14ac:dyDescent="0.25">
      <c r="A24" s="11"/>
      <c r="B24" s="29" t="s">
        <v>292</v>
      </c>
      <c r="C24" s="11"/>
      <c r="D24" s="4" t="e">
        <f ca="1">SUM(_xll.OneStop.ReportPlayer.OSRFunctions.OSRRef(D25))</f>
        <v>#NAME?</v>
      </c>
      <c r="E24" s="4"/>
      <c r="F24" s="13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3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3" t="e">
        <f t="shared" ref="N24:N25" ca="1" si="23">IF(H24=0,0,L24/H24)</f>
        <v>#NAME?</v>
      </c>
      <c r="O24" s="11"/>
      <c r="P24" s="4" t="e">
        <f ca="1">SUM(_xll.OneStop.ReportPlayer.OSRFunctions.OSRRef(P25))</f>
        <v>#NAME?</v>
      </c>
      <c r="Q24" s="4"/>
      <c r="R24" s="13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3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3" t="e">
        <f t="shared" ref="Z24:Z25" ca="1" si="27">IF(T24=0,0,X24/T24)</f>
        <v>#NAME?</v>
      </c>
    </row>
    <row r="25" spans="1:26" s="23" customFormat="1" hidden="1" outlineLevel="1" x14ac:dyDescent="0.25">
      <c r="A25" s="44"/>
      <c r="B25" s="10" t="e">
        <f ca="1">CONCATENATE("          ", _xll.OneStop.ReportPlayer.OSRFunctions.OSRGet("d_Account","Code"), " - ", _xll.OneStop.ReportPlayer.OSRFunctions.OSRGet("d_Account","Description"))</f>
        <v>#NAME?</v>
      </c>
      <c r="C25" s="10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0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1"/>
      <c r="C26" s="11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1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4" customFormat="1" x14ac:dyDescent="0.25">
      <c r="A27" s="11"/>
      <c r="B27" s="28" t="s">
        <v>276</v>
      </c>
      <c r="C27" s="28"/>
      <c r="D27" s="21" t="e">
        <f ca="1">+D18-D20+D24</f>
        <v>#NAME?</v>
      </c>
      <c r="E27" s="14"/>
      <c r="F27" s="22" t="e">
        <f ca="1">IF(D$12=0,0,D27/D$12)</f>
        <v>#NAME?</v>
      </c>
      <c r="G27" s="14"/>
      <c r="H27" s="21" t="e">
        <f ca="1">+H18-H20+H24</f>
        <v>#NAME?</v>
      </c>
      <c r="I27" s="14"/>
      <c r="J27" s="22" t="e">
        <f ca="1">IF(H$12=0,0,H27/H$12)</f>
        <v>#NAME?</v>
      </c>
      <c r="K27" s="15"/>
      <c r="L27" s="21" t="e">
        <f ca="1">+D27-H27</f>
        <v>#NAME?</v>
      </c>
      <c r="M27" s="15"/>
      <c r="N27" s="22" t="e">
        <f ca="1">IF(H27=0,0,L27/H27)</f>
        <v>#NAME?</v>
      </c>
      <c r="O27" s="29"/>
      <c r="P27" s="21" t="e">
        <f ca="1">+P18-P20+P24</f>
        <v>#NAME?</v>
      </c>
      <c r="Q27" s="14"/>
      <c r="R27" s="22" t="e">
        <f ca="1">IF(P$12=0,0,P27/P$12)</f>
        <v>#NAME?</v>
      </c>
      <c r="S27" s="14"/>
      <c r="T27" s="21" t="e">
        <f ca="1">+T18-T20+T24</f>
        <v>#NAME?</v>
      </c>
      <c r="U27" s="14"/>
      <c r="V27" s="22" t="e">
        <f ca="1">IF(T$12=0,0,T27/T$12)</f>
        <v>#NAME?</v>
      </c>
      <c r="W27" s="15"/>
      <c r="X27" s="21" t="e">
        <f ca="1">+P27-T27</f>
        <v>#NAME?</v>
      </c>
      <c r="Y27" s="15"/>
      <c r="Z27" s="22" t="e">
        <f ca="1">IF(T27=0,0,X27/T27)</f>
        <v>#NAME?</v>
      </c>
    </row>
    <row r="28" spans="1:26" x14ac:dyDescent="0.25">
      <c r="A28" s="9"/>
      <c r="B28" s="11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4" customFormat="1" x14ac:dyDescent="0.25">
      <c r="A29" s="51"/>
      <c r="B29" s="11" t="s">
        <v>127</v>
      </c>
      <c r="C29" s="11"/>
      <c r="D29" s="4" t="e">
        <f ca="1">_xll.OneStop.ReportPlayer.OSRFunctions.OSRGet("GL_F_Trans","Value1")</f>
        <v>#NAME?</v>
      </c>
      <c r="E29" s="4"/>
      <c r="F29" s="13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3" t="e">
        <f ca="1">IF(H$12=0,0,H29/H$12)</f>
        <v>#NAME?</v>
      </c>
      <c r="K29" s="4"/>
      <c r="L29" s="4" t="e">
        <f ca="1">+D29-H29</f>
        <v>#NAME?</v>
      </c>
      <c r="M29" s="4"/>
      <c r="N29" s="13" t="e">
        <f ca="1">IF(H29=0,0,L29/H29)</f>
        <v>#NAME?</v>
      </c>
      <c r="O29" s="11"/>
      <c r="P29" s="4" t="e">
        <f ca="1">_xll.OneStop.ReportPlayer.OSRFunctions.OSRGet("GL_F_Trans","Value1")</f>
        <v>#NAME?</v>
      </c>
      <c r="Q29" s="4"/>
      <c r="R29" s="13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3" t="e">
        <f ca="1">IF(T$12=0,0,T29/T$12)</f>
        <v>#NAME?</v>
      </c>
      <c r="W29" s="4"/>
      <c r="X29" s="4" t="e">
        <f ca="1">+P29-T29</f>
        <v>#NAME?</v>
      </c>
      <c r="Y29" s="4"/>
      <c r="Z29" s="13" t="e">
        <f ca="1">IF(T29=0,0,X29/T29)</f>
        <v>#NAME?</v>
      </c>
    </row>
    <row r="30" spans="1:26" x14ac:dyDescent="0.25">
      <c r="A30" s="9"/>
      <c r="B30" s="11"/>
      <c r="C30" s="11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1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4" customFormat="1" ht="15.75" thickBot="1" x14ac:dyDescent="0.3">
      <c r="A31" s="11"/>
      <c r="B31" s="28" t="s">
        <v>125</v>
      </c>
      <c r="C31" s="28"/>
      <c r="D31" s="34" t="e">
        <f ca="1">+D27-D29</f>
        <v>#NAME?</v>
      </c>
      <c r="E31" s="14"/>
      <c r="F31" s="31" t="e">
        <f ca="1">IF(D$12=0,0,D31/D$12)</f>
        <v>#NAME?</v>
      </c>
      <c r="G31" s="14"/>
      <c r="H31" s="34" t="e">
        <f ca="1">+H27-H29</f>
        <v>#NAME?</v>
      </c>
      <c r="I31" s="14"/>
      <c r="J31" s="31" t="e">
        <f ca="1">IF(H$12=0,0,H31/H$12)</f>
        <v>#NAME?</v>
      </c>
      <c r="K31" s="15"/>
      <c r="L31" s="34" t="e">
        <f ca="1">D31-H31</f>
        <v>#NAME?</v>
      </c>
      <c r="M31" s="15"/>
      <c r="N31" s="31" t="e">
        <f ca="1">IF(H31=0,0,L31/H31)</f>
        <v>#NAME?</v>
      </c>
      <c r="O31" s="29"/>
      <c r="P31" s="34" t="e">
        <f ca="1">+P27-P29</f>
        <v>#NAME?</v>
      </c>
      <c r="Q31" s="14"/>
      <c r="R31" s="31" t="e">
        <f ca="1">IF(P$12=0,0,P31/P$12)</f>
        <v>#NAME?</v>
      </c>
      <c r="S31" s="14"/>
      <c r="T31" s="34" t="e">
        <f ca="1">+T27-T29</f>
        <v>#NAME?</v>
      </c>
      <c r="U31" s="14"/>
      <c r="V31" s="31" t="e">
        <f ca="1">IF(T$12=0,0,T31/T$12)</f>
        <v>#NAME?</v>
      </c>
      <c r="W31" s="15"/>
      <c r="X31" s="34" t="e">
        <f ca="1">P31-T31</f>
        <v>#NAME?</v>
      </c>
      <c r="Y31" s="15"/>
      <c r="Z31" s="31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4" customFormat="1" x14ac:dyDescent="0.25">
      <c r="A33" s="51"/>
      <c r="B33" s="11" t="s">
        <v>183</v>
      </c>
      <c r="C33" s="11"/>
      <c r="D33" s="4" t="e">
        <f ca="1">-_xll.OneStop.ReportPlayer.OSRFunctions.OSRGet("GL_F_Trans","Value1")</f>
        <v>#NAME?</v>
      </c>
      <c r="E33" s="4"/>
      <c r="F33" s="13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3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3" t="e">
        <f t="shared" ref="N33:N34" ca="1" si="31">IF(H33=0,0,L33/H33)</f>
        <v>#NAME?</v>
      </c>
      <c r="O33" s="11"/>
      <c r="P33" s="4" t="e">
        <f ca="1">-_xll.OneStop.ReportPlayer.OSRFunctions.OSRGet("GL_F_Trans","Value1")</f>
        <v>#NAME?</v>
      </c>
      <c r="Q33" s="4"/>
      <c r="R33" s="13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3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3" t="e">
        <f t="shared" ref="Z33:Z34" ca="1" si="35">IF(T33=0,0,X33/T33)</f>
        <v>#NAME?</v>
      </c>
    </row>
    <row r="34" spans="1:26" s="24" customFormat="1" x14ac:dyDescent="0.25">
      <c r="A34" s="51"/>
      <c r="B34" s="11" t="s">
        <v>81</v>
      </c>
      <c r="C34" s="11"/>
      <c r="D34" s="4" t="e">
        <f ca="1">-_xll.OneStop.ReportPlayer.OSRFunctions.OSRGet("GL_F_Trans","Value1")</f>
        <v>#NAME?</v>
      </c>
      <c r="E34" s="4"/>
      <c r="F34" s="13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3" t="e">
        <f t="shared" ca="1" si="29"/>
        <v>#NAME?</v>
      </c>
      <c r="K34" s="4"/>
      <c r="L34" s="4" t="e">
        <f t="shared" ca="1" si="30"/>
        <v>#NAME?</v>
      </c>
      <c r="M34" s="4"/>
      <c r="N34" s="13" t="e">
        <f t="shared" ca="1" si="31"/>
        <v>#NAME?</v>
      </c>
      <c r="O34" s="11"/>
      <c r="P34" s="4" t="e">
        <f ca="1">-_xll.OneStop.ReportPlayer.OSRFunctions.OSRGet("GL_F_Trans","Value1")</f>
        <v>#NAME?</v>
      </c>
      <c r="Q34" s="4"/>
      <c r="R34" s="13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3" t="e">
        <f t="shared" ca="1" si="33"/>
        <v>#NAME?</v>
      </c>
      <c r="W34" s="4"/>
      <c r="X34" s="4" t="e">
        <f t="shared" ca="1" si="34"/>
        <v>#NAME?</v>
      </c>
      <c r="Y34" s="4"/>
      <c r="Z34" s="13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4" customFormat="1" ht="15.75" thickBot="1" x14ac:dyDescent="0.3">
      <c r="A36" s="11"/>
      <c r="B36" s="28" t="s">
        <v>293</v>
      </c>
      <c r="C36" s="28"/>
      <c r="D36" s="33" t="e">
        <f ca="1">SUM(D31:D35)</f>
        <v>#NAME?</v>
      </c>
      <c r="E36" s="14"/>
      <c r="F36" s="35" t="e">
        <f ca="1">IF(D$12=0,0,D36/D$12)</f>
        <v>#NAME?</v>
      </c>
      <c r="G36" s="14"/>
      <c r="H36" s="33" t="e">
        <f ca="1">SUM(H31:H35)</f>
        <v>#NAME?</v>
      </c>
      <c r="I36" s="14"/>
      <c r="J36" s="35" t="e">
        <f ca="1">IF(H$12=0,0,H36/H$12)</f>
        <v>#NAME?</v>
      </c>
      <c r="K36" s="15"/>
      <c r="L36" s="33" t="e">
        <f ca="1">+D36-H36</f>
        <v>#NAME?</v>
      </c>
      <c r="M36" s="15"/>
      <c r="N36" s="35" t="e">
        <f ca="1">IF(H36=0,0,L36/H36)</f>
        <v>#NAME?</v>
      </c>
      <c r="O36" s="29"/>
      <c r="P36" s="33" t="e">
        <f ca="1">SUM(P31:P35)</f>
        <v>#NAME?</v>
      </c>
      <c r="Q36" s="14"/>
      <c r="R36" s="35" t="e">
        <f ca="1">IF(P$12=0,0,P36/P$12)</f>
        <v>#NAME?</v>
      </c>
      <c r="S36" s="14"/>
      <c r="T36" s="33" t="e">
        <f ca="1">SUM(T31:T35)</f>
        <v>#NAME?</v>
      </c>
      <c r="U36" s="14"/>
      <c r="V36" s="35" t="e">
        <f ca="1">IF(T$12=0,0,T36/T$12)</f>
        <v>#NAME?</v>
      </c>
      <c r="W36" s="15"/>
      <c r="X36" s="33" t="e">
        <f ca="1">+P36-T36</f>
        <v>#NAME?</v>
      </c>
      <c r="Y36" s="15"/>
      <c r="Z36" s="35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56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55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60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sqref="A1:XFD1048576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62" t="s">
        <v>23</v>
      </c>
    </row>
    <row r="3" spans="1:26" x14ac:dyDescent="0.25">
      <c r="D3" s="62" t="s">
        <v>236</v>
      </c>
      <c r="E3" s="17"/>
      <c r="F3" s="46"/>
      <c r="G3" s="17"/>
      <c r="H3" s="17"/>
      <c r="I3" s="17"/>
      <c r="J3" s="38"/>
      <c r="K3" s="17"/>
      <c r="L3" s="17"/>
      <c r="M3" s="17"/>
      <c r="N3" s="46"/>
      <c r="O3" s="53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2" t="e">
        <f ca="1">CONCATENATE("Period ",RIGHT(_xll.OneStop.ReportPlayer.OSRFunctions.OSRGet("Period","PeriodId"),2),", ",_xll.OneStop.ReportPlayer.OSRFunctions.OSRGet("Period","Year"))</f>
        <v>#NAME?</v>
      </c>
      <c r="E4" s="17"/>
      <c r="F4" s="46"/>
      <c r="G4" s="17"/>
      <c r="H4" s="17"/>
      <c r="I4" s="17"/>
      <c r="J4" s="38"/>
      <c r="K4" s="17"/>
      <c r="L4" s="17"/>
      <c r="M4" s="17"/>
      <c r="N4" s="46"/>
      <c r="O4" s="53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4"/>
      <c r="D5" s="64" t="e">
        <f ca="1">_xll.OneStop.ReportPlayer.OSRFunctions.OSRGet("Period","PeriodEnd")</f>
        <v>#NAME?</v>
      </c>
      <c r="E5" s="17"/>
      <c r="F5" s="46"/>
      <c r="G5" s="17"/>
      <c r="H5" s="17"/>
      <c r="I5" s="17"/>
      <c r="J5" s="38"/>
      <c r="K5" s="17"/>
      <c r="L5" s="17"/>
      <c r="M5" s="17"/>
      <c r="N5" s="46"/>
      <c r="O5" s="53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4"/>
      <c r="B6" s="48"/>
      <c r="C6" s="48"/>
      <c r="D6" s="24" t="s">
        <v>198</v>
      </c>
      <c r="E6" s="17"/>
      <c r="F6" s="46"/>
      <c r="G6" s="17"/>
      <c r="H6" s="17"/>
      <c r="I6" s="17"/>
      <c r="J6" s="38"/>
      <c r="K6" s="17"/>
      <c r="L6" s="17"/>
      <c r="M6" s="17"/>
      <c r="N6" s="46"/>
      <c r="O6" s="54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9"/>
    </row>
    <row r="8" spans="1:26" x14ac:dyDescent="0.25">
      <c r="B8" s="59"/>
    </row>
    <row r="9" spans="1:26" x14ac:dyDescent="0.25">
      <c r="B9" s="9"/>
      <c r="C9" s="9"/>
      <c r="D9" s="16" t="s">
        <v>291</v>
      </c>
      <c r="E9" s="16"/>
      <c r="F9" s="39"/>
      <c r="G9" s="16"/>
      <c r="H9" s="16"/>
      <c r="I9" s="16"/>
      <c r="J9" s="49"/>
      <c r="K9" s="16"/>
      <c r="L9" s="16"/>
      <c r="M9" s="16"/>
      <c r="N9" s="39"/>
      <c r="P9" s="16" t="s">
        <v>39</v>
      </c>
      <c r="Q9" s="16"/>
      <c r="R9" s="39"/>
      <c r="S9" s="16"/>
      <c r="T9" s="16"/>
      <c r="U9" s="16"/>
      <c r="V9" s="49"/>
      <c r="W9" s="16"/>
      <c r="X9" s="16"/>
      <c r="Y9" s="16"/>
      <c r="Z9" s="39"/>
    </row>
    <row r="10" spans="1:26" x14ac:dyDescent="0.25">
      <c r="A10" s="11"/>
      <c r="B10" s="58"/>
      <c r="C10" s="11"/>
      <c r="D10" s="42" t="s">
        <v>57</v>
      </c>
      <c r="E10" s="36"/>
      <c r="F10" s="30" t="s">
        <v>40</v>
      </c>
      <c r="G10" s="36"/>
      <c r="H10" s="50" t="s">
        <v>237</v>
      </c>
      <c r="I10" s="36"/>
      <c r="J10" s="30" t="s">
        <v>40</v>
      </c>
      <c r="K10" s="11"/>
      <c r="L10" s="42" t="s">
        <v>126</v>
      </c>
      <c r="M10" s="11"/>
      <c r="N10" s="30" t="s">
        <v>257</v>
      </c>
      <c r="O10" s="11"/>
      <c r="P10" s="61" t="s">
        <v>57</v>
      </c>
      <c r="Q10" s="36"/>
      <c r="R10" s="30" t="s">
        <v>40</v>
      </c>
      <c r="S10" s="36"/>
      <c r="T10" s="50" t="s">
        <v>237</v>
      </c>
      <c r="U10" s="36"/>
      <c r="V10" s="30" t="s">
        <v>40</v>
      </c>
      <c r="W10" s="11"/>
      <c r="X10" s="42" t="s">
        <v>126</v>
      </c>
      <c r="Y10" s="11"/>
      <c r="Z10" s="30" t="s">
        <v>257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4" customFormat="1" collapsed="1" x14ac:dyDescent="0.25">
      <c r="A12" s="11"/>
      <c r="B12" s="29" t="s">
        <v>139</v>
      </c>
      <c r="C12" s="11"/>
      <c r="D12" s="4" t="e">
        <f ca="1">SUM(_xll.OneStop.ReportPlayer.OSRFunctions.OSRRef(D13))</f>
        <v>#NAME?</v>
      </c>
      <c r="E12" s="4"/>
      <c r="F12" s="13"/>
      <c r="G12" s="4"/>
      <c r="H12" s="4" t="e">
        <f ca="1">SUM(_xll.OneStop.ReportPlayer.OSRFunctions.OSRRef(H13))</f>
        <v>#NAME?</v>
      </c>
      <c r="I12" s="4"/>
      <c r="J12" s="13"/>
      <c r="K12" s="4"/>
      <c r="L12" s="4" t="e">
        <f t="shared" ref="L12:L13" ca="1" si="0">+D12-H12</f>
        <v>#NAME?</v>
      </c>
      <c r="M12" s="4"/>
      <c r="N12" s="13" t="e">
        <f t="shared" ref="N12:N13" ca="1" si="1">IF(H12=0,0,L12/H12)</f>
        <v>#NAME?</v>
      </c>
      <c r="O12" s="11"/>
      <c r="P12" s="4" t="e">
        <f ca="1">SUM(_xll.OneStop.ReportPlayer.OSRFunctions.OSRRef(P13))</f>
        <v>#NAME?</v>
      </c>
      <c r="Q12" s="4"/>
      <c r="R12" s="13"/>
      <c r="S12" s="4"/>
      <c r="T12" s="4" t="e">
        <f ca="1">SUM(_xll.OneStop.ReportPlayer.OSRFunctions.OSRRef(T13))</f>
        <v>#NAME?</v>
      </c>
      <c r="U12" s="4"/>
      <c r="V12" s="13"/>
      <c r="W12" s="4"/>
      <c r="X12" s="4" t="e">
        <f t="shared" ref="X12:X13" ca="1" si="2">+P12-T12</f>
        <v>#NAME?</v>
      </c>
      <c r="Y12" s="4"/>
      <c r="Z12" s="13" t="e">
        <f t="shared" ref="Z12:Z13" ca="1" si="3">IF(T12=0,0,X12/T12)</f>
        <v>#NAME?</v>
      </c>
    </row>
    <row r="13" spans="1:26" s="23" customFormat="1" hidden="1" outlineLevel="1" x14ac:dyDescent="0.25">
      <c r="A13" s="44"/>
      <c r="B13" s="10" t="e">
        <f ca="1">CONCATENATE("          ", _xll.OneStop.ReportPlayer.OSRFunctions.OSRGet("d_Account","Code"), " - ", _xll.OneStop.ReportPlayer.OSRFunctions.OSRGet("d_Account","Description"))</f>
        <v>#NAME?</v>
      </c>
      <c r="C13" s="10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0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1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4" customFormat="1" collapsed="1" x14ac:dyDescent="0.25">
      <c r="A15" s="11"/>
      <c r="B15" s="29" t="s">
        <v>256</v>
      </c>
      <c r="C15" s="11"/>
      <c r="D15" s="4" t="e">
        <f ca="1">SUM(_xll.OneStop.ReportPlayer.OSRFunctions.OSRRef(D16))</f>
        <v>#NAME?</v>
      </c>
      <c r="E15" s="4"/>
      <c r="F15" s="13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3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3" t="e">
        <f t="shared" ref="N15:N16" ca="1" si="7">IF(H15=0,0,L15/H15)</f>
        <v>#NAME?</v>
      </c>
      <c r="O15" s="11"/>
      <c r="P15" s="4" t="e">
        <f ca="1">SUM(_xll.OneStop.ReportPlayer.OSRFunctions.OSRRef(P16))</f>
        <v>#NAME?</v>
      </c>
      <c r="Q15" s="4"/>
      <c r="R15" s="13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3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3" t="e">
        <f t="shared" ref="Z15:Z16" ca="1" si="11">IF(T15=0,0,X15/T15)</f>
        <v>#NAME?</v>
      </c>
    </row>
    <row r="16" spans="1:26" s="23" customFormat="1" hidden="1" outlineLevel="1" x14ac:dyDescent="0.25">
      <c r="A16" s="44"/>
      <c r="B16" s="10" t="e">
        <f ca="1">CONCATENATE("          ", _xll.OneStop.ReportPlayer.OSRFunctions.OSRGet("d_Account","Code"), " - ", _xll.OneStop.ReportPlayer.OSRFunctions.OSRGet("d_Account","Description"))</f>
        <v>#NAME?</v>
      </c>
      <c r="C16" s="10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0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1"/>
      <c r="C17" s="11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1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4" customFormat="1" x14ac:dyDescent="0.25">
      <c r="A18" s="11"/>
      <c r="B18" s="28" t="s">
        <v>107</v>
      </c>
      <c r="C18" s="28"/>
      <c r="D18" s="21" t="e">
        <f ca="1">D12-D15</f>
        <v>#NAME?</v>
      </c>
      <c r="E18" s="14"/>
      <c r="F18" s="22" t="e">
        <f ca="1">IF(D$12=0,0,D18/D$12)</f>
        <v>#NAME?</v>
      </c>
      <c r="G18" s="14"/>
      <c r="H18" s="21" t="e">
        <f ca="1">H12-H15</f>
        <v>#NAME?</v>
      </c>
      <c r="I18" s="14"/>
      <c r="J18" s="22" t="e">
        <f ca="1">IF(H$12=0,0,H18/H$12)</f>
        <v>#NAME?</v>
      </c>
      <c r="K18" s="15"/>
      <c r="L18" s="21" t="e">
        <f ca="1">+D18-H18</f>
        <v>#NAME?</v>
      </c>
      <c r="M18" s="15"/>
      <c r="N18" s="22" t="e">
        <f ca="1">IF(H18=0,0,L18/H18)</f>
        <v>#NAME?</v>
      </c>
      <c r="O18" s="29"/>
      <c r="P18" s="21" t="e">
        <f ca="1">P12-P15</f>
        <v>#NAME?</v>
      </c>
      <c r="Q18" s="14"/>
      <c r="R18" s="22" t="e">
        <f ca="1">IF(P$12=0,0,P18/P$12)</f>
        <v>#NAME?</v>
      </c>
      <c r="S18" s="14"/>
      <c r="T18" s="21" t="e">
        <f ca="1">T12-T15</f>
        <v>#NAME?</v>
      </c>
      <c r="U18" s="14"/>
      <c r="V18" s="22" t="e">
        <f ca="1">IF(T$12=0,0,T18/T$12)</f>
        <v>#NAME?</v>
      </c>
      <c r="W18" s="15"/>
      <c r="X18" s="21" t="e">
        <f ca="1">+P18-T18</f>
        <v>#NAME?</v>
      </c>
      <c r="Y18" s="15"/>
      <c r="Z18" s="22" t="e">
        <f ca="1">IF(T18=0,0,X18/T18)</f>
        <v>#NAME?</v>
      </c>
    </row>
    <row r="19" spans="1:26" x14ac:dyDescent="0.25">
      <c r="A19" s="9"/>
      <c r="B19" s="11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4" customFormat="1" x14ac:dyDescent="0.25">
      <c r="A20" s="11"/>
      <c r="B20" s="29" t="s">
        <v>294</v>
      </c>
      <c r="C20" s="11"/>
      <c r="D20" s="20" t="e">
        <f ca="1">SUM(_xll.OneStop.ReportPlayer.OSRFunctions.OSRRef(D22))</f>
        <v>#NAME?</v>
      </c>
      <c r="E20" s="20"/>
      <c r="F20" s="32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2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2" t="e">
        <f t="shared" ref="N20:N22" ca="1" si="15">IF(H20=0,0,L20/H20)</f>
        <v>#NAME?</v>
      </c>
      <c r="O20" s="11"/>
      <c r="P20" s="20" t="e">
        <f ca="1">SUM(_xll.OneStop.ReportPlayer.OSRFunctions.OSRRef(P22))</f>
        <v>#NAME?</v>
      </c>
      <c r="Q20" s="20"/>
      <c r="R20" s="32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2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2" t="e">
        <f t="shared" ref="Z20:Z22" ca="1" si="19">IF(T20=0,0,X20/T20)</f>
        <v>#NAME?</v>
      </c>
    </row>
    <row r="21" spans="1:26" s="27" customFormat="1" outlineLevel="1" collapsed="1" x14ac:dyDescent="0.25">
      <c r="A21" s="26"/>
      <c r="B21" s="12" t="e">
        <f ca="1">CONCATENATE("     ",_xll.OneStop.ReportPlayer.OSRFunctions.OSRGet("d_Account","AccountCategory"))</f>
        <v>#NAME?</v>
      </c>
      <c r="C21" s="12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2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3" customFormat="1" hidden="1" outlineLevel="2" x14ac:dyDescent="0.25">
      <c r="A22" s="25"/>
      <c r="B22" s="10" t="e">
        <f ca="1">CONCATENATE("          ", _xll.OneStop.ReportPlayer.OSRFunctions.OSRGet("d_Account","Code"), " - ", _xll.OneStop.ReportPlayer.OSRFunctions.OSRGet("d_Account","Description"))</f>
        <v>#NAME?</v>
      </c>
      <c r="C22" s="10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0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2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4" customFormat="1" collapsed="1" x14ac:dyDescent="0.25">
      <c r="A24" s="11"/>
      <c r="B24" s="29" t="s">
        <v>292</v>
      </c>
      <c r="C24" s="11"/>
      <c r="D24" s="4" t="e">
        <f ca="1">SUM(_xll.OneStop.ReportPlayer.OSRFunctions.OSRRef(D25))</f>
        <v>#NAME?</v>
      </c>
      <c r="E24" s="4"/>
      <c r="F24" s="13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3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3" t="e">
        <f t="shared" ref="N24:N25" ca="1" si="23">IF(H24=0,0,L24/H24)</f>
        <v>#NAME?</v>
      </c>
      <c r="O24" s="11"/>
      <c r="P24" s="4" t="e">
        <f ca="1">SUM(_xll.OneStop.ReportPlayer.OSRFunctions.OSRRef(P25))</f>
        <v>#NAME?</v>
      </c>
      <c r="Q24" s="4"/>
      <c r="R24" s="13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3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3" t="e">
        <f t="shared" ref="Z24:Z25" ca="1" si="27">IF(T24=0,0,X24/T24)</f>
        <v>#NAME?</v>
      </c>
    </row>
    <row r="25" spans="1:26" s="23" customFormat="1" hidden="1" outlineLevel="1" x14ac:dyDescent="0.25">
      <c r="A25" s="44"/>
      <c r="B25" s="10" t="e">
        <f ca="1">CONCATENATE("          ", _xll.OneStop.ReportPlayer.OSRFunctions.OSRGet("d_Account","Code"), " - ", _xll.OneStop.ReportPlayer.OSRFunctions.OSRGet("d_Account","Description"))</f>
        <v>#NAME?</v>
      </c>
      <c r="C25" s="10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0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1"/>
      <c r="C26" s="11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1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4" customFormat="1" x14ac:dyDescent="0.25">
      <c r="A27" s="11"/>
      <c r="B27" s="28" t="s">
        <v>276</v>
      </c>
      <c r="C27" s="28"/>
      <c r="D27" s="21" t="e">
        <f ca="1">+D18-D20+D24</f>
        <v>#NAME?</v>
      </c>
      <c r="E27" s="14"/>
      <c r="F27" s="22" t="e">
        <f ca="1">IF(D$12=0,0,D27/D$12)</f>
        <v>#NAME?</v>
      </c>
      <c r="G27" s="14"/>
      <c r="H27" s="21" t="e">
        <f ca="1">+H18-H20+H24</f>
        <v>#NAME?</v>
      </c>
      <c r="I27" s="14"/>
      <c r="J27" s="22" t="e">
        <f ca="1">IF(H$12=0,0,H27/H$12)</f>
        <v>#NAME?</v>
      </c>
      <c r="K27" s="15"/>
      <c r="L27" s="21" t="e">
        <f ca="1">+D27-H27</f>
        <v>#NAME?</v>
      </c>
      <c r="M27" s="15"/>
      <c r="N27" s="22" t="e">
        <f ca="1">IF(H27=0,0,L27/H27)</f>
        <v>#NAME?</v>
      </c>
      <c r="O27" s="29"/>
      <c r="P27" s="21" t="e">
        <f ca="1">+P18-P20+P24</f>
        <v>#NAME?</v>
      </c>
      <c r="Q27" s="14"/>
      <c r="R27" s="22" t="e">
        <f ca="1">IF(P$12=0,0,P27/P$12)</f>
        <v>#NAME?</v>
      </c>
      <c r="S27" s="14"/>
      <c r="T27" s="21" t="e">
        <f ca="1">+T18-T20+T24</f>
        <v>#NAME?</v>
      </c>
      <c r="U27" s="14"/>
      <c r="V27" s="22" t="e">
        <f ca="1">IF(T$12=0,0,T27/T$12)</f>
        <v>#NAME?</v>
      </c>
      <c r="W27" s="15"/>
      <c r="X27" s="21" t="e">
        <f ca="1">+P27-T27</f>
        <v>#NAME?</v>
      </c>
      <c r="Y27" s="15"/>
      <c r="Z27" s="22" t="e">
        <f ca="1">IF(T27=0,0,X27/T27)</f>
        <v>#NAME?</v>
      </c>
    </row>
    <row r="28" spans="1:26" x14ac:dyDescent="0.25">
      <c r="A28" s="9"/>
      <c r="B28" s="11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4" customFormat="1" x14ac:dyDescent="0.25">
      <c r="A29" s="51"/>
      <c r="B29" s="11" t="s">
        <v>127</v>
      </c>
      <c r="C29" s="11"/>
      <c r="D29" s="4" t="e">
        <f ca="1">_xll.OneStop.ReportPlayer.OSRFunctions.OSRGet("GL_F_Trans","Value1")</f>
        <v>#NAME?</v>
      </c>
      <c r="E29" s="4"/>
      <c r="F29" s="13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3" t="e">
        <f ca="1">IF(H$12=0,0,H29/H$12)</f>
        <v>#NAME?</v>
      </c>
      <c r="K29" s="4"/>
      <c r="L29" s="4" t="e">
        <f ca="1">+D29-H29</f>
        <v>#NAME?</v>
      </c>
      <c r="M29" s="4"/>
      <c r="N29" s="13" t="e">
        <f ca="1">IF(H29=0,0,L29/H29)</f>
        <v>#NAME?</v>
      </c>
      <c r="O29" s="11"/>
      <c r="P29" s="4" t="e">
        <f ca="1">_xll.OneStop.ReportPlayer.OSRFunctions.OSRGet("GL_F_Trans","Value1")</f>
        <v>#NAME?</v>
      </c>
      <c r="Q29" s="4"/>
      <c r="R29" s="13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3" t="e">
        <f ca="1">IF(T$12=0,0,T29/T$12)</f>
        <v>#NAME?</v>
      </c>
      <c r="W29" s="4"/>
      <c r="X29" s="4" t="e">
        <f ca="1">+P29-T29</f>
        <v>#NAME?</v>
      </c>
      <c r="Y29" s="4"/>
      <c r="Z29" s="13" t="e">
        <f ca="1">IF(T29=0,0,X29/T29)</f>
        <v>#NAME?</v>
      </c>
    </row>
    <row r="30" spans="1:26" x14ac:dyDescent="0.25">
      <c r="A30" s="9"/>
      <c r="B30" s="11"/>
      <c r="C30" s="11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1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4" customFormat="1" ht="15.75" thickBot="1" x14ac:dyDescent="0.3">
      <c r="A31" s="11"/>
      <c r="B31" s="28" t="s">
        <v>125</v>
      </c>
      <c r="C31" s="28"/>
      <c r="D31" s="34" t="e">
        <f ca="1">+D27-D29</f>
        <v>#NAME?</v>
      </c>
      <c r="E31" s="14"/>
      <c r="F31" s="31" t="e">
        <f ca="1">IF(D$12=0,0,D31/D$12)</f>
        <v>#NAME?</v>
      </c>
      <c r="G31" s="14"/>
      <c r="H31" s="34" t="e">
        <f ca="1">+H27-H29</f>
        <v>#NAME?</v>
      </c>
      <c r="I31" s="14"/>
      <c r="J31" s="31" t="e">
        <f ca="1">IF(H$12=0,0,H31/H$12)</f>
        <v>#NAME?</v>
      </c>
      <c r="K31" s="15"/>
      <c r="L31" s="34" t="e">
        <f ca="1">D31-H31</f>
        <v>#NAME?</v>
      </c>
      <c r="M31" s="15"/>
      <c r="N31" s="31" t="e">
        <f ca="1">IF(H31=0,0,L31/H31)</f>
        <v>#NAME?</v>
      </c>
      <c r="O31" s="29"/>
      <c r="P31" s="34" t="e">
        <f ca="1">+P27-P29</f>
        <v>#NAME?</v>
      </c>
      <c r="Q31" s="14"/>
      <c r="R31" s="31" t="e">
        <f ca="1">IF(P$12=0,0,P31/P$12)</f>
        <v>#NAME?</v>
      </c>
      <c r="S31" s="14"/>
      <c r="T31" s="34" t="e">
        <f ca="1">+T27-T29</f>
        <v>#NAME?</v>
      </c>
      <c r="U31" s="14"/>
      <c r="V31" s="31" t="e">
        <f ca="1">IF(T$12=0,0,T31/T$12)</f>
        <v>#NAME?</v>
      </c>
      <c r="W31" s="15"/>
      <c r="X31" s="34" t="e">
        <f ca="1">P31-T31</f>
        <v>#NAME?</v>
      </c>
      <c r="Y31" s="15"/>
      <c r="Z31" s="31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4" customFormat="1" x14ac:dyDescent="0.25">
      <c r="A33" s="51"/>
      <c r="B33" s="11" t="s">
        <v>183</v>
      </c>
      <c r="C33" s="11"/>
      <c r="D33" s="4" t="e">
        <f ca="1">-_xll.OneStop.ReportPlayer.OSRFunctions.OSRGet("GL_F_Trans","Value1")</f>
        <v>#NAME?</v>
      </c>
      <c r="E33" s="4"/>
      <c r="F33" s="13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3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3" t="e">
        <f t="shared" ref="N33:N34" ca="1" si="31">IF(H33=0,0,L33/H33)</f>
        <v>#NAME?</v>
      </c>
      <c r="O33" s="11"/>
      <c r="P33" s="4" t="e">
        <f ca="1">-_xll.OneStop.ReportPlayer.OSRFunctions.OSRGet("GL_F_Trans","Value1")</f>
        <v>#NAME?</v>
      </c>
      <c r="Q33" s="4"/>
      <c r="R33" s="13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3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3" t="e">
        <f t="shared" ref="Z33:Z34" ca="1" si="35">IF(T33=0,0,X33/T33)</f>
        <v>#NAME?</v>
      </c>
    </row>
    <row r="34" spans="1:26" s="24" customFormat="1" x14ac:dyDescent="0.25">
      <c r="A34" s="51"/>
      <c r="B34" s="11" t="s">
        <v>81</v>
      </c>
      <c r="C34" s="11"/>
      <c r="D34" s="4" t="e">
        <f ca="1">-_xll.OneStop.ReportPlayer.OSRFunctions.OSRGet("GL_F_Trans","Value1")</f>
        <v>#NAME?</v>
      </c>
      <c r="E34" s="4"/>
      <c r="F34" s="13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3" t="e">
        <f t="shared" ca="1" si="29"/>
        <v>#NAME?</v>
      </c>
      <c r="K34" s="4"/>
      <c r="L34" s="4" t="e">
        <f t="shared" ca="1" si="30"/>
        <v>#NAME?</v>
      </c>
      <c r="M34" s="4"/>
      <c r="N34" s="13" t="e">
        <f t="shared" ca="1" si="31"/>
        <v>#NAME?</v>
      </c>
      <c r="O34" s="11"/>
      <c r="P34" s="4" t="e">
        <f ca="1">-_xll.OneStop.ReportPlayer.OSRFunctions.OSRGet("GL_F_Trans","Value1")</f>
        <v>#NAME?</v>
      </c>
      <c r="Q34" s="4"/>
      <c r="R34" s="13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3" t="e">
        <f t="shared" ca="1" si="33"/>
        <v>#NAME?</v>
      </c>
      <c r="W34" s="4"/>
      <c r="X34" s="4" t="e">
        <f t="shared" ca="1" si="34"/>
        <v>#NAME?</v>
      </c>
      <c r="Y34" s="4"/>
      <c r="Z34" s="13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4" customFormat="1" ht="15.75" thickBot="1" x14ac:dyDescent="0.3">
      <c r="A36" s="11"/>
      <c r="B36" s="28" t="s">
        <v>293</v>
      </c>
      <c r="C36" s="28"/>
      <c r="D36" s="33" t="e">
        <f ca="1">SUM(D31:D35)</f>
        <v>#NAME?</v>
      </c>
      <c r="E36" s="14"/>
      <c r="F36" s="35" t="e">
        <f ca="1">IF(D$12=0,0,D36/D$12)</f>
        <v>#NAME?</v>
      </c>
      <c r="G36" s="14"/>
      <c r="H36" s="33" t="e">
        <f ca="1">SUM(H31:H35)</f>
        <v>#NAME?</v>
      </c>
      <c r="I36" s="14"/>
      <c r="J36" s="35" t="e">
        <f ca="1">IF(H$12=0,0,H36/H$12)</f>
        <v>#NAME?</v>
      </c>
      <c r="K36" s="15"/>
      <c r="L36" s="33" t="e">
        <f ca="1">+D36-H36</f>
        <v>#NAME?</v>
      </c>
      <c r="M36" s="15"/>
      <c r="N36" s="35" t="e">
        <f ca="1">IF(H36=0,0,L36/H36)</f>
        <v>#NAME?</v>
      </c>
      <c r="O36" s="29"/>
      <c r="P36" s="33" t="e">
        <f ca="1">SUM(P31:P35)</f>
        <v>#NAME?</v>
      </c>
      <c r="Q36" s="14"/>
      <c r="R36" s="35" t="e">
        <f ca="1">IF(P$12=0,0,P36/P$12)</f>
        <v>#NAME?</v>
      </c>
      <c r="S36" s="14"/>
      <c r="T36" s="33" t="e">
        <f ca="1">SUM(T31:T35)</f>
        <v>#NAME?</v>
      </c>
      <c r="U36" s="14"/>
      <c r="V36" s="35" t="e">
        <f ca="1">IF(T$12=0,0,T36/T$12)</f>
        <v>#NAME?</v>
      </c>
      <c r="W36" s="15"/>
      <c r="X36" s="33" t="e">
        <f ca="1">+P36-T36</f>
        <v>#NAME?</v>
      </c>
      <c r="Y36" s="15"/>
      <c r="Z36" s="35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56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55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60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sqref="A1:XFD1048576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62" t="s">
        <v>23</v>
      </c>
    </row>
    <row r="3" spans="1:26" x14ac:dyDescent="0.25">
      <c r="D3" s="62" t="s">
        <v>236</v>
      </c>
      <c r="E3" s="17"/>
      <c r="F3" s="46"/>
      <c r="G3" s="17"/>
      <c r="H3" s="17"/>
      <c r="I3" s="17"/>
      <c r="J3" s="38"/>
      <c r="K3" s="17"/>
      <c r="L3" s="17"/>
      <c r="M3" s="17"/>
      <c r="N3" s="46"/>
      <c r="O3" s="53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2" t="e">
        <f ca="1">CONCATENATE("Period ",RIGHT(_xll.OneStop.ReportPlayer.OSRFunctions.OSRGet("Period","PeriodId"),2),", ",_xll.OneStop.ReportPlayer.OSRFunctions.OSRGet("Period","Year"))</f>
        <v>#NAME?</v>
      </c>
      <c r="E4" s="17"/>
      <c r="F4" s="46"/>
      <c r="G4" s="17"/>
      <c r="H4" s="17"/>
      <c r="I4" s="17"/>
      <c r="J4" s="38"/>
      <c r="K4" s="17"/>
      <c r="L4" s="17"/>
      <c r="M4" s="17"/>
      <c r="N4" s="46"/>
      <c r="O4" s="53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4"/>
      <c r="D5" s="64" t="e">
        <f ca="1">_xll.OneStop.ReportPlayer.OSRFunctions.OSRGet("Period","PeriodEnd")</f>
        <v>#NAME?</v>
      </c>
      <c r="E5" s="17"/>
      <c r="F5" s="46"/>
      <c r="G5" s="17"/>
      <c r="H5" s="17"/>
      <c r="I5" s="17"/>
      <c r="J5" s="38"/>
      <c r="K5" s="17"/>
      <c r="L5" s="17"/>
      <c r="M5" s="17"/>
      <c r="N5" s="46"/>
      <c r="O5" s="53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4"/>
      <c r="B6" s="48"/>
      <c r="C6" s="48"/>
      <c r="D6" s="24" t="s">
        <v>198</v>
      </c>
      <c r="E6" s="17"/>
      <c r="F6" s="46"/>
      <c r="G6" s="17"/>
      <c r="H6" s="17"/>
      <c r="I6" s="17"/>
      <c r="J6" s="38"/>
      <c r="K6" s="17"/>
      <c r="L6" s="17"/>
      <c r="M6" s="17"/>
      <c r="N6" s="46"/>
      <c r="O6" s="54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9"/>
    </row>
    <row r="8" spans="1:26" x14ac:dyDescent="0.25">
      <c r="B8" s="59"/>
    </row>
    <row r="9" spans="1:26" x14ac:dyDescent="0.25">
      <c r="B9" s="9"/>
      <c r="C9" s="9"/>
      <c r="D9" s="16" t="s">
        <v>291</v>
      </c>
      <c r="E9" s="16"/>
      <c r="F9" s="39"/>
      <c r="G9" s="16"/>
      <c r="H9" s="16"/>
      <c r="I9" s="16"/>
      <c r="J9" s="49"/>
      <c r="K9" s="16"/>
      <c r="L9" s="16"/>
      <c r="M9" s="16"/>
      <c r="N9" s="39"/>
      <c r="P9" s="16" t="s">
        <v>39</v>
      </c>
      <c r="Q9" s="16"/>
      <c r="R9" s="39"/>
      <c r="S9" s="16"/>
      <c r="T9" s="16"/>
      <c r="U9" s="16"/>
      <c r="V9" s="49"/>
      <c r="W9" s="16"/>
      <c r="X9" s="16"/>
      <c r="Y9" s="16"/>
      <c r="Z9" s="39"/>
    </row>
    <row r="10" spans="1:26" x14ac:dyDescent="0.25">
      <c r="A10" s="11"/>
      <c r="B10" s="58"/>
      <c r="C10" s="11"/>
      <c r="D10" s="42" t="s">
        <v>57</v>
      </c>
      <c r="E10" s="36"/>
      <c r="F10" s="30" t="s">
        <v>40</v>
      </c>
      <c r="G10" s="36"/>
      <c r="H10" s="50" t="s">
        <v>237</v>
      </c>
      <c r="I10" s="36"/>
      <c r="J10" s="30" t="s">
        <v>40</v>
      </c>
      <c r="K10" s="11"/>
      <c r="L10" s="42" t="s">
        <v>126</v>
      </c>
      <c r="M10" s="11"/>
      <c r="N10" s="30" t="s">
        <v>257</v>
      </c>
      <c r="O10" s="11"/>
      <c r="P10" s="61" t="s">
        <v>57</v>
      </c>
      <c r="Q10" s="36"/>
      <c r="R10" s="30" t="s">
        <v>40</v>
      </c>
      <c r="S10" s="36"/>
      <c r="T10" s="50" t="s">
        <v>237</v>
      </c>
      <c r="U10" s="36"/>
      <c r="V10" s="30" t="s">
        <v>40</v>
      </c>
      <c r="W10" s="11"/>
      <c r="X10" s="42" t="s">
        <v>126</v>
      </c>
      <c r="Y10" s="11"/>
      <c r="Z10" s="30" t="s">
        <v>257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4" customFormat="1" collapsed="1" x14ac:dyDescent="0.25">
      <c r="A12" s="11"/>
      <c r="B12" s="29" t="s">
        <v>139</v>
      </c>
      <c r="C12" s="11"/>
      <c r="D12" s="4" t="e">
        <f ca="1">SUM(_xll.OneStop.ReportPlayer.OSRFunctions.OSRRef(D13))</f>
        <v>#NAME?</v>
      </c>
      <c r="E12" s="4"/>
      <c r="F12" s="13"/>
      <c r="G12" s="4"/>
      <c r="H12" s="4" t="e">
        <f ca="1">SUM(_xll.OneStop.ReportPlayer.OSRFunctions.OSRRef(H13))</f>
        <v>#NAME?</v>
      </c>
      <c r="I12" s="4"/>
      <c r="J12" s="13"/>
      <c r="K12" s="4"/>
      <c r="L12" s="4" t="e">
        <f t="shared" ref="L12:L13" ca="1" si="0">+D12-H12</f>
        <v>#NAME?</v>
      </c>
      <c r="M12" s="4"/>
      <c r="N12" s="13" t="e">
        <f t="shared" ref="N12:N13" ca="1" si="1">IF(H12=0,0,L12/H12)</f>
        <v>#NAME?</v>
      </c>
      <c r="O12" s="11"/>
      <c r="P12" s="4" t="e">
        <f ca="1">SUM(_xll.OneStop.ReportPlayer.OSRFunctions.OSRRef(P13))</f>
        <v>#NAME?</v>
      </c>
      <c r="Q12" s="4"/>
      <c r="R12" s="13"/>
      <c r="S12" s="4"/>
      <c r="T12" s="4" t="e">
        <f ca="1">SUM(_xll.OneStop.ReportPlayer.OSRFunctions.OSRRef(T13))</f>
        <v>#NAME?</v>
      </c>
      <c r="U12" s="4"/>
      <c r="V12" s="13"/>
      <c r="W12" s="4"/>
      <c r="X12" s="4" t="e">
        <f t="shared" ref="X12:X13" ca="1" si="2">+P12-T12</f>
        <v>#NAME?</v>
      </c>
      <c r="Y12" s="4"/>
      <c r="Z12" s="13" t="e">
        <f t="shared" ref="Z12:Z13" ca="1" si="3">IF(T12=0,0,X12/T12)</f>
        <v>#NAME?</v>
      </c>
    </row>
    <row r="13" spans="1:26" s="23" customFormat="1" hidden="1" outlineLevel="1" x14ac:dyDescent="0.25">
      <c r="A13" s="44"/>
      <c r="B13" s="10" t="e">
        <f ca="1">CONCATENATE("          ", _xll.OneStop.ReportPlayer.OSRFunctions.OSRGet("d_Account","Code"), " - ", _xll.OneStop.ReportPlayer.OSRFunctions.OSRGet("d_Account","Description"))</f>
        <v>#NAME?</v>
      </c>
      <c r="C13" s="10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0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1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4" customFormat="1" collapsed="1" x14ac:dyDescent="0.25">
      <c r="A15" s="11"/>
      <c r="B15" s="29" t="s">
        <v>256</v>
      </c>
      <c r="C15" s="11"/>
      <c r="D15" s="4" t="e">
        <f ca="1">SUM(_xll.OneStop.ReportPlayer.OSRFunctions.OSRRef(D16))</f>
        <v>#NAME?</v>
      </c>
      <c r="E15" s="4"/>
      <c r="F15" s="13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3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3" t="e">
        <f t="shared" ref="N15:N16" ca="1" si="7">IF(H15=0,0,L15/H15)</f>
        <v>#NAME?</v>
      </c>
      <c r="O15" s="11"/>
      <c r="P15" s="4" t="e">
        <f ca="1">SUM(_xll.OneStop.ReportPlayer.OSRFunctions.OSRRef(P16))</f>
        <v>#NAME?</v>
      </c>
      <c r="Q15" s="4"/>
      <c r="R15" s="13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3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3" t="e">
        <f t="shared" ref="Z15:Z16" ca="1" si="11">IF(T15=0,0,X15/T15)</f>
        <v>#NAME?</v>
      </c>
    </row>
    <row r="16" spans="1:26" s="23" customFormat="1" hidden="1" outlineLevel="1" x14ac:dyDescent="0.25">
      <c r="A16" s="44"/>
      <c r="B16" s="10" t="e">
        <f ca="1">CONCATENATE("          ", _xll.OneStop.ReportPlayer.OSRFunctions.OSRGet("d_Account","Code"), " - ", _xll.OneStop.ReportPlayer.OSRFunctions.OSRGet("d_Account","Description"))</f>
        <v>#NAME?</v>
      </c>
      <c r="C16" s="10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0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1"/>
      <c r="C17" s="11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1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4" customFormat="1" x14ac:dyDescent="0.25">
      <c r="A18" s="11"/>
      <c r="B18" s="28" t="s">
        <v>107</v>
      </c>
      <c r="C18" s="28"/>
      <c r="D18" s="21" t="e">
        <f ca="1">D12-D15</f>
        <v>#NAME?</v>
      </c>
      <c r="E18" s="14"/>
      <c r="F18" s="22" t="e">
        <f ca="1">IF(D$12=0,0,D18/D$12)</f>
        <v>#NAME?</v>
      </c>
      <c r="G18" s="14"/>
      <c r="H18" s="21" t="e">
        <f ca="1">H12-H15</f>
        <v>#NAME?</v>
      </c>
      <c r="I18" s="14"/>
      <c r="J18" s="22" t="e">
        <f ca="1">IF(H$12=0,0,H18/H$12)</f>
        <v>#NAME?</v>
      </c>
      <c r="K18" s="15"/>
      <c r="L18" s="21" t="e">
        <f ca="1">+D18-H18</f>
        <v>#NAME?</v>
      </c>
      <c r="M18" s="15"/>
      <c r="N18" s="22" t="e">
        <f ca="1">IF(H18=0,0,L18/H18)</f>
        <v>#NAME?</v>
      </c>
      <c r="O18" s="29"/>
      <c r="P18" s="21" t="e">
        <f ca="1">P12-P15</f>
        <v>#NAME?</v>
      </c>
      <c r="Q18" s="14"/>
      <c r="R18" s="22" t="e">
        <f ca="1">IF(P$12=0,0,P18/P$12)</f>
        <v>#NAME?</v>
      </c>
      <c r="S18" s="14"/>
      <c r="T18" s="21" t="e">
        <f ca="1">T12-T15</f>
        <v>#NAME?</v>
      </c>
      <c r="U18" s="14"/>
      <c r="V18" s="22" t="e">
        <f ca="1">IF(T$12=0,0,T18/T$12)</f>
        <v>#NAME?</v>
      </c>
      <c r="W18" s="15"/>
      <c r="X18" s="21" t="e">
        <f ca="1">+P18-T18</f>
        <v>#NAME?</v>
      </c>
      <c r="Y18" s="15"/>
      <c r="Z18" s="22" t="e">
        <f ca="1">IF(T18=0,0,X18/T18)</f>
        <v>#NAME?</v>
      </c>
    </row>
    <row r="19" spans="1:26" x14ac:dyDescent="0.25">
      <c r="A19" s="9"/>
      <c r="B19" s="11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4" customFormat="1" x14ac:dyDescent="0.25">
      <c r="A20" s="11"/>
      <c r="B20" s="29" t="s">
        <v>294</v>
      </c>
      <c r="C20" s="11"/>
      <c r="D20" s="20" t="e">
        <f ca="1">SUM(_xll.OneStop.ReportPlayer.OSRFunctions.OSRRef(D22))</f>
        <v>#NAME?</v>
      </c>
      <c r="E20" s="20"/>
      <c r="F20" s="32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2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2" t="e">
        <f t="shared" ref="N20:N22" ca="1" si="15">IF(H20=0,0,L20/H20)</f>
        <v>#NAME?</v>
      </c>
      <c r="O20" s="11"/>
      <c r="P20" s="20" t="e">
        <f ca="1">SUM(_xll.OneStop.ReportPlayer.OSRFunctions.OSRRef(P22))</f>
        <v>#NAME?</v>
      </c>
      <c r="Q20" s="20"/>
      <c r="R20" s="32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2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2" t="e">
        <f t="shared" ref="Z20:Z22" ca="1" si="19">IF(T20=0,0,X20/T20)</f>
        <v>#NAME?</v>
      </c>
    </row>
    <row r="21" spans="1:26" s="27" customFormat="1" outlineLevel="1" collapsed="1" x14ac:dyDescent="0.25">
      <c r="A21" s="26"/>
      <c r="B21" s="12" t="e">
        <f ca="1">CONCATENATE("     ",_xll.OneStop.ReportPlayer.OSRFunctions.OSRGet("d_Account","AccountCategory"))</f>
        <v>#NAME?</v>
      </c>
      <c r="C21" s="12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2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3" customFormat="1" hidden="1" outlineLevel="2" x14ac:dyDescent="0.25">
      <c r="A22" s="25"/>
      <c r="B22" s="10" t="e">
        <f ca="1">CONCATENATE("          ", _xll.OneStop.ReportPlayer.OSRFunctions.OSRGet("d_Account","Code"), " - ", _xll.OneStop.ReportPlayer.OSRFunctions.OSRGet("d_Account","Description"))</f>
        <v>#NAME?</v>
      </c>
      <c r="C22" s="10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0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2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4" customFormat="1" collapsed="1" x14ac:dyDescent="0.25">
      <c r="A24" s="11"/>
      <c r="B24" s="29" t="s">
        <v>292</v>
      </c>
      <c r="C24" s="11"/>
      <c r="D24" s="4" t="e">
        <f ca="1">SUM(_xll.OneStop.ReportPlayer.OSRFunctions.OSRRef(D25))</f>
        <v>#NAME?</v>
      </c>
      <c r="E24" s="4"/>
      <c r="F24" s="13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3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3" t="e">
        <f t="shared" ref="N24:N25" ca="1" si="23">IF(H24=0,0,L24/H24)</f>
        <v>#NAME?</v>
      </c>
      <c r="O24" s="11"/>
      <c r="P24" s="4" t="e">
        <f ca="1">SUM(_xll.OneStop.ReportPlayer.OSRFunctions.OSRRef(P25))</f>
        <v>#NAME?</v>
      </c>
      <c r="Q24" s="4"/>
      <c r="R24" s="13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3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3" t="e">
        <f t="shared" ref="Z24:Z25" ca="1" si="27">IF(T24=0,0,X24/T24)</f>
        <v>#NAME?</v>
      </c>
    </row>
    <row r="25" spans="1:26" s="23" customFormat="1" hidden="1" outlineLevel="1" x14ac:dyDescent="0.25">
      <c r="A25" s="44"/>
      <c r="B25" s="10" t="e">
        <f ca="1">CONCATENATE("          ", _xll.OneStop.ReportPlayer.OSRFunctions.OSRGet("d_Account","Code"), " - ", _xll.OneStop.ReportPlayer.OSRFunctions.OSRGet("d_Account","Description"))</f>
        <v>#NAME?</v>
      </c>
      <c r="C25" s="10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0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1"/>
      <c r="C26" s="11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1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4" customFormat="1" x14ac:dyDescent="0.25">
      <c r="A27" s="11"/>
      <c r="B27" s="28" t="s">
        <v>276</v>
      </c>
      <c r="C27" s="28"/>
      <c r="D27" s="21" t="e">
        <f ca="1">+D18-D20+D24</f>
        <v>#NAME?</v>
      </c>
      <c r="E27" s="14"/>
      <c r="F27" s="22" t="e">
        <f ca="1">IF(D$12=0,0,D27/D$12)</f>
        <v>#NAME?</v>
      </c>
      <c r="G27" s="14"/>
      <c r="H27" s="21" t="e">
        <f ca="1">+H18-H20+H24</f>
        <v>#NAME?</v>
      </c>
      <c r="I27" s="14"/>
      <c r="J27" s="22" t="e">
        <f ca="1">IF(H$12=0,0,H27/H$12)</f>
        <v>#NAME?</v>
      </c>
      <c r="K27" s="15"/>
      <c r="L27" s="21" t="e">
        <f ca="1">+D27-H27</f>
        <v>#NAME?</v>
      </c>
      <c r="M27" s="15"/>
      <c r="N27" s="22" t="e">
        <f ca="1">IF(H27=0,0,L27/H27)</f>
        <v>#NAME?</v>
      </c>
      <c r="O27" s="29"/>
      <c r="P27" s="21" t="e">
        <f ca="1">+P18-P20+P24</f>
        <v>#NAME?</v>
      </c>
      <c r="Q27" s="14"/>
      <c r="R27" s="22" t="e">
        <f ca="1">IF(P$12=0,0,P27/P$12)</f>
        <v>#NAME?</v>
      </c>
      <c r="S27" s="14"/>
      <c r="T27" s="21" t="e">
        <f ca="1">+T18-T20+T24</f>
        <v>#NAME?</v>
      </c>
      <c r="U27" s="14"/>
      <c r="V27" s="22" t="e">
        <f ca="1">IF(T$12=0,0,T27/T$12)</f>
        <v>#NAME?</v>
      </c>
      <c r="W27" s="15"/>
      <c r="X27" s="21" t="e">
        <f ca="1">+P27-T27</f>
        <v>#NAME?</v>
      </c>
      <c r="Y27" s="15"/>
      <c r="Z27" s="22" t="e">
        <f ca="1">IF(T27=0,0,X27/T27)</f>
        <v>#NAME?</v>
      </c>
    </row>
    <row r="28" spans="1:26" x14ac:dyDescent="0.25">
      <c r="A28" s="9"/>
      <c r="B28" s="11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4" customFormat="1" x14ac:dyDescent="0.25">
      <c r="A29" s="51"/>
      <c r="B29" s="11" t="s">
        <v>127</v>
      </c>
      <c r="C29" s="11"/>
      <c r="D29" s="4" t="e">
        <f ca="1">_xll.OneStop.ReportPlayer.OSRFunctions.OSRGet("GL_F_Trans","Value1")</f>
        <v>#NAME?</v>
      </c>
      <c r="E29" s="4"/>
      <c r="F29" s="13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3" t="e">
        <f ca="1">IF(H$12=0,0,H29/H$12)</f>
        <v>#NAME?</v>
      </c>
      <c r="K29" s="4"/>
      <c r="L29" s="4" t="e">
        <f ca="1">+D29-H29</f>
        <v>#NAME?</v>
      </c>
      <c r="M29" s="4"/>
      <c r="N29" s="13" t="e">
        <f ca="1">IF(H29=0,0,L29/H29)</f>
        <v>#NAME?</v>
      </c>
      <c r="O29" s="11"/>
      <c r="P29" s="4" t="e">
        <f ca="1">_xll.OneStop.ReportPlayer.OSRFunctions.OSRGet("GL_F_Trans","Value1")</f>
        <v>#NAME?</v>
      </c>
      <c r="Q29" s="4"/>
      <c r="R29" s="13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3" t="e">
        <f ca="1">IF(T$12=0,0,T29/T$12)</f>
        <v>#NAME?</v>
      </c>
      <c r="W29" s="4"/>
      <c r="X29" s="4" t="e">
        <f ca="1">+P29-T29</f>
        <v>#NAME?</v>
      </c>
      <c r="Y29" s="4"/>
      <c r="Z29" s="13" t="e">
        <f ca="1">IF(T29=0,0,X29/T29)</f>
        <v>#NAME?</v>
      </c>
    </row>
    <row r="30" spans="1:26" x14ac:dyDescent="0.25">
      <c r="A30" s="9"/>
      <c r="B30" s="11"/>
      <c r="C30" s="11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1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4" customFormat="1" ht="15.75" thickBot="1" x14ac:dyDescent="0.3">
      <c r="A31" s="11"/>
      <c r="B31" s="28" t="s">
        <v>125</v>
      </c>
      <c r="C31" s="28"/>
      <c r="D31" s="34" t="e">
        <f ca="1">+D27-D29</f>
        <v>#NAME?</v>
      </c>
      <c r="E31" s="14"/>
      <c r="F31" s="31" t="e">
        <f ca="1">IF(D$12=0,0,D31/D$12)</f>
        <v>#NAME?</v>
      </c>
      <c r="G31" s="14"/>
      <c r="H31" s="34" t="e">
        <f ca="1">+H27-H29</f>
        <v>#NAME?</v>
      </c>
      <c r="I31" s="14"/>
      <c r="J31" s="31" t="e">
        <f ca="1">IF(H$12=0,0,H31/H$12)</f>
        <v>#NAME?</v>
      </c>
      <c r="K31" s="15"/>
      <c r="L31" s="34" t="e">
        <f ca="1">D31-H31</f>
        <v>#NAME?</v>
      </c>
      <c r="M31" s="15"/>
      <c r="N31" s="31" t="e">
        <f ca="1">IF(H31=0,0,L31/H31)</f>
        <v>#NAME?</v>
      </c>
      <c r="O31" s="29"/>
      <c r="P31" s="34" t="e">
        <f ca="1">+P27-P29</f>
        <v>#NAME?</v>
      </c>
      <c r="Q31" s="14"/>
      <c r="R31" s="31" t="e">
        <f ca="1">IF(P$12=0,0,P31/P$12)</f>
        <v>#NAME?</v>
      </c>
      <c r="S31" s="14"/>
      <c r="T31" s="34" t="e">
        <f ca="1">+T27-T29</f>
        <v>#NAME?</v>
      </c>
      <c r="U31" s="14"/>
      <c r="V31" s="31" t="e">
        <f ca="1">IF(T$12=0,0,T31/T$12)</f>
        <v>#NAME?</v>
      </c>
      <c r="W31" s="15"/>
      <c r="X31" s="34" t="e">
        <f ca="1">P31-T31</f>
        <v>#NAME?</v>
      </c>
      <c r="Y31" s="15"/>
      <c r="Z31" s="31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4" customFormat="1" x14ac:dyDescent="0.25">
      <c r="A33" s="51"/>
      <c r="B33" s="11" t="s">
        <v>183</v>
      </c>
      <c r="C33" s="11"/>
      <c r="D33" s="4" t="e">
        <f ca="1">-_xll.OneStop.ReportPlayer.OSRFunctions.OSRGet("GL_F_Trans","Value1")</f>
        <v>#NAME?</v>
      </c>
      <c r="E33" s="4"/>
      <c r="F33" s="13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3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3" t="e">
        <f t="shared" ref="N33:N34" ca="1" si="31">IF(H33=0,0,L33/H33)</f>
        <v>#NAME?</v>
      </c>
      <c r="O33" s="11"/>
      <c r="P33" s="4" t="e">
        <f ca="1">-_xll.OneStop.ReportPlayer.OSRFunctions.OSRGet("GL_F_Trans","Value1")</f>
        <v>#NAME?</v>
      </c>
      <c r="Q33" s="4"/>
      <c r="R33" s="13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3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3" t="e">
        <f t="shared" ref="Z33:Z34" ca="1" si="35">IF(T33=0,0,X33/T33)</f>
        <v>#NAME?</v>
      </c>
    </row>
    <row r="34" spans="1:26" s="24" customFormat="1" x14ac:dyDescent="0.25">
      <c r="A34" s="51"/>
      <c r="B34" s="11" t="s">
        <v>81</v>
      </c>
      <c r="C34" s="11"/>
      <c r="D34" s="4" t="e">
        <f ca="1">-_xll.OneStop.ReportPlayer.OSRFunctions.OSRGet("GL_F_Trans","Value1")</f>
        <v>#NAME?</v>
      </c>
      <c r="E34" s="4"/>
      <c r="F34" s="13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3" t="e">
        <f t="shared" ca="1" si="29"/>
        <v>#NAME?</v>
      </c>
      <c r="K34" s="4"/>
      <c r="L34" s="4" t="e">
        <f t="shared" ca="1" si="30"/>
        <v>#NAME?</v>
      </c>
      <c r="M34" s="4"/>
      <c r="N34" s="13" t="e">
        <f t="shared" ca="1" si="31"/>
        <v>#NAME?</v>
      </c>
      <c r="O34" s="11"/>
      <c r="P34" s="4" t="e">
        <f ca="1">-_xll.OneStop.ReportPlayer.OSRFunctions.OSRGet("GL_F_Trans","Value1")</f>
        <v>#NAME?</v>
      </c>
      <c r="Q34" s="4"/>
      <c r="R34" s="13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3" t="e">
        <f t="shared" ca="1" si="33"/>
        <v>#NAME?</v>
      </c>
      <c r="W34" s="4"/>
      <c r="X34" s="4" t="e">
        <f t="shared" ca="1" si="34"/>
        <v>#NAME?</v>
      </c>
      <c r="Y34" s="4"/>
      <c r="Z34" s="13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4" customFormat="1" ht="15.75" thickBot="1" x14ac:dyDescent="0.3">
      <c r="A36" s="11"/>
      <c r="B36" s="28" t="s">
        <v>293</v>
      </c>
      <c r="C36" s="28"/>
      <c r="D36" s="33" t="e">
        <f ca="1">SUM(D31:D35)</f>
        <v>#NAME?</v>
      </c>
      <c r="E36" s="14"/>
      <c r="F36" s="35" t="e">
        <f ca="1">IF(D$12=0,0,D36/D$12)</f>
        <v>#NAME?</v>
      </c>
      <c r="G36" s="14"/>
      <c r="H36" s="33" t="e">
        <f ca="1">SUM(H31:H35)</f>
        <v>#NAME?</v>
      </c>
      <c r="I36" s="14"/>
      <c r="J36" s="35" t="e">
        <f ca="1">IF(H$12=0,0,H36/H$12)</f>
        <v>#NAME?</v>
      </c>
      <c r="K36" s="15"/>
      <c r="L36" s="33" t="e">
        <f ca="1">+D36-H36</f>
        <v>#NAME?</v>
      </c>
      <c r="M36" s="15"/>
      <c r="N36" s="35" t="e">
        <f ca="1">IF(H36=0,0,L36/H36)</f>
        <v>#NAME?</v>
      </c>
      <c r="O36" s="29"/>
      <c r="P36" s="33" t="e">
        <f ca="1">SUM(P31:P35)</f>
        <v>#NAME?</v>
      </c>
      <c r="Q36" s="14"/>
      <c r="R36" s="35" t="e">
        <f ca="1">IF(P$12=0,0,P36/P$12)</f>
        <v>#NAME?</v>
      </c>
      <c r="S36" s="14"/>
      <c r="T36" s="33" t="e">
        <f ca="1">SUM(T31:T35)</f>
        <v>#NAME?</v>
      </c>
      <c r="U36" s="14"/>
      <c r="V36" s="35" t="e">
        <f ca="1">IF(T$12=0,0,T36/T$12)</f>
        <v>#NAME?</v>
      </c>
      <c r="W36" s="15"/>
      <c r="X36" s="33" t="e">
        <f ca="1">+P36-T36</f>
        <v>#NAME?</v>
      </c>
      <c r="Y36" s="15"/>
      <c r="Z36" s="35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56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55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60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62" t="s">
        <v>23</v>
      </c>
    </row>
    <row r="3" spans="1:26" x14ac:dyDescent="0.25">
      <c r="D3" s="62" t="s">
        <v>236</v>
      </c>
      <c r="E3" s="17"/>
      <c r="F3" s="46"/>
      <c r="G3" s="17"/>
      <c r="H3" s="17"/>
      <c r="I3" s="17"/>
      <c r="J3" s="38"/>
      <c r="K3" s="17"/>
      <c r="L3" s="17"/>
      <c r="M3" s="17"/>
      <c r="N3" s="46"/>
      <c r="O3" s="53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2" t="e">
        <f ca="1">CONCATENATE("Period ",RIGHT(_xll.OneStop.ReportPlayer.OSRFunctions.OSRGet("Period","PeriodId"),2),", ",_xll.OneStop.ReportPlayer.OSRFunctions.OSRGet("Period","Year"))</f>
        <v>#NAME?</v>
      </c>
      <c r="E4" s="17"/>
      <c r="F4" s="46"/>
      <c r="G4" s="17"/>
      <c r="H4" s="17"/>
      <c r="I4" s="17"/>
      <c r="J4" s="38"/>
      <c r="K4" s="17"/>
      <c r="L4" s="17"/>
      <c r="M4" s="17"/>
      <c r="N4" s="46"/>
      <c r="O4" s="53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4"/>
      <c r="D5" s="64" t="e">
        <f ca="1">_xll.OneStop.ReportPlayer.OSRFunctions.OSRGet("Period","PeriodEnd")</f>
        <v>#NAME?</v>
      </c>
      <c r="E5" s="17"/>
      <c r="F5" s="46"/>
      <c r="G5" s="17"/>
      <c r="H5" s="17"/>
      <c r="I5" s="17"/>
      <c r="J5" s="38"/>
      <c r="K5" s="17"/>
      <c r="L5" s="17"/>
      <c r="M5" s="17"/>
      <c r="N5" s="46"/>
      <c r="O5" s="53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4"/>
      <c r="B6" s="48"/>
      <c r="C6" s="48"/>
      <c r="D6" s="24" t="s">
        <v>80</v>
      </c>
      <c r="E6" s="17"/>
      <c r="F6" s="46"/>
      <c r="G6" s="17"/>
      <c r="H6" s="17"/>
      <c r="I6" s="17"/>
      <c r="J6" s="38"/>
      <c r="K6" s="17"/>
      <c r="L6" s="17"/>
      <c r="M6" s="17"/>
      <c r="N6" s="46"/>
      <c r="O6" s="54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9"/>
    </row>
    <row r="8" spans="1:26" x14ac:dyDescent="0.25">
      <c r="B8" s="59"/>
    </row>
    <row r="9" spans="1:26" x14ac:dyDescent="0.25">
      <c r="B9" s="9"/>
      <c r="C9" s="9"/>
      <c r="D9" s="16" t="s">
        <v>291</v>
      </c>
      <c r="E9" s="16"/>
      <c r="F9" s="39"/>
      <c r="G9" s="16"/>
      <c r="H9" s="16"/>
      <c r="I9" s="16"/>
      <c r="J9" s="49"/>
      <c r="K9" s="16"/>
      <c r="L9" s="16"/>
      <c r="M9" s="16"/>
      <c r="N9" s="39"/>
      <c r="P9" s="16" t="s">
        <v>39</v>
      </c>
      <c r="Q9" s="16"/>
      <c r="R9" s="39"/>
      <c r="S9" s="16"/>
      <c r="T9" s="16"/>
      <c r="U9" s="16"/>
      <c r="V9" s="49"/>
      <c r="W9" s="16"/>
      <c r="X9" s="16"/>
      <c r="Y9" s="16"/>
      <c r="Z9" s="39"/>
    </row>
    <row r="10" spans="1:26" x14ac:dyDescent="0.25">
      <c r="A10" s="11"/>
      <c r="B10" s="58"/>
      <c r="C10" s="11"/>
      <c r="D10" s="42" t="s">
        <v>57</v>
      </c>
      <c r="E10" s="36"/>
      <c r="F10" s="30" t="s">
        <v>40</v>
      </c>
      <c r="G10" s="36"/>
      <c r="H10" s="50" t="s">
        <v>237</v>
      </c>
      <c r="I10" s="36"/>
      <c r="J10" s="30" t="s">
        <v>40</v>
      </c>
      <c r="K10" s="11"/>
      <c r="L10" s="42" t="s">
        <v>126</v>
      </c>
      <c r="M10" s="11"/>
      <c r="N10" s="30" t="s">
        <v>257</v>
      </c>
      <c r="O10" s="11"/>
      <c r="P10" s="61" t="s">
        <v>57</v>
      </c>
      <c r="Q10" s="36"/>
      <c r="R10" s="30" t="s">
        <v>40</v>
      </c>
      <c r="S10" s="36"/>
      <c r="T10" s="50" t="s">
        <v>237</v>
      </c>
      <c r="U10" s="36"/>
      <c r="V10" s="30" t="s">
        <v>40</v>
      </c>
      <c r="W10" s="11"/>
      <c r="X10" s="42" t="s">
        <v>126</v>
      </c>
      <c r="Y10" s="11"/>
      <c r="Z10" s="30" t="s">
        <v>257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4" customFormat="1" collapsed="1" x14ac:dyDescent="0.25">
      <c r="A12" s="11"/>
      <c r="B12" s="29" t="s">
        <v>139</v>
      </c>
      <c r="C12" s="11"/>
      <c r="D12" s="4" t="e">
        <f ca="1">SUM(_xll.OneStop.ReportPlayer.OSRFunctions.OSRRef(D13))</f>
        <v>#NAME?</v>
      </c>
      <c r="E12" s="4"/>
      <c r="F12" s="13"/>
      <c r="G12" s="4"/>
      <c r="H12" s="4" t="e">
        <f ca="1">SUM(_xll.OneStop.ReportPlayer.OSRFunctions.OSRRef(H13))</f>
        <v>#NAME?</v>
      </c>
      <c r="I12" s="4"/>
      <c r="J12" s="13"/>
      <c r="K12" s="4"/>
      <c r="L12" s="4" t="e">
        <f t="shared" ref="L12:L13" ca="1" si="0">+D12-H12</f>
        <v>#NAME?</v>
      </c>
      <c r="M12" s="4"/>
      <c r="N12" s="13" t="e">
        <f t="shared" ref="N12:N13" ca="1" si="1">IF(H12=0,0,L12/H12)</f>
        <v>#NAME?</v>
      </c>
      <c r="O12" s="11"/>
      <c r="P12" s="4" t="e">
        <f ca="1">SUM(_xll.OneStop.ReportPlayer.OSRFunctions.OSRRef(P13))</f>
        <v>#NAME?</v>
      </c>
      <c r="Q12" s="4"/>
      <c r="R12" s="13"/>
      <c r="S12" s="4"/>
      <c r="T12" s="4" t="e">
        <f ca="1">SUM(_xll.OneStop.ReportPlayer.OSRFunctions.OSRRef(T13))</f>
        <v>#NAME?</v>
      </c>
      <c r="U12" s="4"/>
      <c r="V12" s="13"/>
      <c r="W12" s="4"/>
      <c r="X12" s="4" t="e">
        <f t="shared" ref="X12:X13" ca="1" si="2">+P12-T12</f>
        <v>#NAME?</v>
      </c>
      <c r="Y12" s="4"/>
      <c r="Z12" s="13" t="e">
        <f t="shared" ref="Z12:Z13" ca="1" si="3">IF(T12=0,0,X12/T12)</f>
        <v>#NAME?</v>
      </c>
    </row>
    <row r="13" spans="1:26" s="23" customFormat="1" hidden="1" outlineLevel="1" x14ac:dyDescent="0.25">
      <c r="A13" s="44"/>
      <c r="B13" s="10" t="e">
        <f ca="1">CONCATENATE("          ", _xll.OneStop.ReportPlayer.OSRFunctions.OSRGet("d_Account","Code"), " - ", _xll.OneStop.ReportPlayer.OSRFunctions.OSRGet("d_Account","Description"))</f>
        <v>#NAME?</v>
      </c>
      <c r="C13" s="10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0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1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4" customFormat="1" collapsed="1" x14ac:dyDescent="0.25">
      <c r="A15" s="11"/>
      <c r="B15" s="29" t="s">
        <v>256</v>
      </c>
      <c r="C15" s="11"/>
      <c r="D15" s="4" t="e">
        <f ca="1">SUM(_xll.OneStop.ReportPlayer.OSRFunctions.OSRRef(D16))</f>
        <v>#NAME?</v>
      </c>
      <c r="E15" s="4"/>
      <c r="F15" s="13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3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3" t="e">
        <f t="shared" ref="N15:N16" ca="1" si="7">IF(H15=0,0,L15/H15)</f>
        <v>#NAME?</v>
      </c>
      <c r="O15" s="11"/>
      <c r="P15" s="4" t="e">
        <f ca="1">SUM(_xll.OneStop.ReportPlayer.OSRFunctions.OSRRef(P16))</f>
        <v>#NAME?</v>
      </c>
      <c r="Q15" s="4"/>
      <c r="R15" s="13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3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3" t="e">
        <f t="shared" ref="Z15:Z16" ca="1" si="11">IF(T15=0,0,X15/T15)</f>
        <v>#NAME?</v>
      </c>
    </row>
    <row r="16" spans="1:26" s="23" customFormat="1" hidden="1" outlineLevel="1" x14ac:dyDescent="0.25">
      <c r="A16" s="44"/>
      <c r="B16" s="10" t="e">
        <f ca="1">CONCATENATE("          ", _xll.OneStop.ReportPlayer.OSRFunctions.OSRGet("d_Account","Code"), " - ", _xll.OneStop.ReportPlayer.OSRFunctions.OSRGet("d_Account","Description"))</f>
        <v>#NAME?</v>
      </c>
      <c r="C16" s="10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0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1"/>
      <c r="C17" s="11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1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4" customFormat="1" x14ac:dyDescent="0.25">
      <c r="A18" s="11"/>
      <c r="B18" s="28" t="s">
        <v>107</v>
      </c>
      <c r="C18" s="28"/>
      <c r="D18" s="21" t="e">
        <f ca="1">D12-D15</f>
        <v>#NAME?</v>
      </c>
      <c r="E18" s="14"/>
      <c r="F18" s="22" t="e">
        <f ca="1">IF(D$12=0,0,D18/D$12)</f>
        <v>#NAME?</v>
      </c>
      <c r="G18" s="14"/>
      <c r="H18" s="21" t="e">
        <f ca="1">H12-H15</f>
        <v>#NAME?</v>
      </c>
      <c r="I18" s="14"/>
      <c r="J18" s="22" t="e">
        <f ca="1">IF(H$12=0,0,H18/H$12)</f>
        <v>#NAME?</v>
      </c>
      <c r="K18" s="15"/>
      <c r="L18" s="21" t="e">
        <f ca="1">+D18-H18</f>
        <v>#NAME?</v>
      </c>
      <c r="M18" s="15"/>
      <c r="N18" s="22" t="e">
        <f ca="1">IF(H18=0,0,L18/H18)</f>
        <v>#NAME?</v>
      </c>
      <c r="O18" s="29"/>
      <c r="P18" s="21" t="e">
        <f ca="1">P12-P15</f>
        <v>#NAME?</v>
      </c>
      <c r="Q18" s="14"/>
      <c r="R18" s="22" t="e">
        <f ca="1">IF(P$12=0,0,P18/P$12)</f>
        <v>#NAME?</v>
      </c>
      <c r="S18" s="14"/>
      <c r="T18" s="21" t="e">
        <f ca="1">T12-T15</f>
        <v>#NAME?</v>
      </c>
      <c r="U18" s="14"/>
      <c r="V18" s="22" t="e">
        <f ca="1">IF(T$12=0,0,T18/T$12)</f>
        <v>#NAME?</v>
      </c>
      <c r="W18" s="15"/>
      <c r="X18" s="21" t="e">
        <f ca="1">+P18-T18</f>
        <v>#NAME?</v>
      </c>
      <c r="Y18" s="15"/>
      <c r="Z18" s="22" t="e">
        <f ca="1">IF(T18=0,0,X18/T18)</f>
        <v>#NAME?</v>
      </c>
    </row>
    <row r="19" spans="1:26" x14ac:dyDescent="0.25">
      <c r="A19" s="9"/>
      <c r="B19" s="11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4" customFormat="1" x14ac:dyDescent="0.25">
      <c r="A20" s="11"/>
      <c r="B20" s="29" t="s">
        <v>294</v>
      </c>
      <c r="C20" s="11"/>
      <c r="D20" s="20" t="e">
        <f ca="1">SUM(_xll.OneStop.ReportPlayer.OSRFunctions.OSRRef(D22))</f>
        <v>#NAME?</v>
      </c>
      <c r="E20" s="20"/>
      <c r="F20" s="32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2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2" t="e">
        <f t="shared" ref="N20:N22" ca="1" si="15">IF(H20=0,0,L20/H20)</f>
        <v>#NAME?</v>
      </c>
      <c r="O20" s="11"/>
      <c r="P20" s="20" t="e">
        <f ca="1">SUM(_xll.OneStop.ReportPlayer.OSRFunctions.OSRRef(P22))</f>
        <v>#NAME?</v>
      </c>
      <c r="Q20" s="20"/>
      <c r="R20" s="32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2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2" t="e">
        <f t="shared" ref="Z20:Z22" ca="1" si="19">IF(T20=0,0,X20/T20)</f>
        <v>#NAME?</v>
      </c>
    </row>
    <row r="21" spans="1:26" s="27" customFormat="1" outlineLevel="1" collapsed="1" x14ac:dyDescent="0.25">
      <c r="A21" s="26"/>
      <c r="B21" s="12" t="e">
        <f ca="1">CONCATENATE("     ",_xll.OneStop.ReportPlayer.OSRFunctions.OSRGet("d_Account","AccountCategory"))</f>
        <v>#NAME?</v>
      </c>
      <c r="C21" s="12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2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3" customFormat="1" hidden="1" outlineLevel="2" x14ac:dyDescent="0.25">
      <c r="A22" s="25"/>
      <c r="B22" s="10" t="e">
        <f ca="1">CONCATENATE("          ", _xll.OneStop.ReportPlayer.OSRFunctions.OSRGet("d_Account","Code"), " - ", _xll.OneStop.ReportPlayer.OSRFunctions.OSRGet("d_Account","Description"))</f>
        <v>#NAME?</v>
      </c>
      <c r="C22" s="10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0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2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4" customFormat="1" collapsed="1" x14ac:dyDescent="0.25">
      <c r="A24" s="11"/>
      <c r="B24" s="29" t="s">
        <v>292</v>
      </c>
      <c r="C24" s="11"/>
      <c r="D24" s="4" t="e">
        <f ca="1">SUM(_xll.OneStop.ReportPlayer.OSRFunctions.OSRRef(D25))</f>
        <v>#NAME?</v>
      </c>
      <c r="E24" s="4"/>
      <c r="F24" s="13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3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3" t="e">
        <f t="shared" ref="N24:N25" ca="1" si="23">IF(H24=0,0,L24/H24)</f>
        <v>#NAME?</v>
      </c>
      <c r="O24" s="11"/>
      <c r="P24" s="4" t="e">
        <f ca="1">SUM(_xll.OneStop.ReportPlayer.OSRFunctions.OSRRef(P25))</f>
        <v>#NAME?</v>
      </c>
      <c r="Q24" s="4"/>
      <c r="R24" s="13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3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3" t="e">
        <f t="shared" ref="Z24:Z25" ca="1" si="27">IF(T24=0,0,X24/T24)</f>
        <v>#NAME?</v>
      </c>
    </row>
    <row r="25" spans="1:26" s="23" customFormat="1" hidden="1" outlineLevel="1" x14ac:dyDescent="0.25">
      <c r="A25" s="44"/>
      <c r="B25" s="10" t="e">
        <f ca="1">CONCATENATE("          ", _xll.OneStop.ReportPlayer.OSRFunctions.OSRGet("d_Account","Code"), " - ", _xll.OneStop.ReportPlayer.OSRFunctions.OSRGet("d_Account","Description"))</f>
        <v>#NAME?</v>
      </c>
      <c r="C25" s="10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0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1"/>
      <c r="C26" s="11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1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4" customFormat="1" x14ac:dyDescent="0.25">
      <c r="A27" s="11"/>
      <c r="B27" s="28" t="s">
        <v>276</v>
      </c>
      <c r="C27" s="28"/>
      <c r="D27" s="21" t="e">
        <f ca="1">+D18-D20+D24</f>
        <v>#NAME?</v>
      </c>
      <c r="E27" s="14"/>
      <c r="F27" s="22" t="e">
        <f ca="1">IF(D$12=0,0,D27/D$12)</f>
        <v>#NAME?</v>
      </c>
      <c r="G27" s="14"/>
      <c r="H27" s="21" t="e">
        <f ca="1">+H18-H20+H24</f>
        <v>#NAME?</v>
      </c>
      <c r="I27" s="14"/>
      <c r="J27" s="22" t="e">
        <f ca="1">IF(H$12=0,0,H27/H$12)</f>
        <v>#NAME?</v>
      </c>
      <c r="K27" s="15"/>
      <c r="L27" s="21" t="e">
        <f ca="1">+D27-H27</f>
        <v>#NAME?</v>
      </c>
      <c r="M27" s="15"/>
      <c r="N27" s="22" t="e">
        <f ca="1">IF(H27=0,0,L27/H27)</f>
        <v>#NAME?</v>
      </c>
      <c r="O27" s="29"/>
      <c r="P27" s="21" t="e">
        <f ca="1">+P18-P20+P24</f>
        <v>#NAME?</v>
      </c>
      <c r="Q27" s="14"/>
      <c r="R27" s="22" t="e">
        <f ca="1">IF(P$12=0,0,P27/P$12)</f>
        <v>#NAME?</v>
      </c>
      <c r="S27" s="14"/>
      <c r="T27" s="21" t="e">
        <f ca="1">+T18-T20+T24</f>
        <v>#NAME?</v>
      </c>
      <c r="U27" s="14"/>
      <c r="V27" s="22" t="e">
        <f ca="1">IF(T$12=0,0,T27/T$12)</f>
        <v>#NAME?</v>
      </c>
      <c r="W27" s="15"/>
      <c r="X27" s="21" t="e">
        <f ca="1">+P27-T27</f>
        <v>#NAME?</v>
      </c>
      <c r="Y27" s="15"/>
      <c r="Z27" s="22" t="e">
        <f ca="1">IF(T27=0,0,X27/T27)</f>
        <v>#NAME?</v>
      </c>
    </row>
    <row r="28" spans="1:26" x14ac:dyDescent="0.25">
      <c r="A28" s="9"/>
      <c r="B28" s="11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4" customFormat="1" x14ac:dyDescent="0.25">
      <c r="A29" s="51"/>
      <c r="B29" s="11" t="s">
        <v>127</v>
      </c>
      <c r="C29" s="11"/>
      <c r="D29" s="4" t="e">
        <f ca="1">_xll.OneStop.ReportPlayer.OSRFunctions.OSRGet("GL_F_Trans","Value1")</f>
        <v>#NAME?</v>
      </c>
      <c r="E29" s="4"/>
      <c r="F29" s="13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3" t="e">
        <f ca="1">IF(H$12=0,0,H29/H$12)</f>
        <v>#NAME?</v>
      </c>
      <c r="K29" s="4"/>
      <c r="L29" s="4" t="e">
        <f ca="1">+D29-H29</f>
        <v>#NAME?</v>
      </c>
      <c r="M29" s="4"/>
      <c r="N29" s="13" t="e">
        <f ca="1">IF(H29=0,0,L29/H29)</f>
        <v>#NAME?</v>
      </c>
      <c r="O29" s="11"/>
      <c r="P29" s="4" t="e">
        <f ca="1">_xll.OneStop.ReportPlayer.OSRFunctions.OSRGet("GL_F_Trans","Value1")</f>
        <v>#NAME?</v>
      </c>
      <c r="Q29" s="4"/>
      <c r="R29" s="13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3" t="e">
        <f ca="1">IF(T$12=0,0,T29/T$12)</f>
        <v>#NAME?</v>
      </c>
      <c r="W29" s="4"/>
      <c r="X29" s="4" t="e">
        <f ca="1">+P29-T29</f>
        <v>#NAME?</v>
      </c>
      <c r="Y29" s="4"/>
      <c r="Z29" s="13" t="e">
        <f ca="1">IF(T29=0,0,X29/T29)</f>
        <v>#NAME?</v>
      </c>
    </row>
    <row r="30" spans="1:26" x14ac:dyDescent="0.25">
      <c r="A30" s="9"/>
      <c r="B30" s="11"/>
      <c r="C30" s="11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1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4" customFormat="1" ht="15.75" thickBot="1" x14ac:dyDescent="0.3">
      <c r="A31" s="11"/>
      <c r="B31" s="28" t="s">
        <v>125</v>
      </c>
      <c r="C31" s="28"/>
      <c r="D31" s="34" t="e">
        <f ca="1">+D27-D29</f>
        <v>#NAME?</v>
      </c>
      <c r="E31" s="14"/>
      <c r="F31" s="31" t="e">
        <f ca="1">IF(D$12=0,0,D31/D$12)</f>
        <v>#NAME?</v>
      </c>
      <c r="G31" s="14"/>
      <c r="H31" s="34" t="e">
        <f ca="1">+H27-H29</f>
        <v>#NAME?</v>
      </c>
      <c r="I31" s="14"/>
      <c r="J31" s="31" t="e">
        <f ca="1">IF(H$12=0,0,H31/H$12)</f>
        <v>#NAME?</v>
      </c>
      <c r="K31" s="15"/>
      <c r="L31" s="34" t="e">
        <f ca="1">D31-H31</f>
        <v>#NAME?</v>
      </c>
      <c r="M31" s="15"/>
      <c r="N31" s="31" t="e">
        <f ca="1">IF(H31=0,0,L31/H31)</f>
        <v>#NAME?</v>
      </c>
      <c r="O31" s="29"/>
      <c r="P31" s="34" t="e">
        <f ca="1">+P27-P29</f>
        <v>#NAME?</v>
      </c>
      <c r="Q31" s="14"/>
      <c r="R31" s="31" t="e">
        <f ca="1">IF(P$12=0,0,P31/P$12)</f>
        <v>#NAME?</v>
      </c>
      <c r="S31" s="14"/>
      <c r="T31" s="34" t="e">
        <f ca="1">+T27-T29</f>
        <v>#NAME?</v>
      </c>
      <c r="U31" s="14"/>
      <c r="V31" s="31" t="e">
        <f ca="1">IF(T$12=0,0,T31/T$12)</f>
        <v>#NAME?</v>
      </c>
      <c r="W31" s="15"/>
      <c r="X31" s="34" t="e">
        <f ca="1">P31-T31</f>
        <v>#NAME?</v>
      </c>
      <c r="Y31" s="15"/>
      <c r="Z31" s="31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4" customFormat="1" x14ac:dyDescent="0.25">
      <c r="A33" s="51"/>
      <c r="B33" s="11" t="s">
        <v>183</v>
      </c>
      <c r="C33" s="11"/>
      <c r="D33" s="4" t="e">
        <f ca="1">-_xll.OneStop.ReportPlayer.OSRFunctions.OSRGet("GL_F_Trans","Value1")</f>
        <v>#NAME?</v>
      </c>
      <c r="E33" s="4"/>
      <c r="F33" s="13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3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3" t="e">
        <f t="shared" ref="N33:N34" ca="1" si="31">IF(H33=0,0,L33/H33)</f>
        <v>#NAME?</v>
      </c>
      <c r="O33" s="11"/>
      <c r="P33" s="4" t="e">
        <f ca="1">-_xll.OneStop.ReportPlayer.OSRFunctions.OSRGet("GL_F_Trans","Value1")</f>
        <v>#NAME?</v>
      </c>
      <c r="Q33" s="4"/>
      <c r="R33" s="13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3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3" t="e">
        <f t="shared" ref="Z33:Z34" ca="1" si="35">IF(T33=0,0,X33/T33)</f>
        <v>#NAME?</v>
      </c>
    </row>
    <row r="34" spans="1:26" s="24" customFormat="1" x14ac:dyDescent="0.25">
      <c r="A34" s="51"/>
      <c r="B34" s="11" t="s">
        <v>81</v>
      </c>
      <c r="C34" s="11"/>
      <c r="D34" s="4" t="e">
        <f ca="1">-_xll.OneStop.ReportPlayer.OSRFunctions.OSRGet("GL_F_Trans","Value1")</f>
        <v>#NAME?</v>
      </c>
      <c r="E34" s="4"/>
      <c r="F34" s="13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3" t="e">
        <f t="shared" ca="1" si="29"/>
        <v>#NAME?</v>
      </c>
      <c r="K34" s="4"/>
      <c r="L34" s="4" t="e">
        <f t="shared" ca="1" si="30"/>
        <v>#NAME?</v>
      </c>
      <c r="M34" s="4"/>
      <c r="N34" s="13" t="e">
        <f t="shared" ca="1" si="31"/>
        <v>#NAME?</v>
      </c>
      <c r="O34" s="11"/>
      <c r="P34" s="4" t="e">
        <f ca="1">-_xll.OneStop.ReportPlayer.OSRFunctions.OSRGet("GL_F_Trans","Value1")</f>
        <v>#NAME?</v>
      </c>
      <c r="Q34" s="4"/>
      <c r="R34" s="13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3" t="e">
        <f t="shared" ca="1" si="33"/>
        <v>#NAME?</v>
      </c>
      <c r="W34" s="4"/>
      <c r="X34" s="4" t="e">
        <f t="shared" ca="1" si="34"/>
        <v>#NAME?</v>
      </c>
      <c r="Y34" s="4"/>
      <c r="Z34" s="13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4" customFormat="1" ht="15.75" thickBot="1" x14ac:dyDescent="0.3">
      <c r="A36" s="11"/>
      <c r="B36" s="28" t="s">
        <v>293</v>
      </c>
      <c r="C36" s="28"/>
      <c r="D36" s="33" t="e">
        <f ca="1">SUM(D31:D35)</f>
        <v>#NAME?</v>
      </c>
      <c r="E36" s="14"/>
      <c r="F36" s="35" t="e">
        <f ca="1">IF(D$12=0,0,D36/D$12)</f>
        <v>#NAME?</v>
      </c>
      <c r="G36" s="14"/>
      <c r="H36" s="33" t="e">
        <f ca="1">SUM(H31:H35)</f>
        <v>#NAME?</v>
      </c>
      <c r="I36" s="14"/>
      <c r="J36" s="35" t="e">
        <f ca="1">IF(H$12=0,0,H36/H$12)</f>
        <v>#NAME?</v>
      </c>
      <c r="K36" s="15"/>
      <c r="L36" s="33" t="e">
        <f ca="1">+D36-H36</f>
        <v>#NAME?</v>
      </c>
      <c r="M36" s="15"/>
      <c r="N36" s="35" t="e">
        <f ca="1">IF(H36=0,0,L36/H36)</f>
        <v>#NAME?</v>
      </c>
      <c r="O36" s="29"/>
      <c r="P36" s="33" t="e">
        <f ca="1">SUM(P31:P35)</f>
        <v>#NAME?</v>
      </c>
      <c r="Q36" s="14"/>
      <c r="R36" s="35" t="e">
        <f ca="1">IF(P$12=0,0,P36/P$12)</f>
        <v>#NAME?</v>
      </c>
      <c r="S36" s="14"/>
      <c r="T36" s="33" t="e">
        <f ca="1">SUM(T31:T35)</f>
        <v>#NAME?</v>
      </c>
      <c r="U36" s="14"/>
      <c r="V36" s="35" t="e">
        <f ca="1">IF(T$12=0,0,T36/T$12)</f>
        <v>#NAME?</v>
      </c>
      <c r="W36" s="15"/>
      <c r="X36" s="33" t="e">
        <f ca="1">+P36-T36</f>
        <v>#NAME?</v>
      </c>
      <c r="Y36" s="15"/>
      <c r="Z36" s="35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56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55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60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JL10002"/>
  <sheetViews>
    <sheetView workbookViewId="0"/>
  </sheetViews>
  <sheetFormatPr defaultRowHeight="15" x14ac:dyDescent="0.25"/>
  <cols>
    <col min="1" max="220" width="20.7109375" customWidth="1"/>
    <col min="221" max="221" width="20.7109375" style="65" customWidth="1"/>
    <col min="222" max="223" width="20.7109375" customWidth="1"/>
  </cols>
  <sheetData>
    <row r="1" spans="1:272" x14ac:dyDescent="0.25">
      <c r="D1">
        <v>4</v>
      </c>
    </row>
    <row r="2" spans="1:272" x14ac:dyDescent="0.25">
      <c r="JK2">
        <v>271</v>
      </c>
      <c r="JL2">
        <v>4</v>
      </c>
    </row>
    <row r="3" spans="1:272" ht="30" x14ac:dyDescent="0.25">
      <c r="A3" s="41" t="s">
        <v>238</v>
      </c>
      <c r="B3" s="41" t="s">
        <v>295</v>
      </c>
      <c r="C3" s="41" t="s">
        <v>0</v>
      </c>
      <c r="D3" s="41" t="s">
        <v>58</v>
      </c>
      <c r="E3" s="41" t="s">
        <v>82</v>
      </c>
      <c r="F3" s="41" t="s">
        <v>24</v>
      </c>
      <c r="G3" s="41" t="s">
        <v>128</v>
      </c>
      <c r="H3" s="41" t="s">
        <v>160</v>
      </c>
      <c r="I3" s="41" t="s">
        <v>108</v>
      </c>
      <c r="J3" s="41" t="s">
        <v>239</v>
      </c>
      <c r="K3" s="41" t="s">
        <v>129</v>
      </c>
      <c r="L3" s="41" t="s">
        <v>25</v>
      </c>
      <c r="M3" s="41" t="s">
        <v>59</v>
      </c>
      <c r="N3" s="41" t="s">
        <v>41</v>
      </c>
      <c r="O3" s="41" t="s">
        <v>60</v>
      </c>
      <c r="P3" s="41" t="s">
        <v>161</v>
      </c>
      <c r="Q3" s="41" t="s">
        <v>26</v>
      </c>
      <c r="R3" s="41" t="s">
        <v>184</v>
      </c>
      <c r="S3" s="41" t="s">
        <v>185</v>
      </c>
      <c r="T3" s="41" t="s">
        <v>200</v>
      </c>
      <c r="U3" s="41" t="s">
        <v>27</v>
      </c>
      <c r="V3" s="41" t="s">
        <v>240</v>
      </c>
      <c r="W3" s="41" t="s">
        <v>258</v>
      </c>
      <c r="X3" s="41" t="s">
        <v>201</v>
      </c>
      <c r="Y3" s="41" t="s">
        <v>186</v>
      </c>
      <c r="Z3" s="41" t="s">
        <v>1</v>
      </c>
      <c r="AA3" s="41" t="s">
        <v>278</v>
      </c>
      <c r="AB3" s="41" t="s">
        <v>130</v>
      </c>
      <c r="AC3" s="41" t="s">
        <v>110</v>
      </c>
      <c r="AD3" s="41" t="s">
        <v>42</v>
      </c>
      <c r="AE3" s="41" t="s">
        <v>83</v>
      </c>
      <c r="AF3" s="41" t="s">
        <v>43</v>
      </c>
      <c r="AG3" s="41" t="s">
        <v>219</v>
      </c>
      <c r="AH3" s="41" t="s">
        <v>162</v>
      </c>
      <c r="AI3" s="41" t="s">
        <v>202</v>
      </c>
      <c r="AJ3" s="41" t="s">
        <v>62</v>
      </c>
      <c r="AK3" s="41" t="s">
        <v>131</v>
      </c>
      <c r="AL3" s="41" t="s">
        <v>296</v>
      </c>
      <c r="AM3" s="41" t="s">
        <v>203</v>
      </c>
      <c r="AN3" s="41" t="s">
        <v>63</v>
      </c>
      <c r="AO3" s="41" t="s">
        <v>28</v>
      </c>
      <c r="AP3" s="41" t="s">
        <v>204</v>
      </c>
      <c r="AQ3" s="41" t="s">
        <v>64</v>
      </c>
      <c r="AR3" s="41" t="s">
        <v>259</v>
      </c>
      <c r="AS3" s="41" t="s">
        <v>220</v>
      </c>
      <c r="AT3" s="41" t="s">
        <v>3</v>
      </c>
      <c r="AU3" s="41" t="s">
        <v>279</v>
      </c>
      <c r="AV3" s="41" t="s">
        <v>140</v>
      </c>
      <c r="AW3" s="41" t="s">
        <v>4</v>
      </c>
      <c r="AX3" s="41" t="s">
        <v>84</v>
      </c>
      <c r="AY3" s="41" t="s">
        <v>297</v>
      </c>
      <c r="AZ3" s="41" t="s">
        <v>65</v>
      </c>
      <c r="BA3" s="41" t="s">
        <v>221</v>
      </c>
      <c r="BB3" s="41" t="s">
        <v>66</v>
      </c>
      <c r="BC3" s="41" t="s">
        <v>241</v>
      </c>
      <c r="BD3" s="41" t="s">
        <v>280</v>
      </c>
      <c r="BE3" s="41" t="s">
        <v>141</v>
      </c>
      <c r="BF3" s="41" t="s">
        <v>298</v>
      </c>
      <c r="BG3" s="41" t="s">
        <v>111</v>
      </c>
      <c r="BH3" s="41" t="s">
        <v>112</v>
      </c>
      <c r="BI3" s="41" t="s">
        <v>242</v>
      </c>
      <c r="BJ3" s="41" t="s">
        <v>222</v>
      </c>
      <c r="BK3" s="41" t="s">
        <v>67</v>
      </c>
      <c r="BL3" s="41" t="s">
        <v>163</v>
      </c>
      <c r="BM3" s="41" t="s">
        <v>281</v>
      </c>
      <c r="BN3" s="41" t="s">
        <v>223</v>
      </c>
      <c r="BO3" s="41" t="s">
        <v>299</v>
      </c>
      <c r="BP3" s="41" t="s">
        <v>142</v>
      </c>
      <c r="BQ3" s="41" t="s">
        <v>224</v>
      </c>
      <c r="BR3" s="41" t="s">
        <v>132</v>
      </c>
      <c r="BS3" s="41" t="s">
        <v>205</v>
      </c>
      <c r="BT3" s="41" t="s">
        <v>68</v>
      </c>
      <c r="BU3" s="41" t="s">
        <v>225</v>
      </c>
      <c r="BV3" s="41" t="s">
        <v>260</v>
      </c>
      <c r="BW3" s="41" t="s">
        <v>300</v>
      </c>
      <c r="BX3" s="41" t="s">
        <v>164</v>
      </c>
      <c r="BY3" s="41" t="s">
        <v>282</v>
      </c>
      <c r="BZ3" s="41" t="s">
        <v>143</v>
      </c>
      <c r="CA3" s="41" t="s">
        <v>5</v>
      </c>
      <c r="CB3" s="41" t="s">
        <v>113</v>
      </c>
      <c r="CC3" s="41" t="s">
        <v>206</v>
      </c>
      <c r="CD3" s="41" t="s">
        <v>44</v>
      </c>
      <c r="CE3" s="41" t="s">
        <v>226</v>
      </c>
      <c r="CF3" s="41" t="s">
        <v>45</v>
      </c>
      <c r="CG3" s="41" t="s">
        <v>283</v>
      </c>
      <c r="CH3" s="41" t="s">
        <v>187</v>
      </c>
      <c r="CI3" s="41" t="s">
        <v>133</v>
      </c>
      <c r="CJ3" s="41" t="s">
        <v>301</v>
      </c>
      <c r="CK3" s="41" t="s">
        <v>114</v>
      </c>
      <c r="CL3" s="41" t="s">
        <v>144</v>
      </c>
      <c r="CM3" s="41" t="s">
        <v>145</v>
      </c>
      <c r="CN3" s="41" t="s">
        <v>207</v>
      </c>
      <c r="CO3" s="41" t="s">
        <v>85</v>
      </c>
      <c r="CP3" s="41" t="s">
        <v>165</v>
      </c>
      <c r="CQ3" s="41" t="s">
        <v>302</v>
      </c>
      <c r="CR3" s="41" t="s">
        <v>134</v>
      </c>
      <c r="CS3" s="41" t="s">
        <v>284</v>
      </c>
      <c r="CT3" s="41" t="s">
        <v>166</v>
      </c>
      <c r="CU3" s="41" t="s">
        <v>227</v>
      </c>
      <c r="CV3" s="41" t="s">
        <v>167</v>
      </c>
      <c r="CW3" s="41" t="s">
        <v>115</v>
      </c>
      <c r="CX3" s="41" t="s">
        <v>46</v>
      </c>
      <c r="CY3" s="41" t="s">
        <v>243</v>
      </c>
      <c r="CZ3" s="41" t="s">
        <v>261</v>
      </c>
      <c r="DA3" s="41" t="s">
        <v>6</v>
      </c>
      <c r="DB3" s="41" t="s">
        <v>86</v>
      </c>
      <c r="DC3" s="41" t="s">
        <v>146</v>
      </c>
      <c r="DD3" s="41" t="s">
        <v>7</v>
      </c>
      <c r="DE3" s="41" t="s">
        <v>8</v>
      </c>
      <c r="DF3" s="41" t="s">
        <v>188</v>
      </c>
      <c r="DG3" s="41" t="s">
        <v>47</v>
      </c>
      <c r="DH3" s="41" t="s">
        <v>228</v>
      </c>
      <c r="DI3" s="41" t="s">
        <v>87</v>
      </c>
      <c r="DJ3" s="41" t="s">
        <v>69</v>
      </c>
      <c r="DK3" s="41" t="s">
        <v>29</v>
      </c>
      <c r="DL3" s="41" t="s">
        <v>30</v>
      </c>
      <c r="DM3" s="41" t="s">
        <v>303</v>
      </c>
      <c r="DN3" s="41" t="s">
        <v>168</v>
      </c>
      <c r="DO3" s="41" t="s">
        <v>135</v>
      </c>
      <c r="DP3" s="41" t="s">
        <v>208</v>
      </c>
      <c r="DQ3" s="41" t="s">
        <v>9</v>
      </c>
      <c r="DR3" s="41" t="s">
        <v>70</v>
      </c>
      <c r="DS3" s="41" t="s">
        <v>244</v>
      </c>
      <c r="DT3" s="41" t="s">
        <v>169</v>
      </c>
      <c r="DU3" s="41" t="s">
        <v>71</v>
      </c>
      <c r="DV3" s="41" t="s">
        <v>304</v>
      </c>
      <c r="DW3" s="41" t="s">
        <v>170</v>
      </c>
      <c r="DX3" s="41" t="s">
        <v>147</v>
      </c>
      <c r="DY3" s="41" t="s">
        <v>31</v>
      </c>
      <c r="DZ3" s="41" t="s">
        <v>32</v>
      </c>
      <c r="EA3" s="41" t="s">
        <v>48</v>
      </c>
      <c r="EB3" s="41" t="s">
        <v>245</v>
      </c>
      <c r="EC3" s="41" t="s">
        <v>229</v>
      </c>
      <c r="ED3" s="41" t="s">
        <v>88</v>
      </c>
      <c r="EE3" s="41" t="s">
        <v>189</v>
      </c>
      <c r="EF3" s="41" t="s">
        <v>33</v>
      </c>
      <c r="EG3" s="41" t="s">
        <v>10</v>
      </c>
      <c r="EH3" s="41" t="s">
        <v>305</v>
      </c>
      <c r="EI3" s="41" t="s">
        <v>148</v>
      </c>
      <c r="EJ3" s="41" t="s">
        <v>49</v>
      </c>
      <c r="EK3" s="41" t="s">
        <v>11</v>
      </c>
      <c r="EL3" s="41" t="s">
        <v>89</v>
      </c>
      <c r="EM3" s="41" t="s">
        <v>72</v>
      </c>
      <c r="EN3" s="41" t="s">
        <v>209</v>
      </c>
      <c r="EO3" s="41" t="s">
        <v>230</v>
      </c>
      <c r="EP3" s="41" t="s">
        <v>285</v>
      </c>
      <c r="EQ3" s="41" t="s">
        <v>171</v>
      </c>
      <c r="ER3" s="41" t="s">
        <v>149</v>
      </c>
      <c r="ES3" s="41" t="s">
        <v>246</v>
      </c>
      <c r="ET3" s="41" t="s">
        <v>73</v>
      </c>
      <c r="EU3" s="41" t="s">
        <v>262</v>
      </c>
      <c r="EV3" s="41" t="s">
        <v>263</v>
      </c>
      <c r="EW3" s="41" t="s">
        <v>231</v>
      </c>
      <c r="EX3" s="41" t="s">
        <v>306</v>
      </c>
      <c r="EY3" s="41" t="s">
        <v>247</v>
      </c>
      <c r="EZ3" s="41" t="s">
        <v>248</v>
      </c>
      <c r="FA3" s="41" t="s">
        <v>34</v>
      </c>
      <c r="FB3" s="41" t="s">
        <v>307</v>
      </c>
      <c r="FC3" s="41" t="s">
        <v>50</v>
      </c>
      <c r="FD3" s="41" t="s">
        <v>90</v>
      </c>
      <c r="FE3" s="41" t="s">
        <v>232</v>
      </c>
      <c r="FF3" s="41" t="s">
        <v>116</v>
      </c>
      <c r="FG3" s="41" t="s">
        <v>91</v>
      </c>
      <c r="FH3" s="41" t="s">
        <v>92</v>
      </c>
      <c r="FI3" s="41" t="s">
        <v>264</v>
      </c>
      <c r="FJ3" s="41" t="s">
        <v>190</v>
      </c>
      <c r="FK3" s="41" t="s">
        <v>191</v>
      </c>
      <c r="FL3" s="41" t="s">
        <v>172</v>
      </c>
      <c r="FM3" s="41" t="s">
        <v>150</v>
      </c>
      <c r="FN3" s="41" t="s">
        <v>117</v>
      </c>
      <c r="FO3" s="41" t="s">
        <v>173</v>
      </c>
      <c r="FP3" s="41" t="s">
        <v>265</v>
      </c>
      <c r="FQ3" s="41" t="s">
        <v>249</v>
      </c>
      <c r="FR3" s="41" t="s">
        <v>210</v>
      </c>
      <c r="FS3" s="41" t="s">
        <v>286</v>
      </c>
      <c r="FT3" s="41" t="s">
        <v>151</v>
      </c>
      <c r="FU3" s="41" t="s">
        <v>12</v>
      </c>
      <c r="FV3" s="41" t="s">
        <v>192</v>
      </c>
      <c r="FW3" s="41" t="s">
        <v>93</v>
      </c>
      <c r="FX3" s="41" t="s">
        <v>152</v>
      </c>
      <c r="FY3" s="41" t="s">
        <v>174</v>
      </c>
      <c r="FZ3" s="41" t="s">
        <v>94</v>
      </c>
      <c r="GA3" s="41" t="s">
        <v>266</v>
      </c>
      <c r="GB3" s="41" t="s">
        <v>35</v>
      </c>
      <c r="GC3" s="41" t="s">
        <v>36</v>
      </c>
      <c r="GD3" s="41" t="s">
        <v>287</v>
      </c>
      <c r="GE3" s="41" t="s">
        <v>118</v>
      </c>
      <c r="GF3" s="41" t="s">
        <v>233</v>
      </c>
      <c r="GG3" s="41" t="s">
        <v>193</v>
      </c>
      <c r="GH3" s="41" t="s">
        <v>194</v>
      </c>
      <c r="GI3" s="41" t="s">
        <v>267</v>
      </c>
      <c r="GJ3" s="41" t="s">
        <v>136</v>
      </c>
      <c r="GK3" s="41" t="s">
        <v>37</v>
      </c>
      <c r="GL3" s="41" t="s">
        <v>74</v>
      </c>
      <c r="GM3" s="41" t="s">
        <v>119</v>
      </c>
      <c r="GN3" s="41" t="s">
        <v>13</v>
      </c>
      <c r="GO3" s="41" t="s">
        <v>308</v>
      </c>
      <c r="GP3" s="41" t="s">
        <v>211</v>
      </c>
      <c r="GQ3" s="41" t="s">
        <v>75</v>
      </c>
      <c r="GR3" s="41" t="s">
        <v>175</v>
      </c>
      <c r="GS3" s="41" t="s">
        <v>153</v>
      </c>
      <c r="GT3" s="41" t="s">
        <v>120</v>
      </c>
      <c r="GU3" s="41" t="s">
        <v>250</v>
      </c>
      <c r="GV3" s="41" t="s">
        <v>51</v>
      </c>
      <c r="GW3" s="41" t="s">
        <v>14</v>
      </c>
      <c r="GX3" s="41" t="s">
        <v>309</v>
      </c>
      <c r="GY3" s="41" t="s">
        <v>95</v>
      </c>
      <c r="GZ3" s="41" t="s">
        <v>268</v>
      </c>
      <c r="HA3" s="41" t="s">
        <v>176</v>
      </c>
      <c r="HB3" s="41" t="s">
        <v>212</v>
      </c>
      <c r="HC3" s="41" t="s">
        <v>251</v>
      </c>
      <c r="HD3" s="41" t="s">
        <v>154</v>
      </c>
      <c r="HE3" s="41" t="s">
        <v>15</v>
      </c>
      <c r="HF3" s="41" t="s">
        <v>96</v>
      </c>
      <c r="HG3" s="41" t="s">
        <v>97</v>
      </c>
      <c r="HH3" s="41" t="s">
        <v>52</v>
      </c>
      <c r="HI3" s="41" t="s">
        <v>121</v>
      </c>
      <c r="HJ3" s="41" t="s">
        <v>269</v>
      </c>
      <c r="HK3" s="41"/>
      <c r="HL3" s="41" t="s">
        <v>2</v>
      </c>
      <c r="HM3" s="66"/>
      <c r="HN3" s="41" t="s">
        <v>277</v>
      </c>
      <c r="HO3" s="41" t="s">
        <v>109</v>
      </c>
      <c r="HP3" t="s">
        <v>61</v>
      </c>
      <c r="JK3" s="41" t="s">
        <v>16</v>
      </c>
      <c r="JL3" s="41" t="s">
        <v>155</v>
      </c>
    </row>
    <row r="10001" spans="271:272" x14ac:dyDescent="0.25">
      <c r="JK10001">
        <v>271</v>
      </c>
      <c r="JL10001">
        <v>10003</v>
      </c>
    </row>
    <row r="10002" spans="271:272" ht="45" x14ac:dyDescent="0.25">
      <c r="JK10002" s="41" t="s">
        <v>76</v>
      </c>
      <c r="JL10002" s="41" t="s">
        <v>156</v>
      </c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62" t="s">
        <v>23</v>
      </c>
    </row>
    <row r="3" spans="1:26" x14ac:dyDescent="0.25">
      <c r="D3" s="62" t="s">
        <v>236</v>
      </c>
      <c r="E3" s="17"/>
      <c r="F3" s="46"/>
      <c r="G3" s="17"/>
      <c r="H3" s="17"/>
      <c r="I3" s="17"/>
      <c r="J3" s="38"/>
      <c r="K3" s="17"/>
      <c r="L3" s="17"/>
      <c r="M3" s="17"/>
      <c r="N3" s="46"/>
      <c r="O3" s="53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2" t="e">
        <f ca="1">CONCATENATE("Period ",RIGHT(_xll.OneStop.ReportPlayer.OSRFunctions.OSRGet("Period","PeriodId"),2),", ",_xll.OneStop.ReportPlayer.OSRFunctions.OSRGet("Period","Year"))</f>
        <v>#NAME?</v>
      </c>
      <c r="E4" s="17"/>
      <c r="F4" s="46"/>
      <c r="G4" s="17"/>
      <c r="H4" s="17"/>
      <c r="I4" s="17"/>
      <c r="J4" s="38"/>
      <c r="K4" s="17"/>
      <c r="L4" s="17"/>
      <c r="M4" s="17"/>
      <c r="N4" s="46"/>
      <c r="O4" s="53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4"/>
      <c r="D5" s="64" t="e">
        <f ca="1">_xll.OneStop.ReportPlayer.OSRFunctions.OSRGet("Period","PeriodEnd")</f>
        <v>#NAME?</v>
      </c>
      <c r="E5" s="17"/>
      <c r="F5" s="46"/>
      <c r="G5" s="17"/>
      <c r="H5" s="17"/>
      <c r="I5" s="17"/>
      <c r="J5" s="38"/>
      <c r="K5" s="17"/>
      <c r="L5" s="17"/>
      <c r="M5" s="17"/>
      <c r="N5" s="46"/>
      <c r="O5" s="53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4"/>
      <c r="B6" s="48"/>
      <c r="C6" s="48"/>
      <c r="D6" s="24" t="s">
        <v>80</v>
      </c>
      <c r="E6" s="17"/>
      <c r="F6" s="46"/>
      <c r="G6" s="17"/>
      <c r="H6" s="17"/>
      <c r="I6" s="17"/>
      <c r="J6" s="38"/>
      <c r="K6" s="17"/>
      <c r="L6" s="17"/>
      <c r="M6" s="17"/>
      <c r="N6" s="46"/>
      <c r="O6" s="54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9"/>
    </row>
    <row r="8" spans="1:26" x14ac:dyDescent="0.25">
      <c r="B8" s="59"/>
    </row>
    <row r="9" spans="1:26" x14ac:dyDescent="0.25">
      <c r="B9" s="9"/>
      <c r="C9" s="9"/>
      <c r="D9" s="16" t="s">
        <v>291</v>
      </c>
      <c r="E9" s="16"/>
      <c r="F9" s="39"/>
      <c r="G9" s="16"/>
      <c r="H9" s="16"/>
      <c r="I9" s="16"/>
      <c r="J9" s="49"/>
      <c r="K9" s="16"/>
      <c r="L9" s="16"/>
      <c r="M9" s="16"/>
      <c r="N9" s="39"/>
      <c r="P9" s="16" t="s">
        <v>39</v>
      </c>
      <c r="Q9" s="16"/>
      <c r="R9" s="39"/>
      <c r="S9" s="16"/>
      <c r="T9" s="16"/>
      <c r="U9" s="16"/>
      <c r="V9" s="49"/>
      <c r="W9" s="16"/>
      <c r="X9" s="16"/>
      <c r="Y9" s="16"/>
      <c r="Z9" s="39"/>
    </row>
    <row r="10" spans="1:26" x14ac:dyDescent="0.25">
      <c r="A10" s="11"/>
      <c r="B10" s="58"/>
      <c r="C10" s="11"/>
      <c r="D10" s="42" t="s">
        <v>57</v>
      </c>
      <c r="E10" s="36"/>
      <c r="F10" s="30" t="s">
        <v>40</v>
      </c>
      <c r="G10" s="36"/>
      <c r="H10" s="50" t="s">
        <v>237</v>
      </c>
      <c r="I10" s="36"/>
      <c r="J10" s="30" t="s">
        <v>40</v>
      </c>
      <c r="K10" s="11"/>
      <c r="L10" s="42" t="s">
        <v>126</v>
      </c>
      <c r="M10" s="11"/>
      <c r="N10" s="30" t="s">
        <v>257</v>
      </c>
      <c r="O10" s="11"/>
      <c r="P10" s="61" t="s">
        <v>57</v>
      </c>
      <c r="Q10" s="36"/>
      <c r="R10" s="30" t="s">
        <v>40</v>
      </c>
      <c r="S10" s="36"/>
      <c r="T10" s="50" t="s">
        <v>237</v>
      </c>
      <c r="U10" s="36"/>
      <c r="V10" s="30" t="s">
        <v>40</v>
      </c>
      <c r="W10" s="11"/>
      <c r="X10" s="42" t="s">
        <v>126</v>
      </c>
      <c r="Y10" s="11"/>
      <c r="Z10" s="30" t="s">
        <v>257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4" customFormat="1" collapsed="1" x14ac:dyDescent="0.25">
      <c r="A12" s="11"/>
      <c r="B12" s="29" t="s">
        <v>139</v>
      </c>
      <c r="C12" s="11"/>
      <c r="D12" s="4" t="e">
        <f ca="1">SUM(_xll.OneStop.ReportPlayer.OSRFunctions.OSRRef(D13))</f>
        <v>#NAME?</v>
      </c>
      <c r="E12" s="4"/>
      <c r="F12" s="13"/>
      <c r="G12" s="4"/>
      <c r="H12" s="4" t="e">
        <f ca="1">SUM(_xll.OneStop.ReportPlayer.OSRFunctions.OSRRef(H13))</f>
        <v>#NAME?</v>
      </c>
      <c r="I12" s="4"/>
      <c r="J12" s="13"/>
      <c r="K12" s="4"/>
      <c r="L12" s="4" t="e">
        <f t="shared" ref="L12:L13" ca="1" si="0">+D12-H12</f>
        <v>#NAME?</v>
      </c>
      <c r="M12" s="4"/>
      <c r="N12" s="13" t="e">
        <f t="shared" ref="N12:N13" ca="1" si="1">IF(H12=0,0,L12/H12)</f>
        <v>#NAME?</v>
      </c>
      <c r="O12" s="11"/>
      <c r="P12" s="4" t="e">
        <f ca="1">SUM(_xll.OneStop.ReportPlayer.OSRFunctions.OSRRef(P13))</f>
        <v>#NAME?</v>
      </c>
      <c r="Q12" s="4"/>
      <c r="R12" s="13"/>
      <c r="S12" s="4"/>
      <c r="T12" s="4" t="e">
        <f ca="1">SUM(_xll.OneStop.ReportPlayer.OSRFunctions.OSRRef(T13))</f>
        <v>#NAME?</v>
      </c>
      <c r="U12" s="4"/>
      <c r="V12" s="13"/>
      <c r="W12" s="4"/>
      <c r="X12" s="4" t="e">
        <f t="shared" ref="X12:X13" ca="1" si="2">+P12-T12</f>
        <v>#NAME?</v>
      </c>
      <c r="Y12" s="4"/>
      <c r="Z12" s="13" t="e">
        <f t="shared" ref="Z12:Z13" ca="1" si="3">IF(T12=0,0,X12/T12)</f>
        <v>#NAME?</v>
      </c>
    </row>
    <row r="13" spans="1:26" s="23" customFormat="1" hidden="1" outlineLevel="1" x14ac:dyDescent="0.25">
      <c r="A13" s="44"/>
      <c r="B13" s="10" t="e">
        <f ca="1">CONCATENATE("          ", _xll.OneStop.ReportPlayer.OSRFunctions.OSRGet("d_Account","Code"), " - ", _xll.OneStop.ReportPlayer.OSRFunctions.OSRGet("d_Account","Description"))</f>
        <v>#NAME?</v>
      </c>
      <c r="C13" s="10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0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1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4" customFormat="1" collapsed="1" x14ac:dyDescent="0.25">
      <c r="A15" s="11"/>
      <c r="B15" s="29" t="s">
        <v>256</v>
      </c>
      <c r="C15" s="11"/>
      <c r="D15" s="4" t="e">
        <f ca="1">SUM(_xll.OneStop.ReportPlayer.OSRFunctions.OSRRef(D16))</f>
        <v>#NAME?</v>
      </c>
      <c r="E15" s="4"/>
      <c r="F15" s="13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3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3" t="e">
        <f t="shared" ref="N15:N16" ca="1" si="7">IF(H15=0,0,L15/H15)</f>
        <v>#NAME?</v>
      </c>
      <c r="O15" s="11"/>
      <c r="P15" s="4" t="e">
        <f ca="1">SUM(_xll.OneStop.ReportPlayer.OSRFunctions.OSRRef(P16))</f>
        <v>#NAME?</v>
      </c>
      <c r="Q15" s="4"/>
      <c r="R15" s="13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3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3" t="e">
        <f t="shared" ref="Z15:Z16" ca="1" si="11">IF(T15=0,0,X15/T15)</f>
        <v>#NAME?</v>
      </c>
    </row>
    <row r="16" spans="1:26" s="23" customFormat="1" hidden="1" outlineLevel="1" x14ac:dyDescent="0.25">
      <c r="A16" s="44"/>
      <c r="B16" s="10" t="e">
        <f ca="1">CONCATENATE("          ", _xll.OneStop.ReportPlayer.OSRFunctions.OSRGet("d_Account","Code"), " - ", _xll.OneStop.ReportPlayer.OSRFunctions.OSRGet("d_Account","Description"))</f>
        <v>#NAME?</v>
      </c>
      <c r="C16" s="10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0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1"/>
      <c r="C17" s="11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1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4" customFormat="1" x14ac:dyDescent="0.25">
      <c r="A18" s="11"/>
      <c r="B18" s="28" t="s">
        <v>107</v>
      </c>
      <c r="C18" s="28"/>
      <c r="D18" s="21" t="e">
        <f ca="1">D12-D15</f>
        <v>#NAME?</v>
      </c>
      <c r="E18" s="14"/>
      <c r="F18" s="22" t="e">
        <f ca="1">IF(D$12=0,0,D18/D$12)</f>
        <v>#NAME?</v>
      </c>
      <c r="G18" s="14"/>
      <c r="H18" s="21" t="e">
        <f ca="1">H12-H15</f>
        <v>#NAME?</v>
      </c>
      <c r="I18" s="14"/>
      <c r="J18" s="22" t="e">
        <f ca="1">IF(H$12=0,0,H18/H$12)</f>
        <v>#NAME?</v>
      </c>
      <c r="K18" s="15"/>
      <c r="L18" s="21" t="e">
        <f ca="1">+D18-H18</f>
        <v>#NAME?</v>
      </c>
      <c r="M18" s="15"/>
      <c r="N18" s="22" t="e">
        <f ca="1">IF(H18=0,0,L18/H18)</f>
        <v>#NAME?</v>
      </c>
      <c r="O18" s="29"/>
      <c r="P18" s="21" t="e">
        <f ca="1">P12-P15</f>
        <v>#NAME?</v>
      </c>
      <c r="Q18" s="14"/>
      <c r="R18" s="22" t="e">
        <f ca="1">IF(P$12=0,0,P18/P$12)</f>
        <v>#NAME?</v>
      </c>
      <c r="S18" s="14"/>
      <c r="T18" s="21" t="e">
        <f ca="1">T12-T15</f>
        <v>#NAME?</v>
      </c>
      <c r="U18" s="14"/>
      <c r="V18" s="22" t="e">
        <f ca="1">IF(T$12=0,0,T18/T$12)</f>
        <v>#NAME?</v>
      </c>
      <c r="W18" s="15"/>
      <c r="X18" s="21" t="e">
        <f ca="1">+P18-T18</f>
        <v>#NAME?</v>
      </c>
      <c r="Y18" s="15"/>
      <c r="Z18" s="22" t="e">
        <f ca="1">IF(T18=0,0,X18/T18)</f>
        <v>#NAME?</v>
      </c>
    </row>
    <row r="19" spans="1:26" x14ac:dyDescent="0.25">
      <c r="A19" s="9"/>
      <c r="B19" s="11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4" customFormat="1" x14ac:dyDescent="0.25">
      <c r="A20" s="11"/>
      <c r="B20" s="29" t="s">
        <v>294</v>
      </c>
      <c r="C20" s="11"/>
      <c r="D20" s="20" t="e">
        <f ca="1">SUM(_xll.OneStop.ReportPlayer.OSRFunctions.OSRRef(D22))</f>
        <v>#NAME?</v>
      </c>
      <c r="E20" s="20"/>
      <c r="F20" s="32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2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2" t="e">
        <f t="shared" ref="N20:N22" ca="1" si="15">IF(H20=0,0,L20/H20)</f>
        <v>#NAME?</v>
      </c>
      <c r="O20" s="11"/>
      <c r="P20" s="20" t="e">
        <f ca="1">SUM(_xll.OneStop.ReportPlayer.OSRFunctions.OSRRef(P22))</f>
        <v>#NAME?</v>
      </c>
      <c r="Q20" s="20"/>
      <c r="R20" s="32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2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2" t="e">
        <f t="shared" ref="Z20:Z22" ca="1" si="19">IF(T20=0,0,X20/T20)</f>
        <v>#NAME?</v>
      </c>
    </row>
    <row r="21" spans="1:26" s="27" customFormat="1" outlineLevel="1" collapsed="1" x14ac:dyDescent="0.25">
      <c r="A21" s="26"/>
      <c r="B21" s="12" t="e">
        <f ca="1">CONCATENATE("     ",_xll.OneStop.ReportPlayer.OSRFunctions.OSRGet("d_Account","AccountCategory"))</f>
        <v>#NAME?</v>
      </c>
      <c r="C21" s="12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2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3" customFormat="1" hidden="1" outlineLevel="2" x14ac:dyDescent="0.25">
      <c r="A22" s="25"/>
      <c r="B22" s="10" t="e">
        <f ca="1">CONCATENATE("          ", _xll.OneStop.ReportPlayer.OSRFunctions.OSRGet("d_Account","Code"), " - ", _xll.OneStop.ReportPlayer.OSRFunctions.OSRGet("d_Account","Description"))</f>
        <v>#NAME?</v>
      </c>
      <c r="C22" s="10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0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2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4" customFormat="1" collapsed="1" x14ac:dyDescent="0.25">
      <c r="A24" s="11"/>
      <c r="B24" s="29" t="s">
        <v>292</v>
      </c>
      <c r="C24" s="11"/>
      <c r="D24" s="4" t="e">
        <f ca="1">SUM(_xll.OneStop.ReportPlayer.OSRFunctions.OSRRef(D25))</f>
        <v>#NAME?</v>
      </c>
      <c r="E24" s="4"/>
      <c r="F24" s="13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3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3" t="e">
        <f t="shared" ref="N24:N25" ca="1" si="23">IF(H24=0,0,L24/H24)</f>
        <v>#NAME?</v>
      </c>
      <c r="O24" s="11"/>
      <c r="P24" s="4" t="e">
        <f ca="1">SUM(_xll.OneStop.ReportPlayer.OSRFunctions.OSRRef(P25))</f>
        <v>#NAME?</v>
      </c>
      <c r="Q24" s="4"/>
      <c r="R24" s="13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3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3" t="e">
        <f t="shared" ref="Z24:Z25" ca="1" si="27">IF(T24=0,0,X24/T24)</f>
        <v>#NAME?</v>
      </c>
    </row>
    <row r="25" spans="1:26" s="23" customFormat="1" hidden="1" outlineLevel="1" x14ac:dyDescent="0.25">
      <c r="A25" s="44"/>
      <c r="B25" s="10" t="e">
        <f ca="1">CONCATENATE("          ", _xll.OneStop.ReportPlayer.OSRFunctions.OSRGet("d_Account","Code"), " - ", _xll.OneStop.ReportPlayer.OSRFunctions.OSRGet("d_Account","Description"))</f>
        <v>#NAME?</v>
      </c>
      <c r="C25" s="10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0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1"/>
      <c r="C26" s="11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1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4" customFormat="1" x14ac:dyDescent="0.25">
      <c r="A27" s="11"/>
      <c r="B27" s="28" t="s">
        <v>276</v>
      </c>
      <c r="C27" s="28"/>
      <c r="D27" s="21" t="e">
        <f ca="1">+D18-D20+D24</f>
        <v>#NAME?</v>
      </c>
      <c r="E27" s="14"/>
      <c r="F27" s="22" t="e">
        <f ca="1">IF(D$12=0,0,D27/D$12)</f>
        <v>#NAME?</v>
      </c>
      <c r="G27" s="14"/>
      <c r="H27" s="21" t="e">
        <f ca="1">+H18-H20+H24</f>
        <v>#NAME?</v>
      </c>
      <c r="I27" s="14"/>
      <c r="J27" s="22" t="e">
        <f ca="1">IF(H$12=0,0,H27/H$12)</f>
        <v>#NAME?</v>
      </c>
      <c r="K27" s="15"/>
      <c r="L27" s="21" t="e">
        <f ca="1">+D27-H27</f>
        <v>#NAME?</v>
      </c>
      <c r="M27" s="15"/>
      <c r="N27" s="22" t="e">
        <f ca="1">IF(H27=0,0,L27/H27)</f>
        <v>#NAME?</v>
      </c>
      <c r="O27" s="29"/>
      <c r="P27" s="21" t="e">
        <f ca="1">+P18-P20+P24</f>
        <v>#NAME?</v>
      </c>
      <c r="Q27" s="14"/>
      <c r="R27" s="22" t="e">
        <f ca="1">IF(P$12=0,0,P27/P$12)</f>
        <v>#NAME?</v>
      </c>
      <c r="S27" s="14"/>
      <c r="T27" s="21" t="e">
        <f ca="1">+T18-T20+T24</f>
        <v>#NAME?</v>
      </c>
      <c r="U27" s="14"/>
      <c r="V27" s="22" t="e">
        <f ca="1">IF(T$12=0,0,T27/T$12)</f>
        <v>#NAME?</v>
      </c>
      <c r="W27" s="15"/>
      <c r="X27" s="21" t="e">
        <f ca="1">+P27-T27</f>
        <v>#NAME?</v>
      </c>
      <c r="Y27" s="15"/>
      <c r="Z27" s="22" t="e">
        <f ca="1">IF(T27=0,0,X27/T27)</f>
        <v>#NAME?</v>
      </c>
    </row>
    <row r="28" spans="1:26" x14ac:dyDescent="0.25">
      <c r="A28" s="9"/>
      <c r="B28" s="11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4" customFormat="1" x14ac:dyDescent="0.25">
      <c r="A29" s="51"/>
      <c r="B29" s="11" t="s">
        <v>127</v>
      </c>
      <c r="C29" s="11"/>
      <c r="D29" s="4" t="e">
        <f ca="1">_xll.OneStop.ReportPlayer.OSRFunctions.OSRGet("GL_F_Trans","Value1")</f>
        <v>#NAME?</v>
      </c>
      <c r="E29" s="4"/>
      <c r="F29" s="13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3" t="e">
        <f ca="1">IF(H$12=0,0,H29/H$12)</f>
        <v>#NAME?</v>
      </c>
      <c r="K29" s="4"/>
      <c r="L29" s="4" t="e">
        <f ca="1">+D29-H29</f>
        <v>#NAME?</v>
      </c>
      <c r="M29" s="4"/>
      <c r="N29" s="13" t="e">
        <f ca="1">IF(H29=0,0,L29/H29)</f>
        <v>#NAME?</v>
      </c>
      <c r="O29" s="11"/>
      <c r="P29" s="4" t="e">
        <f ca="1">_xll.OneStop.ReportPlayer.OSRFunctions.OSRGet("GL_F_Trans","Value1")</f>
        <v>#NAME?</v>
      </c>
      <c r="Q29" s="4"/>
      <c r="R29" s="13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3" t="e">
        <f ca="1">IF(T$12=0,0,T29/T$12)</f>
        <v>#NAME?</v>
      </c>
      <c r="W29" s="4"/>
      <c r="X29" s="4" t="e">
        <f ca="1">+P29-T29</f>
        <v>#NAME?</v>
      </c>
      <c r="Y29" s="4"/>
      <c r="Z29" s="13" t="e">
        <f ca="1">IF(T29=0,0,X29/T29)</f>
        <v>#NAME?</v>
      </c>
    </row>
    <row r="30" spans="1:26" x14ac:dyDescent="0.25">
      <c r="A30" s="9"/>
      <c r="B30" s="11"/>
      <c r="C30" s="11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1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4" customFormat="1" ht="15.75" thickBot="1" x14ac:dyDescent="0.3">
      <c r="A31" s="11"/>
      <c r="B31" s="28" t="s">
        <v>125</v>
      </c>
      <c r="C31" s="28"/>
      <c r="D31" s="34" t="e">
        <f ca="1">+D27-D29</f>
        <v>#NAME?</v>
      </c>
      <c r="E31" s="14"/>
      <c r="F31" s="31" t="e">
        <f ca="1">IF(D$12=0,0,D31/D$12)</f>
        <v>#NAME?</v>
      </c>
      <c r="G31" s="14"/>
      <c r="H31" s="34" t="e">
        <f ca="1">+H27-H29</f>
        <v>#NAME?</v>
      </c>
      <c r="I31" s="14"/>
      <c r="J31" s="31" t="e">
        <f ca="1">IF(H$12=0,0,H31/H$12)</f>
        <v>#NAME?</v>
      </c>
      <c r="K31" s="15"/>
      <c r="L31" s="34" t="e">
        <f ca="1">D31-H31</f>
        <v>#NAME?</v>
      </c>
      <c r="M31" s="15"/>
      <c r="N31" s="31" t="e">
        <f ca="1">IF(H31=0,0,L31/H31)</f>
        <v>#NAME?</v>
      </c>
      <c r="O31" s="29"/>
      <c r="P31" s="34" t="e">
        <f ca="1">+P27-P29</f>
        <v>#NAME?</v>
      </c>
      <c r="Q31" s="14"/>
      <c r="R31" s="31" t="e">
        <f ca="1">IF(P$12=0,0,P31/P$12)</f>
        <v>#NAME?</v>
      </c>
      <c r="S31" s="14"/>
      <c r="T31" s="34" t="e">
        <f ca="1">+T27-T29</f>
        <v>#NAME?</v>
      </c>
      <c r="U31" s="14"/>
      <c r="V31" s="31" t="e">
        <f ca="1">IF(T$12=0,0,T31/T$12)</f>
        <v>#NAME?</v>
      </c>
      <c r="W31" s="15"/>
      <c r="X31" s="34" t="e">
        <f ca="1">P31-T31</f>
        <v>#NAME?</v>
      </c>
      <c r="Y31" s="15"/>
      <c r="Z31" s="31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4" customFormat="1" x14ac:dyDescent="0.25">
      <c r="A33" s="51"/>
      <c r="B33" s="11" t="s">
        <v>183</v>
      </c>
      <c r="C33" s="11"/>
      <c r="D33" s="4" t="e">
        <f ca="1">-_xll.OneStop.ReportPlayer.OSRFunctions.OSRGet("GL_F_Trans","Value1")</f>
        <v>#NAME?</v>
      </c>
      <c r="E33" s="4"/>
      <c r="F33" s="13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3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3" t="e">
        <f t="shared" ref="N33:N34" ca="1" si="31">IF(H33=0,0,L33/H33)</f>
        <v>#NAME?</v>
      </c>
      <c r="O33" s="11"/>
      <c r="P33" s="4" t="e">
        <f ca="1">-_xll.OneStop.ReportPlayer.OSRFunctions.OSRGet("GL_F_Trans","Value1")</f>
        <v>#NAME?</v>
      </c>
      <c r="Q33" s="4"/>
      <c r="R33" s="13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3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3" t="e">
        <f t="shared" ref="Z33:Z34" ca="1" si="35">IF(T33=0,0,X33/T33)</f>
        <v>#NAME?</v>
      </c>
    </row>
    <row r="34" spans="1:26" s="24" customFormat="1" x14ac:dyDescent="0.25">
      <c r="A34" s="51"/>
      <c r="B34" s="11" t="s">
        <v>81</v>
      </c>
      <c r="C34" s="11"/>
      <c r="D34" s="4" t="e">
        <f ca="1">-_xll.OneStop.ReportPlayer.OSRFunctions.OSRGet("GL_F_Trans","Value1")</f>
        <v>#NAME?</v>
      </c>
      <c r="E34" s="4"/>
      <c r="F34" s="13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3" t="e">
        <f t="shared" ca="1" si="29"/>
        <v>#NAME?</v>
      </c>
      <c r="K34" s="4"/>
      <c r="L34" s="4" t="e">
        <f t="shared" ca="1" si="30"/>
        <v>#NAME?</v>
      </c>
      <c r="M34" s="4"/>
      <c r="N34" s="13" t="e">
        <f t="shared" ca="1" si="31"/>
        <v>#NAME?</v>
      </c>
      <c r="O34" s="11"/>
      <c r="P34" s="4" t="e">
        <f ca="1">-_xll.OneStop.ReportPlayer.OSRFunctions.OSRGet("GL_F_Trans","Value1")</f>
        <v>#NAME?</v>
      </c>
      <c r="Q34" s="4"/>
      <c r="R34" s="13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3" t="e">
        <f t="shared" ca="1" si="33"/>
        <v>#NAME?</v>
      </c>
      <c r="W34" s="4"/>
      <c r="X34" s="4" t="e">
        <f t="shared" ca="1" si="34"/>
        <v>#NAME?</v>
      </c>
      <c r="Y34" s="4"/>
      <c r="Z34" s="13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4" customFormat="1" ht="15.75" thickBot="1" x14ac:dyDescent="0.3">
      <c r="A36" s="11"/>
      <c r="B36" s="28" t="s">
        <v>293</v>
      </c>
      <c r="C36" s="28"/>
      <c r="D36" s="33" t="e">
        <f ca="1">SUM(D31:D35)</f>
        <v>#NAME?</v>
      </c>
      <c r="E36" s="14"/>
      <c r="F36" s="35" t="e">
        <f ca="1">IF(D$12=0,0,D36/D$12)</f>
        <v>#NAME?</v>
      </c>
      <c r="G36" s="14"/>
      <c r="H36" s="33" t="e">
        <f ca="1">SUM(H31:H35)</f>
        <v>#NAME?</v>
      </c>
      <c r="I36" s="14"/>
      <c r="J36" s="35" t="e">
        <f ca="1">IF(H$12=0,0,H36/H$12)</f>
        <v>#NAME?</v>
      </c>
      <c r="K36" s="15"/>
      <c r="L36" s="33" t="e">
        <f ca="1">+D36-H36</f>
        <v>#NAME?</v>
      </c>
      <c r="M36" s="15"/>
      <c r="N36" s="35" t="e">
        <f ca="1">IF(H36=0,0,L36/H36)</f>
        <v>#NAME?</v>
      </c>
      <c r="O36" s="29"/>
      <c r="P36" s="33" t="e">
        <f ca="1">SUM(P31:P35)</f>
        <v>#NAME?</v>
      </c>
      <c r="Q36" s="14"/>
      <c r="R36" s="35" t="e">
        <f ca="1">IF(P$12=0,0,P36/P$12)</f>
        <v>#NAME?</v>
      </c>
      <c r="S36" s="14"/>
      <c r="T36" s="33" t="e">
        <f ca="1">SUM(T31:T35)</f>
        <v>#NAME?</v>
      </c>
      <c r="U36" s="14"/>
      <c r="V36" s="35" t="e">
        <f ca="1">IF(T$12=0,0,T36/T$12)</f>
        <v>#NAME?</v>
      </c>
      <c r="W36" s="15"/>
      <c r="X36" s="33" t="e">
        <f ca="1">+P36-T36</f>
        <v>#NAME?</v>
      </c>
      <c r="Y36" s="15"/>
      <c r="Z36" s="35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56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55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60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62" t="s">
        <v>23</v>
      </c>
    </row>
    <row r="3" spans="1:26" x14ac:dyDescent="0.25">
      <c r="D3" s="62" t="s">
        <v>236</v>
      </c>
      <c r="E3" s="17"/>
      <c r="F3" s="46"/>
      <c r="G3" s="17"/>
      <c r="H3" s="17"/>
      <c r="I3" s="17"/>
      <c r="J3" s="38"/>
      <c r="K3" s="17"/>
      <c r="L3" s="17"/>
      <c r="M3" s="17"/>
      <c r="N3" s="46"/>
      <c r="O3" s="53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2" t="e">
        <f ca="1">CONCATENATE("Period ",RIGHT(_xll.OneStop.ReportPlayer.OSRFunctions.OSRGet("Period","PeriodId"),2),", ",_xll.OneStop.ReportPlayer.OSRFunctions.OSRGet("Period","Year"))</f>
        <v>#NAME?</v>
      </c>
      <c r="E4" s="17"/>
      <c r="F4" s="46"/>
      <c r="G4" s="17"/>
      <c r="H4" s="17"/>
      <c r="I4" s="17"/>
      <c r="J4" s="38"/>
      <c r="K4" s="17"/>
      <c r="L4" s="17"/>
      <c r="M4" s="17"/>
      <c r="N4" s="46"/>
      <c r="O4" s="53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4"/>
      <c r="D5" s="64" t="e">
        <f ca="1">_xll.OneStop.ReportPlayer.OSRFunctions.OSRGet("Period","PeriodEnd")</f>
        <v>#NAME?</v>
      </c>
      <c r="E5" s="17"/>
      <c r="F5" s="46"/>
      <c r="G5" s="17"/>
      <c r="H5" s="17"/>
      <c r="I5" s="17"/>
      <c r="J5" s="38"/>
      <c r="K5" s="17"/>
      <c r="L5" s="17"/>
      <c r="M5" s="17"/>
      <c r="N5" s="46"/>
      <c r="O5" s="53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4"/>
      <c r="B6" s="48"/>
      <c r="C6" s="48"/>
      <c r="D6" s="24" t="s">
        <v>21</v>
      </c>
      <c r="E6" s="17"/>
      <c r="F6" s="46"/>
      <c r="G6" s="17"/>
      <c r="H6" s="17"/>
      <c r="I6" s="17"/>
      <c r="J6" s="38"/>
      <c r="K6" s="17"/>
      <c r="L6" s="17"/>
      <c r="M6" s="17"/>
      <c r="N6" s="46"/>
      <c r="O6" s="54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9"/>
    </row>
    <row r="8" spans="1:26" x14ac:dyDescent="0.25">
      <c r="B8" s="59"/>
    </row>
    <row r="9" spans="1:26" x14ac:dyDescent="0.25">
      <c r="B9" s="9"/>
      <c r="C9" s="9"/>
      <c r="D9" s="16" t="s">
        <v>291</v>
      </c>
      <c r="E9" s="16"/>
      <c r="F9" s="39"/>
      <c r="G9" s="16"/>
      <c r="H9" s="16"/>
      <c r="I9" s="16"/>
      <c r="J9" s="49"/>
      <c r="K9" s="16"/>
      <c r="L9" s="16"/>
      <c r="M9" s="16"/>
      <c r="N9" s="39"/>
      <c r="P9" s="16" t="s">
        <v>39</v>
      </c>
      <c r="Q9" s="16"/>
      <c r="R9" s="39"/>
      <c r="S9" s="16"/>
      <c r="T9" s="16"/>
      <c r="U9" s="16"/>
      <c r="V9" s="49"/>
      <c r="W9" s="16"/>
      <c r="X9" s="16"/>
      <c r="Y9" s="16"/>
      <c r="Z9" s="39"/>
    </row>
    <row r="10" spans="1:26" x14ac:dyDescent="0.25">
      <c r="A10" s="11"/>
      <c r="B10" s="58"/>
      <c r="C10" s="11"/>
      <c r="D10" s="42" t="s">
        <v>57</v>
      </c>
      <c r="E10" s="36"/>
      <c r="F10" s="30" t="s">
        <v>40</v>
      </c>
      <c r="G10" s="36"/>
      <c r="H10" s="50" t="s">
        <v>237</v>
      </c>
      <c r="I10" s="36"/>
      <c r="J10" s="30" t="s">
        <v>40</v>
      </c>
      <c r="K10" s="11"/>
      <c r="L10" s="42" t="s">
        <v>126</v>
      </c>
      <c r="M10" s="11"/>
      <c r="N10" s="30" t="s">
        <v>257</v>
      </c>
      <c r="O10" s="11"/>
      <c r="P10" s="61" t="s">
        <v>57</v>
      </c>
      <c r="Q10" s="36"/>
      <c r="R10" s="30" t="s">
        <v>40</v>
      </c>
      <c r="S10" s="36"/>
      <c r="T10" s="50" t="s">
        <v>237</v>
      </c>
      <c r="U10" s="36"/>
      <c r="V10" s="30" t="s">
        <v>40</v>
      </c>
      <c r="W10" s="11"/>
      <c r="X10" s="42" t="s">
        <v>126</v>
      </c>
      <c r="Y10" s="11"/>
      <c r="Z10" s="30" t="s">
        <v>257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4" customFormat="1" collapsed="1" x14ac:dyDescent="0.25">
      <c r="A12" s="11"/>
      <c r="B12" s="29" t="s">
        <v>139</v>
      </c>
      <c r="C12" s="11"/>
      <c r="D12" s="4" t="e">
        <f ca="1">SUM(_xll.OneStop.ReportPlayer.OSRFunctions.OSRRef(D13))</f>
        <v>#NAME?</v>
      </c>
      <c r="E12" s="4"/>
      <c r="F12" s="13"/>
      <c r="G12" s="4"/>
      <c r="H12" s="4" t="e">
        <f ca="1">SUM(_xll.OneStop.ReportPlayer.OSRFunctions.OSRRef(H13))</f>
        <v>#NAME?</v>
      </c>
      <c r="I12" s="4"/>
      <c r="J12" s="13"/>
      <c r="K12" s="4"/>
      <c r="L12" s="4" t="e">
        <f t="shared" ref="L12:L13" ca="1" si="0">+D12-H12</f>
        <v>#NAME?</v>
      </c>
      <c r="M12" s="4"/>
      <c r="N12" s="13" t="e">
        <f t="shared" ref="N12:N13" ca="1" si="1">IF(H12=0,0,L12/H12)</f>
        <v>#NAME?</v>
      </c>
      <c r="O12" s="11"/>
      <c r="P12" s="4" t="e">
        <f ca="1">SUM(_xll.OneStop.ReportPlayer.OSRFunctions.OSRRef(P13))</f>
        <v>#NAME?</v>
      </c>
      <c r="Q12" s="4"/>
      <c r="R12" s="13"/>
      <c r="S12" s="4"/>
      <c r="T12" s="4" t="e">
        <f ca="1">SUM(_xll.OneStop.ReportPlayer.OSRFunctions.OSRRef(T13))</f>
        <v>#NAME?</v>
      </c>
      <c r="U12" s="4"/>
      <c r="V12" s="13"/>
      <c r="W12" s="4"/>
      <c r="X12" s="4" t="e">
        <f t="shared" ref="X12:X13" ca="1" si="2">+P12-T12</f>
        <v>#NAME?</v>
      </c>
      <c r="Y12" s="4"/>
      <c r="Z12" s="13" t="e">
        <f t="shared" ref="Z12:Z13" ca="1" si="3">IF(T12=0,0,X12/T12)</f>
        <v>#NAME?</v>
      </c>
    </row>
    <row r="13" spans="1:26" s="23" customFormat="1" hidden="1" outlineLevel="1" x14ac:dyDescent="0.25">
      <c r="A13" s="44"/>
      <c r="B13" s="10" t="e">
        <f ca="1">CONCATENATE("          ", _xll.OneStop.ReportPlayer.OSRFunctions.OSRGet("d_Account","Code"), " - ", _xll.OneStop.ReportPlayer.OSRFunctions.OSRGet("d_Account","Description"))</f>
        <v>#NAME?</v>
      </c>
      <c r="C13" s="10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0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1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4" customFormat="1" collapsed="1" x14ac:dyDescent="0.25">
      <c r="A15" s="11"/>
      <c r="B15" s="29" t="s">
        <v>256</v>
      </c>
      <c r="C15" s="11"/>
      <c r="D15" s="4" t="e">
        <f ca="1">SUM(_xll.OneStop.ReportPlayer.OSRFunctions.OSRRef(D16))</f>
        <v>#NAME?</v>
      </c>
      <c r="E15" s="4"/>
      <c r="F15" s="13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3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3" t="e">
        <f t="shared" ref="N15:N16" ca="1" si="7">IF(H15=0,0,L15/H15)</f>
        <v>#NAME?</v>
      </c>
      <c r="O15" s="11"/>
      <c r="P15" s="4" t="e">
        <f ca="1">SUM(_xll.OneStop.ReportPlayer.OSRFunctions.OSRRef(P16))</f>
        <v>#NAME?</v>
      </c>
      <c r="Q15" s="4"/>
      <c r="R15" s="13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3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3" t="e">
        <f t="shared" ref="Z15:Z16" ca="1" si="11">IF(T15=0,0,X15/T15)</f>
        <v>#NAME?</v>
      </c>
    </row>
    <row r="16" spans="1:26" s="23" customFormat="1" hidden="1" outlineLevel="1" x14ac:dyDescent="0.25">
      <c r="A16" s="44"/>
      <c r="B16" s="10" t="e">
        <f ca="1">CONCATENATE("          ", _xll.OneStop.ReportPlayer.OSRFunctions.OSRGet("d_Account","Code"), " - ", _xll.OneStop.ReportPlayer.OSRFunctions.OSRGet("d_Account","Description"))</f>
        <v>#NAME?</v>
      </c>
      <c r="C16" s="10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0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1"/>
      <c r="C17" s="11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1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4" customFormat="1" x14ac:dyDescent="0.25">
      <c r="A18" s="11"/>
      <c r="B18" s="28" t="s">
        <v>107</v>
      </c>
      <c r="C18" s="28"/>
      <c r="D18" s="21" t="e">
        <f ca="1">D12-D15</f>
        <v>#NAME?</v>
      </c>
      <c r="E18" s="14"/>
      <c r="F18" s="22" t="e">
        <f ca="1">IF(D$12=0,0,D18/D$12)</f>
        <v>#NAME?</v>
      </c>
      <c r="G18" s="14"/>
      <c r="H18" s="21" t="e">
        <f ca="1">H12-H15</f>
        <v>#NAME?</v>
      </c>
      <c r="I18" s="14"/>
      <c r="J18" s="22" t="e">
        <f ca="1">IF(H$12=0,0,H18/H$12)</f>
        <v>#NAME?</v>
      </c>
      <c r="K18" s="15"/>
      <c r="L18" s="21" t="e">
        <f ca="1">+D18-H18</f>
        <v>#NAME?</v>
      </c>
      <c r="M18" s="15"/>
      <c r="N18" s="22" t="e">
        <f ca="1">IF(H18=0,0,L18/H18)</f>
        <v>#NAME?</v>
      </c>
      <c r="O18" s="29"/>
      <c r="P18" s="21" t="e">
        <f ca="1">P12-P15</f>
        <v>#NAME?</v>
      </c>
      <c r="Q18" s="14"/>
      <c r="R18" s="22" t="e">
        <f ca="1">IF(P$12=0,0,P18/P$12)</f>
        <v>#NAME?</v>
      </c>
      <c r="S18" s="14"/>
      <c r="T18" s="21" t="e">
        <f ca="1">T12-T15</f>
        <v>#NAME?</v>
      </c>
      <c r="U18" s="14"/>
      <c r="V18" s="22" t="e">
        <f ca="1">IF(T$12=0,0,T18/T$12)</f>
        <v>#NAME?</v>
      </c>
      <c r="W18" s="15"/>
      <c r="X18" s="21" t="e">
        <f ca="1">+P18-T18</f>
        <v>#NAME?</v>
      </c>
      <c r="Y18" s="15"/>
      <c r="Z18" s="22" t="e">
        <f ca="1">IF(T18=0,0,X18/T18)</f>
        <v>#NAME?</v>
      </c>
    </row>
    <row r="19" spans="1:26" x14ac:dyDescent="0.25">
      <c r="A19" s="9"/>
      <c r="B19" s="11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4" customFormat="1" x14ac:dyDescent="0.25">
      <c r="A20" s="11"/>
      <c r="B20" s="29" t="s">
        <v>294</v>
      </c>
      <c r="C20" s="11"/>
      <c r="D20" s="20" t="e">
        <f ca="1">SUM(_xll.OneStop.ReportPlayer.OSRFunctions.OSRRef(D22))</f>
        <v>#NAME?</v>
      </c>
      <c r="E20" s="20"/>
      <c r="F20" s="32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2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2" t="e">
        <f t="shared" ref="N20:N22" ca="1" si="15">IF(H20=0,0,L20/H20)</f>
        <v>#NAME?</v>
      </c>
      <c r="O20" s="11"/>
      <c r="P20" s="20" t="e">
        <f ca="1">SUM(_xll.OneStop.ReportPlayer.OSRFunctions.OSRRef(P22))</f>
        <v>#NAME?</v>
      </c>
      <c r="Q20" s="20"/>
      <c r="R20" s="32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2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2" t="e">
        <f t="shared" ref="Z20:Z22" ca="1" si="19">IF(T20=0,0,X20/T20)</f>
        <v>#NAME?</v>
      </c>
    </row>
    <row r="21" spans="1:26" s="27" customFormat="1" outlineLevel="1" collapsed="1" x14ac:dyDescent="0.25">
      <c r="A21" s="26"/>
      <c r="B21" s="12" t="e">
        <f ca="1">CONCATENATE("     ",_xll.OneStop.ReportPlayer.OSRFunctions.OSRGet("d_Account","AccountCategory"))</f>
        <v>#NAME?</v>
      </c>
      <c r="C21" s="12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2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3" customFormat="1" hidden="1" outlineLevel="2" x14ac:dyDescent="0.25">
      <c r="A22" s="25"/>
      <c r="B22" s="10" t="e">
        <f ca="1">CONCATENATE("          ", _xll.OneStop.ReportPlayer.OSRFunctions.OSRGet("d_Account","Code"), " - ", _xll.OneStop.ReportPlayer.OSRFunctions.OSRGet("d_Account","Description"))</f>
        <v>#NAME?</v>
      </c>
      <c r="C22" s="10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0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2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4" customFormat="1" collapsed="1" x14ac:dyDescent="0.25">
      <c r="A24" s="11"/>
      <c r="B24" s="29" t="s">
        <v>292</v>
      </c>
      <c r="C24" s="11"/>
      <c r="D24" s="4" t="e">
        <f ca="1">SUM(_xll.OneStop.ReportPlayer.OSRFunctions.OSRRef(D25))</f>
        <v>#NAME?</v>
      </c>
      <c r="E24" s="4"/>
      <c r="F24" s="13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3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3" t="e">
        <f t="shared" ref="N24:N25" ca="1" si="23">IF(H24=0,0,L24/H24)</f>
        <v>#NAME?</v>
      </c>
      <c r="O24" s="11"/>
      <c r="P24" s="4" t="e">
        <f ca="1">SUM(_xll.OneStop.ReportPlayer.OSRFunctions.OSRRef(P25))</f>
        <v>#NAME?</v>
      </c>
      <c r="Q24" s="4"/>
      <c r="R24" s="13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3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3" t="e">
        <f t="shared" ref="Z24:Z25" ca="1" si="27">IF(T24=0,0,X24/T24)</f>
        <v>#NAME?</v>
      </c>
    </row>
    <row r="25" spans="1:26" s="23" customFormat="1" hidden="1" outlineLevel="1" x14ac:dyDescent="0.25">
      <c r="A25" s="44"/>
      <c r="B25" s="10" t="e">
        <f ca="1">CONCATENATE("          ", _xll.OneStop.ReportPlayer.OSRFunctions.OSRGet("d_Account","Code"), " - ", _xll.OneStop.ReportPlayer.OSRFunctions.OSRGet("d_Account","Description"))</f>
        <v>#NAME?</v>
      </c>
      <c r="C25" s="10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0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1"/>
      <c r="C26" s="11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1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4" customFormat="1" x14ac:dyDescent="0.25">
      <c r="A27" s="11"/>
      <c r="B27" s="28" t="s">
        <v>276</v>
      </c>
      <c r="C27" s="28"/>
      <c r="D27" s="21" t="e">
        <f ca="1">+D18-D20+D24</f>
        <v>#NAME?</v>
      </c>
      <c r="E27" s="14"/>
      <c r="F27" s="22" t="e">
        <f ca="1">IF(D$12=0,0,D27/D$12)</f>
        <v>#NAME?</v>
      </c>
      <c r="G27" s="14"/>
      <c r="H27" s="21" t="e">
        <f ca="1">+H18-H20+H24</f>
        <v>#NAME?</v>
      </c>
      <c r="I27" s="14"/>
      <c r="J27" s="22" t="e">
        <f ca="1">IF(H$12=0,0,H27/H$12)</f>
        <v>#NAME?</v>
      </c>
      <c r="K27" s="15"/>
      <c r="L27" s="21" t="e">
        <f ca="1">+D27-H27</f>
        <v>#NAME?</v>
      </c>
      <c r="M27" s="15"/>
      <c r="N27" s="22" t="e">
        <f ca="1">IF(H27=0,0,L27/H27)</f>
        <v>#NAME?</v>
      </c>
      <c r="O27" s="29"/>
      <c r="P27" s="21" t="e">
        <f ca="1">+P18-P20+P24</f>
        <v>#NAME?</v>
      </c>
      <c r="Q27" s="14"/>
      <c r="R27" s="22" t="e">
        <f ca="1">IF(P$12=0,0,P27/P$12)</f>
        <v>#NAME?</v>
      </c>
      <c r="S27" s="14"/>
      <c r="T27" s="21" t="e">
        <f ca="1">+T18-T20+T24</f>
        <v>#NAME?</v>
      </c>
      <c r="U27" s="14"/>
      <c r="V27" s="22" t="e">
        <f ca="1">IF(T$12=0,0,T27/T$12)</f>
        <v>#NAME?</v>
      </c>
      <c r="W27" s="15"/>
      <c r="X27" s="21" t="e">
        <f ca="1">+P27-T27</f>
        <v>#NAME?</v>
      </c>
      <c r="Y27" s="15"/>
      <c r="Z27" s="22" t="e">
        <f ca="1">IF(T27=0,0,X27/T27)</f>
        <v>#NAME?</v>
      </c>
    </row>
    <row r="28" spans="1:26" x14ac:dyDescent="0.25">
      <c r="A28" s="9"/>
      <c r="B28" s="11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4" customFormat="1" x14ac:dyDescent="0.25">
      <c r="A29" s="51"/>
      <c r="B29" s="11" t="s">
        <v>127</v>
      </c>
      <c r="C29" s="11"/>
      <c r="D29" s="4" t="e">
        <f ca="1">_xll.OneStop.ReportPlayer.OSRFunctions.OSRGet("GL_F_Trans","Value1")</f>
        <v>#NAME?</v>
      </c>
      <c r="E29" s="4"/>
      <c r="F29" s="13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3" t="e">
        <f ca="1">IF(H$12=0,0,H29/H$12)</f>
        <v>#NAME?</v>
      </c>
      <c r="K29" s="4"/>
      <c r="L29" s="4" t="e">
        <f ca="1">+D29-H29</f>
        <v>#NAME?</v>
      </c>
      <c r="M29" s="4"/>
      <c r="N29" s="13" t="e">
        <f ca="1">IF(H29=0,0,L29/H29)</f>
        <v>#NAME?</v>
      </c>
      <c r="O29" s="11"/>
      <c r="P29" s="4" t="e">
        <f ca="1">_xll.OneStop.ReportPlayer.OSRFunctions.OSRGet("GL_F_Trans","Value1")</f>
        <v>#NAME?</v>
      </c>
      <c r="Q29" s="4"/>
      <c r="R29" s="13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3" t="e">
        <f ca="1">IF(T$12=0,0,T29/T$12)</f>
        <v>#NAME?</v>
      </c>
      <c r="W29" s="4"/>
      <c r="X29" s="4" t="e">
        <f ca="1">+P29-T29</f>
        <v>#NAME?</v>
      </c>
      <c r="Y29" s="4"/>
      <c r="Z29" s="13" t="e">
        <f ca="1">IF(T29=0,0,X29/T29)</f>
        <v>#NAME?</v>
      </c>
    </row>
    <row r="30" spans="1:26" x14ac:dyDescent="0.25">
      <c r="A30" s="9"/>
      <c r="B30" s="11"/>
      <c r="C30" s="11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1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4" customFormat="1" ht="15.75" thickBot="1" x14ac:dyDescent="0.3">
      <c r="A31" s="11"/>
      <c r="B31" s="28" t="s">
        <v>125</v>
      </c>
      <c r="C31" s="28"/>
      <c r="D31" s="34" t="e">
        <f ca="1">+D27-D29</f>
        <v>#NAME?</v>
      </c>
      <c r="E31" s="14"/>
      <c r="F31" s="31" t="e">
        <f ca="1">IF(D$12=0,0,D31/D$12)</f>
        <v>#NAME?</v>
      </c>
      <c r="G31" s="14"/>
      <c r="H31" s="34" t="e">
        <f ca="1">+H27-H29</f>
        <v>#NAME?</v>
      </c>
      <c r="I31" s="14"/>
      <c r="J31" s="31" t="e">
        <f ca="1">IF(H$12=0,0,H31/H$12)</f>
        <v>#NAME?</v>
      </c>
      <c r="K31" s="15"/>
      <c r="L31" s="34" t="e">
        <f ca="1">D31-H31</f>
        <v>#NAME?</v>
      </c>
      <c r="M31" s="15"/>
      <c r="N31" s="31" t="e">
        <f ca="1">IF(H31=0,0,L31/H31)</f>
        <v>#NAME?</v>
      </c>
      <c r="O31" s="29"/>
      <c r="P31" s="34" t="e">
        <f ca="1">+P27-P29</f>
        <v>#NAME?</v>
      </c>
      <c r="Q31" s="14"/>
      <c r="R31" s="31" t="e">
        <f ca="1">IF(P$12=0,0,P31/P$12)</f>
        <v>#NAME?</v>
      </c>
      <c r="S31" s="14"/>
      <c r="T31" s="34" t="e">
        <f ca="1">+T27-T29</f>
        <v>#NAME?</v>
      </c>
      <c r="U31" s="14"/>
      <c r="V31" s="31" t="e">
        <f ca="1">IF(T$12=0,0,T31/T$12)</f>
        <v>#NAME?</v>
      </c>
      <c r="W31" s="15"/>
      <c r="X31" s="34" t="e">
        <f ca="1">P31-T31</f>
        <v>#NAME?</v>
      </c>
      <c r="Y31" s="15"/>
      <c r="Z31" s="31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4" customFormat="1" x14ac:dyDescent="0.25">
      <c r="A33" s="51"/>
      <c r="B33" s="11" t="s">
        <v>183</v>
      </c>
      <c r="C33" s="11"/>
      <c r="D33" s="4" t="e">
        <f ca="1">-_xll.OneStop.ReportPlayer.OSRFunctions.OSRGet("GL_F_Trans","Value1")</f>
        <v>#NAME?</v>
      </c>
      <c r="E33" s="4"/>
      <c r="F33" s="13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3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3" t="e">
        <f t="shared" ref="N33:N34" ca="1" si="31">IF(H33=0,0,L33/H33)</f>
        <v>#NAME?</v>
      </c>
      <c r="O33" s="11"/>
      <c r="P33" s="4" t="e">
        <f ca="1">-_xll.OneStop.ReportPlayer.OSRFunctions.OSRGet("GL_F_Trans","Value1")</f>
        <v>#NAME?</v>
      </c>
      <c r="Q33" s="4"/>
      <c r="R33" s="13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3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3" t="e">
        <f t="shared" ref="Z33:Z34" ca="1" si="35">IF(T33=0,0,X33/T33)</f>
        <v>#NAME?</v>
      </c>
    </row>
    <row r="34" spans="1:26" s="24" customFormat="1" x14ac:dyDescent="0.25">
      <c r="A34" s="51"/>
      <c r="B34" s="11" t="s">
        <v>81</v>
      </c>
      <c r="C34" s="11"/>
      <c r="D34" s="4" t="e">
        <f ca="1">-_xll.OneStop.ReportPlayer.OSRFunctions.OSRGet("GL_F_Trans","Value1")</f>
        <v>#NAME?</v>
      </c>
      <c r="E34" s="4"/>
      <c r="F34" s="13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3" t="e">
        <f t="shared" ca="1" si="29"/>
        <v>#NAME?</v>
      </c>
      <c r="K34" s="4"/>
      <c r="L34" s="4" t="e">
        <f t="shared" ca="1" si="30"/>
        <v>#NAME?</v>
      </c>
      <c r="M34" s="4"/>
      <c r="N34" s="13" t="e">
        <f t="shared" ca="1" si="31"/>
        <v>#NAME?</v>
      </c>
      <c r="O34" s="11"/>
      <c r="P34" s="4" t="e">
        <f ca="1">-_xll.OneStop.ReportPlayer.OSRFunctions.OSRGet("GL_F_Trans","Value1")</f>
        <v>#NAME?</v>
      </c>
      <c r="Q34" s="4"/>
      <c r="R34" s="13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3" t="e">
        <f t="shared" ca="1" si="33"/>
        <v>#NAME?</v>
      </c>
      <c r="W34" s="4"/>
      <c r="X34" s="4" t="e">
        <f t="shared" ca="1" si="34"/>
        <v>#NAME?</v>
      </c>
      <c r="Y34" s="4"/>
      <c r="Z34" s="13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4" customFormat="1" ht="15.75" thickBot="1" x14ac:dyDescent="0.3">
      <c r="A36" s="11"/>
      <c r="B36" s="28" t="s">
        <v>293</v>
      </c>
      <c r="C36" s="28"/>
      <c r="D36" s="33" t="e">
        <f ca="1">SUM(D31:D35)</f>
        <v>#NAME?</v>
      </c>
      <c r="E36" s="14"/>
      <c r="F36" s="35" t="e">
        <f ca="1">IF(D$12=0,0,D36/D$12)</f>
        <v>#NAME?</v>
      </c>
      <c r="G36" s="14"/>
      <c r="H36" s="33" t="e">
        <f ca="1">SUM(H31:H35)</f>
        <v>#NAME?</v>
      </c>
      <c r="I36" s="14"/>
      <c r="J36" s="35" t="e">
        <f ca="1">IF(H$12=0,0,H36/H$12)</f>
        <v>#NAME?</v>
      </c>
      <c r="K36" s="15"/>
      <c r="L36" s="33" t="e">
        <f ca="1">+D36-H36</f>
        <v>#NAME?</v>
      </c>
      <c r="M36" s="15"/>
      <c r="N36" s="35" t="e">
        <f ca="1">IF(H36=0,0,L36/H36)</f>
        <v>#NAME?</v>
      </c>
      <c r="O36" s="29"/>
      <c r="P36" s="33" t="e">
        <f ca="1">SUM(P31:P35)</f>
        <v>#NAME?</v>
      </c>
      <c r="Q36" s="14"/>
      <c r="R36" s="35" t="e">
        <f ca="1">IF(P$12=0,0,P36/P$12)</f>
        <v>#NAME?</v>
      </c>
      <c r="S36" s="14"/>
      <c r="T36" s="33" t="e">
        <f ca="1">SUM(T31:T35)</f>
        <v>#NAME?</v>
      </c>
      <c r="U36" s="14"/>
      <c r="V36" s="35" t="e">
        <f ca="1">IF(T$12=0,0,T36/T$12)</f>
        <v>#NAME?</v>
      </c>
      <c r="W36" s="15"/>
      <c r="X36" s="33" t="e">
        <f ca="1">+P36-T36</f>
        <v>#NAME?</v>
      </c>
      <c r="Y36" s="15"/>
      <c r="Z36" s="35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56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55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60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62" t="s">
        <v>23</v>
      </c>
    </row>
    <row r="3" spans="1:26" x14ac:dyDescent="0.25">
      <c r="D3" s="62" t="s">
        <v>236</v>
      </c>
      <c r="E3" s="17"/>
      <c r="F3" s="46"/>
      <c r="G3" s="17"/>
      <c r="H3" s="17"/>
      <c r="I3" s="17"/>
      <c r="J3" s="38"/>
      <c r="K3" s="17"/>
      <c r="L3" s="17"/>
      <c r="M3" s="17"/>
      <c r="N3" s="46"/>
      <c r="O3" s="53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2" t="e">
        <f ca="1">CONCATENATE("Period ",RIGHT(_xll.OneStop.ReportPlayer.OSRFunctions.OSRGet("Period","PeriodId"),2),", ",_xll.OneStop.ReportPlayer.OSRFunctions.OSRGet("Period","Year"))</f>
        <v>#NAME?</v>
      </c>
      <c r="E4" s="17"/>
      <c r="F4" s="46"/>
      <c r="G4" s="17"/>
      <c r="H4" s="17"/>
      <c r="I4" s="17"/>
      <c r="J4" s="38"/>
      <c r="K4" s="17"/>
      <c r="L4" s="17"/>
      <c r="M4" s="17"/>
      <c r="N4" s="46"/>
      <c r="O4" s="53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4"/>
      <c r="D5" s="64" t="e">
        <f ca="1">_xll.OneStop.ReportPlayer.OSRFunctions.OSRGet("Period","PeriodEnd")</f>
        <v>#NAME?</v>
      </c>
      <c r="E5" s="17"/>
      <c r="F5" s="46"/>
      <c r="G5" s="17"/>
      <c r="H5" s="17"/>
      <c r="I5" s="17"/>
      <c r="J5" s="38"/>
      <c r="K5" s="17"/>
      <c r="L5" s="17"/>
      <c r="M5" s="17"/>
      <c r="N5" s="46"/>
      <c r="O5" s="53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4"/>
      <c r="B6" s="48"/>
      <c r="C6" s="48"/>
      <c r="D6" s="24" t="s">
        <v>21</v>
      </c>
      <c r="E6" s="17"/>
      <c r="F6" s="46"/>
      <c r="G6" s="17"/>
      <c r="H6" s="17"/>
      <c r="I6" s="17"/>
      <c r="J6" s="38"/>
      <c r="K6" s="17"/>
      <c r="L6" s="17"/>
      <c r="M6" s="17"/>
      <c r="N6" s="46"/>
      <c r="O6" s="54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9"/>
    </row>
    <row r="8" spans="1:26" x14ac:dyDescent="0.25">
      <c r="B8" s="59"/>
    </row>
    <row r="9" spans="1:26" x14ac:dyDescent="0.25">
      <c r="B9" s="9"/>
      <c r="C9" s="9"/>
      <c r="D9" s="16" t="s">
        <v>291</v>
      </c>
      <c r="E9" s="16"/>
      <c r="F9" s="39"/>
      <c r="G9" s="16"/>
      <c r="H9" s="16"/>
      <c r="I9" s="16"/>
      <c r="J9" s="49"/>
      <c r="K9" s="16"/>
      <c r="L9" s="16"/>
      <c r="M9" s="16"/>
      <c r="N9" s="39"/>
      <c r="P9" s="16" t="s">
        <v>39</v>
      </c>
      <c r="Q9" s="16"/>
      <c r="R9" s="39"/>
      <c r="S9" s="16"/>
      <c r="T9" s="16"/>
      <c r="U9" s="16"/>
      <c r="V9" s="49"/>
      <c r="W9" s="16"/>
      <c r="X9" s="16"/>
      <c r="Y9" s="16"/>
      <c r="Z9" s="39"/>
    </row>
    <row r="10" spans="1:26" x14ac:dyDescent="0.25">
      <c r="A10" s="11"/>
      <c r="B10" s="58"/>
      <c r="C10" s="11"/>
      <c r="D10" s="42" t="s">
        <v>57</v>
      </c>
      <c r="E10" s="36"/>
      <c r="F10" s="30" t="s">
        <v>40</v>
      </c>
      <c r="G10" s="36"/>
      <c r="H10" s="50" t="s">
        <v>237</v>
      </c>
      <c r="I10" s="36"/>
      <c r="J10" s="30" t="s">
        <v>40</v>
      </c>
      <c r="K10" s="11"/>
      <c r="L10" s="42" t="s">
        <v>126</v>
      </c>
      <c r="M10" s="11"/>
      <c r="N10" s="30" t="s">
        <v>257</v>
      </c>
      <c r="O10" s="11"/>
      <c r="P10" s="61" t="s">
        <v>57</v>
      </c>
      <c r="Q10" s="36"/>
      <c r="R10" s="30" t="s">
        <v>40</v>
      </c>
      <c r="S10" s="36"/>
      <c r="T10" s="50" t="s">
        <v>237</v>
      </c>
      <c r="U10" s="36"/>
      <c r="V10" s="30" t="s">
        <v>40</v>
      </c>
      <c r="W10" s="11"/>
      <c r="X10" s="42" t="s">
        <v>126</v>
      </c>
      <c r="Y10" s="11"/>
      <c r="Z10" s="30" t="s">
        <v>257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4" customFormat="1" collapsed="1" x14ac:dyDescent="0.25">
      <c r="A12" s="11"/>
      <c r="B12" s="29" t="s">
        <v>139</v>
      </c>
      <c r="C12" s="11"/>
      <c r="D12" s="4" t="e">
        <f ca="1">SUM(_xll.OneStop.ReportPlayer.OSRFunctions.OSRRef(D13))</f>
        <v>#NAME?</v>
      </c>
      <c r="E12" s="4"/>
      <c r="F12" s="13"/>
      <c r="G12" s="4"/>
      <c r="H12" s="4" t="e">
        <f ca="1">SUM(_xll.OneStop.ReportPlayer.OSRFunctions.OSRRef(H13))</f>
        <v>#NAME?</v>
      </c>
      <c r="I12" s="4"/>
      <c r="J12" s="13"/>
      <c r="K12" s="4"/>
      <c r="L12" s="4" t="e">
        <f t="shared" ref="L12:L13" ca="1" si="0">+D12-H12</f>
        <v>#NAME?</v>
      </c>
      <c r="M12" s="4"/>
      <c r="N12" s="13" t="e">
        <f t="shared" ref="N12:N13" ca="1" si="1">IF(H12=0,0,L12/H12)</f>
        <v>#NAME?</v>
      </c>
      <c r="O12" s="11"/>
      <c r="P12" s="4" t="e">
        <f ca="1">SUM(_xll.OneStop.ReportPlayer.OSRFunctions.OSRRef(P13))</f>
        <v>#NAME?</v>
      </c>
      <c r="Q12" s="4"/>
      <c r="R12" s="13"/>
      <c r="S12" s="4"/>
      <c r="T12" s="4" t="e">
        <f ca="1">SUM(_xll.OneStop.ReportPlayer.OSRFunctions.OSRRef(T13))</f>
        <v>#NAME?</v>
      </c>
      <c r="U12" s="4"/>
      <c r="V12" s="13"/>
      <c r="W12" s="4"/>
      <c r="X12" s="4" t="e">
        <f t="shared" ref="X12:X13" ca="1" si="2">+P12-T12</f>
        <v>#NAME?</v>
      </c>
      <c r="Y12" s="4"/>
      <c r="Z12" s="13" t="e">
        <f t="shared" ref="Z12:Z13" ca="1" si="3">IF(T12=0,0,X12/T12)</f>
        <v>#NAME?</v>
      </c>
    </row>
    <row r="13" spans="1:26" s="23" customFormat="1" hidden="1" outlineLevel="1" x14ac:dyDescent="0.25">
      <c r="A13" s="44"/>
      <c r="B13" s="10" t="e">
        <f ca="1">CONCATENATE("          ", _xll.OneStop.ReportPlayer.OSRFunctions.OSRGet("d_Account","Code"), " - ", _xll.OneStop.ReportPlayer.OSRFunctions.OSRGet("d_Account","Description"))</f>
        <v>#NAME?</v>
      </c>
      <c r="C13" s="10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0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1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4" customFormat="1" collapsed="1" x14ac:dyDescent="0.25">
      <c r="A15" s="11"/>
      <c r="B15" s="29" t="s">
        <v>256</v>
      </c>
      <c r="C15" s="11"/>
      <c r="D15" s="4" t="e">
        <f ca="1">SUM(_xll.OneStop.ReportPlayer.OSRFunctions.OSRRef(D16))</f>
        <v>#NAME?</v>
      </c>
      <c r="E15" s="4"/>
      <c r="F15" s="13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3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3" t="e">
        <f t="shared" ref="N15:N16" ca="1" si="7">IF(H15=0,0,L15/H15)</f>
        <v>#NAME?</v>
      </c>
      <c r="O15" s="11"/>
      <c r="P15" s="4" t="e">
        <f ca="1">SUM(_xll.OneStop.ReportPlayer.OSRFunctions.OSRRef(P16))</f>
        <v>#NAME?</v>
      </c>
      <c r="Q15" s="4"/>
      <c r="R15" s="13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3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3" t="e">
        <f t="shared" ref="Z15:Z16" ca="1" si="11">IF(T15=0,0,X15/T15)</f>
        <v>#NAME?</v>
      </c>
    </row>
    <row r="16" spans="1:26" s="23" customFormat="1" hidden="1" outlineLevel="1" x14ac:dyDescent="0.25">
      <c r="A16" s="44"/>
      <c r="B16" s="10" t="e">
        <f ca="1">CONCATENATE("          ", _xll.OneStop.ReportPlayer.OSRFunctions.OSRGet("d_Account","Code"), " - ", _xll.OneStop.ReportPlayer.OSRFunctions.OSRGet("d_Account","Description"))</f>
        <v>#NAME?</v>
      </c>
      <c r="C16" s="10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0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1"/>
      <c r="C17" s="11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1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4" customFormat="1" x14ac:dyDescent="0.25">
      <c r="A18" s="11"/>
      <c r="B18" s="28" t="s">
        <v>107</v>
      </c>
      <c r="C18" s="28"/>
      <c r="D18" s="21" t="e">
        <f ca="1">D12-D15</f>
        <v>#NAME?</v>
      </c>
      <c r="E18" s="14"/>
      <c r="F18" s="22" t="e">
        <f ca="1">IF(D$12=0,0,D18/D$12)</f>
        <v>#NAME?</v>
      </c>
      <c r="G18" s="14"/>
      <c r="H18" s="21" t="e">
        <f ca="1">H12-H15</f>
        <v>#NAME?</v>
      </c>
      <c r="I18" s="14"/>
      <c r="J18" s="22" t="e">
        <f ca="1">IF(H$12=0,0,H18/H$12)</f>
        <v>#NAME?</v>
      </c>
      <c r="K18" s="15"/>
      <c r="L18" s="21" t="e">
        <f ca="1">+D18-H18</f>
        <v>#NAME?</v>
      </c>
      <c r="M18" s="15"/>
      <c r="N18" s="22" t="e">
        <f ca="1">IF(H18=0,0,L18/H18)</f>
        <v>#NAME?</v>
      </c>
      <c r="O18" s="29"/>
      <c r="P18" s="21" t="e">
        <f ca="1">P12-P15</f>
        <v>#NAME?</v>
      </c>
      <c r="Q18" s="14"/>
      <c r="R18" s="22" t="e">
        <f ca="1">IF(P$12=0,0,P18/P$12)</f>
        <v>#NAME?</v>
      </c>
      <c r="S18" s="14"/>
      <c r="T18" s="21" t="e">
        <f ca="1">T12-T15</f>
        <v>#NAME?</v>
      </c>
      <c r="U18" s="14"/>
      <c r="V18" s="22" t="e">
        <f ca="1">IF(T$12=0,0,T18/T$12)</f>
        <v>#NAME?</v>
      </c>
      <c r="W18" s="15"/>
      <c r="X18" s="21" t="e">
        <f ca="1">+P18-T18</f>
        <v>#NAME?</v>
      </c>
      <c r="Y18" s="15"/>
      <c r="Z18" s="22" t="e">
        <f ca="1">IF(T18=0,0,X18/T18)</f>
        <v>#NAME?</v>
      </c>
    </row>
    <row r="19" spans="1:26" x14ac:dyDescent="0.25">
      <c r="A19" s="9"/>
      <c r="B19" s="11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4" customFormat="1" x14ac:dyDescent="0.25">
      <c r="A20" s="11"/>
      <c r="B20" s="29" t="s">
        <v>294</v>
      </c>
      <c r="C20" s="11"/>
      <c r="D20" s="20" t="e">
        <f ca="1">SUM(_xll.OneStop.ReportPlayer.OSRFunctions.OSRRef(D22))</f>
        <v>#NAME?</v>
      </c>
      <c r="E20" s="20"/>
      <c r="F20" s="32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2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2" t="e">
        <f t="shared" ref="N20:N22" ca="1" si="15">IF(H20=0,0,L20/H20)</f>
        <v>#NAME?</v>
      </c>
      <c r="O20" s="11"/>
      <c r="P20" s="20" t="e">
        <f ca="1">SUM(_xll.OneStop.ReportPlayer.OSRFunctions.OSRRef(P22))</f>
        <v>#NAME?</v>
      </c>
      <c r="Q20" s="20"/>
      <c r="R20" s="32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2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2" t="e">
        <f t="shared" ref="Z20:Z22" ca="1" si="19">IF(T20=0,0,X20/T20)</f>
        <v>#NAME?</v>
      </c>
    </row>
    <row r="21" spans="1:26" s="27" customFormat="1" outlineLevel="1" collapsed="1" x14ac:dyDescent="0.25">
      <c r="A21" s="26"/>
      <c r="B21" s="12" t="e">
        <f ca="1">CONCATENATE("     ",_xll.OneStop.ReportPlayer.OSRFunctions.OSRGet("d_Account","AccountCategory"))</f>
        <v>#NAME?</v>
      </c>
      <c r="C21" s="12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2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3" customFormat="1" hidden="1" outlineLevel="2" x14ac:dyDescent="0.25">
      <c r="A22" s="25"/>
      <c r="B22" s="10" t="e">
        <f ca="1">CONCATENATE("          ", _xll.OneStop.ReportPlayer.OSRFunctions.OSRGet("d_Account","Code"), " - ", _xll.OneStop.ReportPlayer.OSRFunctions.OSRGet("d_Account","Description"))</f>
        <v>#NAME?</v>
      </c>
      <c r="C22" s="10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0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2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4" customFormat="1" collapsed="1" x14ac:dyDescent="0.25">
      <c r="A24" s="11"/>
      <c r="B24" s="29" t="s">
        <v>292</v>
      </c>
      <c r="C24" s="11"/>
      <c r="D24" s="4" t="e">
        <f ca="1">SUM(_xll.OneStop.ReportPlayer.OSRFunctions.OSRRef(D25))</f>
        <v>#NAME?</v>
      </c>
      <c r="E24" s="4"/>
      <c r="F24" s="13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3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3" t="e">
        <f t="shared" ref="N24:N25" ca="1" si="23">IF(H24=0,0,L24/H24)</f>
        <v>#NAME?</v>
      </c>
      <c r="O24" s="11"/>
      <c r="P24" s="4" t="e">
        <f ca="1">SUM(_xll.OneStop.ReportPlayer.OSRFunctions.OSRRef(P25))</f>
        <v>#NAME?</v>
      </c>
      <c r="Q24" s="4"/>
      <c r="R24" s="13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3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3" t="e">
        <f t="shared" ref="Z24:Z25" ca="1" si="27">IF(T24=0,0,X24/T24)</f>
        <v>#NAME?</v>
      </c>
    </row>
    <row r="25" spans="1:26" s="23" customFormat="1" hidden="1" outlineLevel="1" x14ac:dyDescent="0.25">
      <c r="A25" s="44"/>
      <c r="B25" s="10" t="e">
        <f ca="1">CONCATENATE("          ", _xll.OneStop.ReportPlayer.OSRFunctions.OSRGet("d_Account","Code"), " - ", _xll.OneStop.ReportPlayer.OSRFunctions.OSRGet("d_Account","Description"))</f>
        <v>#NAME?</v>
      </c>
      <c r="C25" s="10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0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1"/>
      <c r="C26" s="11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1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4" customFormat="1" x14ac:dyDescent="0.25">
      <c r="A27" s="11"/>
      <c r="B27" s="28" t="s">
        <v>276</v>
      </c>
      <c r="C27" s="28"/>
      <c r="D27" s="21" t="e">
        <f ca="1">+D18-D20+D24</f>
        <v>#NAME?</v>
      </c>
      <c r="E27" s="14"/>
      <c r="F27" s="22" t="e">
        <f ca="1">IF(D$12=0,0,D27/D$12)</f>
        <v>#NAME?</v>
      </c>
      <c r="G27" s="14"/>
      <c r="H27" s="21" t="e">
        <f ca="1">+H18-H20+H24</f>
        <v>#NAME?</v>
      </c>
      <c r="I27" s="14"/>
      <c r="J27" s="22" t="e">
        <f ca="1">IF(H$12=0,0,H27/H$12)</f>
        <v>#NAME?</v>
      </c>
      <c r="K27" s="15"/>
      <c r="L27" s="21" t="e">
        <f ca="1">+D27-H27</f>
        <v>#NAME?</v>
      </c>
      <c r="M27" s="15"/>
      <c r="N27" s="22" t="e">
        <f ca="1">IF(H27=0,0,L27/H27)</f>
        <v>#NAME?</v>
      </c>
      <c r="O27" s="29"/>
      <c r="P27" s="21" t="e">
        <f ca="1">+P18-P20+P24</f>
        <v>#NAME?</v>
      </c>
      <c r="Q27" s="14"/>
      <c r="R27" s="22" t="e">
        <f ca="1">IF(P$12=0,0,P27/P$12)</f>
        <v>#NAME?</v>
      </c>
      <c r="S27" s="14"/>
      <c r="T27" s="21" t="e">
        <f ca="1">+T18-T20+T24</f>
        <v>#NAME?</v>
      </c>
      <c r="U27" s="14"/>
      <c r="V27" s="22" t="e">
        <f ca="1">IF(T$12=0,0,T27/T$12)</f>
        <v>#NAME?</v>
      </c>
      <c r="W27" s="15"/>
      <c r="X27" s="21" t="e">
        <f ca="1">+P27-T27</f>
        <v>#NAME?</v>
      </c>
      <c r="Y27" s="15"/>
      <c r="Z27" s="22" t="e">
        <f ca="1">IF(T27=0,0,X27/T27)</f>
        <v>#NAME?</v>
      </c>
    </row>
    <row r="28" spans="1:26" x14ac:dyDescent="0.25">
      <c r="A28" s="9"/>
      <c r="B28" s="11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4" customFormat="1" x14ac:dyDescent="0.25">
      <c r="A29" s="51"/>
      <c r="B29" s="11" t="s">
        <v>127</v>
      </c>
      <c r="C29" s="11"/>
      <c r="D29" s="4" t="e">
        <f ca="1">_xll.OneStop.ReportPlayer.OSRFunctions.OSRGet("GL_F_Trans","Value1")</f>
        <v>#NAME?</v>
      </c>
      <c r="E29" s="4"/>
      <c r="F29" s="13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3" t="e">
        <f ca="1">IF(H$12=0,0,H29/H$12)</f>
        <v>#NAME?</v>
      </c>
      <c r="K29" s="4"/>
      <c r="L29" s="4" t="e">
        <f ca="1">+D29-H29</f>
        <v>#NAME?</v>
      </c>
      <c r="M29" s="4"/>
      <c r="N29" s="13" t="e">
        <f ca="1">IF(H29=0,0,L29/H29)</f>
        <v>#NAME?</v>
      </c>
      <c r="O29" s="11"/>
      <c r="P29" s="4" t="e">
        <f ca="1">_xll.OneStop.ReportPlayer.OSRFunctions.OSRGet("GL_F_Trans","Value1")</f>
        <v>#NAME?</v>
      </c>
      <c r="Q29" s="4"/>
      <c r="R29" s="13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3" t="e">
        <f ca="1">IF(T$12=0,0,T29/T$12)</f>
        <v>#NAME?</v>
      </c>
      <c r="W29" s="4"/>
      <c r="X29" s="4" t="e">
        <f ca="1">+P29-T29</f>
        <v>#NAME?</v>
      </c>
      <c r="Y29" s="4"/>
      <c r="Z29" s="13" t="e">
        <f ca="1">IF(T29=0,0,X29/T29)</f>
        <v>#NAME?</v>
      </c>
    </row>
    <row r="30" spans="1:26" x14ac:dyDescent="0.25">
      <c r="A30" s="9"/>
      <c r="B30" s="11"/>
      <c r="C30" s="11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1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4" customFormat="1" ht="15.75" thickBot="1" x14ac:dyDescent="0.3">
      <c r="A31" s="11"/>
      <c r="B31" s="28" t="s">
        <v>125</v>
      </c>
      <c r="C31" s="28"/>
      <c r="D31" s="34" t="e">
        <f ca="1">+D27-D29</f>
        <v>#NAME?</v>
      </c>
      <c r="E31" s="14"/>
      <c r="F31" s="31" t="e">
        <f ca="1">IF(D$12=0,0,D31/D$12)</f>
        <v>#NAME?</v>
      </c>
      <c r="G31" s="14"/>
      <c r="H31" s="34" t="e">
        <f ca="1">+H27-H29</f>
        <v>#NAME?</v>
      </c>
      <c r="I31" s="14"/>
      <c r="J31" s="31" t="e">
        <f ca="1">IF(H$12=0,0,H31/H$12)</f>
        <v>#NAME?</v>
      </c>
      <c r="K31" s="15"/>
      <c r="L31" s="34" t="e">
        <f ca="1">D31-H31</f>
        <v>#NAME?</v>
      </c>
      <c r="M31" s="15"/>
      <c r="N31" s="31" t="e">
        <f ca="1">IF(H31=0,0,L31/H31)</f>
        <v>#NAME?</v>
      </c>
      <c r="O31" s="29"/>
      <c r="P31" s="34" t="e">
        <f ca="1">+P27-P29</f>
        <v>#NAME?</v>
      </c>
      <c r="Q31" s="14"/>
      <c r="R31" s="31" t="e">
        <f ca="1">IF(P$12=0,0,P31/P$12)</f>
        <v>#NAME?</v>
      </c>
      <c r="S31" s="14"/>
      <c r="T31" s="34" t="e">
        <f ca="1">+T27-T29</f>
        <v>#NAME?</v>
      </c>
      <c r="U31" s="14"/>
      <c r="V31" s="31" t="e">
        <f ca="1">IF(T$12=0,0,T31/T$12)</f>
        <v>#NAME?</v>
      </c>
      <c r="W31" s="15"/>
      <c r="X31" s="34" t="e">
        <f ca="1">P31-T31</f>
        <v>#NAME?</v>
      </c>
      <c r="Y31" s="15"/>
      <c r="Z31" s="31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4" customFormat="1" x14ac:dyDescent="0.25">
      <c r="A33" s="51"/>
      <c r="B33" s="11" t="s">
        <v>183</v>
      </c>
      <c r="C33" s="11"/>
      <c r="D33" s="4" t="e">
        <f ca="1">-_xll.OneStop.ReportPlayer.OSRFunctions.OSRGet("GL_F_Trans","Value1")</f>
        <v>#NAME?</v>
      </c>
      <c r="E33" s="4"/>
      <c r="F33" s="13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3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3" t="e">
        <f t="shared" ref="N33:N34" ca="1" si="31">IF(H33=0,0,L33/H33)</f>
        <v>#NAME?</v>
      </c>
      <c r="O33" s="11"/>
      <c r="P33" s="4" t="e">
        <f ca="1">-_xll.OneStop.ReportPlayer.OSRFunctions.OSRGet("GL_F_Trans","Value1")</f>
        <v>#NAME?</v>
      </c>
      <c r="Q33" s="4"/>
      <c r="R33" s="13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3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3" t="e">
        <f t="shared" ref="Z33:Z34" ca="1" si="35">IF(T33=0,0,X33/T33)</f>
        <v>#NAME?</v>
      </c>
    </row>
    <row r="34" spans="1:26" s="24" customFormat="1" x14ac:dyDescent="0.25">
      <c r="A34" s="51"/>
      <c r="B34" s="11" t="s">
        <v>81</v>
      </c>
      <c r="C34" s="11"/>
      <c r="D34" s="4" t="e">
        <f ca="1">-_xll.OneStop.ReportPlayer.OSRFunctions.OSRGet("GL_F_Trans","Value1")</f>
        <v>#NAME?</v>
      </c>
      <c r="E34" s="4"/>
      <c r="F34" s="13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3" t="e">
        <f t="shared" ca="1" si="29"/>
        <v>#NAME?</v>
      </c>
      <c r="K34" s="4"/>
      <c r="L34" s="4" t="e">
        <f t="shared" ca="1" si="30"/>
        <v>#NAME?</v>
      </c>
      <c r="M34" s="4"/>
      <c r="N34" s="13" t="e">
        <f t="shared" ca="1" si="31"/>
        <v>#NAME?</v>
      </c>
      <c r="O34" s="11"/>
      <c r="P34" s="4" t="e">
        <f ca="1">-_xll.OneStop.ReportPlayer.OSRFunctions.OSRGet("GL_F_Trans","Value1")</f>
        <v>#NAME?</v>
      </c>
      <c r="Q34" s="4"/>
      <c r="R34" s="13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3" t="e">
        <f t="shared" ca="1" si="33"/>
        <v>#NAME?</v>
      </c>
      <c r="W34" s="4"/>
      <c r="X34" s="4" t="e">
        <f t="shared" ca="1" si="34"/>
        <v>#NAME?</v>
      </c>
      <c r="Y34" s="4"/>
      <c r="Z34" s="13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4" customFormat="1" ht="15.75" thickBot="1" x14ac:dyDescent="0.3">
      <c r="A36" s="11"/>
      <c r="B36" s="28" t="s">
        <v>293</v>
      </c>
      <c r="C36" s="28"/>
      <c r="D36" s="33" t="e">
        <f ca="1">SUM(D31:D35)</f>
        <v>#NAME?</v>
      </c>
      <c r="E36" s="14"/>
      <c r="F36" s="35" t="e">
        <f ca="1">IF(D$12=0,0,D36/D$12)</f>
        <v>#NAME?</v>
      </c>
      <c r="G36" s="14"/>
      <c r="H36" s="33" t="e">
        <f ca="1">SUM(H31:H35)</f>
        <v>#NAME?</v>
      </c>
      <c r="I36" s="14"/>
      <c r="J36" s="35" t="e">
        <f ca="1">IF(H$12=0,0,H36/H$12)</f>
        <v>#NAME?</v>
      </c>
      <c r="K36" s="15"/>
      <c r="L36" s="33" t="e">
        <f ca="1">+D36-H36</f>
        <v>#NAME?</v>
      </c>
      <c r="M36" s="15"/>
      <c r="N36" s="35" t="e">
        <f ca="1">IF(H36=0,0,L36/H36)</f>
        <v>#NAME?</v>
      </c>
      <c r="O36" s="29"/>
      <c r="P36" s="33" t="e">
        <f ca="1">SUM(P31:P35)</f>
        <v>#NAME?</v>
      </c>
      <c r="Q36" s="14"/>
      <c r="R36" s="35" t="e">
        <f ca="1">IF(P$12=0,0,P36/P$12)</f>
        <v>#NAME?</v>
      </c>
      <c r="S36" s="14"/>
      <c r="T36" s="33" t="e">
        <f ca="1">SUM(T31:T35)</f>
        <v>#NAME?</v>
      </c>
      <c r="U36" s="14"/>
      <c r="V36" s="35" t="e">
        <f ca="1">IF(T$12=0,0,T36/T$12)</f>
        <v>#NAME?</v>
      </c>
      <c r="W36" s="15"/>
      <c r="X36" s="33" t="e">
        <f ca="1">+P36-T36</f>
        <v>#NAME?</v>
      </c>
      <c r="Y36" s="15"/>
      <c r="Z36" s="35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56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55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60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62" t="s">
        <v>23</v>
      </c>
    </row>
    <row r="3" spans="1:26" x14ac:dyDescent="0.25">
      <c r="D3" s="62" t="s">
        <v>236</v>
      </c>
      <c r="E3" s="17"/>
      <c r="F3" s="46"/>
      <c r="G3" s="17"/>
      <c r="H3" s="17"/>
      <c r="I3" s="17"/>
      <c r="J3" s="38"/>
      <c r="K3" s="17"/>
      <c r="L3" s="17"/>
      <c r="M3" s="17"/>
      <c r="N3" s="46"/>
      <c r="O3" s="53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2" t="e">
        <f ca="1">CONCATENATE("Period ",RIGHT(_xll.OneStop.ReportPlayer.OSRFunctions.OSRGet("Period","PeriodId"),2),", ",_xll.OneStop.ReportPlayer.OSRFunctions.OSRGet("Period","Year"))</f>
        <v>#NAME?</v>
      </c>
      <c r="E4" s="17"/>
      <c r="F4" s="46"/>
      <c r="G4" s="17"/>
      <c r="H4" s="17"/>
      <c r="I4" s="17"/>
      <c r="J4" s="38"/>
      <c r="K4" s="17"/>
      <c r="L4" s="17"/>
      <c r="M4" s="17"/>
      <c r="N4" s="46"/>
      <c r="O4" s="53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4"/>
      <c r="D5" s="64" t="e">
        <f ca="1">_xll.OneStop.ReportPlayer.OSRFunctions.OSRGet("Period","PeriodEnd")</f>
        <v>#NAME?</v>
      </c>
      <c r="E5" s="17"/>
      <c r="F5" s="46"/>
      <c r="G5" s="17"/>
      <c r="H5" s="17"/>
      <c r="I5" s="17"/>
      <c r="J5" s="38"/>
      <c r="K5" s="17"/>
      <c r="L5" s="17"/>
      <c r="M5" s="17"/>
      <c r="N5" s="46"/>
      <c r="O5" s="53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4"/>
      <c r="B6" s="48"/>
      <c r="C6" s="48"/>
      <c r="D6" s="24" t="s">
        <v>22</v>
      </c>
      <c r="E6" s="17"/>
      <c r="F6" s="46"/>
      <c r="G6" s="17"/>
      <c r="H6" s="17"/>
      <c r="I6" s="17"/>
      <c r="J6" s="38"/>
      <c r="K6" s="17"/>
      <c r="L6" s="17"/>
      <c r="M6" s="17"/>
      <c r="N6" s="46"/>
      <c r="O6" s="54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9"/>
    </row>
    <row r="8" spans="1:26" x14ac:dyDescent="0.25">
      <c r="B8" s="59"/>
    </row>
    <row r="9" spans="1:26" x14ac:dyDescent="0.25">
      <c r="B9" s="9"/>
      <c r="C9" s="9"/>
      <c r="D9" s="16" t="s">
        <v>291</v>
      </c>
      <c r="E9" s="16"/>
      <c r="F9" s="39"/>
      <c r="G9" s="16"/>
      <c r="H9" s="16"/>
      <c r="I9" s="16"/>
      <c r="J9" s="49"/>
      <c r="K9" s="16"/>
      <c r="L9" s="16"/>
      <c r="M9" s="16"/>
      <c r="N9" s="39"/>
      <c r="P9" s="16" t="s">
        <v>39</v>
      </c>
      <c r="Q9" s="16"/>
      <c r="R9" s="39"/>
      <c r="S9" s="16"/>
      <c r="T9" s="16"/>
      <c r="U9" s="16"/>
      <c r="V9" s="49"/>
      <c r="W9" s="16"/>
      <c r="X9" s="16"/>
      <c r="Y9" s="16"/>
      <c r="Z9" s="39"/>
    </row>
    <row r="10" spans="1:26" x14ac:dyDescent="0.25">
      <c r="A10" s="11"/>
      <c r="B10" s="58"/>
      <c r="C10" s="11"/>
      <c r="D10" s="42" t="s">
        <v>57</v>
      </c>
      <c r="E10" s="36"/>
      <c r="F10" s="30" t="s">
        <v>40</v>
      </c>
      <c r="G10" s="36"/>
      <c r="H10" s="50" t="s">
        <v>237</v>
      </c>
      <c r="I10" s="36"/>
      <c r="J10" s="30" t="s">
        <v>40</v>
      </c>
      <c r="K10" s="11"/>
      <c r="L10" s="42" t="s">
        <v>126</v>
      </c>
      <c r="M10" s="11"/>
      <c r="N10" s="30" t="s">
        <v>257</v>
      </c>
      <c r="O10" s="11"/>
      <c r="P10" s="61" t="s">
        <v>57</v>
      </c>
      <c r="Q10" s="36"/>
      <c r="R10" s="30" t="s">
        <v>40</v>
      </c>
      <c r="S10" s="36"/>
      <c r="T10" s="50" t="s">
        <v>237</v>
      </c>
      <c r="U10" s="36"/>
      <c r="V10" s="30" t="s">
        <v>40</v>
      </c>
      <c r="W10" s="11"/>
      <c r="X10" s="42" t="s">
        <v>126</v>
      </c>
      <c r="Y10" s="11"/>
      <c r="Z10" s="30" t="s">
        <v>257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4" customFormat="1" collapsed="1" x14ac:dyDescent="0.25">
      <c r="A12" s="11"/>
      <c r="B12" s="29" t="s">
        <v>139</v>
      </c>
      <c r="C12" s="11"/>
      <c r="D12" s="4" t="e">
        <f ca="1">SUM(_xll.OneStop.ReportPlayer.OSRFunctions.OSRRef(D13))</f>
        <v>#NAME?</v>
      </c>
      <c r="E12" s="4"/>
      <c r="F12" s="13"/>
      <c r="G12" s="4"/>
      <c r="H12" s="4" t="e">
        <f ca="1">SUM(_xll.OneStop.ReportPlayer.OSRFunctions.OSRRef(H13))</f>
        <v>#NAME?</v>
      </c>
      <c r="I12" s="4"/>
      <c r="J12" s="13"/>
      <c r="K12" s="4"/>
      <c r="L12" s="4" t="e">
        <f t="shared" ref="L12:L13" ca="1" si="0">+D12-H12</f>
        <v>#NAME?</v>
      </c>
      <c r="M12" s="4"/>
      <c r="N12" s="13" t="e">
        <f t="shared" ref="N12:N13" ca="1" si="1">IF(H12=0,0,L12/H12)</f>
        <v>#NAME?</v>
      </c>
      <c r="O12" s="11"/>
      <c r="P12" s="4" t="e">
        <f ca="1">SUM(_xll.OneStop.ReportPlayer.OSRFunctions.OSRRef(P13))</f>
        <v>#NAME?</v>
      </c>
      <c r="Q12" s="4"/>
      <c r="R12" s="13"/>
      <c r="S12" s="4"/>
      <c r="T12" s="4" t="e">
        <f ca="1">SUM(_xll.OneStop.ReportPlayer.OSRFunctions.OSRRef(T13))</f>
        <v>#NAME?</v>
      </c>
      <c r="U12" s="4"/>
      <c r="V12" s="13"/>
      <c r="W12" s="4"/>
      <c r="X12" s="4" t="e">
        <f t="shared" ref="X12:X13" ca="1" si="2">+P12-T12</f>
        <v>#NAME?</v>
      </c>
      <c r="Y12" s="4"/>
      <c r="Z12" s="13" t="e">
        <f t="shared" ref="Z12:Z13" ca="1" si="3">IF(T12=0,0,X12/T12)</f>
        <v>#NAME?</v>
      </c>
    </row>
    <row r="13" spans="1:26" s="23" customFormat="1" hidden="1" outlineLevel="1" x14ac:dyDescent="0.25">
      <c r="A13" s="44"/>
      <c r="B13" s="10" t="e">
        <f ca="1">CONCATENATE("          ", _xll.OneStop.ReportPlayer.OSRFunctions.OSRGet("d_Account","Code"), " - ", _xll.OneStop.ReportPlayer.OSRFunctions.OSRGet("d_Account","Description"))</f>
        <v>#NAME?</v>
      </c>
      <c r="C13" s="10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0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1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4" customFormat="1" collapsed="1" x14ac:dyDescent="0.25">
      <c r="A15" s="11"/>
      <c r="B15" s="29" t="s">
        <v>256</v>
      </c>
      <c r="C15" s="11"/>
      <c r="D15" s="4" t="e">
        <f ca="1">SUM(_xll.OneStop.ReportPlayer.OSRFunctions.OSRRef(D16))</f>
        <v>#NAME?</v>
      </c>
      <c r="E15" s="4"/>
      <c r="F15" s="13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3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3" t="e">
        <f t="shared" ref="N15:N16" ca="1" si="7">IF(H15=0,0,L15/H15)</f>
        <v>#NAME?</v>
      </c>
      <c r="O15" s="11"/>
      <c r="P15" s="4" t="e">
        <f ca="1">SUM(_xll.OneStop.ReportPlayer.OSRFunctions.OSRRef(P16))</f>
        <v>#NAME?</v>
      </c>
      <c r="Q15" s="4"/>
      <c r="R15" s="13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3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3" t="e">
        <f t="shared" ref="Z15:Z16" ca="1" si="11">IF(T15=0,0,X15/T15)</f>
        <v>#NAME?</v>
      </c>
    </row>
    <row r="16" spans="1:26" s="23" customFormat="1" hidden="1" outlineLevel="1" x14ac:dyDescent="0.25">
      <c r="A16" s="44"/>
      <c r="B16" s="10" t="e">
        <f ca="1">CONCATENATE("          ", _xll.OneStop.ReportPlayer.OSRFunctions.OSRGet("d_Account","Code"), " - ", _xll.OneStop.ReportPlayer.OSRFunctions.OSRGet("d_Account","Description"))</f>
        <v>#NAME?</v>
      </c>
      <c r="C16" s="10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0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1"/>
      <c r="C17" s="11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1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4" customFormat="1" x14ac:dyDescent="0.25">
      <c r="A18" s="11"/>
      <c r="B18" s="28" t="s">
        <v>107</v>
      </c>
      <c r="C18" s="28"/>
      <c r="D18" s="21" t="e">
        <f ca="1">D12-D15</f>
        <v>#NAME?</v>
      </c>
      <c r="E18" s="14"/>
      <c r="F18" s="22" t="e">
        <f ca="1">IF(D$12=0,0,D18/D$12)</f>
        <v>#NAME?</v>
      </c>
      <c r="G18" s="14"/>
      <c r="H18" s="21" t="e">
        <f ca="1">H12-H15</f>
        <v>#NAME?</v>
      </c>
      <c r="I18" s="14"/>
      <c r="J18" s="22" t="e">
        <f ca="1">IF(H$12=0,0,H18/H$12)</f>
        <v>#NAME?</v>
      </c>
      <c r="K18" s="15"/>
      <c r="L18" s="21" t="e">
        <f ca="1">+D18-H18</f>
        <v>#NAME?</v>
      </c>
      <c r="M18" s="15"/>
      <c r="N18" s="22" t="e">
        <f ca="1">IF(H18=0,0,L18/H18)</f>
        <v>#NAME?</v>
      </c>
      <c r="O18" s="29"/>
      <c r="P18" s="21" t="e">
        <f ca="1">P12-P15</f>
        <v>#NAME?</v>
      </c>
      <c r="Q18" s="14"/>
      <c r="R18" s="22" t="e">
        <f ca="1">IF(P$12=0,0,P18/P$12)</f>
        <v>#NAME?</v>
      </c>
      <c r="S18" s="14"/>
      <c r="T18" s="21" t="e">
        <f ca="1">T12-T15</f>
        <v>#NAME?</v>
      </c>
      <c r="U18" s="14"/>
      <c r="V18" s="22" t="e">
        <f ca="1">IF(T$12=0,0,T18/T$12)</f>
        <v>#NAME?</v>
      </c>
      <c r="W18" s="15"/>
      <c r="X18" s="21" t="e">
        <f ca="1">+P18-T18</f>
        <v>#NAME?</v>
      </c>
      <c r="Y18" s="15"/>
      <c r="Z18" s="22" t="e">
        <f ca="1">IF(T18=0,0,X18/T18)</f>
        <v>#NAME?</v>
      </c>
    </row>
    <row r="19" spans="1:26" x14ac:dyDescent="0.25">
      <c r="A19" s="9"/>
      <c r="B19" s="11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4" customFormat="1" x14ac:dyDescent="0.25">
      <c r="A20" s="11"/>
      <c r="B20" s="29" t="s">
        <v>294</v>
      </c>
      <c r="C20" s="11"/>
      <c r="D20" s="20" t="e">
        <f ca="1">SUM(_xll.OneStop.ReportPlayer.OSRFunctions.OSRRef(D22))</f>
        <v>#NAME?</v>
      </c>
      <c r="E20" s="20"/>
      <c r="F20" s="32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2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2" t="e">
        <f t="shared" ref="N20:N22" ca="1" si="15">IF(H20=0,0,L20/H20)</f>
        <v>#NAME?</v>
      </c>
      <c r="O20" s="11"/>
      <c r="P20" s="20" t="e">
        <f ca="1">SUM(_xll.OneStop.ReportPlayer.OSRFunctions.OSRRef(P22))</f>
        <v>#NAME?</v>
      </c>
      <c r="Q20" s="20"/>
      <c r="R20" s="32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2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2" t="e">
        <f t="shared" ref="Z20:Z22" ca="1" si="19">IF(T20=0,0,X20/T20)</f>
        <v>#NAME?</v>
      </c>
    </row>
    <row r="21" spans="1:26" s="27" customFormat="1" outlineLevel="1" collapsed="1" x14ac:dyDescent="0.25">
      <c r="A21" s="26"/>
      <c r="B21" s="12" t="e">
        <f ca="1">CONCATENATE("     ",_xll.OneStop.ReportPlayer.OSRFunctions.OSRGet("d_Account","AccountCategory"))</f>
        <v>#NAME?</v>
      </c>
      <c r="C21" s="12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2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3" customFormat="1" hidden="1" outlineLevel="2" x14ac:dyDescent="0.25">
      <c r="A22" s="25"/>
      <c r="B22" s="10" t="e">
        <f ca="1">CONCATENATE("          ", _xll.OneStop.ReportPlayer.OSRFunctions.OSRGet("d_Account","Code"), " - ", _xll.OneStop.ReportPlayer.OSRFunctions.OSRGet("d_Account","Description"))</f>
        <v>#NAME?</v>
      </c>
      <c r="C22" s="10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0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2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4" customFormat="1" collapsed="1" x14ac:dyDescent="0.25">
      <c r="A24" s="11"/>
      <c r="B24" s="29" t="s">
        <v>292</v>
      </c>
      <c r="C24" s="11"/>
      <c r="D24" s="4" t="e">
        <f ca="1">SUM(_xll.OneStop.ReportPlayer.OSRFunctions.OSRRef(D25))</f>
        <v>#NAME?</v>
      </c>
      <c r="E24" s="4"/>
      <c r="F24" s="13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3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3" t="e">
        <f t="shared" ref="N24:N25" ca="1" si="23">IF(H24=0,0,L24/H24)</f>
        <v>#NAME?</v>
      </c>
      <c r="O24" s="11"/>
      <c r="P24" s="4" t="e">
        <f ca="1">SUM(_xll.OneStop.ReportPlayer.OSRFunctions.OSRRef(P25))</f>
        <v>#NAME?</v>
      </c>
      <c r="Q24" s="4"/>
      <c r="R24" s="13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3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3" t="e">
        <f t="shared" ref="Z24:Z25" ca="1" si="27">IF(T24=0,0,X24/T24)</f>
        <v>#NAME?</v>
      </c>
    </row>
    <row r="25" spans="1:26" s="23" customFormat="1" hidden="1" outlineLevel="1" x14ac:dyDescent="0.25">
      <c r="A25" s="44"/>
      <c r="B25" s="10" t="e">
        <f ca="1">CONCATENATE("          ", _xll.OneStop.ReportPlayer.OSRFunctions.OSRGet("d_Account","Code"), " - ", _xll.OneStop.ReportPlayer.OSRFunctions.OSRGet("d_Account","Description"))</f>
        <v>#NAME?</v>
      </c>
      <c r="C25" s="10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0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1"/>
      <c r="C26" s="11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1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4" customFormat="1" x14ac:dyDescent="0.25">
      <c r="A27" s="11"/>
      <c r="B27" s="28" t="s">
        <v>276</v>
      </c>
      <c r="C27" s="28"/>
      <c r="D27" s="21" t="e">
        <f ca="1">+D18-D20+D24</f>
        <v>#NAME?</v>
      </c>
      <c r="E27" s="14"/>
      <c r="F27" s="22" t="e">
        <f ca="1">IF(D$12=0,0,D27/D$12)</f>
        <v>#NAME?</v>
      </c>
      <c r="G27" s="14"/>
      <c r="H27" s="21" t="e">
        <f ca="1">+H18-H20+H24</f>
        <v>#NAME?</v>
      </c>
      <c r="I27" s="14"/>
      <c r="J27" s="22" t="e">
        <f ca="1">IF(H$12=0,0,H27/H$12)</f>
        <v>#NAME?</v>
      </c>
      <c r="K27" s="15"/>
      <c r="L27" s="21" t="e">
        <f ca="1">+D27-H27</f>
        <v>#NAME?</v>
      </c>
      <c r="M27" s="15"/>
      <c r="N27" s="22" t="e">
        <f ca="1">IF(H27=0,0,L27/H27)</f>
        <v>#NAME?</v>
      </c>
      <c r="O27" s="29"/>
      <c r="P27" s="21" t="e">
        <f ca="1">+P18-P20+P24</f>
        <v>#NAME?</v>
      </c>
      <c r="Q27" s="14"/>
      <c r="R27" s="22" t="e">
        <f ca="1">IF(P$12=0,0,P27/P$12)</f>
        <v>#NAME?</v>
      </c>
      <c r="S27" s="14"/>
      <c r="T27" s="21" t="e">
        <f ca="1">+T18-T20+T24</f>
        <v>#NAME?</v>
      </c>
      <c r="U27" s="14"/>
      <c r="V27" s="22" t="e">
        <f ca="1">IF(T$12=0,0,T27/T$12)</f>
        <v>#NAME?</v>
      </c>
      <c r="W27" s="15"/>
      <c r="X27" s="21" t="e">
        <f ca="1">+P27-T27</f>
        <v>#NAME?</v>
      </c>
      <c r="Y27" s="15"/>
      <c r="Z27" s="22" t="e">
        <f ca="1">IF(T27=0,0,X27/T27)</f>
        <v>#NAME?</v>
      </c>
    </row>
    <row r="28" spans="1:26" x14ac:dyDescent="0.25">
      <c r="A28" s="9"/>
      <c r="B28" s="11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4" customFormat="1" x14ac:dyDescent="0.25">
      <c r="A29" s="51"/>
      <c r="B29" s="11" t="s">
        <v>127</v>
      </c>
      <c r="C29" s="11"/>
      <c r="D29" s="4" t="e">
        <f ca="1">_xll.OneStop.ReportPlayer.OSRFunctions.OSRGet("GL_F_Trans","Value1")</f>
        <v>#NAME?</v>
      </c>
      <c r="E29" s="4"/>
      <c r="F29" s="13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3" t="e">
        <f ca="1">IF(H$12=0,0,H29/H$12)</f>
        <v>#NAME?</v>
      </c>
      <c r="K29" s="4"/>
      <c r="L29" s="4" t="e">
        <f ca="1">+D29-H29</f>
        <v>#NAME?</v>
      </c>
      <c r="M29" s="4"/>
      <c r="N29" s="13" t="e">
        <f ca="1">IF(H29=0,0,L29/H29)</f>
        <v>#NAME?</v>
      </c>
      <c r="O29" s="11"/>
      <c r="P29" s="4" t="e">
        <f ca="1">_xll.OneStop.ReportPlayer.OSRFunctions.OSRGet("GL_F_Trans","Value1")</f>
        <v>#NAME?</v>
      </c>
      <c r="Q29" s="4"/>
      <c r="R29" s="13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3" t="e">
        <f ca="1">IF(T$12=0,0,T29/T$12)</f>
        <v>#NAME?</v>
      </c>
      <c r="W29" s="4"/>
      <c r="X29" s="4" t="e">
        <f ca="1">+P29-T29</f>
        <v>#NAME?</v>
      </c>
      <c r="Y29" s="4"/>
      <c r="Z29" s="13" t="e">
        <f ca="1">IF(T29=0,0,X29/T29)</f>
        <v>#NAME?</v>
      </c>
    </row>
    <row r="30" spans="1:26" x14ac:dyDescent="0.25">
      <c r="A30" s="9"/>
      <c r="B30" s="11"/>
      <c r="C30" s="11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1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4" customFormat="1" ht="15.75" thickBot="1" x14ac:dyDescent="0.3">
      <c r="A31" s="11"/>
      <c r="B31" s="28" t="s">
        <v>125</v>
      </c>
      <c r="C31" s="28"/>
      <c r="D31" s="34" t="e">
        <f ca="1">+D27-D29</f>
        <v>#NAME?</v>
      </c>
      <c r="E31" s="14"/>
      <c r="F31" s="31" t="e">
        <f ca="1">IF(D$12=0,0,D31/D$12)</f>
        <v>#NAME?</v>
      </c>
      <c r="G31" s="14"/>
      <c r="H31" s="34" t="e">
        <f ca="1">+H27-H29</f>
        <v>#NAME?</v>
      </c>
      <c r="I31" s="14"/>
      <c r="J31" s="31" t="e">
        <f ca="1">IF(H$12=0,0,H31/H$12)</f>
        <v>#NAME?</v>
      </c>
      <c r="K31" s="15"/>
      <c r="L31" s="34" t="e">
        <f ca="1">D31-H31</f>
        <v>#NAME?</v>
      </c>
      <c r="M31" s="15"/>
      <c r="N31" s="31" t="e">
        <f ca="1">IF(H31=0,0,L31/H31)</f>
        <v>#NAME?</v>
      </c>
      <c r="O31" s="29"/>
      <c r="P31" s="34" t="e">
        <f ca="1">+P27-P29</f>
        <v>#NAME?</v>
      </c>
      <c r="Q31" s="14"/>
      <c r="R31" s="31" t="e">
        <f ca="1">IF(P$12=0,0,P31/P$12)</f>
        <v>#NAME?</v>
      </c>
      <c r="S31" s="14"/>
      <c r="T31" s="34" t="e">
        <f ca="1">+T27-T29</f>
        <v>#NAME?</v>
      </c>
      <c r="U31" s="14"/>
      <c r="V31" s="31" t="e">
        <f ca="1">IF(T$12=0,0,T31/T$12)</f>
        <v>#NAME?</v>
      </c>
      <c r="W31" s="15"/>
      <c r="X31" s="34" t="e">
        <f ca="1">P31-T31</f>
        <v>#NAME?</v>
      </c>
      <c r="Y31" s="15"/>
      <c r="Z31" s="31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4" customFormat="1" x14ac:dyDescent="0.25">
      <c r="A33" s="51"/>
      <c r="B33" s="11" t="s">
        <v>183</v>
      </c>
      <c r="C33" s="11"/>
      <c r="D33" s="4" t="e">
        <f ca="1">-_xll.OneStop.ReportPlayer.OSRFunctions.OSRGet("GL_F_Trans","Value1")</f>
        <v>#NAME?</v>
      </c>
      <c r="E33" s="4"/>
      <c r="F33" s="13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3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3" t="e">
        <f t="shared" ref="N33:N34" ca="1" si="31">IF(H33=0,0,L33/H33)</f>
        <v>#NAME?</v>
      </c>
      <c r="O33" s="11"/>
      <c r="P33" s="4" t="e">
        <f ca="1">-_xll.OneStop.ReportPlayer.OSRFunctions.OSRGet("GL_F_Trans","Value1")</f>
        <v>#NAME?</v>
      </c>
      <c r="Q33" s="4"/>
      <c r="R33" s="13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3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3" t="e">
        <f t="shared" ref="Z33:Z34" ca="1" si="35">IF(T33=0,0,X33/T33)</f>
        <v>#NAME?</v>
      </c>
    </row>
    <row r="34" spans="1:26" s="24" customFormat="1" x14ac:dyDescent="0.25">
      <c r="A34" s="51"/>
      <c r="B34" s="11" t="s">
        <v>81</v>
      </c>
      <c r="C34" s="11"/>
      <c r="D34" s="4" t="e">
        <f ca="1">-_xll.OneStop.ReportPlayer.OSRFunctions.OSRGet("GL_F_Trans","Value1")</f>
        <v>#NAME?</v>
      </c>
      <c r="E34" s="4"/>
      <c r="F34" s="13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3" t="e">
        <f t="shared" ca="1" si="29"/>
        <v>#NAME?</v>
      </c>
      <c r="K34" s="4"/>
      <c r="L34" s="4" t="e">
        <f t="shared" ca="1" si="30"/>
        <v>#NAME?</v>
      </c>
      <c r="M34" s="4"/>
      <c r="N34" s="13" t="e">
        <f t="shared" ca="1" si="31"/>
        <v>#NAME?</v>
      </c>
      <c r="O34" s="11"/>
      <c r="P34" s="4" t="e">
        <f ca="1">-_xll.OneStop.ReportPlayer.OSRFunctions.OSRGet("GL_F_Trans","Value1")</f>
        <v>#NAME?</v>
      </c>
      <c r="Q34" s="4"/>
      <c r="R34" s="13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3" t="e">
        <f t="shared" ca="1" si="33"/>
        <v>#NAME?</v>
      </c>
      <c r="W34" s="4"/>
      <c r="X34" s="4" t="e">
        <f t="shared" ca="1" si="34"/>
        <v>#NAME?</v>
      </c>
      <c r="Y34" s="4"/>
      <c r="Z34" s="13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4" customFormat="1" ht="15.75" thickBot="1" x14ac:dyDescent="0.3">
      <c r="A36" s="11"/>
      <c r="B36" s="28" t="s">
        <v>293</v>
      </c>
      <c r="C36" s="28"/>
      <c r="D36" s="33" t="e">
        <f ca="1">SUM(D31:D35)</f>
        <v>#NAME?</v>
      </c>
      <c r="E36" s="14"/>
      <c r="F36" s="35" t="e">
        <f ca="1">IF(D$12=0,0,D36/D$12)</f>
        <v>#NAME?</v>
      </c>
      <c r="G36" s="14"/>
      <c r="H36" s="33" t="e">
        <f ca="1">SUM(H31:H35)</f>
        <v>#NAME?</v>
      </c>
      <c r="I36" s="14"/>
      <c r="J36" s="35" t="e">
        <f ca="1">IF(H$12=0,0,H36/H$12)</f>
        <v>#NAME?</v>
      </c>
      <c r="K36" s="15"/>
      <c r="L36" s="33" t="e">
        <f ca="1">+D36-H36</f>
        <v>#NAME?</v>
      </c>
      <c r="M36" s="15"/>
      <c r="N36" s="35" t="e">
        <f ca="1">IF(H36=0,0,L36/H36)</f>
        <v>#NAME?</v>
      </c>
      <c r="O36" s="29"/>
      <c r="P36" s="33" t="e">
        <f ca="1">SUM(P31:P35)</f>
        <v>#NAME?</v>
      </c>
      <c r="Q36" s="14"/>
      <c r="R36" s="35" t="e">
        <f ca="1">IF(P$12=0,0,P36/P$12)</f>
        <v>#NAME?</v>
      </c>
      <c r="S36" s="14"/>
      <c r="T36" s="33" t="e">
        <f ca="1">SUM(T31:T35)</f>
        <v>#NAME?</v>
      </c>
      <c r="U36" s="14"/>
      <c r="V36" s="35" t="e">
        <f ca="1">IF(T$12=0,0,T36/T$12)</f>
        <v>#NAME?</v>
      </c>
      <c r="W36" s="15"/>
      <c r="X36" s="33" t="e">
        <f ca="1">+P36-T36</f>
        <v>#NAME?</v>
      </c>
      <c r="Y36" s="15"/>
      <c r="Z36" s="35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56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55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60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62" t="s">
        <v>23</v>
      </c>
    </row>
    <row r="3" spans="1:26" x14ac:dyDescent="0.25">
      <c r="D3" s="62" t="s">
        <v>236</v>
      </c>
      <c r="E3" s="17"/>
      <c r="F3" s="46"/>
      <c r="G3" s="17"/>
      <c r="H3" s="17"/>
      <c r="I3" s="17"/>
      <c r="J3" s="38"/>
      <c r="K3" s="17"/>
      <c r="L3" s="17"/>
      <c r="M3" s="17"/>
      <c r="N3" s="46"/>
      <c r="O3" s="53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2" t="e">
        <f ca="1">CONCATENATE("Period ",RIGHT(_xll.OneStop.ReportPlayer.OSRFunctions.OSRGet("Period","PeriodId"),2),", ",_xll.OneStop.ReportPlayer.OSRFunctions.OSRGet("Period","Year"))</f>
        <v>#NAME?</v>
      </c>
      <c r="E4" s="17"/>
      <c r="F4" s="46"/>
      <c r="G4" s="17"/>
      <c r="H4" s="17"/>
      <c r="I4" s="17"/>
      <c r="J4" s="38"/>
      <c r="K4" s="17"/>
      <c r="L4" s="17"/>
      <c r="M4" s="17"/>
      <c r="N4" s="46"/>
      <c r="O4" s="53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4"/>
      <c r="D5" s="64" t="e">
        <f ca="1">_xll.OneStop.ReportPlayer.OSRFunctions.OSRGet("Period","PeriodEnd")</f>
        <v>#NAME?</v>
      </c>
      <c r="E5" s="17"/>
      <c r="F5" s="46"/>
      <c r="G5" s="17"/>
      <c r="H5" s="17"/>
      <c r="I5" s="17"/>
      <c r="J5" s="38"/>
      <c r="K5" s="17"/>
      <c r="L5" s="17"/>
      <c r="M5" s="17"/>
      <c r="N5" s="46"/>
      <c r="O5" s="53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4"/>
      <c r="B6" s="48"/>
      <c r="C6" s="48"/>
      <c r="D6" s="24" t="s">
        <v>22</v>
      </c>
      <c r="E6" s="17"/>
      <c r="F6" s="46"/>
      <c r="G6" s="17"/>
      <c r="H6" s="17"/>
      <c r="I6" s="17"/>
      <c r="J6" s="38"/>
      <c r="K6" s="17"/>
      <c r="L6" s="17"/>
      <c r="M6" s="17"/>
      <c r="N6" s="46"/>
      <c r="O6" s="54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9"/>
    </row>
    <row r="8" spans="1:26" x14ac:dyDescent="0.25">
      <c r="B8" s="59"/>
    </row>
    <row r="9" spans="1:26" x14ac:dyDescent="0.25">
      <c r="B9" s="9"/>
      <c r="C9" s="9"/>
      <c r="D9" s="16" t="s">
        <v>291</v>
      </c>
      <c r="E9" s="16"/>
      <c r="F9" s="39"/>
      <c r="G9" s="16"/>
      <c r="H9" s="16"/>
      <c r="I9" s="16"/>
      <c r="J9" s="49"/>
      <c r="K9" s="16"/>
      <c r="L9" s="16"/>
      <c r="M9" s="16"/>
      <c r="N9" s="39"/>
      <c r="P9" s="16" t="s">
        <v>39</v>
      </c>
      <c r="Q9" s="16"/>
      <c r="R9" s="39"/>
      <c r="S9" s="16"/>
      <c r="T9" s="16"/>
      <c r="U9" s="16"/>
      <c r="V9" s="49"/>
      <c r="W9" s="16"/>
      <c r="X9" s="16"/>
      <c r="Y9" s="16"/>
      <c r="Z9" s="39"/>
    </row>
    <row r="10" spans="1:26" x14ac:dyDescent="0.25">
      <c r="A10" s="11"/>
      <c r="B10" s="58"/>
      <c r="C10" s="11"/>
      <c r="D10" s="42" t="s">
        <v>57</v>
      </c>
      <c r="E10" s="36"/>
      <c r="F10" s="30" t="s">
        <v>40</v>
      </c>
      <c r="G10" s="36"/>
      <c r="H10" s="50" t="s">
        <v>237</v>
      </c>
      <c r="I10" s="36"/>
      <c r="J10" s="30" t="s">
        <v>40</v>
      </c>
      <c r="K10" s="11"/>
      <c r="L10" s="42" t="s">
        <v>126</v>
      </c>
      <c r="M10" s="11"/>
      <c r="N10" s="30" t="s">
        <v>257</v>
      </c>
      <c r="O10" s="11"/>
      <c r="P10" s="61" t="s">
        <v>57</v>
      </c>
      <c r="Q10" s="36"/>
      <c r="R10" s="30" t="s">
        <v>40</v>
      </c>
      <c r="S10" s="36"/>
      <c r="T10" s="50" t="s">
        <v>237</v>
      </c>
      <c r="U10" s="36"/>
      <c r="V10" s="30" t="s">
        <v>40</v>
      </c>
      <c r="W10" s="11"/>
      <c r="X10" s="42" t="s">
        <v>126</v>
      </c>
      <c r="Y10" s="11"/>
      <c r="Z10" s="30" t="s">
        <v>257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4" customFormat="1" collapsed="1" x14ac:dyDescent="0.25">
      <c r="A12" s="11"/>
      <c r="B12" s="29" t="s">
        <v>139</v>
      </c>
      <c r="C12" s="11"/>
      <c r="D12" s="4" t="e">
        <f ca="1">SUM(_xll.OneStop.ReportPlayer.OSRFunctions.OSRRef(D13))</f>
        <v>#NAME?</v>
      </c>
      <c r="E12" s="4"/>
      <c r="F12" s="13"/>
      <c r="G12" s="4"/>
      <c r="H12" s="4" t="e">
        <f ca="1">SUM(_xll.OneStop.ReportPlayer.OSRFunctions.OSRRef(H13))</f>
        <v>#NAME?</v>
      </c>
      <c r="I12" s="4"/>
      <c r="J12" s="13"/>
      <c r="K12" s="4"/>
      <c r="L12" s="4" t="e">
        <f t="shared" ref="L12:L13" ca="1" si="0">+D12-H12</f>
        <v>#NAME?</v>
      </c>
      <c r="M12" s="4"/>
      <c r="N12" s="13" t="e">
        <f t="shared" ref="N12:N13" ca="1" si="1">IF(H12=0,0,L12/H12)</f>
        <v>#NAME?</v>
      </c>
      <c r="O12" s="11"/>
      <c r="P12" s="4" t="e">
        <f ca="1">SUM(_xll.OneStop.ReportPlayer.OSRFunctions.OSRRef(P13))</f>
        <v>#NAME?</v>
      </c>
      <c r="Q12" s="4"/>
      <c r="R12" s="13"/>
      <c r="S12" s="4"/>
      <c r="T12" s="4" t="e">
        <f ca="1">SUM(_xll.OneStop.ReportPlayer.OSRFunctions.OSRRef(T13))</f>
        <v>#NAME?</v>
      </c>
      <c r="U12" s="4"/>
      <c r="V12" s="13"/>
      <c r="W12" s="4"/>
      <c r="X12" s="4" t="e">
        <f t="shared" ref="X12:X13" ca="1" si="2">+P12-T12</f>
        <v>#NAME?</v>
      </c>
      <c r="Y12" s="4"/>
      <c r="Z12" s="13" t="e">
        <f t="shared" ref="Z12:Z13" ca="1" si="3">IF(T12=0,0,X12/T12)</f>
        <v>#NAME?</v>
      </c>
    </row>
    <row r="13" spans="1:26" s="23" customFormat="1" hidden="1" outlineLevel="1" x14ac:dyDescent="0.25">
      <c r="A13" s="44"/>
      <c r="B13" s="10" t="e">
        <f ca="1">CONCATENATE("          ", _xll.OneStop.ReportPlayer.OSRFunctions.OSRGet("d_Account","Code"), " - ", _xll.OneStop.ReportPlayer.OSRFunctions.OSRGet("d_Account","Description"))</f>
        <v>#NAME?</v>
      </c>
      <c r="C13" s="10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0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1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4" customFormat="1" collapsed="1" x14ac:dyDescent="0.25">
      <c r="A15" s="11"/>
      <c r="B15" s="29" t="s">
        <v>256</v>
      </c>
      <c r="C15" s="11"/>
      <c r="D15" s="4" t="e">
        <f ca="1">SUM(_xll.OneStop.ReportPlayer.OSRFunctions.OSRRef(D16))</f>
        <v>#NAME?</v>
      </c>
      <c r="E15" s="4"/>
      <c r="F15" s="13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3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3" t="e">
        <f t="shared" ref="N15:N16" ca="1" si="7">IF(H15=0,0,L15/H15)</f>
        <v>#NAME?</v>
      </c>
      <c r="O15" s="11"/>
      <c r="P15" s="4" t="e">
        <f ca="1">SUM(_xll.OneStop.ReportPlayer.OSRFunctions.OSRRef(P16))</f>
        <v>#NAME?</v>
      </c>
      <c r="Q15" s="4"/>
      <c r="R15" s="13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3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3" t="e">
        <f t="shared" ref="Z15:Z16" ca="1" si="11">IF(T15=0,0,X15/T15)</f>
        <v>#NAME?</v>
      </c>
    </row>
    <row r="16" spans="1:26" s="23" customFormat="1" hidden="1" outlineLevel="1" x14ac:dyDescent="0.25">
      <c r="A16" s="44"/>
      <c r="B16" s="10" t="e">
        <f ca="1">CONCATENATE("          ", _xll.OneStop.ReportPlayer.OSRFunctions.OSRGet("d_Account","Code"), " - ", _xll.OneStop.ReportPlayer.OSRFunctions.OSRGet("d_Account","Description"))</f>
        <v>#NAME?</v>
      </c>
      <c r="C16" s="10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0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1"/>
      <c r="C17" s="11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1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4" customFormat="1" x14ac:dyDescent="0.25">
      <c r="A18" s="11"/>
      <c r="B18" s="28" t="s">
        <v>107</v>
      </c>
      <c r="C18" s="28"/>
      <c r="D18" s="21" t="e">
        <f ca="1">D12-D15</f>
        <v>#NAME?</v>
      </c>
      <c r="E18" s="14"/>
      <c r="F18" s="22" t="e">
        <f ca="1">IF(D$12=0,0,D18/D$12)</f>
        <v>#NAME?</v>
      </c>
      <c r="G18" s="14"/>
      <c r="H18" s="21" t="e">
        <f ca="1">H12-H15</f>
        <v>#NAME?</v>
      </c>
      <c r="I18" s="14"/>
      <c r="J18" s="22" t="e">
        <f ca="1">IF(H$12=0,0,H18/H$12)</f>
        <v>#NAME?</v>
      </c>
      <c r="K18" s="15"/>
      <c r="L18" s="21" t="e">
        <f ca="1">+D18-H18</f>
        <v>#NAME?</v>
      </c>
      <c r="M18" s="15"/>
      <c r="N18" s="22" t="e">
        <f ca="1">IF(H18=0,0,L18/H18)</f>
        <v>#NAME?</v>
      </c>
      <c r="O18" s="29"/>
      <c r="P18" s="21" t="e">
        <f ca="1">P12-P15</f>
        <v>#NAME?</v>
      </c>
      <c r="Q18" s="14"/>
      <c r="R18" s="22" t="e">
        <f ca="1">IF(P$12=0,0,P18/P$12)</f>
        <v>#NAME?</v>
      </c>
      <c r="S18" s="14"/>
      <c r="T18" s="21" t="e">
        <f ca="1">T12-T15</f>
        <v>#NAME?</v>
      </c>
      <c r="U18" s="14"/>
      <c r="V18" s="22" t="e">
        <f ca="1">IF(T$12=0,0,T18/T$12)</f>
        <v>#NAME?</v>
      </c>
      <c r="W18" s="15"/>
      <c r="X18" s="21" t="e">
        <f ca="1">+P18-T18</f>
        <v>#NAME?</v>
      </c>
      <c r="Y18" s="15"/>
      <c r="Z18" s="22" t="e">
        <f ca="1">IF(T18=0,0,X18/T18)</f>
        <v>#NAME?</v>
      </c>
    </row>
    <row r="19" spans="1:26" x14ac:dyDescent="0.25">
      <c r="A19" s="9"/>
      <c r="B19" s="11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4" customFormat="1" x14ac:dyDescent="0.25">
      <c r="A20" s="11"/>
      <c r="B20" s="29" t="s">
        <v>294</v>
      </c>
      <c r="C20" s="11"/>
      <c r="D20" s="20" t="e">
        <f ca="1">SUM(_xll.OneStop.ReportPlayer.OSRFunctions.OSRRef(D22))</f>
        <v>#NAME?</v>
      </c>
      <c r="E20" s="20"/>
      <c r="F20" s="32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2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2" t="e">
        <f t="shared" ref="N20:N22" ca="1" si="15">IF(H20=0,0,L20/H20)</f>
        <v>#NAME?</v>
      </c>
      <c r="O20" s="11"/>
      <c r="P20" s="20" t="e">
        <f ca="1">SUM(_xll.OneStop.ReportPlayer.OSRFunctions.OSRRef(P22))</f>
        <v>#NAME?</v>
      </c>
      <c r="Q20" s="20"/>
      <c r="R20" s="32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2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2" t="e">
        <f t="shared" ref="Z20:Z22" ca="1" si="19">IF(T20=0,0,X20/T20)</f>
        <v>#NAME?</v>
      </c>
    </row>
    <row r="21" spans="1:26" s="27" customFormat="1" outlineLevel="1" collapsed="1" x14ac:dyDescent="0.25">
      <c r="A21" s="26"/>
      <c r="B21" s="12" t="e">
        <f ca="1">CONCATENATE("     ",_xll.OneStop.ReportPlayer.OSRFunctions.OSRGet("d_Account","AccountCategory"))</f>
        <v>#NAME?</v>
      </c>
      <c r="C21" s="12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2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3" customFormat="1" hidden="1" outlineLevel="2" x14ac:dyDescent="0.25">
      <c r="A22" s="25"/>
      <c r="B22" s="10" t="e">
        <f ca="1">CONCATENATE("          ", _xll.OneStop.ReportPlayer.OSRFunctions.OSRGet("d_Account","Code"), " - ", _xll.OneStop.ReportPlayer.OSRFunctions.OSRGet("d_Account","Description"))</f>
        <v>#NAME?</v>
      </c>
      <c r="C22" s="10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0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2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4" customFormat="1" collapsed="1" x14ac:dyDescent="0.25">
      <c r="A24" s="11"/>
      <c r="B24" s="29" t="s">
        <v>292</v>
      </c>
      <c r="C24" s="11"/>
      <c r="D24" s="4" t="e">
        <f ca="1">SUM(_xll.OneStop.ReportPlayer.OSRFunctions.OSRRef(D25))</f>
        <v>#NAME?</v>
      </c>
      <c r="E24" s="4"/>
      <c r="F24" s="13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3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3" t="e">
        <f t="shared" ref="N24:N25" ca="1" si="23">IF(H24=0,0,L24/H24)</f>
        <v>#NAME?</v>
      </c>
      <c r="O24" s="11"/>
      <c r="P24" s="4" t="e">
        <f ca="1">SUM(_xll.OneStop.ReportPlayer.OSRFunctions.OSRRef(P25))</f>
        <v>#NAME?</v>
      </c>
      <c r="Q24" s="4"/>
      <c r="R24" s="13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3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3" t="e">
        <f t="shared" ref="Z24:Z25" ca="1" si="27">IF(T24=0,0,X24/T24)</f>
        <v>#NAME?</v>
      </c>
    </row>
    <row r="25" spans="1:26" s="23" customFormat="1" hidden="1" outlineLevel="1" x14ac:dyDescent="0.25">
      <c r="A25" s="44"/>
      <c r="B25" s="10" t="e">
        <f ca="1">CONCATENATE("          ", _xll.OneStop.ReportPlayer.OSRFunctions.OSRGet("d_Account","Code"), " - ", _xll.OneStop.ReportPlayer.OSRFunctions.OSRGet("d_Account","Description"))</f>
        <v>#NAME?</v>
      </c>
      <c r="C25" s="10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0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1"/>
      <c r="C26" s="11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1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4" customFormat="1" x14ac:dyDescent="0.25">
      <c r="A27" s="11"/>
      <c r="B27" s="28" t="s">
        <v>276</v>
      </c>
      <c r="C27" s="28"/>
      <c r="D27" s="21" t="e">
        <f ca="1">+D18-D20+D24</f>
        <v>#NAME?</v>
      </c>
      <c r="E27" s="14"/>
      <c r="F27" s="22" t="e">
        <f ca="1">IF(D$12=0,0,D27/D$12)</f>
        <v>#NAME?</v>
      </c>
      <c r="G27" s="14"/>
      <c r="H27" s="21" t="e">
        <f ca="1">+H18-H20+H24</f>
        <v>#NAME?</v>
      </c>
      <c r="I27" s="14"/>
      <c r="J27" s="22" t="e">
        <f ca="1">IF(H$12=0,0,H27/H$12)</f>
        <v>#NAME?</v>
      </c>
      <c r="K27" s="15"/>
      <c r="L27" s="21" t="e">
        <f ca="1">+D27-H27</f>
        <v>#NAME?</v>
      </c>
      <c r="M27" s="15"/>
      <c r="N27" s="22" t="e">
        <f ca="1">IF(H27=0,0,L27/H27)</f>
        <v>#NAME?</v>
      </c>
      <c r="O27" s="29"/>
      <c r="P27" s="21" t="e">
        <f ca="1">+P18-P20+P24</f>
        <v>#NAME?</v>
      </c>
      <c r="Q27" s="14"/>
      <c r="R27" s="22" t="e">
        <f ca="1">IF(P$12=0,0,P27/P$12)</f>
        <v>#NAME?</v>
      </c>
      <c r="S27" s="14"/>
      <c r="T27" s="21" t="e">
        <f ca="1">+T18-T20+T24</f>
        <v>#NAME?</v>
      </c>
      <c r="U27" s="14"/>
      <c r="V27" s="22" t="e">
        <f ca="1">IF(T$12=0,0,T27/T$12)</f>
        <v>#NAME?</v>
      </c>
      <c r="W27" s="15"/>
      <c r="X27" s="21" t="e">
        <f ca="1">+P27-T27</f>
        <v>#NAME?</v>
      </c>
      <c r="Y27" s="15"/>
      <c r="Z27" s="22" t="e">
        <f ca="1">IF(T27=0,0,X27/T27)</f>
        <v>#NAME?</v>
      </c>
    </row>
    <row r="28" spans="1:26" x14ac:dyDescent="0.25">
      <c r="A28" s="9"/>
      <c r="B28" s="11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4" customFormat="1" x14ac:dyDescent="0.25">
      <c r="A29" s="51"/>
      <c r="B29" s="11" t="s">
        <v>127</v>
      </c>
      <c r="C29" s="11"/>
      <c r="D29" s="4" t="e">
        <f ca="1">_xll.OneStop.ReportPlayer.OSRFunctions.OSRGet("GL_F_Trans","Value1")</f>
        <v>#NAME?</v>
      </c>
      <c r="E29" s="4"/>
      <c r="F29" s="13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3" t="e">
        <f ca="1">IF(H$12=0,0,H29/H$12)</f>
        <v>#NAME?</v>
      </c>
      <c r="K29" s="4"/>
      <c r="L29" s="4" t="e">
        <f ca="1">+D29-H29</f>
        <v>#NAME?</v>
      </c>
      <c r="M29" s="4"/>
      <c r="N29" s="13" t="e">
        <f ca="1">IF(H29=0,0,L29/H29)</f>
        <v>#NAME?</v>
      </c>
      <c r="O29" s="11"/>
      <c r="P29" s="4" t="e">
        <f ca="1">_xll.OneStop.ReportPlayer.OSRFunctions.OSRGet("GL_F_Trans","Value1")</f>
        <v>#NAME?</v>
      </c>
      <c r="Q29" s="4"/>
      <c r="R29" s="13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3" t="e">
        <f ca="1">IF(T$12=0,0,T29/T$12)</f>
        <v>#NAME?</v>
      </c>
      <c r="W29" s="4"/>
      <c r="X29" s="4" t="e">
        <f ca="1">+P29-T29</f>
        <v>#NAME?</v>
      </c>
      <c r="Y29" s="4"/>
      <c r="Z29" s="13" t="e">
        <f ca="1">IF(T29=0,0,X29/T29)</f>
        <v>#NAME?</v>
      </c>
    </row>
    <row r="30" spans="1:26" x14ac:dyDescent="0.25">
      <c r="A30" s="9"/>
      <c r="B30" s="11"/>
      <c r="C30" s="11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1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4" customFormat="1" ht="15.75" thickBot="1" x14ac:dyDescent="0.3">
      <c r="A31" s="11"/>
      <c r="B31" s="28" t="s">
        <v>125</v>
      </c>
      <c r="C31" s="28"/>
      <c r="D31" s="34" t="e">
        <f ca="1">+D27-D29</f>
        <v>#NAME?</v>
      </c>
      <c r="E31" s="14"/>
      <c r="F31" s="31" t="e">
        <f ca="1">IF(D$12=0,0,D31/D$12)</f>
        <v>#NAME?</v>
      </c>
      <c r="G31" s="14"/>
      <c r="H31" s="34" t="e">
        <f ca="1">+H27-H29</f>
        <v>#NAME?</v>
      </c>
      <c r="I31" s="14"/>
      <c r="J31" s="31" t="e">
        <f ca="1">IF(H$12=0,0,H31/H$12)</f>
        <v>#NAME?</v>
      </c>
      <c r="K31" s="15"/>
      <c r="L31" s="34" t="e">
        <f ca="1">D31-H31</f>
        <v>#NAME?</v>
      </c>
      <c r="M31" s="15"/>
      <c r="N31" s="31" t="e">
        <f ca="1">IF(H31=0,0,L31/H31)</f>
        <v>#NAME?</v>
      </c>
      <c r="O31" s="29"/>
      <c r="P31" s="34" t="e">
        <f ca="1">+P27-P29</f>
        <v>#NAME?</v>
      </c>
      <c r="Q31" s="14"/>
      <c r="R31" s="31" t="e">
        <f ca="1">IF(P$12=0,0,P31/P$12)</f>
        <v>#NAME?</v>
      </c>
      <c r="S31" s="14"/>
      <c r="T31" s="34" t="e">
        <f ca="1">+T27-T29</f>
        <v>#NAME?</v>
      </c>
      <c r="U31" s="14"/>
      <c r="V31" s="31" t="e">
        <f ca="1">IF(T$12=0,0,T31/T$12)</f>
        <v>#NAME?</v>
      </c>
      <c r="W31" s="15"/>
      <c r="X31" s="34" t="e">
        <f ca="1">P31-T31</f>
        <v>#NAME?</v>
      </c>
      <c r="Y31" s="15"/>
      <c r="Z31" s="31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4" customFormat="1" x14ac:dyDescent="0.25">
      <c r="A33" s="51"/>
      <c r="B33" s="11" t="s">
        <v>183</v>
      </c>
      <c r="C33" s="11"/>
      <c r="D33" s="4" t="e">
        <f ca="1">-_xll.OneStop.ReportPlayer.OSRFunctions.OSRGet("GL_F_Trans","Value1")</f>
        <v>#NAME?</v>
      </c>
      <c r="E33" s="4"/>
      <c r="F33" s="13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3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3" t="e">
        <f t="shared" ref="N33:N34" ca="1" si="31">IF(H33=0,0,L33/H33)</f>
        <v>#NAME?</v>
      </c>
      <c r="O33" s="11"/>
      <c r="P33" s="4" t="e">
        <f ca="1">-_xll.OneStop.ReportPlayer.OSRFunctions.OSRGet("GL_F_Trans","Value1")</f>
        <v>#NAME?</v>
      </c>
      <c r="Q33" s="4"/>
      <c r="R33" s="13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3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3" t="e">
        <f t="shared" ref="Z33:Z34" ca="1" si="35">IF(T33=0,0,X33/T33)</f>
        <v>#NAME?</v>
      </c>
    </row>
    <row r="34" spans="1:26" s="24" customFormat="1" x14ac:dyDescent="0.25">
      <c r="A34" s="51"/>
      <c r="B34" s="11" t="s">
        <v>81</v>
      </c>
      <c r="C34" s="11"/>
      <c r="D34" s="4" t="e">
        <f ca="1">-_xll.OneStop.ReportPlayer.OSRFunctions.OSRGet("GL_F_Trans","Value1")</f>
        <v>#NAME?</v>
      </c>
      <c r="E34" s="4"/>
      <c r="F34" s="13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3" t="e">
        <f t="shared" ca="1" si="29"/>
        <v>#NAME?</v>
      </c>
      <c r="K34" s="4"/>
      <c r="L34" s="4" t="e">
        <f t="shared" ca="1" si="30"/>
        <v>#NAME?</v>
      </c>
      <c r="M34" s="4"/>
      <c r="N34" s="13" t="e">
        <f t="shared" ca="1" si="31"/>
        <v>#NAME?</v>
      </c>
      <c r="O34" s="11"/>
      <c r="P34" s="4" t="e">
        <f ca="1">-_xll.OneStop.ReportPlayer.OSRFunctions.OSRGet("GL_F_Trans","Value1")</f>
        <v>#NAME?</v>
      </c>
      <c r="Q34" s="4"/>
      <c r="R34" s="13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3" t="e">
        <f t="shared" ca="1" si="33"/>
        <v>#NAME?</v>
      </c>
      <c r="W34" s="4"/>
      <c r="X34" s="4" t="e">
        <f t="shared" ca="1" si="34"/>
        <v>#NAME?</v>
      </c>
      <c r="Y34" s="4"/>
      <c r="Z34" s="13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4" customFormat="1" ht="15.75" thickBot="1" x14ac:dyDescent="0.3">
      <c r="A36" s="11"/>
      <c r="B36" s="28" t="s">
        <v>293</v>
      </c>
      <c r="C36" s="28"/>
      <c r="D36" s="33" t="e">
        <f ca="1">SUM(D31:D35)</f>
        <v>#NAME?</v>
      </c>
      <c r="E36" s="14"/>
      <c r="F36" s="35" t="e">
        <f ca="1">IF(D$12=0,0,D36/D$12)</f>
        <v>#NAME?</v>
      </c>
      <c r="G36" s="14"/>
      <c r="H36" s="33" t="e">
        <f ca="1">SUM(H31:H35)</f>
        <v>#NAME?</v>
      </c>
      <c r="I36" s="14"/>
      <c r="J36" s="35" t="e">
        <f ca="1">IF(H$12=0,0,H36/H$12)</f>
        <v>#NAME?</v>
      </c>
      <c r="K36" s="15"/>
      <c r="L36" s="33" t="e">
        <f ca="1">+D36-H36</f>
        <v>#NAME?</v>
      </c>
      <c r="M36" s="15"/>
      <c r="N36" s="35" t="e">
        <f ca="1">IF(H36=0,0,L36/H36)</f>
        <v>#NAME?</v>
      </c>
      <c r="O36" s="29"/>
      <c r="P36" s="33" t="e">
        <f ca="1">SUM(P31:P35)</f>
        <v>#NAME?</v>
      </c>
      <c r="Q36" s="14"/>
      <c r="R36" s="35" t="e">
        <f ca="1">IF(P$12=0,0,P36/P$12)</f>
        <v>#NAME?</v>
      </c>
      <c r="S36" s="14"/>
      <c r="T36" s="33" t="e">
        <f ca="1">SUM(T31:T35)</f>
        <v>#NAME?</v>
      </c>
      <c r="U36" s="14"/>
      <c r="V36" s="35" t="e">
        <f ca="1">IF(T$12=0,0,T36/T$12)</f>
        <v>#NAME?</v>
      </c>
      <c r="W36" s="15"/>
      <c r="X36" s="33" t="e">
        <f ca="1">+P36-T36</f>
        <v>#NAME?</v>
      </c>
      <c r="Y36" s="15"/>
      <c r="Z36" s="35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56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55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60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62" t="s">
        <v>23</v>
      </c>
    </row>
    <row r="3" spans="1:26" x14ac:dyDescent="0.25">
      <c r="D3" s="62" t="s">
        <v>236</v>
      </c>
      <c r="E3" s="17"/>
      <c r="F3" s="46"/>
      <c r="G3" s="17"/>
      <c r="H3" s="17"/>
      <c r="I3" s="17"/>
      <c r="J3" s="38"/>
      <c r="K3" s="17"/>
      <c r="L3" s="17"/>
      <c r="M3" s="17"/>
      <c r="N3" s="46"/>
      <c r="O3" s="53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2" t="e">
        <f ca="1">CONCATENATE("Period ",RIGHT(_xll.OneStop.ReportPlayer.OSRFunctions.OSRGet("Period","PeriodId"),2),", ",_xll.OneStop.ReportPlayer.OSRFunctions.OSRGet("Period","Year"))</f>
        <v>#NAME?</v>
      </c>
      <c r="E4" s="17"/>
      <c r="F4" s="46"/>
      <c r="G4" s="17"/>
      <c r="H4" s="17"/>
      <c r="I4" s="17"/>
      <c r="J4" s="38"/>
      <c r="K4" s="17"/>
      <c r="L4" s="17"/>
      <c r="M4" s="17"/>
      <c r="N4" s="46"/>
      <c r="O4" s="53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4"/>
      <c r="D5" s="64" t="e">
        <f ca="1">_xll.OneStop.ReportPlayer.OSRFunctions.OSRGet("Period","PeriodEnd")</f>
        <v>#NAME?</v>
      </c>
      <c r="E5" s="17"/>
      <c r="F5" s="46"/>
      <c r="G5" s="17"/>
      <c r="H5" s="17"/>
      <c r="I5" s="17"/>
      <c r="J5" s="38"/>
      <c r="K5" s="17"/>
      <c r="L5" s="17"/>
      <c r="M5" s="17"/>
      <c r="N5" s="46"/>
      <c r="O5" s="53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4"/>
      <c r="B6" s="48"/>
      <c r="C6" s="48"/>
      <c r="D6" s="24" t="s">
        <v>124</v>
      </c>
      <c r="E6" s="17"/>
      <c r="F6" s="46"/>
      <c r="G6" s="17"/>
      <c r="H6" s="17"/>
      <c r="I6" s="17"/>
      <c r="J6" s="38"/>
      <c r="K6" s="17"/>
      <c r="L6" s="17"/>
      <c r="M6" s="17"/>
      <c r="N6" s="46"/>
      <c r="O6" s="54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9"/>
    </row>
    <row r="8" spans="1:26" x14ac:dyDescent="0.25">
      <c r="B8" s="59"/>
    </row>
    <row r="9" spans="1:26" x14ac:dyDescent="0.25">
      <c r="B9" s="9"/>
      <c r="C9" s="9"/>
      <c r="D9" s="16" t="s">
        <v>291</v>
      </c>
      <c r="E9" s="16"/>
      <c r="F9" s="39"/>
      <c r="G9" s="16"/>
      <c r="H9" s="16"/>
      <c r="I9" s="16"/>
      <c r="J9" s="49"/>
      <c r="K9" s="16"/>
      <c r="L9" s="16"/>
      <c r="M9" s="16"/>
      <c r="N9" s="39"/>
      <c r="P9" s="16" t="s">
        <v>39</v>
      </c>
      <c r="Q9" s="16"/>
      <c r="R9" s="39"/>
      <c r="S9" s="16"/>
      <c r="T9" s="16"/>
      <c r="U9" s="16"/>
      <c r="V9" s="49"/>
      <c r="W9" s="16"/>
      <c r="X9" s="16"/>
      <c r="Y9" s="16"/>
      <c r="Z9" s="39"/>
    </row>
    <row r="10" spans="1:26" x14ac:dyDescent="0.25">
      <c r="A10" s="11"/>
      <c r="B10" s="58"/>
      <c r="C10" s="11"/>
      <c r="D10" s="42" t="s">
        <v>57</v>
      </c>
      <c r="E10" s="36"/>
      <c r="F10" s="30" t="s">
        <v>40</v>
      </c>
      <c r="G10" s="36"/>
      <c r="H10" s="50" t="s">
        <v>237</v>
      </c>
      <c r="I10" s="36"/>
      <c r="J10" s="30" t="s">
        <v>40</v>
      </c>
      <c r="K10" s="11"/>
      <c r="L10" s="42" t="s">
        <v>126</v>
      </c>
      <c r="M10" s="11"/>
      <c r="N10" s="30" t="s">
        <v>257</v>
      </c>
      <c r="O10" s="11"/>
      <c r="P10" s="61" t="s">
        <v>57</v>
      </c>
      <c r="Q10" s="36"/>
      <c r="R10" s="30" t="s">
        <v>40</v>
      </c>
      <c r="S10" s="36"/>
      <c r="T10" s="50" t="s">
        <v>237</v>
      </c>
      <c r="U10" s="36"/>
      <c r="V10" s="30" t="s">
        <v>40</v>
      </c>
      <c r="W10" s="11"/>
      <c r="X10" s="42" t="s">
        <v>126</v>
      </c>
      <c r="Y10" s="11"/>
      <c r="Z10" s="30" t="s">
        <v>257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4" customFormat="1" collapsed="1" x14ac:dyDescent="0.25">
      <c r="A12" s="11"/>
      <c r="B12" s="29" t="s">
        <v>139</v>
      </c>
      <c r="C12" s="11"/>
      <c r="D12" s="4" t="e">
        <f ca="1">SUM(_xll.OneStop.ReportPlayer.OSRFunctions.OSRRef(D13))</f>
        <v>#NAME?</v>
      </c>
      <c r="E12" s="4"/>
      <c r="F12" s="13"/>
      <c r="G12" s="4"/>
      <c r="H12" s="4" t="e">
        <f ca="1">SUM(_xll.OneStop.ReportPlayer.OSRFunctions.OSRRef(H13))</f>
        <v>#NAME?</v>
      </c>
      <c r="I12" s="4"/>
      <c r="J12" s="13"/>
      <c r="K12" s="4"/>
      <c r="L12" s="4" t="e">
        <f t="shared" ref="L12:L13" ca="1" si="0">+D12-H12</f>
        <v>#NAME?</v>
      </c>
      <c r="M12" s="4"/>
      <c r="N12" s="13" t="e">
        <f t="shared" ref="N12:N13" ca="1" si="1">IF(H12=0,0,L12/H12)</f>
        <v>#NAME?</v>
      </c>
      <c r="O12" s="11"/>
      <c r="P12" s="4" t="e">
        <f ca="1">SUM(_xll.OneStop.ReportPlayer.OSRFunctions.OSRRef(P13))</f>
        <v>#NAME?</v>
      </c>
      <c r="Q12" s="4"/>
      <c r="R12" s="13"/>
      <c r="S12" s="4"/>
      <c r="T12" s="4" t="e">
        <f ca="1">SUM(_xll.OneStop.ReportPlayer.OSRFunctions.OSRRef(T13))</f>
        <v>#NAME?</v>
      </c>
      <c r="U12" s="4"/>
      <c r="V12" s="13"/>
      <c r="W12" s="4"/>
      <c r="X12" s="4" t="e">
        <f t="shared" ref="X12:X13" ca="1" si="2">+P12-T12</f>
        <v>#NAME?</v>
      </c>
      <c r="Y12" s="4"/>
      <c r="Z12" s="13" t="e">
        <f t="shared" ref="Z12:Z13" ca="1" si="3">IF(T12=0,0,X12/T12)</f>
        <v>#NAME?</v>
      </c>
    </row>
    <row r="13" spans="1:26" s="23" customFormat="1" hidden="1" outlineLevel="1" x14ac:dyDescent="0.25">
      <c r="A13" s="44"/>
      <c r="B13" s="10" t="e">
        <f ca="1">CONCATENATE("          ", _xll.OneStop.ReportPlayer.OSRFunctions.OSRGet("d_Account","Code"), " - ", _xll.OneStop.ReportPlayer.OSRFunctions.OSRGet("d_Account","Description"))</f>
        <v>#NAME?</v>
      </c>
      <c r="C13" s="10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0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1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4" customFormat="1" collapsed="1" x14ac:dyDescent="0.25">
      <c r="A15" s="11"/>
      <c r="B15" s="29" t="s">
        <v>256</v>
      </c>
      <c r="C15" s="11"/>
      <c r="D15" s="4" t="e">
        <f ca="1">SUM(_xll.OneStop.ReportPlayer.OSRFunctions.OSRRef(D16))</f>
        <v>#NAME?</v>
      </c>
      <c r="E15" s="4"/>
      <c r="F15" s="13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3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3" t="e">
        <f t="shared" ref="N15:N16" ca="1" si="7">IF(H15=0,0,L15/H15)</f>
        <v>#NAME?</v>
      </c>
      <c r="O15" s="11"/>
      <c r="P15" s="4" t="e">
        <f ca="1">SUM(_xll.OneStop.ReportPlayer.OSRFunctions.OSRRef(P16))</f>
        <v>#NAME?</v>
      </c>
      <c r="Q15" s="4"/>
      <c r="R15" s="13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3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3" t="e">
        <f t="shared" ref="Z15:Z16" ca="1" si="11">IF(T15=0,0,X15/T15)</f>
        <v>#NAME?</v>
      </c>
    </row>
    <row r="16" spans="1:26" s="23" customFormat="1" hidden="1" outlineLevel="1" x14ac:dyDescent="0.25">
      <c r="A16" s="44"/>
      <c r="B16" s="10" t="e">
        <f ca="1">CONCATENATE("          ", _xll.OneStop.ReportPlayer.OSRFunctions.OSRGet("d_Account","Code"), " - ", _xll.OneStop.ReportPlayer.OSRFunctions.OSRGet("d_Account","Description"))</f>
        <v>#NAME?</v>
      </c>
      <c r="C16" s="10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0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1"/>
      <c r="C17" s="11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1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4" customFormat="1" x14ac:dyDescent="0.25">
      <c r="A18" s="11"/>
      <c r="B18" s="28" t="s">
        <v>107</v>
      </c>
      <c r="C18" s="28"/>
      <c r="D18" s="21" t="e">
        <f ca="1">D12-D15</f>
        <v>#NAME?</v>
      </c>
      <c r="E18" s="14"/>
      <c r="F18" s="22" t="e">
        <f ca="1">IF(D$12=0,0,D18/D$12)</f>
        <v>#NAME?</v>
      </c>
      <c r="G18" s="14"/>
      <c r="H18" s="21" t="e">
        <f ca="1">H12-H15</f>
        <v>#NAME?</v>
      </c>
      <c r="I18" s="14"/>
      <c r="J18" s="22" t="e">
        <f ca="1">IF(H$12=0,0,H18/H$12)</f>
        <v>#NAME?</v>
      </c>
      <c r="K18" s="15"/>
      <c r="L18" s="21" t="e">
        <f ca="1">+D18-H18</f>
        <v>#NAME?</v>
      </c>
      <c r="M18" s="15"/>
      <c r="N18" s="22" t="e">
        <f ca="1">IF(H18=0,0,L18/H18)</f>
        <v>#NAME?</v>
      </c>
      <c r="O18" s="29"/>
      <c r="P18" s="21" t="e">
        <f ca="1">P12-P15</f>
        <v>#NAME?</v>
      </c>
      <c r="Q18" s="14"/>
      <c r="R18" s="22" t="e">
        <f ca="1">IF(P$12=0,0,P18/P$12)</f>
        <v>#NAME?</v>
      </c>
      <c r="S18" s="14"/>
      <c r="T18" s="21" t="e">
        <f ca="1">T12-T15</f>
        <v>#NAME?</v>
      </c>
      <c r="U18" s="14"/>
      <c r="V18" s="22" t="e">
        <f ca="1">IF(T$12=0,0,T18/T$12)</f>
        <v>#NAME?</v>
      </c>
      <c r="W18" s="15"/>
      <c r="X18" s="21" t="e">
        <f ca="1">+P18-T18</f>
        <v>#NAME?</v>
      </c>
      <c r="Y18" s="15"/>
      <c r="Z18" s="22" t="e">
        <f ca="1">IF(T18=0,0,X18/T18)</f>
        <v>#NAME?</v>
      </c>
    </row>
    <row r="19" spans="1:26" x14ac:dyDescent="0.25">
      <c r="A19" s="9"/>
      <c r="B19" s="11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4" customFormat="1" x14ac:dyDescent="0.25">
      <c r="A20" s="11"/>
      <c r="B20" s="29" t="s">
        <v>294</v>
      </c>
      <c r="C20" s="11"/>
      <c r="D20" s="20" t="e">
        <f ca="1">SUM(_xll.OneStop.ReportPlayer.OSRFunctions.OSRRef(D22))</f>
        <v>#NAME?</v>
      </c>
      <c r="E20" s="20"/>
      <c r="F20" s="32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2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2" t="e">
        <f t="shared" ref="N20:N22" ca="1" si="15">IF(H20=0,0,L20/H20)</f>
        <v>#NAME?</v>
      </c>
      <c r="O20" s="11"/>
      <c r="P20" s="20" t="e">
        <f ca="1">SUM(_xll.OneStop.ReportPlayer.OSRFunctions.OSRRef(P22))</f>
        <v>#NAME?</v>
      </c>
      <c r="Q20" s="20"/>
      <c r="R20" s="32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2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2" t="e">
        <f t="shared" ref="Z20:Z22" ca="1" si="19">IF(T20=0,0,X20/T20)</f>
        <v>#NAME?</v>
      </c>
    </row>
    <row r="21" spans="1:26" s="27" customFormat="1" outlineLevel="1" collapsed="1" x14ac:dyDescent="0.25">
      <c r="A21" s="26"/>
      <c r="B21" s="12" t="e">
        <f ca="1">CONCATENATE("     ",_xll.OneStop.ReportPlayer.OSRFunctions.OSRGet("d_Account","AccountCategory"))</f>
        <v>#NAME?</v>
      </c>
      <c r="C21" s="12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2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3" customFormat="1" hidden="1" outlineLevel="2" x14ac:dyDescent="0.25">
      <c r="A22" s="25"/>
      <c r="B22" s="10" t="e">
        <f ca="1">CONCATENATE("          ", _xll.OneStop.ReportPlayer.OSRFunctions.OSRGet("d_Account","Code"), " - ", _xll.OneStop.ReportPlayer.OSRFunctions.OSRGet("d_Account","Description"))</f>
        <v>#NAME?</v>
      </c>
      <c r="C22" s="10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0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2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4" customFormat="1" collapsed="1" x14ac:dyDescent="0.25">
      <c r="A24" s="11"/>
      <c r="B24" s="29" t="s">
        <v>292</v>
      </c>
      <c r="C24" s="11"/>
      <c r="D24" s="4" t="e">
        <f ca="1">SUM(_xll.OneStop.ReportPlayer.OSRFunctions.OSRRef(D25))</f>
        <v>#NAME?</v>
      </c>
      <c r="E24" s="4"/>
      <c r="F24" s="13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3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3" t="e">
        <f t="shared" ref="N24:N25" ca="1" si="23">IF(H24=0,0,L24/H24)</f>
        <v>#NAME?</v>
      </c>
      <c r="O24" s="11"/>
      <c r="P24" s="4" t="e">
        <f ca="1">SUM(_xll.OneStop.ReportPlayer.OSRFunctions.OSRRef(P25))</f>
        <v>#NAME?</v>
      </c>
      <c r="Q24" s="4"/>
      <c r="R24" s="13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3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3" t="e">
        <f t="shared" ref="Z24:Z25" ca="1" si="27">IF(T24=0,0,X24/T24)</f>
        <v>#NAME?</v>
      </c>
    </row>
    <row r="25" spans="1:26" s="23" customFormat="1" hidden="1" outlineLevel="1" x14ac:dyDescent="0.25">
      <c r="A25" s="44"/>
      <c r="B25" s="10" t="e">
        <f ca="1">CONCATENATE("          ", _xll.OneStop.ReportPlayer.OSRFunctions.OSRGet("d_Account","Code"), " - ", _xll.OneStop.ReportPlayer.OSRFunctions.OSRGet("d_Account","Description"))</f>
        <v>#NAME?</v>
      </c>
      <c r="C25" s="10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0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1"/>
      <c r="C26" s="11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1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4" customFormat="1" x14ac:dyDescent="0.25">
      <c r="A27" s="11"/>
      <c r="B27" s="28" t="s">
        <v>276</v>
      </c>
      <c r="C27" s="28"/>
      <c r="D27" s="21" t="e">
        <f ca="1">+D18-D20+D24</f>
        <v>#NAME?</v>
      </c>
      <c r="E27" s="14"/>
      <c r="F27" s="22" t="e">
        <f ca="1">IF(D$12=0,0,D27/D$12)</f>
        <v>#NAME?</v>
      </c>
      <c r="G27" s="14"/>
      <c r="H27" s="21" t="e">
        <f ca="1">+H18-H20+H24</f>
        <v>#NAME?</v>
      </c>
      <c r="I27" s="14"/>
      <c r="J27" s="22" t="e">
        <f ca="1">IF(H$12=0,0,H27/H$12)</f>
        <v>#NAME?</v>
      </c>
      <c r="K27" s="15"/>
      <c r="L27" s="21" t="e">
        <f ca="1">+D27-H27</f>
        <v>#NAME?</v>
      </c>
      <c r="M27" s="15"/>
      <c r="N27" s="22" t="e">
        <f ca="1">IF(H27=0,0,L27/H27)</f>
        <v>#NAME?</v>
      </c>
      <c r="O27" s="29"/>
      <c r="P27" s="21" t="e">
        <f ca="1">+P18-P20+P24</f>
        <v>#NAME?</v>
      </c>
      <c r="Q27" s="14"/>
      <c r="R27" s="22" t="e">
        <f ca="1">IF(P$12=0,0,P27/P$12)</f>
        <v>#NAME?</v>
      </c>
      <c r="S27" s="14"/>
      <c r="T27" s="21" t="e">
        <f ca="1">+T18-T20+T24</f>
        <v>#NAME?</v>
      </c>
      <c r="U27" s="14"/>
      <c r="V27" s="22" t="e">
        <f ca="1">IF(T$12=0,0,T27/T$12)</f>
        <v>#NAME?</v>
      </c>
      <c r="W27" s="15"/>
      <c r="X27" s="21" t="e">
        <f ca="1">+P27-T27</f>
        <v>#NAME?</v>
      </c>
      <c r="Y27" s="15"/>
      <c r="Z27" s="22" t="e">
        <f ca="1">IF(T27=0,0,X27/T27)</f>
        <v>#NAME?</v>
      </c>
    </row>
    <row r="28" spans="1:26" x14ac:dyDescent="0.25">
      <c r="A28" s="9"/>
      <c r="B28" s="11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4" customFormat="1" x14ac:dyDescent="0.25">
      <c r="A29" s="51"/>
      <c r="B29" s="11" t="s">
        <v>127</v>
      </c>
      <c r="C29" s="11"/>
      <c r="D29" s="4" t="e">
        <f ca="1">_xll.OneStop.ReportPlayer.OSRFunctions.OSRGet("GL_F_Trans","Value1")</f>
        <v>#NAME?</v>
      </c>
      <c r="E29" s="4"/>
      <c r="F29" s="13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3" t="e">
        <f ca="1">IF(H$12=0,0,H29/H$12)</f>
        <v>#NAME?</v>
      </c>
      <c r="K29" s="4"/>
      <c r="L29" s="4" t="e">
        <f ca="1">+D29-H29</f>
        <v>#NAME?</v>
      </c>
      <c r="M29" s="4"/>
      <c r="N29" s="13" t="e">
        <f ca="1">IF(H29=0,0,L29/H29)</f>
        <v>#NAME?</v>
      </c>
      <c r="O29" s="11"/>
      <c r="P29" s="4" t="e">
        <f ca="1">_xll.OneStop.ReportPlayer.OSRFunctions.OSRGet("GL_F_Trans","Value1")</f>
        <v>#NAME?</v>
      </c>
      <c r="Q29" s="4"/>
      <c r="R29" s="13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3" t="e">
        <f ca="1">IF(T$12=0,0,T29/T$12)</f>
        <v>#NAME?</v>
      </c>
      <c r="W29" s="4"/>
      <c r="X29" s="4" t="e">
        <f ca="1">+P29-T29</f>
        <v>#NAME?</v>
      </c>
      <c r="Y29" s="4"/>
      <c r="Z29" s="13" t="e">
        <f ca="1">IF(T29=0,0,X29/T29)</f>
        <v>#NAME?</v>
      </c>
    </row>
    <row r="30" spans="1:26" x14ac:dyDescent="0.25">
      <c r="A30" s="9"/>
      <c r="B30" s="11"/>
      <c r="C30" s="11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1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4" customFormat="1" ht="15.75" thickBot="1" x14ac:dyDescent="0.3">
      <c r="A31" s="11"/>
      <c r="B31" s="28" t="s">
        <v>125</v>
      </c>
      <c r="C31" s="28"/>
      <c r="D31" s="34" t="e">
        <f ca="1">+D27-D29</f>
        <v>#NAME?</v>
      </c>
      <c r="E31" s="14"/>
      <c r="F31" s="31" t="e">
        <f ca="1">IF(D$12=0,0,D31/D$12)</f>
        <v>#NAME?</v>
      </c>
      <c r="G31" s="14"/>
      <c r="H31" s="34" t="e">
        <f ca="1">+H27-H29</f>
        <v>#NAME?</v>
      </c>
      <c r="I31" s="14"/>
      <c r="J31" s="31" t="e">
        <f ca="1">IF(H$12=0,0,H31/H$12)</f>
        <v>#NAME?</v>
      </c>
      <c r="K31" s="15"/>
      <c r="L31" s="34" t="e">
        <f ca="1">D31-H31</f>
        <v>#NAME?</v>
      </c>
      <c r="M31" s="15"/>
      <c r="N31" s="31" t="e">
        <f ca="1">IF(H31=0,0,L31/H31)</f>
        <v>#NAME?</v>
      </c>
      <c r="O31" s="29"/>
      <c r="P31" s="34" t="e">
        <f ca="1">+P27-P29</f>
        <v>#NAME?</v>
      </c>
      <c r="Q31" s="14"/>
      <c r="R31" s="31" t="e">
        <f ca="1">IF(P$12=0,0,P31/P$12)</f>
        <v>#NAME?</v>
      </c>
      <c r="S31" s="14"/>
      <c r="T31" s="34" t="e">
        <f ca="1">+T27-T29</f>
        <v>#NAME?</v>
      </c>
      <c r="U31" s="14"/>
      <c r="V31" s="31" t="e">
        <f ca="1">IF(T$12=0,0,T31/T$12)</f>
        <v>#NAME?</v>
      </c>
      <c r="W31" s="15"/>
      <c r="X31" s="34" t="e">
        <f ca="1">P31-T31</f>
        <v>#NAME?</v>
      </c>
      <c r="Y31" s="15"/>
      <c r="Z31" s="31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4" customFormat="1" x14ac:dyDescent="0.25">
      <c r="A33" s="51"/>
      <c r="B33" s="11" t="s">
        <v>183</v>
      </c>
      <c r="C33" s="11"/>
      <c r="D33" s="4" t="e">
        <f ca="1">-_xll.OneStop.ReportPlayer.OSRFunctions.OSRGet("GL_F_Trans","Value1")</f>
        <v>#NAME?</v>
      </c>
      <c r="E33" s="4"/>
      <c r="F33" s="13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3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3" t="e">
        <f t="shared" ref="N33:N34" ca="1" si="31">IF(H33=0,0,L33/H33)</f>
        <v>#NAME?</v>
      </c>
      <c r="O33" s="11"/>
      <c r="P33" s="4" t="e">
        <f ca="1">-_xll.OneStop.ReportPlayer.OSRFunctions.OSRGet("GL_F_Trans","Value1")</f>
        <v>#NAME?</v>
      </c>
      <c r="Q33" s="4"/>
      <c r="R33" s="13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3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3" t="e">
        <f t="shared" ref="Z33:Z34" ca="1" si="35">IF(T33=0,0,X33/T33)</f>
        <v>#NAME?</v>
      </c>
    </row>
    <row r="34" spans="1:26" s="24" customFormat="1" x14ac:dyDescent="0.25">
      <c r="A34" s="51"/>
      <c r="B34" s="11" t="s">
        <v>81</v>
      </c>
      <c r="C34" s="11"/>
      <c r="D34" s="4" t="e">
        <f ca="1">-_xll.OneStop.ReportPlayer.OSRFunctions.OSRGet("GL_F_Trans","Value1")</f>
        <v>#NAME?</v>
      </c>
      <c r="E34" s="4"/>
      <c r="F34" s="13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3" t="e">
        <f t="shared" ca="1" si="29"/>
        <v>#NAME?</v>
      </c>
      <c r="K34" s="4"/>
      <c r="L34" s="4" t="e">
        <f t="shared" ca="1" si="30"/>
        <v>#NAME?</v>
      </c>
      <c r="M34" s="4"/>
      <c r="N34" s="13" t="e">
        <f t="shared" ca="1" si="31"/>
        <v>#NAME?</v>
      </c>
      <c r="O34" s="11"/>
      <c r="P34" s="4" t="e">
        <f ca="1">-_xll.OneStop.ReportPlayer.OSRFunctions.OSRGet("GL_F_Trans","Value1")</f>
        <v>#NAME?</v>
      </c>
      <c r="Q34" s="4"/>
      <c r="R34" s="13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3" t="e">
        <f t="shared" ca="1" si="33"/>
        <v>#NAME?</v>
      </c>
      <c r="W34" s="4"/>
      <c r="X34" s="4" t="e">
        <f t="shared" ca="1" si="34"/>
        <v>#NAME?</v>
      </c>
      <c r="Y34" s="4"/>
      <c r="Z34" s="13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4" customFormat="1" ht="15.75" thickBot="1" x14ac:dyDescent="0.3">
      <c r="A36" s="11"/>
      <c r="B36" s="28" t="s">
        <v>293</v>
      </c>
      <c r="C36" s="28"/>
      <c r="D36" s="33" t="e">
        <f ca="1">SUM(D31:D35)</f>
        <v>#NAME?</v>
      </c>
      <c r="E36" s="14"/>
      <c r="F36" s="35" t="e">
        <f ca="1">IF(D$12=0,0,D36/D$12)</f>
        <v>#NAME?</v>
      </c>
      <c r="G36" s="14"/>
      <c r="H36" s="33" t="e">
        <f ca="1">SUM(H31:H35)</f>
        <v>#NAME?</v>
      </c>
      <c r="I36" s="14"/>
      <c r="J36" s="35" t="e">
        <f ca="1">IF(H$12=0,0,H36/H$12)</f>
        <v>#NAME?</v>
      </c>
      <c r="K36" s="15"/>
      <c r="L36" s="33" t="e">
        <f ca="1">+D36-H36</f>
        <v>#NAME?</v>
      </c>
      <c r="M36" s="15"/>
      <c r="N36" s="35" t="e">
        <f ca="1">IF(H36=0,0,L36/H36)</f>
        <v>#NAME?</v>
      </c>
      <c r="O36" s="29"/>
      <c r="P36" s="33" t="e">
        <f ca="1">SUM(P31:P35)</f>
        <v>#NAME?</v>
      </c>
      <c r="Q36" s="14"/>
      <c r="R36" s="35" t="e">
        <f ca="1">IF(P$12=0,0,P36/P$12)</f>
        <v>#NAME?</v>
      </c>
      <c r="S36" s="14"/>
      <c r="T36" s="33" t="e">
        <f ca="1">SUM(T31:T35)</f>
        <v>#NAME?</v>
      </c>
      <c r="U36" s="14"/>
      <c r="V36" s="35" t="e">
        <f ca="1">IF(T$12=0,0,T36/T$12)</f>
        <v>#NAME?</v>
      </c>
      <c r="W36" s="15"/>
      <c r="X36" s="33" t="e">
        <f ca="1">+P36-T36</f>
        <v>#NAME?</v>
      </c>
      <c r="Y36" s="15"/>
      <c r="Z36" s="35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56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55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60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62" t="s">
        <v>23</v>
      </c>
    </row>
    <row r="3" spans="1:26" x14ac:dyDescent="0.25">
      <c r="D3" s="62" t="s">
        <v>236</v>
      </c>
      <c r="E3" s="17"/>
      <c r="F3" s="46"/>
      <c r="G3" s="17"/>
      <c r="H3" s="17"/>
      <c r="I3" s="17"/>
      <c r="J3" s="38"/>
      <c r="K3" s="17"/>
      <c r="L3" s="17"/>
      <c r="M3" s="17"/>
      <c r="N3" s="46"/>
      <c r="O3" s="53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2" t="e">
        <f ca="1">CONCATENATE("Period ",RIGHT(_xll.OneStop.ReportPlayer.OSRFunctions.OSRGet("Period","PeriodId"),2),", ",_xll.OneStop.ReportPlayer.OSRFunctions.OSRGet("Period","Year"))</f>
        <v>#NAME?</v>
      </c>
      <c r="E4" s="17"/>
      <c r="F4" s="46"/>
      <c r="G4" s="17"/>
      <c r="H4" s="17"/>
      <c r="I4" s="17"/>
      <c r="J4" s="38"/>
      <c r="K4" s="17"/>
      <c r="L4" s="17"/>
      <c r="M4" s="17"/>
      <c r="N4" s="46"/>
      <c r="O4" s="53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4"/>
      <c r="D5" s="64" t="e">
        <f ca="1">_xll.OneStop.ReportPlayer.OSRFunctions.OSRGet("Period","PeriodEnd")</f>
        <v>#NAME?</v>
      </c>
      <c r="E5" s="17"/>
      <c r="F5" s="46"/>
      <c r="G5" s="17"/>
      <c r="H5" s="17"/>
      <c r="I5" s="17"/>
      <c r="J5" s="38"/>
      <c r="K5" s="17"/>
      <c r="L5" s="17"/>
      <c r="M5" s="17"/>
      <c r="N5" s="46"/>
      <c r="O5" s="53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4"/>
      <c r="B6" s="48"/>
      <c r="C6" s="48"/>
      <c r="D6" s="24" t="s">
        <v>124</v>
      </c>
      <c r="E6" s="17"/>
      <c r="F6" s="46"/>
      <c r="G6" s="17"/>
      <c r="H6" s="17"/>
      <c r="I6" s="17"/>
      <c r="J6" s="38"/>
      <c r="K6" s="17"/>
      <c r="L6" s="17"/>
      <c r="M6" s="17"/>
      <c r="N6" s="46"/>
      <c r="O6" s="54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9"/>
    </row>
    <row r="8" spans="1:26" x14ac:dyDescent="0.25">
      <c r="B8" s="59"/>
    </row>
    <row r="9" spans="1:26" x14ac:dyDescent="0.25">
      <c r="B9" s="9"/>
      <c r="C9" s="9"/>
      <c r="D9" s="16" t="s">
        <v>291</v>
      </c>
      <c r="E9" s="16"/>
      <c r="F9" s="39"/>
      <c r="G9" s="16"/>
      <c r="H9" s="16"/>
      <c r="I9" s="16"/>
      <c r="J9" s="49"/>
      <c r="K9" s="16"/>
      <c r="L9" s="16"/>
      <c r="M9" s="16"/>
      <c r="N9" s="39"/>
      <c r="P9" s="16" t="s">
        <v>39</v>
      </c>
      <c r="Q9" s="16"/>
      <c r="R9" s="39"/>
      <c r="S9" s="16"/>
      <c r="T9" s="16"/>
      <c r="U9" s="16"/>
      <c r="V9" s="49"/>
      <c r="W9" s="16"/>
      <c r="X9" s="16"/>
      <c r="Y9" s="16"/>
      <c r="Z9" s="39"/>
    </row>
    <row r="10" spans="1:26" x14ac:dyDescent="0.25">
      <c r="A10" s="11"/>
      <c r="B10" s="58"/>
      <c r="C10" s="11"/>
      <c r="D10" s="42" t="s">
        <v>57</v>
      </c>
      <c r="E10" s="36"/>
      <c r="F10" s="30" t="s">
        <v>40</v>
      </c>
      <c r="G10" s="36"/>
      <c r="H10" s="50" t="s">
        <v>237</v>
      </c>
      <c r="I10" s="36"/>
      <c r="J10" s="30" t="s">
        <v>40</v>
      </c>
      <c r="K10" s="11"/>
      <c r="L10" s="42" t="s">
        <v>126</v>
      </c>
      <c r="M10" s="11"/>
      <c r="N10" s="30" t="s">
        <v>257</v>
      </c>
      <c r="O10" s="11"/>
      <c r="P10" s="61" t="s">
        <v>57</v>
      </c>
      <c r="Q10" s="36"/>
      <c r="R10" s="30" t="s">
        <v>40</v>
      </c>
      <c r="S10" s="36"/>
      <c r="T10" s="50" t="s">
        <v>237</v>
      </c>
      <c r="U10" s="36"/>
      <c r="V10" s="30" t="s">
        <v>40</v>
      </c>
      <c r="W10" s="11"/>
      <c r="X10" s="42" t="s">
        <v>126</v>
      </c>
      <c r="Y10" s="11"/>
      <c r="Z10" s="30" t="s">
        <v>257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4" customFormat="1" collapsed="1" x14ac:dyDescent="0.25">
      <c r="A12" s="11"/>
      <c r="B12" s="29" t="s">
        <v>139</v>
      </c>
      <c r="C12" s="11"/>
      <c r="D12" s="4" t="e">
        <f ca="1">SUM(_xll.OneStop.ReportPlayer.OSRFunctions.OSRRef(D13))</f>
        <v>#NAME?</v>
      </c>
      <c r="E12" s="4"/>
      <c r="F12" s="13"/>
      <c r="G12" s="4"/>
      <c r="H12" s="4" t="e">
        <f ca="1">SUM(_xll.OneStop.ReportPlayer.OSRFunctions.OSRRef(H13))</f>
        <v>#NAME?</v>
      </c>
      <c r="I12" s="4"/>
      <c r="J12" s="13"/>
      <c r="K12" s="4"/>
      <c r="L12" s="4" t="e">
        <f t="shared" ref="L12:L13" ca="1" si="0">+D12-H12</f>
        <v>#NAME?</v>
      </c>
      <c r="M12" s="4"/>
      <c r="N12" s="13" t="e">
        <f t="shared" ref="N12:N13" ca="1" si="1">IF(H12=0,0,L12/H12)</f>
        <v>#NAME?</v>
      </c>
      <c r="O12" s="11"/>
      <c r="P12" s="4" t="e">
        <f ca="1">SUM(_xll.OneStop.ReportPlayer.OSRFunctions.OSRRef(P13))</f>
        <v>#NAME?</v>
      </c>
      <c r="Q12" s="4"/>
      <c r="R12" s="13"/>
      <c r="S12" s="4"/>
      <c r="T12" s="4" t="e">
        <f ca="1">SUM(_xll.OneStop.ReportPlayer.OSRFunctions.OSRRef(T13))</f>
        <v>#NAME?</v>
      </c>
      <c r="U12" s="4"/>
      <c r="V12" s="13"/>
      <c r="W12" s="4"/>
      <c r="X12" s="4" t="e">
        <f t="shared" ref="X12:X13" ca="1" si="2">+P12-T12</f>
        <v>#NAME?</v>
      </c>
      <c r="Y12" s="4"/>
      <c r="Z12" s="13" t="e">
        <f t="shared" ref="Z12:Z13" ca="1" si="3">IF(T12=0,0,X12/T12)</f>
        <v>#NAME?</v>
      </c>
    </row>
    <row r="13" spans="1:26" s="23" customFormat="1" hidden="1" outlineLevel="1" x14ac:dyDescent="0.25">
      <c r="A13" s="44"/>
      <c r="B13" s="10" t="e">
        <f ca="1">CONCATENATE("          ", _xll.OneStop.ReportPlayer.OSRFunctions.OSRGet("d_Account","Code"), " - ", _xll.OneStop.ReportPlayer.OSRFunctions.OSRGet("d_Account","Description"))</f>
        <v>#NAME?</v>
      </c>
      <c r="C13" s="10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0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1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4" customFormat="1" collapsed="1" x14ac:dyDescent="0.25">
      <c r="A15" s="11"/>
      <c r="B15" s="29" t="s">
        <v>256</v>
      </c>
      <c r="C15" s="11"/>
      <c r="D15" s="4" t="e">
        <f ca="1">SUM(_xll.OneStop.ReportPlayer.OSRFunctions.OSRRef(D16))</f>
        <v>#NAME?</v>
      </c>
      <c r="E15" s="4"/>
      <c r="F15" s="13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3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3" t="e">
        <f t="shared" ref="N15:N16" ca="1" si="7">IF(H15=0,0,L15/H15)</f>
        <v>#NAME?</v>
      </c>
      <c r="O15" s="11"/>
      <c r="P15" s="4" t="e">
        <f ca="1">SUM(_xll.OneStop.ReportPlayer.OSRFunctions.OSRRef(P16))</f>
        <v>#NAME?</v>
      </c>
      <c r="Q15" s="4"/>
      <c r="R15" s="13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3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3" t="e">
        <f t="shared" ref="Z15:Z16" ca="1" si="11">IF(T15=0,0,X15/T15)</f>
        <v>#NAME?</v>
      </c>
    </row>
    <row r="16" spans="1:26" s="23" customFormat="1" hidden="1" outlineLevel="1" x14ac:dyDescent="0.25">
      <c r="A16" s="44"/>
      <c r="B16" s="10" t="e">
        <f ca="1">CONCATENATE("          ", _xll.OneStop.ReportPlayer.OSRFunctions.OSRGet("d_Account","Code"), " - ", _xll.OneStop.ReportPlayer.OSRFunctions.OSRGet("d_Account","Description"))</f>
        <v>#NAME?</v>
      </c>
      <c r="C16" s="10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0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1"/>
      <c r="C17" s="11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1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4" customFormat="1" x14ac:dyDescent="0.25">
      <c r="A18" s="11"/>
      <c r="B18" s="28" t="s">
        <v>107</v>
      </c>
      <c r="C18" s="28"/>
      <c r="D18" s="21" t="e">
        <f ca="1">D12-D15</f>
        <v>#NAME?</v>
      </c>
      <c r="E18" s="14"/>
      <c r="F18" s="22" t="e">
        <f ca="1">IF(D$12=0,0,D18/D$12)</f>
        <v>#NAME?</v>
      </c>
      <c r="G18" s="14"/>
      <c r="H18" s="21" t="e">
        <f ca="1">H12-H15</f>
        <v>#NAME?</v>
      </c>
      <c r="I18" s="14"/>
      <c r="J18" s="22" t="e">
        <f ca="1">IF(H$12=0,0,H18/H$12)</f>
        <v>#NAME?</v>
      </c>
      <c r="K18" s="15"/>
      <c r="L18" s="21" t="e">
        <f ca="1">+D18-H18</f>
        <v>#NAME?</v>
      </c>
      <c r="M18" s="15"/>
      <c r="N18" s="22" t="e">
        <f ca="1">IF(H18=0,0,L18/H18)</f>
        <v>#NAME?</v>
      </c>
      <c r="O18" s="29"/>
      <c r="P18" s="21" t="e">
        <f ca="1">P12-P15</f>
        <v>#NAME?</v>
      </c>
      <c r="Q18" s="14"/>
      <c r="R18" s="22" t="e">
        <f ca="1">IF(P$12=0,0,P18/P$12)</f>
        <v>#NAME?</v>
      </c>
      <c r="S18" s="14"/>
      <c r="T18" s="21" t="e">
        <f ca="1">T12-T15</f>
        <v>#NAME?</v>
      </c>
      <c r="U18" s="14"/>
      <c r="V18" s="22" t="e">
        <f ca="1">IF(T$12=0,0,T18/T$12)</f>
        <v>#NAME?</v>
      </c>
      <c r="W18" s="15"/>
      <c r="X18" s="21" t="e">
        <f ca="1">+P18-T18</f>
        <v>#NAME?</v>
      </c>
      <c r="Y18" s="15"/>
      <c r="Z18" s="22" t="e">
        <f ca="1">IF(T18=0,0,X18/T18)</f>
        <v>#NAME?</v>
      </c>
    </row>
    <row r="19" spans="1:26" x14ac:dyDescent="0.25">
      <c r="A19" s="9"/>
      <c r="B19" s="11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4" customFormat="1" x14ac:dyDescent="0.25">
      <c r="A20" s="11"/>
      <c r="B20" s="29" t="s">
        <v>294</v>
      </c>
      <c r="C20" s="11"/>
      <c r="D20" s="20" t="e">
        <f ca="1">SUM(_xll.OneStop.ReportPlayer.OSRFunctions.OSRRef(D22))</f>
        <v>#NAME?</v>
      </c>
      <c r="E20" s="20"/>
      <c r="F20" s="32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2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2" t="e">
        <f t="shared" ref="N20:N22" ca="1" si="15">IF(H20=0,0,L20/H20)</f>
        <v>#NAME?</v>
      </c>
      <c r="O20" s="11"/>
      <c r="P20" s="20" t="e">
        <f ca="1">SUM(_xll.OneStop.ReportPlayer.OSRFunctions.OSRRef(P22))</f>
        <v>#NAME?</v>
      </c>
      <c r="Q20" s="20"/>
      <c r="R20" s="32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2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2" t="e">
        <f t="shared" ref="Z20:Z22" ca="1" si="19">IF(T20=0,0,X20/T20)</f>
        <v>#NAME?</v>
      </c>
    </row>
    <row r="21" spans="1:26" s="27" customFormat="1" outlineLevel="1" collapsed="1" x14ac:dyDescent="0.25">
      <c r="A21" s="26"/>
      <c r="B21" s="12" t="e">
        <f ca="1">CONCATENATE("     ",_xll.OneStop.ReportPlayer.OSRFunctions.OSRGet("d_Account","AccountCategory"))</f>
        <v>#NAME?</v>
      </c>
      <c r="C21" s="12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2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3" customFormat="1" hidden="1" outlineLevel="2" x14ac:dyDescent="0.25">
      <c r="A22" s="25"/>
      <c r="B22" s="10" t="e">
        <f ca="1">CONCATENATE("          ", _xll.OneStop.ReportPlayer.OSRFunctions.OSRGet("d_Account","Code"), " - ", _xll.OneStop.ReportPlayer.OSRFunctions.OSRGet("d_Account","Description"))</f>
        <v>#NAME?</v>
      </c>
      <c r="C22" s="10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0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2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4" customFormat="1" collapsed="1" x14ac:dyDescent="0.25">
      <c r="A24" s="11"/>
      <c r="B24" s="29" t="s">
        <v>292</v>
      </c>
      <c r="C24" s="11"/>
      <c r="D24" s="4" t="e">
        <f ca="1">SUM(_xll.OneStop.ReportPlayer.OSRFunctions.OSRRef(D25))</f>
        <v>#NAME?</v>
      </c>
      <c r="E24" s="4"/>
      <c r="F24" s="13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3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3" t="e">
        <f t="shared" ref="N24:N25" ca="1" si="23">IF(H24=0,0,L24/H24)</f>
        <v>#NAME?</v>
      </c>
      <c r="O24" s="11"/>
      <c r="P24" s="4" t="e">
        <f ca="1">SUM(_xll.OneStop.ReportPlayer.OSRFunctions.OSRRef(P25))</f>
        <v>#NAME?</v>
      </c>
      <c r="Q24" s="4"/>
      <c r="R24" s="13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3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3" t="e">
        <f t="shared" ref="Z24:Z25" ca="1" si="27">IF(T24=0,0,X24/T24)</f>
        <v>#NAME?</v>
      </c>
    </row>
    <row r="25" spans="1:26" s="23" customFormat="1" hidden="1" outlineLevel="1" x14ac:dyDescent="0.25">
      <c r="A25" s="44"/>
      <c r="B25" s="10" t="e">
        <f ca="1">CONCATENATE("          ", _xll.OneStop.ReportPlayer.OSRFunctions.OSRGet("d_Account","Code"), " - ", _xll.OneStop.ReportPlayer.OSRFunctions.OSRGet("d_Account","Description"))</f>
        <v>#NAME?</v>
      </c>
      <c r="C25" s="10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0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1"/>
      <c r="C26" s="11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1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4" customFormat="1" x14ac:dyDescent="0.25">
      <c r="A27" s="11"/>
      <c r="B27" s="28" t="s">
        <v>276</v>
      </c>
      <c r="C27" s="28"/>
      <c r="D27" s="21" t="e">
        <f ca="1">+D18-D20+D24</f>
        <v>#NAME?</v>
      </c>
      <c r="E27" s="14"/>
      <c r="F27" s="22" t="e">
        <f ca="1">IF(D$12=0,0,D27/D$12)</f>
        <v>#NAME?</v>
      </c>
      <c r="G27" s="14"/>
      <c r="H27" s="21" t="e">
        <f ca="1">+H18-H20+H24</f>
        <v>#NAME?</v>
      </c>
      <c r="I27" s="14"/>
      <c r="J27" s="22" t="e">
        <f ca="1">IF(H$12=0,0,H27/H$12)</f>
        <v>#NAME?</v>
      </c>
      <c r="K27" s="15"/>
      <c r="L27" s="21" t="e">
        <f ca="1">+D27-H27</f>
        <v>#NAME?</v>
      </c>
      <c r="M27" s="15"/>
      <c r="N27" s="22" t="e">
        <f ca="1">IF(H27=0,0,L27/H27)</f>
        <v>#NAME?</v>
      </c>
      <c r="O27" s="29"/>
      <c r="P27" s="21" t="e">
        <f ca="1">+P18-P20+P24</f>
        <v>#NAME?</v>
      </c>
      <c r="Q27" s="14"/>
      <c r="R27" s="22" t="e">
        <f ca="1">IF(P$12=0,0,P27/P$12)</f>
        <v>#NAME?</v>
      </c>
      <c r="S27" s="14"/>
      <c r="T27" s="21" t="e">
        <f ca="1">+T18-T20+T24</f>
        <v>#NAME?</v>
      </c>
      <c r="U27" s="14"/>
      <c r="V27" s="22" t="e">
        <f ca="1">IF(T$12=0,0,T27/T$12)</f>
        <v>#NAME?</v>
      </c>
      <c r="W27" s="15"/>
      <c r="X27" s="21" t="e">
        <f ca="1">+P27-T27</f>
        <v>#NAME?</v>
      </c>
      <c r="Y27" s="15"/>
      <c r="Z27" s="22" t="e">
        <f ca="1">IF(T27=0,0,X27/T27)</f>
        <v>#NAME?</v>
      </c>
    </row>
    <row r="28" spans="1:26" x14ac:dyDescent="0.25">
      <c r="A28" s="9"/>
      <c r="B28" s="11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4" customFormat="1" x14ac:dyDescent="0.25">
      <c r="A29" s="51"/>
      <c r="B29" s="11" t="s">
        <v>127</v>
      </c>
      <c r="C29" s="11"/>
      <c r="D29" s="4" t="e">
        <f ca="1">_xll.OneStop.ReportPlayer.OSRFunctions.OSRGet("GL_F_Trans","Value1")</f>
        <v>#NAME?</v>
      </c>
      <c r="E29" s="4"/>
      <c r="F29" s="13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3" t="e">
        <f ca="1">IF(H$12=0,0,H29/H$12)</f>
        <v>#NAME?</v>
      </c>
      <c r="K29" s="4"/>
      <c r="L29" s="4" t="e">
        <f ca="1">+D29-H29</f>
        <v>#NAME?</v>
      </c>
      <c r="M29" s="4"/>
      <c r="N29" s="13" t="e">
        <f ca="1">IF(H29=0,0,L29/H29)</f>
        <v>#NAME?</v>
      </c>
      <c r="O29" s="11"/>
      <c r="P29" s="4" t="e">
        <f ca="1">_xll.OneStop.ReportPlayer.OSRFunctions.OSRGet("GL_F_Trans","Value1")</f>
        <v>#NAME?</v>
      </c>
      <c r="Q29" s="4"/>
      <c r="R29" s="13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3" t="e">
        <f ca="1">IF(T$12=0,0,T29/T$12)</f>
        <v>#NAME?</v>
      </c>
      <c r="W29" s="4"/>
      <c r="X29" s="4" t="e">
        <f ca="1">+P29-T29</f>
        <v>#NAME?</v>
      </c>
      <c r="Y29" s="4"/>
      <c r="Z29" s="13" t="e">
        <f ca="1">IF(T29=0,0,X29/T29)</f>
        <v>#NAME?</v>
      </c>
    </row>
    <row r="30" spans="1:26" x14ac:dyDescent="0.25">
      <c r="A30" s="9"/>
      <c r="B30" s="11"/>
      <c r="C30" s="11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1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4" customFormat="1" ht="15.75" thickBot="1" x14ac:dyDescent="0.3">
      <c r="A31" s="11"/>
      <c r="B31" s="28" t="s">
        <v>125</v>
      </c>
      <c r="C31" s="28"/>
      <c r="D31" s="34" t="e">
        <f ca="1">+D27-D29</f>
        <v>#NAME?</v>
      </c>
      <c r="E31" s="14"/>
      <c r="F31" s="31" t="e">
        <f ca="1">IF(D$12=0,0,D31/D$12)</f>
        <v>#NAME?</v>
      </c>
      <c r="G31" s="14"/>
      <c r="H31" s="34" t="e">
        <f ca="1">+H27-H29</f>
        <v>#NAME?</v>
      </c>
      <c r="I31" s="14"/>
      <c r="J31" s="31" t="e">
        <f ca="1">IF(H$12=0,0,H31/H$12)</f>
        <v>#NAME?</v>
      </c>
      <c r="K31" s="15"/>
      <c r="L31" s="34" t="e">
        <f ca="1">D31-H31</f>
        <v>#NAME?</v>
      </c>
      <c r="M31" s="15"/>
      <c r="N31" s="31" t="e">
        <f ca="1">IF(H31=0,0,L31/H31)</f>
        <v>#NAME?</v>
      </c>
      <c r="O31" s="29"/>
      <c r="P31" s="34" t="e">
        <f ca="1">+P27-P29</f>
        <v>#NAME?</v>
      </c>
      <c r="Q31" s="14"/>
      <c r="R31" s="31" t="e">
        <f ca="1">IF(P$12=0,0,P31/P$12)</f>
        <v>#NAME?</v>
      </c>
      <c r="S31" s="14"/>
      <c r="T31" s="34" t="e">
        <f ca="1">+T27-T29</f>
        <v>#NAME?</v>
      </c>
      <c r="U31" s="14"/>
      <c r="V31" s="31" t="e">
        <f ca="1">IF(T$12=0,0,T31/T$12)</f>
        <v>#NAME?</v>
      </c>
      <c r="W31" s="15"/>
      <c r="X31" s="34" t="e">
        <f ca="1">P31-T31</f>
        <v>#NAME?</v>
      </c>
      <c r="Y31" s="15"/>
      <c r="Z31" s="31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4" customFormat="1" x14ac:dyDescent="0.25">
      <c r="A33" s="51"/>
      <c r="B33" s="11" t="s">
        <v>183</v>
      </c>
      <c r="C33" s="11"/>
      <c r="D33" s="4" t="e">
        <f ca="1">-_xll.OneStop.ReportPlayer.OSRFunctions.OSRGet("GL_F_Trans","Value1")</f>
        <v>#NAME?</v>
      </c>
      <c r="E33" s="4"/>
      <c r="F33" s="13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3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3" t="e">
        <f t="shared" ref="N33:N34" ca="1" si="31">IF(H33=0,0,L33/H33)</f>
        <v>#NAME?</v>
      </c>
      <c r="O33" s="11"/>
      <c r="P33" s="4" t="e">
        <f ca="1">-_xll.OneStop.ReportPlayer.OSRFunctions.OSRGet("GL_F_Trans","Value1")</f>
        <v>#NAME?</v>
      </c>
      <c r="Q33" s="4"/>
      <c r="R33" s="13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3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3" t="e">
        <f t="shared" ref="Z33:Z34" ca="1" si="35">IF(T33=0,0,X33/T33)</f>
        <v>#NAME?</v>
      </c>
    </row>
    <row r="34" spans="1:26" s="24" customFormat="1" x14ac:dyDescent="0.25">
      <c r="A34" s="51"/>
      <c r="B34" s="11" t="s">
        <v>81</v>
      </c>
      <c r="C34" s="11"/>
      <c r="D34" s="4" t="e">
        <f ca="1">-_xll.OneStop.ReportPlayer.OSRFunctions.OSRGet("GL_F_Trans","Value1")</f>
        <v>#NAME?</v>
      </c>
      <c r="E34" s="4"/>
      <c r="F34" s="13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3" t="e">
        <f t="shared" ca="1" si="29"/>
        <v>#NAME?</v>
      </c>
      <c r="K34" s="4"/>
      <c r="L34" s="4" t="e">
        <f t="shared" ca="1" si="30"/>
        <v>#NAME?</v>
      </c>
      <c r="M34" s="4"/>
      <c r="N34" s="13" t="e">
        <f t="shared" ca="1" si="31"/>
        <v>#NAME?</v>
      </c>
      <c r="O34" s="11"/>
      <c r="P34" s="4" t="e">
        <f ca="1">-_xll.OneStop.ReportPlayer.OSRFunctions.OSRGet("GL_F_Trans","Value1")</f>
        <v>#NAME?</v>
      </c>
      <c r="Q34" s="4"/>
      <c r="R34" s="13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3" t="e">
        <f t="shared" ca="1" si="33"/>
        <v>#NAME?</v>
      </c>
      <c r="W34" s="4"/>
      <c r="X34" s="4" t="e">
        <f t="shared" ca="1" si="34"/>
        <v>#NAME?</v>
      </c>
      <c r="Y34" s="4"/>
      <c r="Z34" s="13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4" customFormat="1" ht="15.75" thickBot="1" x14ac:dyDescent="0.3">
      <c r="A36" s="11"/>
      <c r="B36" s="28" t="s">
        <v>293</v>
      </c>
      <c r="C36" s="28"/>
      <c r="D36" s="33" t="e">
        <f ca="1">SUM(D31:D35)</f>
        <v>#NAME?</v>
      </c>
      <c r="E36" s="14"/>
      <c r="F36" s="35" t="e">
        <f ca="1">IF(D$12=0,0,D36/D$12)</f>
        <v>#NAME?</v>
      </c>
      <c r="G36" s="14"/>
      <c r="H36" s="33" t="e">
        <f ca="1">SUM(H31:H35)</f>
        <v>#NAME?</v>
      </c>
      <c r="I36" s="14"/>
      <c r="J36" s="35" t="e">
        <f ca="1">IF(H$12=0,0,H36/H$12)</f>
        <v>#NAME?</v>
      </c>
      <c r="K36" s="15"/>
      <c r="L36" s="33" t="e">
        <f ca="1">+D36-H36</f>
        <v>#NAME?</v>
      </c>
      <c r="M36" s="15"/>
      <c r="N36" s="35" t="e">
        <f ca="1">IF(H36=0,0,L36/H36)</f>
        <v>#NAME?</v>
      </c>
      <c r="O36" s="29"/>
      <c r="P36" s="33" t="e">
        <f ca="1">SUM(P31:P35)</f>
        <v>#NAME?</v>
      </c>
      <c r="Q36" s="14"/>
      <c r="R36" s="35" t="e">
        <f ca="1">IF(P$12=0,0,P36/P$12)</f>
        <v>#NAME?</v>
      </c>
      <c r="S36" s="14"/>
      <c r="T36" s="33" t="e">
        <f ca="1">SUM(T31:T35)</f>
        <v>#NAME?</v>
      </c>
      <c r="U36" s="14"/>
      <c r="V36" s="35" t="e">
        <f ca="1">IF(T$12=0,0,T36/T$12)</f>
        <v>#NAME?</v>
      </c>
      <c r="W36" s="15"/>
      <c r="X36" s="33" t="e">
        <f ca="1">+P36-T36</f>
        <v>#NAME?</v>
      </c>
      <c r="Y36" s="15"/>
      <c r="Z36" s="35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56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55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60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62" t="s">
        <v>23</v>
      </c>
    </row>
    <row r="3" spans="1:26" x14ac:dyDescent="0.25">
      <c r="D3" s="62" t="s">
        <v>236</v>
      </c>
      <c r="E3" s="17"/>
      <c r="F3" s="46"/>
      <c r="G3" s="17"/>
      <c r="H3" s="17"/>
      <c r="I3" s="17"/>
      <c r="J3" s="38"/>
      <c r="K3" s="17"/>
      <c r="L3" s="17"/>
      <c r="M3" s="17"/>
      <c r="N3" s="46"/>
      <c r="O3" s="53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2" t="e">
        <f ca="1">CONCATENATE("Period ",RIGHT(_xll.OneStop.ReportPlayer.OSRFunctions.OSRGet("Period","PeriodId"),2),", ",_xll.OneStop.ReportPlayer.OSRFunctions.OSRGet("Period","Year"))</f>
        <v>#NAME?</v>
      </c>
      <c r="E4" s="17"/>
      <c r="F4" s="46"/>
      <c r="G4" s="17"/>
      <c r="H4" s="17"/>
      <c r="I4" s="17"/>
      <c r="J4" s="38"/>
      <c r="K4" s="17"/>
      <c r="L4" s="17"/>
      <c r="M4" s="17"/>
      <c r="N4" s="46"/>
      <c r="O4" s="53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4"/>
      <c r="D5" s="64" t="e">
        <f ca="1">_xll.OneStop.ReportPlayer.OSRFunctions.OSRGet("Period","PeriodEnd")</f>
        <v>#NAME?</v>
      </c>
      <c r="E5" s="17"/>
      <c r="F5" s="46"/>
      <c r="G5" s="17"/>
      <c r="H5" s="17"/>
      <c r="I5" s="17"/>
      <c r="J5" s="38"/>
      <c r="K5" s="17"/>
      <c r="L5" s="17"/>
      <c r="M5" s="17"/>
      <c r="N5" s="46"/>
      <c r="O5" s="53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4"/>
      <c r="B6" s="48"/>
      <c r="C6" s="48"/>
      <c r="D6" s="24" t="s">
        <v>199</v>
      </c>
      <c r="E6" s="17"/>
      <c r="F6" s="46"/>
      <c r="G6" s="17"/>
      <c r="H6" s="17"/>
      <c r="I6" s="17"/>
      <c r="J6" s="38"/>
      <c r="K6" s="17"/>
      <c r="L6" s="17"/>
      <c r="M6" s="17"/>
      <c r="N6" s="46"/>
      <c r="O6" s="54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9"/>
    </row>
    <row r="8" spans="1:26" x14ac:dyDescent="0.25">
      <c r="B8" s="59"/>
    </row>
    <row r="9" spans="1:26" x14ac:dyDescent="0.25">
      <c r="B9" s="9"/>
      <c r="C9" s="9"/>
      <c r="D9" s="16" t="s">
        <v>291</v>
      </c>
      <c r="E9" s="16"/>
      <c r="F9" s="39"/>
      <c r="G9" s="16"/>
      <c r="H9" s="16"/>
      <c r="I9" s="16"/>
      <c r="J9" s="49"/>
      <c r="K9" s="16"/>
      <c r="L9" s="16"/>
      <c r="M9" s="16"/>
      <c r="N9" s="39"/>
      <c r="P9" s="16" t="s">
        <v>39</v>
      </c>
      <c r="Q9" s="16"/>
      <c r="R9" s="39"/>
      <c r="S9" s="16"/>
      <c r="T9" s="16"/>
      <c r="U9" s="16"/>
      <c r="V9" s="49"/>
      <c r="W9" s="16"/>
      <c r="X9" s="16"/>
      <c r="Y9" s="16"/>
      <c r="Z9" s="39"/>
    </row>
    <row r="10" spans="1:26" x14ac:dyDescent="0.25">
      <c r="A10" s="11"/>
      <c r="B10" s="58"/>
      <c r="C10" s="11"/>
      <c r="D10" s="42" t="s">
        <v>57</v>
      </c>
      <c r="E10" s="36"/>
      <c r="F10" s="30" t="s">
        <v>40</v>
      </c>
      <c r="G10" s="36"/>
      <c r="H10" s="50" t="s">
        <v>237</v>
      </c>
      <c r="I10" s="36"/>
      <c r="J10" s="30" t="s">
        <v>40</v>
      </c>
      <c r="K10" s="11"/>
      <c r="L10" s="42" t="s">
        <v>126</v>
      </c>
      <c r="M10" s="11"/>
      <c r="N10" s="30" t="s">
        <v>257</v>
      </c>
      <c r="O10" s="11"/>
      <c r="P10" s="61" t="s">
        <v>57</v>
      </c>
      <c r="Q10" s="36"/>
      <c r="R10" s="30" t="s">
        <v>40</v>
      </c>
      <c r="S10" s="36"/>
      <c r="T10" s="50" t="s">
        <v>237</v>
      </c>
      <c r="U10" s="36"/>
      <c r="V10" s="30" t="s">
        <v>40</v>
      </c>
      <c r="W10" s="11"/>
      <c r="X10" s="42" t="s">
        <v>126</v>
      </c>
      <c r="Y10" s="11"/>
      <c r="Z10" s="30" t="s">
        <v>257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4" customFormat="1" collapsed="1" x14ac:dyDescent="0.25">
      <c r="A12" s="11"/>
      <c r="B12" s="29" t="s">
        <v>139</v>
      </c>
      <c r="C12" s="11"/>
      <c r="D12" s="4" t="e">
        <f ca="1">SUM(_xll.OneStop.ReportPlayer.OSRFunctions.OSRRef(D13))</f>
        <v>#NAME?</v>
      </c>
      <c r="E12" s="4"/>
      <c r="F12" s="13"/>
      <c r="G12" s="4"/>
      <c r="H12" s="4" t="e">
        <f ca="1">SUM(_xll.OneStop.ReportPlayer.OSRFunctions.OSRRef(H13))</f>
        <v>#NAME?</v>
      </c>
      <c r="I12" s="4"/>
      <c r="J12" s="13"/>
      <c r="K12" s="4"/>
      <c r="L12" s="4" t="e">
        <f t="shared" ref="L12:L13" ca="1" si="0">+D12-H12</f>
        <v>#NAME?</v>
      </c>
      <c r="M12" s="4"/>
      <c r="N12" s="13" t="e">
        <f t="shared" ref="N12:N13" ca="1" si="1">IF(H12=0,0,L12/H12)</f>
        <v>#NAME?</v>
      </c>
      <c r="O12" s="11"/>
      <c r="P12" s="4" t="e">
        <f ca="1">SUM(_xll.OneStop.ReportPlayer.OSRFunctions.OSRRef(P13))</f>
        <v>#NAME?</v>
      </c>
      <c r="Q12" s="4"/>
      <c r="R12" s="13"/>
      <c r="S12" s="4"/>
      <c r="T12" s="4" t="e">
        <f ca="1">SUM(_xll.OneStop.ReportPlayer.OSRFunctions.OSRRef(T13))</f>
        <v>#NAME?</v>
      </c>
      <c r="U12" s="4"/>
      <c r="V12" s="13"/>
      <c r="W12" s="4"/>
      <c r="X12" s="4" t="e">
        <f t="shared" ref="X12:X13" ca="1" si="2">+P12-T12</f>
        <v>#NAME?</v>
      </c>
      <c r="Y12" s="4"/>
      <c r="Z12" s="13" t="e">
        <f t="shared" ref="Z12:Z13" ca="1" si="3">IF(T12=0,0,X12/T12)</f>
        <v>#NAME?</v>
      </c>
    </row>
    <row r="13" spans="1:26" s="23" customFormat="1" hidden="1" outlineLevel="1" x14ac:dyDescent="0.25">
      <c r="A13" s="44"/>
      <c r="B13" s="10" t="e">
        <f ca="1">CONCATENATE("          ", _xll.OneStop.ReportPlayer.OSRFunctions.OSRGet("d_Account","Code"), " - ", _xll.OneStop.ReportPlayer.OSRFunctions.OSRGet("d_Account","Description"))</f>
        <v>#NAME?</v>
      </c>
      <c r="C13" s="10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0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1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4" customFormat="1" collapsed="1" x14ac:dyDescent="0.25">
      <c r="A15" s="11"/>
      <c r="B15" s="29" t="s">
        <v>256</v>
      </c>
      <c r="C15" s="11"/>
      <c r="D15" s="4" t="e">
        <f ca="1">SUM(_xll.OneStop.ReportPlayer.OSRFunctions.OSRRef(D16))</f>
        <v>#NAME?</v>
      </c>
      <c r="E15" s="4"/>
      <c r="F15" s="13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3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3" t="e">
        <f t="shared" ref="N15:N16" ca="1" si="7">IF(H15=0,0,L15/H15)</f>
        <v>#NAME?</v>
      </c>
      <c r="O15" s="11"/>
      <c r="P15" s="4" t="e">
        <f ca="1">SUM(_xll.OneStop.ReportPlayer.OSRFunctions.OSRRef(P16))</f>
        <v>#NAME?</v>
      </c>
      <c r="Q15" s="4"/>
      <c r="R15" s="13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3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3" t="e">
        <f t="shared" ref="Z15:Z16" ca="1" si="11">IF(T15=0,0,X15/T15)</f>
        <v>#NAME?</v>
      </c>
    </row>
    <row r="16" spans="1:26" s="23" customFormat="1" hidden="1" outlineLevel="1" x14ac:dyDescent="0.25">
      <c r="A16" s="44"/>
      <c r="B16" s="10" t="e">
        <f ca="1">CONCATENATE("          ", _xll.OneStop.ReportPlayer.OSRFunctions.OSRGet("d_Account","Code"), " - ", _xll.OneStop.ReportPlayer.OSRFunctions.OSRGet("d_Account","Description"))</f>
        <v>#NAME?</v>
      </c>
      <c r="C16" s="10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0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1"/>
      <c r="C17" s="11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1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4" customFormat="1" x14ac:dyDescent="0.25">
      <c r="A18" s="11"/>
      <c r="B18" s="28" t="s">
        <v>107</v>
      </c>
      <c r="C18" s="28"/>
      <c r="D18" s="21" t="e">
        <f ca="1">D12-D15</f>
        <v>#NAME?</v>
      </c>
      <c r="E18" s="14"/>
      <c r="F18" s="22" t="e">
        <f ca="1">IF(D$12=0,0,D18/D$12)</f>
        <v>#NAME?</v>
      </c>
      <c r="G18" s="14"/>
      <c r="H18" s="21" t="e">
        <f ca="1">H12-H15</f>
        <v>#NAME?</v>
      </c>
      <c r="I18" s="14"/>
      <c r="J18" s="22" t="e">
        <f ca="1">IF(H$12=0,0,H18/H$12)</f>
        <v>#NAME?</v>
      </c>
      <c r="K18" s="15"/>
      <c r="L18" s="21" t="e">
        <f ca="1">+D18-H18</f>
        <v>#NAME?</v>
      </c>
      <c r="M18" s="15"/>
      <c r="N18" s="22" t="e">
        <f ca="1">IF(H18=0,0,L18/H18)</f>
        <v>#NAME?</v>
      </c>
      <c r="O18" s="29"/>
      <c r="P18" s="21" t="e">
        <f ca="1">P12-P15</f>
        <v>#NAME?</v>
      </c>
      <c r="Q18" s="14"/>
      <c r="R18" s="22" t="e">
        <f ca="1">IF(P$12=0,0,P18/P$12)</f>
        <v>#NAME?</v>
      </c>
      <c r="S18" s="14"/>
      <c r="T18" s="21" t="e">
        <f ca="1">T12-T15</f>
        <v>#NAME?</v>
      </c>
      <c r="U18" s="14"/>
      <c r="V18" s="22" t="e">
        <f ca="1">IF(T$12=0,0,T18/T$12)</f>
        <v>#NAME?</v>
      </c>
      <c r="W18" s="15"/>
      <c r="X18" s="21" t="e">
        <f ca="1">+P18-T18</f>
        <v>#NAME?</v>
      </c>
      <c r="Y18" s="15"/>
      <c r="Z18" s="22" t="e">
        <f ca="1">IF(T18=0,0,X18/T18)</f>
        <v>#NAME?</v>
      </c>
    </row>
    <row r="19" spans="1:26" x14ac:dyDescent="0.25">
      <c r="A19" s="9"/>
      <c r="B19" s="11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4" customFormat="1" x14ac:dyDescent="0.25">
      <c r="A20" s="11"/>
      <c r="B20" s="29" t="s">
        <v>294</v>
      </c>
      <c r="C20" s="11"/>
      <c r="D20" s="20" t="e">
        <f ca="1">SUM(_xll.OneStop.ReportPlayer.OSRFunctions.OSRRef(D22))</f>
        <v>#NAME?</v>
      </c>
      <c r="E20" s="20"/>
      <c r="F20" s="32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2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2" t="e">
        <f t="shared" ref="N20:N22" ca="1" si="15">IF(H20=0,0,L20/H20)</f>
        <v>#NAME?</v>
      </c>
      <c r="O20" s="11"/>
      <c r="P20" s="20" t="e">
        <f ca="1">SUM(_xll.OneStop.ReportPlayer.OSRFunctions.OSRRef(P22))</f>
        <v>#NAME?</v>
      </c>
      <c r="Q20" s="20"/>
      <c r="R20" s="32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2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2" t="e">
        <f t="shared" ref="Z20:Z22" ca="1" si="19">IF(T20=0,0,X20/T20)</f>
        <v>#NAME?</v>
      </c>
    </row>
    <row r="21" spans="1:26" s="27" customFormat="1" outlineLevel="1" collapsed="1" x14ac:dyDescent="0.25">
      <c r="A21" s="26"/>
      <c r="B21" s="12" t="e">
        <f ca="1">CONCATENATE("     ",_xll.OneStop.ReportPlayer.OSRFunctions.OSRGet("d_Account","AccountCategory"))</f>
        <v>#NAME?</v>
      </c>
      <c r="C21" s="12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2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3" customFormat="1" hidden="1" outlineLevel="2" x14ac:dyDescent="0.25">
      <c r="A22" s="25"/>
      <c r="B22" s="10" t="e">
        <f ca="1">CONCATENATE("          ", _xll.OneStop.ReportPlayer.OSRFunctions.OSRGet("d_Account","Code"), " - ", _xll.OneStop.ReportPlayer.OSRFunctions.OSRGet("d_Account","Description"))</f>
        <v>#NAME?</v>
      </c>
      <c r="C22" s="10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0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2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4" customFormat="1" collapsed="1" x14ac:dyDescent="0.25">
      <c r="A24" s="11"/>
      <c r="B24" s="29" t="s">
        <v>292</v>
      </c>
      <c r="C24" s="11"/>
      <c r="D24" s="4" t="e">
        <f ca="1">SUM(_xll.OneStop.ReportPlayer.OSRFunctions.OSRRef(D25))</f>
        <v>#NAME?</v>
      </c>
      <c r="E24" s="4"/>
      <c r="F24" s="13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3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3" t="e">
        <f t="shared" ref="N24:N25" ca="1" si="23">IF(H24=0,0,L24/H24)</f>
        <v>#NAME?</v>
      </c>
      <c r="O24" s="11"/>
      <c r="P24" s="4" t="e">
        <f ca="1">SUM(_xll.OneStop.ReportPlayer.OSRFunctions.OSRRef(P25))</f>
        <v>#NAME?</v>
      </c>
      <c r="Q24" s="4"/>
      <c r="R24" s="13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3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3" t="e">
        <f t="shared" ref="Z24:Z25" ca="1" si="27">IF(T24=0,0,X24/T24)</f>
        <v>#NAME?</v>
      </c>
    </row>
    <row r="25" spans="1:26" s="23" customFormat="1" hidden="1" outlineLevel="1" x14ac:dyDescent="0.25">
      <c r="A25" s="44"/>
      <c r="B25" s="10" t="e">
        <f ca="1">CONCATENATE("          ", _xll.OneStop.ReportPlayer.OSRFunctions.OSRGet("d_Account","Code"), " - ", _xll.OneStop.ReportPlayer.OSRFunctions.OSRGet("d_Account","Description"))</f>
        <v>#NAME?</v>
      </c>
      <c r="C25" s="10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0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1"/>
      <c r="C26" s="11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1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4" customFormat="1" x14ac:dyDescent="0.25">
      <c r="A27" s="11"/>
      <c r="B27" s="28" t="s">
        <v>276</v>
      </c>
      <c r="C27" s="28"/>
      <c r="D27" s="21" t="e">
        <f ca="1">+D18-D20+D24</f>
        <v>#NAME?</v>
      </c>
      <c r="E27" s="14"/>
      <c r="F27" s="22" t="e">
        <f ca="1">IF(D$12=0,0,D27/D$12)</f>
        <v>#NAME?</v>
      </c>
      <c r="G27" s="14"/>
      <c r="H27" s="21" t="e">
        <f ca="1">+H18-H20+H24</f>
        <v>#NAME?</v>
      </c>
      <c r="I27" s="14"/>
      <c r="J27" s="22" t="e">
        <f ca="1">IF(H$12=0,0,H27/H$12)</f>
        <v>#NAME?</v>
      </c>
      <c r="K27" s="15"/>
      <c r="L27" s="21" t="e">
        <f ca="1">+D27-H27</f>
        <v>#NAME?</v>
      </c>
      <c r="M27" s="15"/>
      <c r="N27" s="22" t="e">
        <f ca="1">IF(H27=0,0,L27/H27)</f>
        <v>#NAME?</v>
      </c>
      <c r="O27" s="29"/>
      <c r="P27" s="21" t="e">
        <f ca="1">+P18-P20+P24</f>
        <v>#NAME?</v>
      </c>
      <c r="Q27" s="14"/>
      <c r="R27" s="22" t="e">
        <f ca="1">IF(P$12=0,0,P27/P$12)</f>
        <v>#NAME?</v>
      </c>
      <c r="S27" s="14"/>
      <c r="T27" s="21" t="e">
        <f ca="1">+T18-T20+T24</f>
        <v>#NAME?</v>
      </c>
      <c r="U27" s="14"/>
      <c r="V27" s="22" t="e">
        <f ca="1">IF(T$12=0,0,T27/T$12)</f>
        <v>#NAME?</v>
      </c>
      <c r="W27" s="15"/>
      <c r="X27" s="21" t="e">
        <f ca="1">+P27-T27</f>
        <v>#NAME?</v>
      </c>
      <c r="Y27" s="15"/>
      <c r="Z27" s="22" t="e">
        <f ca="1">IF(T27=0,0,X27/T27)</f>
        <v>#NAME?</v>
      </c>
    </row>
    <row r="28" spans="1:26" x14ac:dyDescent="0.25">
      <c r="A28" s="9"/>
      <c r="B28" s="11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4" customFormat="1" x14ac:dyDescent="0.25">
      <c r="A29" s="51"/>
      <c r="B29" s="11" t="s">
        <v>127</v>
      </c>
      <c r="C29" s="11"/>
      <c r="D29" s="4" t="e">
        <f ca="1">_xll.OneStop.ReportPlayer.OSRFunctions.OSRGet("GL_F_Trans","Value1")</f>
        <v>#NAME?</v>
      </c>
      <c r="E29" s="4"/>
      <c r="F29" s="13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3" t="e">
        <f ca="1">IF(H$12=0,0,H29/H$12)</f>
        <v>#NAME?</v>
      </c>
      <c r="K29" s="4"/>
      <c r="L29" s="4" t="e">
        <f ca="1">+D29-H29</f>
        <v>#NAME?</v>
      </c>
      <c r="M29" s="4"/>
      <c r="N29" s="13" t="e">
        <f ca="1">IF(H29=0,0,L29/H29)</f>
        <v>#NAME?</v>
      </c>
      <c r="O29" s="11"/>
      <c r="P29" s="4" t="e">
        <f ca="1">_xll.OneStop.ReportPlayer.OSRFunctions.OSRGet("GL_F_Trans","Value1")</f>
        <v>#NAME?</v>
      </c>
      <c r="Q29" s="4"/>
      <c r="R29" s="13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3" t="e">
        <f ca="1">IF(T$12=0,0,T29/T$12)</f>
        <v>#NAME?</v>
      </c>
      <c r="W29" s="4"/>
      <c r="X29" s="4" t="e">
        <f ca="1">+P29-T29</f>
        <v>#NAME?</v>
      </c>
      <c r="Y29" s="4"/>
      <c r="Z29" s="13" t="e">
        <f ca="1">IF(T29=0,0,X29/T29)</f>
        <v>#NAME?</v>
      </c>
    </row>
    <row r="30" spans="1:26" x14ac:dyDescent="0.25">
      <c r="A30" s="9"/>
      <c r="B30" s="11"/>
      <c r="C30" s="11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1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4" customFormat="1" ht="15.75" thickBot="1" x14ac:dyDescent="0.3">
      <c r="A31" s="11"/>
      <c r="B31" s="28" t="s">
        <v>125</v>
      </c>
      <c r="C31" s="28"/>
      <c r="D31" s="34" t="e">
        <f ca="1">+D27-D29</f>
        <v>#NAME?</v>
      </c>
      <c r="E31" s="14"/>
      <c r="F31" s="31" t="e">
        <f ca="1">IF(D$12=0,0,D31/D$12)</f>
        <v>#NAME?</v>
      </c>
      <c r="G31" s="14"/>
      <c r="H31" s="34" t="e">
        <f ca="1">+H27-H29</f>
        <v>#NAME?</v>
      </c>
      <c r="I31" s="14"/>
      <c r="J31" s="31" t="e">
        <f ca="1">IF(H$12=0,0,H31/H$12)</f>
        <v>#NAME?</v>
      </c>
      <c r="K31" s="15"/>
      <c r="L31" s="34" t="e">
        <f ca="1">D31-H31</f>
        <v>#NAME?</v>
      </c>
      <c r="M31" s="15"/>
      <c r="N31" s="31" t="e">
        <f ca="1">IF(H31=0,0,L31/H31)</f>
        <v>#NAME?</v>
      </c>
      <c r="O31" s="29"/>
      <c r="P31" s="34" t="e">
        <f ca="1">+P27-P29</f>
        <v>#NAME?</v>
      </c>
      <c r="Q31" s="14"/>
      <c r="R31" s="31" t="e">
        <f ca="1">IF(P$12=0,0,P31/P$12)</f>
        <v>#NAME?</v>
      </c>
      <c r="S31" s="14"/>
      <c r="T31" s="34" t="e">
        <f ca="1">+T27-T29</f>
        <v>#NAME?</v>
      </c>
      <c r="U31" s="14"/>
      <c r="V31" s="31" t="e">
        <f ca="1">IF(T$12=0,0,T31/T$12)</f>
        <v>#NAME?</v>
      </c>
      <c r="W31" s="15"/>
      <c r="X31" s="34" t="e">
        <f ca="1">P31-T31</f>
        <v>#NAME?</v>
      </c>
      <c r="Y31" s="15"/>
      <c r="Z31" s="31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4" customFormat="1" x14ac:dyDescent="0.25">
      <c r="A33" s="51"/>
      <c r="B33" s="11" t="s">
        <v>183</v>
      </c>
      <c r="C33" s="11"/>
      <c r="D33" s="4" t="e">
        <f ca="1">-_xll.OneStop.ReportPlayer.OSRFunctions.OSRGet("GL_F_Trans","Value1")</f>
        <v>#NAME?</v>
      </c>
      <c r="E33" s="4"/>
      <c r="F33" s="13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3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3" t="e">
        <f t="shared" ref="N33:N34" ca="1" si="31">IF(H33=0,0,L33/H33)</f>
        <v>#NAME?</v>
      </c>
      <c r="O33" s="11"/>
      <c r="P33" s="4" t="e">
        <f ca="1">-_xll.OneStop.ReportPlayer.OSRFunctions.OSRGet("GL_F_Trans","Value1")</f>
        <v>#NAME?</v>
      </c>
      <c r="Q33" s="4"/>
      <c r="R33" s="13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3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3" t="e">
        <f t="shared" ref="Z33:Z34" ca="1" si="35">IF(T33=0,0,X33/T33)</f>
        <v>#NAME?</v>
      </c>
    </row>
    <row r="34" spans="1:26" s="24" customFormat="1" x14ac:dyDescent="0.25">
      <c r="A34" s="51"/>
      <c r="B34" s="11" t="s">
        <v>81</v>
      </c>
      <c r="C34" s="11"/>
      <c r="D34" s="4" t="e">
        <f ca="1">-_xll.OneStop.ReportPlayer.OSRFunctions.OSRGet("GL_F_Trans","Value1")</f>
        <v>#NAME?</v>
      </c>
      <c r="E34" s="4"/>
      <c r="F34" s="13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3" t="e">
        <f t="shared" ca="1" si="29"/>
        <v>#NAME?</v>
      </c>
      <c r="K34" s="4"/>
      <c r="L34" s="4" t="e">
        <f t="shared" ca="1" si="30"/>
        <v>#NAME?</v>
      </c>
      <c r="M34" s="4"/>
      <c r="N34" s="13" t="e">
        <f t="shared" ca="1" si="31"/>
        <v>#NAME?</v>
      </c>
      <c r="O34" s="11"/>
      <c r="P34" s="4" t="e">
        <f ca="1">-_xll.OneStop.ReportPlayer.OSRFunctions.OSRGet("GL_F_Trans","Value1")</f>
        <v>#NAME?</v>
      </c>
      <c r="Q34" s="4"/>
      <c r="R34" s="13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3" t="e">
        <f t="shared" ca="1" si="33"/>
        <v>#NAME?</v>
      </c>
      <c r="W34" s="4"/>
      <c r="X34" s="4" t="e">
        <f t="shared" ca="1" si="34"/>
        <v>#NAME?</v>
      </c>
      <c r="Y34" s="4"/>
      <c r="Z34" s="13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4" customFormat="1" ht="15.75" thickBot="1" x14ac:dyDescent="0.3">
      <c r="A36" s="11"/>
      <c r="B36" s="28" t="s">
        <v>293</v>
      </c>
      <c r="C36" s="28"/>
      <c r="D36" s="33" t="e">
        <f ca="1">SUM(D31:D35)</f>
        <v>#NAME?</v>
      </c>
      <c r="E36" s="14"/>
      <c r="F36" s="35" t="e">
        <f ca="1">IF(D$12=0,0,D36/D$12)</f>
        <v>#NAME?</v>
      </c>
      <c r="G36" s="14"/>
      <c r="H36" s="33" t="e">
        <f ca="1">SUM(H31:H35)</f>
        <v>#NAME?</v>
      </c>
      <c r="I36" s="14"/>
      <c r="J36" s="35" t="e">
        <f ca="1">IF(H$12=0,0,H36/H$12)</f>
        <v>#NAME?</v>
      </c>
      <c r="K36" s="15"/>
      <c r="L36" s="33" t="e">
        <f ca="1">+D36-H36</f>
        <v>#NAME?</v>
      </c>
      <c r="M36" s="15"/>
      <c r="N36" s="35" t="e">
        <f ca="1">IF(H36=0,0,L36/H36)</f>
        <v>#NAME?</v>
      </c>
      <c r="O36" s="29"/>
      <c r="P36" s="33" t="e">
        <f ca="1">SUM(P31:P35)</f>
        <v>#NAME?</v>
      </c>
      <c r="Q36" s="14"/>
      <c r="R36" s="35" t="e">
        <f ca="1">IF(P$12=0,0,P36/P$12)</f>
        <v>#NAME?</v>
      </c>
      <c r="S36" s="14"/>
      <c r="T36" s="33" t="e">
        <f ca="1">SUM(T31:T35)</f>
        <v>#NAME?</v>
      </c>
      <c r="U36" s="14"/>
      <c r="V36" s="35" t="e">
        <f ca="1">IF(T$12=0,0,T36/T$12)</f>
        <v>#NAME?</v>
      </c>
      <c r="W36" s="15"/>
      <c r="X36" s="33" t="e">
        <f ca="1">+P36-T36</f>
        <v>#NAME?</v>
      </c>
      <c r="Y36" s="15"/>
      <c r="Z36" s="35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56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55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60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62" t="s">
        <v>23</v>
      </c>
    </row>
    <row r="3" spans="1:26" x14ac:dyDescent="0.25">
      <c r="D3" s="62" t="s">
        <v>236</v>
      </c>
      <c r="E3" s="17"/>
      <c r="F3" s="46"/>
      <c r="G3" s="17"/>
      <c r="H3" s="17"/>
      <c r="I3" s="17"/>
      <c r="J3" s="38"/>
      <c r="K3" s="17"/>
      <c r="L3" s="17"/>
      <c r="M3" s="17"/>
      <c r="N3" s="46"/>
      <c r="O3" s="53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2" t="e">
        <f ca="1">CONCATENATE("Period ",RIGHT(_xll.OneStop.ReportPlayer.OSRFunctions.OSRGet("Period","PeriodId"),2),", ",_xll.OneStop.ReportPlayer.OSRFunctions.OSRGet("Period","Year"))</f>
        <v>#NAME?</v>
      </c>
      <c r="E4" s="17"/>
      <c r="F4" s="46"/>
      <c r="G4" s="17"/>
      <c r="H4" s="17"/>
      <c r="I4" s="17"/>
      <c r="J4" s="38"/>
      <c r="K4" s="17"/>
      <c r="L4" s="17"/>
      <c r="M4" s="17"/>
      <c r="N4" s="46"/>
      <c r="O4" s="53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4"/>
      <c r="D5" s="64" t="e">
        <f ca="1">_xll.OneStop.ReportPlayer.OSRFunctions.OSRGet("Period","PeriodEnd")</f>
        <v>#NAME?</v>
      </c>
      <c r="E5" s="17"/>
      <c r="F5" s="46"/>
      <c r="G5" s="17"/>
      <c r="H5" s="17"/>
      <c r="I5" s="17"/>
      <c r="J5" s="38"/>
      <c r="K5" s="17"/>
      <c r="L5" s="17"/>
      <c r="M5" s="17"/>
      <c r="N5" s="46"/>
      <c r="O5" s="53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4"/>
      <c r="B6" s="48"/>
      <c r="C6" s="48"/>
      <c r="D6" s="24" t="s">
        <v>199</v>
      </c>
      <c r="E6" s="17"/>
      <c r="F6" s="46"/>
      <c r="G6" s="17"/>
      <c r="H6" s="17"/>
      <c r="I6" s="17"/>
      <c r="J6" s="38"/>
      <c r="K6" s="17"/>
      <c r="L6" s="17"/>
      <c r="M6" s="17"/>
      <c r="N6" s="46"/>
      <c r="O6" s="54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9"/>
    </row>
    <row r="8" spans="1:26" x14ac:dyDescent="0.25">
      <c r="B8" s="59"/>
    </row>
    <row r="9" spans="1:26" x14ac:dyDescent="0.25">
      <c r="B9" s="9"/>
      <c r="C9" s="9"/>
      <c r="D9" s="16" t="s">
        <v>291</v>
      </c>
      <c r="E9" s="16"/>
      <c r="F9" s="39"/>
      <c r="G9" s="16"/>
      <c r="H9" s="16"/>
      <c r="I9" s="16"/>
      <c r="J9" s="49"/>
      <c r="K9" s="16"/>
      <c r="L9" s="16"/>
      <c r="M9" s="16"/>
      <c r="N9" s="39"/>
      <c r="P9" s="16" t="s">
        <v>39</v>
      </c>
      <c r="Q9" s="16"/>
      <c r="R9" s="39"/>
      <c r="S9" s="16"/>
      <c r="T9" s="16"/>
      <c r="U9" s="16"/>
      <c r="V9" s="49"/>
      <c r="W9" s="16"/>
      <c r="X9" s="16"/>
      <c r="Y9" s="16"/>
      <c r="Z9" s="39"/>
    </row>
    <row r="10" spans="1:26" x14ac:dyDescent="0.25">
      <c r="A10" s="11"/>
      <c r="B10" s="58"/>
      <c r="C10" s="11"/>
      <c r="D10" s="42" t="s">
        <v>57</v>
      </c>
      <c r="E10" s="36"/>
      <c r="F10" s="30" t="s">
        <v>40</v>
      </c>
      <c r="G10" s="36"/>
      <c r="H10" s="50" t="s">
        <v>237</v>
      </c>
      <c r="I10" s="36"/>
      <c r="J10" s="30" t="s">
        <v>40</v>
      </c>
      <c r="K10" s="11"/>
      <c r="L10" s="42" t="s">
        <v>126</v>
      </c>
      <c r="M10" s="11"/>
      <c r="N10" s="30" t="s">
        <v>257</v>
      </c>
      <c r="O10" s="11"/>
      <c r="P10" s="61" t="s">
        <v>57</v>
      </c>
      <c r="Q10" s="36"/>
      <c r="R10" s="30" t="s">
        <v>40</v>
      </c>
      <c r="S10" s="36"/>
      <c r="T10" s="50" t="s">
        <v>237</v>
      </c>
      <c r="U10" s="36"/>
      <c r="V10" s="30" t="s">
        <v>40</v>
      </c>
      <c r="W10" s="11"/>
      <c r="X10" s="42" t="s">
        <v>126</v>
      </c>
      <c r="Y10" s="11"/>
      <c r="Z10" s="30" t="s">
        <v>257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4" customFormat="1" collapsed="1" x14ac:dyDescent="0.25">
      <c r="A12" s="11"/>
      <c r="B12" s="29" t="s">
        <v>139</v>
      </c>
      <c r="C12" s="11"/>
      <c r="D12" s="4" t="e">
        <f ca="1">SUM(_xll.OneStop.ReportPlayer.OSRFunctions.OSRRef(D13))</f>
        <v>#NAME?</v>
      </c>
      <c r="E12" s="4"/>
      <c r="F12" s="13"/>
      <c r="G12" s="4"/>
      <c r="H12" s="4" t="e">
        <f ca="1">SUM(_xll.OneStop.ReportPlayer.OSRFunctions.OSRRef(H13))</f>
        <v>#NAME?</v>
      </c>
      <c r="I12" s="4"/>
      <c r="J12" s="13"/>
      <c r="K12" s="4"/>
      <c r="L12" s="4" t="e">
        <f t="shared" ref="L12:L13" ca="1" si="0">+D12-H12</f>
        <v>#NAME?</v>
      </c>
      <c r="M12" s="4"/>
      <c r="N12" s="13" t="e">
        <f t="shared" ref="N12:N13" ca="1" si="1">IF(H12=0,0,L12/H12)</f>
        <v>#NAME?</v>
      </c>
      <c r="O12" s="11"/>
      <c r="P12" s="4" t="e">
        <f ca="1">SUM(_xll.OneStop.ReportPlayer.OSRFunctions.OSRRef(P13))</f>
        <v>#NAME?</v>
      </c>
      <c r="Q12" s="4"/>
      <c r="R12" s="13"/>
      <c r="S12" s="4"/>
      <c r="T12" s="4" t="e">
        <f ca="1">SUM(_xll.OneStop.ReportPlayer.OSRFunctions.OSRRef(T13))</f>
        <v>#NAME?</v>
      </c>
      <c r="U12" s="4"/>
      <c r="V12" s="13"/>
      <c r="W12" s="4"/>
      <c r="X12" s="4" t="e">
        <f t="shared" ref="X12:X13" ca="1" si="2">+P12-T12</f>
        <v>#NAME?</v>
      </c>
      <c r="Y12" s="4"/>
      <c r="Z12" s="13" t="e">
        <f t="shared" ref="Z12:Z13" ca="1" si="3">IF(T12=0,0,X12/T12)</f>
        <v>#NAME?</v>
      </c>
    </row>
    <row r="13" spans="1:26" s="23" customFormat="1" hidden="1" outlineLevel="1" x14ac:dyDescent="0.25">
      <c r="A13" s="44"/>
      <c r="B13" s="10" t="e">
        <f ca="1">CONCATENATE("          ", _xll.OneStop.ReportPlayer.OSRFunctions.OSRGet("d_Account","Code"), " - ", _xll.OneStop.ReportPlayer.OSRFunctions.OSRGet("d_Account","Description"))</f>
        <v>#NAME?</v>
      </c>
      <c r="C13" s="10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0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1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4" customFormat="1" collapsed="1" x14ac:dyDescent="0.25">
      <c r="A15" s="11"/>
      <c r="B15" s="29" t="s">
        <v>256</v>
      </c>
      <c r="C15" s="11"/>
      <c r="D15" s="4" t="e">
        <f ca="1">SUM(_xll.OneStop.ReportPlayer.OSRFunctions.OSRRef(D16))</f>
        <v>#NAME?</v>
      </c>
      <c r="E15" s="4"/>
      <c r="F15" s="13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3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3" t="e">
        <f t="shared" ref="N15:N16" ca="1" si="7">IF(H15=0,0,L15/H15)</f>
        <v>#NAME?</v>
      </c>
      <c r="O15" s="11"/>
      <c r="P15" s="4" t="e">
        <f ca="1">SUM(_xll.OneStop.ReportPlayer.OSRFunctions.OSRRef(P16))</f>
        <v>#NAME?</v>
      </c>
      <c r="Q15" s="4"/>
      <c r="R15" s="13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3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3" t="e">
        <f t="shared" ref="Z15:Z16" ca="1" si="11">IF(T15=0,0,X15/T15)</f>
        <v>#NAME?</v>
      </c>
    </row>
    <row r="16" spans="1:26" s="23" customFormat="1" hidden="1" outlineLevel="1" x14ac:dyDescent="0.25">
      <c r="A16" s="44"/>
      <c r="B16" s="10" t="e">
        <f ca="1">CONCATENATE("          ", _xll.OneStop.ReportPlayer.OSRFunctions.OSRGet("d_Account","Code"), " - ", _xll.OneStop.ReportPlayer.OSRFunctions.OSRGet("d_Account","Description"))</f>
        <v>#NAME?</v>
      </c>
      <c r="C16" s="10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0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1"/>
      <c r="C17" s="11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1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4" customFormat="1" x14ac:dyDescent="0.25">
      <c r="A18" s="11"/>
      <c r="B18" s="28" t="s">
        <v>107</v>
      </c>
      <c r="C18" s="28"/>
      <c r="D18" s="21" t="e">
        <f ca="1">D12-D15</f>
        <v>#NAME?</v>
      </c>
      <c r="E18" s="14"/>
      <c r="F18" s="22" t="e">
        <f ca="1">IF(D$12=0,0,D18/D$12)</f>
        <v>#NAME?</v>
      </c>
      <c r="G18" s="14"/>
      <c r="H18" s="21" t="e">
        <f ca="1">H12-H15</f>
        <v>#NAME?</v>
      </c>
      <c r="I18" s="14"/>
      <c r="J18" s="22" t="e">
        <f ca="1">IF(H$12=0,0,H18/H$12)</f>
        <v>#NAME?</v>
      </c>
      <c r="K18" s="15"/>
      <c r="L18" s="21" t="e">
        <f ca="1">+D18-H18</f>
        <v>#NAME?</v>
      </c>
      <c r="M18" s="15"/>
      <c r="N18" s="22" t="e">
        <f ca="1">IF(H18=0,0,L18/H18)</f>
        <v>#NAME?</v>
      </c>
      <c r="O18" s="29"/>
      <c r="P18" s="21" t="e">
        <f ca="1">P12-P15</f>
        <v>#NAME?</v>
      </c>
      <c r="Q18" s="14"/>
      <c r="R18" s="22" t="e">
        <f ca="1">IF(P$12=0,0,P18/P$12)</f>
        <v>#NAME?</v>
      </c>
      <c r="S18" s="14"/>
      <c r="T18" s="21" t="e">
        <f ca="1">T12-T15</f>
        <v>#NAME?</v>
      </c>
      <c r="U18" s="14"/>
      <c r="V18" s="22" t="e">
        <f ca="1">IF(T$12=0,0,T18/T$12)</f>
        <v>#NAME?</v>
      </c>
      <c r="W18" s="15"/>
      <c r="X18" s="21" t="e">
        <f ca="1">+P18-T18</f>
        <v>#NAME?</v>
      </c>
      <c r="Y18" s="15"/>
      <c r="Z18" s="22" t="e">
        <f ca="1">IF(T18=0,0,X18/T18)</f>
        <v>#NAME?</v>
      </c>
    </row>
    <row r="19" spans="1:26" x14ac:dyDescent="0.25">
      <c r="A19" s="9"/>
      <c r="B19" s="11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4" customFormat="1" x14ac:dyDescent="0.25">
      <c r="A20" s="11"/>
      <c r="B20" s="29" t="s">
        <v>294</v>
      </c>
      <c r="C20" s="11"/>
      <c r="D20" s="20" t="e">
        <f ca="1">SUM(_xll.OneStop.ReportPlayer.OSRFunctions.OSRRef(D22))</f>
        <v>#NAME?</v>
      </c>
      <c r="E20" s="20"/>
      <c r="F20" s="32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2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2" t="e">
        <f t="shared" ref="N20:N22" ca="1" si="15">IF(H20=0,0,L20/H20)</f>
        <v>#NAME?</v>
      </c>
      <c r="O20" s="11"/>
      <c r="P20" s="20" t="e">
        <f ca="1">SUM(_xll.OneStop.ReportPlayer.OSRFunctions.OSRRef(P22))</f>
        <v>#NAME?</v>
      </c>
      <c r="Q20" s="20"/>
      <c r="R20" s="32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2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2" t="e">
        <f t="shared" ref="Z20:Z22" ca="1" si="19">IF(T20=0,0,X20/T20)</f>
        <v>#NAME?</v>
      </c>
    </row>
    <row r="21" spans="1:26" s="27" customFormat="1" outlineLevel="1" collapsed="1" x14ac:dyDescent="0.25">
      <c r="A21" s="26"/>
      <c r="B21" s="12" t="e">
        <f ca="1">CONCATENATE("     ",_xll.OneStop.ReportPlayer.OSRFunctions.OSRGet("d_Account","AccountCategory"))</f>
        <v>#NAME?</v>
      </c>
      <c r="C21" s="12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2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3" customFormat="1" hidden="1" outlineLevel="2" x14ac:dyDescent="0.25">
      <c r="A22" s="25"/>
      <c r="B22" s="10" t="e">
        <f ca="1">CONCATENATE("          ", _xll.OneStop.ReportPlayer.OSRFunctions.OSRGet("d_Account","Code"), " - ", _xll.OneStop.ReportPlayer.OSRFunctions.OSRGet("d_Account","Description"))</f>
        <v>#NAME?</v>
      </c>
      <c r="C22" s="10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0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2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4" customFormat="1" collapsed="1" x14ac:dyDescent="0.25">
      <c r="A24" s="11"/>
      <c r="B24" s="29" t="s">
        <v>292</v>
      </c>
      <c r="C24" s="11"/>
      <c r="D24" s="4" t="e">
        <f ca="1">SUM(_xll.OneStop.ReportPlayer.OSRFunctions.OSRRef(D25))</f>
        <v>#NAME?</v>
      </c>
      <c r="E24" s="4"/>
      <c r="F24" s="13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3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3" t="e">
        <f t="shared" ref="N24:N25" ca="1" si="23">IF(H24=0,0,L24/H24)</f>
        <v>#NAME?</v>
      </c>
      <c r="O24" s="11"/>
      <c r="P24" s="4" t="e">
        <f ca="1">SUM(_xll.OneStop.ReportPlayer.OSRFunctions.OSRRef(P25))</f>
        <v>#NAME?</v>
      </c>
      <c r="Q24" s="4"/>
      <c r="R24" s="13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3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3" t="e">
        <f t="shared" ref="Z24:Z25" ca="1" si="27">IF(T24=0,0,X24/T24)</f>
        <v>#NAME?</v>
      </c>
    </row>
    <row r="25" spans="1:26" s="23" customFormat="1" hidden="1" outlineLevel="1" x14ac:dyDescent="0.25">
      <c r="A25" s="44"/>
      <c r="B25" s="10" t="e">
        <f ca="1">CONCATENATE("          ", _xll.OneStop.ReportPlayer.OSRFunctions.OSRGet("d_Account","Code"), " - ", _xll.OneStop.ReportPlayer.OSRFunctions.OSRGet("d_Account","Description"))</f>
        <v>#NAME?</v>
      </c>
      <c r="C25" s="10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0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1"/>
      <c r="C26" s="11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1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4" customFormat="1" x14ac:dyDescent="0.25">
      <c r="A27" s="11"/>
      <c r="B27" s="28" t="s">
        <v>276</v>
      </c>
      <c r="C27" s="28"/>
      <c r="D27" s="21" t="e">
        <f ca="1">+D18-D20+D24</f>
        <v>#NAME?</v>
      </c>
      <c r="E27" s="14"/>
      <c r="F27" s="22" t="e">
        <f ca="1">IF(D$12=0,0,D27/D$12)</f>
        <v>#NAME?</v>
      </c>
      <c r="G27" s="14"/>
      <c r="H27" s="21" t="e">
        <f ca="1">+H18-H20+H24</f>
        <v>#NAME?</v>
      </c>
      <c r="I27" s="14"/>
      <c r="J27" s="22" t="e">
        <f ca="1">IF(H$12=0,0,H27/H$12)</f>
        <v>#NAME?</v>
      </c>
      <c r="K27" s="15"/>
      <c r="L27" s="21" t="e">
        <f ca="1">+D27-H27</f>
        <v>#NAME?</v>
      </c>
      <c r="M27" s="15"/>
      <c r="N27" s="22" t="e">
        <f ca="1">IF(H27=0,0,L27/H27)</f>
        <v>#NAME?</v>
      </c>
      <c r="O27" s="29"/>
      <c r="P27" s="21" t="e">
        <f ca="1">+P18-P20+P24</f>
        <v>#NAME?</v>
      </c>
      <c r="Q27" s="14"/>
      <c r="R27" s="22" t="e">
        <f ca="1">IF(P$12=0,0,P27/P$12)</f>
        <v>#NAME?</v>
      </c>
      <c r="S27" s="14"/>
      <c r="T27" s="21" t="e">
        <f ca="1">+T18-T20+T24</f>
        <v>#NAME?</v>
      </c>
      <c r="U27" s="14"/>
      <c r="V27" s="22" t="e">
        <f ca="1">IF(T$12=0,0,T27/T$12)</f>
        <v>#NAME?</v>
      </c>
      <c r="W27" s="15"/>
      <c r="X27" s="21" t="e">
        <f ca="1">+P27-T27</f>
        <v>#NAME?</v>
      </c>
      <c r="Y27" s="15"/>
      <c r="Z27" s="22" t="e">
        <f ca="1">IF(T27=0,0,X27/T27)</f>
        <v>#NAME?</v>
      </c>
    </row>
    <row r="28" spans="1:26" x14ac:dyDescent="0.25">
      <c r="A28" s="9"/>
      <c r="B28" s="11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4" customFormat="1" x14ac:dyDescent="0.25">
      <c r="A29" s="51"/>
      <c r="B29" s="11" t="s">
        <v>127</v>
      </c>
      <c r="C29" s="11"/>
      <c r="D29" s="4" t="e">
        <f ca="1">_xll.OneStop.ReportPlayer.OSRFunctions.OSRGet("GL_F_Trans","Value1")</f>
        <v>#NAME?</v>
      </c>
      <c r="E29" s="4"/>
      <c r="F29" s="13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3" t="e">
        <f ca="1">IF(H$12=0,0,H29/H$12)</f>
        <v>#NAME?</v>
      </c>
      <c r="K29" s="4"/>
      <c r="L29" s="4" t="e">
        <f ca="1">+D29-H29</f>
        <v>#NAME?</v>
      </c>
      <c r="M29" s="4"/>
      <c r="N29" s="13" t="e">
        <f ca="1">IF(H29=0,0,L29/H29)</f>
        <v>#NAME?</v>
      </c>
      <c r="O29" s="11"/>
      <c r="P29" s="4" t="e">
        <f ca="1">_xll.OneStop.ReportPlayer.OSRFunctions.OSRGet("GL_F_Trans","Value1")</f>
        <v>#NAME?</v>
      </c>
      <c r="Q29" s="4"/>
      <c r="R29" s="13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3" t="e">
        <f ca="1">IF(T$12=0,0,T29/T$12)</f>
        <v>#NAME?</v>
      </c>
      <c r="W29" s="4"/>
      <c r="X29" s="4" t="e">
        <f ca="1">+P29-T29</f>
        <v>#NAME?</v>
      </c>
      <c r="Y29" s="4"/>
      <c r="Z29" s="13" t="e">
        <f ca="1">IF(T29=0,0,X29/T29)</f>
        <v>#NAME?</v>
      </c>
    </row>
    <row r="30" spans="1:26" x14ac:dyDescent="0.25">
      <c r="A30" s="9"/>
      <c r="B30" s="11"/>
      <c r="C30" s="11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1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4" customFormat="1" ht="15.75" thickBot="1" x14ac:dyDescent="0.3">
      <c r="A31" s="11"/>
      <c r="B31" s="28" t="s">
        <v>125</v>
      </c>
      <c r="C31" s="28"/>
      <c r="D31" s="34" t="e">
        <f ca="1">+D27-D29</f>
        <v>#NAME?</v>
      </c>
      <c r="E31" s="14"/>
      <c r="F31" s="31" t="e">
        <f ca="1">IF(D$12=0,0,D31/D$12)</f>
        <v>#NAME?</v>
      </c>
      <c r="G31" s="14"/>
      <c r="H31" s="34" t="e">
        <f ca="1">+H27-H29</f>
        <v>#NAME?</v>
      </c>
      <c r="I31" s="14"/>
      <c r="J31" s="31" t="e">
        <f ca="1">IF(H$12=0,0,H31/H$12)</f>
        <v>#NAME?</v>
      </c>
      <c r="K31" s="15"/>
      <c r="L31" s="34" t="e">
        <f ca="1">D31-H31</f>
        <v>#NAME?</v>
      </c>
      <c r="M31" s="15"/>
      <c r="N31" s="31" t="e">
        <f ca="1">IF(H31=0,0,L31/H31)</f>
        <v>#NAME?</v>
      </c>
      <c r="O31" s="29"/>
      <c r="P31" s="34" t="e">
        <f ca="1">+P27-P29</f>
        <v>#NAME?</v>
      </c>
      <c r="Q31" s="14"/>
      <c r="R31" s="31" t="e">
        <f ca="1">IF(P$12=0,0,P31/P$12)</f>
        <v>#NAME?</v>
      </c>
      <c r="S31" s="14"/>
      <c r="T31" s="34" t="e">
        <f ca="1">+T27-T29</f>
        <v>#NAME?</v>
      </c>
      <c r="U31" s="14"/>
      <c r="V31" s="31" t="e">
        <f ca="1">IF(T$12=0,0,T31/T$12)</f>
        <v>#NAME?</v>
      </c>
      <c r="W31" s="15"/>
      <c r="X31" s="34" t="e">
        <f ca="1">P31-T31</f>
        <v>#NAME?</v>
      </c>
      <c r="Y31" s="15"/>
      <c r="Z31" s="31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4" customFormat="1" x14ac:dyDescent="0.25">
      <c r="A33" s="51"/>
      <c r="B33" s="11" t="s">
        <v>183</v>
      </c>
      <c r="C33" s="11"/>
      <c r="D33" s="4" t="e">
        <f ca="1">-_xll.OneStop.ReportPlayer.OSRFunctions.OSRGet("GL_F_Trans","Value1")</f>
        <v>#NAME?</v>
      </c>
      <c r="E33" s="4"/>
      <c r="F33" s="13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3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3" t="e">
        <f t="shared" ref="N33:N34" ca="1" si="31">IF(H33=0,0,L33/H33)</f>
        <v>#NAME?</v>
      </c>
      <c r="O33" s="11"/>
      <c r="P33" s="4" t="e">
        <f ca="1">-_xll.OneStop.ReportPlayer.OSRFunctions.OSRGet("GL_F_Trans","Value1")</f>
        <v>#NAME?</v>
      </c>
      <c r="Q33" s="4"/>
      <c r="R33" s="13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3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3" t="e">
        <f t="shared" ref="Z33:Z34" ca="1" si="35">IF(T33=0,0,X33/T33)</f>
        <v>#NAME?</v>
      </c>
    </row>
    <row r="34" spans="1:26" s="24" customFormat="1" x14ac:dyDescent="0.25">
      <c r="A34" s="51"/>
      <c r="B34" s="11" t="s">
        <v>81</v>
      </c>
      <c r="C34" s="11"/>
      <c r="D34" s="4" t="e">
        <f ca="1">-_xll.OneStop.ReportPlayer.OSRFunctions.OSRGet("GL_F_Trans","Value1")</f>
        <v>#NAME?</v>
      </c>
      <c r="E34" s="4"/>
      <c r="F34" s="13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3" t="e">
        <f t="shared" ca="1" si="29"/>
        <v>#NAME?</v>
      </c>
      <c r="K34" s="4"/>
      <c r="L34" s="4" t="e">
        <f t="shared" ca="1" si="30"/>
        <v>#NAME?</v>
      </c>
      <c r="M34" s="4"/>
      <c r="N34" s="13" t="e">
        <f t="shared" ca="1" si="31"/>
        <v>#NAME?</v>
      </c>
      <c r="O34" s="11"/>
      <c r="P34" s="4" t="e">
        <f ca="1">-_xll.OneStop.ReportPlayer.OSRFunctions.OSRGet("GL_F_Trans","Value1")</f>
        <v>#NAME?</v>
      </c>
      <c r="Q34" s="4"/>
      <c r="R34" s="13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3" t="e">
        <f t="shared" ca="1" si="33"/>
        <v>#NAME?</v>
      </c>
      <c r="W34" s="4"/>
      <c r="X34" s="4" t="e">
        <f t="shared" ca="1" si="34"/>
        <v>#NAME?</v>
      </c>
      <c r="Y34" s="4"/>
      <c r="Z34" s="13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4" customFormat="1" ht="15.75" thickBot="1" x14ac:dyDescent="0.3">
      <c r="A36" s="11"/>
      <c r="B36" s="28" t="s">
        <v>293</v>
      </c>
      <c r="C36" s="28"/>
      <c r="D36" s="33" t="e">
        <f ca="1">SUM(D31:D35)</f>
        <v>#NAME?</v>
      </c>
      <c r="E36" s="14"/>
      <c r="F36" s="35" t="e">
        <f ca="1">IF(D$12=0,0,D36/D$12)</f>
        <v>#NAME?</v>
      </c>
      <c r="G36" s="14"/>
      <c r="H36" s="33" t="e">
        <f ca="1">SUM(H31:H35)</f>
        <v>#NAME?</v>
      </c>
      <c r="I36" s="14"/>
      <c r="J36" s="35" t="e">
        <f ca="1">IF(H$12=0,0,H36/H$12)</f>
        <v>#NAME?</v>
      </c>
      <c r="K36" s="15"/>
      <c r="L36" s="33" t="e">
        <f ca="1">+D36-H36</f>
        <v>#NAME?</v>
      </c>
      <c r="M36" s="15"/>
      <c r="N36" s="35" t="e">
        <f ca="1">IF(H36=0,0,L36/H36)</f>
        <v>#NAME?</v>
      </c>
      <c r="O36" s="29"/>
      <c r="P36" s="33" t="e">
        <f ca="1">SUM(P31:P35)</f>
        <v>#NAME?</v>
      </c>
      <c r="Q36" s="14"/>
      <c r="R36" s="35" t="e">
        <f ca="1">IF(P$12=0,0,P36/P$12)</f>
        <v>#NAME?</v>
      </c>
      <c r="S36" s="14"/>
      <c r="T36" s="33" t="e">
        <f ca="1">SUM(T31:T35)</f>
        <v>#NAME?</v>
      </c>
      <c r="U36" s="14"/>
      <c r="V36" s="35" t="e">
        <f ca="1">IF(T$12=0,0,T36/T$12)</f>
        <v>#NAME?</v>
      </c>
      <c r="W36" s="15"/>
      <c r="X36" s="33" t="e">
        <f ca="1">+P36-T36</f>
        <v>#NAME?</v>
      </c>
      <c r="Y36" s="15"/>
      <c r="Z36" s="35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56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55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60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tabColor theme="5" tint="0.39997558519241921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62" t="s">
        <v>23</v>
      </c>
    </row>
    <row r="3" spans="1:26" x14ac:dyDescent="0.25">
      <c r="D3" s="62" t="s">
        <v>236</v>
      </c>
      <c r="E3" s="17"/>
      <c r="F3" s="46"/>
      <c r="G3" s="17"/>
      <c r="H3" s="17"/>
      <c r="I3" s="17"/>
      <c r="J3" s="38"/>
      <c r="K3" s="17"/>
      <c r="L3" s="17"/>
      <c r="M3" s="17"/>
      <c r="N3" s="46"/>
      <c r="O3" s="53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2" t="e">
        <f ca="1">CONCATENATE("Period ",RIGHT(_xll.OneStop.ReportPlayer.OSRFunctions.OSRGet("Period","PeriodId"),2),", ",_xll.OneStop.ReportPlayer.OSRFunctions.OSRGet("Period","Year"))</f>
        <v>#NAME?</v>
      </c>
      <c r="E4" s="17"/>
      <c r="F4" s="46"/>
      <c r="G4" s="17"/>
      <c r="H4" s="17"/>
      <c r="I4" s="17"/>
      <c r="J4" s="38"/>
      <c r="K4" s="17"/>
      <c r="L4" s="17"/>
      <c r="M4" s="17"/>
      <c r="N4" s="46"/>
      <c r="O4" s="53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4"/>
      <c r="D5" s="64" t="e">
        <f ca="1">_xll.OneStop.ReportPlayer.OSRFunctions.OSRGet("Period","PeriodEnd")</f>
        <v>#NAME?</v>
      </c>
      <c r="E5" s="17"/>
      <c r="F5" s="46"/>
      <c r="G5" s="17"/>
      <c r="H5" s="17"/>
      <c r="I5" s="17"/>
      <c r="J5" s="38"/>
      <c r="K5" s="17"/>
      <c r="L5" s="17"/>
      <c r="M5" s="17"/>
      <c r="N5" s="46"/>
      <c r="O5" s="53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4"/>
      <c r="B6" s="48"/>
      <c r="C6" s="48"/>
      <c r="D6" s="24" t="s">
        <v>55</v>
      </c>
      <c r="E6" s="17"/>
      <c r="F6" s="46"/>
      <c r="G6" s="17"/>
      <c r="H6" s="17"/>
      <c r="I6" s="17"/>
      <c r="J6" s="38"/>
      <c r="K6" s="17"/>
      <c r="L6" s="17"/>
      <c r="M6" s="17"/>
      <c r="N6" s="46"/>
      <c r="O6" s="54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9"/>
    </row>
    <row r="8" spans="1:26" x14ac:dyDescent="0.25">
      <c r="B8" s="59"/>
    </row>
    <row r="9" spans="1:26" x14ac:dyDescent="0.25">
      <c r="B9" s="9"/>
      <c r="C9" s="9"/>
      <c r="D9" s="16" t="s">
        <v>291</v>
      </c>
      <c r="E9" s="16"/>
      <c r="F9" s="39"/>
      <c r="G9" s="16"/>
      <c r="H9" s="16"/>
      <c r="I9" s="16"/>
      <c r="J9" s="49"/>
      <c r="K9" s="16"/>
      <c r="L9" s="16"/>
      <c r="M9" s="16"/>
      <c r="N9" s="39"/>
      <c r="P9" s="16" t="s">
        <v>39</v>
      </c>
      <c r="Q9" s="16"/>
      <c r="R9" s="39"/>
      <c r="S9" s="16"/>
      <c r="T9" s="16"/>
      <c r="U9" s="16"/>
      <c r="V9" s="49"/>
      <c r="W9" s="16"/>
      <c r="X9" s="16"/>
      <c r="Y9" s="16"/>
      <c r="Z9" s="39"/>
    </row>
    <row r="10" spans="1:26" x14ac:dyDescent="0.25">
      <c r="A10" s="11"/>
      <c r="B10" s="58"/>
      <c r="C10" s="11"/>
      <c r="D10" s="42" t="s">
        <v>57</v>
      </c>
      <c r="E10" s="36"/>
      <c r="F10" s="30" t="s">
        <v>40</v>
      </c>
      <c r="G10" s="36"/>
      <c r="H10" s="50" t="s">
        <v>237</v>
      </c>
      <c r="I10" s="36"/>
      <c r="J10" s="30" t="s">
        <v>40</v>
      </c>
      <c r="K10" s="11"/>
      <c r="L10" s="42" t="s">
        <v>126</v>
      </c>
      <c r="M10" s="11"/>
      <c r="N10" s="30" t="s">
        <v>257</v>
      </c>
      <c r="O10" s="11"/>
      <c r="P10" s="61" t="s">
        <v>57</v>
      </c>
      <c r="Q10" s="36"/>
      <c r="R10" s="30" t="s">
        <v>40</v>
      </c>
      <c r="S10" s="36"/>
      <c r="T10" s="50" t="s">
        <v>237</v>
      </c>
      <c r="U10" s="36"/>
      <c r="V10" s="30" t="s">
        <v>40</v>
      </c>
      <c r="W10" s="11"/>
      <c r="X10" s="42" t="s">
        <v>126</v>
      </c>
      <c r="Y10" s="11"/>
      <c r="Z10" s="30" t="s">
        <v>257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4" customFormat="1" collapsed="1" x14ac:dyDescent="0.25">
      <c r="A12" s="11"/>
      <c r="B12" s="29" t="s">
        <v>139</v>
      </c>
      <c r="C12" s="11"/>
      <c r="D12" s="4" t="e">
        <f ca="1">SUM(_xll.OneStop.ReportPlayer.OSRFunctions.OSRRef(D13))</f>
        <v>#NAME?</v>
      </c>
      <c r="E12" s="4"/>
      <c r="F12" s="13"/>
      <c r="G12" s="4"/>
      <c r="H12" s="4" t="e">
        <f ca="1">SUM(_xll.OneStop.ReportPlayer.OSRFunctions.OSRRef(H13))</f>
        <v>#NAME?</v>
      </c>
      <c r="I12" s="4"/>
      <c r="J12" s="13"/>
      <c r="K12" s="4"/>
      <c r="L12" s="4" t="e">
        <f t="shared" ref="L12:L13" ca="1" si="0">+D12-H12</f>
        <v>#NAME?</v>
      </c>
      <c r="M12" s="4"/>
      <c r="N12" s="13" t="e">
        <f t="shared" ref="N12:N13" ca="1" si="1">IF(H12=0,0,L12/H12)</f>
        <v>#NAME?</v>
      </c>
      <c r="O12" s="11"/>
      <c r="P12" s="4" t="e">
        <f ca="1">SUM(_xll.OneStop.ReportPlayer.OSRFunctions.OSRRef(P13))</f>
        <v>#NAME?</v>
      </c>
      <c r="Q12" s="4"/>
      <c r="R12" s="13"/>
      <c r="S12" s="4"/>
      <c r="T12" s="4" t="e">
        <f ca="1">SUM(_xll.OneStop.ReportPlayer.OSRFunctions.OSRRef(T13))</f>
        <v>#NAME?</v>
      </c>
      <c r="U12" s="4"/>
      <c r="V12" s="13"/>
      <c r="W12" s="4"/>
      <c r="X12" s="4" t="e">
        <f t="shared" ref="X12:X13" ca="1" si="2">+P12-T12</f>
        <v>#NAME?</v>
      </c>
      <c r="Y12" s="4"/>
      <c r="Z12" s="13" t="e">
        <f t="shared" ref="Z12:Z13" ca="1" si="3">IF(T12=0,0,X12/T12)</f>
        <v>#NAME?</v>
      </c>
    </row>
    <row r="13" spans="1:26" s="23" customFormat="1" hidden="1" outlineLevel="1" x14ac:dyDescent="0.25">
      <c r="A13" s="44"/>
      <c r="B13" s="10" t="e">
        <f ca="1">CONCATENATE("          ", _xll.OneStop.ReportPlayer.OSRFunctions.OSRGet("d_Account","Code"), " - ", _xll.OneStop.ReportPlayer.OSRFunctions.OSRGet("d_Account","Description"))</f>
        <v>#NAME?</v>
      </c>
      <c r="C13" s="10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0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1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4" customFormat="1" collapsed="1" x14ac:dyDescent="0.25">
      <c r="A15" s="11"/>
      <c r="B15" s="29" t="s">
        <v>256</v>
      </c>
      <c r="C15" s="11"/>
      <c r="D15" s="4" t="e">
        <f ca="1">SUM(_xll.OneStop.ReportPlayer.OSRFunctions.OSRRef(D16))</f>
        <v>#NAME?</v>
      </c>
      <c r="E15" s="4"/>
      <c r="F15" s="13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3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3" t="e">
        <f t="shared" ref="N15:N16" ca="1" si="7">IF(H15=0,0,L15/H15)</f>
        <v>#NAME?</v>
      </c>
      <c r="O15" s="11"/>
      <c r="P15" s="4" t="e">
        <f ca="1">SUM(_xll.OneStop.ReportPlayer.OSRFunctions.OSRRef(P16))</f>
        <v>#NAME?</v>
      </c>
      <c r="Q15" s="4"/>
      <c r="R15" s="13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3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3" t="e">
        <f t="shared" ref="Z15:Z16" ca="1" si="11">IF(T15=0,0,X15/T15)</f>
        <v>#NAME?</v>
      </c>
    </row>
    <row r="16" spans="1:26" s="23" customFormat="1" hidden="1" outlineLevel="1" x14ac:dyDescent="0.25">
      <c r="A16" s="44"/>
      <c r="B16" s="10" t="e">
        <f ca="1">CONCATENATE("          ", _xll.OneStop.ReportPlayer.OSRFunctions.OSRGet("d_Account","Code"), " - ", _xll.OneStop.ReportPlayer.OSRFunctions.OSRGet("d_Account","Description"))</f>
        <v>#NAME?</v>
      </c>
      <c r="C16" s="10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0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1"/>
      <c r="C17" s="11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1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4" customFormat="1" x14ac:dyDescent="0.25">
      <c r="A18" s="11"/>
      <c r="B18" s="28" t="s">
        <v>107</v>
      </c>
      <c r="C18" s="28"/>
      <c r="D18" s="21" t="e">
        <f ca="1">D12-D15</f>
        <v>#NAME?</v>
      </c>
      <c r="E18" s="14"/>
      <c r="F18" s="22" t="e">
        <f ca="1">IF(D$12=0,0,D18/D$12)</f>
        <v>#NAME?</v>
      </c>
      <c r="G18" s="14"/>
      <c r="H18" s="21" t="e">
        <f ca="1">H12-H15</f>
        <v>#NAME?</v>
      </c>
      <c r="I18" s="14"/>
      <c r="J18" s="22" t="e">
        <f ca="1">IF(H$12=0,0,H18/H$12)</f>
        <v>#NAME?</v>
      </c>
      <c r="K18" s="15"/>
      <c r="L18" s="21" t="e">
        <f ca="1">+D18-H18</f>
        <v>#NAME?</v>
      </c>
      <c r="M18" s="15"/>
      <c r="N18" s="22" t="e">
        <f ca="1">IF(H18=0,0,L18/H18)</f>
        <v>#NAME?</v>
      </c>
      <c r="O18" s="29"/>
      <c r="P18" s="21" t="e">
        <f ca="1">P12-P15</f>
        <v>#NAME?</v>
      </c>
      <c r="Q18" s="14"/>
      <c r="R18" s="22" t="e">
        <f ca="1">IF(P$12=0,0,P18/P$12)</f>
        <v>#NAME?</v>
      </c>
      <c r="S18" s="14"/>
      <c r="T18" s="21" t="e">
        <f ca="1">T12-T15</f>
        <v>#NAME?</v>
      </c>
      <c r="U18" s="14"/>
      <c r="V18" s="22" t="e">
        <f ca="1">IF(T$12=0,0,T18/T$12)</f>
        <v>#NAME?</v>
      </c>
      <c r="W18" s="15"/>
      <c r="X18" s="21" t="e">
        <f ca="1">+P18-T18</f>
        <v>#NAME?</v>
      </c>
      <c r="Y18" s="15"/>
      <c r="Z18" s="22" t="e">
        <f ca="1">IF(T18=0,0,X18/T18)</f>
        <v>#NAME?</v>
      </c>
    </row>
    <row r="19" spans="1:26" x14ac:dyDescent="0.25">
      <c r="A19" s="9"/>
      <c r="B19" s="11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4" customFormat="1" x14ac:dyDescent="0.25">
      <c r="A20" s="11"/>
      <c r="B20" s="29" t="s">
        <v>294</v>
      </c>
      <c r="C20" s="11"/>
      <c r="D20" s="20" t="e">
        <f ca="1">SUM(_xll.OneStop.ReportPlayer.OSRFunctions.OSRRef(D22))</f>
        <v>#NAME?</v>
      </c>
      <c r="E20" s="20"/>
      <c r="F20" s="32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2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2" t="e">
        <f t="shared" ref="N20:N22" ca="1" si="15">IF(H20=0,0,L20/H20)</f>
        <v>#NAME?</v>
      </c>
      <c r="O20" s="11"/>
      <c r="P20" s="20" t="e">
        <f ca="1">SUM(_xll.OneStop.ReportPlayer.OSRFunctions.OSRRef(P22))</f>
        <v>#NAME?</v>
      </c>
      <c r="Q20" s="20"/>
      <c r="R20" s="32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2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2" t="e">
        <f t="shared" ref="Z20:Z22" ca="1" si="19">IF(T20=0,0,X20/T20)</f>
        <v>#NAME?</v>
      </c>
    </row>
    <row r="21" spans="1:26" s="27" customFormat="1" outlineLevel="1" collapsed="1" x14ac:dyDescent="0.25">
      <c r="A21" s="26"/>
      <c r="B21" s="12" t="e">
        <f ca="1">CONCATENATE("     ",_xll.OneStop.ReportPlayer.OSRFunctions.OSRGet("d_Account","AccountCategory"))</f>
        <v>#NAME?</v>
      </c>
      <c r="C21" s="12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2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3" customFormat="1" hidden="1" outlineLevel="2" x14ac:dyDescent="0.25">
      <c r="A22" s="25"/>
      <c r="B22" s="10" t="e">
        <f ca="1">CONCATENATE("          ", _xll.OneStop.ReportPlayer.OSRFunctions.OSRGet("d_Account","Code"), " - ", _xll.OneStop.ReportPlayer.OSRFunctions.OSRGet("d_Account","Description"))</f>
        <v>#NAME?</v>
      </c>
      <c r="C22" s="10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0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2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4" customFormat="1" collapsed="1" x14ac:dyDescent="0.25">
      <c r="A24" s="11"/>
      <c r="B24" s="29" t="s">
        <v>292</v>
      </c>
      <c r="C24" s="11"/>
      <c r="D24" s="4" t="e">
        <f ca="1">SUM(_xll.OneStop.ReportPlayer.OSRFunctions.OSRRef(D25))</f>
        <v>#NAME?</v>
      </c>
      <c r="E24" s="4"/>
      <c r="F24" s="13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3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3" t="e">
        <f t="shared" ref="N24:N25" ca="1" si="23">IF(H24=0,0,L24/H24)</f>
        <v>#NAME?</v>
      </c>
      <c r="O24" s="11"/>
      <c r="P24" s="4" t="e">
        <f ca="1">SUM(_xll.OneStop.ReportPlayer.OSRFunctions.OSRRef(P25))</f>
        <v>#NAME?</v>
      </c>
      <c r="Q24" s="4"/>
      <c r="R24" s="13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3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3" t="e">
        <f t="shared" ref="Z24:Z25" ca="1" si="27">IF(T24=0,0,X24/T24)</f>
        <v>#NAME?</v>
      </c>
    </row>
    <row r="25" spans="1:26" s="23" customFormat="1" hidden="1" outlineLevel="1" x14ac:dyDescent="0.25">
      <c r="A25" s="44"/>
      <c r="B25" s="10" t="e">
        <f ca="1">CONCATENATE("          ", _xll.OneStop.ReportPlayer.OSRFunctions.OSRGet("d_Account","Code"), " - ", _xll.OneStop.ReportPlayer.OSRFunctions.OSRGet("d_Account","Description"))</f>
        <v>#NAME?</v>
      </c>
      <c r="C25" s="10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0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1"/>
      <c r="C26" s="11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1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4" customFormat="1" x14ac:dyDescent="0.25">
      <c r="A27" s="11"/>
      <c r="B27" s="28" t="s">
        <v>276</v>
      </c>
      <c r="C27" s="28"/>
      <c r="D27" s="21" t="e">
        <f ca="1">+D18-D20+D24</f>
        <v>#NAME?</v>
      </c>
      <c r="E27" s="14"/>
      <c r="F27" s="22" t="e">
        <f ca="1">IF(D$12=0,0,D27/D$12)</f>
        <v>#NAME?</v>
      </c>
      <c r="G27" s="14"/>
      <c r="H27" s="21" t="e">
        <f ca="1">+H18-H20+H24</f>
        <v>#NAME?</v>
      </c>
      <c r="I27" s="14"/>
      <c r="J27" s="22" t="e">
        <f ca="1">IF(H$12=0,0,H27/H$12)</f>
        <v>#NAME?</v>
      </c>
      <c r="K27" s="15"/>
      <c r="L27" s="21" t="e">
        <f ca="1">+D27-H27</f>
        <v>#NAME?</v>
      </c>
      <c r="M27" s="15"/>
      <c r="N27" s="22" t="e">
        <f ca="1">IF(H27=0,0,L27/H27)</f>
        <v>#NAME?</v>
      </c>
      <c r="O27" s="29"/>
      <c r="P27" s="21" t="e">
        <f ca="1">+P18-P20+P24</f>
        <v>#NAME?</v>
      </c>
      <c r="Q27" s="14"/>
      <c r="R27" s="22" t="e">
        <f ca="1">IF(P$12=0,0,P27/P$12)</f>
        <v>#NAME?</v>
      </c>
      <c r="S27" s="14"/>
      <c r="T27" s="21" t="e">
        <f ca="1">+T18-T20+T24</f>
        <v>#NAME?</v>
      </c>
      <c r="U27" s="14"/>
      <c r="V27" s="22" t="e">
        <f ca="1">IF(T$12=0,0,T27/T$12)</f>
        <v>#NAME?</v>
      </c>
      <c r="W27" s="15"/>
      <c r="X27" s="21" t="e">
        <f ca="1">+P27-T27</f>
        <v>#NAME?</v>
      </c>
      <c r="Y27" s="15"/>
      <c r="Z27" s="22" t="e">
        <f ca="1">IF(T27=0,0,X27/T27)</f>
        <v>#NAME?</v>
      </c>
    </row>
    <row r="28" spans="1:26" x14ac:dyDescent="0.25">
      <c r="A28" s="9"/>
      <c r="B28" s="11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4" customFormat="1" x14ac:dyDescent="0.25">
      <c r="A29" s="51"/>
      <c r="B29" s="11" t="s">
        <v>127</v>
      </c>
      <c r="C29" s="11"/>
      <c r="D29" s="4" t="e">
        <f ca="1">_xll.OneStop.ReportPlayer.OSRFunctions.OSRGet("GL_F_Trans","Value1")</f>
        <v>#NAME?</v>
      </c>
      <c r="E29" s="4"/>
      <c r="F29" s="13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3" t="e">
        <f ca="1">IF(H$12=0,0,H29/H$12)</f>
        <v>#NAME?</v>
      </c>
      <c r="K29" s="4"/>
      <c r="L29" s="4" t="e">
        <f ca="1">+D29-H29</f>
        <v>#NAME?</v>
      </c>
      <c r="M29" s="4"/>
      <c r="N29" s="13" t="e">
        <f ca="1">IF(H29=0,0,L29/H29)</f>
        <v>#NAME?</v>
      </c>
      <c r="O29" s="11"/>
      <c r="P29" s="4" t="e">
        <f ca="1">_xll.OneStop.ReportPlayer.OSRFunctions.OSRGet("GL_F_Trans","Value1")</f>
        <v>#NAME?</v>
      </c>
      <c r="Q29" s="4"/>
      <c r="R29" s="13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3" t="e">
        <f ca="1">IF(T$12=0,0,T29/T$12)</f>
        <v>#NAME?</v>
      </c>
      <c r="W29" s="4"/>
      <c r="X29" s="4" t="e">
        <f ca="1">+P29-T29</f>
        <v>#NAME?</v>
      </c>
      <c r="Y29" s="4"/>
      <c r="Z29" s="13" t="e">
        <f ca="1">IF(T29=0,0,X29/T29)</f>
        <v>#NAME?</v>
      </c>
    </row>
    <row r="30" spans="1:26" x14ac:dyDescent="0.25">
      <c r="A30" s="9"/>
      <c r="B30" s="11"/>
      <c r="C30" s="11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1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4" customFormat="1" ht="15.75" thickBot="1" x14ac:dyDescent="0.3">
      <c r="A31" s="11"/>
      <c r="B31" s="28" t="s">
        <v>125</v>
      </c>
      <c r="C31" s="28"/>
      <c r="D31" s="34" t="e">
        <f ca="1">+D27-D29</f>
        <v>#NAME?</v>
      </c>
      <c r="E31" s="14"/>
      <c r="F31" s="31" t="e">
        <f ca="1">IF(D$12=0,0,D31/D$12)</f>
        <v>#NAME?</v>
      </c>
      <c r="G31" s="14"/>
      <c r="H31" s="34" t="e">
        <f ca="1">+H27-H29</f>
        <v>#NAME?</v>
      </c>
      <c r="I31" s="14"/>
      <c r="J31" s="31" t="e">
        <f ca="1">IF(H$12=0,0,H31/H$12)</f>
        <v>#NAME?</v>
      </c>
      <c r="K31" s="15"/>
      <c r="L31" s="34" t="e">
        <f ca="1">D31-H31</f>
        <v>#NAME?</v>
      </c>
      <c r="M31" s="15"/>
      <c r="N31" s="31" t="e">
        <f ca="1">IF(H31=0,0,L31/H31)</f>
        <v>#NAME?</v>
      </c>
      <c r="O31" s="29"/>
      <c r="P31" s="34" t="e">
        <f ca="1">+P27-P29</f>
        <v>#NAME?</v>
      </c>
      <c r="Q31" s="14"/>
      <c r="R31" s="31" t="e">
        <f ca="1">IF(P$12=0,0,P31/P$12)</f>
        <v>#NAME?</v>
      </c>
      <c r="S31" s="14"/>
      <c r="T31" s="34" t="e">
        <f ca="1">+T27-T29</f>
        <v>#NAME?</v>
      </c>
      <c r="U31" s="14"/>
      <c r="V31" s="31" t="e">
        <f ca="1">IF(T$12=0,0,T31/T$12)</f>
        <v>#NAME?</v>
      </c>
      <c r="W31" s="15"/>
      <c r="X31" s="34" t="e">
        <f ca="1">P31-T31</f>
        <v>#NAME?</v>
      </c>
      <c r="Y31" s="15"/>
      <c r="Z31" s="31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4" customFormat="1" x14ac:dyDescent="0.25">
      <c r="A33" s="51"/>
      <c r="B33" s="11" t="s">
        <v>183</v>
      </c>
      <c r="C33" s="11"/>
      <c r="D33" s="4" t="e">
        <f ca="1">-_xll.OneStop.ReportPlayer.OSRFunctions.OSRGet("GL_F_Trans","Value1")</f>
        <v>#NAME?</v>
      </c>
      <c r="E33" s="4"/>
      <c r="F33" s="13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3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3" t="e">
        <f t="shared" ref="N33:N34" ca="1" si="31">IF(H33=0,0,L33/H33)</f>
        <v>#NAME?</v>
      </c>
      <c r="O33" s="11"/>
      <c r="P33" s="4" t="e">
        <f ca="1">-_xll.OneStop.ReportPlayer.OSRFunctions.OSRGet("GL_F_Trans","Value1")</f>
        <v>#NAME?</v>
      </c>
      <c r="Q33" s="4"/>
      <c r="R33" s="13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3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3" t="e">
        <f t="shared" ref="Z33:Z34" ca="1" si="35">IF(T33=0,0,X33/T33)</f>
        <v>#NAME?</v>
      </c>
    </row>
    <row r="34" spans="1:26" s="24" customFormat="1" x14ac:dyDescent="0.25">
      <c r="A34" s="51"/>
      <c r="B34" s="11" t="s">
        <v>81</v>
      </c>
      <c r="C34" s="11"/>
      <c r="D34" s="4" t="e">
        <f ca="1">-_xll.OneStop.ReportPlayer.OSRFunctions.OSRGet("GL_F_Trans","Value1")</f>
        <v>#NAME?</v>
      </c>
      <c r="E34" s="4"/>
      <c r="F34" s="13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3" t="e">
        <f t="shared" ca="1" si="29"/>
        <v>#NAME?</v>
      </c>
      <c r="K34" s="4"/>
      <c r="L34" s="4" t="e">
        <f t="shared" ca="1" si="30"/>
        <v>#NAME?</v>
      </c>
      <c r="M34" s="4"/>
      <c r="N34" s="13" t="e">
        <f t="shared" ca="1" si="31"/>
        <v>#NAME?</v>
      </c>
      <c r="O34" s="11"/>
      <c r="P34" s="4" t="e">
        <f ca="1">-_xll.OneStop.ReportPlayer.OSRFunctions.OSRGet("GL_F_Trans","Value1")</f>
        <v>#NAME?</v>
      </c>
      <c r="Q34" s="4"/>
      <c r="R34" s="13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3" t="e">
        <f t="shared" ca="1" si="33"/>
        <v>#NAME?</v>
      </c>
      <c r="W34" s="4"/>
      <c r="X34" s="4" t="e">
        <f t="shared" ca="1" si="34"/>
        <v>#NAME?</v>
      </c>
      <c r="Y34" s="4"/>
      <c r="Z34" s="13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4" customFormat="1" ht="15.75" thickBot="1" x14ac:dyDescent="0.3">
      <c r="A36" s="11"/>
      <c r="B36" s="28" t="s">
        <v>293</v>
      </c>
      <c r="C36" s="28"/>
      <c r="D36" s="33" t="e">
        <f ca="1">SUM(D31:D35)</f>
        <v>#NAME?</v>
      </c>
      <c r="E36" s="14"/>
      <c r="F36" s="35" t="e">
        <f ca="1">IF(D$12=0,0,D36/D$12)</f>
        <v>#NAME?</v>
      </c>
      <c r="G36" s="14"/>
      <c r="H36" s="33" t="e">
        <f ca="1">SUM(H31:H35)</f>
        <v>#NAME?</v>
      </c>
      <c r="I36" s="14"/>
      <c r="J36" s="35" t="e">
        <f ca="1">IF(H$12=0,0,H36/H$12)</f>
        <v>#NAME?</v>
      </c>
      <c r="K36" s="15"/>
      <c r="L36" s="33" t="e">
        <f ca="1">+D36-H36</f>
        <v>#NAME?</v>
      </c>
      <c r="M36" s="15"/>
      <c r="N36" s="35" t="e">
        <f ca="1">IF(H36=0,0,L36/H36)</f>
        <v>#NAME?</v>
      </c>
      <c r="O36" s="29"/>
      <c r="P36" s="33" t="e">
        <f ca="1">SUM(P31:P35)</f>
        <v>#NAME?</v>
      </c>
      <c r="Q36" s="14"/>
      <c r="R36" s="35" t="e">
        <f ca="1">IF(P$12=0,0,P36/P$12)</f>
        <v>#NAME?</v>
      </c>
      <c r="S36" s="14"/>
      <c r="T36" s="33" t="e">
        <f ca="1">SUM(T31:T35)</f>
        <v>#NAME?</v>
      </c>
      <c r="U36" s="14"/>
      <c r="V36" s="35" t="e">
        <f ca="1">IF(T$12=0,0,T36/T$12)</f>
        <v>#NAME?</v>
      </c>
      <c r="W36" s="15"/>
      <c r="X36" s="33" t="e">
        <f ca="1">+P36-T36</f>
        <v>#NAME?</v>
      </c>
      <c r="Y36" s="15"/>
      <c r="Z36" s="35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56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55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60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B0F0"/>
    <outlinePr summaryBelow="0" summaryRight="0"/>
  </sheetPr>
  <dimension ref="A2:Z373"/>
  <sheetViews>
    <sheetView tabSelected="1" zoomScale="80" workbookViewId="0">
      <pane xSplit="3" ySplit="10" topLeftCell="D247" activePane="bottomRight" state="frozen"/>
      <selection pane="topRight" activeCell="D1" sqref="D1"/>
      <selection pane="bottomLeft" activeCell="A11" sqref="A11"/>
      <selection pane="bottomRight" activeCell="D368" sqref="D368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62" t="s">
        <v>23</v>
      </c>
    </row>
    <row r="3" spans="1:26" x14ac:dyDescent="0.25">
      <c r="D3" s="62" t="s">
        <v>236</v>
      </c>
      <c r="E3" s="17"/>
      <c r="F3" s="46"/>
      <c r="G3" s="17"/>
      <c r="H3" s="17"/>
      <c r="I3" s="17"/>
      <c r="J3" s="38"/>
      <c r="K3" s="17"/>
      <c r="L3" s="17"/>
      <c r="M3" s="17"/>
      <c r="N3" s="46"/>
      <c r="O3" s="53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2" t="str">
        <f>CONCATENATE("Period ",RIGHT(202112,2),", ",2021)</f>
        <v>Period 12, 2021</v>
      </c>
      <c r="E4" s="17"/>
      <c r="F4" s="46"/>
      <c r="G4" s="17"/>
      <c r="H4" s="17"/>
      <c r="I4" s="17"/>
      <c r="J4" s="38"/>
      <c r="K4" s="17"/>
      <c r="L4" s="17"/>
      <c r="M4" s="17"/>
      <c r="N4" s="46"/>
      <c r="O4" s="53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4"/>
      <c r="D5" s="63">
        <v>44377</v>
      </c>
      <c r="E5" s="17"/>
      <c r="F5" s="46"/>
      <c r="G5" s="17"/>
      <c r="H5" s="17"/>
      <c r="I5" s="17"/>
      <c r="J5" s="38"/>
      <c r="K5" s="17"/>
      <c r="L5" s="17"/>
      <c r="M5" s="17"/>
      <c r="N5" s="46"/>
      <c r="O5" s="53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4"/>
      <c r="B6" s="48"/>
      <c r="C6" s="48"/>
      <c r="D6" s="24" t="s">
        <v>312</v>
      </c>
      <c r="E6" s="17"/>
      <c r="F6" s="46"/>
      <c r="G6" s="17"/>
      <c r="H6" s="17"/>
      <c r="I6" s="17"/>
      <c r="J6" s="38"/>
      <c r="K6" s="17"/>
      <c r="L6" s="17"/>
      <c r="M6" s="17"/>
      <c r="N6" s="46"/>
      <c r="O6" s="54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9"/>
    </row>
    <row r="8" spans="1:26" x14ac:dyDescent="0.25">
      <c r="B8" s="59"/>
    </row>
    <row r="9" spans="1:26" x14ac:dyDescent="0.25">
      <c r="B9" s="9"/>
      <c r="C9" s="9"/>
      <c r="D9" s="16" t="s">
        <v>291</v>
      </c>
      <c r="E9" s="16"/>
      <c r="F9" s="39"/>
      <c r="G9" s="16"/>
      <c r="H9" s="16"/>
      <c r="I9" s="16"/>
      <c r="J9" s="49"/>
      <c r="K9" s="16"/>
      <c r="L9" s="16"/>
      <c r="M9" s="16"/>
      <c r="N9" s="39"/>
      <c r="P9" s="16" t="s">
        <v>39</v>
      </c>
      <c r="Q9" s="16"/>
      <c r="R9" s="39"/>
      <c r="S9" s="16"/>
      <c r="T9" s="16"/>
      <c r="U9" s="16"/>
      <c r="V9" s="49"/>
      <c r="W9" s="16"/>
      <c r="X9" s="16"/>
      <c r="Y9" s="16"/>
      <c r="Z9" s="39"/>
    </row>
    <row r="10" spans="1:26" x14ac:dyDescent="0.25">
      <c r="A10" s="11"/>
      <c r="B10" s="58"/>
      <c r="C10" s="11"/>
      <c r="D10" s="42" t="s">
        <v>57</v>
      </c>
      <c r="E10" s="36"/>
      <c r="F10" s="30" t="s">
        <v>40</v>
      </c>
      <c r="G10" s="36"/>
      <c r="H10" s="50" t="s">
        <v>237</v>
      </c>
      <c r="I10" s="36"/>
      <c r="J10" s="30" t="s">
        <v>40</v>
      </c>
      <c r="K10" s="11"/>
      <c r="L10" s="42" t="s">
        <v>126</v>
      </c>
      <c r="M10" s="11"/>
      <c r="N10" s="30" t="s">
        <v>257</v>
      </c>
      <c r="O10" s="11"/>
      <c r="P10" s="61" t="s">
        <v>57</v>
      </c>
      <c r="Q10" s="36"/>
      <c r="R10" s="30" t="s">
        <v>40</v>
      </c>
      <c r="S10" s="36"/>
      <c r="T10" s="50" t="s">
        <v>237</v>
      </c>
      <c r="U10" s="36"/>
      <c r="V10" s="30" t="s">
        <v>40</v>
      </c>
      <c r="W10" s="11"/>
      <c r="X10" s="42" t="s">
        <v>126</v>
      </c>
      <c r="Y10" s="11"/>
      <c r="Z10" s="30" t="s">
        <v>257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4" customFormat="1" collapsed="1" x14ac:dyDescent="0.25">
      <c r="A12" s="11"/>
      <c r="B12" s="29" t="s">
        <v>139</v>
      </c>
      <c r="C12" s="11"/>
      <c r="D12" s="4">
        <f>SUM(OSRRefD13x_0)</f>
        <v>451001.14999999997</v>
      </c>
      <c r="E12" s="4"/>
      <c r="F12" s="13"/>
      <c r="G12" s="4"/>
      <c r="H12" s="4">
        <f>SUM(OSRRefH13x_0)</f>
        <v>587572.03999999969</v>
      </c>
      <c r="I12" s="4"/>
      <c r="J12" s="13"/>
      <c r="K12" s="4"/>
      <c r="L12" s="4">
        <f t="shared" ref="L12:L141" si="0">+D12-H12</f>
        <v>-136570.88999999972</v>
      </c>
      <c r="M12" s="4"/>
      <c r="N12" s="13">
        <f t="shared" ref="N12:N141" si="1">IF(H12=0,0,L12/H12)</f>
        <v>-0.23243258818101656</v>
      </c>
      <c r="O12" s="11"/>
      <c r="P12" s="4">
        <f>SUM(OSRRefP13x_0)</f>
        <v>10263289.989999998</v>
      </c>
      <c r="Q12" s="4"/>
      <c r="R12" s="13"/>
      <c r="S12" s="4"/>
      <c r="T12" s="4">
        <f>SUM(OSRRefT13x_0)</f>
        <v>28636242.639999982</v>
      </c>
      <c r="U12" s="4"/>
      <c r="V12" s="13"/>
      <c r="W12" s="4"/>
      <c r="X12" s="4">
        <f t="shared" ref="X12:X141" si="2">+P12-T12</f>
        <v>-18372952.649999984</v>
      </c>
      <c r="Y12" s="4"/>
      <c r="Z12" s="13">
        <f t="shared" ref="Z12:Z141" si="3">IF(T12=0,0,X12/T12)</f>
        <v>-0.64159788282894625</v>
      </c>
    </row>
    <row r="13" spans="1:26" s="23" customFormat="1" hidden="1" outlineLevel="1" x14ac:dyDescent="0.25">
      <c r="A13" s="44"/>
      <c r="B13" s="10" t="str">
        <f>CONCATENATE("          ", "4000", " - ", "TAXABLE SALES")</f>
        <v xml:space="preserve">          4000 - TAXABLE SALES</v>
      </c>
      <c r="C13" s="10"/>
      <c r="D13" s="2">
        <f>-6674.19</f>
        <v>-6674.19</v>
      </c>
      <c r="E13" s="2"/>
      <c r="F13" s="19"/>
      <c r="G13" s="2"/>
      <c r="H13" s="2">
        <f>0</f>
        <v>0</v>
      </c>
      <c r="I13" s="2"/>
      <c r="J13" s="19"/>
      <c r="K13" s="2"/>
      <c r="L13" s="2">
        <f t="shared" si="0"/>
        <v>-6674.19</v>
      </c>
      <c r="M13" s="2"/>
      <c r="N13" s="19">
        <f t="shared" si="1"/>
        <v>0</v>
      </c>
      <c r="O13" s="10"/>
      <c r="P13" s="2">
        <f>-154087.13</f>
        <v>-154087.13</v>
      </c>
      <c r="Q13" s="2"/>
      <c r="R13" s="19"/>
      <c r="S13" s="2"/>
      <c r="T13" s="2">
        <f>0</f>
        <v>0</v>
      </c>
      <c r="U13" s="2"/>
      <c r="V13" s="19"/>
      <c r="W13" s="2"/>
      <c r="X13" s="2">
        <f t="shared" si="2"/>
        <v>-154087.13</v>
      </c>
      <c r="Y13" s="2"/>
      <c r="Z13" s="19">
        <f t="shared" si="3"/>
        <v>0</v>
      </c>
    </row>
    <row r="14" spans="1:26" s="23" customFormat="1" hidden="1" outlineLevel="1" x14ac:dyDescent="0.25">
      <c r="A14" s="44"/>
      <c r="B14" s="10" t="str">
        <f>CONCATENATE("          ", "4001", " - ", "TAXABLE SALES-NEW TEXT")</f>
        <v xml:space="preserve">          4001 - TAXABLE SALES-NEW TEXT</v>
      </c>
      <c r="C14" s="10"/>
      <c r="D14" s="2">
        <f>--9691.34</f>
        <v>9691.34</v>
      </c>
      <c r="E14" s="2"/>
      <c r="F14" s="19"/>
      <c r="G14" s="2"/>
      <c r="H14" s="2">
        <f>--15904.07</f>
        <v>15904.07</v>
      </c>
      <c r="I14" s="2"/>
      <c r="J14" s="19"/>
      <c r="K14" s="2"/>
      <c r="L14" s="2">
        <f t="shared" si="0"/>
        <v>-6212.73</v>
      </c>
      <c r="M14" s="2"/>
      <c r="N14" s="19">
        <f t="shared" si="1"/>
        <v>-0.39063774241436311</v>
      </c>
      <c r="O14" s="10"/>
      <c r="P14" s="2">
        <f>--1308779.9</f>
        <v>1308779.8999999999</v>
      </c>
      <c r="Q14" s="2"/>
      <c r="R14" s="19"/>
      <c r="S14" s="2"/>
      <c r="T14" s="2">
        <f>--2451163.71</f>
        <v>2451163.71</v>
      </c>
      <c r="U14" s="2"/>
      <c r="V14" s="19"/>
      <c r="W14" s="2"/>
      <c r="X14" s="2">
        <f t="shared" si="2"/>
        <v>-1142383.81</v>
      </c>
      <c r="Y14" s="2"/>
      <c r="Z14" s="19">
        <f t="shared" si="3"/>
        <v>-0.46605773630680919</v>
      </c>
    </row>
    <row r="15" spans="1:26" s="23" customFormat="1" hidden="1" outlineLevel="1" x14ac:dyDescent="0.25">
      <c r="A15" s="44"/>
      <c r="B15" s="10" t="str">
        <f>CONCATENATE("          ", "4002", " - ", "TAXABLE SALES-USED TEXT")</f>
        <v xml:space="preserve">          4002 - TAXABLE SALES-USED TEXT</v>
      </c>
      <c r="C15" s="10"/>
      <c r="D15" s="2">
        <f>--6642.8</f>
        <v>6642.8</v>
      </c>
      <c r="E15" s="2"/>
      <c r="F15" s="19"/>
      <c r="G15" s="2"/>
      <c r="H15" s="2">
        <f>--15376.45</f>
        <v>15376.45</v>
      </c>
      <c r="I15" s="2"/>
      <c r="J15" s="19"/>
      <c r="K15" s="2"/>
      <c r="L15" s="2">
        <f t="shared" si="0"/>
        <v>-8733.6500000000015</v>
      </c>
      <c r="M15" s="2"/>
      <c r="N15" s="19">
        <f t="shared" si="1"/>
        <v>-0.56798871000783668</v>
      </c>
      <c r="O15" s="10"/>
      <c r="P15" s="2">
        <f>--596913.27</f>
        <v>596913.27</v>
      </c>
      <c r="Q15" s="2"/>
      <c r="R15" s="19"/>
      <c r="S15" s="2"/>
      <c r="T15" s="2">
        <f>--1271803.19</f>
        <v>1271803.19</v>
      </c>
      <c r="U15" s="2"/>
      <c r="V15" s="19"/>
      <c r="W15" s="2"/>
      <c r="X15" s="2">
        <f t="shared" si="2"/>
        <v>-674889.91999999993</v>
      </c>
      <c r="Y15" s="2"/>
      <c r="Z15" s="19">
        <f t="shared" si="3"/>
        <v>-0.53065594213519773</v>
      </c>
    </row>
    <row r="16" spans="1:26" s="23" customFormat="1" hidden="1" outlineLevel="1" x14ac:dyDescent="0.25">
      <c r="A16" s="44"/>
      <c r="B16" s="10" t="str">
        <f>CONCATENATE("          ", "4003", " - ", "TAXABLE SALES-RENTAL TEXT")</f>
        <v xml:space="preserve">          4003 - TAXABLE SALES-RENTAL TEXT</v>
      </c>
      <c r="C16" s="10"/>
      <c r="D16" s="2">
        <f>--1103.98</f>
        <v>1103.98</v>
      </c>
      <c r="E16" s="2"/>
      <c r="F16" s="19"/>
      <c r="G16" s="2"/>
      <c r="H16" s="2">
        <f>--895</f>
        <v>895</v>
      </c>
      <c r="I16" s="2"/>
      <c r="J16" s="19"/>
      <c r="K16" s="2"/>
      <c r="L16" s="2">
        <f t="shared" si="0"/>
        <v>208.98000000000002</v>
      </c>
      <c r="M16" s="2"/>
      <c r="N16" s="19">
        <f t="shared" si="1"/>
        <v>0.23349720670391064</v>
      </c>
      <c r="O16" s="10"/>
      <c r="P16" s="2">
        <f>--19596.82</f>
        <v>19596.82</v>
      </c>
      <c r="Q16" s="2"/>
      <c r="R16" s="19"/>
      <c r="S16" s="2"/>
      <c r="T16" s="2">
        <f>--34659.88</f>
        <v>34659.879999999997</v>
      </c>
      <c r="U16" s="2"/>
      <c r="V16" s="19"/>
      <c r="W16" s="2"/>
      <c r="X16" s="2">
        <f t="shared" si="2"/>
        <v>-15063.059999999998</v>
      </c>
      <c r="Y16" s="2"/>
      <c r="Z16" s="19">
        <f t="shared" si="3"/>
        <v>-0.43459642676200838</v>
      </c>
    </row>
    <row r="17" spans="1:26" s="23" customFormat="1" hidden="1" outlineLevel="1" x14ac:dyDescent="0.25">
      <c r="A17" s="44"/>
      <c r="B17" s="10" t="str">
        <f>CONCATENATE("          ", "4004", " - ", "TAXABLE SALES-DIGITAL TEXT")</f>
        <v xml:space="preserve">          4004 - TAXABLE SALES-DIGITAL TEXT</v>
      </c>
      <c r="C17" s="10"/>
      <c r="D17" s="2">
        <f t="shared" ref="D17:D18" si="4">0</f>
        <v>0</v>
      </c>
      <c r="E17" s="2"/>
      <c r="F17" s="19"/>
      <c r="G17" s="2"/>
      <c r="H17" s="2">
        <f t="shared" ref="H17:H18" si="5">0</f>
        <v>0</v>
      </c>
      <c r="I17" s="2"/>
      <c r="J17" s="19"/>
      <c r="K17" s="2"/>
      <c r="L17" s="2">
        <f t="shared" si="0"/>
        <v>0</v>
      </c>
      <c r="M17" s="2"/>
      <c r="N17" s="19">
        <f t="shared" si="1"/>
        <v>0</v>
      </c>
      <c r="O17" s="10"/>
      <c r="P17" s="2">
        <f>--2659.66</f>
        <v>2659.66</v>
      </c>
      <c r="Q17" s="2"/>
      <c r="R17" s="19"/>
      <c r="S17" s="2"/>
      <c r="T17" s="2">
        <f>--42195.3</f>
        <v>42195.3</v>
      </c>
      <c r="U17" s="2"/>
      <c r="V17" s="19"/>
      <c r="W17" s="2"/>
      <c r="X17" s="2">
        <f t="shared" si="2"/>
        <v>-39535.64</v>
      </c>
      <c r="Y17" s="2"/>
      <c r="Z17" s="19">
        <f t="shared" si="3"/>
        <v>-0.93696786134948673</v>
      </c>
    </row>
    <row r="18" spans="1:26" s="23" customFormat="1" hidden="1" outlineLevel="1" x14ac:dyDescent="0.25">
      <c r="A18" s="44"/>
      <c r="B18" s="10" t="str">
        <f>CONCATENATE("          ", "4011", " - ", "TAXABLE SALES-NO VALUE TEXT")</f>
        <v xml:space="preserve">          4011 - TAXABLE SALES-NO VALUE TEXT</v>
      </c>
      <c r="C18" s="10"/>
      <c r="D18" s="2">
        <f t="shared" si="4"/>
        <v>0</v>
      </c>
      <c r="E18" s="2"/>
      <c r="F18" s="19"/>
      <c r="G18" s="2"/>
      <c r="H18" s="2">
        <f t="shared" si="5"/>
        <v>0</v>
      </c>
      <c r="I18" s="2"/>
      <c r="J18" s="19"/>
      <c r="K18" s="2"/>
      <c r="L18" s="2">
        <f t="shared" si="0"/>
        <v>0</v>
      </c>
      <c r="M18" s="2"/>
      <c r="N18" s="19">
        <f t="shared" si="1"/>
        <v>0</v>
      </c>
      <c r="O18" s="10"/>
      <c r="P18" s="2">
        <f>0</f>
        <v>0</v>
      </c>
      <c r="Q18" s="2"/>
      <c r="R18" s="19"/>
      <c r="S18" s="2"/>
      <c r="T18" s="2">
        <f>--1052.48</f>
        <v>1052.48</v>
      </c>
      <c r="U18" s="2"/>
      <c r="V18" s="19"/>
      <c r="W18" s="2"/>
      <c r="X18" s="2">
        <f t="shared" si="2"/>
        <v>-1052.48</v>
      </c>
      <c r="Y18" s="2"/>
      <c r="Z18" s="19">
        <f t="shared" si="3"/>
        <v>-1</v>
      </c>
    </row>
    <row r="19" spans="1:26" s="23" customFormat="1" hidden="1" outlineLevel="1" x14ac:dyDescent="0.25">
      <c r="A19" s="44"/>
      <c r="B19" s="10" t="str">
        <f>CONCATENATE("          ", "4013", " - ", "TAXABLE SALES-TRADE BOOKS")</f>
        <v xml:space="preserve">          4013 - TAXABLE SALES-TRADE BOOKS</v>
      </c>
      <c r="C19" s="10"/>
      <c r="D19" s="2">
        <f>--92.84</f>
        <v>92.84</v>
      </c>
      <c r="E19" s="2"/>
      <c r="F19" s="19"/>
      <c r="G19" s="2"/>
      <c r="H19" s="2">
        <f>--64.99</f>
        <v>64.989999999999995</v>
      </c>
      <c r="I19" s="2"/>
      <c r="J19" s="19"/>
      <c r="K19" s="2"/>
      <c r="L19" s="2">
        <f t="shared" si="0"/>
        <v>27.850000000000009</v>
      </c>
      <c r="M19" s="2"/>
      <c r="N19" s="19">
        <f t="shared" si="1"/>
        <v>0.42852746576396383</v>
      </c>
      <c r="O19" s="10"/>
      <c r="P19" s="2">
        <f>--1418.63</f>
        <v>1418.63</v>
      </c>
      <c r="Q19" s="2"/>
      <c r="R19" s="19"/>
      <c r="S19" s="2"/>
      <c r="T19" s="2">
        <f>--2778.35</f>
        <v>2778.35</v>
      </c>
      <c r="U19" s="2"/>
      <c r="V19" s="19"/>
      <c r="W19" s="2"/>
      <c r="X19" s="2">
        <f t="shared" si="2"/>
        <v>-1359.7199999999998</v>
      </c>
      <c r="Y19" s="2"/>
      <c r="Z19" s="19">
        <f t="shared" si="3"/>
        <v>-0.48939838393290974</v>
      </c>
    </row>
    <row r="20" spans="1:26" s="23" customFormat="1" hidden="1" outlineLevel="1" x14ac:dyDescent="0.25">
      <c r="A20" s="44"/>
      <c r="B20" s="10" t="str">
        <f>CONCATENATE("          ", "4014", " - ", "TAXABLE SALES-REMAINDERS")</f>
        <v xml:space="preserve">          4014 - TAXABLE SALES-REMAINDERS</v>
      </c>
      <c r="C20" s="10"/>
      <c r="D20" s="2">
        <f>--31.84</f>
        <v>31.84</v>
      </c>
      <c r="E20" s="2"/>
      <c r="F20" s="19"/>
      <c r="G20" s="2"/>
      <c r="H20" s="2">
        <f>--13.9</f>
        <v>13.9</v>
      </c>
      <c r="I20" s="2"/>
      <c r="J20" s="19"/>
      <c r="K20" s="2"/>
      <c r="L20" s="2">
        <f t="shared" si="0"/>
        <v>17.939999999999998</v>
      </c>
      <c r="M20" s="2"/>
      <c r="N20" s="19">
        <f t="shared" si="1"/>
        <v>1.2906474820143883</v>
      </c>
      <c r="O20" s="10"/>
      <c r="P20" s="2">
        <f>--547.56</f>
        <v>547.55999999999995</v>
      </c>
      <c r="Q20" s="2"/>
      <c r="R20" s="19"/>
      <c r="S20" s="2"/>
      <c r="T20" s="2">
        <f>--1233.88</f>
        <v>1233.8800000000001</v>
      </c>
      <c r="U20" s="2"/>
      <c r="V20" s="19"/>
      <c r="W20" s="2"/>
      <c r="X20" s="2">
        <f t="shared" si="2"/>
        <v>-686.32000000000016</v>
      </c>
      <c r="Y20" s="2"/>
      <c r="Z20" s="19">
        <f t="shared" si="3"/>
        <v>-0.55622913087172177</v>
      </c>
    </row>
    <row r="21" spans="1:26" s="23" customFormat="1" hidden="1" outlineLevel="1" x14ac:dyDescent="0.25">
      <c r="A21" s="44"/>
      <c r="B21" s="10" t="str">
        <f>CONCATENATE("          ", "4017", " - ", "TAXABLE SALES-DORM/HOUSEWARES")</f>
        <v xml:space="preserve">          4017 - TAXABLE SALES-DORM/HOUSEWARES</v>
      </c>
      <c r="C21" s="10"/>
      <c r="D21" s="2">
        <f>0</f>
        <v>0</v>
      </c>
      <c r="E21" s="2"/>
      <c r="F21" s="19"/>
      <c r="G21" s="2"/>
      <c r="H21" s="2">
        <f t="shared" ref="H21:H23" si="6">0</f>
        <v>0</v>
      </c>
      <c r="I21" s="2"/>
      <c r="J21" s="19"/>
      <c r="K21" s="2"/>
      <c r="L21" s="2">
        <f t="shared" si="0"/>
        <v>0</v>
      </c>
      <c r="M21" s="2"/>
      <c r="N21" s="19">
        <f t="shared" si="1"/>
        <v>0</v>
      </c>
      <c r="O21" s="10"/>
      <c r="P21" s="2">
        <f>0</f>
        <v>0</v>
      </c>
      <c r="Q21" s="2"/>
      <c r="R21" s="19"/>
      <c r="S21" s="2"/>
      <c r="T21" s="2">
        <f>--347.52</f>
        <v>347.52</v>
      </c>
      <c r="U21" s="2"/>
      <c r="V21" s="19"/>
      <c r="W21" s="2"/>
      <c r="X21" s="2">
        <f t="shared" si="2"/>
        <v>-347.52</v>
      </c>
      <c r="Y21" s="2"/>
      <c r="Z21" s="19">
        <f t="shared" si="3"/>
        <v>-1</v>
      </c>
    </row>
    <row r="22" spans="1:26" s="23" customFormat="1" hidden="1" outlineLevel="1" x14ac:dyDescent="0.25">
      <c r="A22" s="44"/>
      <c r="B22" s="10" t="str">
        <f>CONCATENATE("          ", "4018", " - ", "TAXABLE SALES-STUDY GUIDES")</f>
        <v xml:space="preserve">          4018 - TAXABLE SALES-STUDY GUIDES</v>
      </c>
      <c r="C22" s="10"/>
      <c r="D22" s="2">
        <f>--114.01</f>
        <v>114.01</v>
      </c>
      <c r="E22" s="2"/>
      <c r="F22" s="19"/>
      <c r="G22" s="2"/>
      <c r="H22" s="2">
        <f t="shared" si="6"/>
        <v>0</v>
      </c>
      <c r="I22" s="2"/>
      <c r="J22" s="19"/>
      <c r="K22" s="2"/>
      <c r="L22" s="2">
        <f t="shared" si="0"/>
        <v>114.01</v>
      </c>
      <c r="M22" s="2"/>
      <c r="N22" s="19">
        <f t="shared" si="1"/>
        <v>0</v>
      </c>
      <c r="O22" s="10"/>
      <c r="P22" s="2">
        <f>--622.49</f>
        <v>622.49</v>
      </c>
      <c r="Q22" s="2"/>
      <c r="R22" s="19"/>
      <c r="S22" s="2"/>
      <c r="T22" s="2">
        <f>--4179.3</f>
        <v>4179.3</v>
      </c>
      <c r="U22" s="2"/>
      <c r="V22" s="19"/>
      <c r="W22" s="2"/>
      <c r="X22" s="2">
        <f t="shared" si="2"/>
        <v>-3556.8100000000004</v>
      </c>
      <c r="Y22" s="2"/>
      <c r="Z22" s="19">
        <f t="shared" si="3"/>
        <v>-0.85105400425908651</v>
      </c>
    </row>
    <row r="23" spans="1:26" s="23" customFormat="1" hidden="1" outlineLevel="1" x14ac:dyDescent="0.25">
      <c r="A23" s="44"/>
      <c r="B23" s="10" t="str">
        <f>CONCATENATE("          ", "4019", " - ", "TAXABLE SALES-BOOK RELATED")</f>
        <v xml:space="preserve">          4019 - TAXABLE SALES-BOOK RELATED</v>
      </c>
      <c r="C23" s="10"/>
      <c r="D23" s="2">
        <f t="shared" ref="D23:D24" si="7">0</f>
        <v>0</v>
      </c>
      <c r="E23" s="2"/>
      <c r="F23" s="19"/>
      <c r="G23" s="2"/>
      <c r="H23" s="2">
        <f t="shared" si="6"/>
        <v>0</v>
      </c>
      <c r="I23" s="2"/>
      <c r="J23" s="19"/>
      <c r="K23" s="2"/>
      <c r="L23" s="2">
        <f t="shared" si="0"/>
        <v>0</v>
      </c>
      <c r="M23" s="2"/>
      <c r="N23" s="19">
        <f t="shared" si="1"/>
        <v>0</v>
      </c>
      <c r="O23" s="10"/>
      <c r="P23" s="2">
        <f t="shared" ref="P23:P24" si="8">0</f>
        <v>0</v>
      </c>
      <c r="Q23" s="2"/>
      <c r="R23" s="19"/>
      <c r="S23" s="2"/>
      <c r="T23" s="2">
        <f>--42.85</f>
        <v>42.85</v>
      </c>
      <c r="U23" s="2"/>
      <c r="V23" s="19"/>
      <c r="W23" s="2"/>
      <c r="X23" s="2">
        <f t="shared" si="2"/>
        <v>-42.85</v>
      </c>
      <c r="Y23" s="2"/>
      <c r="Z23" s="19">
        <f t="shared" si="3"/>
        <v>-1</v>
      </c>
    </row>
    <row r="24" spans="1:26" s="23" customFormat="1" hidden="1" outlineLevel="1" x14ac:dyDescent="0.25">
      <c r="A24" s="44"/>
      <c r="B24" s="10" t="str">
        <f>CONCATENATE("          ", "4025", " - ", "TAXABLE SALES-TEST FORMS")</f>
        <v xml:space="preserve">          4025 - TAXABLE SALES-TEST FORMS</v>
      </c>
      <c r="C24" s="10"/>
      <c r="D24" s="2">
        <f t="shared" si="7"/>
        <v>0</v>
      </c>
      <c r="E24" s="2"/>
      <c r="F24" s="19"/>
      <c r="G24" s="2"/>
      <c r="H24" s="2">
        <f>--3099.74</f>
        <v>3099.74</v>
      </c>
      <c r="I24" s="2"/>
      <c r="J24" s="19"/>
      <c r="K24" s="2"/>
      <c r="L24" s="2">
        <f t="shared" si="0"/>
        <v>-3099.74</v>
      </c>
      <c r="M24" s="2"/>
      <c r="N24" s="19">
        <f t="shared" si="1"/>
        <v>-1</v>
      </c>
      <c r="O24" s="10"/>
      <c r="P24" s="2">
        <f t="shared" si="8"/>
        <v>0</v>
      </c>
      <c r="Q24" s="2"/>
      <c r="R24" s="19"/>
      <c r="S24" s="2"/>
      <c r="T24" s="2">
        <f>--57819.85</f>
        <v>57819.85</v>
      </c>
      <c r="U24" s="2"/>
      <c r="V24" s="19"/>
      <c r="W24" s="2"/>
      <c r="X24" s="2">
        <f t="shared" si="2"/>
        <v>-57819.85</v>
      </c>
      <c r="Y24" s="2"/>
      <c r="Z24" s="19">
        <f t="shared" si="3"/>
        <v>-1</v>
      </c>
    </row>
    <row r="25" spans="1:26" s="23" customFormat="1" hidden="1" outlineLevel="1" x14ac:dyDescent="0.25">
      <c r="A25" s="44"/>
      <c r="B25" s="10" t="str">
        <f>CONCATENATE("          ", "4026", " - ", "TAXABLE SALES-WRITING INSTRUME")</f>
        <v xml:space="preserve">          4026 - TAXABLE SALES-WRITING INSTRUME</v>
      </c>
      <c r="C25" s="10"/>
      <c r="D25" s="2">
        <f>--25.1</f>
        <v>25.1</v>
      </c>
      <c r="E25" s="2"/>
      <c r="F25" s="19"/>
      <c r="G25" s="2"/>
      <c r="H25" s="2">
        <f>--2531.99</f>
        <v>2531.9899999999998</v>
      </c>
      <c r="I25" s="2"/>
      <c r="J25" s="19"/>
      <c r="K25" s="2"/>
      <c r="L25" s="2">
        <f t="shared" si="0"/>
        <v>-2506.89</v>
      </c>
      <c r="M25" s="2"/>
      <c r="N25" s="19">
        <f t="shared" si="1"/>
        <v>-0.99008684868423658</v>
      </c>
      <c r="O25" s="10"/>
      <c r="P25" s="2">
        <f>--547.64</f>
        <v>547.64</v>
      </c>
      <c r="Q25" s="2"/>
      <c r="R25" s="19"/>
      <c r="S25" s="2"/>
      <c r="T25" s="2">
        <f>--83341.48</f>
        <v>83341.48</v>
      </c>
      <c r="U25" s="2"/>
      <c r="V25" s="19"/>
      <c r="W25" s="2"/>
      <c r="X25" s="2">
        <f t="shared" si="2"/>
        <v>-82793.84</v>
      </c>
      <c r="Y25" s="2"/>
      <c r="Z25" s="19">
        <f t="shared" si="3"/>
        <v>-0.99342896238463729</v>
      </c>
    </row>
    <row r="26" spans="1:26" s="23" customFormat="1" hidden="1" outlineLevel="1" x14ac:dyDescent="0.25">
      <c r="A26" s="44"/>
      <c r="B26" s="10" t="str">
        <f>CONCATENATE("          ", "4027", " - ", "TAXABLE SALES-SCHOOL SUPPLIES")</f>
        <v xml:space="preserve">          4027 - TAXABLE SALES-SCHOOL SUPPLIES</v>
      </c>
      <c r="C26" s="10"/>
      <c r="D26" s="2">
        <f>--3459.71</f>
        <v>3459.71</v>
      </c>
      <c r="E26" s="2"/>
      <c r="F26" s="19"/>
      <c r="G26" s="2"/>
      <c r="H26" s="2">
        <f>--4073.06</f>
        <v>4073.06</v>
      </c>
      <c r="I26" s="2"/>
      <c r="J26" s="19"/>
      <c r="K26" s="2"/>
      <c r="L26" s="2">
        <f t="shared" si="0"/>
        <v>-613.34999999999991</v>
      </c>
      <c r="M26" s="2"/>
      <c r="N26" s="19">
        <f t="shared" si="1"/>
        <v>-0.15058702793477138</v>
      </c>
      <c r="O26" s="10"/>
      <c r="P26" s="2">
        <f>--73564</f>
        <v>73564</v>
      </c>
      <c r="Q26" s="2"/>
      <c r="R26" s="19"/>
      <c r="S26" s="2"/>
      <c r="T26" s="2">
        <f>--280850.13</f>
        <v>280850.13</v>
      </c>
      <c r="U26" s="2"/>
      <c r="V26" s="19"/>
      <c r="W26" s="2"/>
      <c r="X26" s="2">
        <f t="shared" si="2"/>
        <v>-207286.13</v>
      </c>
      <c r="Y26" s="2"/>
      <c r="Z26" s="19">
        <f t="shared" si="3"/>
        <v>-0.73806670482936931</v>
      </c>
    </row>
    <row r="27" spans="1:26" s="23" customFormat="1" hidden="1" outlineLevel="1" x14ac:dyDescent="0.25">
      <c r="A27" s="44"/>
      <c r="B27" s="10" t="str">
        <f>CONCATENATE("          ", "4028", " - ", "TAXABLE SALES-ART/TECH")</f>
        <v xml:space="preserve">          4028 - TAXABLE SALES-ART/TECH</v>
      </c>
      <c r="C27" s="10"/>
      <c r="D27" s="2">
        <f>--2312.88</f>
        <v>2312.88</v>
      </c>
      <c r="E27" s="2"/>
      <c r="F27" s="19"/>
      <c r="G27" s="2"/>
      <c r="H27" s="2">
        <f>--386.59</f>
        <v>386.59</v>
      </c>
      <c r="I27" s="2"/>
      <c r="J27" s="19"/>
      <c r="K27" s="2"/>
      <c r="L27" s="2">
        <f t="shared" si="0"/>
        <v>1926.2900000000002</v>
      </c>
      <c r="M27" s="2"/>
      <c r="N27" s="19">
        <f t="shared" si="1"/>
        <v>4.9827724462608973</v>
      </c>
      <c r="O27" s="10"/>
      <c r="P27" s="2">
        <f>--50708.2</f>
        <v>50708.2</v>
      </c>
      <c r="Q27" s="2"/>
      <c r="R27" s="19"/>
      <c r="S27" s="2"/>
      <c r="T27" s="2">
        <f>--293577.64</f>
        <v>293577.64</v>
      </c>
      <c r="U27" s="2"/>
      <c r="V27" s="19"/>
      <c r="W27" s="2"/>
      <c r="X27" s="2">
        <f t="shared" si="2"/>
        <v>-242869.44</v>
      </c>
      <c r="Y27" s="2"/>
      <c r="Z27" s="19">
        <f t="shared" si="3"/>
        <v>-0.82727499274127281</v>
      </c>
    </row>
    <row r="28" spans="1:26" s="23" customFormat="1" hidden="1" outlineLevel="1" x14ac:dyDescent="0.25">
      <c r="A28" s="44"/>
      <c r="B28" s="10" t="str">
        <f>CONCATENATE("          ", "4031", " - ", "TAXABLE SALES-FOOD")</f>
        <v xml:space="preserve">          4031 - TAXABLE SALES-FOOD</v>
      </c>
      <c r="C28" s="10"/>
      <c r="D28" s="2">
        <f>--380.76</f>
        <v>380.76</v>
      </c>
      <c r="E28" s="2"/>
      <c r="F28" s="19"/>
      <c r="G28" s="2"/>
      <c r="H28" s="2">
        <f t="shared" ref="H28:H33" si="9">0</f>
        <v>0</v>
      </c>
      <c r="I28" s="2"/>
      <c r="J28" s="19"/>
      <c r="K28" s="2"/>
      <c r="L28" s="2">
        <f t="shared" si="0"/>
        <v>380.76</v>
      </c>
      <c r="M28" s="2"/>
      <c r="N28" s="19">
        <f t="shared" si="1"/>
        <v>0</v>
      </c>
      <c r="O28" s="10"/>
      <c r="P28" s="2">
        <f>--5081.47</f>
        <v>5081.47</v>
      </c>
      <c r="Q28" s="2"/>
      <c r="R28" s="19"/>
      <c r="S28" s="2"/>
      <c r="T28" s="2">
        <f>--486.34</f>
        <v>486.34</v>
      </c>
      <c r="U28" s="2"/>
      <c r="V28" s="19"/>
      <c r="W28" s="2"/>
      <c r="X28" s="2">
        <f t="shared" si="2"/>
        <v>4595.13</v>
      </c>
      <c r="Y28" s="2"/>
      <c r="Z28" s="19">
        <f t="shared" si="3"/>
        <v>9.4483900152156934</v>
      </c>
    </row>
    <row r="29" spans="1:26" s="23" customFormat="1" hidden="1" outlineLevel="1" x14ac:dyDescent="0.25">
      <c r="A29" s="44"/>
      <c r="B29" s="10" t="str">
        <f>CONCATENATE("          ", "4032", " - ", "TAXABLE SALES-JUICE")</f>
        <v xml:space="preserve">          4032 - TAXABLE SALES-JUICE</v>
      </c>
      <c r="C29" s="10"/>
      <c r="D29" s="2">
        <f t="shared" ref="D29:D33" si="10">0</f>
        <v>0</v>
      </c>
      <c r="E29" s="2"/>
      <c r="F29" s="19"/>
      <c r="G29" s="2"/>
      <c r="H29" s="2">
        <f t="shared" si="9"/>
        <v>0</v>
      </c>
      <c r="I29" s="2"/>
      <c r="J29" s="19"/>
      <c r="K29" s="2"/>
      <c r="L29" s="2">
        <f t="shared" si="0"/>
        <v>0</v>
      </c>
      <c r="M29" s="2"/>
      <c r="N29" s="19">
        <f t="shared" si="1"/>
        <v>0</v>
      </c>
      <c r="O29" s="10"/>
      <c r="P29" s="2">
        <f>--444.59</f>
        <v>444.59</v>
      </c>
      <c r="Q29" s="2"/>
      <c r="R29" s="19"/>
      <c r="S29" s="2"/>
      <c r="T29" s="2">
        <f>--277654.52</f>
        <v>277654.52</v>
      </c>
      <c r="U29" s="2"/>
      <c r="V29" s="19"/>
      <c r="W29" s="2"/>
      <c r="X29" s="2">
        <f t="shared" si="2"/>
        <v>-277209.93</v>
      </c>
      <c r="Y29" s="2"/>
      <c r="Z29" s="19">
        <f t="shared" si="3"/>
        <v>-0.99839876548741213</v>
      </c>
    </row>
    <row r="30" spans="1:26" s="23" customFormat="1" hidden="1" outlineLevel="1" x14ac:dyDescent="0.25">
      <c r="A30" s="44"/>
      <c r="B30" s="10" t="str">
        <f>CONCATENATE("          ", "4033", " - ", "TAXABLE SALES-CANDY")</f>
        <v xml:space="preserve">          4033 - TAXABLE SALES-CANDY</v>
      </c>
      <c r="C30" s="10"/>
      <c r="D30" s="2">
        <f t="shared" si="10"/>
        <v>0</v>
      </c>
      <c r="E30" s="2"/>
      <c r="F30" s="19"/>
      <c r="G30" s="2"/>
      <c r="H30" s="2">
        <f t="shared" si="9"/>
        <v>0</v>
      </c>
      <c r="I30" s="2"/>
      <c r="J30" s="19"/>
      <c r="K30" s="2"/>
      <c r="L30" s="2">
        <f t="shared" si="0"/>
        <v>0</v>
      </c>
      <c r="M30" s="2"/>
      <c r="N30" s="19">
        <f t="shared" si="1"/>
        <v>0</v>
      </c>
      <c r="O30" s="10"/>
      <c r="P30" s="2">
        <f>0</f>
        <v>0</v>
      </c>
      <c r="Q30" s="2"/>
      <c r="R30" s="19"/>
      <c r="S30" s="2"/>
      <c r="T30" s="2">
        <f>--205.53</f>
        <v>205.53</v>
      </c>
      <c r="U30" s="2"/>
      <c r="V30" s="19"/>
      <c r="W30" s="2"/>
      <c r="X30" s="2">
        <f t="shared" si="2"/>
        <v>-205.53</v>
      </c>
      <c r="Y30" s="2"/>
      <c r="Z30" s="19">
        <f t="shared" si="3"/>
        <v>-1</v>
      </c>
    </row>
    <row r="31" spans="1:26" s="23" customFormat="1" hidden="1" outlineLevel="1" x14ac:dyDescent="0.25">
      <c r="A31" s="44"/>
      <c r="B31" s="10" t="str">
        <f>CONCATENATE("          ", "4034", " - ", "TAXABLE SALES-SODA")</f>
        <v xml:space="preserve">          4034 - TAXABLE SALES-SODA</v>
      </c>
      <c r="C31" s="10"/>
      <c r="D31" s="2">
        <f t="shared" si="10"/>
        <v>0</v>
      </c>
      <c r="E31" s="2"/>
      <c r="F31" s="19"/>
      <c r="G31" s="2"/>
      <c r="H31" s="2">
        <f t="shared" si="9"/>
        <v>0</v>
      </c>
      <c r="I31" s="2"/>
      <c r="J31" s="19"/>
      <c r="K31" s="2"/>
      <c r="L31" s="2">
        <f t="shared" si="0"/>
        <v>0</v>
      </c>
      <c r="M31" s="2"/>
      <c r="N31" s="19">
        <f t="shared" si="1"/>
        <v>0</v>
      </c>
      <c r="O31" s="10"/>
      <c r="P31" s="2">
        <f>--6.78</f>
        <v>6.78</v>
      </c>
      <c r="Q31" s="2"/>
      <c r="R31" s="19"/>
      <c r="S31" s="2"/>
      <c r="T31" s="2">
        <f>--10925.46</f>
        <v>10925.46</v>
      </c>
      <c r="U31" s="2"/>
      <c r="V31" s="19"/>
      <c r="W31" s="2"/>
      <c r="X31" s="2">
        <f t="shared" si="2"/>
        <v>-10918.679999999998</v>
      </c>
      <c r="Y31" s="2"/>
      <c r="Z31" s="19">
        <f t="shared" si="3"/>
        <v>-0.999379431163539</v>
      </c>
    </row>
    <row r="32" spans="1:26" s="23" customFormat="1" hidden="1" outlineLevel="1" x14ac:dyDescent="0.25">
      <c r="A32" s="44"/>
      <c r="B32" s="10" t="str">
        <f>CONCATENATE("          ", "4035", " - ", "TAXABLE SALES-HEALTH &amp; BEAUTY")</f>
        <v xml:space="preserve">          4035 - TAXABLE SALES-HEALTH &amp; BEAUTY</v>
      </c>
      <c r="C32" s="10"/>
      <c r="D32" s="2">
        <f t="shared" si="10"/>
        <v>0</v>
      </c>
      <c r="E32" s="2"/>
      <c r="F32" s="19"/>
      <c r="G32" s="2"/>
      <c r="H32" s="2">
        <f t="shared" si="9"/>
        <v>0</v>
      </c>
      <c r="I32" s="2"/>
      <c r="J32" s="19"/>
      <c r="K32" s="2"/>
      <c r="L32" s="2">
        <f t="shared" si="0"/>
        <v>0</v>
      </c>
      <c r="M32" s="2"/>
      <c r="N32" s="19">
        <f t="shared" si="1"/>
        <v>0</v>
      </c>
      <c r="O32" s="10"/>
      <c r="P32" s="2">
        <f t="shared" ref="P32:P33" si="11">0</f>
        <v>0</v>
      </c>
      <c r="Q32" s="2"/>
      <c r="R32" s="19"/>
      <c r="S32" s="2"/>
      <c r="T32" s="2">
        <f>--1981.84</f>
        <v>1981.84</v>
      </c>
      <c r="U32" s="2"/>
      <c r="V32" s="19"/>
      <c r="W32" s="2"/>
      <c r="X32" s="2">
        <f t="shared" si="2"/>
        <v>-1981.84</v>
      </c>
      <c r="Y32" s="2"/>
      <c r="Z32" s="19">
        <f t="shared" si="3"/>
        <v>-1</v>
      </c>
    </row>
    <row r="33" spans="1:26" s="23" customFormat="1" hidden="1" outlineLevel="1" x14ac:dyDescent="0.25">
      <c r="A33" s="44"/>
      <c r="B33" s="10" t="str">
        <f>CONCATENATE("          ", "4037", " - ", "TAXABLE SALES-WATER")</f>
        <v xml:space="preserve">          4037 - TAXABLE SALES-WATER</v>
      </c>
      <c r="C33" s="10"/>
      <c r="D33" s="2">
        <f t="shared" si="10"/>
        <v>0</v>
      </c>
      <c r="E33" s="2"/>
      <c r="F33" s="19"/>
      <c r="G33" s="2"/>
      <c r="H33" s="2">
        <f t="shared" si="9"/>
        <v>0</v>
      </c>
      <c r="I33" s="2"/>
      <c r="J33" s="19"/>
      <c r="K33" s="2"/>
      <c r="L33" s="2">
        <f t="shared" si="0"/>
        <v>0</v>
      </c>
      <c r="M33" s="2"/>
      <c r="N33" s="19">
        <f t="shared" si="1"/>
        <v>0</v>
      </c>
      <c r="O33" s="10"/>
      <c r="P33" s="2">
        <f t="shared" si="11"/>
        <v>0</v>
      </c>
      <c r="Q33" s="2"/>
      <c r="R33" s="19"/>
      <c r="S33" s="2"/>
      <c r="T33" s="2">
        <f>--513.51</f>
        <v>513.51</v>
      </c>
      <c r="U33" s="2"/>
      <c r="V33" s="19"/>
      <c r="W33" s="2"/>
      <c r="X33" s="2">
        <f t="shared" si="2"/>
        <v>-513.51</v>
      </c>
      <c r="Y33" s="2"/>
      <c r="Z33" s="19">
        <f t="shared" si="3"/>
        <v>-1</v>
      </c>
    </row>
    <row r="34" spans="1:26" s="23" customFormat="1" hidden="1" outlineLevel="1" x14ac:dyDescent="0.25">
      <c r="A34" s="44"/>
      <c r="B34" s="10" t="str">
        <f>CONCATENATE("          ", "4040", " - ", "TAXABLE SALES-LOGO CLOTHING")</f>
        <v xml:space="preserve">          4040 - TAXABLE SALES-LOGO CLOTHING</v>
      </c>
      <c r="C34" s="10"/>
      <c r="D34" s="2">
        <f>--109798.76</f>
        <v>109798.76</v>
      </c>
      <c r="E34" s="2"/>
      <c r="F34" s="19"/>
      <c r="G34" s="2"/>
      <c r="H34" s="2">
        <f>--46364.3</f>
        <v>46364.3</v>
      </c>
      <c r="I34" s="2"/>
      <c r="J34" s="19"/>
      <c r="K34" s="2"/>
      <c r="L34" s="2">
        <f t="shared" si="0"/>
        <v>63434.459999999992</v>
      </c>
      <c r="M34" s="2"/>
      <c r="N34" s="19">
        <f t="shared" si="1"/>
        <v>1.3681746516177316</v>
      </c>
      <c r="O34" s="10"/>
      <c r="P34" s="2">
        <f>--1210378.91</f>
        <v>1210378.9099999999</v>
      </c>
      <c r="Q34" s="2"/>
      <c r="R34" s="19"/>
      <c r="S34" s="2"/>
      <c r="T34" s="2">
        <f>--1941274.42</f>
        <v>1941274.42</v>
      </c>
      <c r="U34" s="2"/>
      <c r="V34" s="19"/>
      <c r="W34" s="2"/>
      <c r="X34" s="2">
        <f t="shared" si="2"/>
        <v>-730895.51</v>
      </c>
      <c r="Y34" s="2"/>
      <c r="Z34" s="19">
        <f t="shared" si="3"/>
        <v>-0.37650293151238251</v>
      </c>
    </row>
    <row r="35" spans="1:26" s="23" customFormat="1" hidden="1" outlineLevel="1" x14ac:dyDescent="0.25">
      <c r="A35" s="44"/>
      <c r="B35" s="10" t="str">
        <f>CONCATENATE("          ", "4041", " - ", "TAXABLE SALES-LOGO GIFTS")</f>
        <v xml:space="preserve">          4041 - TAXABLE SALES-LOGO GIFTS</v>
      </c>
      <c r="C35" s="10"/>
      <c r="D35" s="2">
        <f>--80467.62</f>
        <v>80467.62</v>
      </c>
      <c r="E35" s="2"/>
      <c r="F35" s="19"/>
      <c r="G35" s="2"/>
      <c r="H35" s="2">
        <f>--29904.23</f>
        <v>29904.23</v>
      </c>
      <c r="I35" s="2"/>
      <c r="J35" s="19"/>
      <c r="K35" s="2"/>
      <c r="L35" s="2">
        <f t="shared" si="0"/>
        <v>50563.39</v>
      </c>
      <c r="M35" s="2"/>
      <c r="N35" s="19">
        <f t="shared" si="1"/>
        <v>1.6908440712233688</v>
      </c>
      <c r="O35" s="10"/>
      <c r="P35" s="2">
        <f>--712240.21</f>
        <v>712240.21</v>
      </c>
      <c r="Q35" s="2"/>
      <c r="R35" s="19"/>
      <c r="S35" s="2"/>
      <c r="T35" s="2">
        <f>--556536.79</f>
        <v>556536.79</v>
      </c>
      <c r="U35" s="2"/>
      <c r="V35" s="19"/>
      <c r="W35" s="2"/>
      <c r="X35" s="2">
        <f t="shared" si="2"/>
        <v>155703.41999999993</v>
      </c>
      <c r="Y35" s="2"/>
      <c r="Z35" s="19">
        <f t="shared" si="3"/>
        <v>0.27977201650945649</v>
      </c>
    </row>
    <row r="36" spans="1:26" s="23" customFormat="1" hidden="1" outlineLevel="1" x14ac:dyDescent="0.25">
      <c r="A36" s="44"/>
      <c r="B36" s="10" t="str">
        <f>CONCATENATE("          ", "4042", " - ", "TAXABLE SALES-EVERYDAY GIFTS")</f>
        <v xml:space="preserve">          4042 - TAXABLE SALES-EVERYDAY GIFTS</v>
      </c>
      <c r="C36" s="10"/>
      <c r="D36" s="2">
        <f>--7345.28</f>
        <v>7345.28</v>
      </c>
      <c r="E36" s="2"/>
      <c r="F36" s="19"/>
      <c r="G36" s="2"/>
      <c r="H36" s="2">
        <f>--2836.85</f>
        <v>2836.85</v>
      </c>
      <c r="I36" s="2"/>
      <c r="J36" s="19"/>
      <c r="K36" s="2"/>
      <c r="L36" s="2">
        <f t="shared" si="0"/>
        <v>4508.43</v>
      </c>
      <c r="M36" s="2"/>
      <c r="N36" s="19">
        <f t="shared" si="1"/>
        <v>1.5892380633449072</v>
      </c>
      <c r="O36" s="10"/>
      <c r="P36" s="2">
        <f>--116251.83</f>
        <v>116251.83</v>
      </c>
      <c r="Q36" s="2"/>
      <c r="R36" s="19"/>
      <c r="S36" s="2"/>
      <c r="T36" s="2">
        <f>--285558.05</f>
        <v>285558.05</v>
      </c>
      <c r="U36" s="2"/>
      <c r="V36" s="19"/>
      <c r="W36" s="2"/>
      <c r="X36" s="2">
        <f t="shared" si="2"/>
        <v>-169306.21999999997</v>
      </c>
      <c r="Y36" s="2"/>
      <c r="Z36" s="19">
        <f t="shared" si="3"/>
        <v>-0.59289598034445179</v>
      </c>
    </row>
    <row r="37" spans="1:26" s="23" customFormat="1" hidden="1" outlineLevel="1" x14ac:dyDescent="0.25">
      <c r="A37" s="44"/>
      <c r="B37" s="10" t="str">
        <f>CONCATENATE("          ", "4043", " - ", "TAXABLE SALES-CARDS")</f>
        <v xml:space="preserve">          4043 - TAXABLE SALES-CARDS</v>
      </c>
      <c r="C37" s="10"/>
      <c r="D37" s="2">
        <f>--2949.38</f>
        <v>2949.38</v>
      </c>
      <c r="E37" s="2"/>
      <c r="F37" s="19"/>
      <c r="G37" s="2"/>
      <c r="H37" s="2">
        <f>--54.96</f>
        <v>54.96</v>
      </c>
      <c r="I37" s="2"/>
      <c r="J37" s="19"/>
      <c r="K37" s="2"/>
      <c r="L37" s="2">
        <f t="shared" si="0"/>
        <v>2894.42</v>
      </c>
      <c r="M37" s="2"/>
      <c r="N37" s="19">
        <f t="shared" si="1"/>
        <v>52.664119359534205</v>
      </c>
      <c r="O37" s="10"/>
      <c r="P37" s="2">
        <f>--147027.05</f>
        <v>147027.04999999999</v>
      </c>
      <c r="Q37" s="2"/>
      <c r="R37" s="19"/>
      <c r="S37" s="2"/>
      <c r="T37" s="2">
        <f>--77324.14</f>
        <v>77324.14</v>
      </c>
      <c r="U37" s="2"/>
      <c r="V37" s="19"/>
      <c r="W37" s="2"/>
      <c r="X37" s="2">
        <f t="shared" si="2"/>
        <v>69702.909999999989</v>
      </c>
      <c r="Y37" s="2"/>
      <c r="Z37" s="19">
        <f t="shared" si="3"/>
        <v>0.90143789507390559</v>
      </c>
    </row>
    <row r="38" spans="1:26" s="23" customFormat="1" hidden="1" outlineLevel="1" x14ac:dyDescent="0.25">
      <c r="A38" s="44"/>
      <c r="B38" s="10" t="str">
        <f>CONCATENATE("          ", "4044", " - ", "TAXABLE SALES-ACCESSORIES")</f>
        <v xml:space="preserve">          4044 - TAXABLE SALES-ACCESSORIES</v>
      </c>
      <c r="C38" s="10"/>
      <c r="D38" s="2">
        <f>--2172.33</f>
        <v>2172.33</v>
      </c>
      <c r="E38" s="2"/>
      <c r="F38" s="19"/>
      <c r="G38" s="2"/>
      <c r="H38" s="2">
        <f>--2524.8</f>
        <v>2524.8000000000002</v>
      </c>
      <c r="I38" s="2"/>
      <c r="J38" s="19"/>
      <c r="K38" s="2"/>
      <c r="L38" s="2">
        <f t="shared" si="0"/>
        <v>-352.47000000000025</v>
      </c>
      <c r="M38" s="2"/>
      <c r="N38" s="19">
        <f t="shared" si="1"/>
        <v>-0.13960313688212936</v>
      </c>
      <c r="O38" s="10"/>
      <c r="P38" s="2">
        <f>--43288.66</f>
        <v>43288.66</v>
      </c>
      <c r="Q38" s="2"/>
      <c r="R38" s="19"/>
      <c r="S38" s="2"/>
      <c r="T38" s="2">
        <f>--73780.56</f>
        <v>73780.56</v>
      </c>
      <c r="U38" s="2"/>
      <c r="V38" s="19"/>
      <c r="W38" s="2"/>
      <c r="X38" s="2">
        <f t="shared" si="2"/>
        <v>-30491.899999999994</v>
      </c>
      <c r="Y38" s="2"/>
      <c r="Z38" s="19">
        <f t="shared" si="3"/>
        <v>-0.41327824023021775</v>
      </c>
    </row>
    <row r="39" spans="1:26" s="23" customFormat="1" hidden="1" outlineLevel="1" x14ac:dyDescent="0.25">
      <c r="A39" s="44"/>
      <c r="B39" s="10" t="str">
        <f>CONCATENATE("          ", "4045", " - ", "TAXABLE SALES-SPECIAL ORDERS")</f>
        <v xml:space="preserve">          4045 - TAXABLE SALES-SPECIAL ORDERS</v>
      </c>
      <c r="C39" s="10"/>
      <c r="D39" s="2">
        <f>--81300.55</f>
        <v>81300.55</v>
      </c>
      <c r="E39" s="2"/>
      <c r="F39" s="19"/>
      <c r="G39" s="2"/>
      <c r="H39" s="2">
        <f>--26263.53</f>
        <v>26263.53</v>
      </c>
      <c r="I39" s="2"/>
      <c r="J39" s="19"/>
      <c r="K39" s="2"/>
      <c r="L39" s="2">
        <f t="shared" si="0"/>
        <v>55037.020000000004</v>
      </c>
      <c r="M39" s="2"/>
      <c r="N39" s="19">
        <f t="shared" si="1"/>
        <v>2.0955682651951206</v>
      </c>
      <c r="O39" s="10"/>
      <c r="P39" s="2">
        <f>--314878.48</f>
        <v>314878.48</v>
      </c>
      <c r="Q39" s="2"/>
      <c r="R39" s="19"/>
      <c r="S39" s="2"/>
      <c r="T39" s="2">
        <f>--123103.09</f>
        <v>123103.09</v>
      </c>
      <c r="U39" s="2"/>
      <c r="V39" s="19"/>
      <c r="W39" s="2"/>
      <c r="X39" s="2">
        <f t="shared" si="2"/>
        <v>191775.38999999998</v>
      </c>
      <c r="Y39" s="2"/>
      <c r="Z39" s="19">
        <f t="shared" si="3"/>
        <v>1.5578438364138543</v>
      </c>
    </row>
    <row r="40" spans="1:26" s="23" customFormat="1" hidden="1" outlineLevel="1" x14ac:dyDescent="0.25">
      <c r="A40" s="44"/>
      <c r="B40" s="10" t="str">
        <f>CONCATENATE("          ", "4047", " - ", "TAXABLE SALES-MISC")</f>
        <v xml:space="preserve">          4047 - TAXABLE SALES-MISC</v>
      </c>
      <c r="C40" s="10"/>
      <c r="D40" s="2">
        <f>0</f>
        <v>0</v>
      </c>
      <c r="E40" s="2"/>
      <c r="F40" s="19"/>
      <c r="G40" s="2"/>
      <c r="H40" s="2">
        <f t="shared" ref="H40:H42" si="12">0</f>
        <v>0</v>
      </c>
      <c r="I40" s="2"/>
      <c r="J40" s="19"/>
      <c r="K40" s="2"/>
      <c r="L40" s="2">
        <f t="shared" si="0"/>
        <v>0</v>
      </c>
      <c r="M40" s="2"/>
      <c r="N40" s="19">
        <f t="shared" si="1"/>
        <v>0</v>
      </c>
      <c r="O40" s="10"/>
      <c r="P40" s="2">
        <f>0</f>
        <v>0</v>
      </c>
      <c r="Q40" s="2"/>
      <c r="R40" s="19"/>
      <c r="S40" s="2"/>
      <c r="T40" s="2">
        <f>--2676.14</f>
        <v>2676.14</v>
      </c>
      <c r="U40" s="2"/>
      <c r="V40" s="19"/>
      <c r="W40" s="2"/>
      <c r="X40" s="2">
        <f t="shared" si="2"/>
        <v>-2676.14</v>
      </c>
      <c r="Y40" s="2"/>
      <c r="Z40" s="19">
        <f t="shared" si="3"/>
        <v>-1</v>
      </c>
    </row>
    <row r="41" spans="1:26" s="23" customFormat="1" hidden="1" outlineLevel="1" x14ac:dyDescent="0.25">
      <c r="A41" s="44"/>
      <c r="B41" s="10" t="str">
        <f>CONCATENATE("          ", "4051", " - ", "TAXABLE SALES-FOOD")</f>
        <v xml:space="preserve">          4051 - TAXABLE SALES-FOOD</v>
      </c>
      <c r="C41" s="10"/>
      <c r="D41" s="2">
        <f>--9799.52</f>
        <v>9799.52</v>
      </c>
      <c r="E41" s="2"/>
      <c r="F41" s="19"/>
      <c r="G41" s="2"/>
      <c r="H41" s="2">
        <f t="shared" si="12"/>
        <v>0</v>
      </c>
      <c r="I41" s="2"/>
      <c r="J41" s="19"/>
      <c r="K41" s="2"/>
      <c r="L41" s="2">
        <f t="shared" si="0"/>
        <v>9799.52</v>
      </c>
      <c r="M41" s="2"/>
      <c r="N41" s="19">
        <f t="shared" si="1"/>
        <v>0</v>
      </c>
      <c r="O41" s="10"/>
      <c r="P41" s="2">
        <f>--49082.44</f>
        <v>49082.44</v>
      </c>
      <c r="Q41" s="2"/>
      <c r="R41" s="19"/>
      <c r="S41" s="2"/>
      <c r="T41" s="2">
        <f>--604143.21</f>
        <v>604143.21</v>
      </c>
      <c r="U41" s="2"/>
      <c r="V41" s="19"/>
      <c r="W41" s="2"/>
      <c r="X41" s="2">
        <f t="shared" si="2"/>
        <v>-555060.77</v>
      </c>
      <c r="Y41" s="2"/>
      <c r="Z41" s="19">
        <f t="shared" si="3"/>
        <v>-0.91875694506274441</v>
      </c>
    </row>
    <row r="42" spans="1:26" s="23" customFormat="1" hidden="1" outlineLevel="1" x14ac:dyDescent="0.25">
      <c r="A42" s="44"/>
      <c r="B42" s="10" t="str">
        <f>CONCATENATE("          ", "4052", " - ", "TAXABLE SALES-FOOD")</f>
        <v xml:space="preserve">          4052 - TAXABLE SALES-FOOD</v>
      </c>
      <c r="C42" s="10"/>
      <c r="D42" s="2">
        <f>--61213.59</f>
        <v>61213.59</v>
      </c>
      <c r="E42" s="2"/>
      <c r="F42" s="19"/>
      <c r="G42" s="2"/>
      <c r="H42" s="2">
        <f t="shared" si="12"/>
        <v>0</v>
      </c>
      <c r="I42" s="2"/>
      <c r="J42" s="19"/>
      <c r="K42" s="2"/>
      <c r="L42" s="2">
        <f t="shared" si="0"/>
        <v>61213.59</v>
      </c>
      <c r="M42" s="2"/>
      <c r="N42" s="19">
        <f t="shared" si="1"/>
        <v>0</v>
      </c>
      <c r="O42" s="10"/>
      <c r="P42" s="2">
        <f>--489866.6</f>
        <v>489866.6</v>
      </c>
      <c r="Q42" s="2"/>
      <c r="R42" s="19"/>
      <c r="S42" s="2"/>
      <c r="T42" s="2">
        <f>--836487.29</f>
        <v>836487.29</v>
      </c>
      <c r="U42" s="2"/>
      <c r="V42" s="19"/>
      <c r="W42" s="2"/>
      <c r="X42" s="2">
        <f t="shared" si="2"/>
        <v>-346620.69000000006</v>
      </c>
      <c r="Y42" s="2"/>
      <c r="Z42" s="19">
        <f t="shared" si="3"/>
        <v>-0.41437651730488345</v>
      </c>
    </row>
    <row r="43" spans="1:26" s="23" customFormat="1" hidden="1" outlineLevel="1" x14ac:dyDescent="0.25">
      <c r="A43" s="44"/>
      <c r="B43" s="10" t="str">
        <f>CONCATENATE("          ", "4053", " - ", "TAXABLE SALES-FOOD")</f>
        <v xml:space="preserve">          4053 - TAXABLE SALES-FOOD</v>
      </c>
      <c r="C43" s="10"/>
      <c r="D43" s="2">
        <f>--10.83</f>
        <v>10.83</v>
      </c>
      <c r="E43" s="2"/>
      <c r="F43" s="19"/>
      <c r="G43" s="2"/>
      <c r="H43" s="2">
        <f>--27.9</f>
        <v>27.9</v>
      </c>
      <c r="I43" s="2"/>
      <c r="J43" s="19"/>
      <c r="K43" s="2"/>
      <c r="L43" s="2">
        <f t="shared" si="0"/>
        <v>-17.07</v>
      </c>
      <c r="M43" s="2"/>
      <c r="N43" s="19">
        <f t="shared" si="1"/>
        <v>-0.6118279569892473</v>
      </c>
      <c r="O43" s="10"/>
      <c r="P43" s="2">
        <f>--1117.39</f>
        <v>1117.3900000000001</v>
      </c>
      <c r="Q43" s="2"/>
      <c r="R43" s="19"/>
      <c r="S43" s="2"/>
      <c r="T43" s="2">
        <f>--280013.99</f>
        <v>280013.99</v>
      </c>
      <c r="U43" s="2"/>
      <c r="V43" s="19"/>
      <c r="W43" s="2"/>
      <c r="X43" s="2">
        <f t="shared" si="2"/>
        <v>-278896.59999999998</v>
      </c>
      <c r="Y43" s="2"/>
      <c r="Z43" s="19">
        <f t="shared" si="3"/>
        <v>-0.99600952081001382</v>
      </c>
    </row>
    <row r="44" spans="1:26" s="23" customFormat="1" hidden="1" outlineLevel="1" x14ac:dyDescent="0.25">
      <c r="A44" s="44"/>
      <c r="B44" s="10" t="str">
        <f>CONCATENATE("          ", "4055", " - ", "TAXABLE SALES-FOOD")</f>
        <v xml:space="preserve">          4055 - TAXABLE SALES-FOOD</v>
      </c>
      <c r="C44" s="10"/>
      <c r="D44" s="2">
        <f t="shared" ref="D44:D45" si="13">0</f>
        <v>0</v>
      </c>
      <c r="E44" s="2"/>
      <c r="F44" s="19"/>
      <c r="G44" s="2"/>
      <c r="H44" s="2">
        <f t="shared" ref="H44:H45" si="14">0</f>
        <v>0</v>
      </c>
      <c r="I44" s="2"/>
      <c r="J44" s="19"/>
      <c r="K44" s="2"/>
      <c r="L44" s="2">
        <f t="shared" si="0"/>
        <v>0</v>
      </c>
      <c r="M44" s="2"/>
      <c r="N44" s="19">
        <f t="shared" si="1"/>
        <v>0</v>
      </c>
      <c r="O44" s="10"/>
      <c r="P44" s="2">
        <f>0</f>
        <v>0</v>
      </c>
      <c r="Q44" s="2"/>
      <c r="R44" s="19"/>
      <c r="S44" s="2"/>
      <c r="T44" s="2">
        <f>--382379.53</f>
        <v>382379.53</v>
      </c>
      <c r="U44" s="2"/>
      <c r="V44" s="19"/>
      <c r="W44" s="2"/>
      <c r="X44" s="2">
        <f t="shared" si="2"/>
        <v>-382379.53</v>
      </c>
      <c r="Y44" s="2"/>
      <c r="Z44" s="19">
        <f t="shared" si="3"/>
        <v>-1</v>
      </c>
    </row>
    <row r="45" spans="1:26" s="23" customFormat="1" hidden="1" outlineLevel="1" x14ac:dyDescent="0.25">
      <c r="A45" s="44"/>
      <c r="B45" s="10" t="str">
        <f>CONCATENATE("          ", "4058", " - ", "TAXABLE SALES-FOOD")</f>
        <v xml:space="preserve">          4058 - TAXABLE SALES-FOOD</v>
      </c>
      <c r="C45" s="10"/>
      <c r="D45" s="2">
        <f t="shared" si="13"/>
        <v>0</v>
      </c>
      <c r="E45" s="2"/>
      <c r="F45" s="19"/>
      <c r="G45" s="2"/>
      <c r="H45" s="2">
        <f t="shared" si="14"/>
        <v>0</v>
      </c>
      <c r="I45" s="2"/>
      <c r="J45" s="19"/>
      <c r="K45" s="2"/>
      <c r="L45" s="2">
        <f t="shared" si="0"/>
        <v>0</v>
      </c>
      <c r="M45" s="2"/>
      <c r="N45" s="19">
        <f t="shared" si="1"/>
        <v>0</v>
      </c>
      <c r="O45" s="10"/>
      <c r="P45" s="2">
        <f>--974.91</f>
        <v>974.91</v>
      </c>
      <c r="Q45" s="2"/>
      <c r="R45" s="19"/>
      <c r="S45" s="2"/>
      <c r="T45" s="2">
        <f>--117077.57</f>
        <v>117077.57</v>
      </c>
      <c r="U45" s="2"/>
      <c r="V45" s="19"/>
      <c r="W45" s="2"/>
      <c r="X45" s="2">
        <f t="shared" si="2"/>
        <v>-116102.66</v>
      </c>
      <c r="Y45" s="2"/>
      <c r="Z45" s="19">
        <f t="shared" si="3"/>
        <v>-0.99167295665600164</v>
      </c>
    </row>
    <row r="46" spans="1:26" s="23" customFormat="1" hidden="1" outlineLevel="1" x14ac:dyDescent="0.25">
      <c r="A46" s="44"/>
      <c r="B46" s="10" t="str">
        <f>CONCATENATE("          ", "4081", " - ", "TAXABLE SALES-ELECTRONICS")</f>
        <v xml:space="preserve">          4081 - TAXABLE SALES-ELECTRONICS</v>
      </c>
      <c r="C46" s="10"/>
      <c r="D46" s="2">
        <f>--1743.92</f>
        <v>1743.92</v>
      </c>
      <c r="E46" s="2"/>
      <c r="F46" s="19"/>
      <c r="G46" s="2"/>
      <c r="H46" s="2">
        <f>--1708.99</f>
        <v>1708.99</v>
      </c>
      <c r="I46" s="2"/>
      <c r="J46" s="19"/>
      <c r="K46" s="2"/>
      <c r="L46" s="2">
        <f t="shared" si="0"/>
        <v>34.930000000000064</v>
      </c>
      <c r="M46" s="2"/>
      <c r="N46" s="19">
        <f t="shared" si="1"/>
        <v>2.0438972726581236E-2</v>
      </c>
      <c r="O46" s="10"/>
      <c r="P46" s="2">
        <f>--65769.85</f>
        <v>65769.850000000006</v>
      </c>
      <c r="Q46" s="2"/>
      <c r="R46" s="19"/>
      <c r="S46" s="2"/>
      <c r="T46" s="2">
        <f>--318043.95</f>
        <v>318043.95</v>
      </c>
      <c r="U46" s="2"/>
      <c r="V46" s="19"/>
      <c r="W46" s="2"/>
      <c r="X46" s="2">
        <f t="shared" si="2"/>
        <v>-252274.1</v>
      </c>
      <c r="Y46" s="2"/>
      <c r="Z46" s="19">
        <f t="shared" si="3"/>
        <v>-0.7932051529356241</v>
      </c>
    </row>
    <row r="47" spans="1:26" s="23" customFormat="1" hidden="1" outlineLevel="1" x14ac:dyDescent="0.25">
      <c r="A47" s="44"/>
      <c r="B47" s="10" t="str">
        <f>CONCATENATE("          ", "4082", " - ", "TAXABLE SALES-COMPUTER HARDWAR")</f>
        <v xml:space="preserve">          4082 - TAXABLE SALES-COMPUTER HARDWAR</v>
      </c>
      <c r="C47" s="10"/>
      <c r="D47" s="2">
        <f>--78232.49</f>
        <v>78232.490000000005</v>
      </c>
      <c r="E47" s="2"/>
      <c r="F47" s="19"/>
      <c r="G47" s="2"/>
      <c r="H47" s="2">
        <f>--391247.66</f>
        <v>391247.66</v>
      </c>
      <c r="I47" s="2"/>
      <c r="J47" s="19"/>
      <c r="K47" s="2"/>
      <c r="L47" s="2">
        <f t="shared" si="0"/>
        <v>-313015.17</v>
      </c>
      <c r="M47" s="2"/>
      <c r="N47" s="19">
        <f t="shared" si="1"/>
        <v>-0.80004355808798955</v>
      </c>
      <c r="O47" s="10"/>
      <c r="P47" s="2">
        <f>--2207891.11</f>
        <v>2207891.11</v>
      </c>
      <c r="Q47" s="2"/>
      <c r="R47" s="19"/>
      <c r="S47" s="2"/>
      <c r="T47" s="2">
        <f>--2373850.38</f>
        <v>2373850.38</v>
      </c>
      <c r="U47" s="2"/>
      <c r="V47" s="19"/>
      <c r="W47" s="2"/>
      <c r="X47" s="2">
        <f t="shared" si="2"/>
        <v>-165959.27000000002</v>
      </c>
      <c r="Y47" s="2"/>
      <c r="Z47" s="19">
        <f t="shared" si="3"/>
        <v>-6.9911428031955422E-2</v>
      </c>
    </row>
    <row r="48" spans="1:26" s="23" customFormat="1" hidden="1" outlineLevel="1" x14ac:dyDescent="0.25">
      <c r="A48" s="44"/>
      <c r="B48" s="10" t="str">
        <f>CONCATENATE("          ", "4083", " - ", "TAXABLE SALES-COMPUTER EQUIPME")</f>
        <v xml:space="preserve">          4083 - TAXABLE SALES-COMPUTER EQUIPME</v>
      </c>
      <c r="C48" s="10"/>
      <c r="D48" s="2">
        <f>--3971.25</f>
        <v>3971.25</v>
      </c>
      <c r="E48" s="2"/>
      <c r="F48" s="19"/>
      <c r="G48" s="2"/>
      <c r="H48" s="2">
        <f>--32731.49</f>
        <v>32731.49</v>
      </c>
      <c r="I48" s="2"/>
      <c r="J48" s="19"/>
      <c r="K48" s="2"/>
      <c r="L48" s="2">
        <f t="shared" si="0"/>
        <v>-28760.240000000002</v>
      </c>
      <c r="M48" s="2"/>
      <c r="N48" s="19">
        <f t="shared" si="1"/>
        <v>-0.87867188447577549</v>
      </c>
      <c r="O48" s="10"/>
      <c r="P48" s="2">
        <f>--141118.23</f>
        <v>141118.23000000001</v>
      </c>
      <c r="Q48" s="2"/>
      <c r="R48" s="19"/>
      <c r="S48" s="2"/>
      <c r="T48" s="2">
        <f>--139149.89</f>
        <v>139149.89000000001</v>
      </c>
      <c r="U48" s="2"/>
      <c r="V48" s="19"/>
      <c r="W48" s="2"/>
      <c r="X48" s="2">
        <f t="shared" si="2"/>
        <v>1968.3399999999965</v>
      </c>
      <c r="Y48" s="2"/>
      <c r="Z48" s="19">
        <f t="shared" si="3"/>
        <v>1.4145465727640865E-2</v>
      </c>
    </row>
    <row r="49" spans="1:26" s="23" customFormat="1" hidden="1" outlineLevel="1" x14ac:dyDescent="0.25">
      <c r="A49" s="44"/>
      <c r="B49" s="10" t="str">
        <f>CONCATENATE("          ", "4084", " - ", "TAXABLE SALES-SOFTWARE LICENSE")</f>
        <v xml:space="preserve">          4084 - TAXABLE SALES-SOFTWARE LICENSE</v>
      </c>
      <c r="C49" s="10"/>
      <c r="D49" s="2">
        <f t="shared" ref="D49:D50" si="15">0</f>
        <v>0</v>
      </c>
      <c r="E49" s="2"/>
      <c r="F49" s="19"/>
      <c r="G49" s="2"/>
      <c r="H49" s="2">
        <f t="shared" ref="H49:H50" si="16">0</f>
        <v>0</v>
      </c>
      <c r="I49" s="2"/>
      <c r="J49" s="19"/>
      <c r="K49" s="2"/>
      <c r="L49" s="2">
        <f t="shared" si="0"/>
        <v>0</v>
      </c>
      <c r="M49" s="2"/>
      <c r="N49" s="19">
        <f t="shared" si="1"/>
        <v>0</v>
      </c>
      <c r="O49" s="10"/>
      <c r="P49" s="2">
        <f>0</f>
        <v>0</v>
      </c>
      <c r="Q49" s="2"/>
      <c r="R49" s="19"/>
      <c r="S49" s="2"/>
      <c r="T49" s="2">
        <f>--129</f>
        <v>129</v>
      </c>
      <c r="U49" s="2"/>
      <c r="V49" s="19"/>
      <c r="W49" s="2"/>
      <c r="X49" s="2">
        <f t="shared" si="2"/>
        <v>-129</v>
      </c>
      <c r="Y49" s="2"/>
      <c r="Z49" s="19">
        <f t="shared" si="3"/>
        <v>-1</v>
      </c>
    </row>
    <row r="50" spans="1:26" s="23" customFormat="1" hidden="1" outlineLevel="1" x14ac:dyDescent="0.25">
      <c r="A50" s="44"/>
      <c r="B50" s="10" t="str">
        <f>CONCATENATE("          ", "4085", " - ", "TAXABLE SALES-SOFTWARE")</f>
        <v xml:space="preserve">          4085 - TAXABLE SALES-SOFTWARE</v>
      </c>
      <c r="C50" s="10"/>
      <c r="D50" s="2">
        <f t="shared" si="15"/>
        <v>0</v>
      </c>
      <c r="E50" s="2"/>
      <c r="F50" s="19"/>
      <c r="G50" s="2"/>
      <c r="H50" s="2">
        <f t="shared" si="16"/>
        <v>0</v>
      </c>
      <c r="I50" s="2"/>
      <c r="J50" s="19"/>
      <c r="K50" s="2"/>
      <c r="L50" s="2">
        <f t="shared" si="0"/>
        <v>0</v>
      </c>
      <c r="M50" s="2"/>
      <c r="N50" s="19">
        <f t="shared" si="1"/>
        <v>0</v>
      </c>
      <c r="O50" s="10"/>
      <c r="P50" s="2">
        <f>--4870.79</f>
        <v>4870.79</v>
      </c>
      <c r="Q50" s="2"/>
      <c r="R50" s="19"/>
      <c r="S50" s="2"/>
      <c r="T50" s="2">
        <f>--4587.93</f>
        <v>4587.93</v>
      </c>
      <c r="U50" s="2"/>
      <c r="V50" s="19"/>
      <c r="W50" s="2"/>
      <c r="X50" s="2">
        <f t="shared" si="2"/>
        <v>282.85999999999967</v>
      </c>
      <c r="Y50" s="2"/>
      <c r="Z50" s="19">
        <f t="shared" si="3"/>
        <v>6.165307665984434E-2</v>
      </c>
    </row>
    <row r="51" spans="1:26" s="23" customFormat="1" hidden="1" outlineLevel="1" x14ac:dyDescent="0.25">
      <c r="A51" s="44"/>
      <c r="B51" s="10" t="str">
        <f>CONCATENATE("          ", "4086", " - ", "TAXABLE SALES-COMPUTER SUPPLIE")</f>
        <v xml:space="preserve">          4086 - TAXABLE SALES-COMPUTER SUPPLIE</v>
      </c>
      <c r="C51" s="10"/>
      <c r="D51" s="2">
        <f>--850.72</f>
        <v>850.72</v>
      </c>
      <c r="E51" s="2"/>
      <c r="F51" s="19"/>
      <c r="G51" s="2"/>
      <c r="H51" s="2">
        <f>--114.95</f>
        <v>114.95</v>
      </c>
      <c r="I51" s="2"/>
      <c r="J51" s="19"/>
      <c r="K51" s="2"/>
      <c r="L51" s="2">
        <f t="shared" si="0"/>
        <v>735.77</v>
      </c>
      <c r="M51" s="2"/>
      <c r="N51" s="19">
        <f t="shared" si="1"/>
        <v>6.4007829491083079</v>
      </c>
      <c r="O51" s="10"/>
      <c r="P51" s="2">
        <f>--67783.14</f>
        <v>67783.14</v>
      </c>
      <c r="Q51" s="2"/>
      <c r="R51" s="19"/>
      <c r="S51" s="2"/>
      <c r="T51" s="2">
        <f>--49644.41</f>
        <v>49644.41</v>
      </c>
      <c r="U51" s="2"/>
      <c r="V51" s="19"/>
      <c r="W51" s="2"/>
      <c r="X51" s="2">
        <f t="shared" si="2"/>
        <v>18138.729999999996</v>
      </c>
      <c r="Y51" s="2"/>
      <c r="Z51" s="19">
        <f t="shared" si="3"/>
        <v>0.36537306012902548</v>
      </c>
    </row>
    <row r="52" spans="1:26" s="23" customFormat="1" hidden="1" outlineLevel="1" x14ac:dyDescent="0.25">
      <c r="A52" s="44"/>
      <c r="B52" s="10" t="str">
        <f>CONCATENATE("          ", "4088", " - ", "TAXABLE SALES-MUSIC")</f>
        <v xml:space="preserve">          4088 - TAXABLE SALES-MUSIC</v>
      </c>
      <c r="C52" s="10"/>
      <c r="D52" s="2">
        <f t="shared" ref="D52:D53" si="17">0</f>
        <v>0</v>
      </c>
      <c r="E52" s="2"/>
      <c r="F52" s="19"/>
      <c r="G52" s="2"/>
      <c r="H52" s="2">
        <f>--356</f>
        <v>356</v>
      </c>
      <c r="I52" s="2"/>
      <c r="J52" s="19"/>
      <c r="K52" s="2"/>
      <c r="L52" s="2">
        <f t="shared" si="0"/>
        <v>-356</v>
      </c>
      <c r="M52" s="2"/>
      <c r="N52" s="19">
        <f t="shared" si="1"/>
        <v>-1</v>
      </c>
      <c r="O52" s="10"/>
      <c r="P52" s="2">
        <f t="shared" ref="P52:P53" si="18">0</f>
        <v>0</v>
      </c>
      <c r="Q52" s="2"/>
      <c r="R52" s="19"/>
      <c r="S52" s="2"/>
      <c r="T52" s="2">
        <f>--3151.75</f>
        <v>3151.75</v>
      </c>
      <c r="U52" s="2"/>
      <c r="V52" s="19"/>
      <c r="W52" s="2"/>
      <c r="X52" s="2">
        <f t="shared" si="2"/>
        <v>-3151.75</v>
      </c>
      <c r="Y52" s="2"/>
      <c r="Z52" s="19">
        <f t="shared" si="3"/>
        <v>-1</v>
      </c>
    </row>
    <row r="53" spans="1:26" s="23" customFormat="1" hidden="1" outlineLevel="1" x14ac:dyDescent="0.25">
      <c r="A53" s="44"/>
      <c r="B53" s="10" t="str">
        <f>CONCATENATE("          ", "4092", " - ", "TAXABLE SALES-GRAD MERCH")</f>
        <v xml:space="preserve">          4092 - TAXABLE SALES-GRAD MERCH</v>
      </c>
      <c r="C53" s="10"/>
      <c r="D53" s="2">
        <f t="shared" si="17"/>
        <v>0</v>
      </c>
      <c r="E53" s="2"/>
      <c r="F53" s="19"/>
      <c r="G53" s="2"/>
      <c r="H53" s="2">
        <f>--6332.23</f>
        <v>6332.23</v>
      </c>
      <c r="I53" s="2"/>
      <c r="J53" s="19"/>
      <c r="K53" s="2"/>
      <c r="L53" s="2">
        <f t="shared" si="0"/>
        <v>-6332.23</v>
      </c>
      <c r="M53" s="2"/>
      <c r="N53" s="19">
        <f t="shared" si="1"/>
        <v>-1</v>
      </c>
      <c r="O53" s="10"/>
      <c r="P53" s="2">
        <f t="shared" si="18"/>
        <v>0</v>
      </c>
      <c r="Q53" s="2"/>
      <c r="R53" s="19"/>
      <c r="S53" s="2"/>
      <c r="T53" s="2">
        <f>--41685.94</f>
        <v>41685.94</v>
      </c>
      <c r="U53" s="2"/>
      <c r="V53" s="19"/>
      <c r="W53" s="2"/>
      <c r="X53" s="2">
        <f t="shared" si="2"/>
        <v>-41685.94</v>
      </c>
      <c r="Y53" s="2"/>
      <c r="Z53" s="19">
        <f t="shared" si="3"/>
        <v>-1</v>
      </c>
    </row>
    <row r="54" spans="1:26" s="23" customFormat="1" hidden="1" outlineLevel="1" x14ac:dyDescent="0.25">
      <c r="A54" s="44"/>
      <c r="B54" s="10" t="str">
        <f>CONCATENATE("          ", "4095", " - ", "TAXABLE SALES-CUSTOMER SERVICE")</f>
        <v xml:space="preserve">          4095 - TAXABLE SALES-CUSTOMER SERVICE</v>
      </c>
      <c r="C54" s="10"/>
      <c r="D54" s="2">
        <f>--1688.17</f>
        <v>1688.17</v>
      </c>
      <c r="E54" s="2"/>
      <c r="F54" s="19"/>
      <c r="G54" s="2"/>
      <c r="H54" s="2">
        <f>0</f>
        <v>0</v>
      </c>
      <c r="I54" s="2"/>
      <c r="J54" s="19"/>
      <c r="K54" s="2"/>
      <c r="L54" s="2">
        <f t="shared" si="0"/>
        <v>1688.17</v>
      </c>
      <c r="M54" s="2"/>
      <c r="N54" s="19">
        <f t="shared" si="1"/>
        <v>0</v>
      </c>
      <c r="O54" s="10"/>
      <c r="P54" s="2">
        <f>--15614</f>
        <v>15614</v>
      </c>
      <c r="Q54" s="2"/>
      <c r="R54" s="19"/>
      <c r="S54" s="2"/>
      <c r="T54" s="2">
        <f>--309.26</f>
        <v>309.26</v>
      </c>
      <c r="U54" s="2"/>
      <c r="V54" s="19"/>
      <c r="W54" s="2"/>
      <c r="X54" s="2">
        <f t="shared" si="2"/>
        <v>15304.74</v>
      </c>
      <c r="Y54" s="2"/>
      <c r="Z54" s="19">
        <f t="shared" si="3"/>
        <v>49.488262303563346</v>
      </c>
    </row>
    <row r="55" spans="1:26" s="23" customFormat="1" hidden="1" outlineLevel="1" x14ac:dyDescent="0.25">
      <c r="A55" s="44"/>
      <c r="B55" s="10" t="str">
        <f>CONCATENATE("          ", "4100", " - ", "NON-TAXABLE SALES")</f>
        <v xml:space="preserve">          4100 - NON-TAXABLE SALES</v>
      </c>
      <c r="C55" s="10"/>
      <c r="D55" s="2">
        <f>--10487.8</f>
        <v>10487.8</v>
      </c>
      <c r="E55" s="2"/>
      <c r="F55" s="19"/>
      <c r="G55" s="2"/>
      <c r="H55" s="2">
        <f>--46177.48</f>
        <v>46177.48</v>
      </c>
      <c r="I55" s="2"/>
      <c r="J55" s="19"/>
      <c r="K55" s="2"/>
      <c r="L55" s="2">
        <f t="shared" si="0"/>
        <v>-35689.680000000008</v>
      </c>
      <c r="M55" s="2"/>
      <c r="N55" s="19">
        <f t="shared" si="1"/>
        <v>-0.7728806335902263</v>
      </c>
      <c r="O55" s="10"/>
      <c r="P55" s="2">
        <f>--805058.78</f>
        <v>805058.78</v>
      </c>
      <c r="Q55" s="2"/>
      <c r="R55" s="19"/>
      <c r="S55" s="2"/>
      <c r="T55" s="2">
        <f>--1082924.5</f>
        <v>1082924.5</v>
      </c>
      <c r="U55" s="2"/>
      <c r="V55" s="19"/>
      <c r="W55" s="2"/>
      <c r="X55" s="2">
        <f t="shared" si="2"/>
        <v>-277865.71999999997</v>
      </c>
      <c r="Y55" s="2"/>
      <c r="Z55" s="19">
        <f t="shared" si="3"/>
        <v>-0.25658826631034753</v>
      </c>
    </row>
    <row r="56" spans="1:26" s="23" customFormat="1" hidden="1" outlineLevel="1" x14ac:dyDescent="0.25">
      <c r="A56" s="44"/>
      <c r="B56" s="10" t="str">
        <f>CONCATENATE("          ", "4101", " - ", "NON-TAXABLE SALES-NEW TEXT")</f>
        <v xml:space="preserve">          4101 - NON-TAXABLE SALES-NEW TEXT</v>
      </c>
      <c r="C56" s="10"/>
      <c r="D56" s="2">
        <f>--1301.39</f>
        <v>1301.3900000000001</v>
      </c>
      <c r="E56" s="2"/>
      <c r="F56" s="19"/>
      <c r="G56" s="2"/>
      <c r="H56" s="2">
        <f>--2671.34</f>
        <v>2671.34</v>
      </c>
      <c r="I56" s="2"/>
      <c r="J56" s="19"/>
      <c r="K56" s="2"/>
      <c r="L56" s="2">
        <f t="shared" si="0"/>
        <v>-1369.95</v>
      </c>
      <c r="M56" s="2"/>
      <c r="N56" s="19">
        <f t="shared" si="1"/>
        <v>-0.51283251102442973</v>
      </c>
      <c r="O56" s="10"/>
      <c r="P56" s="2">
        <f>--120548.46</f>
        <v>120548.46</v>
      </c>
      <c r="Q56" s="2"/>
      <c r="R56" s="19"/>
      <c r="S56" s="2"/>
      <c r="T56" s="2">
        <f>--153953.68</f>
        <v>153953.68</v>
      </c>
      <c r="U56" s="2"/>
      <c r="V56" s="19"/>
      <c r="W56" s="2"/>
      <c r="X56" s="2">
        <f t="shared" si="2"/>
        <v>-33405.219999999987</v>
      </c>
      <c r="Y56" s="2"/>
      <c r="Z56" s="19">
        <f t="shared" si="3"/>
        <v>-0.21698227674713583</v>
      </c>
    </row>
    <row r="57" spans="1:26" s="23" customFormat="1" hidden="1" outlineLevel="1" x14ac:dyDescent="0.25">
      <c r="A57" s="44"/>
      <c r="B57" s="10" t="str">
        <f>CONCATENATE("          ", "4102", " - ", "NON-TAXABLE SALES-USED TEXT")</f>
        <v xml:space="preserve">          4102 - NON-TAXABLE SALES-USED TEXT</v>
      </c>
      <c r="C57" s="10"/>
      <c r="D57" s="2">
        <f>--540.91</f>
        <v>540.91</v>
      </c>
      <c r="E57" s="2"/>
      <c r="F57" s="19"/>
      <c r="G57" s="2"/>
      <c r="H57" s="2">
        <f>--1718.15</f>
        <v>1718.15</v>
      </c>
      <c r="I57" s="2"/>
      <c r="J57" s="19"/>
      <c r="K57" s="2"/>
      <c r="L57" s="2">
        <f t="shared" si="0"/>
        <v>-1177.2400000000002</v>
      </c>
      <c r="M57" s="2"/>
      <c r="N57" s="19">
        <f t="shared" si="1"/>
        <v>-0.68517882606291658</v>
      </c>
      <c r="O57" s="10"/>
      <c r="P57" s="2">
        <f>--51587.64</f>
        <v>51587.64</v>
      </c>
      <c r="Q57" s="2"/>
      <c r="R57" s="19"/>
      <c r="S57" s="2"/>
      <c r="T57" s="2">
        <f>--71943.61</f>
        <v>71943.61</v>
      </c>
      <c r="U57" s="2"/>
      <c r="V57" s="19"/>
      <c r="W57" s="2"/>
      <c r="X57" s="2">
        <f t="shared" si="2"/>
        <v>-20355.97</v>
      </c>
      <c r="Y57" s="2"/>
      <c r="Z57" s="19">
        <f t="shared" si="3"/>
        <v>-0.28294340525864631</v>
      </c>
    </row>
    <row r="58" spans="1:26" s="23" customFormat="1" hidden="1" outlineLevel="1" x14ac:dyDescent="0.25">
      <c r="A58" s="44"/>
      <c r="B58" s="10" t="str">
        <f>CONCATENATE("          ", "4103", " - ", "NON-TAXABLE SALES-RENTAL TEXT")</f>
        <v xml:space="preserve">          4103 - NON-TAXABLE SALES-RENTAL TEXT</v>
      </c>
      <c r="C58" s="10"/>
      <c r="D58" s="2">
        <f>0</f>
        <v>0</v>
      </c>
      <c r="E58" s="2"/>
      <c r="F58" s="19"/>
      <c r="G58" s="2"/>
      <c r="H58" s="2">
        <f>0</f>
        <v>0</v>
      </c>
      <c r="I58" s="2"/>
      <c r="J58" s="19"/>
      <c r="K58" s="2"/>
      <c r="L58" s="2">
        <f t="shared" si="0"/>
        <v>0</v>
      </c>
      <c r="M58" s="2"/>
      <c r="N58" s="19">
        <f t="shared" si="1"/>
        <v>0</v>
      </c>
      <c r="O58" s="10"/>
      <c r="P58" s="2">
        <f>--1138.95</f>
        <v>1138.95</v>
      </c>
      <c r="Q58" s="2"/>
      <c r="R58" s="19"/>
      <c r="S58" s="2"/>
      <c r="T58" s="2">
        <f>--664.97</f>
        <v>664.97</v>
      </c>
      <c r="U58" s="2"/>
      <c r="V58" s="19"/>
      <c r="W58" s="2"/>
      <c r="X58" s="2">
        <f t="shared" si="2"/>
        <v>473.98</v>
      </c>
      <c r="Y58" s="2"/>
      <c r="Z58" s="19">
        <f t="shared" si="3"/>
        <v>0.71278403537001667</v>
      </c>
    </row>
    <row r="59" spans="1:26" s="23" customFormat="1" hidden="1" outlineLevel="1" x14ac:dyDescent="0.25">
      <c r="A59" s="44"/>
      <c r="B59" s="10" t="str">
        <f>CONCATENATE("          ", "4104", " - ", "NON-TAXABLE SALES-DIGITAL TEXT")</f>
        <v xml:space="preserve">          4104 - NON-TAXABLE SALES-DIGITAL TEXT</v>
      </c>
      <c r="C59" s="10"/>
      <c r="D59" s="2">
        <f>--695.53</f>
        <v>695.53</v>
      </c>
      <c r="E59" s="2"/>
      <c r="F59" s="19"/>
      <c r="G59" s="2"/>
      <c r="H59" s="2">
        <f>--1836.93</f>
        <v>1836.93</v>
      </c>
      <c r="I59" s="2"/>
      <c r="J59" s="19"/>
      <c r="K59" s="2"/>
      <c r="L59" s="2">
        <f t="shared" si="0"/>
        <v>-1141.4000000000001</v>
      </c>
      <c r="M59" s="2"/>
      <c r="N59" s="19">
        <f t="shared" si="1"/>
        <v>-0.62136281730931497</v>
      </c>
      <c r="O59" s="10"/>
      <c r="P59" s="2">
        <f>--491583.26</f>
        <v>491583.26</v>
      </c>
      <c r="Q59" s="2"/>
      <c r="R59" s="19"/>
      <c r="S59" s="2"/>
      <c r="T59" s="2">
        <f>--533640.31</f>
        <v>533640.31000000006</v>
      </c>
      <c r="U59" s="2"/>
      <c r="V59" s="19"/>
      <c r="W59" s="2"/>
      <c r="X59" s="2">
        <f t="shared" si="2"/>
        <v>-42057.050000000047</v>
      </c>
      <c r="Y59" s="2"/>
      <c r="Z59" s="19">
        <f t="shared" si="3"/>
        <v>-7.8811606267150322E-2</v>
      </c>
    </row>
    <row r="60" spans="1:26" s="23" customFormat="1" hidden="1" outlineLevel="1" x14ac:dyDescent="0.25">
      <c r="A60" s="44"/>
      <c r="B60" s="10" t="str">
        <f>CONCATENATE("          ", "4111", " - ", "NON-TAXABLE SALES-NO VALUE TEX")</f>
        <v xml:space="preserve">          4111 - NON-TAXABLE SALES-NO VALUE TEX</v>
      </c>
      <c r="C60" s="10"/>
      <c r="D60" s="2">
        <f t="shared" ref="D60:D62" si="19">0</f>
        <v>0</v>
      </c>
      <c r="E60" s="2"/>
      <c r="F60" s="19"/>
      <c r="G60" s="2"/>
      <c r="H60" s="2">
        <f>--679.21</f>
        <v>679.21</v>
      </c>
      <c r="I60" s="2"/>
      <c r="J60" s="19"/>
      <c r="K60" s="2"/>
      <c r="L60" s="2">
        <f t="shared" si="0"/>
        <v>-679.21</v>
      </c>
      <c r="M60" s="2"/>
      <c r="N60" s="19">
        <f t="shared" si="1"/>
        <v>-1</v>
      </c>
      <c r="O60" s="10"/>
      <c r="P60" s="2">
        <f>0</f>
        <v>0</v>
      </c>
      <c r="Q60" s="2"/>
      <c r="R60" s="19"/>
      <c r="S60" s="2"/>
      <c r="T60" s="2">
        <f>--16342.67</f>
        <v>16342.67</v>
      </c>
      <c r="U60" s="2"/>
      <c r="V60" s="19"/>
      <c r="W60" s="2"/>
      <c r="X60" s="2">
        <f t="shared" si="2"/>
        <v>-16342.67</v>
      </c>
      <c r="Y60" s="2"/>
      <c r="Z60" s="19">
        <f t="shared" si="3"/>
        <v>-1</v>
      </c>
    </row>
    <row r="61" spans="1:26" s="23" customFormat="1" hidden="1" outlineLevel="1" x14ac:dyDescent="0.25">
      <c r="A61" s="44"/>
      <c r="B61" s="10" t="str">
        <f>CONCATENATE("          ", "4113", " - ", "NON-TAXABLE SALES-TRADE BOOKS")</f>
        <v xml:space="preserve">          4113 - NON-TAXABLE SALES-TRADE BOOKS</v>
      </c>
      <c r="C61" s="10"/>
      <c r="D61" s="2">
        <f t="shared" si="19"/>
        <v>0</v>
      </c>
      <c r="E61" s="2"/>
      <c r="F61" s="19"/>
      <c r="G61" s="2"/>
      <c r="H61" s="2">
        <f t="shared" ref="H61:H62" si="20">0</f>
        <v>0</v>
      </c>
      <c r="I61" s="2"/>
      <c r="J61" s="19"/>
      <c r="K61" s="2"/>
      <c r="L61" s="2">
        <f t="shared" si="0"/>
        <v>0</v>
      </c>
      <c r="M61" s="2"/>
      <c r="N61" s="19">
        <f t="shared" si="1"/>
        <v>0</v>
      </c>
      <c r="O61" s="10"/>
      <c r="P61" s="2">
        <f>--12127.25</f>
        <v>12127.25</v>
      </c>
      <c r="Q61" s="2"/>
      <c r="R61" s="19"/>
      <c r="S61" s="2"/>
      <c r="T61" s="2">
        <f>--8266.16</f>
        <v>8266.16</v>
      </c>
      <c r="U61" s="2"/>
      <c r="V61" s="19"/>
      <c r="W61" s="2"/>
      <c r="X61" s="2">
        <f t="shared" si="2"/>
        <v>3861.09</v>
      </c>
      <c r="Y61" s="2"/>
      <c r="Z61" s="19">
        <f t="shared" si="3"/>
        <v>0.46709596717218155</v>
      </c>
    </row>
    <row r="62" spans="1:26" s="23" customFormat="1" hidden="1" outlineLevel="1" x14ac:dyDescent="0.25">
      <c r="A62" s="44"/>
      <c r="B62" s="10" t="str">
        <f>CONCATENATE("          ", "4114", " - ", "NON-TAXABLE SALES-REMAINDERS")</f>
        <v xml:space="preserve">          4114 - NON-TAXABLE SALES-REMAINDERS</v>
      </c>
      <c r="C62" s="10"/>
      <c r="D62" s="2">
        <f t="shared" si="19"/>
        <v>0</v>
      </c>
      <c r="E62" s="2"/>
      <c r="F62" s="19"/>
      <c r="G62" s="2"/>
      <c r="H62" s="2">
        <f t="shared" si="20"/>
        <v>0</v>
      </c>
      <c r="I62" s="2"/>
      <c r="J62" s="19"/>
      <c r="K62" s="2"/>
      <c r="L62" s="2">
        <f t="shared" si="0"/>
        <v>0</v>
      </c>
      <c r="M62" s="2"/>
      <c r="N62" s="19">
        <f t="shared" si="1"/>
        <v>0</v>
      </c>
      <c r="O62" s="10"/>
      <c r="P62" s="2">
        <f>0</f>
        <v>0</v>
      </c>
      <c r="Q62" s="2"/>
      <c r="R62" s="19"/>
      <c r="S62" s="2"/>
      <c r="T62" s="2">
        <f>--3.19</f>
        <v>3.19</v>
      </c>
      <c r="U62" s="2"/>
      <c r="V62" s="19"/>
      <c r="W62" s="2"/>
      <c r="X62" s="2">
        <f t="shared" si="2"/>
        <v>-3.19</v>
      </c>
      <c r="Y62" s="2"/>
      <c r="Z62" s="19">
        <f t="shared" si="3"/>
        <v>-1</v>
      </c>
    </row>
    <row r="63" spans="1:26" s="23" customFormat="1" hidden="1" outlineLevel="1" x14ac:dyDescent="0.25">
      <c r="A63" s="44"/>
      <c r="B63" s="10" t="str">
        <f>CONCATENATE("          ", "4118", " - ", "NON-TAXABLE SALES-STUDY GUIDES")</f>
        <v xml:space="preserve">          4118 - NON-TAXABLE SALES-STUDY GUIDES</v>
      </c>
      <c r="C63" s="10"/>
      <c r="D63" s="2">
        <f>--594.22</f>
        <v>594.22</v>
      </c>
      <c r="E63" s="2"/>
      <c r="F63" s="19"/>
      <c r="G63" s="2"/>
      <c r="H63" s="2">
        <f>--10.09</f>
        <v>10.09</v>
      </c>
      <c r="I63" s="2"/>
      <c r="J63" s="19"/>
      <c r="K63" s="2"/>
      <c r="L63" s="2">
        <f t="shared" si="0"/>
        <v>584.13</v>
      </c>
      <c r="M63" s="2"/>
      <c r="N63" s="19">
        <f t="shared" si="1"/>
        <v>57.891972249752229</v>
      </c>
      <c r="O63" s="10"/>
      <c r="P63" s="2">
        <f>--1365.95</f>
        <v>1365.95</v>
      </c>
      <c r="Q63" s="2"/>
      <c r="R63" s="19"/>
      <c r="S63" s="2"/>
      <c r="T63" s="2">
        <f>--126.03</f>
        <v>126.03</v>
      </c>
      <c r="U63" s="2"/>
      <c r="V63" s="19"/>
      <c r="W63" s="2"/>
      <c r="X63" s="2">
        <f t="shared" si="2"/>
        <v>1239.92</v>
      </c>
      <c r="Y63" s="2"/>
      <c r="Z63" s="19">
        <f t="shared" si="3"/>
        <v>9.8382924700468148</v>
      </c>
    </row>
    <row r="64" spans="1:26" s="23" customFormat="1" hidden="1" outlineLevel="1" x14ac:dyDescent="0.25">
      <c r="A64" s="44"/>
      <c r="B64" s="10" t="str">
        <f>CONCATENATE("          ", "4125", " - ", "NON-TAXABLE SALES-TEST FORMS")</f>
        <v xml:space="preserve">          4125 - NON-TAXABLE SALES-TEST FORMS</v>
      </c>
      <c r="C64" s="10"/>
      <c r="D64" s="2">
        <f t="shared" ref="D64:D65" si="21">0</f>
        <v>0</v>
      </c>
      <c r="E64" s="2"/>
      <c r="F64" s="19"/>
      <c r="G64" s="2"/>
      <c r="H64" s="2">
        <f>--185</f>
        <v>185</v>
      </c>
      <c r="I64" s="2"/>
      <c r="J64" s="19"/>
      <c r="K64" s="2"/>
      <c r="L64" s="2">
        <f t="shared" si="0"/>
        <v>-185</v>
      </c>
      <c r="M64" s="2"/>
      <c r="N64" s="19">
        <f t="shared" si="1"/>
        <v>-1</v>
      </c>
      <c r="O64" s="10"/>
      <c r="P64" s="2">
        <f>0</f>
        <v>0</v>
      </c>
      <c r="Q64" s="2"/>
      <c r="R64" s="19"/>
      <c r="S64" s="2"/>
      <c r="T64" s="2">
        <f>--452.61</f>
        <v>452.61</v>
      </c>
      <c r="U64" s="2"/>
      <c r="V64" s="19"/>
      <c r="W64" s="2"/>
      <c r="X64" s="2">
        <f t="shared" si="2"/>
        <v>-452.61</v>
      </c>
      <c r="Y64" s="2"/>
      <c r="Z64" s="19">
        <f t="shared" si="3"/>
        <v>-1</v>
      </c>
    </row>
    <row r="65" spans="1:26" s="23" customFormat="1" hidden="1" outlineLevel="1" x14ac:dyDescent="0.25">
      <c r="A65" s="44"/>
      <c r="B65" s="10" t="str">
        <f>CONCATENATE("          ", "4126", " - ", "NON-TAXABLE SALES-WRITING INST")</f>
        <v xml:space="preserve">          4126 - NON-TAXABLE SALES-WRITING INST</v>
      </c>
      <c r="C65" s="10"/>
      <c r="D65" s="2">
        <f t="shared" si="21"/>
        <v>0</v>
      </c>
      <c r="E65" s="2"/>
      <c r="F65" s="19"/>
      <c r="G65" s="2"/>
      <c r="H65" s="2">
        <f>--168.02</f>
        <v>168.02</v>
      </c>
      <c r="I65" s="2"/>
      <c r="J65" s="19"/>
      <c r="K65" s="2"/>
      <c r="L65" s="2">
        <f t="shared" si="0"/>
        <v>-168.02</v>
      </c>
      <c r="M65" s="2"/>
      <c r="N65" s="19">
        <f t="shared" si="1"/>
        <v>-1</v>
      </c>
      <c r="O65" s="10"/>
      <c r="P65" s="2">
        <f>--52.68</f>
        <v>52.68</v>
      </c>
      <c r="Q65" s="2"/>
      <c r="R65" s="19"/>
      <c r="S65" s="2"/>
      <c r="T65" s="2">
        <f>--3301.44</f>
        <v>3301.44</v>
      </c>
      <c r="U65" s="2"/>
      <c r="V65" s="19"/>
      <c r="W65" s="2"/>
      <c r="X65" s="2">
        <f t="shared" si="2"/>
        <v>-3248.76</v>
      </c>
      <c r="Y65" s="2"/>
      <c r="Z65" s="19">
        <f t="shared" si="3"/>
        <v>-0.98404332654841531</v>
      </c>
    </row>
    <row r="66" spans="1:26" s="23" customFormat="1" hidden="1" outlineLevel="1" x14ac:dyDescent="0.25">
      <c r="A66" s="44"/>
      <c r="B66" s="10" t="str">
        <f>CONCATENATE("          ", "4127", " - ", "NON-TAXABLE SALES-SCHOOL SUPPL")</f>
        <v xml:space="preserve">          4127 - NON-TAXABLE SALES-SCHOOL SUPPL</v>
      </c>
      <c r="C66" s="10"/>
      <c r="D66" s="2">
        <f>--99.87</f>
        <v>99.87</v>
      </c>
      <c r="E66" s="2"/>
      <c r="F66" s="19"/>
      <c r="G66" s="2"/>
      <c r="H66" s="2">
        <f>--97.62</f>
        <v>97.62</v>
      </c>
      <c r="I66" s="2"/>
      <c r="J66" s="19"/>
      <c r="K66" s="2"/>
      <c r="L66" s="2">
        <f t="shared" si="0"/>
        <v>2.25</v>
      </c>
      <c r="M66" s="2"/>
      <c r="N66" s="19">
        <f t="shared" si="1"/>
        <v>2.3048555623847573E-2</v>
      </c>
      <c r="O66" s="10"/>
      <c r="P66" s="2">
        <f>--7748.6</f>
        <v>7748.6</v>
      </c>
      <c r="Q66" s="2"/>
      <c r="R66" s="19"/>
      <c r="S66" s="2"/>
      <c r="T66" s="2">
        <f>--6471.33</f>
        <v>6471.33</v>
      </c>
      <c r="U66" s="2"/>
      <c r="V66" s="19"/>
      <c r="W66" s="2"/>
      <c r="X66" s="2">
        <f t="shared" si="2"/>
        <v>1277.2700000000004</v>
      </c>
      <c r="Y66" s="2"/>
      <c r="Z66" s="19">
        <f t="shared" si="3"/>
        <v>0.19737364653015693</v>
      </c>
    </row>
    <row r="67" spans="1:26" s="23" customFormat="1" hidden="1" outlineLevel="1" x14ac:dyDescent="0.25">
      <c r="A67" s="44"/>
      <c r="B67" s="10" t="str">
        <f>CONCATENATE("          ", "4128", " - ", "NON-TAXABLE SALES-ART/TECH")</f>
        <v xml:space="preserve">          4128 - NON-TAXABLE SALES-ART/TECH</v>
      </c>
      <c r="C67" s="10"/>
      <c r="D67" s="2">
        <f>0</f>
        <v>0</v>
      </c>
      <c r="E67" s="2"/>
      <c r="F67" s="19"/>
      <c r="G67" s="2"/>
      <c r="H67" s="2">
        <f>--0.74</f>
        <v>0.74</v>
      </c>
      <c r="I67" s="2"/>
      <c r="J67" s="19"/>
      <c r="K67" s="2"/>
      <c r="L67" s="2">
        <f t="shared" si="0"/>
        <v>-0.74</v>
      </c>
      <c r="M67" s="2"/>
      <c r="N67" s="19">
        <f t="shared" si="1"/>
        <v>-1</v>
      </c>
      <c r="O67" s="10"/>
      <c r="P67" s="2">
        <f>--115.91</f>
        <v>115.91</v>
      </c>
      <c r="Q67" s="2"/>
      <c r="R67" s="19"/>
      <c r="S67" s="2"/>
      <c r="T67" s="2">
        <f>--731.36</f>
        <v>731.36</v>
      </c>
      <c r="U67" s="2"/>
      <c r="V67" s="19"/>
      <c r="W67" s="2"/>
      <c r="X67" s="2">
        <f t="shared" si="2"/>
        <v>-615.45000000000005</v>
      </c>
      <c r="Y67" s="2"/>
      <c r="Z67" s="19">
        <f t="shared" si="3"/>
        <v>-0.84151443885364252</v>
      </c>
    </row>
    <row r="68" spans="1:26" s="23" customFormat="1" hidden="1" outlineLevel="1" x14ac:dyDescent="0.25">
      <c r="A68" s="44"/>
      <c r="B68" s="10" t="str">
        <f>CONCATENATE("          ", "4131", " - ", "NON-TAXABLE SALES-FOOD")</f>
        <v xml:space="preserve">          4131 - NON-TAXABLE SALES-FOOD</v>
      </c>
      <c r="C68" s="10"/>
      <c r="D68" s="2">
        <f>--540.62</f>
        <v>540.62</v>
      </c>
      <c r="E68" s="2"/>
      <c r="F68" s="19"/>
      <c r="G68" s="2"/>
      <c r="H68" s="2">
        <f>--64.14</f>
        <v>64.14</v>
      </c>
      <c r="I68" s="2"/>
      <c r="J68" s="19"/>
      <c r="K68" s="2"/>
      <c r="L68" s="2">
        <f t="shared" si="0"/>
        <v>476.48</v>
      </c>
      <c r="M68" s="2"/>
      <c r="N68" s="19">
        <f t="shared" si="1"/>
        <v>7.4287496102276274</v>
      </c>
      <c r="O68" s="10"/>
      <c r="P68" s="2">
        <f>--12696.76</f>
        <v>12696.76</v>
      </c>
      <c r="Q68" s="2"/>
      <c r="R68" s="19"/>
      <c r="S68" s="2"/>
      <c r="T68" s="2">
        <f>--57960.32</f>
        <v>57960.32</v>
      </c>
      <c r="U68" s="2"/>
      <c r="V68" s="19"/>
      <c r="W68" s="2"/>
      <c r="X68" s="2">
        <f t="shared" si="2"/>
        <v>-45263.56</v>
      </c>
      <c r="Y68" s="2"/>
      <c r="Z68" s="19">
        <f t="shared" si="3"/>
        <v>-0.78094047789936283</v>
      </c>
    </row>
    <row r="69" spans="1:26" s="23" customFormat="1" hidden="1" outlineLevel="1" x14ac:dyDescent="0.25">
      <c r="A69" s="44"/>
      <c r="B69" s="10" t="str">
        <f>CONCATENATE("          ", "4132", " - ", "NON-TAXABLE SALES-JUICE")</f>
        <v xml:space="preserve">          4132 - NON-TAXABLE SALES-JUICE</v>
      </c>
      <c r="C69" s="10"/>
      <c r="D69" s="2">
        <f t="shared" ref="D69:D73" si="22">0</f>
        <v>0</v>
      </c>
      <c r="E69" s="2"/>
      <c r="F69" s="19"/>
      <c r="G69" s="2"/>
      <c r="H69" s="2">
        <f>--114.48</f>
        <v>114.48</v>
      </c>
      <c r="I69" s="2"/>
      <c r="J69" s="19"/>
      <c r="K69" s="2"/>
      <c r="L69" s="2">
        <f t="shared" si="0"/>
        <v>-114.48</v>
      </c>
      <c r="M69" s="2"/>
      <c r="N69" s="19">
        <f t="shared" si="1"/>
        <v>-1</v>
      </c>
      <c r="O69" s="10"/>
      <c r="P69" s="2">
        <f>--2054.37</f>
        <v>2054.37</v>
      </c>
      <c r="Q69" s="2"/>
      <c r="R69" s="19"/>
      <c r="S69" s="2"/>
      <c r="T69" s="2">
        <f>--1110092.26</f>
        <v>1110092.26</v>
      </c>
      <c r="U69" s="2"/>
      <c r="V69" s="19"/>
      <c r="W69" s="2"/>
      <c r="X69" s="2">
        <f t="shared" si="2"/>
        <v>-1108037.8899999999</v>
      </c>
      <c r="Y69" s="2"/>
      <c r="Z69" s="19">
        <f t="shared" si="3"/>
        <v>-0.99814937003524362</v>
      </c>
    </row>
    <row r="70" spans="1:26" s="23" customFormat="1" hidden="1" outlineLevel="1" x14ac:dyDescent="0.25">
      <c r="A70" s="44"/>
      <c r="B70" s="10" t="str">
        <f>CONCATENATE("          ", "4133", " - ", "NON-TAXABLE SALES-CANDY")</f>
        <v xml:space="preserve">          4133 - NON-TAXABLE SALES-CANDY</v>
      </c>
      <c r="C70" s="10"/>
      <c r="D70" s="2">
        <f t="shared" si="22"/>
        <v>0</v>
      </c>
      <c r="E70" s="2"/>
      <c r="F70" s="19"/>
      <c r="G70" s="2"/>
      <c r="H70" s="2">
        <f>--13.47</f>
        <v>13.47</v>
      </c>
      <c r="I70" s="2"/>
      <c r="J70" s="19"/>
      <c r="K70" s="2"/>
      <c r="L70" s="2">
        <f t="shared" si="0"/>
        <v>-13.47</v>
      </c>
      <c r="M70" s="2"/>
      <c r="N70" s="19">
        <f t="shared" si="1"/>
        <v>-1</v>
      </c>
      <c r="O70" s="10"/>
      <c r="P70" s="2">
        <f>--80.71</f>
        <v>80.709999999999994</v>
      </c>
      <c r="Q70" s="2"/>
      <c r="R70" s="19"/>
      <c r="S70" s="2"/>
      <c r="T70" s="2">
        <f>--18151.79</f>
        <v>18151.79</v>
      </c>
      <c r="U70" s="2"/>
      <c r="V70" s="19"/>
      <c r="W70" s="2"/>
      <c r="X70" s="2">
        <f t="shared" si="2"/>
        <v>-18071.080000000002</v>
      </c>
      <c r="Y70" s="2"/>
      <c r="Z70" s="19">
        <f t="shared" si="3"/>
        <v>-0.99555360655891245</v>
      </c>
    </row>
    <row r="71" spans="1:26" s="23" customFormat="1" hidden="1" outlineLevel="1" x14ac:dyDescent="0.25">
      <c r="A71" s="44"/>
      <c r="B71" s="10" t="str">
        <f>CONCATENATE("          ", "4134", " - ", "NON-TAXABLE SALES-SODA")</f>
        <v xml:space="preserve">          4134 - NON-TAXABLE SALES-SODA</v>
      </c>
      <c r="C71" s="10"/>
      <c r="D71" s="2">
        <f t="shared" si="22"/>
        <v>0</v>
      </c>
      <c r="E71" s="2"/>
      <c r="F71" s="19"/>
      <c r="G71" s="2"/>
      <c r="H71" s="2">
        <f>--4.99</f>
        <v>4.99</v>
      </c>
      <c r="I71" s="2"/>
      <c r="J71" s="19"/>
      <c r="K71" s="2"/>
      <c r="L71" s="2">
        <f t="shared" si="0"/>
        <v>-4.99</v>
      </c>
      <c r="M71" s="2"/>
      <c r="N71" s="19">
        <f t="shared" si="1"/>
        <v>-1</v>
      </c>
      <c r="O71" s="10"/>
      <c r="P71" s="2">
        <f>--45.53</f>
        <v>45.53</v>
      </c>
      <c r="Q71" s="2"/>
      <c r="R71" s="19"/>
      <c r="S71" s="2"/>
      <c r="T71" s="2">
        <f>--101.72</f>
        <v>101.72</v>
      </c>
      <c r="U71" s="2"/>
      <c r="V71" s="19"/>
      <c r="W71" s="2"/>
      <c r="X71" s="2">
        <f t="shared" si="2"/>
        <v>-56.19</v>
      </c>
      <c r="Y71" s="2"/>
      <c r="Z71" s="19">
        <f t="shared" si="3"/>
        <v>-0.55239874164372782</v>
      </c>
    </row>
    <row r="72" spans="1:26" s="23" customFormat="1" hidden="1" outlineLevel="1" x14ac:dyDescent="0.25">
      <c r="A72" s="44"/>
      <c r="B72" s="10" t="str">
        <f>CONCATENATE("          ", "4135", " - ", "NON-TAXABLE SALES")</f>
        <v xml:space="preserve">          4135 - NON-TAXABLE SALES</v>
      </c>
      <c r="C72" s="10"/>
      <c r="D72" s="2">
        <f t="shared" si="22"/>
        <v>0</v>
      </c>
      <c r="E72" s="2"/>
      <c r="F72" s="19"/>
      <c r="G72" s="2"/>
      <c r="H72" s="2">
        <f t="shared" ref="H72:H73" si="23">0</f>
        <v>0</v>
      </c>
      <c r="I72" s="2"/>
      <c r="J72" s="19"/>
      <c r="K72" s="2"/>
      <c r="L72" s="2">
        <f t="shared" si="0"/>
        <v>0</v>
      </c>
      <c r="M72" s="2"/>
      <c r="N72" s="19">
        <f t="shared" si="1"/>
        <v>0</v>
      </c>
      <c r="O72" s="10"/>
      <c r="P72" s="2">
        <f>0</f>
        <v>0</v>
      </c>
      <c r="Q72" s="2"/>
      <c r="R72" s="19"/>
      <c r="S72" s="2"/>
      <c r="T72" s="2">
        <f>--161.4</f>
        <v>161.4</v>
      </c>
      <c r="U72" s="2"/>
      <c r="V72" s="19"/>
      <c r="W72" s="2"/>
      <c r="X72" s="2">
        <f t="shared" si="2"/>
        <v>-161.4</v>
      </c>
      <c r="Y72" s="2"/>
      <c r="Z72" s="19">
        <f t="shared" si="3"/>
        <v>-1</v>
      </c>
    </row>
    <row r="73" spans="1:26" s="23" customFormat="1" hidden="1" outlineLevel="1" x14ac:dyDescent="0.25">
      <c r="A73" s="44"/>
      <c r="B73" s="10" t="str">
        <f>CONCATENATE("          ", "4137", " - ", "NON-TAXABLE SALES-WATER")</f>
        <v xml:space="preserve">          4137 - NON-TAXABLE SALES-WATER</v>
      </c>
      <c r="C73" s="10"/>
      <c r="D73" s="2">
        <f t="shared" si="22"/>
        <v>0</v>
      </c>
      <c r="E73" s="2"/>
      <c r="F73" s="19"/>
      <c r="G73" s="2"/>
      <c r="H73" s="2">
        <f t="shared" si="23"/>
        <v>0</v>
      </c>
      <c r="I73" s="2"/>
      <c r="J73" s="19"/>
      <c r="K73" s="2"/>
      <c r="L73" s="2">
        <f t="shared" si="0"/>
        <v>0</v>
      </c>
      <c r="M73" s="2"/>
      <c r="N73" s="19">
        <f t="shared" si="1"/>
        <v>0</v>
      </c>
      <c r="O73" s="10"/>
      <c r="P73" s="2">
        <f>--68.25</f>
        <v>68.25</v>
      </c>
      <c r="Q73" s="2"/>
      <c r="R73" s="19"/>
      <c r="S73" s="2"/>
      <c r="T73" s="2">
        <f>--10094.74</f>
        <v>10094.74</v>
      </c>
      <c r="U73" s="2"/>
      <c r="V73" s="19"/>
      <c r="W73" s="2"/>
      <c r="X73" s="2">
        <f t="shared" si="2"/>
        <v>-10026.49</v>
      </c>
      <c r="Y73" s="2"/>
      <c r="Z73" s="19">
        <f t="shared" si="3"/>
        <v>-0.99323905320988948</v>
      </c>
    </row>
    <row r="74" spans="1:26" s="23" customFormat="1" hidden="1" outlineLevel="1" x14ac:dyDescent="0.25">
      <c r="A74" s="44"/>
      <c r="B74" s="10" t="str">
        <f>CONCATENATE("          ", "4140", " - ", "NON-TAXABLE SALES-LOGO CLOTHIN")</f>
        <v xml:space="preserve">          4140 - NON-TAXABLE SALES-LOGO CLOTHIN</v>
      </c>
      <c r="C74" s="10"/>
      <c r="D74" s="2">
        <f>--9520.45</f>
        <v>9520.4500000000007</v>
      </c>
      <c r="E74" s="2"/>
      <c r="F74" s="19"/>
      <c r="G74" s="2"/>
      <c r="H74" s="2">
        <f>--40740.37</f>
        <v>40740.370000000003</v>
      </c>
      <c r="I74" s="2"/>
      <c r="J74" s="19"/>
      <c r="K74" s="2"/>
      <c r="L74" s="2">
        <f t="shared" si="0"/>
        <v>-31219.920000000002</v>
      </c>
      <c r="M74" s="2"/>
      <c r="N74" s="19">
        <f t="shared" si="1"/>
        <v>-0.76631410073104389</v>
      </c>
      <c r="O74" s="10"/>
      <c r="P74" s="2">
        <f>--181046.21</f>
        <v>181046.21</v>
      </c>
      <c r="Q74" s="2"/>
      <c r="R74" s="19"/>
      <c r="S74" s="2"/>
      <c r="T74" s="2">
        <f>--176221.13</f>
        <v>176221.13</v>
      </c>
      <c r="U74" s="2"/>
      <c r="V74" s="19"/>
      <c r="W74" s="2"/>
      <c r="X74" s="2">
        <f t="shared" si="2"/>
        <v>4825.0799999999872</v>
      </c>
      <c r="Y74" s="2"/>
      <c r="Z74" s="19">
        <f t="shared" si="3"/>
        <v>2.7380825443577551E-2</v>
      </c>
    </row>
    <row r="75" spans="1:26" s="23" customFormat="1" hidden="1" outlineLevel="1" x14ac:dyDescent="0.25">
      <c r="A75" s="44"/>
      <c r="B75" s="10" t="str">
        <f>CONCATENATE("          ", "4141", " - ", "NON-TAXABLE SALES-LOGO GIFTS")</f>
        <v xml:space="preserve">          4141 - NON-TAXABLE SALES-LOGO GIFTS</v>
      </c>
      <c r="C75" s="10"/>
      <c r="D75" s="2">
        <f>-25127.54</f>
        <v>-25127.54</v>
      </c>
      <c r="E75" s="2"/>
      <c r="F75" s="19"/>
      <c r="G75" s="2"/>
      <c r="H75" s="2">
        <f>--6641.14</f>
        <v>6641.14</v>
      </c>
      <c r="I75" s="2"/>
      <c r="J75" s="19"/>
      <c r="K75" s="2"/>
      <c r="L75" s="2">
        <f t="shared" si="0"/>
        <v>-31768.68</v>
      </c>
      <c r="M75" s="2"/>
      <c r="N75" s="19">
        <f t="shared" si="1"/>
        <v>-4.7836184751413162</v>
      </c>
      <c r="O75" s="10"/>
      <c r="P75" s="2">
        <f>--14028.49</f>
        <v>14028.49</v>
      </c>
      <c r="Q75" s="2"/>
      <c r="R75" s="19"/>
      <c r="S75" s="2"/>
      <c r="T75" s="2">
        <f>--23601.45</f>
        <v>23601.45</v>
      </c>
      <c r="U75" s="2"/>
      <c r="V75" s="19"/>
      <c r="W75" s="2"/>
      <c r="X75" s="2">
        <f t="shared" si="2"/>
        <v>-9572.9600000000009</v>
      </c>
      <c r="Y75" s="2"/>
      <c r="Z75" s="19">
        <f t="shared" si="3"/>
        <v>-0.40560897741452329</v>
      </c>
    </row>
    <row r="76" spans="1:26" s="23" customFormat="1" hidden="1" outlineLevel="1" x14ac:dyDescent="0.25">
      <c r="A76" s="44"/>
      <c r="B76" s="10" t="str">
        <f>CONCATENATE("          ", "4142", " - ", "NON-TAXABLE SALES-EVERYDAY GIF")</f>
        <v xml:space="preserve">          4142 - NON-TAXABLE SALES-EVERYDAY GIF</v>
      </c>
      <c r="C76" s="10"/>
      <c r="D76" s="2">
        <f>--54.07</f>
        <v>54.07</v>
      </c>
      <c r="E76" s="2"/>
      <c r="F76" s="19"/>
      <c r="G76" s="2"/>
      <c r="H76" s="2">
        <f>--4067.95</f>
        <v>4067.95</v>
      </c>
      <c r="I76" s="2"/>
      <c r="J76" s="19"/>
      <c r="K76" s="2"/>
      <c r="L76" s="2">
        <f t="shared" si="0"/>
        <v>-4013.8799999999997</v>
      </c>
      <c r="M76" s="2"/>
      <c r="N76" s="19">
        <f t="shared" si="1"/>
        <v>-0.98670829287478945</v>
      </c>
      <c r="O76" s="10"/>
      <c r="P76" s="2">
        <f>--2658.52</f>
        <v>2658.52</v>
      </c>
      <c r="Q76" s="2"/>
      <c r="R76" s="19"/>
      <c r="S76" s="2"/>
      <c r="T76" s="2">
        <f>--19400.17</f>
        <v>19400.169999999998</v>
      </c>
      <c r="U76" s="2"/>
      <c r="V76" s="19"/>
      <c r="W76" s="2"/>
      <c r="X76" s="2">
        <f t="shared" si="2"/>
        <v>-16741.649999999998</v>
      </c>
      <c r="Y76" s="2"/>
      <c r="Z76" s="19">
        <f t="shared" si="3"/>
        <v>-0.86296408742809982</v>
      </c>
    </row>
    <row r="77" spans="1:26" s="23" customFormat="1" hidden="1" outlineLevel="1" x14ac:dyDescent="0.25">
      <c r="A77" s="44"/>
      <c r="B77" s="10" t="str">
        <f>CONCATENATE("          ", "4143", " - ", "NON-TAXABLE SALES-CARDS")</f>
        <v xml:space="preserve">          4143 - NON-TAXABLE SALES-CARDS</v>
      </c>
      <c r="C77" s="10"/>
      <c r="D77" s="2">
        <f>--9.95</f>
        <v>9.9499999999999993</v>
      </c>
      <c r="E77" s="2"/>
      <c r="F77" s="19"/>
      <c r="G77" s="2"/>
      <c r="H77" s="2">
        <f>0</f>
        <v>0</v>
      </c>
      <c r="I77" s="2"/>
      <c r="J77" s="19"/>
      <c r="K77" s="2"/>
      <c r="L77" s="2">
        <f t="shared" si="0"/>
        <v>9.9499999999999993</v>
      </c>
      <c r="M77" s="2"/>
      <c r="N77" s="19">
        <f t="shared" si="1"/>
        <v>0</v>
      </c>
      <c r="O77" s="10"/>
      <c r="P77" s="2">
        <f>--2562.11</f>
        <v>2562.11</v>
      </c>
      <c r="Q77" s="2"/>
      <c r="R77" s="19"/>
      <c r="S77" s="2"/>
      <c r="T77" s="2">
        <f>--19.98</f>
        <v>19.98</v>
      </c>
      <c r="U77" s="2"/>
      <c r="V77" s="19"/>
      <c r="W77" s="2"/>
      <c r="X77" s="2">
        <f t="shared" si="2"/>
        <v>2542.13</v>
      </c>
      <c r="Y77" s="2"/>
      <c r="Z77" s="19">
        <f t="shared" si="3"/>
        <v>127.23373373373374</v>
      </c>
    </row>
    <row r="78" spans="1:26" s="23" customFormat="1" hidden="1" outlineLevel="1" x14ac:dyDescent="0.25">
      <c r="A78" s="44"/>
      <c r="B78" s="10" t="str">
        <f>CONCATENATE("          ", "4144", " - ", "NON-TAXABLE SALES-ACCESSORIES")</f>
        <v xml:space="preserve">          4144 - NON-TAXABLE SALES-ACCESSORIES</v>
      </c>
      <c r="C78" s="10"/>
      <c r="D78" s="2">
        <f>--129.75</f>
        <v>129.75</v>
      </c>
      <c r="E78" s="2"/>
      <c r="F78" s="19"/>
      <c r="G78" s="2"/>
      <c r="H78" s="2">
        <f>--386.9</f>
        <v>386.9</v>
      </c>
      <c r="I78" s="2"/>
      <c r="J78" s="19"/>
      <c r="K78" s="2"/>
      <c r="L78" s="2">
        <f t="shared" si="0"/>
        <v>-257.14999999999998</v>
      </c>
      <c r="M78" s="2"/>
      <c r="N78" s="19">
        <f t="shared" si="1"/>
        <v>-0.66464202636340142</v>
      </c>
      <c r="O78" s="10"/>
      <c r="P78" s="2">
        <f>--1003.55</f>
        <v>1003.55</v>
      </c>
      <c r="Q78" s="2"/>
      <c r="R78" s="19"/>
      <c r="S78" s="2"/>
      <c r="T78" s="2">
        <f>--3710.92</f>
        <v>3710.92</v>
      </c>
      <c r="U78" s="2"/>
      <c r="V78" s="19"/>
      <c r="W78" s="2"/>
      <c r="X78" s="2">
        <f t="shared" si="2"/>
        <v>-2707.37</v>
      </c>
      <c r="Y78" s="2"/>
      <c r="Z78" s="19">
        <f t="shared" si="3"/>
        <v>-0.72956840891207564</v>
      </c>
    </row>
    <row r="79" spans="1:26" s="23" customFormat="1" hidden="1" outlineLevel="1" x14ac:dyDescent="0.25">
      <c r="A79" s="44"/>
      <c r="B79" s="10" t="str">
        <f>CONCATENATE("          ", "4145", " - ", "NON-TAXABLE SALES-SPECIAL ORDE")</f>
        <v xml:space="preserve">          4145 - NON-TAXABLE SALES-SPECIAL ORDE</v>
      </c>
      <c r="C79" s="10"/>
      <c r="D79" s="2">
        <f>--30</f>
        <v>30</v>
      </c>
      <c r="E79" s="2"/>
      <c r="F79" s="19"/>
      <c r="G79" s="2"/>
      <c r="H79" s="2">
        <f>--19379.5</f>
        <v>19379.5</v>
      </c>
      <c r="I79" s="2"/>
      <c r="J79" s="19"/>
      <c r="K79" s="2"/>
      <c r="L79" s="2">
        <f t="shared" si="0"/>
        <v>-19349.5</v>
      </c>
      <c r="M79" s="2"/>
      <c r="N79" s="19">
        <f t="shared" si="1"/>
        <v>-0.99845197244510953</v>
      </c>
      <c r="O79" s="10"/>
      <c r="P79" s="2">
        <f>--74096.89</f>
        <v>74096.89</v>
      </c>
      <c r="Q79" s="2"/>
      <c r="R79" s="19"/>
      <c r="S79" s="2"/>
      <c r="T79" s="2">
        <f>--27208.18</f>
        <v>27208.18</v>
      </c>
      <c r="U79" s="2"/>
      <c r="V79" s="19"/>
      <c r="W79" s="2"/>
      <c r="X79" s="2">
        <f t="shared" si="2"/>
        <v>46888.71</v>
      </c>
      <c r="Y79" s="2"/>
      <c r="Z79" s="19">
        <f t="shared" si="3"/>
        <v>1.7233313657877887</v>
      </c>
    </row>
    <row r="80" spans="1:26" s="23" customFormat="1" hidden="1" outlineLevel="1" x14ac:dyDescent="0.25">
      <c r="A80" s="44"/>
      <c r="B80" s="10" t="str">
        <f>CONCATENATE("          ", "4146", " - ", "NON-TAXABLE SALES-COIN OP MACH")</f>
        <v xml:space="preserve">          4146 - NON-TAXABLE SALES-COIN OP MACH</v>
      </c>
      <c r="C80" s="10"/>
      <c r="D80" s="2">
        <f>--282.2</f>
        <v>282.2</v>
      </c>
      <c r="E80" s="2"/>
      <c r="F80" s="19"/>
      <c r="G80" s="2"/>
      <c r="H80" s="2">
        <f t="shared" ref="H80:H81" si="24">0</f>
        <v>0</v>
      </c>
      <c r="I80" s="2"/>
      <c r="J80" s="19"/>
      <c r="K80" s="2"/>
      <c r="L80" s="2">
        <f t="shared" si="0"/>
        <v>282.2</v>
      </c>
      <c r="M80" s="2"/>
      <c r="N80" s="19">
        <f t="shared" si="1"/>
        <v>0</v>
      </c>
      <c r="O80" s="10"/>
      <c r="P80" s="2">
        <f>--668.1</f>
        <v>668.1</v>
      </c>
      <c r="Q80" s="2"/>
      <c r="R80" s="19"/>
      <c r="S80" s="2"/>
      <c r="T80" s="2">
        <f>--205908.65</f>
        <v>205908.65</v>
      </c>
      <c r="U80" s="2"/>
      <c r="V80" s="19"/>
      <c r="W80" s="2"/>
      <c r="X80" s="2">
        <f t="shared" si="2"/>
        <v>-205240.55</v>
      </c>
      <c r="Y80" s="2"/>
      <c r="Z80" s="19">
        <f t="shared" si="3"/>
        <v>-0.99675535729072084</v>
      </c>
    </row>
    <row r="81" spans="1:26" s="23" customFormat="1" hidden="1" outlineLevel="1" x14ac:dyDescent="0.25">
      <c r="A81" s="44"/>
      <c r="B81" s="10" t="str">
        <f>CONCATENATE("          ", "4147", " - ", "NON-TAXABLE SALES-MISC")</f>
        <v xml:space="preserve">          4147 - NON-TAXABLE SALES-MISC</v>
      </c>
      <c r="C81" s="10"/>
      <c r="D81" s="2">
        <f>--4</f>
        <v>4</v>
      </c>
      <c r="E81" s="2"/>
      <c r="F81" s="19"/>
      <c r="G81" s="2"/>
      <c r="H81" s="2">
        <f t="shared" si="24"/>
        <v>0</v>
      </c>
      <c r="I81" s="2"/>
      <c r="J81" s="19"/>
      <c r="K81" s="2"/>
      <c r="L81" s="2">
        <f t="shared" si="0"/>
        <v>4</v>
      </c>
      <c r="M81" s="2"/>
      <c r="N81" s="19">
        <f t="shared" si="1"/>
        <v>0</v>
      </c>
      <c r="O81" s="10"/>
      <c r="P81" s="2">
        <f>--172</f>
        <v>172</v>
      </c>
      <c r="Q81" s="2"/>
      <c r="R81" s="19"/>
      <c r="S81" s="2"/>
      <c r="T81" s="2">
        <f>--3446.37</f>
        <v>3446.37</v>
      </c>
      <c r="U81" s="2"/>
      <c r="V81" s="19"/>
      <c r="W81" s="2"/>
      <c r="X81" s="2">
        <f t="shared" si="2"/>
        <v>-3274.37</v>
      </c>
      <c r="Y81" s="2"/>
      <c r="Z81" s="19">
        <f t="shared" si="3"/>
        <v>-0.95009241607836648</v>
      </c>
    </row>
    <row r="82" spans="1:26" s="23" customFormat="1" hidden="1" outlineLevel="1" x14ac:dyDescent="0.25">
      <c r="A82" s="44"/>
      <c r="B82" s="10" t="str">
        <f>CONCATENATE("          ", "4151", " - ", "NON-TAXABLE SALES-FOOD")</f>
        <v xml:space="preserve">          4151 - NON-TAXABLE SALES-FOOD</v>
      </c>
      <c r="C82" s="10"/>
      <c r="D82" s="2">
        <f>--34861.45</f>
        <v>34861.449999999997</v>
      </c>
      <c r="E82" s="2"/>
      <c r="F82" s="19"/>
      <c r="G82" s="2"/>
      <c r="H82" s="2">
        <f>-138366.42</f>
        <v>-138366.42000000001</v>
      </c>
      <c r="I82" s="2"/>
      <c r="J82" s="19"/>
      <c r="K82" s="2"/>
      <c r="L82" s="2">
        <f t="shared" si="0"/>
        <v>173227.87</v>
      </c>
      <c r="M82" s="2"/>
      <c r="N82" s="19">
        <f t="shared" si="1"/>
        <v>-1.2519502202918886</v>
      </c>
      <c r="O82" s="10"/>
      <c r="P82" s="2">
        <f>--1013188.44</f>
        <v>1013188.44</v>
      </c>
      <c r="Q82" s="2"/>
      <c r="R82" s="19"/>
      <c r="S82" s="2"/>
      <c r="T82" s="2">
        <f>--10892329.62</f>
        <v>10892329.619999999</v>
      </c>
      <c r="U82" s="2"/>
      <c r="V82" s="19"/>
      <c r="W82" s="2"/>
      <c r="X82" s="2">
        <f t="shared" si="2"/>
        <v>-9879141.1799999997</v>
      </c>
      <c r="Y82" s="2"/>
      <c r="Z82" s="19">
        <f t="shared" si="3"/>
        <v>-0.90698147454704003</v>
      </c>
    </row>
    <row r="83" spans="1:26" s="23" customFormat="1" hidden="1" outlineLevel="1" x14ac:dyDescent="0.25">
      <c r="A83" s="44"/>
      <c r="B83" s="10" t="str">
        <f>CONCATENATE("          ", "4152", " - ", "NON-TAXABLE SALES-FOOD")</f>
        <v xml:space="preserve">          4152 - NON-TAXABLE SALES-FOOD</v>
      </c>
      <c r="C83" s="10"/>
      <c r="D83" s="2">
        <f>-11580.95</f>
        <v>-11580.95</v>
      </c>
      <c r="E83" s="2"/>
      <c r="F83" s="19"/>
      <c r="G83" s="2"/>
      <c r="H83" s="2">
        <f>0</f>
        <v>0</v>
      </c>
      <c r="I83" s="2"/>
      <c r="J83" s="19"/>
      <c r="K83" s="2"/>
      <c r="L83" s="2">
        <f t="shared" si="0"/>
        <v>-11580.95</v>
      </c>
      <c r="M83" s="2"/>
      <c r="N83" s="19">
        <f t="shared" si="1"/>
        <v>0</v>
      </c>
      <c r="O83" s="10"/>
      <c r="P83" s="2">
        <f>0</f>
        <v>0</v>
      </c>
      <c r="Q83" s="2"/>
      <c r="R83" s="19"/>
      <c r="S83" s="2"/>
      <c r="T83" s="2">
        <f>--51415.27</f>
        <v>51415.27</v>
      </c>
      <c r="U83" s="2"/>
      <c r="V83" s="19"/>
      <c r="W83" s="2"/>
      <c r="X83" s="2">
        <f t="shared" si="2"/>
        <v>-51415.27</v>
      </c>
      <c r="Y83" s="2"/>
      <c r="Z83" s="19">
        <f t="shared" si="3"/>
        <v>-1</v>
      </c>
    </row>
    <row r="84" spans="1:26" s="23" customFormat="1" hidden="1" outlineLevel="1" x14ac:dyDescent="0.25">
      <c r="A84" s="44"/>
      <c r="B84" s="10" t="str">
        <f>CONCATENATE("          ", "4153", " - ", "NON-TAXABLE SALES-FOOD")</f>
        <v xml:space="preserve">          4153 - NON-TAXABLE SALES-FOOD</v>
      </c>
      <c r="C84" s="10"/>
      <c r="D84" s="2">
        <f>--2535.62</f>
        <v>2535.62</v>
      </c>
      <c r="E84" s="2"/>
      <c r="F84" s="19"/>
      <c r="G84" s="2"/>
      <c r="H84" s="2">
        <f>--4699.6</f>
        <v>4699.6000000000004</v>
      </c>
      <c r="I84" s="2"/>
      <c r="J84" s="19"/>
      <c r="K84" s="2"/>
      <c r="L84" s="2">
        <f t="shared" si="0"/>
        <v>-2163.9800000000005</v>
      </c>
      <c r="M84" s="2"/>
      <c r="N84" s="19">
        <f t="shared" si="1"/>
        <v>-0.46046046472040181</v>
      </c>
      <c r="O84" s="10"/>
      <c r="P84" s="2">
        <f>--53270.39</f>
        <v>53270.39</v>
      </c>
      <c r="Q84" s="2"/>
      <c r="R84" s="19"/>
      <c r="S84" s="2"/>
      <c r="T84" s="2">
        <f>--316965.82</f>
        <v>316965.82</v>
      </c>
      <c r="U84" s="2"/>
      <c r="V84" s="19"/>
      <c r="W84" s="2"/>
      <c r="X84" s="2">
        <f t="shared" si="2"/>
        <v>-263695.43</v>
      </c>
      <c r="Y84" s="2"/>
      <c r="Z84" s="19">
        <f t="shared" si="3"/>
        <v>-0.83193648450801405</v>
      </c>
    </row>
    <row r="85" spans="1:26" s="23" customFormat="1" hidden="1" outlineLevel="1" x14ac:dyDescent="0.25">
      <c r="A85" s="44"/>
      <c r="B85" s="10" t="str">
        <f>CONCATENATE("          ", "4155", " - ", "NON-TAXABLE SALES-FOOD")</f>
        <v xml:space="preserve">          4155 - NON-TAXABLE SALES-FOOD</v>
      </c>
      <c r="C85" s="10"/>
      <c r="D85" s="2">
        <f t="shared" ref="D85:D87" si="25">0</f>
        <v>0</v>
      </c>
      <c r="E85" s="2"/>
      <c r="F85" s="19"/>
      <c r="G85" s="2"/>
      <c r="H85" s="2">
        <f t="shared" ref="H85:H87" si="26">0</f>
        <v>0</v>
      </c>
      <c r="I85" s="2"/>
      <c r="J85" s="19"/>
      <c r="K85" s="2"/>
      <c r="L85" s="2">
        <f t="shared" si="0"/>
        <v>0</v>
      </c>
      <c r="M85" s="2"/>
      <c r="N85" s="19">
        <f t="shared" si="1"/>
        <v>0</v>
      </c>
      <c r="O85" s="10"/>
      <c r="P85" s="2">
        <f t="shared" ref="P85:P87" si="27">0</f>
        <v>0</v>
      </c>
      <c r="Q85" s="2"/>
      <c r="R85" s="19"/>
      <c r="S85" s="2"/>
      <c r="T85" s="2">
        <f>--691123.63</f>
        <v>691123.63</v>
      </c>
      <c r="U85" s="2"/>
      <c r="V85" s="19"/>
      <c r="W85" s="2"/>
      <c r="X85" s="2">
        <f t="shared" si="2"/>
        <v>-691123.63</v>
      </c>
      <c r="Y85" s="2"/>
      <c r="Z85" s="19">
        <f t="shared" si="3"/>
        <v>-1</v>
      </c>
    </row>
    <row r="86" spans="1:26" s="23" customFormat="1" hidden="1" outlineLevel="1" x14ac:dyDescent="0.25">
      <c r="A86" s="44"/>
      <c r="B86" s="10" t="str">
        <f>CONCATENATE("          ", "4158", " - ", "NON-TAXABLE SALES-FOOD")</f>
        <v xml:space="preserve">          4158 - NON-TAXABLE SALES-FOOD</v>
      </c>
      <c r="C86" s="10"/>
      <c r="D86" s="2">
        <f t="shared" si="25"/>
        <v>0</v>
      </c>
      <c r="E86" s="2"/>
      <c r="F86" s="19"/>
      <c r="G86" s="2"/>
      <c r="H86" s="2">
        <f t="shared" si="26"/>
        <v>0</v>
      </c>
      <c r="I86" s="2"/>
      <c r="J86" s="19"/>
      <c r="K86" s="2"/>
      <c r="L86" s="2">
        <f t="shared" si="0"/>
        <v>0</v>
      </c>
      <c r="M86" s="2"/>
      <c r="N86" s="19">
        <f t="shared" si="1"/>
        <v>0</v>
      </c>
      <c r="O86" s="10"/>
      <c r="P86" s="2">
        <f t="shared" si="27"/>
        <v>0</v>
      </c>
      <c r="Q86" s="2"/>
      <c r="R86" s="19"/>
      <c r="S86" s="2"/>
      <c r="T86" s="2">
        <f>--474853.67</f>
        <v>474853.67</v>
      </c>
      <c r="U86" s="2"/>
      <c r="V86" s="19"/>
      <c r="W86" s="2"/>
      <c r="X86" s="2">
        <f t="shared" si="2"/>
        <v>-474853.67</v>
      </c>
      <c r="Y86" s="2"/>
      <c r="Z86" s="19">
        <f t="shared" si="3"/>
        <v>-1</v>
      </c>
    </row>
    <row r="87" spans="1:26" s="23" customFormat="1" hidden="1" outlineLevel="1" x14ac:dyDescent="0.25">
      <c r="A87" s="44"/>
      <c r="B87" s="10" t="str">
        <f>CONCATENATE("          ", "4159", " - ", "NON-TAXABLE SALES-FOOD")</f>
        <v xml:space="preserve">          4159 - NON-TAXABLE SALES-FOOD</v>
      </c>
      <c r="C87" s="10"/>
      <c r="D87" s="2">
        <f t="shared" si="25"/>
        <v>0</v>
      </c>
      <c r="E87" s="2"/>
      <c r="F87" s="19"/>
      <c r="G87" s="2"/>
      <c r="H87" s="2">
        <f t="shared" si="26"/>
        <v>0</v>
      </c>
      <c r="I87" s="2"/>
      <c r="J87" s="19"/>
      <c r="K87" s="2"/>
      <c r="L87" s="2">
        <f t="shared" si="0"/>
        <v>0</v>
      </c>
      <c r="M87" s="2"/>
      <c r="N87" s="19">
        <f t="shared" si="1"/>
        <v>0</v>
      </c>
      <c r="O87" s="10"/>
      <c r="P87" s="2">
        <f t="shared" si="27"/>
        <v>0</v>
      </c>
      <c r="Q87" s="2"/>
      <c r="R87" s="19"/>
      <c r="S87" s="2"/>
      <c r="T87" s="2">
        <f>--383.7</f>
        <v>383.7</v>
      </c>
      <c r="U87" s="2"/>
      <c r="V87" s="19"/>
      <c r="W87" s="2"/>
      <c r="X87" s="2">
        <f t="shared" si="2"/>
        <v>-383.7</v>
      </c>
      <c r="Y87" s="2"/>
      <c r="Z87" s="19">
        <f t="shared" si="3"/>
        <v>-1</v>
      </c>
    </row>
    <row r="88" spans="1:26" s="23" customFormat="1" hidden="1" outlineLevel="1" x14ac:dyDescent="0.25">
      <c r="A88" s="44"/>
      <c r="B88" s="10" t="str">
        <f>CONCATENATE("          ", "4181", " - ", "NON-TAXABLE SALES-ELECTRONICS")</f>
        <v xml:space="preserve">          4181 - NON-TAXABLE SALES-ELECTRONICS</v>
      </c>
      <c r="C88" s="10"/>
      <c r="D88" s="2">
        <f>--33.97</f>
        <v>33.97</v>
      </c>
      <c r="E88" s="2"/>
      <c r="F88" s="19"/>
      <c r="G88" s="2"/>
      <c r="H88" s="2">
        <f>--1267.95</f>
        <v>1267.95</v>
      </c>
      <c r="I88" s="2"/>
      <c r="J88" s="19"/>
      <c r="K88" s="2"/>
      <c r="L88" s="2">
        <f t="shared" si="0"/>
        <v>-1233.98</v>
      </c>
      <c r="M88" s="2"/>
      <c r="N88" s="19">
        <f t="shared" si="1"/>
        <v>-0.973208722741433</v>
      </c>
      <c r="O88" s="10"/>
      <c r="P88" s="2">
        <f>--14322.55</f>
        <v>14322.55</v>
      </c>
      <c r="Q88" s="2"/>
      <c r="R88" s="19"/>
      <c r="S88" s="2"/>
      <c r="T88" s="2">
        <f>--3925.74</f>
        <v>3925.74</v>
      </c>
      <c r="U88" s="2"/>
      <c r="V88" s="19"/>
      <c r="W88" s="2"/>
      <c r="X88" s="2">
        <f t="shared" si="2"/>
        <v>10396.81</v>
      </c>
      <c r="Y88" s="2"/>
      <c r="Z88" s="19">
        <f t="shared" si="3"/>
        <v>2.6483694793847783</v>
      </c>
    </row>
    <row r="89" spans="1:26" s="23" customFormat="1" hidden="1" outlineLevel="1" x14ac:dyDescent="0.25">
      <c r="A89" s="44"/>
      <c r="B89" s="10" t="str">
        <f>CONCATENATE("          ", "4182", " - ", "NON-TAXABLE SALES-COMPUTER HAR")</f>
        <v xml:space="preserve">          4182 - NON-TAXABLE SALES-COMPUTER HAR</v>
      </c>
      <c r="C89" s="10"/>
      <c r="D89" s="2">
        <f>--19892.86</f>
        <v>19892.86</v>
      </c>
      <c r="E89" s="2"/>
      <c r="F89" s="19"/>
      <c r="G89" s="2"/>
      <c r="H89" s="2">
        <f>--45022.25</f>
        <v>45022.25</v>
      </c>
      <c r="I89" s="2"/>
      <c r="J89" s="19"/>
      <c r="K89" s="2"/>
      <c r="L89" s="2">
        <f t="shared" si="0"/>
        <v>-25129.39</v>
      </c>
      <c r="M89" s="2"/>
      <c r="N89" s="19">
        <f t="shared" si="1"/>
        <v>-0.558154912293366</v>
      </c>
      <c r="O89" s="10"/>
      <c r="P89" s="2">
        <f>--367422.08</f>
        <v>367422.08</v>
      </c>
      <c r="Q89" s="2"/>
      <c r="R89" s="19"/>
      <c r="S89" s="2"/>
      <c r="T89" s="2">
        <f>--221223.79</f>
        <v>221223.79</v>
      </c>
      <c r="U89" s="2"/>
      <c r="V89" s="19"/>
      <c r="W89" s="2"/>
      <c r="X89" s="2">
        <f t="shared" si="2"/>
        <v>146198.29</v>
      </c>
      <c r="Y89" s="2"/>
      <c r="Z89" s="19">
        <f t="shared" si="3"/>
        <v>0.66086151945954819</v>
      </c>
    </row>
    <row r="90" spans="1:26" s="23" customFormat="1" hidden="1" outlineLevel="1" x14ac:dyDescent="0.25">
      <c r="A90" s="44"/>
      <c r="B90" s="10" t="str">
        <f>CONCATENATE("          ", "4183", " - ", "NON-TAXABLE SALES-COMPUTER EQU")</f>
        <v xml:space="preserve">          4183 - NON-TAXABLE SALES-COMPUTER EQU</v>
      </c>
      <c r="C90" s="10"/>
      <c r="D90" s="2">
        <f>--1441.27</f>
        <v>1441.27</v>
      </c>
      <c r="E90" s="2"/>
      <c r="F90" s="19"/>
      <c r="G90" s="2"/>
      <c r="H90" s="2">
        <f>--1394.82</f>
        <v>1394.82</v>
      </c>
      <c r="I90" s="2"/>
      <c r="J90" s="19"/>
      <c r="K90" s="2"/>
      <c r="L90" s="2">
        <f t="shared" si="0"/>
        <v>46.450000000000045</v>
      </c>
      <c r="M90" s="2"/>
      <c r="N90" s="19">
        <f t="shared" si="1"/>
        <v>3.3301788044335506E-2</v>
      </c>
      <c r="O90" s="10"/>
      <c r="P90" s="2">
        <f>--23887.02</f>
        <v>23887.02</v>
      </c>
      <c r="Q90" s="2"/>
      <c r="R90" s="19"/>
      <c r="S90" s="2"/>
      <c r="T90" s="2">
        <f>--12822.38</f>
        <v>12822.38</v>
      </c>
      <c r="U90" s="2"/>
      <c r="V90" s="19"/>
      <c r="W90" s="2"/>
      <c r="X90" s="2">
        <f t="shared" si="2"/>
        <v>11064.640000000001</v>
      </c>
      <c r="Y90" s="2"/>
      <c r="Z90" s="19">
        <f t="shared" si="3"/>
        <v>0.86291624487809615</v>
      </c>
    </row>
    <row r="91" spans="1:26" s="23" customFormat="1" hidden="1" outlineLevel="1" x14ac:dyDescent="0.25">
      <c r="A91" s="44"/>
      <c r="B91" s="10" t="str">
        <f>CONCATENATE("          ", "4184", " - ", "NON-TAXABLE SALES-SOFTWARE LIC")</f>
        <v xml:space="preserve">          4184 - NON-TAXABLE SALES-SOFTWARE LIC</v>
      </c>
      <c r="C91" s="10"/>
      <c r="D91" s="2">
        <f>0</f>
        <v>0</v>
      </c>
      <c r="E91" s="2"/>
      <c r="F91" s="19"/>
      <c r="G91" s="2"/>
      <c r="H91" s="2">
        <f>0</f>
        <v>0</v>
      </c>
      <c r="I91" s="2"/>
      <c r="J91" s="19"/>
      <c r="K91" s="2"/>
      <c r="L91" s="2">
        <f t="shared" si="0"/>
        <v>0</v>
      </c>
      <c r="M91" s="2"/>
      <c r="N91" s="19">
        <f t="shared" si="1"/>
        <v>0</v>
      </c>
      <c r="O91" s="10"/>
      <c r="P91" s="2">
        <f>0</f>
        <v>0</v>
      </c>
      <c r="Q91" s="2"/>
      <c r="R91" s="19"/>
      <c r="S91" s="2"/>
      <c r="T91" s="2">
        <f>--2728</f>
        <v>2728</v>
      </c>
      <c r="U91" s="2"/>
      <c r="V91" s="19"/>
      <c r="W91" s="2"/>
      <c r="X91" s="2">
        <f t="shared" si="2"/>
        <v>-2728</v>
      </c>
      <c r="Y91" s="2"/>
      <c r="Z91" s="19">
        <f t="shared" si="3"/>
        <v>-1</v>
      </c>
    </row>
    <row r="92" spans="1:26" s="23" customFormat="1" hidden="1" outlineLevel="1" x14ac:dyDescent="0.25">
      <c r="A92" s="44"/>
      <c r="B92" s="10" t="str">
        <f>CONCATENATE("          ", "4185", " - ", "NON-TAXABLE SALES-SOFTWARE")</f>
        <v xml:space="preserve">          4185 - NON-TAXABLE SALES-SOFTWARE</v>
      </c>
      <c r="C92" s="10"/>
      <c r="D92" s="2">
        <f>--3849.74</f>
        <v>3849.74</v>
      </c>
      <c r="E92" s="2"/>
      <c r="F92" s="19"/>
      <c r="G92" s="2"/>
      <c r="H92" s="2">
        <f>--5267.75</f>
        <v>5267.75</v>
      </c>
      <c r="I92" s="2"/>
      <c r="J92" s="19"/>
      <c r="K92" s="2"/>
      <c r="L92" s="2">
        <f t="shared" si="0"/>
        <v>-1418.0100000000002</v>
      </c>
      <c r="M92" s="2"/>
      <c r="N92" s="19">
        <f t="shared" si="1"/>
        <v>-0.26918703431256236</v>
      </c>
      <c r="O92" s="10"/>
      <c r="P92" s="2">
        <f>--59807.35</f>
        <v>59807.35</v>
      </c>
      <c r="Q92" s="2"/>
      <c r="R92" s="19"/>
      <c r="S92" s="2"/>
      <c r="T92" s="2">
        <f>--25792.1</f>
        <v>25792.1</v>
      </c>
      <c r="U92" s="2"/>
      <c r="V92" s="19"/>
      <c r="W92" s="2"/>
      <c r="X92" s="2">
        <f t="shared" si="2"/>
        <v>34015.25</v>
      </c>
      <c r="Y92" s="2"/>
      <c r="Z92" s="19">
        <f t="shared" si="3"/>
        <v>1.3188243687020444</v>
      </c>
    </row>
    <row r="93" spans="1:26" s="23" customFormat="1" hidden="1" outlineLevel="1" x14ac:dyDescent="0.25">
      <c r="A93" s="44"/>
      <c r="B93" s="10" t="str">
        <f>CONCATENATE("          ", "4186", " - ", "NON-TAXABLE SALES-COMPUTER SUP")</f>
        <v xml:space="preserve">          4186 - NON-TAXABLE SALES-COMPUTER SUP</v>
      </c>
      <c r="C93" s="10"/>
      <c r="D93" s="2">
        <f>--317.9</f>
        <v>317.89999999999998</v>
      </c>
      <c r="E93" s="2"/>
      <c r="F93" s="19"/>
      <c r="G93" s="2"/>
      <c r="H93" s="2">
        <f>--431.97</f>
        <v>431.97</v>
      </c>
      <c r="I93" s="2"/>
      <c r="J93" s="19"/>
      <c r="K93" s="2"/>
      <c r="L93" s="2">
        <f t="shared" si="0"/>
        <v>-114.07000000000005</v>
      </c>
      <c r="M93" s="2"/>
      <c r="N93" s="19">
        <f t="shared" si="1"/>
        <v>-0.26406926406926418</v>
      </c>
      <c r="O93" s="10"/>
      <c r="P93" s="2">
        <f>--3797.04</f>
        <v>3797.04</v>
      </c>
      <c r="Q93" s="2"/>
      <c r="R93" s="19"/>
      <c r="S93" s="2"/>
      <c r="T93" s="2">
        <f>--3327.08</f>
        <v>3327.08</v>
      </c>
      <c r="U93" s="2"/>
      <c r="V93" s="19"/>
      <c r="W93" s="2"/>
      <c r="X93" s="2">
        <f t="shared" si="2"/>
        <v>469.96000000000004</v>
      </c>
      <c r="Y93" s="2"/>
      <c r="Z93" s="19">
        <f t="shared" si="3"/>
        <v>0.1412529906103851</v>
      </c>
    </row>
    <row r="94" spans="1:26" s="23" customFormat="1" hidden="1" outlineLevel="1" x14ac:dyDescent="0.25">
      <c r="A94" s="44"/>
      <c r="B94" s="10" t="str">
        <f>CONCATENATE("          ", "4188", " - ", "NON-TAXABLE SALES-MUSIC")</f>
        <v xml:space="preserve">          4188 - NON-TAXABLE SALES-MUSIC</v>
      </c>
      <c r="C94" s="10"/>
      <c r="D94" s="2">
        <f t="shared" ref="D94:D95" si="28">0</f>
        <v>0</v>
      </c>
      <c r="E94" s="2"/>
      <c r="F94" s="19"/>
      <c r="G94" s="2"/>
      <c r="H94" s="2">
        <f t="shared" ref="H94:H96" si="29">0</f>
        <v>0</v>
      </c>
      <c r="I94" s="2"/>
      <c r="J94" s="19"/>
      <c r="K94" s="2"/>
      <c r="L94" s="2">
        <f t="shared" si="0"/>
        <v>0</v>
      </c>
      <c r="M94" s="2"/>
      <c r="N94" s="19">
        <f t="shared" si="1"/>
        <v>0</v>
      </c>
      <c r="O94" s="10"/>
      <c r="P94" s="2">
        <f t="shared" ref="P94:P95" si="30">0</f>
        <v>0</v>
      </c>
      <c r="Q94" s="2"/>
      <c r="R94" s="19"/>
      <c r="S94" s="2"/>
      <c r="T94" s="2">
        <f>--343.94</f>
        <v>343.94</v>
      </c>
      <c r="U94" s="2"/>
      <c r="V94" s="19"/>
      <c r="W94" s="2"/>
      <c r="X94" s="2">
        <f t="shared" si="2"/>
        <v>-343.94</v>
      </c>
      <c r="Y94" s="2"/>
      <c r="Z94" s="19">
        <f t="shared" si="3"/>
        <v>-1</v>
      </c>
    </row>
    <row r="95" spans="1:26" s="23" customFormat="1" hidden="1" outlineLevel="1" x14ac:dyDescent="0.25">
      <c r="A95" s="44"/>
      <c r="B95" s="10" t="str">
        <f>CONCATENATE("          ", "4192", " - ", "NON-TAXABLE SALES-GRAD MERCH")</f>
        <v xml:space="preserve">          4192 - NON-TAXABLE SALES-GRAD MERCH</v>
      </c>
      <c r="C95" s="10"/>
      <c r="D95" s="2">
        <f t="shared" si="28"/>
        <v>0</v>
      </c>
      <c r="E95" s="2"/>
      <c r="F95" s="19"/>
      <c r="G95" s="2"/>
      <c r="H95" s="2">
        <f t="shared" si="29"/>
        <v>0</v>
      </c>
      <c r="I95" s="2"/>
      <c r="J95" s="19"/>
      <c r="K95" s="2"/>
      <c r="L95" s="2">
        <f t="shared" si="0"/>
        <v>0</v>
      </c>
      <c r="M95" s="2"/>
      <c r="N95" s="19">
        <f t="shared" si="1"/>
        <v>0</v>
      </c>
      <c r="O95" s="10"/>
      <c r="P95" s="2">
        <f t="shared" si="30"/>
        <v>0</v>
      </c>
      <c r="Q95" s="2"/>
      <c r="R95" s="19"/>
      <c r="S95" s="2"/>
      <c r="T95" s="2">
        <f>--119.4</f>
        <v>119.4</v>
      </c>
      <c r="U95" s="2"/>
      <c r="V95" s="19"/>
      <c r="W95" s="2"/>
      <c r="X95" s="2">
        <f t="shared" si="2"/>
        <v>-119.4</v>
      </c>
      <c r="Y95" s="2"/>
      <c r="Z95" s="19">
        <f t="shared" si="3"/>
        <v>-1</v>
      </c>
    </row>
    <row r="96" spans="1:26" s="23" customFormat="1" hidden="1" outlineLevel="1" x14ac:dyDescent="0.25">
      <c r="A96" s="44"/>
      <c r="B96" s="10" t="str">
        <f>CONCATENATE("          ", "4201", " - ", "SALES RETURN TAXABLE-NEW TEXT")</f>
        <v xml:space="preserve">          4201 - SALES RETURN TAXABLE-NEW TEXT</v>
      </c>
      <c r="C96" s="10"/>
      <c r="D96" s="2">
        <f>-1101.25</f>
        <v>-1101.25</v>
      </c>
      <c r="E96" s="2"/>
      <c r="F96" s="19"/>
      <c r="G96" s="2"/>
      <c r="H96" s="2">
        <f t="shared" si="29"/>
        <v>0</v>
      </c>
      <c r="I96" s="2"/>
      <c r="J96" s="19"/>
      <c r="K96" s="2"/>
      <c r="L96" s="2">
        <f t="shared" si="0"/>
        <v>-1101.25</v>
      </c>
      <c r="M96" s="2"/>
      <c r="N96" s="19">
        <f t="shared" si="1"/>
        <v>0</v>
      </c>
      <c r="O96" s="10"/>
      <c r="P96" s="2">
        <f>-53397.67</f>
        <v>-53397.67</v>
      </c>
      <c r="Q96" s="2"/>
      <c r="R96" s="19"/>
      <c r="S96" s="2"/>
      <c r="T96" s="2">
        <f>-121451.61</f>
        <v>-121451.61</v>
      </c>
      <c r="U96" s="2"/>
      <c r="V96" s="19"/>
      <c r="W96" s="2"/>
      <c r="X96" s="2">
        <f t="shared" si="2"/>
        <v>68053.94</v>
      </c>
      <c r="Y96" s="2"/>
      <c r="Z96" s="19">
        <f t="shared" si="3"/>
        <v>-0.56033789918470411</v>
      </c>
    </row>
    <row r="97" spans="1:26" s="23" customFormat="1" hidden="1" outlineLevel="1" x14ac:dyDescent="0.25">
      <c r="A97" s="44"/>
      <c r="B97" s="10" t="str">
        <f>CONCATENATE("          ", "4202", " - ", "SALES RETURN TAXABLE-USED TEXT")</f>
        <v xml:space="preserve">          4202 - SALES RETURN TAXABLE-USED TEXT</v>
      </c>
      <c r="C97" s="10"/>
      <c r="D97" s="2">
        <f>-433.75</f>
        <v>-433.75</v>
      </c>
      <c r="E97" s="2"/>
      <c r="F97" s="19"/>
      <c r="G97" s="2"/>
      <c r="H97" s="2">
        <f>-186.35</f>
        <v>-186.35</v>
      </c>
      <c r="I97" s="2"/>
      <c r="J97" s="19"/>
      <c r="K97" s="2"/>
      <c r="L97" s="2">
        <f t="shared" si="0"/>
        <v>-247.4</v>
      </c>
      <c r="M97" s="2"/>
      <c r="N97" s="19">
        <f t="shared" si="1"/>
        <v>1.3276093372685807</v>
      </c>
      <c r="O97" s="10"/>
      <c r="P97" s="2">
        <f>-20889.41</f>
        <v>-20889.41</v>
      </c>
      <c r="Q97" s="2"/>
      <c r="R97" s="19"/>
      <c r="S97" s="2"/>
      <c r="T97" s="2">
        <f>-45799.46</f>
        <v>-45799.46</v>
      </c>
      <c r="U97" s="2"/>
      <c r="V97" s="19"/>
      <c r="W97" s="2"/>
      <c r="X97" s="2">
        <f t="shared" si="2"/>
        <v>24910.05</v>
      </c>
      <c r="Y97" s="2"/>
      <c r="Z97" s="19">
        <f t="shared" si="3"/>
        <v>-0.54389396730878481</v>
      </c>
    </row>
    <row r="98" spans="1:26" s="23" customFormat="1" hidden="1" outlineLevel="1" x14ac:dyDescent="0.25">
      <c r="A98" s="44"/>
      <c r="B98" s="10" t="str">
        <f>CONCATENATE("          ", "4203", " - ", "SALES RETURN TAXABLE-RENTAL TE")</f>
        <v xml:space="preserve">          4203 - SALES RETURN TAXABLE-RENTAL TE</v>
      </c>
      <c r="C98" s="10"/>
      <c r="D98" s="2">
        <f t="shared" ref="D98:D99" si="31">0</f>
        <v>0</v>
      </c>
      <c r="E98" s="2"/>
      <c r="F98" s="19"/>
      <c r="G98" s="2"/>
      <c r="H98" s="2">
        <f t="shared" ref="H98:H99" si="32">0</f>
        <v>0</v>
      </c>
      <c r="I98" s="2"/>
      <c r="J98" s="19"/>
      <c r="K98" s="2"/>
      <c r="L98" s="2">
        <f t="shared" si="0"/>
        <v>0</v>
      </c>
      <c r="M98" s="2"/>
      <c r="N98" s="19">
        <f t="shared" si="1"/>
        <v>0</v>
      </c>
      <c r="O98" s="10"/>
      <c r="P98" s="2">
        <f>0</f>
        <v>0</v>
      </c>
      <c r="Q98" s="2"/>
      <c r="R98" s="19"/>
      <c r="S98" s="2"/>
      <c r="T98" s="2">
        <f>-144.99</f>
        <v>-144.99</v>
      </c>
      <c r="U98" s="2"/>
      <c r="V98" s="19"/>
      <c r="W98" s="2"/>
      <c r="X98" s="2">
        <f t="shared" si="2"/>
        <v>144.99</v>
      </c>
      <c r="Y98" s="2"/>
      <c r="Z98" s="19">
        <f t="shared" si="3"/>
        <v>-1</v>
      </c>
    </row>
    <row r="99" spans="1:26" s="23" customFormat="1" hidden="1" outlineLevel="1" x14ac:dyDescent="0.25">
      <c r="A99" s="44"/>
      <c r="B99" s="10" t="str">
        <f>CONCATENATE("          ", "4204", " - ", "SALES RETURN TAXABLE-DIGITAL T")</f>
        <v xml:space="preserve">          4204 - SALES RETURN TAXABLE-DIGITAL T</v>
      </c>
      <c r="C99" s="10"/>
      <c r="D99" s="2">
        <f t="shared" si="31"/>
        <v>0</v>
      </c>
      <c r="E99" s="2"/>
      <c r="F99" s="19"/>
      <c r="G99" s="2"/>
      <c r="H99" s="2">
        <f t="shared" si="32"/>
        <v>0</v>
      </c>
      <c r="I99" s="2"/>
      <c r="J99" s="19"/>
      <c r="K99" s="2"/>
      <c r="L99" s="2">
        <f t="shared" si="0"/>
        <v>0</v>
      </c>
      <c r="M99" s="2"/>
      <c r="N99" s="19">
        <f t="shared" si="1"/>
        <v>0</v>
      </c>
      <c r="O99" s="10"/>
      <c r="P99" s="2">
        <f>-1763.1</f>
        <v>-1763.1</v>
      </c>
      <c r="Q99" s="2"/>
      <c r="R99" s="19"/>
      <c r="S99" s="2"/>
      <c r="T99" s="2">
        <f>-17255.33</f>
        <v>-17255.330000000002</v>
      </c>
      <c r="U99" s="2"/>
      <c r="V99" s="19"/>
      <c r="W99" s="2"/>
      <c r="X99" s="2">
        <f t="shared" si="2"/>
        <v>15492.230000000001</v>
      </c>
      <c r="Y99" s="2"/>
      <c r="Z99" s="19">
        <f t="shared" si="3"/>
        <v>-0.89782287559843832</v>
      </c>
    </row>
    <row r="100" spans="1:26" s="23" customFormat="1" hidden="1" outlineLevel="1" x14ac:dyDescent="0.25">
      <c r="A100" s="44"/>
      <c r="B100" s="10" t="str">
        <f>CONCATENATE("          ", "4213", " - ", "NON-TAXABLE SALES-TRADE BOOKS")</f>
        <v xml:space="preserve">          4213 - NON-TAXABLE SALES-TRADE BOOKS</v>
      </c>
      <c r="C100" s="10"/>
      <c r="D100" s="2">
        <f>-25</f>
        <v>-25</v>
      </c>
      <c r="E100" s="2"/>
      <c r="F100" s="19"/>
      <c r="G100" s="2"/>
      <c r="H100" s="2">
        <f>-100.7</f>
        <v>-100.7</v>
      </c>
      <c r="I100" s="2"/>
      <c r="J100" s="19"/>
      <c r="K100" s="2"/>
      <c r="L100" s="2">
        <f t="shared" si="0"/>
        <v>75.7</v>
      </c>
      <c r="M100" s="2"/>
      <c r="N100" s="19">
        <f t="shared" si="1"/>
        <v>-0.75173783515392256</v>
      </c>
      <c r="O100" s="10"/>
      <c r="P100" s="2">
        <f>-103.92</f>
        <v>-103.92</v>
      </c>
      <c r="Q100" s="2"/>
      <c r="R100" s="19"/>
      <c r="S100" s="2"/>
      <c r="T100" s="2">
        <f>-2869.37</f>
        <v>-2869.37</v>
      </c>
      <c r="U100" s="2"/>
      <c r="V100" s="19"/>
      <c r="W100" s="2"/>
      <c r="X100" s="2">
        <f t="shared" si="2"/>
        <v>2765.45</v>
      </c>
      <c r="Y100" s="2"/>
      <c r="Z100" s="19">
        <f t="shared" si="3"/>
        <v>-0.96378299069133644</v>
      </c>
    </row>
    <row r="101" spans="1:26" s="23" customFormat="1" hidden="1" outlineLevel="1" x14ac:dyDescent="0.25">
      <c r="A101" s="44"/>
      <c r="B101" s="10" t="str">
        <f>CONCATENATE("          ", "4214", " - ", "SALES RETURN TAXABLE-REMAINDER")</f>
        <v xml:space="preserve">          4214 - SALES RETURN TAXABLE-REMAINDER</v>
      </c>
      <c r="C101" s="10"/>
      <c r="D101" s="2">
        <f t="shared" ref="D101:D102" si="33">0</f>
        <v>0</v>
      </c>
      <c r="E101" s="2"/>
      <c r="F101" s="19"/>
      <c r="G101" s="2"/>
      <c r="H101" s="2">
        <f t="shared" ref="H101:H105" si="34">0</f>
        <v>0</v>
      </c>
      <c r="I101" s="2"/>
      <c r="J101" s="19"/>
      <c r="K101" s="2"/>
      <c r="L101" s="2">
        <f t="shared" si="0"/>
        <v>0</v>
      </c>
      <c r="M101" s="2"/>
      <c r="N101" s="19">
        <f t="shared" si="1"/>
        <v>0</v>
      </c>
      <c r="O101" s="10"/>
      <c r="P101" s="2">
        <f t="shared" ref="P101:P102" si="35">0</f>
        <v>0</v>
      </c>
      <c r="Q101" s="2"/>
      <c r="R101" s="19"/>
      <c r="S101" s="2"/>
      <c r="T101" s="2">
        <f>-11.94</f>
        <v>-11.94</v>
      </c>
      <c r="U101" s="2"/>
      <c r="V101" s="19"/>
      <c r="W101" s="2"/>
      <c r="X101" s="2">
        <f t="shared" si="2"/>
        <v>11.94</v>
      </c>
      <c r="Y101" s="2"/>
      <c r="Z101" s="19">
        <f t="shared" si="3"/>
        <v>-1</v>
      </c>
    </row>
    <row r="102" spans="1:26" s="23" customFormat="1" hidden="1" outlineLevel="1" x14ac:dyDescent="0.25">
      <c r="A102" s="44"/>
      <c r="B102" s="10" t="str">
        <f>CONCATENATE("          ", "4217", " - ", "NON-TAXABLE SALES-DORM/HOUSEWA")</f>
        <v xml:space="preserve">          4217 - NON-TAXABLE SALES-DORM/HOUSEWA</v>
      </c>
      <c r="C102" s="10"/>
      <c r="D102" s="2">
        <f t="shared" si="33"/>
        <v>0</v>
      </c>
      <c r="E102" s="2"/>
      <c r="F102" s="19"/>
      <c r="G102" s="2"/>
      <c r="H102" s="2">
        <f t="shared" si="34"/>
        <v>0</v>
      </c>
      <c r="I102" s="2"/>
      <c r="J102" s="19"/>
      <c r="K102" s="2"/>
      <c r="L102" s="2">
        <f t="shared" si="0"/>
        <v>0</v>
      </c>
      <c r="M102" s="2"/>
      <c r="N102" s="19">
        <f t="shared" si="1"/>
        <v>0</v>
      </c>
      <c r="O102" s="10"/>
      <c r="P102" s="2">
        <f t="shared" si="35"/>
        <v>0</v>
      </c>
      <c r="Q102" s="2"/>
      <c r="R102" s="19"/>
      <c r="S102" s="2"/>
      <c r="T102" s="2">
        <f>-2.98</f>
        <v>-2.98</v>
      </c>
      <c r="U102" s="2"/>
      <c r="V102" s="19"/>
      <c r="W102" s="2"/>
      <c r="X102" s="2">
        <f t="shared" si="2"/>
        <v>2.98</v>
      </c>
      <c r="Y102" s="2"/>
      <c r="Z102" s="19">
        <f t="shared" si="3"/>
        <v>-1</v>
      </c>
    </row>
    <row r="103" spans="1:26" s="23" customFormat="1" hidden="1" outlineLevel="1" x14ac:dyDescent="0.25">
      <c r="A103" s="44"/>
      <c r="B103" s="10" t="str">
        <f>CONCATENATE("          ", "4218", " - ", "SALES RETURN TAXABLE-STUDY GUI")</f>
        <v xml:space="preserve">          4218 - SALES RETURN TAXABLE-STUDY GUI</v>
      </c>
      <c r="C103" s="10"/>
      <c r="D103" s="2">
        <f>-23.44</f>
        <v>-23.44</v>
      </c>
      <c r="E103" s="2"/>
      <c r="F103" s="19"/>
      <c r="G103" s="2"/>
      <c r="H103" s="2">
        <f t="shared" si="34"/>
        <v>0</v>
      </c>
      <c r="I103" s="2"/>
      <c r="J103" s="19"/>
      <c r="K103" s="2"/>
      <c r="L103" s="2">
        <f t="shared" si="0"/>
        <v>-23.44</v>
      </c>
      <c r="M103" s="2"/>
      <c r="N103" s="19">
        <f t="shared" si="1"/>
        <v>0</v>
      </c>
      <c r="O103" s="10"/>
      <c r="P103" s="2">
        <f>-28.65</f>
        <v>-28.65</v>
      </c>
      <c r="Q103" s="2"/>
      <c r="R103" s="19"/>
      <c r="S103" s="2"/>
      <c r="T103" s="2">
        <f>-39.25</f>
        <v>-39.25</v>
      </c>
      <c r="U103" s="2"/>
      <c r="V103" s="19"/>
      <c r="W103" s="2"/>
      <c r="X103" s="2">
        <f t="shared" si="2"/>
        <v>10.600000000000001</v>
      </c>
      <c r="Y103" s="2"/>
      <c r="Z103" s="19">
        <f t="shared" si="3"/>
        <v>-0.27006369426751597</v>
      </c>
    </row>
    <row r="104" spans="1:26" s="23" customFormat="1" hidden="1" outlineLevel="1" x14ac:dyDescent="0.25">
      <c r="A104" s="44"/>
      <c r="B104" s="10" t="str">
        <f>CONCATENATE("          ", "4225", " - ", "SALES RETURN TAXABLE-TEST FORM")</f>
        <v xml:space="preserve">          4225 - SALES RETURN TAXABLE-TEST FORM</v>
      </c>
      <c r="C104" s="10"/>
      <c r="D104" s="2">
        <f t="shared" ref="D104:D105" si="36">0</f>
        <v>0</v>
      </c>
      <c r="E104" s="2"/>
      <c r="F104" s="19"/>
      <c r="G104" s="2"/>
      <c r="H104" s="2">
        <f t="shared" si="34"/>
        <v>0</v>
      </c>
      <c r="I104" s="2"/>
      <c r="J104" s="19"/>
      <c r="K104" s="2"/>
      <c r="L104" s="2">
        <f t="shared" si="0"/>
        <v>0</v>
      </c>
      <c r="M104" s="2"/>
      <c r="N104" s="19">
        <f t="shared" si="1"/>
        <v>0</v>
      </c>
      <c r="O104" s="10"/>
      <c r="P104" s="2">
        <f>0</f>
        <v>0</v>
      </c>
      <c r="Q104" s="2"/>
      <c r="R104" s="19"/>
      <c r="S104" s="2"/>
      <c r="T104" s="2">
        <f>-205.91</f>
        <v>-205.91</v>
      </c>
      <c r="U104" s="2"/>
      <c r="V104" s="19"/>
      <c r="W104" s="2"/>
      <c r="X104" s="2">
        <f t="shared" si="2"/>
        <v>205.91</v>
      </c>
      <c r="Y104" s="2"/>
      <c r="Z104" s="19">
        <f t="shared" si="3"/>
        <v>-1</v>
      </c>
    </row>
    <row r="105" spans="1:26" s="23" customFormat="1" hidden="1" outlineLevel="1" x14ac:dyDescent="0.25">
      <c r="A105" s="44"/>
      <c r="B105" s="10" t="str">
        <f>CONCATENATE("          ", "4226", " - ", "SALES RETURN TAXABLE-WRITING I")</f>
        <v xml:space="preserve">          4226 - SALES RETURN TAXABLE-WRITING I</v>
      </c>
      <c r="C105" s="10"/>
      <c r="D105" s="2">
        <f t="shared" si="36"/>
        <v>0</v>
      </c>
      <c r="E105" s="2"/>
      <c r="F105" s="19"/>
      <c r="G105" s="2"/>
      <c r="H105" s="2">
        <f t="shared" si="34"/>
        <v>0</v>
      </c>
      <c r="I105" s="2"/>
      <c r="J105" s="19"/>
      <c r="K105" s="2"/>
      <c r="L105" s="2">
        <f t="shared" si="0"/>
        <v>0</v>
      </c>
      <c r="M105" s="2"/>
      <c r="N105" s="19">
        <f t="shared" si="1"/>
        <v>0</v>
      </c>
      <c r="O105" s="10"/>
      <c r="P105" s="2">
        <f>-35.02</f>
        <v>-35.020000000000003</v>
      </c>
      <c r="Q105" s="2"/>
      <c r="R105" s="19"/>
      <c r="S105" s="2"/>
      <c r="T105" s="2">
        <f>-924.44</f>
        <v>-924.44</v>
      </c>
      <c r="U105" s="2"/>
      <c r="V105" s="19"/>
      <c r="W105" s="2"/>
      <c r="X105" s="2">
        <f t="shared" si="2"/>
        <v>889.42000000000007</v>
      </c>
      <c r="Y105" s="2"/>
      <c r="Z105" s="19">
        <f t="shared" si="3"/>
        <v>-0.96211760633464583</v>
      </c>
    </row>
    <row r="106" spans="1:26" s="23" customFormat="1" hidden="1" outlineLevel="1" x14ac:dyDescent="0.25">
      <c r="A106" s="44"/>
      <c r="B106" s="10" t="str">
        <f>CONCATENATE("          ", "4227", " - ", "SALES RETURN TAXABLE-SCHOOL SU")</f>
        <v xml:space="preserve">          4227 - SALES RETURN TAXABLE-SCHOOL SU</v>
      </c>
      <c r="C106" s="10"/>
      <c r="D106" s="2">
        <f>-80.63</f>
        <v>-80.63</v>
      </c>
      <c r="E106" s="2"/>
      <c r="F106" s="19"/>
      <c r="G106" s="2"/>
      <c r="H106" s="2">
        <f>-81.87</f>
        <v>-81.87</v>
      </c>
      <c r="I106" s="2"/>
      <c r="J106" s="19"/>
      <c r="K106" s="2"/>
      <c r="L106" s="2">
        <f t="shared" si="0"/>
        <v>1.2400000000000091</v>
      </c>
      <c r="M106" s="2"/>
      <c r="N106" s="19">
        <f t="shared" si="1"/>
        <v>-1.514596311225124E-2</v>
      </c>
      <c r="O106" s="10"/>
      <c r="P106" s="2">
        <f>-1565.11</f>
        <v>-1565.11</v>
      </c>
      <c r="Q106" s="2"/>
      <c r="R106" s="19"/>
      <c r="S106" s="2"/>
      <c r="T106" s="2">
        <f>-8728.9</f>
        <v>-8728.9</v>
      </c>
      <c r="U106" s="2"/>
      <c r="V106" s="19"/>
      <c r="W106" s="2"/>
      <c r="X106" s="2">
        <f t="shared" si="2"/>
        <v>7163.79</v>
      </c>
      <c r="Y106" s="2"/>
      <c r="Z106" s="19">
        <f t="shared" si="3"/>
        <v>-0.82069791153524507</v>
      </c>
    </row>
    <row r="107" spans="1:26" s="23" customFormat="1" hidden="1" outlineLevel="1" x14ac:dyDescent="0.25">
      <c r="A107" s="44"/>
      <c r="B107" s="10" t="str">
        <f>CONCATENATE("          ", "4228", " - ", "SALES RETURN TAXABLE-ART/TECH")</f>
        <v xml:space="preserve">          4228 - SALES RETURN TAXABLE-ART/TECH</v>
      </c>
      <c r="C107" s="10"/>
      <c r="D107" s="2">
        <f>-105.6</f>
        <v>-105.6</v>
      </c>
      <c r="E107" s="2"/>
      <c r="F107" s="19"/>
      <c r="G107" s="2"/>
      <c r="H107" s="2">
        <f t="shared" ref="H107:H108" si="37">0</f>
        <v>0</v>
      </c>
      <c r="I107" s="2"/>
      <c r="J107" s="19"/>
      <c r="K107" s="2"/>
      <c r="L107" s="2">
        <f t="shared" si="0"/>
        <v>-105.6</v>
      </c>
      <c r="M107" s="2"/>
      <c r="N107" s="19">
        <f t="shared" si="1"/>
        <v>0</v>
      </c>
      <c r="O107" s="10"/>
      <c r="P107" s="2">
        <f>-13079.33</f>
        <v>-13079.33</v>
      </c>
      <c r="Q107" s="2"/>
      <c r="R107" s="19"/>
      <c r="S107" s="2"/>
      <c r="T107" s="2">
        <f>-4739.1</f>
        <v>-4739.1000000000004</v>
      </c>
      <c r="U107" s="2"/>
      <c r="V107" s="19"/>
      <c r="W107" s="2"/>
      <c r="X107" s="2">
        <f t="shared" si="2"/>
        <v>-8340.23</v>
      </c>
      <c r="Y107" s="2"/>
      <c r="Z107" s="19">
        <f t="shared" si="3"/>
        <v>1.7598763478297565</v>
      </c>
    </row>
    <row r="108" spans="1:26" s="23" customFormat="1" hidden="1" outlineLevel="1" x14ac:dyDescent="0.25">
      <c r="A108" s="44"/>
      <c r="B108" s="10" t="str">
        <f>CONCATENATE("          ", "4233", " - ", "SALES RETURN TAXABLE-CANDY")</f>
        <v xml:space="preserve">          4233 - SALES RETURN TAXABLE-CANDY</v>
      </c>
      <c r="C108" s="10"/>
      <c r="D108" s="2">
        <f>0</f>
        <v>0</v>
      </c>
      <c r="E108" s="2"/>
      <c r="F108" s="19"/>
      <c r="G108" s="2"/>
      <c r="H108" s="2">
        <f t="shared" si="37"/>
        <v>0</v>
      </c>
      <c r="I108" s="2"/>
      <c r="J108" s="19"/>
      <c r="K108" s="2"/>
      <c r="L108" s="2">
        <f t="shared" si="0"/>
        <v>0</v>
      </c>
      <c r="M108" s="2"/>
      <c r="N108" s="19">
        <f t="shared" si="1"/>
        <v>0</v>
      </c>
      <c r="O108" s="10"/>
      <c r="P108" s="2">
        <f>0</f>
        <v>0</v>
      </c>
      <c r="Q108" s="2"/>
      <c r="R108" s="19"/>
      <c r="S108" s="2"/>
      <c r="T108" s="2">
        <f>-8.25</f>
        <v>-8.25</v>
      </c>
      <c r="U108" s="2"/>
      <c r="V108" s="19"/>
      <c r="W108" s="2"/>
      <c r="X108" s="2">
        <f t="shared" si="2"/>
        <v>8.25</v>
      </c>
      <c r="Y108" s="2"/>
      <c r="Z108" s="19">
        <f t="shared" si="3"/>
        <v>-1</v>
      </c>
    </row>
    <row r="109" spans="1:26" s="23" customFormat="1" hidden="1" outlineLevel="1" x14ac:dyDescent="0.25">
      <c r="A109" s="44"/>
      <c r="B109" s="10" t="str">
        <f>CONCATENATE("          ", "4240", " - ", "SALES RETURN TAXABLE-LOGO CLOT")</f>
        <v xml:space="preserve">          4240 - SALES RETURN TAXABLE-LOGO CLOT</v>
      </c>
      <c r="C109" s="10"/>
      <c r="D109" s="2">
        <f>-4795.71</f>
        <v>-4795.71</v>
      </c>
      <c r="E109" s="2"/>
      <c r="F109" s="19"/>
      <c r="G109" s="2"/>
      <c r="H109" s="2">
        <f>-2702.34</f>
        <v>-2702.34</v>
      </c>
      <c r="I109" s="2"/>
      <c r="J109" s="19"/>
      <c r="K109" s="2"/>
      <c r="L109" s="2">
        <f t="shared" si="0"/>
        <v>-2093.37</v>
      </c>
      <c r="M109" s="2"/>
      <c r="N109" s="19">
        <f t="shared" si="1"/>
        <v>0.77465085814516299</v>
      </c>
      <c r="O109" s="10"/>
      <c r="P109" s="2">
        <f>-51889.15</f>
        <v>-51889.15</v>
      </c>
      <c r="Q109" s="2"/>
      <c r="R109" s="19"/>
      <c r="S109" s="2"/>
      <c r="T109" s="2">
        <f>-80387.11</f>
        <v>-80387.11</v>
      </c>
      <c r="U109" s="2"/>
      <c r="V109" s="19"/>
      <c r="W109" s="2"/>
      <c r="X109" s="2">
        <f t="shared" si="2"/>
        <v>28497.96</v>
      </c>
      <c r="Y109" s="2"/>
      <c r="Z109" s="19">
        <f t="shared" si="3"/>
        <v>-0.35450907490019234</v>
      </c>
    </row>
    <row r="110" spans="1:26" s="23" customFormat="1" hidden="1" outlineLevel="1" x14ac:dyDescent="0.25">
      <c r="A110" s="44"/>
      <c r="B110" s="10" t="str">
        <f>CONCATENATE("          ", "4241", " - ", "SALES RETURN TAXABLE-LOGO GIFT")</f>
        <v xml:space="preserve">          4241 - SALES RETURN TAXABLE-LOGO GIFT</v>
      </c>
      <c r="C110" s="10"/>
      <c r="D110" s="2">
        <f>-1907.39</f>
        <v>-1907.39</v>
      </c>
      <c r="E110" s="2"/>
      <c r="F110" s="19"/>
      <c r="G110" s="2"/>
      <c r="H110" s="2">
        <f>-525.51</f>
        <v>-525.51</v>
      </c>
      <c r="I110" s="2"/>
      <c r="J110" s="19"/>
      <c r="K110" s="2"/>
      <c r="L110" s="2">
        <f t="shared" si="0"/>
        <v>-1381.88</v>
      </c>
      <c r="M110" s="2"/>
      <c r="N110" s="19">
        <f t="shared" si="1"/>
        <v>2.6295979144069572</v>
      </c>
      <c r="O110" s="10"/>
      <c r="P110" s="2">
        <f>-18587.93</f>
        <v>-18587.93</v>
      </c>
      <c r="Q110" s="2"/>
      <c r="R110" s="19"/>
      <c r="S110" s="2"/>
      <c r="T110" s="2">
        <f>-7990.78</f>
        <v>-7990.78</v>
      </c>
      <c r="U110" s="2"/>
      <c r="V110" s="19"/>
      <c r="W110" s="2"/>
      <c r="X110" s="2">
        <f t="shared" si="2"/>
        <v>-10597.150000000001</v>
      </c>
      <c r="Y110" s="2"/>
      <c r="Z110" s="19">
        <f t="shared" si="3"/>
        <v>1.3261721634183399</v>
      </c>
    </row>
    <row r="111" spans="1:26" s="23" customFormat="1" hidden="1" outlineLevel="1" x14ac:dyDescent="0.25">
      <c r="A111" s="44"/>
      <c r="B111" s="10" t="str">
        <f>CONCATENATE("          ", "4242", " - ", "SALES RETURN TAXABLE-EVERYDAY")</f>
        <v xml:space="preserve">          4242 - SALES RETURN TAXABLE-EVERYDAY</v>
      </c>
      <c r="C111" s="10"/>
      <c r="D111" s="2">
        <f>-131.98</f>
        <v>-131.97999999999999</v>
      </c>
      <c r="E111" s="2"/>
      <c r="F111" s="19"/>
      <c r="G111" s="2"/>
      <c r="H111" s="2">
        <f>-51.44</f>
        <v>-51.44</v>
      </c>
      <c r="I111" s="2"/>
      <c r="J111" s="19"/>
      <c r="K111" s="2"/>
      <c r="L111" s="2">
        <f t="shared" si="0"/>
        <v>-80.539999999999992</v>
      </c>
      <c r="M111" s="2"/>
      <c r="N111" s="19">
        <f t="shared" si="1"/>
        <v>1.5657076205287712</v>
      </c>
      <c r="O111" s="10"/>
      <c r="P111" s="2">
        <f>-2875.07</f>
        <v>-2875.07</v>
      </c>
      <c r="Q111" s="2"/>
      <c r="R111" s="19"/>
      <c r="S111" s="2"/>
      <c r="T111" s="2">
        <f>-4232.85</f>
        <v>-4232.8500000000004</v>
      </c>
      <c r="U111" s="2"/>
      <c r="V111" s="19"/>
      <c r="W111" s="2"/>
      <c r="X111" s="2">
        <f t="shared" si="2"/>
        <v>1357.7800000000002</v>
      </c>
      <c r="Y111" s="2"/>
      <c r="Z111" s="19">
        <f t="shared" si="3"/>
        <v>-0.32077205665213748</v>
      </c>
    </row>
    <row r="112" spans="1:26" s="23" customFormat="1" hidden="1" outlineLevel="1" x14ac:dyDescent="0.25">
      <c r="A112" s="44"/>
      <c r="B112" s="10" t="str">
        <f>CONCATENATE("          ", "4243", " - ", "SALES RETURN TAXABLE-CARDS")</f>
        <v xml:space="preserve">          4243 - SALES RETURN TAXABLE-CARDS</v>
      </c>
      <c r="C112" s="10"/>
      <c r="D112" s="2">
        <f>-9.99</f>
        <v>-9.99</v>
      </c>
      <c r="E112" s="2"/>
      <c r="F112" s="19"/>
      <c r="G112" s="2"/>
      <c r="H112" s="2">
        <f>-19.99</f>
        <v>-19.989999999999998</v>
      </c>
      <c r="I112" s="2"/>
      <c r="J112" s="19"/>
      <c r="K112" s="2"/>
      <c r="L112" s="2">
        <f t="shared" si="0"/>
        <v>9.9999999999999982</v>
      </c>
      <c r="M112" s="2"/>
      <c r="N112" s="19">
        <f t="shared" si="1"/>
        <v>-0.50025012506253119</v>
      </c>
      <c r="O112" s="10"/>
      <c r="P112" s="2">
        <f>-6228.98</f>
        <v>-6228.98</v>
      </c>
      <c r="Q112" s="2"/>
      <c r="R112" s="19"/>
      <c r="S112" s="2"/>
      <c r="T112" s="2">
        <f>-3026.3</f>
        <v>-3026.3</v>
      </c>
      <c r="U112" s="2"/>
      <c r="V112" s="19"/>
      <c r="W112" s="2"/>
      <c r="X112" s="2">
        <f t="shared" si="2"/>
        <v>-3202.6799999999994</v>
      </c>
      <c r="Y112" s="2"/>
      <c r="Z112" s="19">
        <f t="shared" si="3"/>
        <v>1.0582823910385617</v>
      </c>
    </row>
    <row r="113" spans="1:26" s="23" customFormat="1" hidden="1" outlineLevel="1" x14ac:dyDescent="0.25">
      <c r="A113" s="44"/>
      <c r="B113" s="10" t="str">
        <f>CONCATENATE("          ", "4244", " - ", "SALES RETURN TAXABLE-ACCESSORI")</f>
        <v xml:space="preserve">          4244 - SALES RETURN TAXABLE-ACCESSORI</v>
      </c>
      <c r="C113" s="10"/>
      <c r="D113" s="2">
        <f>-34.84</f>
        <v>-34.840000000000003</v>
      </c>
      <c r="E113" s="2"/>
      <c r="F113" s="19"/>
      <c r="G113" s="2"/>
      <c r="H113" s="2">
        <f>0</f>
        <v>0</v>
      </c>
      <c r="I113" s="2"/>
      <c r="J113" s="19"/>
      <c r="K113" s="2"/>
      <c r="L113" s="2">
        <f t="shared" si="0"/>
        <v>-34.840000000000003</v>
      </c>
      <c r="M113" s="2"/>
      <c r="N113" s="19">
        <f t="shared" si="1"/>
        <v>0</v>
      </c>
      <c r="O113" s="10"/>
      <c r="P113" s="2">
        <f>-1302.75</f>
        <v>-1302.75</v>
      </c>
      <c r="Q113" s="2"/>
      <c r="R113" s="19"/>
      <c r="S113" s="2"/>
      <c r="T113" s="2">
        <f>-2726.41</f>
        <v>-2726.41</v>
      </c>
      <c r="U113" s="2"/>
      <c r="V113" s="19"/>
      <c r="W113" s="2"/>
      <c r="X113" s="2">
        <f t="shared" si="2"/>
        <v>1423.6599999999999</v>
      </c>
      <c r="Y113" s="2"/>
      <c r="Z113" s="19">
        <f t="shared" si="3"/>
        <v>-0.52217384766047659</v>
      </c>
    </row>
    <row r="114" spans="1:26" s="23" customFormat="1" hidden="1" outlineLevel="1" x14ac:dyDescent="0.25">
      <c r="A114" s="44"/>
      <c r="B114" s="10" t="str">
        <f>CONCATENATE("          ", "4245", " - ", "SALES RETURN TAXABLE-SPECIAL O")</f>
        <v xml:space="preserve">          4245 - SALES RETURN TAXABLE-SPECIAL O</v>
      </c>
      <c r="C114" s="10"/>
      <c r="D114" s="2">
        <f>-3318.4</f>
        <v>-3318.4</v>
      </c>
      <c r="E114" s="2"/>
      <c r="F114" s="19"/>
      <c r="G114" s="2"/>
      <c r="H114" s="2">
        <f>-2187.5</f>
        <v>-2187.5</v>
      </c>
      <c r="I114" s="2"/>
      <c r="J114" s="19"/>
      <c r="K114" s="2"/>
      <c r="L114" s="2">
        <f t="shared" si="0"/>
        <v>-1130.9000000000001</v>
      </c>
      <c r="M114" s="2"/>
      <c r="N114" s="19">
        <f t="shared" si="1"/>
        <v>0.51698285714285719</v>
      </c>
      <c r="O114" s="10"/>
      <c r="P114" s="2">
        <f>-18779.13</f>
        <v>-18779.13</v>
      </c>
      <c r="Q114" s="2"/>
      <c r="R114" s="19"/>
      <c r="S114" s="2"/>
      <c r="T114" s="2">
        <f>-4097.53</f>
        <v>-4097.53</v>
      </c>
      <c r="U114" s="2"/>
      <c r="V114" s="19"/>
      <c r="W114" s="2"/>
      <c r="X114" s="2">
        <f t="shared" si="2"/>
        <v>-14681.600000000002</v>
      </c>
      <c r="Y114" s="2"/>
      <c r="Z114" s="19">
        <f t="shared" si="3"/>
        <v>3.5830366098600872</v>
      </c>
    </row>
    <row r="115" spans="1:26" s="23" customFormat="1" hidden="1" outlineLevel="1" x14ac:dyDescent="0.25">
      <c r="A115" s="44"/>
      <c r="B115" s="10" t="str">
        <f>CONCATENATE("          ", "4281", " - ", "SALES RETURN TAXABLE-ELECTRONI")</f>
        <v xml:space="preserve">          4281 - SALES RETURN TAXABLE-ELECTRONI</v>
      </c>
      <c r="C115" s="10"/>
      <c r="D115" s="2">
        <f>-529.99</f>
        <v>-529.99</v>
      </c>
      <c r="E115" s="2"/>
      <c r="F115" s="19"/>
      <c r="G115" s="2"/>
      <c r="H115" s="2">
        <f>-159</f>
        <v>-159</v>
      </c>
      <c r="I115" s="2"/>
      <c r="J115" s="19"/>
      <c r="K115" s="2"/>
      <c r="L115" s="2">
        <f t="shared" si="0"/>
        <v>-370.99</v>
      </c>
      <c r="M115" s="2"/>
      <c r="N115" s="19">
        <f t="shared" si="1"/>
        <v>2.3332704402515723</v>
      </c>
      <c r="O115" s="10"/>
      <c r="P115" s="2">
        <f>-15372.12</f>
        <v>-15372.12</v>
      </c>
      <c r="Q115" s="2"/>
      <c r="R115" s="19"/>
      <c r="S115" s="2"/>
      <c r="T115" s="2">
        <f>-8154.67</f>
        <v>-8154.67</v>
      </c>
      <c r="U115" s="2"/>
      <c r="V115" s="19"/>
      <c r="W115" s="2"/>
      <c r="X115" s="2">
        <f t="shared" si="2"/>
        <v>-7217.4500000000007</v>
      </c>
      <c r="Y115" s="2"/>
      <c r="Z115" s="19">
        <f t="shared" si="3"/>
        <v>0.88506953684207956</v>
      </c>
    </row>
    <row r="116" spans="1:26" s="23" customFormat="1" hidden="1" outlineLevel="1" x14ac:dyDescent="0.25">
      <c r="A116" s="44"/>
      <c r="B116" s="10" t="str">
        <f>CONCATENATE("          ", "4282", " - ", "SALES RETURN TAXABLE-COMPUTER")</f>
        <v xml:space="preserve">          4282 - SALES RETURN TAXABLE-COMPUTER</v>
      </c>
      <c r="C116" s="10"/>
      <c r="D116" s="2">
        <f>-44973</f>
        <v>-44973</v>
      </c>
      <c r="E116" s="2"/>
      <c r="F116" s="19"/>
      <c r="G116" s="2"/>
      <c r="H116" s="2">
        <f>-31763.9</f>
        <v>-31763.9</v>
      </c>
      <c r="I116" s="2"/>
      <c r="J116" s="19"/>
      <c r="K116" s="2"/>
      <c r="L116" s="2">
        <f t="shared" si="0"/>
        <v>-13209.099999999999</v>
      </c>
      <c r="M116" s="2"/>
      <c r="N116" s="19">
        <f t="shared" si="1"/>
        <v>0.41585258737119807</v>
      </c>
      <c r="O116" s="10"/>
      <c r="P116" s="2">
        <f>-285193.17</f>
        <v>-285193.17</v>
      </c>
      <c r="Q116" s="2"/>
      <c r="R116" s="19"/>
      <c r="S116" s="2"/>
      <c r="T116" s="2">
        <f>-247392.7</f>
        <v>-247392.7</v>
      </c>
      <c r="U116" s="2"/>
      <c r="V116" s="19"/>
      <c r="W116" s="2"/>
      <c r="X116" s="2">
        <f t="shared" si="2"/>
        <v>-37800.469999999972</v>
      </c>
      <c r="Y116" s="2"/>
      <c r="Z116" s="19">
        <f t="shared" si="3"/>
        <v>0.15279541393096874</v>
      </c>
    </row>
    <row r="117" spans="1:26" s="23" customFormat="1" hidden="1" outlineLevel="1" x14ac:dyDescent="0.25">
      <c r="A117" s="44"/>
      <c r="B117" s="10" t="str">
        <f>CONCATENATE("          ", "4283", " - ", "SALES RETURN TAXABLE-COMPUTER")</f>
        <v xml:space="preserve">          4283 - SALES RETURN TAXABLE-COMPUTER</v>
      </c>
      <c r="C117" s="10"/>
      <c r="D117" s="2">
        <f>-23.47</f>
        <v>-23.47</v>
      </c>
      <c r="E117" s="2"/>
      <c r="F117" s="19"/>
      <c r="G117" s="2"/>
      <c r="H117" s="2">
        <f>-9.99</f>
        <v>-9.99</v>
      </c>
      <c r="I117" s="2"/>
      <c r="J117" s="19"/>
      <c r="K117" s="2"/>
      <c r="L117" s="2">
        <f t="shared" si="0"/>
        <v>-13.479999999999999</v>
      </c>
      <c r="M117" s="2"/>
      <c r="N117" s="19">
        <f t="shared" si="1"/>
        <v>1.3493493493493491</v>
      </c>
      <c r="O117" s="10"/>
      <c r="P117" s="2">
        <f>-4152.64</f>
        <v>-4152.6400000000003</v>
      </c>
      <c r="Q117" s="2"/>
      <c r="R117" s="19"/>
      <c r="S117" s="2"/>
      <c r="T117" s="2">
        <f>-6718.01</f>
        <v>-6718.01</v>
      </c>
      <c r="U117" s="2"/>
      <c r="V117" s="19"/>
      <c r="W117" s="2"/>
      <c r="X117" s="2">
        <f t="shared" si="2"/>
        <v>2565.37</v>
      </c>
      <c r="Y117" s="2"/>
      <c r="Z117" s="19">
        <f t="shared" si="3"/>
        <v>-0.38186457001403684</v>
      </c>
    </row>
    <row r="118" spans="1:26" s="23" customFormat="1" hidden="1" outlineLevel="1" x14ac:dyDescent="0.25">
      <c r="A118" s="44"/>
      <c r="B118" s="10" t="str">
        <f>CONCATENATE("          ", "4284", " - ", "SALES RETURN TAXABLE-SOFTWARE")</f>
        <v xml:space="preserve">          4284 - SALES RETURN TAXABLE-SOFTWARE</v>
      </c>
      <c r="C118" s="10"/>
      <c r="D118" s="2">
        <f t="shared" ref="D118:D119" si="38">0</f>
        <v>0</v>
      </c>
      <c r="E118" s="2"/>
      <c r="F118" s="19"/>
      <c r="G118" s="2"/>
      <c r="H118" s="2">
        <f t="shared" ref="H118:H121" si="39">0</f>
        <v>0</v>
      </c>
      <c r="I118" s="2"/>
      <c r="J118" s="19"/>
      <c r="K118" s="2"/>
      <c r="L118" s="2">
        <f t="shared" si="0"/>
        <v>0</v>
      </c>
      <c r="M118" s="2"/>
      <c r="N118" s="19">
        <f t="shared" si="1"/>
        <v>0</v>
      </c>
      <c r="O118" s="10"/>
      <c r="P118" s="2">
        <f>0</f>
        <v>0</v>
      </c>
      <c r="Q118" s="2"/>
      <c r="R118" s="19"/>
      <c r="S118" s="2"/>
      <c r="T118" s="2">
        <f>-129</f>
        <v>-129</v>
      </c>
      <c r="U118" s="2"/>
      <c r="V118" s="19"/>
      <c r="W118" s="2"/>
      <c r="X118" s="2">
        <f t="shared" si="2"/>
        <v>129</v>
      </c>
      <c r="Y118" s="2"/>
      <c r="Z118" s="19">
        <f t="shared" si="3"/>
        <v>-1</v>
      </c>
    </row>
    <row r="119" spans="1:26" s="23" customFormat="1" hidden="1" outlineLevel="1" x14ac:dyDescent="0.25">
      <c r="A119" s="44"/>
      <c r="B119" s="10" t="str">
        <f>CONCATENATE("          ", "4285", " - ", "SALES RETURN TAXABLE-SOFTWARE")</f>
        <v xml:space="preserve">          4285 - SALES RETURN TAXABLE-SOFTWARE</v>
      </c>
      <c r="C119" s="10"/>
      <c r="D119" s="2">
        <f t="shared" si="38"/>
        <v>0</v>
      </c>
      <c r="E119" s="2"/>
      <c r="F119" s="19"/>
      <c r="G119" s="2"/>
      <c r="H119" s="2">
        <f t="shared" si="39"/>
        <v>0</v>
      </c>
      <c r="I119" s="2"/>
      <c r="J119" s="19"/>
      <c r="K119" s="2"/>
      <c r="L119" s="2">
        <f t="shared" si="0"/>
        <v>0</v>
      </c>
      <c r="M119" s="2"/>
      <c r="N119" s="19">
        <f t="shared" si="1"/>
        <v>0</v>
      </c>
      <c r="O119" s="10"/>
      <c r="P119" s="2">
        <f>-1091.79</f>
        <v>-1091.79</v>
      </c>
      <c r="Q119" s="2"/>
      <c r="R119" s="19"/>
      <c r="S119" s="2"/>
      <c r="T119" s="2">
        <f>-805.97</f>
        <v>-805.97</v>
      </c>
      <c r="U119" s="2"/>
      <c r="V119" s="19"/>
      <c r="W119" s="2"/>
      <c r="X119" s="2">
        <f t="shared" si="2"/>
        <v>-285.81999999999994</v>
      </c>
      <c r="Y119" s="2"/>
      <c r="Z119" s="19">
        <f t="shared" si="3"/>
        <v>0.35462858419047844</v>
      </c>
    </row>
    <row r="120" spans="1:26" s="23" customFormat="1" hidden="1" outlineLevel="1" x14ac:dyDescent="0.25">
      <c r="A120" s="44"/>
      <c r="B120" s="10" t="str">
        <f>CONCATENATE("          ", "4286", " - ", "SALES RETURN TAXABLE-COMPUTER")</f>
        <v xml:space="preserve">          4286 - SALES RETURN TAXABLE-COMPUTER</v>
      </c>
      <c r="C120" s="10"/>
      <c r="D120" s="2">
        <f>-9.99</f>
        <v>-9.99</v>
      </c>
      <c r="E120" s="2"/>
      <c r="F120" s="19"/>
      <c r="G120" s="2"/>
      <c r="H120" s="2">
        <f t="shared" si="39"/>
        <v>0</v>
      </c>
      <c r="I120" s="2"/>
      <c r="J120" s="19"/>
      <c r="K120" s="2"/>
      <c r="L120" s="2">
        <f t="shared" si="0"/>
        <v>-9.99</v>
      </c>
      <c r="M120" s="2"/>
      <c r="N120" s="19">
        <f t="shared" si="1"/>
        <v>0</v>
      </c>
      <c r="O120" s="10"/>
      <c r="P120" s="2">
        <f>-4812.28</f>
        <v>-4812.28</v>
      </c>
      <c r="Q120" s="2"/>
      <c r="R120" s="19"/>
      <c r="S120" s="2"/>
      <c r="T120" s="2">
        <f>-3660.86</f>
        <v>-3660.86</v>
      </c>
      <c r="U120" s="2"/>
      <c r="V120" s="19"/>
      <c r="W120" s="2"/>
      <c r="X120" s="2">
        <f t="shared" si="2"/>
        <v>-1151.4199999999996</v>
      </c>
      <c r="Y120" s="2"/>
      <c r="Z120" s="19">
        <f t="shared" si="3"/>
        <v>0.31452172440355536</v>
      </c>
    </row>
    <row r="121" spans="1:26" s="23" customFormat="1" hidden="1" outlineLevel="1" x14ac:dyDescent="0.25">
      <c r="A121" s="44"/>
      <c r="B121" s="10" t="str">
        <f>CONCATENATE("          ", "4288", " - ", "TAXABLE SALES RETURN-MUSIC")</f>
        <v xml:space="preserve">          4288 - TAXABLE SALES RETURN-MUSIC</v>
      </c>
      <c r="C121" s="10"/>
      <c r="D121" s="2">
        <f t="shared" ref="D121:D123" si="40">0</f>
        <v>0</v>
      </c>
      <c r="E121" s="2"/>
      <c r="F121" s="19"/>
      <c r="G121" s="2"/>
      <c r="H121" s="2">
        <f t="shared" si="39"/>
        <v>0</v>
      </c>
      <c r="I121" s="2"/>
      <c r="J121" s="19"/>
      <c r="K121" s="2"/>
      <c r="L121" s="2">
        <f t="shared" si="0"/>
        <v>0</v>
      </c>
      <c r="M121" s="2"/>
      <c r="N121" s="19">
        <f t="shared" si="1"/>
        <v>0</v>
      </c>
      <c r="O121" s="10"/>
      <c r="P121" s="2">
        <f t="shared" ref="P121:P123" si="41">0</f>
        <v>0</v>
      </c>
      <c r="Q121" s="2"/>
      <c r="R121" s="19"/>
      <c r="S121" s="2"/>
      <c r="T121" s="2">
        <f>-152.99</f>
        <v>-152.99</v>
      </c>
      <c r="U121" s="2"/>
      <c r="V121" s="19"/>
      <c r="W121" s="2"/>
      <c r="X121" s="2">
        <f t="shared" si="2"/>
        <v>152.99</v>
      </c>
      <c r="Y121" s="2"/>
      <c r="Z121" s="19">
        <f t="shared" si="3"/>
        <v>-1</v>
      </c>
    </row>
    <row r="122" spans="1:26" s="23" customFormat="1" hidden="1" outlineLevel="1" x14ac:dyDescent="0.25">
      <c r="A122" s="44"/>
      <c r="B122" s="10" t="str">
        <f>CONCATENATE("          ", "4292", " - ", "SALES RETURN TAXABLE-GRAD MERC")</f>
        <v xml:space="preserve">          4292 - SALES RETURN TAXABLE-GRAD MERC</v>
      </c>
      <c r="C122" s="10"/>
      <c r="D122" s="2">
        <f t="shared" si="40"/>
        <v>0</v>
      </c>
      <c r="E122" s="2"/>
      <c r="F122" s="19"/>
      <c r="G122" s="2"/>
      <c r="H122" s="2">
        <f>-214.68</f>
        <v>-214.68</v>
      </c>
      <c r="I122" s="2"/>
      <c r="J122" s="19"/>
      <c r="K122" s="2"/>
      <c r="L122" s="2">
        <f t="shared" si="0"/>
        <v>214.68</v>
      </c>
      <c r="M122" s="2"/>
      <c r="N122" s="19">
        <f t="shared" si="1"/>
        <v>-1</v>
      </c>
      <c r="O122" s="10"/>
      <c r="P122" s="2">
        <f t="shared" si="41"/>
        <v>0</v>
      </c>
      <c r="Q122" s="2"/>
      <c r="R122" s="19"/>
      <c r="S122" s="2"/>
      <c r="T122" s="2">
        <f>-793.52</f>
        <v>-793.52</v>
      </c>
      <c r="U122" s="2"/>
      <c r="V122" s="19"/>
      <c r="W122" s="2"/>
      <c r="X122" s="2">
        <f t="shared" si="2"/>
        <v>793.52</v>
      </c>
      <c r="Y122" s="2"/>
      <c r="Z122" s="19">
        <f t="shared" si="3"/>
        <v>-1</v>
      </c>
    </row>
    <row r="123" spans="1:26" s="23" customFormat="1" hidden="1" outlineLevel="1" x14ac:dyDescent="0.25">
      <c r="A123" s="44"/>
      <c r="B123" s="10" t="str">
        <f>CONCATENATE("          ", "4295", " - ", "SALES RETURN TAXABLE-CUSTOMER")</f>
        <v xml:space="preserve">          4295 - SALES RETURN TAXABLE-CUSTOMER</v>
      </c>
      <c r="C123" s="10"/>
      <c r="D123" s="2">
        <f t="shared" si="40"/>
        <v>0</v>
      </c>
      <c r="E123" s="2"/>
      <c r="F123" s="19"/>
      <c r="G123" s="2"/>
      <c r="H123" s="2">
        <f>0</f>
        <v>0</v>
      </c>
      <c r="I123" s="2"/>
      <c r="J123" s="19"/>
      <c r="K123" s="2"/>
      <c r="L123" s="2">
        <f t="shared" si="0"/>
        <v>0</v>
      </c>
      <c r="M123" s="2"/>
      <c r="N123" s="19">
        <f t="shared" si="1"/>
        <v>0</v>
      </c>
      <c r="O123" s="10"/>
      <c r="P123" s="2">
        <f t="shared" si="41"/>
        <v>0</v>
      </c>
      <c r="Q123" s="2"/>
      <c r="R123" s="19"/>
      <c r="S123" s="2"/>
      <c r="T123" s="2">
        <f>--0.99</f>
        <v>0.99</v>
      </c>
      <c r="U123" s="2"/>
      <c r="V123" s="19"/>
      <c r="W123" s="2"/>
      <c r="X123" s="2">
        <f t="shared" si="2"/>
        <v>-0.99</v>
      </c>
      <c r="Y123" s="2"/>
      <c r="Z123" s="19">
        <f t="shared" si="3"/>
        <v>-1</v>
      </c>
    </row>
    <row r="124" spans="1:26" s="23" customFormat="1" hidden="1" outlineLevel="1" x14ac:dyDescent="0.25">
      <c r="A124" s="44"/>
      <c r="B124" s="10" t="str">
        <f>CONCATENATE("          ", "4301", " - ", "SALES RETURN NON TAXABLE-NEW T")</f>
        <v xml:space="preserve">          4301 - SALES RETURN NON TAXABLE-NEW T</v>
      </c>
      <c r="C124" s="10"/>
      <c r="D124" s="2">
        <f>-169.32</f>
        <v>-169.32</v>
      </c>
      <c r="E124" s="2"/>
      <c r="F124" s="19"/>
      <c r="G124" s="2"/>
      <c r="H124" s="2">
        <f>-253.49</f>
        <v>-253.49</v>
      </c>
      <c r="I124" s="2"/>
      <c r="J124" s="19"/>
      <c r="K124" s="2"/>
      <c r="L124" s="2">
        <f t="shared" si="0"/>
        <v>84.170000000000016</v>
      </c>
      <c r="M124" s="2"/>
      <c r="N124" s="19">
        <f t="shared" si="1"/>
        <v>-0.33204465659394855</v>
      </c>
      <c r="O124" s="10"/>
      <c r="P124" s="2">
        <f>-4965.68</f>
        <v>-4965.68</v>
      </c>
      <c r="Q124" s="2"/>
      <c r="R124" s="19"/>
      <c r="S124" s="2"/>
      <c r="T124" s="2">
        <f>-21543.36</f>
        <v>-21543.360000000001</v>
      </c>
      <c r="U124" s="2"/>
      <c r="V124" s="19"/>
      <c r="W124" s="2"/>
      <c r="X124" s="2">
        <f t="shared" si="2"/>
        <v>16577.68</v>
      </c>
      <c r="Y124" s="2"/>
      <c r="Z124" s="19">
        <f t="shared" si="3"/>
        <v>-0.76950299303358438</v>
      </c>
    </row>
    <row r="125" spans="1:26" s="23" customFormat="1" hidden="1" outlineLevel="1" x14ac:dyDescent="0.25">
      <c r="A125" s="44"/>
      <c r="B125" s="10" t="str">
        <f>CONCATENATE("          ", "4302", " - ", "SALES RETURN NON TAXABLE-TEXT")</f>
        <v xml:space="preserve">          4302 - SALES RETURN NON TAXABLE-TEXT</v>
      </c>
      <c r="C125" s="10"/>
      <c r="D125" s="2">
        <f>-111.43</f>
        <v>-111.43</v>
      </c>
      <c r="E125" s="2"/>
      <c r="F125" s="19"/>
      <c r="G125" s="2"/>
      <c r="H125" s="2">
        <f>-95.75</f>
        <v>-95.75</v>
      </c>
      <c r="I125" s="2"/>
      <c r="J125" s="19"/>
      <c r="K125" s="2"/>
      <c r="L125" s="2">
        <f t="shared" si="0"/>
        <v>-15.680000000000007</v>
      </c>
      <c r="M125" s="2"/>
      <c r="N125" s="19">
        <f t="shared" si="1"/>
        <v>0.16375979112271546</v>
      </c>
      <c r="O125" s="10"/>
      <c r="P125" s="2">
        <f>-2688.97</f>
        <v>-2688.97</v>
      </c>
      <c r="Q125" s="2"/>
      <c r="R125" s="19"/>
      <c r="S125" s="2"/>
      <c r="T125" s="2">
        <f>-1475.62</f>
        <v>-1475.62</v>
      </c>
      <c r="U125" s="2"/>
      <c r="V125" s="19"/>
      <c r="W125" s="2"/>
      <c r="X125" s="2">
        <f t="shared" si="2"/>
        <v>-1213.3499999999999</v>
      </c>
      <c r="Y125" s="2"/>
      <c r="Z125" s="19">
        <f t="shared" si="3"/>
        <v>0.82226453965112967</v>
      </c>
    </row>
    <row r="126" spans="1:26" s="23" customFormat="1" hidden="1" outlineLevel="1" x14ac:dyDescent="0.25">
      <c r="A126" s="44"/>
      <c r="B126" s="10" t="str">
        <f>CONCATENATE("          ", "4303", " - ", "SALES RETURN NON-TAXABLE-RENTA")</f>
        <v xml:space="preserve">          4303 - SALES RETURN NON-TAXABLE-RENTA</v>
      </c>
      <c r="C126" s="10"/>
      <c r="D126" s="2">
        <f>0</f>
        <v>0</v>
      </c>
      <c r="E126" s="2"/>
      <c r="F126" s="19"/>
      <c r="G126" s="2"/>
      <c r="H126" s="2">
        <f>0</f>
        <v>0</v>
      </c>
      <c r="I126" s="2"/>
      <c r="J126" s="19"/>
      <c r="K126" s="2"/>
      <c r="L126" s="2">
        <f t="shared" si="0"/>
        <v>0</v>
      </c>
      <c r="M126" s="2"/>
      <c r="N126" s="19">
        <f t="shared" si="1"/>
        <v>0</v>
      </c>
      <c r="O126" s="10"/>
      <c r="P126" s="2">
        <f>0</f>
        <v>0</v>
      </c>
      <c r="Q126" s="2"/>
      <c r="R126" s="19"/>
      <c r="S126" s="2"/>
      <c r="T126" s="2">
        <f>-184.99</f>
        <v>-184.99</v>
      </c>
      <c r="U126" s="2"/>
      <c r="V126" s="19"/>
      <c r="W126" s="2"/>
      <c r="X126" s="2">
        <f t="shared" si="2"/>
        <v>184.99</v>
      </c>
      <c r="Y126" s="2"/>
      <c r="Z126" s="19">
        <f t="shared" si="3"/>
        <v>-1</v>
      </c>
    </row>
    <row r="127" spans="1:26" s="23" customFormat="1" hidden="1" outlineLevel="1" x14ac:dyDescent="0.25">
      <c r="A127" s="44"/>
      <c r="B127" s="10" t="str">
        <f>CONCATENATE("          ", "4304", " - ", "SALES RETURN NON TAXABLE-DIGIT")</f>
        <v xml:space="preserve">          4304 - SALES RETURN NON TAXABLE-DIGIT</v>
      </c>
      <c r="C127" s="10"/>
      <c r="D127" s="2">
        <f>-144.89</f>
        <v>-144.88999999999999</v>
      </c>
      <c r="E127" s="2"/>
      <c r="F127" s="19"/>
      <c r="G127" s="2"/>
      <c r="H127" s="2">
        <f>-398.87</f>
        <v>-398.87</v>
      </c>
      <c r="I127" s="2"/>
      <c r="J127" s="19"/>
      <c r="K127" s="2"/>
      <c r="L127" s="2">
        <f t="shared" si="0"/>
        <v>253.98000000000002</v>
      </c>
      <c r="M127" s="2"/>
      <c r="N127" s="19">
        <f t="shared" si="1"/>
        <v>-0.63674881540351502</v>
      </c>
      <c r="O127" s="10"/>
      <c r="P127" s="2">
        <f>-31026.87</f>
        <v>-31026.87</v>
      </c>
      <c r="Q127" s="2"/>
      <c r="R127" s="19"/>
      <c r="S127" s="2"/>
      <c r="T127" s="2">
        <f>-19873.2</f>
        <v>-19873.2</v>
      </c>
      <c r="U127" s="2"/>
      <c r="V127" s="19"/>
      <c r="W127" s="2"/>
      <c r="X127" s="2">
        <f t="shared" si="2"/>
        <v>-11153.669999999998</v>
      </c>
      <c r="Y127" s="2"/>
      <c r="Z127" s="19">
        <f t="shared" si="3"/>
        <v>0.56124177283980425</v>
      </c>
    </row>
    <row r="128" spans="1:26" s="23" customFormat="1" hidden="1" outlineLevel="1" x14ac:dyDescent="0.25">
      <c r="A128" s="44"/>
      <c r="B128" s="10" t="str">
        <f>CONCATENATE("          ", "4311", " - ", "SALES RETURN NON TAXABLE-NO VA")</f>
        <v xml:space="preserve">          4311 - SALES RETURN NON TAXABLE-NO VA</v>
      </c>
      <c r="C128" s="10"/>
      <c r="D128" s="2">
        <f t="shared" ref="D128:D133" si="42">0</f>
        <v>0</v>
      </c>
      <c r="E128" s="2"/>
      <c r="F128" s="19"/>
      <c r="G128" s="2"/>
      <c r="H128" s="2">
        <f>-70.37</f>
        <v>-70.37</v>
      </c>
      <c r="I128" s="2"/>
      <c r="J128" s="19"/>
      <c r="K128" s="2"/>
      <c r="L128" s="2">
        <f t="shared" si="0"/>
        <v>70.37</v>
      </c>
      <c r="M128" s="2"/>
      <c r="N128" s="19">
        <f t="shared" si="1"/>
        <v>-1</v>
      </c>
      <c r="O128" s="10"/>
      <c r="P128" s="2">
        <f t="shared" ref="P128:P130" si="43">0</f>
        <v>0</v>
      </c>
      <c r="Q128" s="2"/>
      <c r="R128" s="19"/>
      <c r="S128" s="2"/>
      <c r="T128" s="2">
        <f>-1011.65</f>
        <v>-1011.65</v>
      </c>
      <c r="U128" s="2"/>
      <c r="V128" s="19"/>
      <c r="W128" s="2"/>
      <c r="X128" s="2">
        <f t="shared" si="2"/>
        <v>1011.65</v>
      </c>
      <c r="Y128" s="2"/>
      <c r="Z128" s="19">
        <f t="shared" si="3"/>
        <v>-1</v>
      </c>
    </row>
    <row r="129" spans="1:26" s="23" customFormat="1" hidden="1" outlineLevel="1" x14ac:dyDescent="0.25">
      <c r="A129" s="44"/>
      <c r="B129" s="10" t="str">
        <f>CONCATENATE("          ", "4313", " - ", "SALES RETURN NON TAXABLE-TRADE")</f>
        <v xml:space="preserve">          4313 - SALES RETURN NON TAXABLE-TRADE</v>
      </c>
      <c r="C129" s="10"/>
      <c r="D129" s="2">
        <f t="shared" si="42"/>
        <v>0</v>
      </c>
      <c r="E129" s="2"/>
      <c r="F129" s="19"/>
      <c r="G129" s="2"/>
      <c r="H129" s="2">
        <f>0</f>
        <v>0</v>
      </c>
      <c r="I129" s="2"/>
      <c r="J129" s="19"/>
      <c r="K129" s="2"/>
      <c r="L129" s="2">
        <f t="shared" si="0"/>
        <v>0</v>
      </c>
      <c r="M129" s="2"/>
      <c r="N129" s="19">
        <f t="shared" si="1"/>
        <v>0</v>
      </c>
      <c r="O129" s="10"/>
      <c r="P129" s="2">
        <f t="shared" si="43"/>
        <v>0</v>
      </c>
      <c r="Q129" s="2"/>
      <c r="R129" s="19"/>
      <c r="S129" s="2"/>
      <c r="T129" s="2">
        <f>-2481.44</f>
        <v>-2481.44</v>
      </c>
      <c r="U129" s="2"/>
      <c r="V129" s="19"/>
      <c r="W129" s="2"/>
      <c r="X129" s="2">
        <f t="shared" si="2"/>
        <v>2481.44</v>
      </c>
      <c r="Y129" s="2"/>
      <c r="Z129" s="19">
        <f t="shared" si="3"/>
        <v>-1</v>
      </c>
    </row>
    <row r="130" spans="1:26" s="23" customFormat="1" hidden="1" outlineLevel="1" x14ac:dyDescent="0.25">
      <c r="A130" s="44"/>
      <c r="B130" s="10" t="str">
        <f>CONCATENATE("          ", "4326", " - ", "SALES RETURN NON TAXABLE-WRITI")</f>
        <v xml:space="preserve">          4326 - SALES RETURN NON TAXABLE-WRITI</v>
      </c>
      <c r="C130" s="10"/>
      <c r="D130" s="2">
        <f t="shared" si="42"/>
        <v>0</v>
      </c>
      <c r="E130" s="2"/>
      <c r="F130" s="19"/>
      <c r="G130" s="2"/>
      <c r="H130" s="2">
        <f>-2.98</f>
        <v>-2.98</v>
      </c>
      <c r="I130" s="2"/>
      <c r="J130" s="19"/>
      <c r="K130" s="2"/>
      <c r="L130" s="2">
        <f t="shared" si="0"/>
        <v>2.98</v>
      </c>
      <c r="M130" s="2"/>
      <c r="N130" s="19">
        <f t="shared" si="1"/>
        <v>-1</v>
      </c>
      <c r="O130" s="10"/>
      <c r="P130" s="2">
        <f t="shared" si="43"/>
        <v>0</v>
      </c>
      <c r="Q130" s="2"/>
      <c r="R130" s="19"/>
      <c r="S130" s="2"/>
      <c r="T130" s="2">
        <f>-2.98</f>
        <v>-2.98</v>
      </c>
      <c r="U130" s="2"/>
      <c r="V130" s="19"/>
      <c r="W130" s="2"/>
      <c r="X130" s="2">
        <f t="shared" si="2"/>
        <v>2.98</v>
      </c>
      <c r="Y130" s="2"/>
      <c r="Z130" s="19">
        <f t="shared" si="3"/>
        <v>-1</v>
      </c>
    </row>
    <row r="131" spans="1:26" s="23" customFormat="1" hidden="1" outlineLevel="1" x14ac:dyDescent="0.25">
      <c r="A131" s="44"/>
      <c r="B131" s="10" t="str">
        <f>CONCATENATE("          ", "4327", " - ", "SALES RETURN NON TAXABLE-SCHOO")</f>
        <v xml:space="preserve">          4327 - SALES RETURN NON TAXABLE-SCHOO</v>
      </c>
      <c r="C131" s="10"/>
      <c r="D131" s="2">
        <f t="shared" si="42"/>
        <v>0</v>
      </c>
      <c r="E131" s="2"/>
      <c r="F131" s="19"/>
      <c r="G131" s="2"/>
      <c r="H131" s="2">
        <f t="shared" ref="H131:H133" si="44">0</f>
        <v>0</v>
      </c>
      <c r="I131" s="2"/>
      <c r="J131" s="19"/>
      <c r="K131" s="2"/>
      <c r="L131" s="2">
        <f t="shared" si="0"/>
        <v>0</v>
      </c>
      <c r="M131" s="2"/>
      <c r="N131" s="19">
        <f t="shared" si="1"/>
        <v>0</v>
      </c>
      <c r="O131" s="10"/>
      <c r="P131" s="2">
        <f>-17.41</f>
        <v>-17.41</v>
      </c>
      <c r="Q131" s="2"/>
      <c r="R131" s="19"/>
      <c r="S131" s="2"/>
      <c r="T131" s="2">
        <f>-21.87</f>
        <v>-21.87</v>
      </c>
      <c r="U131" s="2"/>
      <c r="V131" s="19"/>
      <c r="W131" s="2"/>
      <c r="X131" s="2">
        <f t="shared" si="2"/>
        <v>4.4600000000000009</v>
      </c>
      <c r="Y131" s="2"/>
      <c r="Z131" s="19">
        <f t="shared" si="3"/>
        <v>-0.20393232738911754</v>
      </c>
    </row>
    <row r="132" spans="1:26" s="23" customFormat="1" hidden="1" outlineLevel="1" x14ac:dyDescent="0.25">
      <c r="A132" s="44"/>
      <c r="B132" s="10" t="str">
        <f>CONCATENATE("          ", "4331", " - ", "SALES RETURN NON TAXABLE-FOOD")</f>
        <v xml:space="preserve">          4331 - SALES RETURN NON TAXABLE-FOOD</v>
      </c>
      <c r="C132" s="10"/>
      <c r="D132" s="2">
        <f t="shared" si="42"/>
        <v>0</v>
      </c>
      <c r="E132" s="2"/>
      <c r="F132" s="19"/>
      <c r="G132" s="2"/>
      <c r="H132" s="2">
        <f t="shared" si="44"/>
        <v>0</v>
      </c>
      <c r="I132" s="2"/>
      <c r="J132" s="19"/>
      <c r="K132" s="2"/>
      <c r="L132" s="2">
        <f t="shared" si="0"/>
        <v>0</v>
      </c>
      <c r="M132" s="2"/>
      <c r="N132" s="19">
        <f t="shared" si="1"/>
        <v>0</v>
      </c>
      <c r="O132" s="10"/>
      <c r="P132" s="2">
        <f t="shared" ref="P132:P133" si="45">0</f>
        <v>0</v>
      </c>
      <c r="Q132" s="2"/>
      <c r="R132" s="19"/>
      <c r="S132" s="2"/>
      <c r="T132" s="2">
        <f>-12.57</f>
        <v>-12.57</v>
      </c>
      <c r="U132" s="2"/>
      <c r="V132" s="19"/>
      <c r="W132" s="2"/>
      <c r="X132" s="2">
        <f t="shared" si="2"/>
        <v>12.57</v>
      </c>
      <c r="Y132" s="2"/>
      <c r="Z132" s="19">
        <f t="shared" si="3"/>
        <v>-1</v>
      </c>
    </row>
    <row r="133" spans="1:26" s="23" customFormat="1" hidden="1" outlineLevel="1" x14ac:dyDescent="0.25">
      <c r="A133" s="44"/>
      <c r="B133" s="10" t="str">
        <f>CONCATENATE("          ", "4332", " - ", "SALES RETURN NON TAXABLE-JUICE")</f>
        <v xml:space="preserve">          4332 - SALES RETURN NON TAXABLE-JUICE</v>
      </c>
      <c r="C133" s="10"/>
      <c r="D133" s="2">
        <f t="shared" si="42"/>
        <v>0</v>
      </c>
      <c r="E133" s="2"/>
      <c r="F133" s="19"/>
      <c r="G133" s="2"/>
      <c r="H133" s="2">
        <f t="shared" si="44"/>
        <v>0</v>
      </c>
      <c r="I133" s="2"/>
      <c r="J133" s="19"/>
      <c r="K133" s="2"/>
      <c r="L133" s="2">
        <f t="shared" si="0"/>
        <v>0</v>
      </c>
      <c r="M133" s="2"/>
      <c r="N133" s="19">
        <f t="shared" si="1"/>
        <v>0</v>
      </c>
      <c r="O133" s="10"/>
      <c r="P133" s="2">
        <f t="shared" si="45"/>
        <v>0</v>
      </c>
      <c r="Q133" s="2"/>
      <c r="R133" s="19"/>
      <c r="S133" s="2"/>
      <c r="T133" s="2">
        <f>-2.79</f>
        <v>-2.79</v>
      </c>
      <c r="U133" s="2"/>
      <c r="V133" s="19"/>
      <c r="W133" s="2"/>
      <c r="X133" s="2">
        <f t="shared" si="2"/>
        <v>2.79</v>
      </c>
      <c r="Y133" s="2"/>
      <c r="Z133" s="19">
        <f t="shared" si="3"/>
        <v>-1</v>
      </c>
    </row>
    <row r="134" spans="1:26" s="23" customFormat="1" hidden="1" outlineLevel="1" x14ac:dyDescent="0.25">
      <c r="A134" s="44"/>
      <c r="B134" s="10" t="str">
        <f>CONCATENATE("          ", "4340", " - ", "SALES RETURN NON TAXABLE-LOGO")</f>
        <v xml:space="preserve">          4340 - SALES RETURN NON TAXABLE-LOGO</v>
      </c>
      <c r="C134" s="10"/>
      <c r="D134" s="2">
        <f>-286.5</f>
        <v>-286.5</v>
      </c>
      <c r="E134" s="2"/>
      <c r="F134" s="19"/>
      <c r="G134" s="2"/>
      <c r="H134" s="2">
        <f>-1045.65</f>
        <v>-1045.6500000000001</v>
      </c>
      <c r="I134" s="2"/>
      <c r="J134" s="19"/>
      <c r="K134" s="2"/>
      <c r="L134" s="2">
        <f t="shared" si="0"/>
        <v>759.15000000000009</v>
      </c>
      <c r="M134" s="2"/>
      <c r="N134" s="19">
        <f t="shared" si="1"/>
        <v>-0.72600774637785115</v>
      </c>
      <c r="O134" s="10"/>
      <c r="P134" s="2">
        <f>-3737.76</f>
        <v>-3737.76</v>
      </c>
      <c r="Q134" s="2"/>
      <c r="R134" s="19"/>
      <c r="S134" s="2"/>
      <c r="T134" s="2">
        <f>-2664.48</f>
        <v>-2664.48</v>
      </c>
      <c r="U134" s="2"/>
      <c r="V134" s="19"/>
      <c r="W134" s="2"/>
      <c r="X134" s="2">
        <f t="shared" si="2"/>
        <v>-1073.2800000000002</v>
      </c>
      <c r="Y134" s="2"/>
      <c r="Z134" s="19">
        <f t="shared" si="3"/>
        <v>0.40281030444964877</v>
      </c>
    </row>
    <row r="135" spans="1:26" s="23" customFormat="1" hidden="1" outlineLevel="1" x14ac:dyDescent="0.25">
      <c r="A135" s="44"/>
      <c r="B135" s="10" t="str">
        <f>CONCATENATE("          ", "4341", " - ", "SALES RETURN NON TAXABLE-LOGO")</f>
        <v xml:space="preserve">          4341 - SALES RETURN NON TAXABLE-LOGO</v>
      </c>
      <c r="C135" s="10"/>
      <c r="D135" s="2">
        <f>-20.85</f>
        <v>-20.85</v>
      </c>
      <c r="E135" s="2"/>
      <c r="F135" s="19"/>
      <c r="G135" s="2"/>
      <c r="H135" s="2">
        <f>-9.9</f>
        <v>-9.9</v>
      </c>
      <c r="I135" s="2"/>
      <c r="J135" s="19"/>
      <c r="K135" s="2"/>
      <c r="L135" s="2">
        <f t="shared" si="0"/>
        <v>-10.950000000000001</v>
      </c>
      <c r="M135" s="2"/>
      <c r="N135" s="19">
        <f t="shared" si="1"/>
        <v>1.1060606060606062</v>
      </c>
      <c r="O135" s="10"/>
      <c r="P135" s="2">
        <f>-527.59</f>
        <v>-527.59</v>
      </c>
      <c r="Q135" s="2"/>
      <c r="R135" s="19"/>
      <c r="S135" s="2"/>
      <c r="T135" s="2">
        <f>-295.35</f>
        <v>-295.35000000000002</v>
      </c>
      <c r="U135" s="2"/>
      <c r="V135" s="19"/>
      <c r="W135" s="2"/>
      <c r="X135" s="2">
        <f t="shared" si="2"/>
        <v>-232.24</v>
      </c>
      <c r="Y135" s="2"/>
      <c r="Z135" s="19">
        <f t="shared" si="3"/>
        <v>0.78632131369561531</v>
      </c>
    </row>
    <row r="136" spans="1:26" s="23" customFormat="1" hidden="1" outlineLevel="1" x14ac:dyDescent="0.25">
      <c r="A136" s="44"/>
      <c r="B136" s="10" t="str">
        <f>CONCATENATE("          ", "4342", " - ", "SALES RETURN NON TAXABLE-EVERY")</f>
        <v xml:space="preserve">          4342 - SALES RETURN NON TAXABLE-EVERY</v>
      </c>
      <c r="C136" s="10"/>
      <c r="D136" s="2">
        <f t="shared" ref="D136:D138" si="46">0</f>
        <v>0</v>
      </c>
      <c r="E136" s="2"/>
      <c r="F136" s="19"/>
      <c r="G136" s="2"/>
      <c r="H136" s="2">
        <f>-36.8</f>
        <v>-36.799999999999997</v>
      </c>
      <c r="I136" s="2"/>
      <c r="J136" s="19"/>
      <c r="K136" s="2"/>
      <c r="L136" s="2">
        <f t="shared" si="0"/>
        <v>36.799999999999997</v>
      </c>
      <c r="M136" s="2"/>
      <c r="N136" s="19">
        <f t="shared" si="1"/>
        <v>-1</v>
      </c>
      <c r="O136" s="10"/>
      <c r="P136" s="2">
        <f>-118.7</f>
        <v>-118.7</v>
      </c>
      <c r="Q136" s="2"/>
      <c r="R136" s="19"/>
      <c r="S136" s="2"/>
      <c r="T136" s="2">
        <f>-186.02</f>
        <v>-186.02</v>
      </c>
      <c r="U136" s="2"/>
      <c r="V136" s="19"/>
      <c r="W136" s="2"/>
      <c r="X136" s="2">
        <f t="shared" si="2"/>
        <v>67.320000000000007</v>
      </c>
      <c r="Y136" s="2"/>
      <c r="Z136" s="19">
        <f t="shared" si="3"/>
        <v>-0.36189657026126226</v>
      </c>
    </row>
    <row r="137" spans="1:26" s="23" customFormat="1" hidden="1" outlineLevel="1" x14ac:dyDescent="0.25">
      <c r="A137" s="44"/>
      <c r="B137" s="10" t="str">
        <f>CONCATENATE("          ", "4346", " - ", "SALES RETURN NON TAXABLE-COIN-")</f>
        <v xml:space="preserve">          4346 - SALES RETURN NON TAXABLE-COIN-</v>
      </c>
      <c r="C137" s="10"/>
      <c r="D137" s="2">
        <f t="shared" si="46"/>
        <v>0</v>
      </c>
      <c r="E137" s="2"/>
      <c r="F137" s="19"/>
      <c r="G137" s="2"/>
      <c r="H137" s="2">
        <f t="shared" ref="H137:H141" si="47">0</f>
        <v>0</v>
      </c>
      <c r="I137" s="2"/>
      <c r="J137" s="19"/>
      <c r="K137" s="2"/>
      <c r="L137" s="2">
        <f t="shared" si="0"/>
        <v>0</v>
      </c>
      <c r="M137" s="2"/>
      <c r="N137" s="19">
        <f t="shared" si="1"/>
        <v>0</v>
      </c>
      <c r="O137" s="10"/>
      <c r="P137" s="2">
        <f t="shared" ref="P137:P138" si="48">0</f>
        <v>0</v>
      </c>
      <c r="Q137" s="2"/>
      <c r="R137" s="19"/>
      <c r="S137" s="2"/>
      <c r="T137" s="2">
        <f>-8.15</f>
        <v>-8.15</v>
      </c>
      <c r="U137" s="2"/>
      <c r="V137" s="19"/>
      <c r="W137" s="2"/>
      <c r="X137" s="2">
        <f t="shared" si="2"/>
        <v>8.15</v>
      </c>
      <c r="Y137" s="2"/>
      <c r="Z137" s="19">
        <f t="shared" si="3"/>
        <v>-1</v>
      </c>
    </row>
    <row r="138" spans="1:26" s="23" customFormat="1" hidden="1" outlineLevel="1" x14ac:dyDescent="0.25">
      <c r="A138" s="44"/>
      <c r="B138" s="10" t="str">
        <f>CONCATENATE("          ", "4347", " - ", "SALES RETURN NON TAXABLE-MISC")</f>
        <v xml:space="preserve">          4347 - SALES RETURN NON TAXABLE-MISC</v>
      </c>
      <c r="C138" s="10"/>
      <c r="D138" s="2">
        <f t="shared" si="46"/>
        <v>0</v>
      </c>
      <c r="E138" s="2"/>
      <c r="F138" s="19"/>
      <c r="G138" s="2"/>
      <c r="H138" s="2">
        <f t="shared" si="47"/>
        <v>0</v>
      </c>
      <c r="I138" s="2"/>
      <c r="J138" s="19"/>
      <c r="K138" s="2"/>
      <c r="L138" s="2">
        <f t="shared" si="0"/>
        <v>0</v>
      </c>
      <c r="M138" s="2"/>
      <c r="N138" s="19">
        <f t="shared" si="1"/>
        <v>0</v>
      </c>
      <c r="O138" s="10"/>
      <c r="P138" s="2">
        <f t="shared" si="48"/>
        <v>0</v>
      </c>
      <c r="Q138" s="2"/>
      <c r="R138" s="19"/>
      <c r="S138" s="2"/>
      <c r="T138" s="2">
        <f>-84</f>
        <v>-84</v>
      </c>
      <c r="U138" s="2"/>
      <c r="V138" s="19"/>
      <c r="W138" s="2"/>
      <c r="X138" s="2">
        <f t="shared" si="2"/>
        <v>84</v>
      </c>
      <c r="Y138" s="2"/>
      <c r="Z138" s="19">
        <f t="shared" si="3"/>
        <v>-1</v>
      </c>
    </row>
    <row r="139" spans="1:26" s="23" customFormat="1" hidden="1" outlineLevel="1" x14ac:dyDescent="0.25">
      <c r="A139" s="44"/>
      <c r="B139" s="10" t="str">
        <f>CONCATENATE("          ", "4381", " - ", "SALES RETURN NON TAXABLE-ELECT")</f>
        <v xml:space="preserve">          4381 - SALES RETURN NON TAXABLE-ELECT</v>
      </c>
      <c r="C139" s="10"/>
      <c r="D139" s="2">
        <f>-1.99</f>
        <v>-1.99</v>
      </c>
      <c r="E139" s="2"/>
      <c r="F139" s="19"/>
      <c r="G139" s="2"/>
      <c r="H139" s="2">
        <f t="shared" si="47"/>
        <v>0</v>
      </c>
      <c r="I139" s="2"/>
      <c r="J139" s="19"/>
      <c r="K139" s="2"/>
      <c r="L139" s="2">
        <f t="shared" si="0"/>
        <v>-1.99</v>
      </c>
      <c r="M139" s="2"/>
      <c r="N139" s="19">
        <f t="shared" si="1"/>
        <v>0</v>
      </c>
      <c r="O139" s="10"/>
      <c r="P139" s="2">
        <f>-5626.14</f>
        <v>-5626.14</v>
      </c>
      <c r="Q139" s="2"/>
      <c r="R139" s="19"/>
      <c r="S139" s="2"/>
      <c r="T139" s="2">
        <f>-1279.84</f>
        <v>-1279.8399999999999</v>
      </c>
      <c r="U139" s="2"/>
      <c r="V139" s="19"/>
      <c r="W139" s="2"/>
      <c r="X139" s="2">
        <f t="shared" si="2"/>
        <v>-4346.3</v>
      </c>
      <c r="Y139" s="2"/>
      <c r="Z139" s="19">
        <f t="shared" si="3"/>
        <v>3.3959713714214281</v>
      </c>
    </row>
    <row r="140" spans="1:26" s="23" customFormat="1" hidden="1" outlineLevel="1" x14ac:dyDescent="0.25">
      <c r="A140" s="44"/>
      <c r="B140" s="10" t="str">
        <f>CONCATENATE("          ", "4383", " - ", "SALES RETURN NON TAXABLE-COMPU")</f>
        <v xml:space="preserve">          4383 - SALES RETURN NON TAXABLE-COMPU</v>
      </c>
      <c r="C140" s="10"/>
      <c r="D140" s="2">
        <f t="shared" ref="D140:D141" si="49">0</f>
        <v>0</v>
      </c>
      <c r="E140" s="2"/>
      <c r="F140" s="19"/>
      <c r="G140" s="2"/>
      <c r="H140" s="2">
        <f t="shared" si="47"/>
        <v>0</v>
      </c>
      <c r="I140" s="2"/>
      <c r="J140" s="19"/>
      <c r="K140" s="2"/>
      <c r="L140" s="2">
        <f t="shared" si="0"/>
        <v>0</v>
      </c>
      <c r="M140" s="2"/>
      <c r="N140" s="19">
        <f t="shared" si="1"/>
        <v>0</v>
      </c>
      <c r="O140" s="10"/>
      <c r="P140" s="2">
        <f>-14.99</f>
        <v>-14.99</v>
      </c>
      <c r="Q140" s="2"/>
      <c r="R140" s="19"/>
      <c r="S140" s="2"/>
      <c r="T140" s="2">
        <f>-49.98</f>
        <v>-49.98</v>
      </c>
      <c r="U140" s="2"/>
      <c r="V140" s="19"/>
      <c r="W140" s="2"/>
      <c r="X140" s="2">
        <f t="shared" si="2"/>
        <v>34.989999999999995</v>
      </c>
      <c r="Y140" s="2"/>
      <c r="Z140" s="19">
        <f t="shared" si="3"/>
        <v>-0.70008003201280511</v>
      </c>
    </row>
    <row r="141" spans="1:26" s="23" customFormat="1" hidden="1" outlineLevel="1" x14ac:dyDescent="0.25">
      <c r="A141" s="44"/>
      <c r="B141" s="10" t="str">
        <f>CONCATENATE("          ", "4386", " - ", "SALES RETURN NON TAXABLE-COMPU")</f>
        <v xml:space="preserve">          4386 - SALES RETURN NON TAXABLE-COMPU</v>
      </c>
      <c r="C141" s="10"/>
      <c r="D141" s="2">
        <f t="shared" si="49"/>
        <v>0</v>
      </c>
      <c r="E141" s="2"/>
      <c r="F141" s="19"/>
      <c r="G141" s="2"/>
      <c r="H141" s="2">
        <f t="shared" si="47"/>
        <v>0</v>
      </c>
      <c r="I141" s="2"/>
      <c r="J141" s="19"/>
      <c r="K141" s="2"/>
      <c r="L141" s="2">
        <f t="shared" si="0"/>
        <v>0</v>
      </c>
      <c r="M141" s="2"/>
      <c r="N141" s="19">
        <f t="shared" si="1"/>
        <v>0</v>
      </c>
      <c r="O141" s="10"/>
      <c r="P141" s="2">
        <f>0</f>
        <v>0</v>
      </c>
      <c r="Q141" s="2"/>
      <c r="R141" s="19"/>
      <c r="S141" s="2"/>
      <c r="T141" s="2">
        <f>-104.96</f>
        <v>-104.96</v>
      </c>
      <c r="U141" s="2"/>
      <c r="V141" s="19"/>
      <c r="W141" s="2"/>
      <c r="X141" s="2">
        <f t="shared" si="2"/>
        <v>104.96</v>
      </c>
      <c r="Y141" s="2"/>
      <c r="Z141" s="19">
        <f t="shared" si="3"/>
        <v>-1</v>
      </c>
    </row>
    <row r="142" spans="1:26" x14ac:dyDescent="0.25">
      <c r="A142" s="9"/>
      <c r="B142" s="11"/>
      <c r="C142" s="9"/>
      <c r="D142" s="3"/>
      <c r="E142" s="3"/>
      <c r="F142" s="8"/>
      <c r="G142" s="3"/>
      <c r="H142" s="3"/>
      <c r="I142" s="3"/>
      <c r="J142" s="8"/>
      <c r="K142" s="3"/>
      <c r="L142" s="3"/>
      <c r="M142" s="3"/>
      <c r="N142" s="8"/>
      <c r="P142" s="3"/>
      <c r="Q142" s="3"/>
      <c r="R142" s="8"/>
      <c r="S142" s="3"/>
      <c r="T142" s="3"/>
      <c r="U142" s="3"/>
      <c r="V142" s="8"/>
      <c r="W142" s="3"/>
      <c r="X142" s="3"/>
      <c r="Y142" s="3"/>
      <c r="Z142" s="8"/>
    </row>
    <row r="143" spans="1:26" s="24" customFormat="1" collapsed="1" x14ac:dyDescent="0.25">
      <c r="A143" s="11"/>
      <c r="B143" s="29" t="s">
        <v>256</v>
      </c>
      <c r="C143" s="11"/>
      <c r="D143" s="4">
        <f>SUM(OSRRefD16x_0)</f>
        <v>317774.34999999992</v>
      </c>
      <c r="E143" s="4"/>
      <c r="F143" s="13">
        <f t="shared" ref="F143:F204" si="50">IF(D$12=0,0,D143/D$12)</f>
        <v>0.7045976490303848</v>
      </c>
      <c r="G143" s="4"/>
      <c r="H143" s="4">
        <f>SUM(OSRRefH16x_0)</f>
        <v>645725.08000000007</v>
      </c>
      <c r="I143" s="4"/>
      <c r="J143" s="13">
        <f t="shared" ref="J143:J204" si="51">IF(H$12=0,0,H143/H$12)</f>
        <v>1.0989717618285588</v>
      </c>
      <c r="K143" s="4"/>
      <c r="L143" s="4">
        <f t="shared" ref="L143:L204" si="52">+D143-H143</f>
        <v>-327950.73000000016</v>
      </c>
      <c r="M143" s="4"/>
      <c r="N143" s="13">
        <f t="shared" ref="N143:N204" si="53">IF(H143=0,0,L143/H143)</f>
        <v>-0.50787980854019188</v>
      </c>
      <c r="O143" s="11"/>
      <c r="P143" s="4">
        <f>SUM(OSRRefP16x_0)</f>
        <v>6288271.2600000007</v>
      </c>
      <c r="Q143" s="4"/>
      <c r="R143" s="13">
        <f t="shared" ref="R143:R204" si="54">IF(P$12=0,0,P143/P$12)</f>
        <v>0.61269546764506866</v>
      </c>
      <c r="S143" s="4"/>
      <c r="T143" s="4">
        <f>SUM(OSRRefT16x_0)</f>
        <v>13088495.459999999</v>
      </c>
      <c r="U143" s="4"/>
      <c r="V143" s="13">
        <f t="shared" ref="V143:V204" si="55">IF(T$12=0,0,T143/T$12)</f>
        <v>0.45706050282300609</v>
      </c>
      <c r="W143" s="4"/>
      <c r="X143" s="4">
        <f t="shared" ref="X143:X204" si="56">+P143-T143</f>
        <v>-6800224.1999999983</v>
      </c>
      <c r="Y143" s="4"/>
      <c r="Z143" s="13">
        <f t="shared" ref="Z143:Z204" si="57">IF(T143=0,0,X143/T143)</f>
        <v>-0.51955736400583963</v>
      </c>
    </row>
    <row r="144" spans="1:26" s="23" customFormat="1" hidden="1" outlineLevel="1" x14ac:dyDescent="0.25">
      <c r="A144" s="44"/>
      <c r="B144" s="10" t="str">
        <f>CONCATENATE("          ", "5000", " - ", "PURCHASES @ COST")</f>
        <v xml:space="preserve">          5000 - PURCHASES @ COST</v>
      </c>
      <c r="C144" s="10"/>
      <c r="D144" s="2"/>
      <c r="E144" s="2"/>
      <c r="F144" s="19">
        <f t="shared" si="50"/>
        <v>0</v>
      </c>
      <c r="G144" s="2"/>
      <c r="H144" s="2">
        <v>0</v>
      </c>
      <c r="I144" s="2"/>
      <c r="J144" s="19">
        <f t="shared" si="51"/>
        <v>0</v>
      </c>
      <c r="K144" s="2"/>
      <c r="L144" s="2">
        <f t="shared" si="52"/>
        <v>0</v>
      </c>
      <c r="M144" s="2"/>
      <c r="N144" s="19">
        <f t="shared" si="53"/>
        <v>0</v>
      </c>
      <c r="O144" s="10"/>
      <c r="P144" s="2">
        <v>0</v>
      </c>
      <c r="Q144" s="2"/>
      <c r="R144" s="19">
        <f t="shared" si="54"/>
        <v>0</v>
      </c>
      <c r="S144" s="2"/>
      <c r="T144" s="2">
        <v>0</v>
      </c>
      <c r="U144" s="2"/>
      <c r="V144" s="19">
        <f t="shared" si="55"/>
        <v>0</v>
      </c>
      <c r="W144" s="2"/>
      <c r="X144" s="2">
        <f t="shared" si="56"/>
        <v>0</v>
      </c>
      <c r="Y144" s="2"/>
      <c r="Z144" s="19">
        <f t="shared" si="57"/>
        <v>0</v>
      </c>
    </row>
    <row r="145" spans="1:26" s="23" customFormat="1" hidden="1" outlineLevel="1" x14ac:dyDescent="0.25">
      <c r="A145" s="44"/>
      <c r="B145" s="10" t="str">
        <f>CONCATENATE("          ", "5001", " - ", "PURCHASES @ COST-NEW TEXT")</f>
        <v xml:space="preserve">          5001 - PURCHASES @ COST-NEW TEXT</v>
      </c>
      <c r="C145" s="10"/>
      <c r="D145" s="2">
        <v>142777.26</v>
      </c>
      <c r="E145" s="2"/>
      <c r="F145" s="19">
        <f t="shared" si="50"/>
        <v>0.31657848322559712</v>
      </c>
      <c r="G145" s="2"/>
      <c r="H145" s="2">
        <v>21388.81</v>
      </c>
      <c r="I145" s="2"/>
      <c r="J145" s="19">
        <f t="shared" si="51"/>
        <v>3.6402021444042865E-2</v>
      </c>
      <c r="K145" s="2"/>
      <c r="L145" s="2">
        <f t="shared" si="52"/>
        <v>121388.45000000001</v>
      </c>
      <c r="M145" s="2"/>
      <c r="N145" s="19">
        <f t="shared" si="53"/>
        <v>5.6753250882120136</v>
      </c>
      <c r="O145" s="10"/>
      <c r="P145" s="2">
        <v>1214343.74</v>
      </c>
      <c r="Q145" s="2"/>
      <c r="R145" s="19">
        <f t="shared" si="54"/>
        <v>0.11831914923803105</v>
      </c>
      <c r="S145" s="2"/>
      <c r="T145" s="2">
        <v>1662669.27</v>
      </c>
      <c r="U145" s="2"/>
      <c r="V145" s="19">
        <f t="shared" si="55"/>
        <v>5.806171189782882E-2</v>
      </c>
      <c r="W145" s="2"/>
      <c r="X145" s="2">
        <f t="shared" si="56"/>
        <v>-448325.53</v>
      </c>
      <c r="Y145" s="2"/>
      <c r="Z145" s="19">
        <f t="shared" si="57"/>
        <v>-0.26964203770964024</v>
      </c>
    </row>
    <row r="146" spans="1:26" s="23" customFormat="1" hidden="1" outlineLevel="1" x14ac:dyDescent="0.25">
      <c r="A146" s="44"/>
      <c r="B146" s="10" t="str">
        <f>CONCATENATE("          ", "5002", " - ", "PURCHASES @ COST-USED TEXT")</f>
        <v xml:space="preserve">          5002 - PURCHASES @ COST-USED TEXT</v>
      </c>
      <c r="C146" s="10"/>
      <c r="D146" s="2">
        <v>-17366.759999999998</v>
      </c>
      <c r="E146" s="2"/>
      <c r="F146" s="19">
        <f t="shared" si="50"/>
        <v>-3.8507130192461818E-2</v>
      </c>
      <c r="G146" s="2"/>
      <c r="H146" s="2">
        <v>121021.81</v>
      </c>
      <c r="I146" s="2"/>
      <c r="J146" s="19">
        <f t="shared" si="51"/>
        <v>0.20596931399254476</v>
      </c>
      <c r="K146" s="2"/>
      <c r="L146" s="2">
        <f t="shared" si="52"/>
        <v>-138388.57</v>
      </c>
      <c r="M146" s="2"/>
      <c r="N146" s="19">
        <f t="shared" si="53"/>
        <v>-1.1435010763762334</v>
      </c>
      <c r="O146" s="10"/>
      <c r="P146" s="2">
        <v>262546.52</v>
      </c>
      <c r="Q146" s="2"/>
      <c r="R146" s="19">
        <f t="shared" si="54"/>
        <v>2.5581126544783526E-2</v>
      </c>
      <c r="S146" s="2"/>
      <c r="T146" s="2">
        <v>731343.19</v>
      </c>
      <c r="U146" s="2"/>
      <c r="V146" s="19">
        <f t="shared" si="55"/>
        <v>2.5539076449172048E-2</v>
      </c>
      <c r="W146" s="2"/>
      <c r="X146" s="2">
        <f t="shared" si="56"/>
        <v>-468796.66999999993</v>
      </c>
      <c r="Y146" s="2"/>
      <c r="Z146" s="19">
        <f t="shared" si="57"/>
        <v>-0.64100777365548445</v>
      </c>
    </row>
    <row r="147" spans="1:26" s="23" customFormat="1" hidden="1" outlineLevel="1" x14ac:dyDescent="0.25">
      <c r="A147" s="44"/>
      <c r="B147" s="10" t="str">
        <f>CONCATENATE("          ", "5003", " - ", "PURCHASES @ COST-RENTAL TEXT")</f>
        <v xml:space="preserve">          5003 - PURCHASES @ COST-RENTAL TEXT</v>
      </c>
      <c r="C147" s="10"/>
      <c r="D147" s="2">
        <v>6024.36</v>
      </c>
      <c r="E147" s="2"/>
      <c r="F147" s="19">
        <f t="shared" si="50"/>
        <v>1.3357748644321639E-2</v>
      </c>
      <c r="G147" s="2"/>
      <c r="H147" s="2">
        <v>24656.6</v>
      </c>
      <c r="I147" s="2"/>
      <c r="J147" s="19">
        <f t="shared" si="51"/>
        <v>4.1963535228803625E-2</v>
      </c>
      <c r="K147" s="2"/>
      <c r="L147" s="2">
        <f t="shared" si="52"/>
        <v>-18632.239999999998</v>
      </c>
      <c r="M147" s="2"/>
      <c r="N147" s="19">
        <f t="shared" si="53"/>
        <v>-0.75566947592125433</v>
      </c>
      <c r="O147" s="10"/>
      <c r="P147" s="2">
        <v>13236.44</v>
      </c>
      <c r="Q147" s="2"/>
      <c r="R147" s="19">
        <f t="shared" si="54"/>
        <v>1.2896878109160787E-3</v>
      </c>
      <c r="S147" s="2"/>
      <c r="T147" s="2">
        <v>24578.2</v>
      </c>
      <c r="U147" s="2"/>
      <c r="V147" s="19">
        <f t="shared" si="55"/>
        <v>8.5828997571309922E-4</v>
      </c>
      <c r="W147" s="2"/>
      <c r="X147" s="2">
        <f t="shared" si="56"/>
        <v>-11341.76</v>
      </c>
      <c r="Y147" s="2"/>
      <c r="Z147" s="19">
        <f t="shared" si="57"/>
        <v>-0.46145608710157782</v>
      </c>
    </row>
    <row r="148" spans="1:26" s="23" customFormat="1" hidden="1" outlineLevel="1" x14ac:dyDescent="0.25">
      <c r="A148" s="44"/>
      <c r="B148" s="10" t="str">
        <f>CONCATENATE("          ", "5004", " - ", "PURCHASES @ COST-DIGITAL TEXT")</f>
        <v xml:space="preserve">          5004 - PURCHASES @ COST-DIGITAL TEXT</v>
      </c>
      <c r="C148" s="10"/>
      <c r="D148" s="2">
        <v>178285.37</v>
      </c>
      <c r="E148" s="2"/>
      <c r="F148" s="19">
        <f t="shared" si="50"/>
        <v>0.39531023368787421</v>
      </c>
      <c r="G148" s="2"/>
      <c r="H148" s="2">
        <v>5038.95</v>
      </c>
      <c r="I148" s="2"/>
      <c r="J148" s="19">
        <f t="shared" si="51"/>
        <v>8.5758845842971061E-3</v>
      </c>
      <c r="K148" s="2"/>
      <c r="L148" s="2">
        <f t="shared" si="52"/>
        <v>173246.41999999998</v>
      </c>
      <c r="M148" s="2"/>
      <c r="N148" s="19">
        <f t="shared" si="53"/>
        <v>34.381452485140748</v>
      </c>
      <c r="O148" s="10"/>
      <c r="P148" s="2">
        <v>377891.8</v>
      </c>
      <c r="Q148" s="2"/>
      <c r="R148" s="19">
        <f t="shared" si="54"/>
        <v>3.6819752766237487E-2</v>
      </c>
      <c r="S148" s="2"/>
      <c r="T148" s="2">
        <v>451308.6</v>
      </c>
      <c r="U148" s="2"/>
      <c r="V148" s="19">
        <f t="shared" si="55"/>
        <v>1.5760049447604493E-2</v>
      </c>
      <c r="W148" s="2"/>
      <c r="X148" s="2">
        <f t="shared" si="56"/>
        <v>-73416.799999999988</v>
      </c>
      <c r="Y148" s="2"/>
      <c r="Z148" s="19">
        <f t="shared" si="57"/>
        <v>-0.16267538442653207</v>
      </c>
    </row>
    <row r="149" spans="1:26" s="23" customFormat="1" hidden="1" outlineLevel="1" x14ac:dyDescent="0.25">
      <c r="A149" s="44"/>
      <c r="B149" s="10" t="str">
        <f>CONCATENATE("          ", "5011", " - ", "PURCHASES @ COST-NO VALUE TEXT")</f>
        <v xml:space="preserve">          5011 - PURCHASES @ COST-NO VALUE TEXT</v>
      </c>
      <c r="C149" s="10"/>
      <c r="D149" s="2">
        <v>63.17</v>
      </c>
      <c r="E149" s="2"/>
      <c r="F149" s="19">
        <f t="shared" si="50"/>
        <v>1.4006616169382274E-4</v>
      </c>
      <c r="G149" s="2"/>
      <c r="H149" s="2">
        <v>99</v>
      </c>
      <c r="I149" s="2"/>
      <c r="J149" s="19">
        <f t="shared" si="51"/>
        <v>1.684899778416959E-4</v>
      </c>
      <c r="K149" s="2"/>
      <c r="L149" s="2">
        <f t="shared" si="52"/>
        <v>-35.83</v>
      </c>
      <c r="M149" s="2"/>
      <c r="N149" s="19">
        <f t="shared" si="53"/>
        <v>-0.36191919191919192</v>
      </c>
      <c r="O149" s="10"/>
      <c r="P149" s="2">
        <v>130.34</v>
      </c>
      <c r="Q149" s="2"/>
      <c r="R149" s="19">
        <f t="shared" si="54"/>
        <v>1.2699631417118325E-5</v>
      </c>
      <c r="S149" s="2"/>
      <c r="T149" s="2">
        <v>6462</v>
      </c>
      <c r="U149" s="2"/>
      <c r="V149" s="19">
        <f t="shared" si="55"/>
        <v>2.2565809632349183E-4</v>
      </c>
      <c r="W149" s="2"/>
      <c r="X149" s="2">
        <f t="shared" si="56"/>
        <v>-6331.66</v>
      </c>
      <c r="Y149" s="2"/>
      <c r="Z149" s="19">
        <f t="shared" si="57"/>
        <v>-0.97982977406375737</v>
      </c>
    </row>
    <row r="150" spans="1:26" s="23" customFormat="1" hidden="1" outlineLevel="1" x14ac:dyDescent="0.25">
      <c r="A150" s="44"/>
      <c r="B150" s="10" t="str">
        <f>CONCATENATE("          ", "5013", " - ", "PURCHASES @ COST-TRADE BOOKS")</f>
        <v xml:space="preserve">          5013 - PURCHASES @ COST-TRADE BOOKS</v>
      </c>
      <c r="C150" s="10"/>
      <c r="D150" s="2">
        <v>1964.92</v>
      </c>
      <c r="E150" s="2"/>
      <c r="F150" s="19">
        <f t="shared" si="50"/>
        <v>4.3567959859969318E-3</v>
      </c>
      <c r="G150" s="2"/>
      <c r="H150" s="2">
        <v>-420.76</v>
      </c>
      <c r="I150" s="2"/>
      <c r="J150" s="19">
        <f t="shared" si="51"/>
        <v>-7.1609942501688853E-4</v>
      </c>
      <c r="K150" s="2"/>
      <c r="L150" s="2">
        <f t="shared" si="52"/>
        <v>2385.6800000000003</v>
      </c>
      <c r="M150" s="2"/>
      <c r="N150" s="19">
        <f t="shared" si="53"/>
        <v>-5.6699306017682298</v>
      </c>
      <c r="O150" s="10"/>
      <c r="P150" s="2">
        <v>11634.94</v>
      </c>
      <c r="Q150" s="2"/>
      <c r="R150" s="19">
        <f t="shared" si="54"/>
        <v>1.1336462295556751E-3</v>
      </c>
      <c r="S150" s="2"/>
      <c r="T150" s="2">
        <v>2777.09</v>
      </c>
      <c r="U150" s="2"/>
      <c r="V150" s="19">
        <f t="shared" si="55"/>
        <v>9.6978155790623016E-5</v>
      </c>
      <c r="W150" s="2"/>
      <c r="X150" s="2">
        <f t="shared" si="56"/>
        <v>8857.85</v>
      </c>
      <c r="Y150" s="2"/>
      <c r="Z150" s="19">
        <f t="shared" si="57"/>
        <v>3.1896157488594175</v>
      </c>
    </row>
    <row r="151" spans="1:26" s="23" customFormat="1" hidden="1" outlineLevel="1" x14ac:dyDescent="0.25">
      <c r="A151" s="44"/>
      <c r="B151" s="10" t="str">
        <f>CONCATENATE("          ", "5014", " - ", "PURCHASES @ COST-REMAINDERS")</f>
        <v xml:space="preserve">          5014 - PURCHASES @ COST-REMAINDERS</v>
      </c>
      <c r="C151" s="10"/>
      <c r="D151" s="2">
        <v>-161.43</v>
      </c>
      <c r="E151" s="2"/>
      <c r="F151" s="19">
        <f t="shared" si="50"/>
        <v>-3.5793700304311867E-4</v>
      </c>
      <c r="G151" s="2"/>
      <c r="H151" s="2">
        <v>132</v>
      </c>
      <c r="I151" s="2"/>
      <c r="J151" s="19">
        <f t="shared" si="51"/>
        <v>2.2465330378892786E-4</v>
      </c>
      <c r="K151" s="2"/>
      <c r="L151" s="2">
        <f t="shared" si="52"/>
        <v>-293.43</v>
      </c>
      <c r="M151" s="2"/>
      <c r="N151" s="19">
        <f t="shared" si="53"/>
        <v>-2.2229545454545456</v>
      </c>
      <c r="O151" s="10"/>
      <c r="P151" s="2">
        <v>-49.86</v>
      </c>
      <c r="Q151" s="2"/>
      <c r="R151" s="19">
        <f t="shared" si="54"/>
        <v>-4.858091318532451E-6</v>
      </c>
      <c r="S151" s="2"/>
      <c r="T151" s="2">
        <v>747.07</v>
      </c>
      <c r="U151" s="2"/>
      <c r="V151" s="19">
        <f t="shared" si="55"/>
        <v>2.6088268960134795E-5</v>
      </c>
      <c r="W151" s="2"/>
      <c r="X151" s="2">
        <f t="shared" si="56"/>
        <v>-796.93000000000006</v>
      </c>
      <c r="Y151" s="2"/>
      <c r="Z151" s="19">
        <f t="shared" si="57"/>
        <v>-1.0667407338000454</v>
      </c>
    </row>
    <row r="152" spans="1:26" s="23" customFormat="1" hidden="1" outlineLevel="1" x14ac:dyDescent="0.25">
      <c r="A152" s="44"/>
      <c r="B152" s="10" t="str">
        <f>CONCATENATE("          ", "5017", " - ", "PURCHASES @ COST-DORM/HOUSEWAR")</f>
        <v xml:space="preserve">          5017 - PURCHASES @ COST-DORM/HOUSEWAR</v>
      </c>
      <c r="C152" s="10"/>
      <c r="D152" s="2"/>
      <c r="E152" s="2"/>
      <c r="F152" s="19">
        <f t="shared" si="50"/>
        <v>0</v>
      </c>
      <c r="G152" s="2"/>
      <c r="H152" s="2"/>
      <c r="I152" s="2"/>
      <c r="J152" s="19">
        <f t="shared" si="51"/>
        <v>0</v>
      </c>
      <c r="K152" s="2"/>
      <c r="L152" s="2">
        <f t="shared" si="52"/>
        <v>0</v>
      </c>
      <c r="M152" s="2"/>
      <c r="N152" s="19">
        <f t="shared" si="53"/>
        <v>0</v>
      </c>
      <c r="O152" s="10"/>
      <c r="P152" s="2"/>
      <c r="Q152" s="2"/>
      <c r="R152" s="19">
        <f t="shared" si="54"/>
        <v>0</v>
      </c>
      <c r="S152" s="2"/>
      <c r="T152" s="2">
        <v>14.46</v>
      </c>
      <c r="U152" s="2"/>
      <c r="V152" s="19">
        <f t="shared" si="55"/>
        <v>5.049545145214627E-7</v>
      </c>
      <c r="W152" s="2"/>
      <c r="X152" s="2">
        <f t="shared" si="56"/>
        <v>-14.46</v>
      </c>
      <c r="Y152" s="2"/>
      <c r="Z152" s="19">
        <f t="shared" si="57"/>
        <v>-1</v>
      </c>
    </row>
    <row r="153" spans="1:26" s="23" customFormat="1" hidden="1" outlineLevel="1" x14ac:dyDescent="0.25">
      <c r="A153" s="44"/>
      <c r="B153" s="10" t="str">
        <f>CONCATENATE("          ", "5018", " - ", "PURCHASES @ COST-STUDY GUIDES")</f>
        <v xml:space="preserve">          5018 - PURCHASES @ COST-STUDY GUIDES</v>
      </c>
      <c r="C153" s="10"/>
      <c r="D153" s="2">
        <v>476.17</v>
      </c>
      <c r="E153" s="2"/>
      <c r="F153" s="19">
        <f t="shared" si="50"/>
        <v>1.0558066204487506E-3</v>
      </c>
      <c r="G153" s="2"/>
      <c r="H153" s="2">
        <v>-249.38</v>
      </c>
      <c r="I153" s="2"/>
      <c r="J153" s="19">
        <f t="shared" si="51"/>
        <v>-4.2442455226426385E-4</v>
      </c>
      <c r="K153" s="2"/>
      <c r="L153" s="2">
        <f t="shared" si="52"/>
        <v>725.55</v>
      </c>
      <c r="M153" s="2"/>
      <c r="N153" s="19">
        <f t="shared" si="53"/>
        <v>-2.9094153500681688</v>
      </c>
      <c r="O153" s="10"/>
      <c r="P153" s="2">
        <v>1443.38</v>
      </c>
      <c r="Q153" s="2"/>
      <c r="R153" s="19">
        <f t="shared" si="54"/>
        <v>1.4063521555040853E-4</v>
      </c>
      <c r="S153" s="2"/>
      <c r="T153" s="2">
        <v>-454.52</v>
      </c>
      <c r="U153" s="2"/>
      <c r="V153" s="19">
        <f t="shared" si="55"/>
        <v>-1.5872194048429821E-5</v>
      </c>
      <c r="W153" s="2"/>
      <c r="X153" s="2">
        <f t="shared" si="56"/>
        <v>1897.9</v>
      </c>
      <c r="Y153" s="2"/>
      <c r="Z153" s="19">
        <f t="shared" si="57"/>
        <v>-4.1756138343747251</v>
      </c>
    </row>
    <row r="154" spans="1:26" s="23" customFormat="1" hidden="1" outlineLevel="1" x14ac:dyDescent="0.25">
      <c r="A154" s="44"/>
      <c r="B154" s="10" t="str">
        <f>CONCATENATE("          ", "5025", " - ", "PURCHASES @ COST-TEST FORMS")</f>
        <v xml:space="preserve">          5025 - PURCHASES @ COST-TEST FORMS</v>
      </c>
      <c r="C154" s="10"/>
      <c r="D154" s="2">
        <v>161</v>
      </c>
      <c r="E154" s="2"/>
      <c r="F154" s="19">
        <f t="shared" si="50"/>
        <v>3.5698356866717526E-4</v>
      </c>
      <c r="G154" s="2"/>
      <c r="H154" s="2"/>
      <c r="I154" s="2"/>
      <c r="J154" s="19">
        <f t="shared" si="51"/>
        <v>0</v>
      </c>
      <c r="K154" s="2"/>
      <c r="L154" s="2">
        <f t="shared" si="52"/>
        <v>161</v>
      </c>
      <c r="M154" s="2"/>
      <c r="N154" s="19">
        <f t="shared" si="53"/>
        <v>0</v>
      </c>
      <c r="O154" s="10"/>
      <c r="P154" s="2">
        <v>760.29</v>
      </c>
      <c r="Q154" s="2"/>
      <c r="R154" s="19">
        <f t="shared" si="54"/>
        <v>7.4078585009366976E-5</v>
      </c>
      <c r="S154" s="2"/>
      <c r="T154" s="2">
        <v>26400.39</v>
      </c>
      <c r="U154" s="2"/>
      <c r="V154" s="19">
        <f t="shared" si="55"/>
        <v>9.2192227632277167E-4</v>
      </c>
      <c r="W154" s="2"/>
      <c r="X154" s="2">
        <f t="shared" si="56"/>
        <v>-25640.1</v>
      </c>
      <c r="Y154" s="2"/>
      <c r="Z154" s="19">
        <f t="shared" si="57"/>
        <v>-0.97120156179510986</v>
      </c>
    </row>
    <row r="155" spans="1:26" s="23" customFormat="1" hidden="1" outlineLevel="1" x14ac:dyDescent="0.25">
      <c r="A155" s="44"/>
      <c r="B155" s="10" t="str">
        <f>CONCATENATE("          ", "5026", " - ", "PURCHASES @ COST-WRITING INSTR")</f>
        <v xml:space="preserve">          5026 - PURCHASES @ COST-WRITING INSTR</v>
      </c>
      <c r="C155" s="10"/>
      <c r="D155" s="2">
        <v>1361.75</v>
      </c>
      <c r="E155" s="2"/>
      <c r="F155" s="19">
        <f t="shared" si="50"/>
        <v>3.0193936312579248E-3</v>
      </c>
      <c r="G155" s="2"/>
      <c r="H155" s="2"/>
      <c r="I155" s="2"/>
      <c r="J155" s="19">
        <f t="shared" si="51"/>
        <v>0</v>
      </c>
      <c r="K155" s="2"/>
      <c r="L155" s="2">
        <f t="shared" si="52"/>
        <v>1361.75</v>
      </c>
      <c r="M155" s="2"/>
      <c r="N155" s="19">
        <f t="shared" si="53"/>
        <v>0</v>
      </c>
      <c r="O155" s="10"/>
      <c r="P155" s="2">
        <v>1944.25</v>
      </c>
      <c r="Q155" s="2"/>
      <c r="R155" s="19">
        <f t="shared" si="54"/>
        <v>1.894373053761877E-4</v>
      </c>
      <c r="S155" s="2"/>
      <c r="T155" s="2">
        <v>44186.57</v>
      </c>
      <c r="U155" s="2"/>
      <c r="V155" s="19">
        <f t="shared" si="55"/>
        <v>1.5430295990815095E-3</v>
      </c>
      <c r="W155" s="2"/>
      <c r="X155" s="2">
        <f t="shared" si="56"/>
        <v>-42242.32</v>
      </c>
      <c r="Y155" s="2"/>
      <c r="Z155" s="19">
        <f t="shared" si="57"/>
        <v>-0.95599907392676098</v>
      </c>
    </row>
    <row r="156" spans="1:26" s="23" customFormat="1" hidden="1" outlineLevel="1" x14ac:dyDescent="0.25">
      <c r="A156" s="44"/>
      <c r="B156" s="10" t="str">
        <f>CONCATENATE("          ", "5027", " - ", "PURCHASES @ COST-SCHOOL SUPPLI")</f>
        <v xml:space="preserve">          5027 - PURCHASES @ COST-SCHOOL SUPPLI</v>
      </c>
      <c r="C156" s="10"/>
      <c r="D156" s="2">
        <v>-23546.66</v>
      </c>
      <c r="E156" s="2"/>
      <c r="F156" s="19">
        <f t="shared" si="50"/>
        <v>-5.2209756006165398E-2</v>
      </c>
      <c r="G156" s="2"/>
      <c r="H156" s="2">
        <v>11947.58</v>
      </c>
      <c r="I156" s="2"/>
      <c r="J156" s="19">
        <f t="shared" si="51"/>
        <v>2.0333813024867566E-2</v>
      </c>
      <c r="K156" s="2"/>
      <c r="L156" s="2">
        <f t="shared" si="52"/>
        <v>-35494.239999999998</v>
      </c>
      <c r="M156" s="2"/>
      <c r="N156" s="19">
        <f t="shared" si="53"/>
        <v>-2.9708309130384563</v>
      </c>
      <c r="O156" s="10"/>
      <c r="P156" s="2">
        <v>188.33</v>
      </c>
      <c r="Q156" s="2"/>
      <c r="R156" s="19">
        <f t="shared" si="54"/>
        <v>1.8349866386265878E-5</v>
      </c>
      <c r="S156" s="2"/>
      <c r="T156" s="2">
        <v>153162.12</v>
      </c>
      <c r="U156" s="2"/>
      <c r="V156" s="19">
        <f t="shared" si="55"/>
        <v>5.3485410752197792E-3</v>
      </c>
      <c r="W156" s="2"/>
      <c r="X156" s="2">
        <f t="shared" si="56"/>
        <v>-152973.79</v>
      </c>
      <c r="Y156" s="2"/>
      <c r="Z156" s="19">
        <f t="shared" si="57"/>
        <v>-0.9987703878739731</v>
      </c>
    </row>
    <row r="157" spans="1:26" s="23" customFormat="1" hidden="1" outlineLevel="1" x14ac:dyDescent="0.25">
      <c r="A157" s="44"/>
      <c r="B157" s="10" t="str">
        <f>CONCATENATE("          ", "5028", " - ", "PURCHASES @ COST-ART/TECH")</f>
        <v xml:space="preserve">          5028 - PURCHASES @ COST-ART/TECH</v>
      </c>
      <c r="C157" s="10"/>
      <c r="D157" s="2">
        <v>4965.34</v>
      </c>
      <c r="E157" s="2"/>
      <c r="F157" s="19">
        <f t="shared" si="50"/>
        <v>1.1009594986620323E-2</v>
      </c>
      <c r="G157" s="2"/>
      <c r="H157" s="2">
        <v>-1073.3800000000001</v>
      </c>
      <c r="I157" s="2"/>
      <c r="J157" s="19">
        <f t="shared" si="51"/>
        <v>-1.8268057819769653E-3</v>
      </c>
      <c r="K157" s="2"/>
      <c r="L157" s="2">
        <f t="shared" si="52"/>
        <v>6038.72</v>
      </c>
      <c r="M157" s="2"/>
      <c r="N157" s="19">
        <f t="shared" si="53"/>
        <v>-5.625892041960908</v>
      </c>
      <c r="O157" s="10"/>
      <c r="P157" s="2">
        <v>52646.080000000002</v>
      </c>
      <c r="Q157" s="2"/>
      <c r="R157" s="19">
        <f t="shared" si="54"/>
        <v>5.1295520297385665E-3</v>
      </c>
      <c r="S157" s="2"/>
      <c r="T157" s="2">
        <v>158554.31</v>
      </c>
      <c r="U157" s="2"/>
      <c r="V157" s="19">
        <f t="shared" si="55"/>
        <v>5.5368405692486512E-3</v>
      </c>
      <c r="W157" s="2"/>
      <c r="X157" s="2">
        <f t="shared" si="56"/>
        <v>-105908.23</v>
      </c>
      <c r="Y157" s="2"/>
      <c r="Z157" s="19">
        <f t="shared" si="57"/>
        <v>-0.6679618485300084</v>
      </c>
    </row>
    <row r="158" spans="1:26" s="23" customFormat="1" hidden="1" outlineLevel="1" x14ac:dyDescent="0.25">
      <c r="A158" s="44"/>
      <c r="B158" s="10" t="str">
        <f>CONCATENATE("          ", "5031", " - ", "PURCHASES @ COST-FOOD")</f>
        <v xml:space="preserve">          5031 - PURCHASES @ COST-FOOD</v>
      </c>
      <c r="C158" s="10"/>
      <c r="D158" s="2">
        <v>75599.55</v>
      </c>
      <c r="E158" s="2"/>
      <c r="F158" s="19">
        <f t="shared" si="50"/>
        <v>0.16762606924616491</v>
      </c>
      <c r="G158" s="2"/>
      <c r="H158" s="2"/>
      <c r="I158" s="2"/>
      <c r="J158" s="19">
        <f t="shared" si="51"/>
        <v>0</v>
      </c>
      <c r="K158" s="2"/>
      <c r="L158" s="2">
        <f t="shared" si="52"/>
        <v>75599.55</v>
      </c>
      <c r="M158" s="2"/>
      <c r="N158" s="19">
        <f t="shared" si="53"/>
        <v>0</v>
      </c>
      <c r="O158" s="10"/>
      <c r="P158" s="2">
        <v>83665.64</v>
      </c>
      <c r="Q158" s="2"/>
      <c r="R158" s="19">
        <f t="shared" si="54"/>
        <v>8.1519317958977412E-3</v>
      </c>
      <c r="S158" s="2"/>
      <c r="T158" s="2">
        <v>33239.879999999997</v>
      </c>
      <c r="U158" s="2"/>
      <c r="V158" s="19">
        <f t="shared" si="55"/>
        <v>1.160762618821001E-3</v>
      </c>
      <c r="W158" s="2"/>
      <c r="X158" s="2">
        <f t="shared" si="56"/>
        <v>50425.760000000002</v>
      </c>
      <c r="Y158" s="2"/>
      <c r="Z158" s="19">
        <f t="shared" si="57"/>
        <v>1.5170259339083054</v>
      </c>
    </row>
    <row r="159" spans="1:26" s="23" customFormat="1" hidden="1" outlineLevel="1" x14ac:dyDescent="0.25">
      <c r="A159" s="44"/>
      <c r="B159" s="10" t="str">
        <f>CONCATENATE("          ", "5032", " - ", "PURCHASES @ COST-JUICE")</f>
        <v xml:space="preserve">          5032 - PURCHASES @ COST-JUICE</v>
      </c>
      <c r="C159" s="10"/>
      <c r="D159" s="2">
        <v>291</v>
      </c>
      <c r="E159" s="2"/>
      <c r="F159" s="19">
        <f t="shared" si="50"/>
        <v>6.4523117069657148E-4</v>
      </c>
      <c r="G159" s="2"/>
      <c r="H159" s="2"/>
      <c r="I159" s="2"/>
      <c r="J159" s="19">
        <f t="shared" si="51"/>
        <v>0</v>
      </c>
      <c r="K159" s="2"/>
      <c r="L159" s="2">
        <f t="shared" si="52"/>
        <v>291</v>
      </c>
      <c r="M159" s="2"/>
      <c r="N159" s="19">
        <f t="shared" si="53"/>
        <v>0</v>
      </c>
      <c r="O159" s="10"/>
      <c r="P159" s="2">
        <v>291</v>
      </c>
      <c r="Q159" s="2"/>
      <c r="R159" s="19">
        <f t="shared" si="54"/>
        <v>2.8353481221278447E-5</v>
      </c>
      <c r="S159" s="2"/>
      <c r="T159" s="2">
        <v>7802.45</v>
      </c>
      <c r="U159" s="2"/>
      <c r="V159" s="19">
        <f t="shared" si="55"/>
        <v>2.7246765918589118E-4</v>
      </c>
      <c r="W159" s="2"/>
      <c r="X159" s="2">
        <f t="shared" si="56"/>
        <v>-7511.45</v>
      </c>
      <c r="Y159" s="2"/>
      <c r="Z159" s="19">
        <f t="shared" si="57"/>
        <v>-0.9627040224544855</v>
      </c>
    </row>
    <row r="160" spans="1:26" s="23" customFormat="1" hidden="1" outlineLevel="1" x14ac:dyDescent="0.25">
      <c r="A160" s="44"/>
      <c r="B160" s="10" t="str">
        <f>CONCATENATE("          ", "5033", " - ", "PURCHASES @ COST-CANDY")</f>
        <v xml:space="preserve">          5033 - PURCHASES @ COST-CANDY</v>
      </c>
      <c r="C160" s="10"/>
      <c r="D160" s="2">
        <v>1266</v>
      </c>
      <c r="E160" s="2"/>
      <c r="F160" s="19">
        <f t="shared" si="50"/>
        <v>2.8070881859170427E-3</v>
      </c>
      <c r="G160" s="2"/>
      <c r="H160" s="2"/>
      <c r="I160" s="2"/>
      <c r="J160" s="19">
        <f t="shared" si="51"/>
        <v>0</v>
      </c>
      <c r="K160" s="2"/>
      <c r="L160" s="2">
        <f t="shared" si="52"/>
        <v>1266</v>
      </c>
      <c r="M160" s="2"/>
      <c r="N160" s="19">
        <f t="shared" si="53"/>
        <v>0</v>
      </c>
      <c r="O160" s="10"/>
      <c r="P160" s="2">
        <v>1266</v>
      </c>
      <c r="Q160" s="2"/>
      <c r="R160" s="19">
        <f t="shared" si="54"/>
        <v>1.2335225850906707E-4</v>
      </c>
      <c r="S160" s="2"/>
      <c r="T160" s="2">
        <v>9998.41</v>
      </c>
      <c r="U160" s="2"/>
      <c r="V160" s="19">
        <f t="shared" si="55"/>
        <v>3.4915230065951159E-4</v>
      </c>
      <c r="W160" s="2"/>
      <c r="X160" s="2">
        <f t="shared" si="56"/>
        <v>-8732.41</v>
      </c>
      <c r="Y160" s="2"/>
      <c r="Z160" s="19">
        <f t="shared" si="57"/>
        <v>-0.87337986739891638</v>
      </c>
    </row>
    <row r="161" spans="1:26" s="23" customFormat="1" hidden="1" outlineLevel="1" x14ac:dyDescent="0.25">
      <c r="A161" s="44"/>
      <c r="B161" s="10" t="str">
        <f>CONCATENATE("          ", "5034", " - ", "PURCHASES @ COST-SODA")</f>
        <v xml:space="preserve">          5034 - PURCHASES @ COST-SODA</v>
      </c>
      <c r="C161" s="10"/>
      <c r="D161" s="2">
        <v>567</v>
      </c>
      <c r="E161" s="2"/>
      <c r="F161" s="19">
        <f t="shared" si="50"/>
        <v>1.2572030026974433E-3</v>
      </c>
      <c r="G161" s="2"/>
      <c r="H161" s="2"/>
      <c r="I161" s="2"/>
      <c r="J161" s="19">
        <f t="shared" si="51"/>
        <v>0</v>
      </c>
      <c r="K161" s="2"/>
      <c r="L161" s="2">
        <f t="shared" si="52"/>
        <v>567</v>
      </c>
      <c r="M161" s="2"/>
      <c r="N161" s="19">
        <f t="shared" si="53"/>
        <v>0</v>
      </c>
      <c r="O161" s="10"/>
      <c r="P161" s="2">
        <v>567</v>
      </c>
      <c r="Q161" s="2"/>
      <c r="R161" s="19">
        <f t="shared" si="54"/>
        <v>5.5245442791975527E-5</v>
      </c>
      <c r="S161" s="2"/>
      <c r="T161" s="2">
        <v>4033.88</v>
      </c>
      <c r="U161" s="2"/>
      <c r="V161" s="19">
        <f t="shared" si="55"/>
        <v>1.4086624599155172E-4</v>
      </c>
      <c r="W161" s="2"/>
      <c r="X161" s="2">
        <f t="shared" si="56"/>
        <v>-3466.88</v>
      </c>
      <c r="Y161" s="2"/>
      <c r="Z161" s="19">
        <f t="shared" si="57"/>
        <v>-0.85944053863773839</v>
      </c>
    </row>
    <row r="162" spans="1:26" s="23" customFormat="1" hidden="1" outlineLevel="1" x14ac:dyDescent="0.25">
      <c r="A162" s="44"/>
      <c r="B162" s="10" t="str">
        <f>CONCATENATE("          ", "5035", " - ", "PURCHASES @ COST-HEALTH &amp; BEAU")</f>
        <v xml:space="preserve">          5035 - PURCHASES @ COST-HEALTH &amp; BEAU</v>
      </c>
      <c r="C162" s="10"/>
      <c r="D162" s="2">
        <v>339</v>
      </c>
      <c r="E162" s="2"/>
      <c r="F162" s="19">
        <f t="shared" si="50"/>
        <v>7.5166105452281003E-4</v>
      </c>
      <c r="G162" s="2"/>
      <c r="H162" s="2"/>
      <c r="I162" s="2"/>
      <c r="J162" s="19">
        <f t="shared" si="51"/>
        <v>0</v>
      </c>
      <c r="K162" s="2"/>
      <c r="L162" s="2">
        <f t="shared" si="52"/>
        <v>339</v>
      </c>
      <c r="M162" s="2"/>
      <c r="N162" s="19">
        <f t="shared" si="53"/>
        <v>0</v>
      </c>
      <c r="O162" s="10"/>
      <c r="P162" s="2">
        <v>339</v>
      </c>
      <c r="Q162" s="2"/>
      <c r="R162" s="19">
        <f t="shared" si="54"/>
        <v>3.3030344103138806E-5</v>
      </c>
      <c r="S162" s="2"/>
      <c r="T162" s="2">
        <v>1117.6500000000001</v>
      </c>
      <c r="U162" s="2"/>
      <c r="V162" s="19">
        <f t="shared" si="55"/>
        <v>3.9029212528002272E-5</v>
      </c>
      <c r="W162" s="2"/>
      <c r="X162" s="2">
        <f t="shared" si="56"/>
        <v>-778.65000000000009</v>
      </c>
      <c r="Y162" s="2"/>
      <c r="Z162" s="19">
        <f t="shared" si="57"/>
        <v>-0.69668500872366124</v>
      </c>
    </row>
    <row r="163" spans="1:26" s="23" customFormat="1" hidden="1" outlineLevel="1" x14ac:dyDescent="0.25">
      <c r="A163" s="44"/>
      <c r="B163" s="10" t="str">
        <f>CONCATENATE("          ", "5037", " - ", "PURCHASES @ COST-WATER")</f>
        <v xml:space="preserve">          5037 - PURCHASES @ COST-WATER</v>
      </c>
      <c r="C163" s="10"/>
      <c r="D163" s="2">
        <v>190.95</v>
      </c>
      <c r="E163" s="2"/>
      <c r="F163" s="19">
        <f t="shared" si="50"/>
        <v>4.2339138159625537E-4</v>
      </c>
      <c r="G163" s="2"/>
      <c r="H163" s="2"/>
      <c r="I163" s="2"/>
      <c r="J163" s="19">
        <f t="shared" si="51"/>
        <v>0</v>
      </c>
      <c r="K163" s="2"/>
      <c r="L163" s="2">
        <f t="shared" si="52"/>
        <v>190.95</v>
      </c>
      <c r="M163" s="2"/>
      <c r="N163" s="19">
        <f t="shared" si="53"/>
        <v>0</v>
      </c>
      <c r="O163" s="10"/>
      <c r="P163" s="2">
        <v>190.95</v>
      </c>
      <c r="Q163" s="2"/>
      <c r="R163" s="19">
        <f t="shared" si="54"/>
        <v>1.8605145151900752E-5</v>
      </c>
      <c r="S163" s="2"/>
      <c r="T163" s="2">
        <v>5693.57</v>
      </c>
      <c r="U163" s="2"/>
      <c r="V163" s="19">
        <f t="shared" si="55"/>
        <v>1.9882391944979006E-4</v>
      </c>
      <c r="W163" s="2"/>
      <c r="X163" s="2">
        <f t="shared" si="56"/>
        <v>-5502.62</v>
      </c>
      <c r="Y163" s="2"/>
      <c r="Z163" s="19">
        <f t="shared" si="57"/>
        <v>-0.966462166970811</v>
      </c>
    </row>
    <row r="164" spans="1:26" s="23" customFormat="1" hidden="1" outlineLevel="1" x14ac:dyDescent="0.25">
      <c r="A164" s="44"/>
      <c r="B164" s="10" t="str">
        <f>CONCATENATE("          ", "5040", " - ", "PURCHASES @ COST-LOGO CLOTHING")</f>
        <v xml:space="preserve">          5040 - PURCHASES @ COST-LOGO CLOTHING</v>
      </c>
      <c r="C164" s="10"/>
      <c r="D164" s="2">
        <v>65486.18</v>
      </c>
      <c r="E164" s="2"/>
      <c r="F164" s="19">
        <f t="shared" si="50"/>
        <v>0.14520180270050309</v>
      </c>
      <c r="G164" s="2"/>
      <c r="H164" s="2">
        <v>6472.18</v>
      </c>
      <c r="I164" s="2"/>
      <c r="J164" s="19">
        <f t="shared" si="51"/>
        <v>1.1015125906944114E-2</v>
      </c>
      <c r="K164" s="2"/>
      <c r="L164" s="2">
        <f t="shared" si="52"/>
        <v>59014</v>
      </c>
      <c r="M164" s="2"/>
      <c r="N164" s="19">
        <f t="shared" si="53"/>
        <v>9.1181024013547205</v>
      </c>
      <c r="O164" s="10"/>
      <c r="P164" s="2">
        <v>392865.16</v>
      </c>
      <c r="Q164" s="2"/>
      <c r="R164" s="19">
        <f t="shared" si="54"/>
        <v>3.8278676757919419E-2</v>
      </c>
      <c r="S164" s="2"/>
      <c r="T164" s="2">
        <v>982941.51</v>
      </c>
      <c r="U164" s="2"/>
      <c r="V164" s="19">
        <f t="shared" si="55"/>
        <v>3.4325086651801069E-2</v>
      </c>
      <c r="W164" s="2"/>
      <c r="X164" s="2">
        <f t="shared" si="56"/>
        <v>-590076.35000000009</v>
      </c>
      <c r="Y164" s="2"/>
      <c r="Z164" s="19">
        <f t="shared" si="57"/>
        <v>-0.60031684896489934</v>
      </c>
    </row>
    <row r="165" spans="1:26" s="23" customFormat="1" hidden="1" outlineLevel="1" x14ac:dyDescent="0.25">
      <c r="A165" s="44"/>
      <c r="B165" s="10" t="str">
        <f>CONCATENATE("          ", "5041", " - ", "PURCHASES @ COST-LOGO GIFTS")</f>
        <v xml:space="preserve">          5041 - PURCHASES @ COST-LOGO GIFTS</v>
      </c>
      <c r="C165" s="10"/>
      <c r="D165" s="2">
        <v>115476.79</v>
      </c>
      <c r="E165" s="2"/>
      <c r="F165" s="19">
        <f t="shared" si="50"/>
        <v>0.25604544467347812</v>
      </c>
      <c r="G165" s="2"/>
      <c r="H165" s="2">
        <v>13093.79</v>
      </c>
      <c r="I165" s="2"/>
      <c r="J165" s="19">
        <f t="shared" si="51"/>
        <v>2.2284569565291106E-2</v>
      </c>
      <c r="K165" s="2"/>
      <c r="L165" s="2">
        <f t="shared" si="52"/>
        <v>102383</v>
      </c>
      <c r="M165" s="2"/>
      <c r="N165" s="19">
        <f t="shared" si="53"/>
        <v>7.8192028434853462</v>
      </c>
      <c r="O165" s="10"/>
      <c r="P165" s="2">
        <v>221875.64</v>
      </c>
      <c r="Q165" s="2"/>
      <c r="R165" s="19">
        <f t="shared" si="54"/>
        <v>2.1618373856354425E-2</v>
      </c>
      <c r="S165" s="2"/>
      <c r="T165" s="2">
        <v>162844.63</v>
      </c>
      <c r="U165" s="2"/>
      <c r="V165" s="19">
        <f t="shared" si="55"/>
        <v>5.6866619006969033E-3</v>
      </c>
      <c r="W165" s="2"/>
      <c r="X165" s="2">
        <f t="shared" si="56"/>
        <v>59031.010000000009</v>
      </c>
      <c r="Y165" s="2"/>
      <c r="Z165" s="19">
        <f t="shared" si="57"/>
        <v>0.36249896603897841</v>
      </c>
    </row>
    <row r="166" spans="1:26" s="23" customFormat="1" hidden="1" outlineLevel="1" x14ac:dyDescent="0.25">
      <c r="A166" s="44"/>
      <c r="B166" s="10" t="str">
        <f>CONCATENATE("          ", "5042", " - ", "PURCHASES @ COST-EVERYDAY GIFT")</f>
        <v xml:space="preserve">          5042 - PURCHASES @ COST-EVERYDAY GIFT</v>
      </c>
      <c r="C166" s="10"/>
      <c r="D166" s="2">
        <v>-39.200000000000003</v>
      </c>
      <c r="E166" s="2"/>
      <c r="F166" s="19">
        <f t="shared" si="50"/>
        <v>-8.6917738458094852E-5</v>
      </c>
      <c r="G166" s="2"/>
      <c r="H166" s="2">
        <v>-836.65</v>
      </c>
      <c r="I166" s="2"/>
      <c r="J166" s="19">
        <f t="shared" si="51"/>
        <v>-1.42391050465914E-3</v>
      </c>
      <c r="K166" s="2"/>
      <c r="L166" s="2">
        <f t="shared" si="52"/>
        <v>797.44999999999993</v>
      </c>
      <c r="M166" s="2"/>
      <c r="N166" s="19">
        <f t="shared" si="53"/>
        <v>-0.95314647702145461</v>
      </c>
      <c r="O166" s="10"/>
      <c r="P166" s="2">
        <v>18708.87</v>
      </c>
      <c r="Q166" s="2"/>
      <c r="R166" s="19">
        <f t="shared" si="54"/>
        <v>1.8228920763448098E-3</v>
      </c>
      <c r="S166" s="2"/>
      <c r="T166" s="2">
        <v>125778.55</v>
      </c>
      <c r="U166" s="2"/>
      <c r="V166" s="19">
        <f t="shared" si="55"/>
        <v>4.3922853839877957E-3</v>
      </c>
      <c r="W166" s="2"/>
      <c r="X166" s="2">
        <f t="shared" si="56"/>
        <v>-107069.68000000001</v>
      </c>
      <c r="Y166" s="2"/>
      <c r="Z166" s="19">
        <f t="shared" si="57"/>
        <v>-0.85125548036608789</v>
      </c>
    </row>
    <row r="167" spans="1:26" s="23" customFormat="1" hidden="1" outlineLevel="1" x14ac:dyDescent="0.25">
      <c r="A167" s="44"/>
      <c r="B167" s="10" t="str">
        <f>CONCATENATE("          ", "5043", " - ", "PURCHASES @ COST-CARDS")</f>
        <v xml:space="preserve">          5043 - PURCHASES @ COST-CARDS</v>
      </c>
      <c r="C167" s="10"/>
      <c r="D167" s="2">
        <v>-4615.6499999999996</v>
      </c>
      <c r="E167" s="2"/>
      <c r="F167" s="19">
        <f t="shared" si="50"/>
        <v>-1.0234231110053711E-2</v>
      </c>
      <c r="G167" s="2"/>
      <c r="H167" s="2">
        <v>0</v>
      </c>
      <c r="I167" s="2"/>
      <c r="J167" s="19">
        <f t="shared" si="51"/>
        <v>0</v>
      </c>
      <c r="K167" s="2"/>
      <c r="L167" s="2">
        <f t="shared" si="52"/>
        <v>-4615.6499999999996</v>
      </c>
      <c r="M167" s="2"/>
      <c r="N167" s="19">
        <f t="shared" si="53"/>
        <v>0</v>
      </c>
      <c r="O167" s="10"/>
      <c r="P167" s="2">
        <v>50967.68</v>
      </c>
      <c r="Q167" s="2"/>
      <c r="R167" s="19">
        <f t="shared" si="54"/>
        <v>4.9660177243028491E-3</v>
      </c>
      <c r="S167" s="2"/>
      <c r="T167" s="2">
        <v>30914.66</v>
      </c>
      <c r="U167" s="2"/>
      <c r="V167" s="19">
        <f t="shared" si="55"/>
        <v>1.0795641170052615E-3</v>
      </c>
      <c r="W167" s="2"/>
      <c r="X167" s="2">
        <f t="shared" si="56"/>
        <v>20053.02</v>
      </c>
      <c r="Y167" s="2"/>
      <c r="Z167" s="19">
        <f t="shared" si="57"/>
        <v>0.6486573036869886</v>
      </c>
    </row>
    <row r="168" spans="1:26" s="23" customFormat="1" hidden="1" outlineLevel="1" x14ac:dyDescent="0.25">
      <c r="A168" s="44"/>
      <c r="B168" s="10" t="str">
        <f>CONCATENATE("          ", "5044", " - ", "PURCHASES @ COST-ACCESSORIES")</f>
        <v xml:space="preserve">          5044 - PURCHASES @ COST-ACCESSORIES</v>
      </c>
      <c r="C168" s="10"/>
      <c r="D168" s="2">
        <v>4371.2</v>
      </c>
      <c r="E168" s="2"/>
      <c r="F168" s="19">
        <f t="shared" si="50"/>
        <v>9.6922147537761277E-3</v>
      </c>
      <c r="G168" s="2"/>
      <c r="H168" s="2">
        <v>0</v>
      </c>
      <c r="I168" s="2"/>
      <c r="J168" s="19">
        <f t="shared" si="51"/>
        <v>0</v>
      </c>
      <c r="K168" s="2"/>
      <c r="L168" s="2">
        <f t="shared" si="52"/>
        <v>4371.2</v>
      </c>
      <c r="M168" s="2"/>
      <c r="N168" s="19">
        <f t="shared" si="53"/>
        <v>0</v>
      </c>
      <c r="O168" s="10"/>
      <c r="P168" s="2">
        <v>6926.91</v>
      </c>
      <c r="Q168" s="2"/>
      <c r="R168" s="19">
        <f t="shared" si="54"/>
        <v>6.7492100552056999E-4</v>
      </c>
      <c r="S168" s="2"/>
      <c r="T168" s="2">
        <v>37869.03</v>
      </c>
      <c r="U168" s="2"/>
      <c r="V168" s="19">
        <f t="shared" si="55"/>
        <v>1.3224161589936864E-3</v>
      </c>
      <c r="W168" s="2"/>
      <c r="X168" s="2">
        <f t="shared" si="56"/>
        <v>-30942.12</v>
      </c>
      <c r="Y168" s="2"/>
      <c r="Z168" s="19">
        <f t="shared" si="57"/>
        <v>-0.81708245497706178</v>
      </c>
    </row>
    <row r="169" spans="1:26" s="23" customFormat="1" hidden="1" outlineLevel="1" x14ac:dyDescent="0.25">
      <c r="A169" s="44"/>
      <c r="B169" s="10" t="str">
        <f>CONCATENATE("          ", "5045", " - ", "PURCHASES @ COST-SPECIAL ORDER")</f>
        <v xml:space="preserve">          5045 - PURCHASES @ COST-SPECIAL ORDER</v>
      </c>
      <c r="C169" s="10"/>
      <c r="D169" s="2">
        <v>33785.81</v>
      </c>
      <c r="E169" s="2"/>
      <c r="F169" s="19">
        <f t="shared" si="50"/>
        <v>7.4912913193236869E-2</v>
      </c>
      <c r="G169" s="2"/>
      <c r="H169" s="2">
        <v>52772.41</v>
      </c>
      <c r="I169" s="2"/>
      <c r="J169" s="19">
        <f t="shared" si="51"/>
        <v>8.9814365571241325E-2</v>
      </c>
      <c r="K169" s="2"/>
      <c r="L169" s="2">
        <f t="shared" si="52"/>
        <v>-18986.600000000006</v>
      </c>
      <c r="M169" s="2"/>
      <c r="N169" s="19">
        <f t="shared" si="53"/>
        <v>-0.3597826970570418</v>
      </c>
      <c r="O169" s="10"/>
      <c r="P169" s="2">
        <v>172925.05</v>
      </c>
      <c r="Q169" s="2"/>
      <c r="R169" s="19">
        <f t="shared" si="54"/>
        <v>1.6848890576850982E-2</v>
      </c>
      <c r="S169" s="2"/>
      <c r="T169" s="2">
        <v>131614.81</v>
      </c>
      <c r="U169" s="2"/>
      <c r="V169" s="19">
        <f t="shared" si="55"/>
        <v>4.5960921498882819E-3</v>
      </c>
      <c r="W169" s="2"/>
      <c r="X169" s="2">
        <f t="shared" si="56"/>
        <v>41310.239999999991</v>
      </c>
      <c r="Y169" s="2"/>
      <c r="Z169" s="19">
        <f t="shared" si="57"/>
        <v>0.31387227622788039</v>
      </c>
    </row>
    <row r="170" spans="1:26" s="23" customFormat="1" hidden="1" outlineLevel="1" x14ac:dyDescent="0.25">
      <c r="A170" s="44"/>
      <c r="B170" s="10" t="str">
        <f>CONCATENATE("          ", "5053", " - ", "PURCHASES @ COST-FOOD")</f>
        <v xml:space="preserve">          5053 - PURCHASES @ COST-FOOD</v>
      </c>
      <c r="C170" s="10"/>
      <c r="D170" s="2">
        <v>21907.02</v>
      </c>
      <c r="E170" s="2"/>
      <c r="F170" s="19">
        <f t="shared" si="50"/>
        <v>4.8574199866230947E-2</v>
      </c>
      <c r="G170" s="2"/>
      <c r="H170" s="2">
        <v>9832.27</v>
      </c>
      <c r="I170" s="2"/>
      <c r="J170" s="19">
        <f t="shared" si="51"/>
        <v>1.6733726812460315E-2</v>
      </c>
      <c r="K170" s="2"/>
      <c r="L170" s="2">
        <f t="shared" si="52"/>
        <v>12074.75</v>
      </c>
      <c r="M170" s="2"/>
      <c r="N170" s="19">
        <f t="shared" si="53"/>
        <v>1.2280734764199925</v>
      </c>
      <c r="O170" s="10"/>
      <c r="P170" s="2">
        <v>475283.97</v>
      </c>
      <c r="Q170" s="2"/>
      <c r="R170" s="19">
        <f t="shared" si="54"/>
        <v>4.6309124117421538E-2</v>
      </c>
      <c r="S170" s="2"/>
      <c r="T170" s="2">
        <v>4941935.9800000004</v>
      </c>
      <c r="U170" s="2"/>
      <c r="V170" s="19">
        <f t="shared" si="55"/>
        <v>0.17257627134004488</v>
      </c>
      <c r="W170" s="2"/>
      <c r="X170" s="2">
        <f t="shared" si="56"/>
        <v>-4466652.0100000007</v>
      </c>
      <c r="Y170" s="2"/>
      <c r="Z170" s="19">
        <f t="shared" si="57"/>
        <v>-0.90382636037304565</v>
      </c>
    </row>
    <row r="171" spans="1:26" s="23" customFormat="1" hidden="1" outlineLevel="1" x14ac:dyDescent="0.25">
      <c r="A171" s="44"/>
      <c r="B171" s="10" t="str">
        <f>CONCATENATE("          ", "5059", " - ", "PURCHASES @ COST-FOOD")</f>
        <v xml:space="preserve">          5059 - PURCHASES @ COST-FOOD</v>
      </c>
      <c r="C171" s="10"/>
      <c r="D171" s="2">
        <v>7282</v>
      </c>
      <c r="E171" s="2"/>
      <c r="F171" s="19">
        <f t="shared" si="50"/>
        <v>1.6146300292138947E-2</v>
      </c>
      <c r="G171" s="2"/>
      <c r="H171" s="2">
        <v>45921</v>
      </c>
      <c r="I171" s="2"/>
      <c r="J171" s="19">
        <f t="shared" si="51"/>
        <v>7.8153820934025425E-2</v>
      </c>
      <c r="K171" s="2"/>
      <c r="L171" s="2">
        <f t="shared" si="52"/>
        <v>-38639</v>
      </c>
      <c r="M171" s="2"/>
      <c r="N171" s="19">
        <f t="shared" si="53"/>
        <v>-0.84142331395222225</v>
      </c>
      <c r="O171" s="10"/>
      <c r="P171" s="2">
        <v>41131.300000000003</v>
      </c>
      <c r="Q171" s="2"/>
      <c r="R171" s="19">
        <f t="shared" si="54"/>
        <v>4.007613546930482E-3</v>
      </c>
      <c r="S171" s="2"/>
      <c r="T171" s="2">
        <v>186122.53</v>
      </c>
      <c r="U171" s="2"/>
      <c r="V171" s="19">
        <f t="shared" si="55"/>
        <v>6.4995443829637877E-3</v>
      </c>
      <c r="W171" s="2"/>
      <c r="X171" s="2">
        <f t="shared" si="56"/>
        <v>-144991.22999999998</v>
      </c>
      <c r="Y171" s="2"/>
      <c r="Z171" s="19">
        <f t="shared" si="57"/>
        <v>-0.77900955891798795</v>
      </c>
    </row>
    <row r="172" spans="1:26" s="23" customFormat="1" hidden="1" outlineLevel="1" x14ac:dyDescent="0.25">
      <c r="A172" s="44"/>
      <c r="B172" s="10" t="str">
        <f>CONCATENATE("          ", "5081", " - ", "PURCHASES @ COST-ELECTRONICS")</f>
        <v xml:space="preserve">          5081 - PURCHASES @ COST-ELECTRONICS</v>
      </c>
      <c r="C172" s="10"/>
      <c r="D172" s="2">
        <v>-4801.84</v>
      </c>
      <c r="E172" s="2"/>
      <c r="F172" s="19">
        <f t="shared" si="50"/>
        <v>-1.0647068194837198E-2</v>
      </c>
      <c r="G172" s="2"/>
      <c r="H172" s="2">
        <v>-173.28</v>
      </c>
      <c r="I172" s="2"/>
      <c r="J172" s="19">
        <f t="shared" si="51"/>
        <v>-2.9490851879201074E-4</v>
      </c>
      <c r="K172" s="2"/>
      <c r="L172" s="2">
        <f t="shared" si="52"/>
        <v>-4628.5600000000004</v>
      </c>
      <c r="M172" s="2"/>
      <c r="N172" s="19">
        <f t="shared" si="53"/>
        <v>26.711449676823641</v>
      </c>
      <c r="O172" s="10"/>
      <c r="P172" s="2">
        <v>27617.62</v>
      </c>
      <c r="Q172" s="2"/>
      <c r="R172" s="19">
        <f t="shared" si="54"/>
        <v>2.6909129554859245E-3</v>
      </c>
      <c r="S172" s="2"/>
      <c r="T172" s="2">
        <v>260296.33</v>
      </c>
      <c r="U172" s="2"/>
      <c r="V172" s="19">
        <f t="shared" si="55"/>
        <v>9.0897515177640695E-3</v>
      </c>
      <c r="W172" s="2"/>
      <c r="X172" s="2">
        <f t="shared" si="56"/>
        <v>-232678.71</v>
      </c>
      <c r="Y172" s="2"/>
      <c r="Z172" s="19">
        <f t="shared" si="57"/>
        <v>-0.89389931083546204</v>
      </c>
    </row>
    <row r="173" spans="1:26" s="23" customFormat="1" hidden="1" outlineLevel="1" x14ac:dyDescent="0.25">
      <c r="A173" s="44"/>
      <c r="B173" s="10" t="str">
        <f>CONCATENATE("          ", "5082", " - ", "PURCHASES @ COST-COMPUTER HARD")</f>
        <v xml:space="preserve">          5082 - PURCHASES @ COST-COMPUTER HARD</v>
      </c>
      <c r="C173" s="10"/>
      <c r="D173" s="2">
        <v>153062.79</v>
      </c>
      <c r="E173" s="2"/>
      <c r="F173" s="19">
        <f t="shared" si="50"/>
        <v>0.33938447828791574</v>
      </c>
      <c r="G173" s="2"/>
      <c r="H173" s="2">
        <v>190200.93</v>
      </c>
      <c r="I173" s="2"/>
      <c r="J173" s="19">
        <f t="shared" si="51"/>
        <v>0.32370657051686819</v>
      </c>
      <c r="K173" s="2"/>
      <c r="L173" s="2">
        <f t="shared" si="52"/>
        <v>-37138.139999999985</v>
      </c>
      <c r="M173" s="2"/>
      <c r="N173" s="19">
        <f t="shared" si="53"/>
        <v>-0.19525740489281512</v>
      </c>
      <c r="O173" s="10"/>
      <c r="P173" s="2">
        <v>1955597.66</v>
      </c>
      <c r="Q173" s="2"/>
      <c r="R173" s="19">
        <f t="shared" si="54"/>
        <v>0.19054296058139542</v>
      </c>
      <c r="S173" s="2"/>
      <c r="T173" s="2">
        <v>1831850.83</v>
      </c>
      <c r="U173" s="2"/>
      <c r="V173" s="19">
        <f t="shared" si="55"/>
        <v>6.3969664352585651E-2</v>
      </c>
      <c r="W173" s="2"/>
      <c r="X173" s="2">
        <f t="shared" si="56"/>
        <v>123746.82999999984</v>
      </c>
      <c r="Y173" s="2"/>
      <c r="Z173" s="19">
        <f t="shared" si="57"/>
        <v>6.7552896760703945E-2</v>
      </c>
    </row>
    <row r="174" spans="1:26" s="23" customFormat="1" hidden="1" outlineLevel="1" x14ac:dyDescent="0.25">
      <c r="A174" s="44"/>
      <c r="B174" s="10" t="str">
        <f>CONCATENATE("          ", "5083", " - ", "PURCHASES @ COST-COMPUTER EQUI")</f>
        <v xml:space="preserve">          5083 - PURCHASES @ COST-COMPUTER EQUI</v>
      </c>
      <c r="C174" s="10"/>
      <c r="D174" s="2">
        <v>24791.69</v>
      </c>
      <c r="E174" s="2"/>
      <c r="F174" s="19">
        <f t="shared" si="50"/>
        <v>5.4970347636585849E-2</v>
      </c>
      <c r="G174" s="2"/>
      <c r="H174" s="2">
        <v>12873.49</v>
      </c>
      <c r="I174" s="2"/>
      <c r="J174" s="19">
        <f t="shared" si="51"/>
        <v>2.1909636816619126E-2</v>
      </c>
      <c r="K174" s="2"/>
      <c r="L174" s="2">
        <f t="shared" si="52"/>
        <v>11918.199999999999</v>
      </c>
      <c r="M174" s="2"/>
      <c r="N174" s="19">
        <f t="shared" si="53"/>
        <v>0.92579401545346285</v>
      </c>
      <c r="O174" s="10"/>
      <c r="P174" s="2">
        <v>151821.63</v>
      </c>
      <c r="Q174" s="2"/>
      <c r="R174" s="19">
        <f t="shared" si="54"/>
        <v>1.4792686375219534E-2</v>
      </c>
      <c r="S174" s="2"/>
      <c r="T174" s="2">
        <v>107819.31</v>
      </c>
      <c r="U174" s="2"/>
      <c r="V174" s="19">
        <f t="shared" si="55"/>
        <v>3.7651346706147363E-3</v>
      </c>
      <c r="W174" s="2"/>
      <c r="X174" s="2">
        <f t="shared" si="56"/>
        <v>44002.320000000007</v>
      </c>
      <c r="Y174" s="2"/>
      <c r="Z174" s="19">
        <f t="shared" si="57"/>
        <v>0.40811168240642615</v>
      </c>
    </row>
    <row r="175" spans="1:26" s="23" customFormat="1" hidden="1" outlineLevel="1" x14ac:dyDescent="0.25">
      <c r="A175" s="44"/>
      <c r="B175" s="10" t="str">
        <f>CONCATENATE("          ", "5084", " - ", "PURCHASES @ COST-SOFTWARE LICE")</f>
        <v xml:space="preserve">          5084 - PURCHASES @ COST-SOFTWARE LICE</v>
      </c>
      <c r="C175" s="10"/>
      <c r="D175" s="2">
        <v>2421</v>
      </c>
      <c r="E175" s="2"/>
      <c r="F175" s="19">
        <f t="shared" si="50"/>
        <v>5.3680572654859092E-3</v>
      </c>
      <c r="G175" s="2"/>
      <c r="H175" s="2"/>
      <c r="I175" s="2"/>
      <c r="J175" s="19">
        <f t="shared" si="51"/>
        <v>0</v>
      </c>
      <c r="K175" s="2"/>
      <c r="L175" s="2">
        <f t="shared" si="52"/>
        <v>2421</v>
      </c>
      <c r="M175" s="2"/>
      <c r="N175" s="19">
        <f t="shared" si="53"/>
        <v>0</v>
      </c>
      <c r="O175" s="10"/>
      <c r="P175" s="2">
        <v>2421</v>
      </c>
      <c r="Q175" s="2"/>
      <c r="R175" s="19">
        <f t="shared" si="54"/>
        <v>2.3588927160383201E-4</v>
      </c>
      <c r="S175" s="2"/>
      <c r="T175" s="2">
        <v>2728</v>
      </c>
      <c r="U175" s="2"/>
      <c r="V175" s="19">
        <f t="shared" si="55"/>
        <v>9.5263894579152846E-5</v>
      </c>
      <c r="W175" s="2"/>
      <c r="X175" s="2">
        <f t="shared" si="56"/>
        <v>-307</v>
      </c>
      <c r="Y175" s="2"/>
      <c r="Z175" s="19">
        <f t="shared" si="57"/>
        <v>-0.1125366568914956</v>
      </c>
    </row>
    <row r="176" spans="1:26" s="23" customFormat="1" hidden="1" outlineLevel="1" x14ac:dyDescent="0.25">
      <c r="A176" s="44"/>
      <c r="B176" s="10" t="str">
        <f>CONCATENATE("          ", "5085", " - ", "PURCHASES @ COST-SOFTWARE")</f>
        <v xml:space="preserve">          5085 - PURCHASES @ COST-SOFTWARE</v>
      </c>
      <c r="C176" s="10"/>
      <c r="D176" s="2">
        <v>10694.79</v>
      </c>
      <c r="E176" s="2"/>
      <c r="F176" s="19">
        <f t="shared" si="50"/>
        <v>2.3713442859292048E-2</v>
      </c>
      <c r="G176" s="2"/>
      <c r="H176" s="2">
        <v>1996.51</v>
      </c>
      <c r="I176" s="2"/>
      <c r="J176" s="19">
        <f t="shared" si="51"/>
        <v>3.3978982389972147E-3</v>
      </c>
      <c r="K176" s="2"/>
      <c r="L176" s="2">
        <f t="shared" si="52"/>
        <v>8698.2800000000007</v>
      </c>
      <c r="M176" s="2"/>
      <c r="N176" s="19">
        <f t="shared" si="53"/>
        <v>4.3567425156898789</v>
      </c>
      <c r="O176" s="10"/>
      <c r="P176" s="2">
        <v>56981.16</v>
      </c>
      <c r="Q176" s="2"/>
      <c r="R176" s="19">
        <f t="shared" si="54"/>
        <v>5.5519390035280499E-3</v>
      </c>
      <c r="S176" s="2"/>
      <c r="T176" s="2">
        <v>17324.650000000001</v>
      </c>
      <c r="U176" s="2"/>
      <c r="V176" s="19">
        <f t="shared" si="55"/>
        <v>6.0499033402519077E-4</v>
      </c>
      <c r="W176" s="2"/>
      <c r="X176" s="2">
        <f t="shared" si="56"/>
        <v>39656.51</v>
      </c>
      <c r="Y176" s="2"/>
      <c r="Z176" s="19">
        <f t="shared" si="57"/>
        <v>2.2890222890505725</v>
      </c>
    </row>
    <row r="177" spans="1:26" s="23" customFormat="1" hidden="1" outlineLevel="1" x14ac:dyDescent="0.25">
      <c r="A177" s="44"/>
      <c r="B177" s="10" t="str">
        <f>CONCATENATE("          ", "5086", " - ", "PURCHASES @ COST-COMPUTER SUPP")</f>
        <v xml:space="preserve">          5086 - PURCHASES @ COST-COMPUTER SUPP</v>
      </c>
      <c r="C177" s="10"/>
      <c r="D177" s="2">
        <v>853.49</v>
      </c>
      <c r="E177" s="2"/>
      <c r="F177" s="19">
        <f t="shared" si="50"/>
        <v>1.8924341988928411E-3</v>
      </c>
      <c r="G177" s="2"/>
      <c r="H177" s="2">
        <v>127.27</v>
      </c>
      <c r="I177" s="2"/>
      <c r="J177" s="19">
        <f t="shared" si="51"/>
        <v>2.1660322706982461E-4</v>
      </c>
      <c r="K177" s="2"/>
      <c r="L177" s="2">
        <f t="shared" si="52"/>
        <v>726.22</v>
      </c>
      <c r="M177" s="2"/>
      <c r="N177" s="19">
        <f t="shared" si="53"/>
        <v>5.7061365600691447</v>
      </c>
      <c r="O177" s="10"/>
      <c r="P177" s="2">
        <v>24629.71</v>
      </c>
      <c r="Q177" s="2"/>
      <c r="R177" s="19">
        <f t="shared" si="54"/>
        <v>2.3997870102080202E-3</v>
      </c>
      <c r="S177" s="2"/>
      <c r="T177" s="2">
        <v>30436.54</v>
      </c>
      <c r="U177" s="2"/>
      <c r="V177" s="19">
        <f t="shared" si="55"/>
        <v>1.0628677924905312E-3</v>
      </c>
      <c r="W177" s="2"/>
      <c r="X177" s="2">
        <f t="shared" si="56"/>
        <v>-5806.8300000000017</v>
      </c>
      <c r="Y177" s="2"/>
      <c r="Z177" s="19">
        <f t="shared" si="57"/>
        <v>-0.19078482639616728</v>
      </c>
    </row>
    <row r="178" spans="1:26" s="23" customFormat="1" hidden="1" outlineLevel="1" x14ac:dyDescent="0.25">
      <c r="A178" s="44"/>
      <c r="B178" s="10" t="str">
        <f>CONCATENATE("          ", "5088", " - ", "PURCHASES @ COST-MUSIC")</f>
        <v xml:space="preserve">          5088 - PURCHASES @ COST-MUSIC</v>
      </c>
      <c r="C178" s="10"/>
      <c r="D178" s="2"/>
      <c r="E178" s="2"/>
      <c r="F178" s="19">
        <f t="shared" si="50"/>
        <v>0</v>
      </c>
      <c r="G178" s="2"/>
      <c r="H178" s="2"/>
      <c r="I178" s="2"/>
      <c r="J178" s="19">
        <f t="shared" si="51"/>
        <v>0</v>
      </c>
      <c r="K178" s="2"/>
      <c r="L178" s="2">
        <f t="shared" si="52"/>
        <v>0</v>
      </c>
      <c r="M178" s="2"/>
      <c r="N178" s="19">
        <f t="shared" si="53"/>
        <v>0</v>
      </c>
      <c r="O178" s="10"/>
      <c r="P178" s="2"/>
      <c r="Q178" s="2"/>
      <c r="R178" s="19">
        <f t="shared" si="54"/>
        <v>0</v>
      </c>
      <c r="S178" s="2"/>
      <c r="T178" s="2">
        <v>95.65</v>
      </c>
      <c r="U178" s="2"/>
      <c r="V178" s="19">
        <f t="shared" si="55"/>
        <v>3.3401728432903117E-6</v>
      </c>
      <c r="W178" s="2"/>
      <c r="X178" s="2">
        <f t="shared" si="56"/>
        <v>-95.65</v>
      </c>
      <c r="Y178" s="2"/>
      <c r="Z178" s="19">
        <f t="shared" si="57"/>
        <v>-1</v>
      </c>
    </row>
    <row r="179" spans="1:26" s="23" customFormat="1" hidden="1" outlineLevel="1" x14ac:dyDescent="0.25">
      <c r="A179" s="44"/>
      <c r="B179" s="10" t="str">
        <f>CONCATENATE("          ", "5092", " - ", "PURCHASES @ COST-GRAD MERCH")</f>
        <v xml:space="preserve">          5092 - PURCHASES @ COST-GRAD MERCH</v>
      </c>
      <c r="C179" s="10"/>
      <c r="D179" s="2"/>
      <c r="E179" s="2"/>
      <c r="F179" s="19">
        <f t="shared" si="50"/>
        <v>0</v>
      </c>
      <c r="G179" s="2"/>
      <c r="H179" s="2">
        <v>9354.1</v>
      </c>
      <c r="I179" s="2"/>
      <c r="J179" s="19">
        <f t="shared" si="51"/>
        <v>1.5919920219484924E-2</v>
      </c>
      <c r="K179" s="2"/>
      <c r="L179" s="2">
        <f t="shared" si="52"/>
        <v>-9354.1</v>
      </c>
      <c r="M179" s="2"/>
      <c r="N179" s="19">
        <f t="shared" si="53"/>
        <v>-1</v>
      </c>
      <c r="O179" s="10"/>
      <c r="P179" s="2">
        <v>0</v>
      </c>
      <c r="Q179" s="2"/>
      <c r="R179" s="19">
        <f t="shared" si="54"/>
        <v>0</v>
      </c>
      <c r="S179" s="2"/>
      <c r="T179" s="2">
        <v>13839.98</v>
      </c>
      <c r="U179" s="2"/>
      <c r="V179" s="19">
        <f t="shared" si="55"/>
        <v>4.8330293097418762E-4</v>
      </c>
      <c r="W179" s="2"/>
      <c r="X179" s="2">
        <f t="shared" si="56"/>
        <v>-13839.98</v>
      </c>
      <c r="Y179" s="2"/>
      <c r="Z179" s="19">
        <f t="shared" si="57"/>
        <v>-1</v>
      </c>
    </row>
    <row r="180" spans="1:26" s="23" customFormat="1" hidden="1" outlineLevel="1" x14ac:dyDescent="0.25">
      <c r="A180" s="44"/>
      <c r="B180" s="10" t="str">
        <f>CONCATENATE("          ", "5095", " - ", "PURCHASES @ COST-CUSTOMER SERV")</f>
        <v xml:space="preserve">          5095 - PURCHASES @ COST-CUSTOMER SERV</v>
      </c>
      <c r="C180" s="10"/>
      <c r="D180" s="2"/>
      <c r="E180" s="2"/>
      <c r="F180" s="19">
        <f t="shared" si="50"/>
        <v>0</v>
      </c>
      <c r="G180" s="2"/>
      <c r="H180" s="2">
        <v>0</v>
      </c>
      <c r="I180" s="2"/>
      <c r="J180" s="19">
        <f t="shared" si="51"/>
        <v>0</v>
      </c>
      <c r="K180" s="2"/>
      <c r="L180" s="2">
        <f t="shared" si="52"/>
        <v>0</v>
      </c>
      <c r="M180" s="2"/>
      <c r="N180" s="19">
        <f t="shared" si="53"/>
        <v>0</v>
      </c>
      <c r="O180" s="10"/>
      <c r="P180" s="2"/>
      <c r="Q180" s="2"/>
      <c r="R180" s="19">
        <f t="shared" si="54"/>
        <v>0</v>
      </c>
      <c r="S180" s="2"/>
      <c r="T180" s="2">
        <v>0</v>
      </c>
      <c r="U180" s="2"/>
      <c r="V180" s="19">
        <f t="shared" si="55"/>
        <v>0</v>
      </c>
      <c r="W180" s="2"/>
      <c r="X180" s="2">
        <f t="shared" si="56"/>
        <v>0</v>
      </c>
      <c r="Y180" s="2"/>
      <c r="Z180" s="19">
        <f t="shared" si="57"/>
        <v>0</v>
      </c>
    </row>
    <row r="181" spans="1:26" s="23" customFormat="1" hidden="1" outlineLevel="1" x14ac:dyDescent="0.25">
      <c r="A181" s="44"/>
      <c r="B181" s="10" t="str">
        <f>CONCATENATE("          ", "5200", " - ", "PURCHASES OFFSET")</f>
        <v xml:space="preserve">          5200 - PURCHASES OFFSET</v>
      </c>
      <c r="C181" s="10"/>
      <c r="D181" s="2">
        <v>-715181.51</v>
      </c>
      <c r="E181" s="2"/>
      <c r="F181" s="19">
        <f t="shared" si="50"/>
        <v>-1.5857642713327895</v>
      </c>
      <c r="G181" s="2"/>
      <c r="H181" s="2">
        <v>-508944</v>
      </c>
      <c r="I181" s="2"/>
      <c r="J181" s="19">
        <f t="shared" si="51"/>
        <v>-0.86618144729963709</v>
      </c>
      <c r="K181" s="2"/>
      <c r="L181" s="2">
        <f t="shared" si="52"/>
        <v>-206237.51</v>
      </c>
      <c r="M181" s="2"/>
      <c r="N181" s="19">
        <f t="shared" si="53"/>
        <v>0.40522633138419945</v>
      </c>
      <c r="O181" s="10"/>
      <c r="P181" s="2">
        <v>-4591688.47</v>
      </c>
      <c r="Q181" s="2"/>
      <c r="R181" s="19">
        <f t="shared" si="54"/>
        <v>-0.4473895285501916</v>
      </c>
      <c r="S181" s="2"/>
      <c r="T181" s="2">
        <v>-6025314</v>
      </c>
      <c r="U181" s="2"/>
      <c r="V181" s="19">
        <f t="shared" si="55"/>
        <v>-0.21040867950963849</v>
      </c>
      <c r="W181" s="2"/>
      <c r="X181" s="2">
        <f t="shared" si="56"/>
        <v>1433625.5300000003</v>
      </c>
      <c r="Y181" s="2"/>
      <c r="Z181" s="19">
        <f t="shared" si="57"/>
        <v>-0.23793374585955193</v>
      </c>
    </row>
    <row r="182" spans="1:26" s="23" customFormat="1" hidden="1" outlineLevel="1" x14ac:dyDescent="0.25">
      <c r="A182" s="44"/>
      <c r="B182" s="10" t="str">
        <f>CONCATENATE("          ", "5300", " - ", "COG$ OFFSET")</f>
        <v xml:space="preserve">          5300 - COG$ OFFSET</v>
      </c>
      <c r="C182" s="10"/>
      <c r="D182" s="2">
        <v>223946</v>
      </c>
      <c r="E182" s="2"/>
      <c r="F182" s="19">
        <f t="shared" si="50"/>
        <v>0.49655305756980889</v>
      </c>
      <c r="G182" s="2"/>
      <c r="H182" s="2">
        <v>626650.53</v>
      </c>
      <c r="I182" s="2"/>
      <c r="J182" s="19">
        <f t="shared" si="51"/>
        <v>1.0665084233756261</v>
      </c>
      <c r="K182" s="2"/>
      <c r="L182" s="2">
        <f t="shared" si="52"/>
        <v>-402704.53</v>
      </c>
      <c r="M182" s="2"/>
      <c r="N182" s="19">
        <f t="shared" si="53"/>
        <v>-0.64263015942873292</v>
      </c>
      <c r="O182" s="10"/>
      <c r="P182" s="2">
        <v>5152122</v>
      </c>
      <c r="Q182" s="2"/>
      <c r="R182" s="19">
        <f t="shared" si="54"/>
        <v>0.50199516967950364</v>
      </c>
      <c r="S182" s="2"/>
      <c r="T182" s="2">
        <v>6784339</v>
      </c>
      <c r="U182" s="2"/>
      <c r="V182" s="19">
        <f t="shared" si="55"/>
        <v>0.23691442642420649</v>
      </c>
      <c r="W182" s="2"/>
      <c r="X182" s="2">
        <f t="shared" si="56"/>
        <v>-1632217</v>
      </c>
      <c r="Y182" s="2"/>
      <c r="Z182" s="19">
        <f t="shared" si="57"/>
        <v>-0.24058600255677082</v>
      </c>
    </row>
    <row r="183" spans="1:26" s="23" customFormat="1" hidden="1" outlineLevel="1" x14ac:dyDescent="0.25">
      <c r="A183" s="44"/>
      <c r="B183" s="10" t="str">
        <f>CONCATENATE("          ", "5500", " - ", "FREIGHT-IN")</f>
        <v xml:space="preserve">          5500 - FREIGHT-IN</v>
      </c>
      <c r="C183" s="10"/>
      <c r="D183" s="2">
        <v>65</v>
      </c>
      <c r="E183" s="2"/>
      <c r="F183" s="19">
        <f t="shared" si="50"/>
        <v>1.4412380101469808E-4</v>
      </c>
      <c r="G183" s="2"/>
      <c r="H183" s="2">
        <v>83.13</v>
      </c>
      <c r="I183" s="2"/>
      <c r="J183" s="19">
        <f t="shared" si="51"/>
        <v>1.4148052381798159E-4</v>
      </c>
      <c r="K183" s="2"/>
      <c r="L183" s="2">
        <f t="shared" si="52"/>
        <v>-18.129999999999995</v>
      </c>
      <c r="M183" s="2"/>
      <c r="N183" s="19">
        <f t="shared" si="53"/>
        <v>-0.21809214483339343</v>
      </c>
      <c r="O183" s="10"/>
      <c r="P183" s="2">
        <v>65</v>
      </c>
      <c r="Q183" s="2"/>
      <c r="R183" s="19">
        <f t="shared" si="54"/>
        <v>6.3332518191859074E-6</v>
      </c>
      <c r="S183" s="2"/>
      <c r="T183" s="2">
        <v>239.61</v>
      </c>
      <c r="U183" s="2"/>
      <c r="V183" s="19">
        <f t="shared" si="55"/>
        <v>8.3673686877239067E-6</v>
      </c>
      <c r="W183" s="2"/>
      <c r="X183" s="2">
        <f t="shared" si="56"/>
        <v>-174.61</v>
      </c>
      <c r="Y183" s="2"/>
      <c r="Z183" s="19">
        <f t="shared" si="57"/>
        <v>-0.72872584616668756</v>
      </c>
    </row>
    <row r="184" spans="1:26" s="23" customFormat="1" hidden="1" outlineLevel="1" x14ac:dyDescent="0.25">
      <c r="A184" s="44"/>
      <c r="B184" s="10" t="str">
        <f>CONCATENATE("          ", "5501", " - ", "FREIGHT-IN-NEW TEXT")</f>
        <v xml:space="preserve">          5501 - FREIGHT-IN-NEW TEXT</v>
      </c>
      <c r="C184" s="10"/>
      <c r="D184" s="2">
        <v>1565.85</v>
      </c>
      <c r="E184" s="2"/>
      <c r="F184" s="19">
        <f t="shared" si="50"/>
        <v>3.4719423664440769E-3</v>
      </c>
      <c r="G184" s="2"/>
      <c r="H184" s="2">
        <v>2483.06</v>
      </c>
      <c r="I184" s="2"/>
      <c r="J184" s="19">
        <f t="shared" si="51"/>
        <v>4.2259669129252669E-3</v>
      </c>
      <c r="K184" s="2"/>
      <c r="L184" s="2">
        <f t="shared" si="52"/>
        <v>-917.21</v>
      </c>
      <c r="M184" s="2"/>
      <c r="N184" s="19">
        <f t="shared" si="53"/>
        <v>-0.36938696608217281</v>
      </c>
      <c r="O184" s="10"/>
      <c r="P184" s="2">
        <v>53401.99</v>
      </c>
      <c r="Q184" s="2"/>
      <c r="R184" s="19">
        <f t="shared" si="54"/>
        <v>5.203203851009963E-3</v>
      </c>
      <c r="S184" s="2"/>
      <c r="T184" s="2">
        <v>72230.789999999994</v>
      </c>
      <c r="U184" s="2"/>
      <c r="V184" s="19">
        <f t="shared" si="55"/>
        <v>2.5223557052525395E-3</v>
      </c>
      <c r="W184" s="2"/>
      <c r="X184" s="2">
        <f t="shared" si="56"/>
        <v>-18828.799999999996</v>
      </c>
      <c r="Y184" s="2"/>
      <c r="Z184" s="19">
        <f t="shared" si="57"/>
        <v>-0.26067553739894023</v>
      </c>
    </row>
    <row r="185" spans="1:26" s="23" customFormat="1" hidden="1" outlineLevel="1" x14ac:dyDescent="0.25">
      <c r="A185" s="44"/>
      <c r="B185" s="10" t="str">
        <f>CONCATENATE("          ", "5502", " - ", "FREIGHT-IN-USED TEXT")</f>
        <v xml:space="preserve">          5502 - FREIGHT-IN-USED TEXT</v>
      </c>
      <c r="C185" s="10"/>
      <c r="D185" s="2">
        <v>149.80000000000001</v>
      </c>
      <c r="E185" s="2"/>
      <c r="F185" s="19">
        <f t="shared" si="50"/>
        <v>3.3214992910771964E-4</v>
      </c>
      <c r="G185" s="2"/>
      <c r="H185" s="2">
        <v>519.36</v>
      </c>
      <c r="I185" s="2"/>
      <c r="J185" s="19">
        <f t="shared" si="51"/>
        <v>8.8390863527134528E-4</v>
      </c>
      <c r="K185" s="2"/>
      <c r="L185" s="2">
        <f t="shared" si="52"/>
        <v>-369.56</v>
      </c>
      <c r="M185" s="2"/>
      <c r="N185" s="19">
        <f t="shared" si="53"/>
        <v>-0.71156808379544056</v>
      </c>
      <c r="O185" s="10"/>
      <c r="P185" s="2">
        <v>18142.669999999998</v>
      </c>
      <c r="Q185" s="2"/>
      <c r="R185" s="19">
        <f t="shared" si="54"/>
        <v>1.7677245812675318E-3</v>
      </c>
      <c r="S185" s="2"/>
      <c r="T185" s="2">
        <v>16200.12</v>
      </c>
      <c r="U185" s="2"/>
      <c r="V185" s="19">
        <f t="shared" si="55"/>
        <v>5.6572086651379238E-4</v>
      </c>
      <c r="W185" s="2"/>
      <c r="X185" s="2">
        <f t="shared" si="56"/>
        <v>1942.5499999999975</v>
      </c>
      <c r="Y185" s="2"/>
      <c r="Z185" s="19">
        <f t="shared" si="57"/>
        <v>0.11990960560785953</v>
      </c>
    </row>
    <row r="186" spans="1:26" s="23" customFormat="1" hidden="1" outlineLevel="1" x14ac:dyDescent="0.25">
      <c r="A186" s="44"/>
      <c r="B186" s="10" t="str">
        <f>CONCATENATE("          ", "5504", " - ", "FREIGHT-IN-DIGITAL TEXT")</f>
        <v xml:space="preserve">          5504 - FREIGHT-IN-DIGITAL TEXT</v>
      </c>
      <c r="C186" s="10"/>
      <c r="D186" s="2">
        <v>4.28</v>
      </c>
      <c r="E186" s="2"/>
      <c r="F186" s="19">
        <f t="shared" si="50"/>
        <v>9.4899979745062752E-6</v>
      </c>
      <c r="G186" s="2"/>
      <c r="H186" s="2"/>
      <c r="I186" s="2"/>
      <c r="J186" s="19">
        <f t="shared" si="51"/>
        <v>0</v>
      </c>
      <c r="K186" s="2"/>
      <c r="L186" s="2">
        <f t="shared" si="52"/>
        <v>4.28</v>
      </c>
      <c r="M186" s="2"/>
      <c r="N186" s="19">
        <f t="shared" si="53"/>
        <v>0</v>
      </c>
      <c r="O186" s="10"/>
      <c r="P186" s="2">
        <v>33.200000000000003</v>
      </c>
      <c r="Q186" s="2"/>
      <c r="R186" s="19">
        <f t="shared" si="54"/>
        <v>3.2348301599534175E-6</v>
      </c>
      <c r="S186" s="2"/>
      <c r="T186" s="2">
        <v>118.75</v>
      </c>
      <c r="U186" s="2"/>
      <c r="V186" s="19">
        <f t="shared" si="55"/>
        <v>4.146842918355719E-6</v>
      </c>
      <c r="W186" s="2"/>
      <c r="X186" s="2">
        <f t="shared" si="56"/>
        <v>-85.55</v>
      </c>
      <c r="Y186" s="2"/>
      <c r="Z186" s="19">
        <f t="shared" si="57"/>
        <v>-0.72042105263157896</v>
      </c>
    </row>
    <row r="187" spans="1:26" s="23" customFormat="1" hidden="1" outlineLevel="1" x14ac:dyDescent="0.25">
      <c r="A187" s="44"/>
      <c r="B187" s="10" t="str">
        <f>CONCATENATE("          ", "5513", " - ", "FREIGHT-IN-TRADE BOOKS")</f>
        <v xml:space="preserve">          5513 - FREIGHT-IN-TRADE BOOKS</v>
      </c>
      <c r="C187" s="10"/>
      <c r="D187" s="2"/>
      <c r="E187" s="2"/>
      <c r="F187" s="19">
        <f t="shared" si="50"/>
        <v>0</v>
      </c>
      <c r="G187" s="2"/>
      <c r="H187" s="2"/>
      <c r="I187" s="2"/>
      <c r="J187" s="19">
        <f t="shared" si="51"/>
        <v>0</v>
      </c>
      <c r="K187" s="2"/>
      <c r="L187" s="2">
        <f t="shared" si="52"/>
        <v>0</v>
      </c>
      <c r="M187" s="2"/>
      <c r="N187" s="19">
        <f t="shared" si="53"/>
        <v>0</v>
      </c>
      <c r="O187" s="10"/>
      <c r="P187" s="2">
        <v>85.28</v>
      </c>
      <c r="Q187" s="2"/>
      <c r="R187" s="19">
        <f t="shared" si="54"/>
        <v>8.3092263867719111E-6</v>
      </c>
      <c r="S187" s="2"/>
      <c r="T187" s="2">
        <v>30.24</v>
      </c>
      <c r="U187" s="2"/>
      <c r="V187" s="19">
        <f t="shared" si="55"/>
        <v>1.0560044619038057E-6</v>
      </c>
      <c r="W187" s="2"/>
      <c r="X187" s="2">
        <f t="shared" si="56"/>
        <v>55.040000000000006</v>
      </c>
      <c r="Y187" s="2"/>
      <c r="Z187" s="19">
        <f t="shared" si="57"/>
        <v>1.8201058201058204</v>
      </c>
    </row>
    <row r="188" spans="1:26" s="23" customFormat="1" hidden="1" outlineLevel="1" x14ac:dyDescent="0.25">
      <c r="A188" s="44"/>
      <c r="B188" s="10" t="str">
        <f>CONCATENATE("          ", "5518", " - ", "FREIGHT-IN-STUDY GUIDES")</f>
        <v xml:space="preserve">          5518 - FREIGHT-IN-STUDY GUIDES</v>
      </c>
      <c r="C188" s="10"/>
      <c r="D188" s="2"/>
      <c r="E188" s="2"/>
      <c r="F188" s="19">
        <f t="shared" si="50"/>
        <v>0</v>
      </c>
      <c r="G188" s="2"/>
      <c r="H188" s="2"/>
      <c r="I188" s="2"/>
      <c r="J188" s="19">
        <f t="shared" si="51"/>
        <v>0</v>
      </c>
      <c r="K188" s="2"/>
      <c r="L188" s="2">
        <f t="shared" si="52"/>
        <v>0</v>
      </c>
      <c r="M188" s="2"/>
      <c r="N188" s="19">
        <f t="shared" si="53"/>
        <v>0</v>
      </c>
      <c r="O188" s="10"/>
      <c r="P188" s="2"/>
      <c r="Q188" s="2"/>
      <c r="R188" s="19">
        <f t="shared" si="54"/>
        <v>0</v>
      </c>
      <c r="S188" s="2"/>
      <c r="T188" s="2">
        <v>21.13</v>
      </c>
      <c r="U188" s="2"/>
      <c r="V188" s="19">
        <f t="shared" si="55"/>
        <v>7.3787613359879024E-7</v>
      </c>
      <c r="W188" s="2"/>
      <c r="X188" s="2">
        <f t="shared" si="56"/>
        <v>-21.13</v>
      </c>
      <c r="Y188" s="2"/>
      <c r="Z188" s="19">
        <f t="shared" si="57"/>
        <v>-1</v>
      </c>
    </row>
    <row r="189" spans="1:26" s="23" customFormat="1" hidden="1" outlineLevel="1" x14ac:dyDescent="0.25">
      <c r="A189" s="44"/>
      <c r="B189" s="10" t="str">
        <f>CONCATENATE("          ", "5525", " - ", "FREIGHT-IN-TEST FORMS")</f>
        <v xml:space="preserve">          5525 - FREIGHT-IN-TEST FORMS</v>
      </c>
      <c r="C189" s="10"/>
      <c r="D189" s="2"/>
      <c r="E189" s="2"/>
      <c r="F189" s="19">
        <f t="shared" si="50"/>
        <v>0</v>
      </c>
      <c r="G189" s="2"/>
      <c r="H189" s="2"/>
      <c r="I189" s="2"/>
      <c r="J189" s="19">
        <f t="shared" si="51"/>
        <v>0</v>
      </c>
      <c r="K189" s="2"/>
      <c r="L189" s="2">
        <f t="shared" si="52"/>
        <v>0</v>
      </c>
      <c r="M189" s="2"/>
      <c r="N189" s="19">
        <f t="shared" si="53"/>
        <v>0</v>
      </c>
      <c r="O189" s="10"/>
      <c r="P189" s="2">
        <v>48.14</v>
      </c>
      <c r="Q189" s="2"/>
      <c r="R189" s="19">
        <f t="shared" si="54"/>
        <v>4.6905037319324549E-6</v>
      </c>
      <c r="S189" s="2"/>
      <c r="T189" s="2">
        <v>1614.32</v>
      </c>
      <c r="U189" s="2"/>
      <c r="V189" s="19">
        <f t="shared" si="55"/>
        <v>5.6373317557557924E-5</v>
      </c>
      <c r="W189" s="2"/>
      <c r="X189" s="2">
        <f t="shared" si="56"/>
        <v>-1566.1799999999998</v>
      </c>
      <c r="Y189" s="2"/>
      <c r="Z189" s="19">
        <f t="shared" si="57"/>
        <v>-0.9701793944199415</v>
      </c>
    </row>
    <row r="190" spans="1:26" s="23" customFormat="1" hidden="1" outlineLevel="1" x14ac:dyDescent="0.25">
      <c r="A190" s="44"/>
      <c r="B190" s="10" t="str">
        <f>CONCATENATE("          ", "5526", " - ", "FREIGHT-IN-WRITING INSTRUMENTS")</f>
        <v xml:space="preserve">          5526 - FREIGHT-IN-WRITING INSTRUMENTS</v>
      </c>
      <c r="C190" s="10"/>
      <c r="D190" s="2"/>
      <c r="E190" s="2"/>
      <c r="F190" s="19">
        <f t="shared" si="50"/>
        <v>0</v>
      </c>
      <c r="G190" s="2"/>
      <c r="H190" s="2"/>
      <c r="I190" s="2"/>
      <c r="J190" s="19">
        <f t="shared" si="51"/>
        <v>0</v>
      </c>
      <c r="K190" s="2"/>
      <c r="L190" s="2">
        <f t="shared" si="52"/>
        <v>0</v>
      </c>
      <c r="M190" s="2"/>
      <c r="N190" s="19">
        <f t="shared" si="53"/>
        <v>0</v>
      </c>
      <c r="O190" s="10"/>
      <c r="P190" s="2">
        <v>0</v>
      </c>
      <c r="Q190" s="2"/>
      <c r="R190" s="19">
        <f t="shared" si="54"/>
        <v>0</v>
      </c>
      <c r="S190" s="2"/>
      <c r="T190" s="2">
        <v>274.5</v>
      </c>
      <c r="U190" s="2"/>
      <c r="V190" s="19">
        <f t="shared" si="55"/>
        <v>9.5857547881149039E-6</v>
      </c>
      <c r="W190" s="2"/>
      <c r="X190" s="2">
        <f t="shared" si="56"/>
        <v>-274.5</v>
      </c>
      <c r="Y190" s="2"/>
      <c r="Z190" s="19">
        <f t="shared" si="57"/>
        <v>-1</v>
      </c>
    </row>
    <row r="191" spans="1:26" s="23" customFormat="1" hidden="1" outlineLevel="1" x14ac:dyDescent="0.25">
      <c r="A191" s="44"/>
      <c r="B191" s="10" t="str">
        <f>CONCATENATE("          ", "5527", " - ", "FREIGHT-IN-SCHOOL SUPPLIES")</f>
        <v xml:space="preserve">          5527 - FREIGHT-IN-SCHOOL SUPPLIES</v>
      </c>
      <c r="C191" s="10"/>
      <c r="D191" s="2">
        <v>58.29</v>
      </c>
      <c r="E191" s="2"/>
      <c r="F191" s="19">
        <f t="shared" si="50"/>
        <v>1.2924579017148849E-4</v>
      </c>
      <c r="G191" s="2"/>
      <c r="H191" s="2"/>
      <c r="I191" s="2"/>
      <c r="J191" s="19">
        <f t="shared" si="51"/>
        <v>0</v>
      </c>
      <c r="K191" s="2"/>
      <c r="L191" s="2">
        <f t="shared" si="52"/>
        <v>58.29</v>
      </c>
      <c r="M191" s="2"/>
      <c r="N191" s="19">
        <f t="shared" si="53"/>
        <v>0</v>
      </c>
      <c r="O191" s="10"/>
      <c r="P191" s="2">
        <v>276.91000000000003</v>
      </c>
      <c r="Q191" s="2"/>
      <c r="R191" s="19">
        <f t="shared" si="54"/>
        <v>2.6980627096165688E-5</v>
      </c>
      <c r="S191" s="2"/>
      <c r="T191" s="2">
        <v>1808</v>
      </c>
      <c r="U191" s="2"/>
      <c r="V191" s="19">
        <f t="shared" si="55"/>
        <v>6.3136774706418021E-5</v>
      </c>
      <c r="W191" s="2"/>
      <c r="X191" s="2">
        <f t="shared" si="56"/>
        <v>-1531.09</v>
      </c>
      <c r="Y191" s="2"/>
      <c r="Z191" s="19">
        <f t="shared" si="57"/>
        <v>-0.84684181415929194</v>
      </c>
    </row>
    <row r="192" spans="1:26" s="23" customFormat="1" hidden="1" outlineLevel="1" x14ac:dyDescent="0.25">
      <c r="A192" s="44"/>
      <c r="B192" s="10" t="str">
        <f>CONCATENATE("          ", "5528", " - ", "FREIGHT-IN-ART/TECH")</f>
        <v xml:space="preserve">          5528 - FREIGHT-IN-ART/TECH</v>
      </c>
      <c r="C192" s="10"/>
      <c r="D192" s="2">
        <v>102.68</v>
      </c>
      <c r="E192" s="2"/>
      <c r="F192" s="19">
        <f t="shared" si="50"/>
        <v>2.2767125981829539E-4</v>
      </c>
      <c r="G192" s="2"/>
      <c r="H192" s="2">
        <v>13.33</v>
      </c>
      <c r="I192" s="2"/>
      <c r="J192" s="19">
        <f t="shared" si="51"/>
        <v>2.2686579844745518E-5</v>
      </c>
      <c r="K192" s="2"/>
      <c r="L192" s="2">
        <f t="shared" si="52"/>
        <v>89.350000000000009</v>
      </c>
      <c r="M192" s="2"/>
      <c r="N192" s="19">
        <f t="shared" si="53"/>
        <v>6.7029257314328587</v>
      </c>
      <c r="O192" s="10"/>
      <c r="P192" s="2">
        <v>675.64</v>
      </c>
      <c r="Q192" s="2"/>
      <c r="R192" s="19">
        <f t="shared" si="54"/>
        <v>6.5830742447919481E-5</v>
      </c>
      <c r="S192" s="2"/>
      <c r="T192" s="2">
        <v>2837.7</v>
      </c>
      <c r="U192" s="2"/>
      <c r="V192" s="19">
        <f t="shared" si="55"/>
        <v>9.9094704416151776E-5</v>
      </c>
      <c r="W192" s="2"/>
      <c r="X192" s="2">
        <f t="shared" si="56"/>
        <v>-2162.06</v>
      </c>
      <c r="Y192" s="2"/>
      <c r="Z192" s="19">
        <f t="shared" si="57"/>
        <v>-0.76190576875638727</v>
      </c>
    </row>
    <row r="193" spans="1:26" s="23" customFormat="1" hidden="1" outlineLevel="1" x14ac:dyDescent="0.25">
      <c r="A193" s="44"/>
      <c r="B193" s="10" t="str">
        <f>CONCATENATE("          ", "5540", " - ", "FREIGHT-IN-LOGO CLOTHING")</f>
        <v xml:space="preserve">          5540 - FREIGHT-IN-LOGO CLOTHING</v>
      </c>
      <c r="C193" s="10"/>
      <c r="D193" s="2">
        <v>1384.09</v>
      </c>
      <c r="E193" s="2"/>
      <c r="F193" s="19">
        <f t="shared" si="50"/>
        <v>3.0689278730220535E-3</v>
      </c>
      <c r="G193" s="2"/>
      <c r="H193" s="2">
        <v>29.98</v>
      </c>
      <c r="I193" s="2"/>
      <c r="J193" s="19">
        <f t="shared" si="51"/>
        <v>5.1023530663576194E-5</v>
      </c>
      <c r="K193" s="2"/>
      <c r="L193" s="2">
        <f t="shared" si="52"/>
        <v>1354.11</v>
      </c>
      <c r="M193" s="2"/>
      <c r="N193" s="19">
        <f t="shared" si="53"/>
        <v>45.167111407605063</v>
      </c>
      <c r="O193" s="10"/>
      <c r="P193" s="2">
        <v>11883.79</v>
      </c>
      <c r="Q193" s="2"/>
      <c r="R193" s="19">
        <f t="shared" si="54"/>
        <v>1.15789284055882E-3</v>
      </c>
      <c r="S193" s="2"/>
      <c r="T193" s="2">
        <v>32548.98</v>
      </c>
      <c r="U193" s="2"/>
      <c r="V193" s="19">
        <f t="shared" si="55"/>
        <v>1.1366358502122268E-3</v>
      </c>
      <c r="W193" s="2"/>
      <c r="X193" s="2">
        <f t="shared" si="56"/>
        <v>-20665.189999999999</v>
      </c>
      <c r="Y193" s="2"/>
      <c r="Z193" s="19">
        <f t="shared" si="57"/>
        <v>-0.63489516414953706</v>
      </c>
    </row>
    <row r="194" spans="1:26" s="23" customFormat="1" hidden="1" outlineLevel="1" x14ac:dyDescent="0.25">
      <c r="A194" s="44"/>
      <c r="B194" s="10" t="str">
        <f>CONCATENATE("          ", "5541", " - ", "FREIGHT-IN-LOGO GIFTS")</f>
        <v xml:space="preserve">          5541 - FREIGHT-IN-LOGO GIFTS</v>
      </c>
      <c r="C194" s="10"/>
      <c r="D194" s="2">
        <v>1606.81</v>
      </c>
      <c r="E194" s="2"/>
      <c r="F194" s="19">
        <f t="shared" si="50"/>
        <v>3.5627625339758003E-3</v>
      </c>
      <c r="G194" s="2"/>
      <c r="H194" s="2">
        <v>348.31</v>
      </c>
      <c r="I194" s="2"/>
      <c r="J194" s="19">
        <f t="shared" si="51"/>
        <v>5.927953957781929E-4</v>
      </c>
      <c r="K194" s="2"/>
      <c r="L194" s="2">
        <f t="shared" si="52"/>
        <v>1258.5</v>
      </c>
      <c r="M194" s="2"/>
      <c r="N194" s="19">
        <f t="shared" si="53"/>
        <v>3.6131606901897735</v>
      </c>
      <c r="O194" s="10"/>
      <c r="P194" s="2">
        <v>7584.01</v>
      </c>
      <c r="Q194" s="2"/>
      <c r="R194" s="19">
        <f t="shared" si="54"/>
        <v>7.3894530968037094E-4</v>
      </c>
      <c r="S194" s="2"/>
      <c r="T194" s="2">
        <v>5574.41</v>
      </c>
      <c r="U194" s="2"/>
      <c r="V194" s="19">
        <f t="shared" si="55"/>
        <v>1.9466275901062149E-4</v>
      </c>
      <c r="W194" s="2"/>
      <c r="X194" s="2">
        <f t="shared" si="56"/>
        <v>2009.6000000000004</v>
      </c>
      <c r="Y194" s="2"/>
      <c r="Z194" s="19">
        <f t="shared" si="57"/>
        <v>0.36050451976083575</v>
      </c>
    </row>
    <row r="195" spans="1:26" s="23" customFormat="1" hidden="1" outlineLevel="1" x14ac:dyDescent="0.25">
      <c r="A195" s="44"/>
      <c r="B195" s="10" t="str">
        <f>CONCATENATE("          ", "5542", " - ", "FREIGHT-IN-EVERYDAY GIFTS")</f>
        <v xml:space="preserve">          5542 - FREIGHT-IN-EVERYDAY GIFTS</v>
      </c>
      <c r="C195" s="10"/>
      <c r="D195" s="2"/>
      <c r="E195" s="2"/>
      <c r="F195" s="19">
        <f t="shared" si="50"/>
        <v>0</v>
      </c>
      <c r="G195" s="2"/>
      <c r="H195" s="2"/>
      <c r="I195" s="2"/>
      <c r="J195" s="19">
        <f t="shared" si="51"/>
        <v>0</v>
      </c>
      <c r="K195" s="2"/>
      <c r="L195" s="2">
        <f t="shared" si="52"/>
        <v>0</v>
      </c>
      <c r="M195" s="2"/>
      <c r="N195" s="19">
        <f t="shared" si="53"/>
        <v>0</v>
      </c>
      <c r="O195" s="10"/>
      <c r="P195" s="2">
        <v>681.72</v>
      </c>
      <c r="Q195" s="2"/>
      <c r="R195" s="19">
        <f t="shared" si="54"/>
        <v>6.6423145079621803E-5</v>
      </c>
      <c r="S195" s="2"/>
      <c r="T195" s="2">
        <v>2223.5100000000002</v>
      </c>
      <c r="U195" s="2"/>
      <c r="V195" s="19">
        <f t="shared" si="55"/>
        <v>7.7646709030678945E-5</v>
      </c>
      <c r="W195" s="2"/>
      <c r="X195" s="2">
        <f t="shared" si="56"/>
        <v>-1541.7900000000002</v>
      </c>
      <c r="Y195" s="2"/>
      <c r="Z195" s="19">
        <f t="shared" si="57"/>
        <v>-0.69340367257174473</v>
      </c>
    </row>
    <row r="196" spans="1:26" s="23" customFormat="1" hidden="1" outlineLevel="1" x14ac:dyDescent="0.25">
      <c r="A196" s="44"/>
      <c r="B196" s="10" t="str">
        <f>CONCATENATE("          ", "5543", " - ", "FREIGHT-IN-CARDS")</f>
        <v xml:space="preserve">          5543 - FREIGHT-IN-CARDS</v>
      </c>
      <c r="C196" s="10"/>
      <c r="D196" s="2"/>
      <c r="E196" s="2"/>
      <c r="F196" s="19">
        <f t="shared" si="50"/>
        <v>0</v>
      </c>
      <c r="G196" s="2"/>
      <c r="H196" s="2"/>
      <c r="I196" s="2"/>
      <c r="J196" s="19">
        <f t="shared" si="51"/>
        <v>0</v>
      </c>
      <c r="K196" s="2"/>
      <c r="L196" s="2">
        <f t="shared" si="52"/>
        <v>0</v>
      </c>
      <c r="M196" s="2"/>
      <c r="N196" s="19">
        <f t="shared" si="53"/>
        <v>0</v>
      </c>
      <c r="O196" s="10"/>
      <c r="P196" s="2">
        <v>9110.5300000000007</v>
      </c>
      <c r="Q196" s="2"/>
      <c r="R196" s="19">
        <f t="shared" si="54"/>
        <v>8.8768124148073523E-4</v>
      </c>
      <c r="S196" s="2"/>
      <c r="T196" s="2">
        <v>2926.76</v>
      </c>
      <c r="U196" s="2"/>
      <c r="V196" s="19">
        <f t="shared" si="55"/>
        <v>1.022047493029624E-4</v>
      </c>
      <c r="W196" s="2"/>
      <c r="X196" s="2">
        <f t="shared" si="56"/>
        <v>6183.77</v>
      </c>
      <c r="Y196" s="2"/>
      <c r="Z196" s="19">
        <f t="shared" si="57"/>
        <v>2.112838087168063</v>
      </c>
    </row>
    <row r="197" spans="1:26" s="23" customFormat="1" hidden="1" outlineLevel="1" x14ac:dyDescent="0.25">
      <c r="A197" s="44"/>
      <c r="B197" s="10" t="str">
        <f>CONCATENATE("          ", "5544", " - ", "FREIGHT-IN-ACCESSORIES")</f>
        <v xml:space="preserve">          5544 - FREIGHT-IN-ACCESSORIES</v>
      </c>
      <c r="C197" s="10"/>
      <c r="D197" s="2">
        <v>48.59</v>
      </c>
      <c r="E197" s="2"/>
      <c r="F197" s="19">
        <f t="shared" si="50"/>
        <v>1.0773808448160278E-4</v>
      </c>
      <c r="G197" s="2"/>
      <c r="H197" s="2"/>
      <c r="I197" s="2"/>
      <c r="J197" s="19">
        <f t="shared" si="51"/>
        <v>0</v>
      </c>
      <c r="K197" s="2"/>
      <c r="L197" s="2">
        <f t="shared" si="52"/>
        <v>48.59</v>
      </c>
      <c r="M197" s="2"/>
      <c r="N197" s="19">
        <f t="shared" si="53"/>
        <v>0</v>
      </c>
      <c r="O197" s="10"/>
      <c r="P197" s="2">
        <v>48.59</v>
      </c>
      <c r="Q197" s="2"/>
      <c r="R197" s="19">
        <f t="shared" si="54"/>
        <v>4.7343493214498958E-6</v>
      </c>
      <c r="S197" s="2"/>
      <c r="T197" s="2">
        <v>483.44</v>
      </c>
      <c r="U197" s="2"/>
      <c r="V197" s="19">
        <f t="shared" si="55"/>
        <v>1.6882103077472747E-5</v>
      </c>
      <c r="W197" s="2"/>
      <c r="X197" s="2">
        <f t="shared" si="56"/>
        <v>-434.85</v>
      </c>
      <c r="Y197" s="2"/>
      <c r="Z197" s="19">
        <f t="shared" si="57"/>
        <v>-0.89949114678139996</v>
      </c>
    </row>
    <row r="198" spans="1:26" s="23" customFormat="1" hidden="1" outlineLevel="1" x14ac:dyDescent="0.25">
      <c r="A198" s="44"/>
      <c r="B198" s="10" t="str">
        <f>CONCATENATE("          ", "5545", " - ", "FREIGHT-IN-SPECIAL ORDERS")</f>
        <v xml:space="preserve">          5545 - FREIGHT-IN-SPECIAL ORDERS</v>
      </c>
      <c r="C198" s="10"/>
      <c r="D198" s="2">
        <v>90.41</v>
      </c>
      <c r="E198" s="2"/>
      <c r="F198" s="19">
        <f t="shared" si="50"/>
        <v>2.0046512076521314E-4</v>
      </c>
      <c r="G198" s="2"/>
      <c r="H198" s="2">
        <v>355.3</v>
      </c>
      <c r="I198" s="2"/>
      <c r="J198" s="19">
        <f t="shared" si="51"/>
        <v>6.0469180936519745E-4</v>
      </c>
      <c r="K198" s="2"/>
      <c r="L198" s="2">
        <f t="shared" si="52"/>
        <v>-264.89</v>
      </c>
      <c r="M198" s="2"/>
      <c r="N198" s="19">
        <f t="shared" si="53"/>
        <v>-0.74553898114269623</v>
      </c>
      <c r="O198" s="10"/>
      <c r="P198" s="2">
        <v>2559.0700000000002</v>
      </c>
      <c r="Q198" s="2"/>
      <c r="R198" s="19">
        <f t="shared" si="54"/>
        <v>2.4934207281421662E-4</v>
      </c>
      <c r="S198" s="2"/>
      <c r="T198" s="2">
        <v>1420.62</v>
      </c>
      <c r="U198" s="2"/>
      <c r="V198" s="19">
        <f t="shared" si="55"/>
        <v>4.960916199304843E-5</v>
      </c>
      <c r="W198" s="2"/>
      <c r="X198" s="2">
        <f t="shared" si="56"/>
        <v>1138.4500000000003</v>
      </c>
      <c r="Y198" s="2"/>
      <c r="Z198" s="19">
        <f t="shared" si="57"/>
        <v>0.80137545578691016</v>
      </c>
    </row>
    <row r="199" spans="1:26" s="23" customFormat="1" hidden="1" outlineLevel="1" x14ac:dyDescent="0.25">
      <c r="A199" s="44"/>
      <c r="B199" s="10" t="str">
        <f>CONCATENATE("          ", "5581", " - ", "FREIGHT-IN-ELECTRONICS")</f>
        <v xml:space="preserve">          5581 - FREIGHT-IN-ELECTRONICS</v>
      </c>
      <c r="C199" s="10"/>
      <c r="D199" s="2">
        <v>0</v>
      </c>
      <c r="E199" s="2"/>
      <c r="F199" s="19">
        <f t="shared" si="50"/>
        <v>0</v>
      </c>
      <c r="G199" s="2"/>
      <c r="H199" s="2"/>
      <c r="I199" s="2"/>
      <c r="J199" s="19">
        <f t="shared" si="51"/>
        <v>0</v>
      </c>
      <c r="K199" s="2"/>
      <c r="L199" s="2">
        <f t="shared" si="52"/>
        <v>0</v>
      </c>
      <c r="M199" s="2"/>
      <c r="N199" s="19">
        <f t="shared" si="53"/>
        <v>0</v>
      </c>
      <c r="O199" s="10"/>
      <c r="P199" s="2">
        <v>31</v>
      </c>
      <c r="Q199" s="2"/>
      <c r="R199" s="19">
        <f t="shared" si="54"/>
        <v>3.0204739445348171E-6</v>
      </c>
      <c r="S199" s="2"/>
      <c r="T199" s="2">
        <v>137</v>
      </c>
      <c r="U199" s="2"/>
      <c r="V199" s="19">
        <f t="shared" si="55"/>
        <v>4.7841471984398608E-6</v>
      </c>
      <c r="W199" s="2"/>
      <c r="X199" s="2">
        <f t="shared" si="56"/>
        <v>-106</v>
      </c>
      <c r="Y199" s="2"/>
      <c r="Z199" s="19">
        <f t="shared" si="57"/>
        <v>-0.77372262773722633</v>
      </c>
    </row>
    <row r="200" spans="1:26" s="23" customFormat="1" hidden="1" outlineLevel="1" x14ac:dyDescent="0.25">
      <c r="A200" s="44"/>
      <c r="B200" s="10" t="str">
        <f>CONCATENATE("          ", "5582", " - ", "FREIGHT-IN-COMPUTER HARDWARE")</f>
        <v xml:space="preserve">          5582 - FREIGHT-IN-COMPUTER HARDWARE</v>
      </c>
      <c r="C200" s="10"/>
      <c r="D200" s="2"/>
      <c r="E200" s="2"/>
      <c r="F200" s="19">
        <f t="shared" si="50"/>
        <v>0</v>
      </c>
      <c r="G200" s="2"/>
      <c r="H200" s="2"/>
      <c r="I200" s="2"/>
      <c r="J200" s="19">
        <f t="shared" si="51"/>
        <v>0</v>
      </c>
      <c r="K200" s="2"/>
      <c r="L200" s="2">
        <f t="shared" si="52"/>
        <v>0</v>
      </c>
      <c r="M200" s="2"/>
      <c r="N200" s="19">
        <f t="shared" si="53"/>
        <v>0</v>
      </c>
      <c r="O200" s="10"/>
      <c r="P200" s="2">
        <v>145</v>
      </c>
      <c r="Q200" s="2"/>
      <c r="R200" s="19">
        <f t="shared" si="54"/>
        <v>1.4128023288953178E-5</v>
      </c>
      <c r="S200" s="2"/>
      <c r="T200" s="2">
        <v>154.30000000000001</v>
      </c>
      <c r="U200" s="2"/>
      <c r="V200" s="19">
        <f t="shared" si="55"/>
        <v>5.3882767351771575E-6</v>
      </c>
      <c r="W200" s="2"/>
      <c r="X200" s="2">
        <f t="shared" si="56"/>
        <v>-9.3000000000000114</v>
      </c>
      <c r="Y200" s="2"/>
      <c r="Z200" s="19">
        <f t="shared" si="57"/>
        <v>-6.0272197018794625E-2</v>
      </c>
    </row>
    <row r="201" spans="1:26" s="23" customFormat="1" hidden="1" outlineLevel="1" x14ac:dyDescent="0.25">
      <c r="A201" s="44"/>
      <c r="B201" s="10" t="str">
        <f>CONCATENATE("          ", "5583", " - ", "FREIGHT-IN-COMPUTER EQUIPMENT")</f>
        <v xml:space="preserve">          5583 - FREIGHT-IN-COMPUTER EQUIPMENT</v>
      </c>
      <c r="C201" s="10"/>
      <c r="D201" s="2"/>
      <c r="E201" s="2"/>
      <c r="F201" s="19">
        <f t="shared" si="50"/>
        <v>0</v>
      </c>
      <c r="G201" s="2"/>
      <c r="H201" s="2"/>
      <c r="I201" s="2"/>
      <c r="J201" s="19">
        <f t="shared" si="51"/>
        <v>0</v>
      </c>
      <c r="K201" s="2"/>
      <c r="L201" s="2">
        <f t="shared" si="52"/>
        <v>0</v>
      </c>
      <c r="M201" s="2"/>
      <c r="N201" s="19">
        <f t="shared" si="53"/>
        <v>0</v>
      </c>
      <c r="O201" s="10"/>
      <c r="P201" s="2">
        <v>242.46</v>
      </c>
      <c r="Q201" s="2"/>
      <c r="R201" s="19">
        <f t="shared" si="54"/>
        <v>2.3624003631997155E-5</v>
      </c>
      <c r="S201" s="2"/>
      <c r="T201" s="2">
        <v>96.55</v>
      </c>
      <c r="U201" s="2"/>
      <c r="V201" s="19">
        <f t="shared" si="55"/>
        <v>3.3716015475136389E-6</v>
      </c>
      <c r="W201" s="2"/>
      <c r="X201" s="2">
        <f t="shared" si="56"/>
        <v>145.91000000000003</v>
      </c>
      <c r="Y201" s="2"/>
      <c r="Z201" s="19">
        <f t="shared" si="57"/>
        <v>1.5112377006732267</v>
      </c>
    </row>
    <row r="202" spans="1:26" s="23" customFormat="1" hidden="1" outlineLevel="1" x14ac:dyDescent="0.25">
      <c r="A202" s="44"/>
      <c r="B202" s="10" t="str">
        <f>CONCATENATE("          ", "5585", " - ", "FREIGHT-IN-SOFTWARE")</f>
        <v xml:space="preserve">          5585 - FREIGHT-IN-SOFTWARE</v>
      </c>
      <c r="C202" s="10"/>
      <c r="D202" s="2"/>
      <c r="E202" s="2"/>
      <c r="F202" s="19">
        <f t="shared" si="50"/>
        <v>0</v>
      </c>
      <c r="G202" s="2"/>
      <c r="H202" s="2"/>
      <c r="I202" s="2"/>
      <c r="J202" s="19">
        <f t="shared" si="51"/>
        <v>0</v>
      </c>
      <c r="K202" s="2"/>
      <c r="L202" s="2">
        <f t="shared" si="52"/>
        <v>0</v>
      </c>
      <c r="M202" s="2"/>
      <c r="N202" s="19">
        <f t="shared" si="53"/>
        <v>0</v>
      </c>
      <c r="O202" s="10"/>
      <c r="P202" s="2">
        <v>9.41</v>
      </c>
      <c r="Q202" s="2"/>
      <c r="R202" s="19">
        <f t="shared" si="54"/>
        <v>9.1685999413137523E-7</v>
      </c>
      <c r="S202" s="2"/>
      <c r="T202" s="2">
        <v>10</v>
      </c>
      <c r="U202" s="2"/>
      <c r="V202" s="19">
        <f t="shared" si="55"/>
        <v>3.4920782470363946E-7</v>
      </c>
      <c r="W202" s="2"/>
      <c r="X202" s="2">
        <f t="shared" si="56"/>
        <v>-0.58999999999999986</v>
      </c>
      <c r="Y202" s="2"/>
      <c r="Z202" s="19">
        <f t="shared" si="57"/>
        <v>-5.8999999999999983E-2</v>
      </c>
    </row>
    <row r="203" spans="1:26" s="23" customFormat="1" hidden="1" outlineLevel="1" x14ac:dyDescent="0.25">
      <c r="A203" s="44"/>
      <c r="B203" s="10" t="str">
        <f>CONCATENATE("          ", "5586", " - ", "FREIGHT-IN-COMPUTER SUPPLIES")</f>
        <v xml:space="preserve">          5586 - FREIGHT-IN-COMPUTER SUPPLIES</v>
      </c>
      <c r="C203" s="10"/>
      <c r="D203" s="2"/>
      <c r="E203" s="2"/>
      <c r="F203" s="19">
        <f t="shared" si="50"/>
        <v>0</v>
      </c>
      <c r="G203" s="2"/>
      <c r="H203" s="2"/>
      <c r="I203" s="2"/>
      <c r="J203" s="19">
        <f t="shared" si="51"/>
        <v>0</v>
      </c>
      <c r="K203" s="2"/>
      <c r="L203" s="2">
        <f t="shared" si="52"/>
        <v>0</v>
      </c>
      <c r="M203" s="2"/>
      <c r="N203" s="19">
        <f t="shared" si="53"/>
        <v>0</v>
      </c>
      <c r="O203" s="10"/>
      <c r="P203" s="2">
        <v>24.12</v>
      </c>
      <c r="Q203" s="2"/>
      <c r="R203" s="19">
        <f t="shared" si="54"/>
        <v>2.350123598134832E-6</v>
      </c>
      <c r="S203" s="2"/>
      <c r="T203" s="2">
        <v>301.27</v>
      </c>
      <c r="U203" s="2"/>
      <c r="V203" s="19">
        <f t="shared" si="55"/>
        <v>1.0520584134846546E-5</v>
      </c>
      <c r="W203" s="2"/>
      <c r="X203" s="2">
        <f t="shared" si="56"/>
        <v>-277.14999999999998</v>
      </c>
      <c r="Y203" s="2"/>
      <c r="Z203" s="19">
        <f t="shared" si="57"/>
        <v>-0.91993892521658316</v>
      </c>
    </row>
    <row r="204" spans="1:26" s="23" customFormat="1" hidden="1" outlineLevel="1" x14ac:dyDescent="0.25">
      <c r="A204" s="44"/>
      <c r="B204" s="10" t="str">
        <f>CONCATENATE("          ", "5592", " - ", "FREIGHT-IN-GRAD MERCH")</f>
        <v xml:space="preserve">          5592 - FREIGHT-IN-GRAD MERCH</v>
      </c>
      <c r="C204" s="10"/>
      <c r="D204" s="2"/>
      <c r="E204" s="2"/>
      <c r="F204" s="19">
        <f t="shared" si="50"/>
        <v>0</v>
      </c>
      <c r="G204" s="2"/>
      <c r="H204" s="2">
        <v>10.83</v>
      </c>
      <c r="I204" s="2"/>
      <c r="J204" s="19">
        <f t="shared" si="51"/>
        <v>1.8431782424500671E-5</v>
      </c>
      <c r="K204" s="2"/>
      <c r="L204" s="2">
        <f t="shared" si="52"/>
        <v>-10.83</v>
      </c>
      <c r="M204" s="2"/>
      <c r="N204" s="19">
        <f t="shared" si="53"/>
        <v>-1</v>
      </c>
      <c r="O204" s="10"/>
      <c r="P204" s="2">
        <v>0</v>
      </c>
      <c r="Q204" s="2"/>
      <c r="R204" s="19">
        <f t="shared" si="54"/>
        <v>0</v>
      </c>
      <c r="S204" s="2"/>
      <c r="T204" s="2">
        <v>170.88</v>
      </c>
      <c r="U204" s="2"/>
      <c r="V204" s="19">
        <f t="shared" si="55"/>
        <v>5.9672633085357914E-6</v>
      </c>
      <c r="W204" s="2"/>
      <c r="X204" s="2">
        <f t="shared" si="56"/>
        <v>-170.88</v>
      </c>
      <c r="Y204" s="2"/>
      <c r="Z204" s="19">
        <f t="shared" si="57"/>
        <v>-1</v>
      </c>
    </row>
    <row r="205" spans="1:26" x14ac:dyDescent="0.25">
      <c r="A205" s="9"/>
      <c r="B205" s="11"/>
      <c r="C205" s="11"/>
      <c r="D205" s="3"/>
      <c r="E205" s="3"/>
      <c r="F205" s="8"/>
      <c r="G205" s="3"/>
      <c r="H205" s="3"/>
      <c r="I205" s="3"/>
      <c r="J205" s="8"/>
      <c r="K205" s="3"/>
      <c r="L205" s="3"/>
      <c r="M205" s="3"/>
      <c r="N205" s="8"/>
      <c r="O205" s="11"/>
      <c r="P205" s="3"/>
      <c r="Q205" s="3"/>
      <c r="R205" s="8"/>
      <c r="S205" s="3"/>
      <c r="T205" s="3"/>
      <c r="U205" s="3"/>
      <c r="V205" s="8"/>
      <c r="W205" s="3"/>
      <c r="X205" s="3"/>
      <c r="Y205" s="3"/>
      <c r="Z205" s="8"/>
    </row>
    <row r="206" spans="1:26" s="24" customFormat="1" x14ac:dyDescent="0.25">
      <c r="A206" s="11"/>
      <c r="B206" s="28" t="s">
        <v>107</v>
      </c>
      <c r="C206" s="28"/>
      <c r="D206" s="21">
        <f>D12-D143</f>
        <v>133226.80000000005</v>
      </c>
      <c r="E206" s="14"/>
      <c r="F206" s="22">
        <f>IF(D$12=0,0,D206/D$12)</f>
        <v>0.29540235096961515</v>
      </c>
      <c r="G206" s="14"/>
      <c r="H206" s="21">
        <f>H12-H143</f>
        <v>-58153.040000000386</v>
      </c>
      <c r="I206" s="14"/>
      <c r="J206" s="22">
        <f>IF(H$12=0,0,H206/H$12)</f>
        <v>-9.8971761828558782E-2</v>
      </c>
      <c r="K206" s="15"/>
      <c r="L206" s="21">
        <f>+D206-H206</f>
        <v>191379.84000000043</v>
      </c>
      <c r="M206" s="15"/>
      <c r="N206" s="22">
        <f>IF(H206=0,0,L206/H206)</f>
        <v>-3.2909687954404303</v>
      </c>
      <c r="O206" s="29"/>
      <c r="P206" s="21">
        <f>P12-P143</f>
        <v>3975018.7299999977</v>
      </c>
      <c r="Q206" s="14"/>
      <c r="R206" s="22">
        <f>IF(P$12=0,0,P206/P$12)</f>
        <v>0.3873045323549314</v>
      </c>
      <c r="S206" s="14"/>
      <c r="T206" s="21">
        <f>T12-T143</f>
        <v>15547747.179999983</v>
      </c>
      <c r="U206" s="14"/>
      <c r="V206" s="22">
        <f>IF(T$12=0,0,T206/T$12)</f>
        <v>0.54293949717699397</v>
      </c>
      <c r="W206" s="15"/>
      <c r="X206" s="21">
        <f>+P206-T206</f>
        <v>-11572728.449999984</v>
      </c>
      <c r="Y206" s="15"/>
      <c r="Z206" s="22">
        <f>IF(T206=0,0,X206/T206)</f>
        <v>-0.74433474612236372</v>
      </c>
    </row>
    <row r="207" spans="1:26" x14ac:dyDescent="0.25">
      <c r="A207" s="9"/>
      <c r="B207" s="11"/>
      <c r="C207" s="9"/>
      <c r="D207" s="1"/>
      <c r="E207" s="1"/>
      <c r="F207" s="5"/>
      <c r="G207" s="1"/>
      <c r="H207" s="1"/>
      <c r="I207" s="1"/>
      <c r="J207" s="5"/>
      <c r="K207" s="1"/>
      <c r="L207" s="1"/>
      <c r="M207" s="1"/>
      <c r="N207" s="5"/>
      <c r="O207" s="37"/>
      <c r="P207" s="1"/>
      <c r="Q207" s="1"/>
      <c r="R207" s="5"/>
      <c r="S207" s="1"/>
      <c r="T207" s="1"/>
      <c r="U207" s="1"/>
      <c r="V207" s="5"/>
      <c r="W207" s="1"/>
      <c r="X207" s="1"/>
      <c r="Y207" s="1"/>
      <c r="Z207" s="5"/>
    </row>
    <row r="208" spans="1:26" s="24" customFormat="1" x14ac:dyDescent="0.25">
      <c r="A208" s="11"/>
      <c r="B208" s="29" t="s">
        <v>294</v>
      </c>
      <c r="C208" s="11"/>
      <c r="D208" s="20">
        <f>SUM(OSRRefD22x_0)</f>
        <v>631927.34000000008</v>
      </c>
      <c r="E208" s="20"/>
      <c r="F208" s="32">
        <f t="shared" ref="F208:F219" si="58">IF(D$12=0,0,D208/D$12)</f>
        <v>1.4011656954754996</v>
      </c>
      <c r="G208" s="20"/>
      <c r="H208" s="20">
        <f>SUM(OSRRefH22x_0)</f>
        <v>660480.73</v>
      </c>
      <c r="I208" s="20"/>
      <c r="J208" s="32">
        <f t="shared" ref="J208:J219" si="59">IF(H$12=0,0,H208/H$12)</f>
        <v>1.1240846824501729</v>
      </c>
      <c r="K208" s="4"/>
      <c r="L208" s="20">
        <f t="shared" ref="L208:L219" si="60">+D208-H208</f>
        <v>-28553.389999999898</v>
      </c>
      <c r="M208" s="4"/>
      <c r="N208" s="32">
        <f t="shared" ref="N208:N219" si="61">IF(H208=0,0,L208/H208)</f>
        <v>-4.3231223415102354E-2</v>
      </c>
      <c r="O208" s="11"/>
      <c r="P208" s="20">
        <f>SUM(OSRRefP22x_0)</f>
        <v>8021775.0299999965</v>
      </c>
      <c r="Q208" s="20"/>
      <c r="R208" s="32">
        <f t="shared" ref="R208:R219" si="62">IF(P$12=0,0,P208/P$12)</f>
        <v>0.78159878925919324</v>
      </c>
      <c r="S208" s="20"/>
      <c r="T208" s="20">
        <f>SUM(OSRRefT22x_0)</f>
        <v>15712022.289999997</v>
      </c>
      <c r="U208" s="20"/>
      <c r="V208" s="32">
        <f t="shared" ref="V208:V219" si="63">IF(T$12=0,0,T208/T$12)</f>
        <v>0.54867611255859949</v>
      </c>
      <c r="W208" s="4"/>
      <c r="X208" s="20">
        <f t="shared" ref="X208:X219" si="64">+P208-T208</f>
        <v>-7690247.2600000007</v>
      </c>
      <c r="Y208" s="4"/>
      <c r="Z208" s="32">
        <f t="shared" ref="Z208:Z219" si="65">IF(T208=0,0,X208/T208)</f>
        <v>-0.48944986953681324</v>
      </c>
    </row>
    <row r="209" spans="1:26" s="27" customFormat="1" outlineLevel="1" collapsed="1" x14ac:dyDescent="0.25">
      <c r="A209" s="26"/>
      <c r="B209" s="12" t="str">
        <f>CONCATENATE("     ","*Benefits                                         ")</f>
        <v xml:space="preserve">     *Benefits                                         </v>
      </c>
      <c r="C209" s="12"/>
      <c r="D209" s="1">
        <f>SUM(OSRRefD22_0x_0)</f>
        <v>157493.65</v>
      </c>
      <c r="E209" s="1"/>
      <c r="F209" s="5">
        <f t="shared" si="58"/>
        <v>0.34920897651813082</v>
      </c>
      <c r="G209" s="1"/>
      <c r="H209" s="1">
        <f>SUM(OSRRefH22_0x_0)</f>
        <v>124944.91999999998</v>
      </c>
      <c r="I209" s="1"/>
      <c r="J209" s="5">
        <f t="shared" si="59"/>
        <v>0.21264612931547944</v>
      </c>
      <c r="K209" s="1"/>
      <c r="L209" s="1">
        <f t="shared" si="60"/>
        <v>32548.73000000001</v>
      </c>
      <c r="M209" s="1"/>
      <c r="N209" s="5">
        <f t="shared" si="61"/>
        <v>0.26050462875961677</v>
      </c>
      <c r="O209" s="12"/>
      <c r="P209" s="1">
        <f>SUM(OSRRefP22_0x_0)</f>
        <v>1860284.62</v>
      </c>
      <c r="Q209" s="1"/>
      <c r="R209" s="5">
        <f t="shared" si="62"/>
        <v>0.18125616852028562</v>
      </c>
      <c r="S209" s="1"/>
      <c r="T209" s="1">
        <f>SUM(OSRRefT22_0x_0)</f>
        <v>2384695.2199999997</v>
      </c>
      <c r="U209" s="1"/>
      <c r="V209" s="5">
        <f t="shared" si="63"/>
        <v>8.3275423035736693E-2</v>
      </c>
      <c r="W209" s="1"/>
      <c r="X209" s="1">
        <f t="shared" si="64"/>
        <v>-524410.59999999963</v>
      </c>
      <c r="Y209" s="1"/>
      <c r="Z209" s="5">
        <f t="shared" si="65"/>
        <v>-0.21990676024418737</v>
      </c>
    </row>
    <row r="210" spans="1:26" s="23" customFormat="1" hidden="1" outlineLevel="2" x14ac:dyDescent="0.25">
      <c r="A210" s="25"/>
      <c r="B210" s="10" t="str">
        <f>CONCATENATE("          ", "6111", " - ", "F.I.C.A.")</f>
        <v xml:space="preserve">          6111 - F.I.C.A.</v>
      </c>
      <c r="C210" s="10"/>
      <c r="D210" s="6">
        <v>20326.87</v>
      </c>
      <c r="E210" s="2"/>
      <c r="F210" s="7">
        <f t="shared" si="58"/>
        <v>4.507055026356363E-2</v>
      </c>
      <c r="G210" s="2"/>
      <c r="H210" s="6">
        <v>19443.18</v>
      </c>
      <c r="I210" s="2"/>
      <c r="J210" s="7">
        <f t="shared" si="59"/>
        <v>3.3090716842142473E-2</v>
      </c>
      <c r="K210" s="2"/>
      <c r="L210" s="6">
        <f t="shared" si="60"/>
        <v>883.68999999999869</v>
      </c>
      <c r="M210" s="2"/>
      <c r="N210" s="7">
        <f t="shared" si="61"/>
        <v>4.5449869825820603E-2</v>
      </c>
      <c r="O210" s="10"/>
      <c r="P210" s="6">
        <v>256168.48</v>
      </c>
      <c r="Q210" s="2"/>
      <c r="R210" s="7">
        <f t="shared" si="62"/>
        <v>2.4959684491970596E-2</v>
      </c>
      <c r="S210" s="2"/>
      <c r="T210" s="6">
        <v>440016.67</v>
      </c>
      <c r="U210" s="2"/>
      <c r="V210" s="7">
        <f t="shared" si="63"/>
        <v>1.5365726416403918E-2</v>
      </c>
      <c r="W210" s="2"/>
      <c r="X210" s="6">
        <f t="shared" si="64"/>
        <v>-183848.18999999997</v>
      </c>
      <c r="Y210" s="2"/>
      <c r="Z210" s="7">
        <f t="shared" si="65"/>
        <v>-0.4178209657375026</v>
      </c>
    </row>
    <row r="211" spans="1:26" s="23" customFormat="1" hidden="1" outlineLevel="2" x14ac:dyDescent="0.25">
      <c r="A211" s="25"/>
      <c r="B211" s="10" t="str">
        <f>CONCATENATE("          ", "6112", " - ", "COMPENSATION INSURANCE")</f>
        <v xml:space="preserve">          6112 - COMPENSATION INSURANCE</v>
      </c>
      <c r="C211" s="10"/>
      <c r="D211" s="6">
        <v>6709.32</v>
      </c>
      <c r="E211" s="2"/>
      <c r="F211" s="7">
        <f t="shared" si="58"/>
        <v>1.4876503086522063E-2</v>
      </c>
      <c r="G211" s="2"/>
      <c r="H211" s="6">
        <v>6228.02</v>
      </c>
      <c r="I211" s="2"/>
      <c r="J211" s="7">
        <f t="shared" si="59"/>
        <v>1.0599585371693322E-2</v>
      </c>
      <c r="K211" s="2"/>
      <c r="L211" s="6">
        <f t="shared" si="60"/>
        <v>481.29999999999927</v>
      </c>
      <c r="M211" s="2"/>
      <c r="N211" s="7">
        <f t="shared" si="61"/>
        <v>7.7279777521587795E-2</v>
      </c>
      <c r="O211" s="10"/>
      <c r="P211" s="6">
        <v>97703.95</v>
      </c>
      <c r="Q211" s="2"/>
      <c r="R211" s="7">
        <f t="shared" si="62"/>
        <v>9.5197495242945983E-3</v>
      </c>
      <c r="S211" s="2"/>
      <c r="T211" s="6">
        <v>207129.35</v>
      </c>
      <c r="U211" s="2"/>
      <c r="V211" s="7">
        <f t="shared" si="63"/>
        <v>7.2331189745778787E-3</v>
      </c>
      <c r="W211" s="2"/>
      <c r="X211" s="6">
        <f t="shared" si="64"/>
        <v>-109425.40000000001</v>
      </c>
      <c r="Y211" s="2"/>
      <c r="Z211" s="7">
        <f t="shared" si="65"/>
        <v>-0.52829500020156495</v>
      </c>
    </row>
    <row r="212" spans="1:26" s="23" customFormat="1" hidden="1" outlineLevel="2" x14ac:dyDescent="0.25">
      <c r="A212" s="25"/>
      <c r="B212" s="10" t="str">
        <f>CONCATENATE("          ", "6113", " - ", "GROUP INSURANCE")</f>
        <v xml:space="preserve">          6113 - GROUP INSURANCE</v>
      </c>
      <c r="C212" s="10"/>
      <c r="D212" s="6">
        <v>73927.929999999993</v>
      </c>
      <c r="E212" s="2"/>
      <c r="F212" s="7">
        <f t="shared" si="58"/>
        <v>0.16391960419613119</v>
      </c>
      <c r="G212" s="2"/>
      <c r="H212" s="6">
        <v>75665.009999999995</v>
      </c>
      <c r="I212" s="2"/>
      <c r="J212" s="7">
        <f t="shared" si="59"/>
        <v>0.12877571574032018</v>
      </c>
      <c r="K212" s="2"/>
      <c r="L212" s="6">
        <f t="shared" si="60"/>
        <v>-1737.0800000000017</v>
      </c>
      <c r="M212" s="2"/>
      <c r="N212" s="7">
        <f t="shared" si="61"/>
        <v>-2.2957507043215905E-2</v>
      </c>
      <c r="O212" s="10"/>
      <c r="P212" s="6">
        <v>897300.86</v>
      </c>
      <c r="Q212" s="2"/>
      <c r="R212" s="7">
        <f t="shared" si="62"/>
        <v>8.7428189291570438E-2</v>
      </c>
      <c r="S212" s="2"/>
      <c r="T212" s="6">
        <v>1104113.71</v>
      </c>
      <c r="U212" s="2"/>
      <c r="V212" s="7">
        <f t="shared" si="63"/>
        <v>3.8556514689456506E-2</v>
      </c>
      <c r="W212" s="2"/>
      <c r="X212" s="6">
        <f t="shared" si="64"/>
        <v>-206812.84999999998</v>
      </c>
      <c r="Y212" s="2"/>
      <c r="Z212" s="7">
        <f t="shared" si="65"/>
        <v>-0.18731118735949759</v>
      </c>
    </row>
    <row r="213" spans="1:26" s="23" customFormat="1" hidden="1" outlineLevel="2" x14ac:dyDescent="0.25">
      <c r="A213" s="25"/>
      <c r="B213" s="10" t="str">
        <f>CONCATENATE("          ", "6114", " - ", "STATE UNEMPLOYMENT INSURANCE")</f>
        <v xml:space="preserve">          6114 - STATE UNEMPLOYMENT INSURANCE</v>
      </c>
      <c r="C213" s="10"/>
      <c r="D213" s="6">
        <v>713.79</v>
      </c>
      <c r="E213" s="2"/>
      <c r="F213" s="7">
        <f t="shared" si="58"/>
        <v>1.5826788911735591E-3</v>
      </c>
      <c r="G213" s="2"/>
      <c r="H213" s="6">
        <v>-20622.75</v>
      </c>
      <c r="I213" s="2"/>
      <c r="J213" s="7">
        <f t="shared" si="59"/>
        <v>-3.5098249399341759E-2</v>
      </c>
      <c r="K213" s="2"/>
      <c r="L213" s="6">
        <f t="shared" si="60"/>
        <v>21336.54</v>
      </c>
      <c r="M213" s="2"/>
      <c r="N213" s="7">
        <f t="shared" si="61"/>
        <v>-1.0346117758300906</v>
      </c>
      <c r="O213" s="10"/>
      <c r="P213" s="6">
        <v>9994.67</v>
      </c>
      <c r="Q213" s="2"/>
      <c r="R213" s="7">
        <f t="shared" si="62"/>
        <v>9.7382710707173551E-4</v>
      </c>
      <c r="S213" s="2"/>
      <c r="T213" s="6">
        <v>0</v>
      </c>
      <c r="U213" s="2"/>
      <c r="V213" s="7">
        <f t="shared" si="63"/>
        <v>0</v>
      </c>
      <c r="W213" s="2"/>
      <c r="X213" s="6">
        <f t="shared" si="64"/>
        <v>9994.67</v>
      </c>
      <c r="Y213" s="2"/>
      <c r="Z213" s="7">
        <f t="shared" si="65"/>
        <v>0</v>
      </c>
    </row>
    <row r="214" spans="1:26" s="23" customFormat="1" hidden="1" outlineLevel="2" x14ac:dyDescent="0.25">
      <c r="A214" s="25"/>
      <c r="B214" s="10" t="str">
        <f>CONCATENATE("          ", "6115", " - ", "P.E.R.S.")</f>
        <v xml:space="preserve">          6115 - P.E.R.S.</v>
      </c>
      <c r="C214" s="10"/>
      <c r="D214" s="6">
        <v>22522.01</v>
      </c>
      <c r="E214" s="2"/>
      <c r="F214" s="7">
        <f t="shared" si="58"/>
        <v>4.9937810579862157E-2</v>
      </c>
      <c r="G214" s="2"/>
      <c r="H214" s="6">
        <v>13005.81</v>
      </c>
      <c r="I214" s="2"/>
      <c r="J214" s="7">
        <f t="shared" si="59"/>
        <v>2.2134834734477846E-2</v>
      </c>
      <c r="K214" s="2"/>
      <c r="L214" s="6">
        <f t="shared" si="60"/>
        <v>9516.1999999999989</v>
      </c>
      <c r="M214" s="2"/>
      <c r="N214" s="7">
        <f t="shared" si="61"/>
        <v>0.73168837619494664</v>
      </c>
      <c r="O214" s="10"/>
      <c r="P214" s="6">
        <v>191754.26</v>
      </c>
      <c r="Q214" s="2"/>
      <c r="R214" s="7">
        <f t="shared" si="62"/>
        <v>1.8683507938179193E-2</v>
      </c>
      <c r="S214" s="2"/>
      <c r="T214" s="6">
        <v>238902.88</v>
      </c>
      <c r="U214" s="2"/>
      <c r="V214" s="7">
        <f t="shared" si="63"/>
        <v>8.3426755040234626E-3</v>
      </c>
      <c r="W214" s="2"/>
      <c r="X214" s="6">
        <f t="shared" si="64"/>
        <v>-47148.619999999995</v>
      </c>
      <c r="Y214" s="2"/>
      <c r="Z214" s="7">
        <f t="shared" si="65"/>
        <v>-0.19735475771577135</v>
      </c>
    </row>
    <row r="215" spans="1:26" s="23" customFormat="1" hidden="1" outlineLevel="2" x14ac:dyDescent="0.25">
      <c r="A215" s="25"/>
      <c r="B215" s="10" t="str">
        <f>CONCATENATE("          ", "6116", " - ", "EDUCATIONAL BENEFITS")</f>
        <v xml:space="preserve">          6116 - EDUCATIONAL BENEFITS</v>
      </c>
      <c r="C215" s="10"/>
      <c r="D215" s="6"/>
      <c r="E215" s="2"/>
      <c r="F215" s="7">
        <f t="shared" si="58"/>
        <v>0</v>
      </c>
      <c r="G215" s="2"/>
      <c r="H215" s="6"/>
      <c r="I215" s="2"/>
      <c r="J215" s="7">
        <f t="shared" si="59"/>
        <v>0</v>
      </c>
      <c r="K215" s="2"/>
      <c r="L215" s="6">
        <f t="shared" si="60"/>
        <v>0</v>
      </c>
      <c r="M215" s="2"/>
      <c r="N215" s="7">
        <f t="shared" si="61"/>
        <v>0</v>
      </c>
      <c r="O215" s="10"/>
      <c r="P215" s="6">
        <v>0</v>
      </c>
      <c r="Q215" s="2"/>
      <c r="R215" s="7">
        <f t="shared" si="62"/>
        <v>0</v>
      </c>
      <c r="S215" s="2"/>
      <c r="T215" s="6"/>
      <c r="U215" s="2"/>
      <c r="V215" s="7">
        <f t="shared" si="63"/>
        <v>0</v>
      </c>
      <c r="W215" s="2"/>
      <c r="X215" s="6">
        <f t="shared" si="64"/>
        <v>0</v>
      </c>
      <c r="Y215" s="2"/>
      <c r="Z215" s="7">
        <f t="shared" si="65"/>
        <v>0</v>
      </c>
    </row>
    <row r="216" spans="1:26" s="23" customFormat="1" hidden="1" outlineLevel="2" x14ac:dyDescent="0.25">
      <c r="A216" s="25"/>
      <c r="B216" s="10" t="str">
        <f>CONCATENATE("          ", "6117", " - ", "RETIREMENT STAFF HOURLY")</f>
        <v xml:space="preserve">          6117 - RETIREMENT STAFF HOURLY</v>
      </c>
      <c r="C216" s="10"/>
      <c r="D216" s="6">
        <v>2091.3200000000002</v>
      </c>
      <c r="E216" s="2"/>
      <c r="F216" s="7">
        <f t="shared" si="58"/>
        <v>4.6370613467393608E-3</v>
      </c>
      <c r="G216" s="2"/>
      <c r="H216" s="6">
        <v>1829.61</v>
      </c>
      <c r="I216" s="2"/>
      <c r="J216" s="7">
        <f t="shared" si="59"/>
        <v>3.1138479632216685E-3</v>
      </c>
      <c r="K216" s="2"/>
      <c r="L216" s="6">
        <f t="shared" si="60"/>
        <v>261.71000000000026</v>
      </c>
      <c r="M216" s="2"/>
      <c r="N216" s="7">
        <f t="shared" si="61"/>
        <v>0.14304141319734823</v>
      </c>
      <c r="O216" s="10"/>
      <c r="P216" s="6">
        <v>26222.04</v>
      </c>
      <c r="Q216" s="2"/>
      <c r="R216" s="7">
        <f t="shared" si="62"/>
        <v>2.5549351158887018E-3</v>
      </c>
      <c r="S216" s="2"/>
      <c r="T216" s="6">
        <v>26345.71</v>
      </c>
      <c r="U216" s="2"/>
      <c r="V216" s="7">
        <f t="shared" si="63"/>
        <v>9.2001280793729216E-4</v>
      </c>
      <c r="W216" s="2"/>
      <c r="X216" s="6">
        <f t="shared" si="64"/>
        <v>-123.66999999999825</v>
      </c>
      <c r="Y216" s="2"/>
      <c r="Z216" s="7">
        <f t="shared" si="65"/>
        <v>-4.6941228761721836E-3</v>
      </c>
    </row>
    <row r="217" spans="1:26" s="23" customFormat="1" hidden="1" outlineLevel="2" x14ac:dyDescent="0.25">
      <c r="A217" s="25"/>
      <c r="B217" s="10" t="str">
        <f>CONCATENATE("          ", "6118", " - ", "VACATION")</f>
        <v xml:space="preserve">          6118 - VACATION</v>
      </c>
      <c r="C217" s="10"/>
      <c r="D217" s="6">
        <v>15599.62</v>
      </c>
      <c r="E217" s="2"/>
      <c r="F217" s="7">
        <f t="shared" si="58"/>
        <v>3.4588869673613916E-2</v>
      </c>
      <c r="G217" s="2"/>
      <c r="H217" s="6">
        <v>15121.36</v>
      </c>
      <c r="I217" s="2"/>
      <c r="J217" s="7">
        <f t="shared" si="59"/>
        <v>2.5735329407437443E-2</v>
      </c>
      <c r="K217" s="2"/>
      <c r="L217" s="6">
        <f t="shared" si="60"/>
        <v>478.26000000000022</v>
      </c>
      <c r="M217" s="2"/>
      <c r="N217" s="7">
        <f t="shared" si="61"/>
        <v>3.1628107524720013E-2</v>
      </c>
      <c r="O217" s="10"/>
      <c r="P217" s="6">
        <v>194135.8</v>
      </c>
      <c r="Q217" s="2"/>
      <c r="R217" s="7">
        <f t="shared" si="62"/>
        <v>1.8915552438755558E-2</v>
      </c>
      <c r="S217" s="2"/>
      <c r="T217" s="6">
        <v>270045.75</v>
      </c>
      <c r="U217" s="2"/>
      <c r="V217" s="7">
        <f t="shared" si="63"/>
        <v>9.4302088927962855E-3</v>
      </c>
      <c r="W217" s="2"/>
      <c r="X217" s="6">
        <f t="shared" si="64"/>
        <v>-75909.950000000012</v>
      </c>
      <c r="Y217" s="2"/>
      <c r="Z217" s="7">
        <f t="shared" si="65"/>
        <v>-0.28110033207336171</v>
      </c>
    </row>
    <row r="218" spans="1:26" s="23" customFormat="1" hidden="1" outlineLevel="2" x14ac:dyDescent="0.25">
      <c r="A218" s="25"/>
      <c r="B218" s="10" t="str">
        <f>CONCATENATE("          ", "6119", " - ", "SICK LEAVE")</f>
        <v xml:space="preserve">          6119 - SICK LEAVE</v>
      </c>
      <c r="C218" s="10"/>
      <c r="D218" s="6">
        <v>10560.54</v>
      </c>
      <c r="E218" s="2"/>
      <c r="F218" s="7">
        <f t="shared" si="58"/>
        <v>2.3415771777965538E-2</v>
      </c>
      <c r="G218" s="2"/>
      <c r="H218" s="6">
        <v>10164.280000000001</v>
      </c>
      <c r="I218" s="2"/>
      <c r="J218" s="7">
        <f t="shared" si="59"/>
        <v>1.7298780929058514E-2</v>
      </c>
      <c r="K218" s="2"/>
      <c r="L218" s="6">
        <f t="shared" si="60"/>
        <v>396.26000000000022</v>
      </c>
      <c r="M218" s="2"/>
      <c r="N218" s="7">
        <f t="shared" si="61"/>
        <v>3.8985545459196344E-2</v>
      </c>
      <c r="O218" s="10"/>
      <c r="P218" s="6">
        <v>130540.74</v>
      </c>
      <c r="Q218" s="2"/>
      <c r="R218" s="7">
        <f t="shared" si="62"/>
        <v>1.2719190447428839E-2</v>
      </c>
      <c r="S218" s="2"/>
      <c r="T218" s="6">
        <v>2276.19</v>
      </c>
      <c r="U218" s="2"/>
      <c r="V218" s="7">
        <f t="shared" si="63"/>
        <v>7.9486335851217718E-5</v>
      </c>
      <c r="W218" s="2"/>
      <c r="X218" s="6">
        <f t="shared" si="64"/>
        <v>128264.55</v>
      </c>
      <c r="Y218" s="2"/>
      <c r="Z218" s="7">
        <f t="shared" si="65"/>
        <v>56.350546307645672</v>
      </c>
    </row>
    <row r="219" spans="1:26" s="23" customFormat="1" hidden="1" outlineLevel="2" x14ac:dyDescent="0.25">
      <c r="A219" s="25"/>
      <c r="B219" s="10" t="str">
        <f>CONCATENATE("          ", "6156", " - ", "EMPLOYEE MEALS")</f>
        <v xml:space="preserve">          6156 - EMPLOYEE MEALS</v>
      </c>
      <c r="C219" s="10"/>
      <c r="D219" s="6">
        <v>5042.25</v>
      </c>
      <c r="E219" s="2"/>
      <c r="F219" s="7">
        <f t="shared" si="58"/>
        <v>1.1180126702559407E-2</v>
      </c>
      <c r="G219" s="2"/>
      <c r="H219" s="6">
        <v>4110.3999999999996</v>
      </c>
      <c r="I219" s="2"/>
      <c r="J219" s="7">
        <f t="shared" si="59"/>
        <v>6.9955677264697648E-3</v>
      </c>
      <c r="K219" s="2"/>
      <c r="L219" s="6">
        <f t="shared" si="60"/>
        <v>931.85000000000036</v>
      </c>
      <c r="M219" s="2"/>
      <c r="N219" s="7">
        <f t="shared" si="61"/>
        <v>0.22670543012845476</v>
      </c>
      <c r="O219" s="10"/>
      <c r="P219" s="6">
        <v>56463.82</v>
      </c>
      <c r="Q219" s="2"/>
      <c r="R219" s="7">
        <f t="shared" si="62"/>
        <v>5.501532165125932E-3</v>
      </c>
      <c r="S219" s="2"/>
      <c r="T219" s="6">
        <v>95864.960000000006</v>
      </c>
      <c r="U219" s="2"/>
      <c r="V219" s="7">
        <f t="shared" si="63"/>
        <v>3.3476794146901413E-3</v>
      </c>
      <c r="W219" s="2"/>
      <c r="X219" s="6">
        <f t="shared" si="64"/>
        <v>-39401.140000000007</v>
      </c>
      <c r="Y219" s="2"/>
      <c r="Z219" s="7">
        <f t="shared" si="65"/>
        <v>-0.41100669107878418</v>
      </c>
    </row>
    <row r="220" spans="1:26" s="27" customFormat="1" outlineLevel="1" collapsed="1" x14ac:dyDescent="0.25">
      <c r="A220" s="26"/>
      <c r="B220" s="12" t="str">
        <f>CONCATENATE("     ","*Payroll                                          ")</f>
        <v xml:space="preserve">     *Payroll                                          </v>
      </c>
      <c r="C220" s="12"/>
      <c r="D220" s="1">
        <f>SUM(OSRRefD22_1x_0)</f>
        <v>251172.51000000004</v>
      </c>
      <c r="E220" s="1"/>
      <c r="F220" s="5">
        <f t="shared" ref="F220:F227" si="66">IF(D$12=0,0,D220/D$12)</f>
        <v>0.55692210540926568</v>
      </c>
      <c r="G220" s="1"/>
      <c r="H220" s="1">
        <f>SUM(OSRRefH22_1x_0)</f>
        <v>218574.54</v>
      </c>
      <c r="I220" s="1"/>
      <c r="J220" s="5">
        <f t="shared" ref="J220:J227" si="67">IF(H$12=0,0,H220/H$12)</f>
        <v>0.37199615556928156</v>
      </c>
      <c r="K220" s="1"/>
      <c r="L220" s="1">
        <f t="shared" ref="L220:L227" si="68">+D220-H220</f>
        <v>32597.97000000003</v>
      </c>
      <c r="M220" s="1"/>
      <c r="N220" s="5">
        <f t="shared" ref="N220:N227" si="69">IF(H220=0,0,L220/H220)</f>
        <v>0.14913891617935021</v>
      </c>
      <c r="O220" s="12"/>
      <c r="P220" s="1">
        <f>SUM(OSRRefP22_1x_0)</f>
        <v>3383682.4299999997</v>
      </c>
      <c r="Q220" s="1"/>
      <c r="R220" s="5">
        <f t="shared" ref="R220:R227" si="70">IF(P$12=0,0,P220/P$12)</f>
        <v>0.32968789085145983</v>
      </c>
      <c r="S220" s="1"/>
      <c r="T220" s="1">
        <f>SUM(OSRRefT22_1x_0)</f>
        <v>7467063.79</v>
      </c>
      <c r="U220" s="1"/>
      <c r="V220" s="5">
        <f t="shared" ref="V220:V227" si="71">IF(T$12=0,0,T220/T$12)</f>
        <v>0.26075571030292138</v>
      </c>
      <c r="W220" s="1"/>
      <c r="X220" s="1">
        <f t="shared" ref="X220:X227" si="72">+P220-T220</f>
        <v>-4083381.3600000003</v>
      </c>
      <c r="Y220" s="1"/>
      <c r="Z220" s="5">
        <f t="shared" ref="Z220:Z227" si="73">IF(T220=0,0,X220/T220)</f>
        <v>-0.54685234716603381</v>
      </c>
    </row>
    <row r="221" spans="1:26" s="23" customFormat="1" hidden="1" outlineLevel="2" x14ac:dyDescent="0.25">
      <c r="A221" s="25"/>
      <c r="B221" s="10" t="str">
        <f>CONCATENATE("          ", "6001", " - ", "ADMINISTRATIVE SALARIES")</f>
        <v xml:space="preserve">          6001 - ADMINISTRATIVE SALARIES</v>
      </c>
      <c r="C221" s="10"/>
      <c r="D221" s="6">
        <v>24507.51</v>
      </c>
      <c r="E221" s="2"/>
      <c r="F221" s="7">
        <f t="shared" si="66"/>
        <v>5.4340238378549587E-2</v>
      </c>
      <c r="G221" s="2"/>
      <c r="H221" s="6">
        <v>16260.06</v>
      </c>
      <c r="I221" s="2"/>
      <c r="J221" s="7">
        <f t="shared" si="67"/>
        <v>2.7673304536410561E-2</v>
      </c>
      <c r="K221" s="2"/>
      <c r="L221" s="6">
        <f t="shared" si="68"/>
        <v>8247.4499999999989</v>
      </c>
      <c r="M221" s="2"/>
      <c r="N221" s="7">
        <f t="shared" si="69"/>
        <v>0.50722137556687974</v>
      </c>
      <c r="O221" s="10"/>
      <c r="P221" s="6">
        <v>339333.19</v>
      </c>
      <c r="Q221" s="2"/>
      <c r="R221" s="7">
        <f t="shared" si="70"/>
        <v>3.3062808351963957E-2</v>
      </c>
      <c r="S221" s="2"/>
      <c r="T221" s="6">
        <v>380567.82</v>
      </c>
      <c r="U221" s="2"/>
      <c r="V221" s="7">
        <f t="shared" si="71"/>
        <v>1.3289726057440623E-2</v>
      </c>
      <c r="W221" s="2"/>
      <c r="X221" s="6">
        <f t="shared" si="72"/>
        <v>-41234.630000000005</v>
      </c>
      <c r="Y221" s="2"/>
      <c r="Z221" s="7">
        <f t="shared" si="73"/>
        <v>-0.1083502803784093</v>
      </c>
    </row>
    <row r="222" spans="1:26" s="23" customFormat="1" hidden="1" outlineLevel="2" x14ac:dyDescent="0.25">
      <c r="A222" s="25"/>
      <c r="B222" s="10" t="str">
        <f>CONCATENATE("          ", "6002", " - ", "STAFF SALARIES")</f>
        <v xml:space="preserve">          6002 - STAFF SALARIES</v>
      </c>
      <c r="C222" s="10"/>
      <c r="D222" s="6">
        <v>100455.94</v>
      </c>
      <c r="E222" s="2"/>
      <c r="F222" s="7">
        <f t="shared" si="66"/>
        <v>0.22273987549699154</v>
      </c>
      <c r="G222" s="2"/>
      <c r="H222" s="6">
        <v>110167.96</v>
      </c>
      <c r="I222" s="2"/>
      <c r="J222" s="7">
        <f t="shared" si="67"/>
        <v>0.18749694080065496</v>
      </c>
      <c r="K222" s="2"/>
      <c r="L222" s="6">
        <f t="shared" si="68"/>
        <v>-9712.0200000000041</v>
      </c>
      <c r="M222" s="2"/>
      <c r="N222" s="7">
        <f t="shared" si="69"/>
        <v>-8.8156483972291075E-2</v>
      </c>
      <c r="O222" s="10"/>
      <c r="P222" s="6">
        <v>1339707.04</v>
      </c>
      <c r="Q222" s="2"/>
      <c r="R222" s="7">
        <f t="shared" si="70"/>
        <v>0.1305338776654795</v>
      </c>
      <c r="S222" s="2"/>
      <c r="T222" s="6">
        <v>1994775.85</v>
      </c>
      <c r="U222" s="2"/>
      <c r="V222" s="7">
        <f t="shared" si="71"/>
        <v>6.9659133534985346E-2</v>
      </c>
      <c r="W222" s="2"/>
      <c r="X222" s="6">
        <f t="shared" si="72"/>
        <v>-655068.81000000006</v>
      </c>
      <c r="Y222" s="2"/>
      <c r="Z222" s="7">
        <f t="shared" si="73"/>
        <v>-0.32839219002977205</v>
      </c>
    </row>
    <row r="223" spans="1:26" s="23" customFormat="1" hidden="1" outlineLevel="2" x14ac:dyDescent="0.25">
      <c r="A223" s="25"/>
      <c r="B223" s="10" t="str">
        <f>CONCATENATE("          ", "6004", " - ", "STAFF HOURLY")</f>
        <v xml:space="preserve">          6004 - STAFF HOURLY</v>
      </c>
      <c r="C223" s="10"/>
      <c r="D223" s="6">
        <v>63463.12</v>
      </c>
      <c r="E223" s="2"/>
      <c r="F223" s="7">
        <f t="shared" si="66"/>
        <v>0.14071609351772166</v>
      </c>
      <c r="G223" s="2"/>
      <c r="H223" s="6">
        <v>52322.8</v>
      </c>
      <c r="I223" s="2"/>
      <c r="J223" s="7">
        <f t="shared" si="67"/>
        <v>8.9049165783994813E-2</v>
      </c>
      <c r="K223" s="2"/>
      <c r="L223" s="6">
        <f t="shared" si="68"/>
        <v>11140.32</v>
      </c>
      <c r="M223" s="2"/>
      <c r="N223" s="7">
        <f t="shared" si="69"/>
        <v>0.2129152109596581</v>
      </c>
      <c r="O223" s="10"/>
      <c r="P223" s="6">
        <v>807698.52</v>
      </c>
      <c r="Q223" s="2"/>
      <c r="R223" s="7">
        <f t="shared" si="70"/>
        <v>7.8697817248365609E-2</v>
      </c>
      <c r="S223" s="2"/>
      <c r="T223" s="6">
        <v>1006687.36</v>
      </c>
      <c r="U223" s="2"/>
      <c r="V223" s="7">
        <f t="shared" si="71"/>
        <v>3.515431031422496E-2</v>
      </c>
      <c r="W223" s="2"/>
      <c r="X223" s="6">
        <f t="shared" si="72"/>
        <v>-198988.83999999997</v>
      </c>
      <c r="Y223" s="2"/>
      <c r="Z223" s="7">
        <f t="shared" si="73"/>
        <v>-0.19766696981275295</v>
      </c>
    </row>
    <row r="224" spans="1:26" s="23" customFormat="1" hidden="1" outlineLevel="2" x14ac:dyDescent="0.25">
      <c r="A224" s="25"/>
      <c r="B224" s="10" t="str">
        <f>CONCATENATE("          ", "6005", " - ", "TEMPORARY WAGES-HOURLY")</f>
        <v xml:space="preserve">          6005 - TEMPORARY WAGES-HOURLY</v>
      </c>
      <c r="C224" s="10"/>
      <c r="D224" s="6">
        <v>20621.330000000002</v>
      </c>
      <c r="E224" s="2"/>
      <c r="F224" s="7">
        <f t="shared" si="66"/>
        <v>4.5723453255052685E-2</v>
      </c>
      <c r="G224" s="2"/>
      <c r="H224" s="6">
        <v>20064.68</v>
      </c>
      <c r="I224" s="2"/>
      <c r="J224" s="7">
        <f t="shared" si="67"/>
        <v>3.4148459480815338E-2</v>
      </c>
      <c r="K224" s="2"/>
      <c r="L224" s="6">
        <f t="shared" si="68"/>
        <v>556.65000000000146</v>
      </c>
      <c r="M224" s="2"/>
      <c r="N224" s="7">
        <f t="shared" si="69"/>
        <v>2.7742779849965284E-2</v>
      </c>
      <c r="O224" s="10"/>
      <c r="P224" s="6">
        <v>363235.12</v>
      </c>
      <c r="Q224" s="2"/>
      <c r="R224" s="7">
        <f t="shared" si="70"/>
        <v>3.5391684377418638E-2</v>
      </c>
      <c r="S224" s="2"/>
      <c r="T224" s="6">
        <v>1218146.98</v>
      </c>
      <c r="U224" s="2"/>
      <c r="V224" s="7">
        <f t="shared" si="71"/>
        <v>4.2538645705510782E-2</v>
      </c>
      <c r="W224" s="2"/>
      <c r="X224" s="6">
        <f t="shared" si="72"/>
        <v>-854911.86</v>
      </c>
      <c r="Y224" s="2"/>
      <c r="Z224" s="7">
        <f t="shared" si="73"/>
        <v>-0.70181338872588261</v>
      </c>
    </row>
    <row r="225" spans="1:26" s="23" customFormat="1" hidden="1" outlineLevel="2" x14ac:dyDescent="0.25">
      <c r="A225" s="25"/>
      <c r="B225" s="10" t="str">
        <f>CONCATENATE("          ", "6006", " - ", "TEMPORARY PART TIME")</f>
        <v xml:space="preserve">          6006 - TEMPORARY PART TIME</v>
      </c>
      <c r="C225" s="10"/>
      <c r="D225" s="6">
        <v>4232.72</v>
      </c>
      <c r="E225" s="2"/>
      <c r="F225" s="7">
        <f t="shared" si="66"/>
        <v>9.3851645389374291E-3</v>
      </c>
      <c r="G225" s="2"/>
      <c r="H225" s="6">
        <v>2246.59</v>
      </c>
      <c r="I225" s="2"/>
      <c r="J225" s="7">
        <f t="shared" si="67"/>
        <v>3.8235141345391473E-3</v>
      </c>
      <c r="K225" s="2"/>
      <c r="L225" s="6">
        <f t="shared" si="68"/>
        <v>1986.13</v>
      </c>
      <c r="M225" s="2"/>
      <c r="N225" s="7">
        <f t="shared" si="69"/>
        <v>0.88406429299516154</v>
      </c>
      <c r="O225" s="10"/>
      <c r="P225" s="6">
        <v>26376.67</v>
      </c>
      <c r="Q225" s="2"/>
      <c r="R225" s="7">
        <f t="shared" si="70"/>
        <v>2.5700014347933282E-3</v>
      </c>
      <c r="S225" s="2"/>
      <c r="T225" s="6">
        <v>114083.83</v>
      </c>
      <c r="U225" s="2"/>
      <c r="V225" s="7">
        <f t="shared" si="71"/>
        <v>3.9838966108159809E-3</v>
      </c>
      <c r="W225" s="2"/>
      <c r="X225" s="6">
        <f t="shared" si="72"/>
        <v>-87707.16</v>
      </c>
      <c r="Y225" s="2"/>
      <c r="Z225" s="7">
        <f t="shared" si="73"/>
        <v>-0.76879571802594637</v>
      </c>
    </row>
    <row r="226" spans="1:26" s="23" customFormat="1" hidden="1" outlineLevel="2" x14ac:dyDescent="0.25">
      <c r="A226" s="25"/>
      <c r="B226" s="10" t="str">
        <f>CONCATENATE("          ", "6007", " - ", "STUDENT HOURLY")</f>
        <v xml:space="preserve">          6007 - STUDENT HOURLY</v>
      </c>
      <c r="C226" s="10"/>
      <c r="D226" s="6">
        <v>31073.97</v>
      </c>
      <c r="E226" s="2"/>
      <c r="F226" s="7">
        <f t="shared" si="66"/>
        <v>6.8899979523333821E-2</v>
      </c>
      <c r="G226" s="2"/>
      <c r="H226" s="6">
        <v>17512.45</v>
      </c>
      <c r="I226" s="2"/>
      <c r="J226" s="7">
        <f t="shared" si="67"/>
        <v>2.9804770832866742E-2</v>
      </c>
      <c r="K226" s="2"/>
      <c r="L226" s="6">
        <f t="shared" si="68"/>
        <v>13561.52</v>
      </c>
      <c r="M226" s="2"/>
      <c r="N226" s="7">
        <f t="shared" si="69"/>
        <v>0.77439307464118379</v>
      </c>
      <c r="O226" s="10"/>
      <c r="P226" s="6">
        <v>473429.8</v>
      </c>
      <c r="Q226" s="2"/>
      <c r="R226" s="7">
        <f t="shared" si="70"/>
        <v>4.6128463724720306E-2</v>
      </c>
      <c r="S226" s="2"/>
      <c r="T226" s="6">
        <v>2511655.41</v>
      </c>
      <c r="U226" s="2"/>
      <c r="V226" s="7">
        <f t="shared" si="71"/>
        <v>8.7708972213122779E-2</v>
      </c>
      <c r="W226" s="2"/>
      <c r="X226" s="6">
        <f t="shared" si="72"/>
        <v>-2038225.61</v>
      </c>
      <c r="Y226" s="2"/>
      <c r="Z226" s="7">
        <f t="shared" si="73"/>
        <v>-0.81150686590402943</v>
      </c>
    </row>
    <row r="227" spans="1:26" s="23" customFormat="1" hidden="1" outlineLevel="2" x14ac:dyDescent="0.25">
      <c r="A227" s="25"/>
      <c r="B227" s="10" t="str">
        <f>CONCATENATE("          ", "6008", " - ", "STUDENT HOURLY-FICA EXEMPT")</f>
        <v xml:space="preserve">          6008 - STUDENT HOURLY-FICA EXEMPT</v>
      </c>
      <c r="C227" s="10"/>
      <c r="D227" s="6">
        <v>6817.92</v>
      </c>
      <c r="E227" s="2"/>
      <c r="F227" s="7">
        <f t="shared" si="66"/>
        <v>1.5117300698678929E-2</v>
      </c>
      <c r="G227" s="2"/>
      <c r="H227" s="6"/>
      <c r="I227" s="2"/>
      <c r="J227" s="7">
        <f t="shared" si="67"/>
        <v>0</v>
      </c>
      <c r="K227" s="2"/>
      <c r="L227" s="6">
        <f t="shared" si="68"/>
        <v>6817.92</v>
      </c>
      <c r="M227" s="2"/>
      <c r="N227" s="7">
        <f t="shared" si="69"/>
        <v>0</v>
      </c>
      <c r="O227" s="10"/>
      <c r="P227" s="6">
        <v>33902.089999999997</v>
      </c>
      <c r="Q227" s="2"/>
      <c r="R227" s="7">
        <f t="shared" si="70"/>
        <v>3.3032380487185279E-3</v>
      </c>
      <c r="S227" s="2"/>
      <c r="T227" s="6">
        <v>241146.54</v>
      </c>
      <c r="U227" s="2"/>
      <c r="V227" s="7">
        <f t="shared" si="71"/>
        <v>8.4210258668209192E-3</v>
      </c>
      <c r="W227" s="2"/>
      <c r="X227" s="6">
        <f t="shared" si="72"/>
        <v>-207244.45</v>
      </c>
      <c r="Y227" s="2"/>
      <c r="Z227" s="7">
        <f t="shared" si="73"/>
        <v>-0.85941291133598685</v>
      </c>
    </row>
    <row r="228" spans="1:26" s="27" customFormat="1" outlineLevel="1" collapsed="1" x14ac:dyDescent="0.25">
      <c r="A228" s="26"/>
      <c r="B228" s="12" t="str">
        <f>CONCATENATE("     ","Advertising/Promo                                 ")</f>
        <v xml:space="preserve">     Advertising/Promo                                 </v>
      </c>
      <c r="C228" s="12"/>
      <c r="D228" s="1">
        <f>SUM(OSRRefD22_2x_0)</f>
        <v>1399.98</v>
      </c>
      <c r="E228" s="1"/>
      <c r="F228" s="5">
        <f t="shared" ref="F228:F232" si="74">IF(D$12=0,0,D228/D$12)</f>
        <v>3.1041605991470314E-3</v>
      </c>
      <c r="G228" s="1"/>
      <c r="H228" s="1">
        <f>SUM(OSRRefH22_2x_0)</f>
        <v>-2380.7399999999998</v>
      </c>
      <c r="I228" s="1"/>
      <c r="J228" s="5">
        <f t="shared" ref="J228:J232" si="75">IF(H$12=0,0,H228/H$12)</f>
        <v>-4.0518265641094854E-3</v>
      </c>
      <c r="K228" s="1"/>
      <c r="L228" s="1">
        <f t="shared" ref="L228:L232" si="76">+D228-H228</f>
        <v>3780.72</v>
      </c>
      <c r="M228" s="1"/>
      <c r="N228" s="5">
        <f t="shared" ref="N228:N232" si="77">IF(H228=0,0,L228/H228)</f>
        <v>-1.588044053529575</v>
      </c>
      <c r="O228" s="12"/>
      <c r="P228" s="1">
        <f>SUM(OSRRefP22_2x_0)</f>
        <v>21651.51</v>
      </c>
      <c r="Q228" s="1"/>
      <c r="R228" s="5">
        <f t="shared" ref="R228:R232" si="78">IF(P$12=0,0,P228/P$12)</f>
        <v>2.1096071553172594E-3</v>
      </c>
      <c r="S228" s="1"/>
      <c r="T228" s="1">
        <f>SUM(OSRRefT22_2x_0)</f>
        <v>87492.22</v>
      </c>
      <c r="U228" s="1"/>
      <c r="V228" s="5">
        <f t="shared" ref="V228:V232" si="79">IF(T$12=0,0,T228/T$12)</f>
        <v>3.055296782469226E-3</v>
      </c>
      <c r="W228" s="1"/>
      <c r="X228" s="1">
        <f t="shared" ref="X228:X232" si="80">+P228-T228</f>
        <v>-65840.710000000006</v>
      </c>
      <c r="Y228" s="1"/>
      <c r="Z228" s="5">
        <f t="shared" ref="Z228:Z232" si="81">IF(T228=0,0,X228/T228)</f>
        <v>-0.75253216800305223</v>
      </c>
    </row>
    <row r="229" spans="1:26" s="23" customFormat="1" hidden="1" outlineLevel="2" x14ac:dyDescent="0.25">
      <c r="A229" s="25"/>
      <c r="B229" s="10" t="str">
        <f>CONCATENATE("          ", "6362", " - ", "ADVERTISING EXPENSE")</f>
        <v xml:space="preserve">          6362 - ADVERTISING EXPENSE</v>
      </c>
      <c r="C229" s="10"/>
      <c r="D229" s="6">
        <v>1399.98</v>
      </c>
      <c r="E229" s="2"/>
      <c r="F229" s="7">
        <f t="shared" si="74"/>
        <v>3.1041605991470314E-3</v>
      </c>
      <c r="G229" s="2"/>
      <c r="H229" s="6">
        <v>-2380.7399999999998</v>
      </c>
      <c r="I229" s="2"/>
      <c r="J229" s="7">
        <f t="shared" si="75"/>
        <v>-4.0518265641094854E-3</v>
      </c>
      <c r="K229" s="2"/>
      <c r="L229" s="6">
        <f t="shared" si="76"/>
        <v>3780.72</v>
      </c>
      <c r="M229" s="2"/>
      <c r="N229" s="7">
        <f t="shared" si="77"/>
        <v>-1.588044053529575</v>
      </c>
      <c r="O229" s="10"/>
      <c r="P229" s="6">
        <v>21651.51</v>
      </c>
      <c r="Q229" s="2"/>
      <c r="R229" s="7">
        <f t="shared" si="78"/>
        <v>2.1096071553172594E-3</v>
      </c>
      <c r="S229" s="2"/>
      <c r="T229" s="6">
        <v>87492.22</v>
      </c>
      <c r="U229" s="2"/>
      <c r="V229" s="7">
        <f t="shared" si="79"/>
        <v>3.055296782469226E-3</v>
      </c>
      <c r="W229" s="2"/>
      <c r="X229" s="6">
        <f t="shared" si="80"/>
        <v>-65840.710000000006</v>
      </c>
      <c r="Y229" s="2"/>
      <c r="Z229" s="7">
        <f t="shared" si="81"/>
        <v>-0.75253216800305223</v>
      </c>
    </row>
    <row r="230" spans="1:26" s="27" customFormat="1" outlineLevel="1" collapsed="1" x14ac:dyDescent="0.25">
      <c r="A230" s="26"/>
      <c r="B230" s="12" t="str">
        <f>CONCATENATE("     ","Bad Debts/Over/Short                              ")</f>
        <v xml:space="preserve">     Bad Debts/Over/Short                              </v>
      </c>
      <c r="C230" s="12"/>
      <c r="D230" s="1">
        <f>SUM(OSRRefD22_3x_0)</f>
        <v>7.7</v>
      </c>
      <c r="E230" s="1"/>
      <c r="F230" s="5">
        <f t="shared" si="74"/>
        <v>1.7073127197125775E-5</v>
      </c>
      <c r="G230" s="1"/>
      <c r="H230" s="1">
        <f>SUM(OSRRefH22_3x_0)</f>
        <v>-2.48</v>
      </c>
      <c r="I230" s="1"/>
      <c r="J230" s="5">
        <f t="shared" si="75"/>
        <v>-4.220759040882887E-6</v>
      </c>
      <c r="K230" s="1"/>
      <c r="L230" s="1">
        <f t="shared" si="76"/>
        <v>10.18</v>
      </c>
      <c r="M230" s="1"/>
      <c r="N230" s="5">
        <f t="shared" si="77"/>
        <v>-4.104838709677419</v>
      </c>
      <c r="O230" s="12"/>
      <c r="P230" s="1">
        <f>SUM(OSRRefP22_3x_0)</f>
        <v>5285.01</v>
      </c>
      <c r="Q230" s="1"/>
      <c r="R230" s="5">
        <f t="shared" si="78"/>
        <v>5.1494306456793403E-4</v>
      </c>
      <c r="S230" s="1"/>
      <c r="T230" s="1">
        <f>SUM(OSRRefT22_3x_0)</f>
        <v>-659.42000000000007</v>
      </c>
      <c r="U230" s="1"/>
      <c r="V230" s="5">
        <f t="shared" si="79"/>
        <v>-2.3027462376607398E-5</v>
      </c>
      <c r="W230" s="1"/>
      <c r="X230" s="1">
        <f t="shared" si="80"/>
        <v>5944.43</v>
      </c>
      <c r="Y230" s="1"/>
      <c r="Z230" s="5">
        <f t="shared" si="81"/>
        <v>-9.0146340723666238</v>
      </c>
    </row>
    <row r="231" spans="1:26" s="23" customFormat="1" hidden="1" outlineLevel="2" x14ac:dyDescent="0.25">
      <c r="A231" s="25"/>
      <c r="B231" s="10" t="str">
        <f>CONCATENATE("          ", "6272", " - ", "CASH (OVER/SHORT)")</f>
        <v xml:space="preserve">          6272 - CASH (OVER/SHORT)</v>
      </c>
      <c r="C231" s="10"/>
      <c r="D231" s="6">
        <v>7.7</v>
      </c>
      <c r="E231" s="2"/>
      <c r="F231" s="7">
        <f t="shared" si="74"/>
        <v>1.7073127197125775E-5</v>
      </c>
      <c r="G231" s="2"/>
      <c r="H231" s="6">
        <v>-2.48</v>
      </c>
      <c r="I231" s="2"/>
      <c r="J231" s="7">
        <f t="shared" si="75"/>
        <v>-4.220759040882887E-6</v>
      </c>
      <c r="K231" s="2"/>
      <c r="L231" s="6">
        <f t="shared" si="76"/>
        <v>10.18</v>
      </c>
      <c r="M231" s="2"/>
      <c r="N231" s="7">
        <f t="shared" si="77"/>
        <v>-4.104838709677419</v>
      </c>
      <c r="O231" s="10"/>
      <c r="P231" s="6">
        <v>-64.41</v>
      </c>
      <c r="Q231" s="2"/>
      <c r="R231" s="7">
        <f t="shared" si="78"/>
        <v>-6.275765379596373E-6</v>
      </c>
      <c r="S231" s="2"/>
      <c r="T231" s="6">
        <v>-704.22</v>
      </c>
      <c r="U231" s="2"/>
      <c r="V231" s="7">
        <f t="shared" si="79"/>
        <v>-2.45919134312797E-5</v>
      </c>
      <c r="W231" s="2"/>
      <c r="X231" s="6">
        <f t="shared" si="80"/>
        <v>639.81000000000006</v>
      </c>
      <c r="Y231" s="2"/>
      <c r="Z231" s="7">
        <f t="shared" si="81"/>
        <v>-0.90853710488199713</v>
      </c>
    </row>
    <row r="232" spans="1:26" s="23" customFormat="1" hidden="1" outlineLevel="2" x14ac:dyDescent="0.25">
      <c r="A232" s="25"/>
      <c r="B232" s="10" t="str">
        <f>CONCATENATE("          ", "6342", " - ", "BAD DEBT")</f>
        <v xml:space="preserve">          6342 - BAD DEBT</v>
      </c>
      <c r="C232" s="10"/>
      <c r="D232" s="6"/>
      <c r="E232" s="2"/>
      <c r="F232" s="7">
        <f t="shared" si="74"/>
        <v>0</v>
      </c>
      <c r="G232" s="2"/>
      <c r="H232" s="6"/>
      <c r="I232" s="2"/>
      <c r="J232" s="7">
        <f t="shared" si="75"/>
        <v>0</v>
      </c>
      <c r="K232" s="2"/>
      <c r="L232" s="6">
        <f t="shared" si="76"/>
        <v>0</v>
      </c>
      <c r="M232" s="2"/>
      <c r="N232" s="7">
        <f t="shared" si="77"/>
        <v>0</v>
      </c>
      <c r="O232" s="10"/>
      <c r="P232" s="6">
        <v>5349.42</v>
      </c>
      <c r="Q232" s="2"/>
      <c r="R232" s="7">
        <f t="shared" si="78"/>
        <v>5.2121882994753035E-4</v>
      </c>
      <c r="S232" s="2"/>
      <c r="T232" s="6">
        <v>44.8</v>
      </c>
      <c r="U232" s="2"/>
      <c r="V232" s="7">
        <f t="shared" si="79"/>
        <v>1.5644510546723048E-6</v>
      </c>
      <c r="W232" s="2"/>
      <c r="X232" s="6">
        <f t="shared" si="80"/>
        <v>5304.62</v>
      </c>
      <c r="Y232" s="2"/>
      <c r="Z232" s="7">
        <f t="shared" si="81"/>
        <v>118.40669642857144</v>
      </c>
    </row>
    <row r="233" spans="1:26" s="27" customFormat="1" outlineLevel="1" collapsed="1" x14ac:dyDescent="0.25">
      <c r="A233" s="26"/>
      <c r="B233" s="12" t="str">
        <f>CONCATENATE("     ","Bank/card Fees                                    ")</f>
        <v xml:space="preserve">     Bank/card Fees                                    </v>
      </c>
      <c r="C233" s="12"/>
      <c r="D233" s="1">
        <f>SUM(OSRRefD22_4x_0)</f>
        <v>6012.86</v>
      </c>
      <c r="E233" s="1"/>
      <c r="F233" s="5">
        <f t="shared" ref="F233:F239" si="82">IF(D$12=0,0,D233/D$12)</f>
        <v>1.333224981798827E-2</v>
      </c>
      <c r="G233" s="1"/>
      <c r="H233" s="1">
        <f>SUM(OSRRefH22_4x_0)</f>
        <v>4205.91</v>
      </c>
      <c r="I233" s="1"/>
      <c r="J233" s="5">
        <f t="shared" ref="J233:J239" si="83">IF(H$12=0,0,H233/H$12)</f>
        <v>7.1581180071127997E-3</v>
      </c>
      <c r="K233" s="1"/>
      <c r="L233" s="1">
        <f t="shared" ref="L233:L239" si="84">+D233-H233</f>
        <v>1806.9499999999998</v>
      </c>
      <c r="M233" s="1"/>
      <c r="N233" s="5">
        <f t="shared" ref="N233:N239" si="85">IF(H233=0,0,L233/H233)</f>
        <v>0.42962165143809539</v>
      </c>
      <c r="O233" s="12"/>
      <c r="P233" s="1">
        <f>SUM(OSRRefP22_4x_0)</f>
        <v>100587.02</v>
      </c>
      <c r="Q233" s="1"/>
      <c r="R233" s="5">
        <f t="shared" ref="R233:R239" si="86">IF(P$12=0,0,P233/P$12)</f>
        <v>9.8006604215613736E-3</v>
      </c>
      <c r="S233" s="1"/>
      <c r="T233" s="1">
        <f>SUM(OSRRefT22_4x_0)</f>
        <v>409031.82</v>
      </c>
      <c r="U233" s="1"/>
      <c r="V233" s="5">
        <f t="shared" ref="V233:V239" si="87">IF(T$12=0,0,T233/T$12)</f>
        <v>1.4283711209677061E-2</v>
      </c>
      <c r="W233" s="1"/>
      <c r="X233" s="1">
        <f t="shared" ref="X233:X239" si="88">+P233-T233</f>
        <v>-308444.79999999999</v>
      </c>
      <c r="Y233" s="1"/>
      <c r="Z233" s="5">
        <f t="shared" ref="Z233:Z239" si="89">IF(T233=0,0,X233/T233)</f>
        <v>-0.75408509782930822</v>
      </c>
    </row>
    <row r="234" spans="1:26" s="23" customFormat="1" hidden="1" outlineLevel="2" x14ac:dyDescent="0.25">
      <c r="A234" s="25"/>
      <c r="B234" s="10" t="str">
        <f>CONCATENATE("          ", "6381", " - ", "BANK/CREDIT CARD FEES")</f>
        <v xml:space="preserve">          6381 - BANK/CREDIT CARD FEES</v>
      </c>
      <c r="C234" s="10"/>
      <c r="D234" s="6">
        <v>6012.86</v>
      </c>
      <c r="E234" s="2"/>
      <c r="F234" s="7">
        <f t="shared" si="82"/>
        <v>1.333224981798827E-2</v>
      </c>
      <c r="G234" s="2"/>
      <c r="H234" s="6">
        <v>4205.91</v>
      </c>
      <c r="I234" s="2"/>
      <c r="J234" s="7">
        <f t="shared" si="83"/>
        <v>7.1581180071127997E-3</v>
      </c>
      <c r="K234" s="2"/>
      <c r="L234" s="6">
        <f t="shared" si="84"/>
        <v>1806.9499999999998</v>
      </c>
      <c r="M234" s="2"/>
      <c r="N234" s="7">
        <f t="shared" si="85"/>
        <v>0.42962165143809539</v>
      </c>
      <c r="O234" s="10"/>
      <c r="P234" s="6">
        <v>100587.02</v>
      </c>
      <c r="Q234" s="2"/>
      <c r="R234" s="7">
        <f t="shared" si="86"/>
        <v>9.8006604215613736E-3</v>
      </c>
      <c r="S234" s="2"/>
      <c r="T234" s="6">
        <v>409031.82</v>
      </c>
      <c r="U234" s="2"/>
      <c r="V234" s="7">
        <f t="shared" si="87"/>
        <v>1.4283711209677061E-2</v>
      </c>
      <c r="W234" s="2"/>
      <c r="X234" s="6">
        <f t="shared" si="88"/>
        <v>-308444.79999999999</v>
      </c>
      <c r="Y234" s="2"/>
      <c r="Z234" s="7">
        <f t="shared" si="89"/>
        <v>-0.75408509782930822</v>
      </c>
    </row>
    <row r="235" spans="1:26" s="27" customFormat="1" outlineLevel="1" collapsed="1" x14ac:dyDescent="0.25">
      <c r="A235" s="26"/>
      <c r="B235" s="12" t="str">
        <f>CONCATENATE("     ","Depreciation                                      ")</f>
        <v xml:space="preserve">     Depreciation                                      </v>
      </c>
      <c r="C235" s="12"/>
      <c r="D235" s="1">
        <f>SUM(OSRRefD22_5x_0)</f>
        <v>70062.03</v>
      </c>
      <c r="E235" s="1"/>
      <c r="F235" s="5">
        <f t="shared" si="82"/>
        <v>0.1553477856985509</v>
      </c>
      <c r="G235" s="1"/>
      <c r="H235" s="1">
        <f>SUM(OSRRefH22_5x_0)</f>
        <v>77570.97</v>
      </c>
      <c r="I235" s="1"/>
      <c r="J235" s="5">
        <f t="shared" si="83"/>
        <v>0.13201950521675612</v>
      </c>
      <c r="K235" s="1"/>
      <c r="L235" s="1">
        <f t="shared" si="84"/>
        <v>-7508.9400000000023</v>
      </c>
      <c r="M235" s="1"/>
      <c r="N235" s="5">
        <f t="shared" si="85"/>
        <v>-9.6800903740149213E-2</v>
      </c>
      <c r="O235" s="12"/>
      <c r="P235" s="1">
        <f>SUM(OSRRefP22_5x_0)</f>
        <v>926957.89</v>
      </c>
      <c r="Q235" s="1"/>
      <c r="R235" s="5">
        <f t="shared" si="86"/>
        <v>9.0317811433095849E-2</v>
      </c>
      <c r="S235" s="1"/>
      <c r="T235" s="1">
        <f>SUM(OSRRefT22_5x_0)</f>
        <v>944656.55</v>
      </c>
      <c r="U235" s="1"/>
      <c r="V235" s="5">
        <f t="shared" si="87"/>
        <v>3.2988145891754486E-2</v>
      </c>
      <c r="W235" s="1"/>
      <c r="X235" s="1">
        <f t="shared" si="88"/>
        <v>-17698.660000000033</v>
      </c>
      <c r="Y235" s="1"/>
      <c r="Z235" s="5">
        <f t="shared" si="89"/>
        <v>-1.8735549973162239E-2</v>
      </c>
    </row>
    <row r="236" spans="1:26" s="23" customFormat="1" hidden="1" outlineLevel="2" x14ac:dyDescent="0.25">
      <c r="A236" s="25"/>
      <c r="B236" s="10" t="str">
        <f>CONCATENATE("          ", "6321", " - ", "BUILDING DEPRECIATION")</f>
        <v xml:space="preserve">          6321 - BUILDING DEPRECIATION</v>
      </c>
      <c r="C236" s="10"/>
      <c r="D236" s="6">
        <v>45060.26</v>
      </c>
      <c r="E236" s="2"/>
      <c r="F236" s="7">
        <f t="shared" si="82"/>
        <v>9.9911629937085536E-2</v>
      </c>
      <c r="G236" s="2"/>
      <c r="H236" s="6">
        <v>45504.62</v>
      </c>
      <c r="I236" s="2"/>
      <c r="J236" s="7">
        <f t="shared" si="83"/>
        <v>7.744517591408881E-2</v>
      </c>
      <c r="K236" s="2"/>
      <c r="L236" s="6">
        <f t="shared" si="84"/>
        <v>-444.36000000000058</v>
      </c>
      <c r="M236" s="2"/>
      <c r="N236" s="7">
        <f t="shared" si="85"/>
        <v>-9.7651623065965736E-3</v>
      </c>
      <c r="O236" s="10"/>
      <c r="P236" s="6">
        <v>541510.17000000004</v>
      </c>
      <c r="Q236" s="2"/>
      <c r="R236" s="7">
        <f t="shared" si="86"/>
        <v>5.2761850296310309E-2</v>
      </c>
      <c r="S236" s="2"/>
      <c r="T236" s="6">
        <v>546224.51</v>
      </c>
      <c r="U236" s="2"/>
      <c r="V236" s="7">
        <f t="shared" si="87"/>
        <v>1.9074587293691138E-2</v>
      </c>
      <c r="W236" s="2"/>
      <c r="X236" s="6">
        <f t="shared" si="88"/>
        <v>-4714.3399999999674</v>
      </c>
      <c r="Y236" s="2"/>
      <c r="Z236" s="7">
        <f t="shared" si="89"/>
        <v>-8.6307734524764691E-3</v>
      </c>
    </row>
    <row r="237" spans="1:26" s="23" customFormat="1" hidden="1" outlineLevel="2" x14ac:dyDescent="0.25">
      <c r="A237" s="25"/>
      <c r="B237" s="10" t="str">
        <f>CONCATENATE("          ", "6322", " - ", "EQUIPMENT DEPRECIATION EXPENSE")</f>
        <v xml:space="preserve">          6322 - EQUIPMENT DEPRECIATION EXPENSE</v>
      </c>
      <c r="C237" s="10"/>
      <c r="D237" s="6">
        <v>25001.77</v>
      </c>
      <c r="E237" s="2"/>
      <c r="F237" s="7">
        <f t="shared" si="82"/>
        <v>5.5436155761465357E-2</v>
      </c>
      <c r="G237" s="2"/>
      <c r="H237" s="6">
        <v>32066.35</v>
      </c>
      <c r="I237" s="2"/>
      <c r="J237" s="7">
        <f t="shared" si="83"/>
        <v>5.457432930266732E-2</v>
      </c>
      <c r="K237" s="2"/>
      <c r="L237" s="6">
        <f t="shared" si="84"/>
        <v>-7064.5799999999981</v>
      </c>
      <c r="M237" s="2"/>
      <c r="N237" s="7">
        <f t="shared" si="85"/>
        <v>-0.22031132324071803</v>
      </c>
      <c r="O237" s="10"/>
      <c r="P237" s="6">
        <v>385447.72</v>
      </c>
      <c r="Q237" s="2"/>
      <c r="R237" s="7">
        <f t="shared" si="86"/>
        <v>3.755596113678554E-2</v>
      </c>
      <c r="S237" s="2"/>
      <c r="T237" s="6">
        <v>394189.56</v>
      </c>
      <c r="U237" s="2"/>
      <c r="V237" s="7">
        <f t="shared" si="87"/>
        <v>1.3765407876848478E-2</v>
      </c>
      <c r="W237" s="2"/>
      <c r="X237" s="6">
        <f t="shared" si="88"/>
        <v>-8741.8400000000256</v>
      </c>
      <c r="Y237" s="2"/>
      <c r="Z237" s="7">
        <f t="shared" si="89"/>
        <v>-2.2176741565656955E-2</v>
      </c>
    </row>
    <row r="238" spans="1:26" s="23" customFormat="1" hidden="1" outlineLevel="2" x14ac:dyDescent="0.25">
      <c r="A238" s="25"/>
      <c r="B238" s="10" t="str">
        <f>CONCATENATE("          ", "6324", " - ", "FURNITURE + FIXT DEPRECIATION")</f>
        <v xml:space="preserve">          6324 - FURNITURE + FIXT DEPRECIATION</v>
      </c>
      <c r="C238" s="10"/>
      <c r="D238" s="6"/>
      <c r="E238" s="2"/>
      <c r="F238" s="7">
        <f t="shared" si="82"/>
        <v>0</v>
      </c>
      <c r="G238" s="2"/>
      <c r="H238" s="6"/>
      <c r="I238" s="2"/>
      <c r="J238" s="7">
        <f t="shared" si="83"/>
        <v>0</v>
      </c>
      <c r="K238" s="2"/>
      <c r="L238" s="6">
        <f t="shared" si="84"/>
        <v>0</v>
      </c>
      <c r="M238" s="2"/>
      <c r="N238" s="7">
        <f t="shared" si="85"/>
        <v>0</v>
      </c>
      <c r="O238" s="10"/>
      <c r="P238" s="6"/>
      <c r="Q238" s="2"/>
      <c r="R238" s="7">
        <f t="shared" si="86"/>
        <v>0</v>
      </c>
      <c r="S238" s="2"/>
      <c r="T238" s="6">
        <v>0</v>
      </c>
      <c r="U238" s="2"/>
      <c r="V238" s="7">
        <f t="shared" si="87"/>
        <v>0</v>
      </c>
      <c r="W238" s="2"/>
      <c r="X238" s="6">
        <f t="shared" si="88"/>
        <v>0</v>
      </c>
      <c r="Y238" s="2"/>
      <c r="Z238" s="7">
        <f t="shared" si="89"/>
        <v>0</v>
      </c>
    </row>
    <row r="239" spans="1:26" s="23" customFormat="1" hidden="1" outlineLevel="2" x14ac:dyDescent="0.25">
      <c r="A239" s="25"/>
      <c r="B239" s="10" t="str">
        <f>CONCATENATE("          ", "6326", " - ", "VEHICLES DEPRECIATION EXPENSE")</f>
        <v xml:space="preserve">          6326 - VEHICLES DEPRECIATION EXPENSE</v>
      </c>
      <c r="C239" s="10"/>
      <c r="D239" s="6"/>
      <c r="E239" s="2"/>
      <c r="F239" s="7">
        <f t="shared" si="82"/>
        <v>0</v>
      </c>
      <c r="G239" s="2"/>
      <c r="H239" s="6"/>
      <c r="I239" s="2"/>
      <c r="J239" s="7">
        <f t="shared" si="83"/>
        <v>0</v>
      </c>
      <c r="K239" s="2"/>
      <c r="L239" s="6">
        <f t="shared" si="84"/>
        <v>0</v>
      </c>
      <c r="M239" s="2"/>
      <c r="N239" s="7">
        <f t="shared" si="85"/>
        <v>0</v>
      </c>
      <c r="O239" s="10"/>
      <c r="P239" s="6"/>
      <c r="Q239" s="2"/>
      <c r="R239" s="7">
        <f t="shared" si="86"/>
        <v>0</v>
      </c>
      <c r="S239" s="2"/>
      <c r="T239" s="6">
        <v>4242.4799999999996</v>
      </c>
      <c r="U239" s="2"/>
      <c r="V239" s="7">
        <f t="shared" si="87"/>
        <v>1.4815072121486961E-4</v>
      </c>
      <c r="W239" s="2"/>
      <c r="X239" s="6">
        <f t="shared" si="88"/>
        <v>-4242.4799999999996</v>
      </c>
      <c r="Y239" s="2"/>
      <c r="Z239" s="7">
        <f t="shared" si="89"/>
        <v>-1</v>
      </c>
    </row>
    <row r="240" spans="1:26" s="27" customFormat="1" outlineLevel="1" collapsed="1" x14ac:dyDescent="0.25">
      <c r="A240" s="26"/>
      <c r="B240" s="12" t="str">
        <f>CONCATENATE("     ","Discounts and Markdowns                           ")</f>
        <v xml:space="preserve">     Discounts and Markdowns                           </v>
      </c>
      <c r="C240" s="12"/>
      <c r="D240" s="1">
        <f>SUM(OSRRefD22_6x_0)</f>
        <v>0</v>
      </c>
      <c r="E240" s="1"/>
      <c r="F240" s="5">
        <f t="shared" ref="F240:F242" si="90">IF(D$12=0,0,D240/D$12)</f>
        <v>0</v>
      </c>
      <c r="G240" s="1"/>
      <c r="H240" s="1">
        <f>SUM(OSRRefH22_6x_0)</f>
        <v>42286.42</v>
      </c>
      <c r="I240" s="1"/>
      <c r="J240" s="5">
        <f t="shared" ref="J240:J242" si="91">IF(H$12=0,0,H240/H$12)</f>
        <v>7.1968060290956024E-2</v>
      </c>
      <c r="K240" s="1"/>
      <c r="L240" s="1">
        <f t="shared" ref="L240:L242" si="92">+D240-H240</f>
        <v>-42286.42</v>
      </c>
      <c r="M240" s="1"/>
      <c r="N240" s="5">
        <f t="shared" ref="N240:N242" si="93">IF(H240=0,0,L240/H240)</f>
        <v>-1</v>
      </c>
      <c r="O240" s="12"/>
      <c r="P240" s="1">
        <f>SUM(OSRRefP22_6x_0)</f>
        <v>-15.43</v>
      </c>
      <c r="Q240" s="1"/>
      <c r="R240" s="5">
        <f t="shared" ref="R240:R242" si="94">IF(P$12=0,0,P240/P$12)</f>
        <v>-1.5034165472313623E-6</v>
      </c>
      <c r="S240" s="1"/>
      <c r="T240" s="1">
        <f>SUM(OSRRefT22_6x_0)</f>
        <v>464181.86000000004</v>
      </c>
      <c r="U240" s="1"/>
      <c r="V240" s="5">
        <f t="shared" ref="V240:V242" si="95">IF(T$12=0,0,T240/T$12)</f>
        <v>1.6209593759748935E-2</v>
      </c>
      <c r="W240" s="1"/>
      <c r="X240" s="1">
        <f t="shared" ref="X240:X242" si="96">+P240-T240</f>
        <v>-464197.29000000004</v>
      </c>
      <c r="Y240" s="1"/>
      <c r="Z240" s="5">
        <f t="shared" ref="Z240:Z242" si="97">IF(T240=0,0,X240/T240)</f>
        <v>-1.0000332412817683</v>
      </c>
    </row>
    <row r="241" spans="1:26" s="23" customFormat="1" hidden="1" outlineLevel="2" x14ac:dyDescent="0.25">
      <c r="A241" s="25"/>
      <c r="B241" s="10" t="str">
        <f>CONCATENATE("          ", "6382", " - ", "DISCOUNTS/MARK DOWNS")</f>
        <v xml:space="preserve">          6382 - DISCOUNTS/MARK DOWNS</v>
      </c>
      <c r="C241" s="10"/>
      <c r="D241" s="6">
        <v>0</v>
      </c>
      <c r="E241" s="2"/>
      <c r="F241" s="7">
        <f t="shared" si="90"/>
        <v>0</v>
      </c>
      <c r="G241" s="2"/>
      <c r="H241" s="6">
        <v>42289.279999999999</v>
      </c>
      <c r="I241" s="2"/>
      <c r="J241" s="7">
        <f t="shared" si="91"/>
        <v>7.1972927779204776E-2</v>
      </c>
      <c r="K241" s="2"/>
      <c r="L241" s="6">
        <f t="shared" si="92"/>
        <v>-42289.279999999999</v>
      </c>
      <c r="M241" s="2"/>
      <c r="N241" s="7">
        <f t="shared" si="93"/>
        <v>-1</v>
      </c>
      <c r="O241" s="10"/>
      <c r="P241" s="6">
        <v>0</v>
      </c>
      <c r="Q241" s="2"/>
      <c r="R241" s="7">
        <f t="shared" si="94"/>
        <v>0</v>
      </c>
      <c r="S241" s="2"/>
      <c r="T241" s="6">
        <v>467416.34</v>
      </c>
      <c r="U241" s="2"/>
      <c r="V241" s="7">
        <f t="shared" si="95"/>
        <v>1.6322544332233676E-2</v>
      </c>
      <c r="W241" s="2"/>
      <c r="X241" s="6">
        <f t="shared" si="96"/>
        <v>-467416.34</v>
      </c>
      <c r="Y241" s="2"/>
      <c r="Z241" s="7">
        <f t="shared" si="97"/>
        <v>-1</v>
      </c>
    </row>
    <row r="242" spans="1:26" s="23" customFormat="1" hidden="1" outlineLevel="2" x14ac:dyDescent="0.25">
      <c r="A242" s="25"/>
      <c r="B242" s="10" t="str">
        <f>CONCATENATE("          ", "9175", " - ", "EARNED DISCOUNTS")</f>
        <v xml:space="preserve">          9175 - EARNED DISCOUNTS</v>
      </c>
      <c r="C242" s="10"/>
      <c r="D242" s="6">
        <v>0</v>
      </c>
      <c r="E242" s="2"/>
      <c r="F242" s="7">
        <f t="shared" si="90"/>
        <v>0</v>
      </c>
      <c r="G242" s="2"/>
      <c r="H242" s="6">
        <v>-2.86</v>
      </c>
      <c r="I242" s="2"/>
      <c r="J242" s="7">
        <f t="shared" si="91"/>
        <v>-4.8674882487601029E-6</v>
      </c>
      <c r="K242" s="2"/>
      <c r="L242" s="6">
        <f t="shared" si="92"/>
        <v>2.86</v>
      </c>
      <c r="M242" s="2"/>
      <c r="N242" s="7">
        <f t="shared" si="93"/>
        <v>-1</v>
      </c>
      <c r="O242" s="10"/>
      <c r="P242" s="6">
        <v>-15.43</v>
      </c>
      <c r="Q242" s="2"/>
      <c r="R242" s="7">
        <f t="shared" si="94"/>
        <v>-1.5034165472313623E-6</v>
      </c>
      <c r="S242" s="2"/>
      <c r="T242" s="6">
        <v>-3234.48</v>
      </c>
      <c r="U242" s="2"/>
      <c r="V242" s="7">
        <f t="shared" si="95"/>
        <v>-1.1295057248474278E-4</v>
      </c>
      <c r="W242" s="2"/>
      <c r="X242" s="6">
        <f t="shared" si="96"/>
        <v>3219.05</v>
      </c>
      <c r="Y242" s="2"/>
      <c r="Z242" s="7">
        <f t="shared" si="97"/>
        <v>-0.99522952684821053</v>
      </c>
    </row>
    <row r="243" spans="1:26" s="27" customFormat="1" outlineLevel="1" collapsed="1" x14ac:dyDescent="0.25">
      <c r="A243" s="26"/>
      <c r="B243" s="12" t="str">
        <f>CONCATENATE("     ","Donations                                         ")</f>
        <v xml:space="preserve">     Donations                                         </v>
      </c>
      <c r="C243" s="12"/>
      <c r="D243" s="1">
        <f>SUM(OSRRefD22_7x_0)</f>
        <v>0</v>
      </c>
      <c r="E243" s="1"/>
      <c r="F243" s="5">
        <f t="shared" ref="F243:F251" si="98">IF(D$12=0,0,D243/D$12)</f>
        <v>0</v>
      </c>
      <c r="G243" s="1"/>
      <c r="H243" s="1">
        <f>SUM(OSRRefH22_7x_0)</f>
        <v>0</v>
      </c>
      <c r="I243" s="1"/>
      <c r="J243" s="5">
        <f t="shared" ref="J243:J251" si="99">IF(H$12=0,0,H243/H$12)</f>
        <v>0</v>
      </c>
      <c r="K243" s="1"/>
      <c r="L243" s="1">
        <f t="shared" ref="L243:L251" si="100">+D243-H243</f>
        <v>0</v>
      </c>
      <c r="M243" s="1"/>
      <c r="N243" s="5">
        <f t="shared" ref="N243:N251" si="101">IF(H243=0,0,L243/H243)</f>
        <v>0</v>
      </c>
      <c r="O243" s="12"/>
      <c r="P243" s="1">
        <f>SUM(OSRRefP22_7x_0)</f>
        <v>62269.95</v>
      </c>
      <c r="Q243" s="1"/>
      <c r="R243" s="5">
        <f t="shared" ref="R243:R251" si="102">IF(P$12=0,0,P243/P$12)</f>
        <v>6.06725037104793E-3</v>
      </c>
      <c r="S243" s="1"/>
      <c r="T243" s="1">
        <f>SUM(OSRRefT22_7x_0)</f>
        <v>151321.84</v>
      </c>
      <c r="U243" s="1"/>
      <c r="V243" s="5">
        <f t="shared" ref="V243:V251" si="103">IF(T$12=0,0,T243/T$12)</f>
        <v>5.2842770576552178E-3</v>
      </c>
      <c r="W243" s="1"/>
      <c r="X243" s="1">
        <f t="shared" ref="X243:X251" si="104">+P243-T243</f>
        <v>-89051.89</v>
      </c>
      <c r="Y243" s="1"/>
      <c r="Z243" s="5">
        <f t="shared" ref="Z243:Z251" si="105">IF(T243=0,0,X243/T243)</f>
        <v>-0.58849330671633393</v>
      </c>
    </row>
    <row r="244" spans="1:26" s="23" customFormat="1" hidden="1" outlineLevel="2" x14ac:dyDescent="0.25">
      <c r="A244" s="25"/>
      <c r="B244" s="10" t="str">
        <f>CONCATENATE("          ", "6399", " - ", "DONATION-ON CAMPUS")</f>
        <v xml:space="preserve">          6399 - DONATION-ON CAMPUS</v>
      </c>
      <c r="C244" s="10"/>
      <c r="D244" s="6"/>
      <c r="E244" s="2"/>
      <c r="F244" s="7">
        <f t="shared" si="98"/>
        <v>0</v>
      </c>
      <c r="G244" s="2"/>
      <c r="H244" s="6"/>
      <c r="I244" s="2"/>
      <c r="J244" s="7">
        <f t="shared" si="99"/>
        <v>0</v>
      </c>
      <c r="K244" s="2"/>
      <c r="L244" s="6">
        <f t="shared" si="100"/>
        <v>0</v>
      </c>
      <c r="M244" s="2"/>
      <c r="N244" s="7">
        <f t="shared" si="101"/>
        <v>0</v>
      </c>
      <c r="O244" s="10"/>
      <c r="P244" s="6">
        <v>62269.95</v>
      </c>
      <c r="Q244" s="2"/>
      <c r="R244" s="7">
        <f t="shared" si="102"/>
        <v>6.06725037104793E-3</v>
      </c>
      <c r="S244" s="2"/>
      <c r="T244" s="6">
        <v>151321.84</v>
      </c>
      <c r="U244" s="2"/>
      <c r="V244" s="7">
        <f t="shared" si="103"/>
        <v>5.2842770576552178E-3</v>
      </c>
      <c r="W244" s="2"/>
      <c r="X244" s="6">
        <f t="shared" si="104"/>
        <v>-89051.89</v>
      </c>
      <c r="Y244" s="2"/>
      <c r="Z244" s="7">
        <f t="shared" si="105"/>
        <v>-0.58849330671633393</v>
      </c>
    </row>
    <row r="245" spans="1:26" s="27" customFormat="1" outlineLevel="1" collapsed="1" x14ac:dyDescent="0.25">
      <c r="A245" s="26"/>
      <c r="B245" s="12" t="str">
        <f>CONCATENATE("     ","Employees' Appreciation                           ")</f>
        <v xml:space="preserve">     Employees' Appreciation                           </v>
      </c>
      <c r="C245" s="12"/>
      <c r="D245" s="1">
        <f>SUM(OSRRefD22_8x_0)</f>
        <v>547.86</v>
      </c>
      <c r="E245" s="1"/>
      <c r="F245" s="5">
        <f t="shared" si="98"/>
        <v>1.2147640865217307E-3</v>
      </c>
      <c r="G245" s="1"/>
      <c r="H245" s="1">
        <f>SUM(OSRRefH22_8x_0)</f>
        <v>57</v>
      </c>
      <c r="I245" s="1"/>
      <c r="J245" s="5">
        <f t="shared" si="99"/>
        <v>9.7009381181582479E-5</v>
      </c>
      <c r="K245" s="1"/>
      <c r="L245" s="1">
        <f t="shared" si="100"/>
        <v>490.86</v>
      </c>
      <c r="M245" s="1"/>
      <c r="N245" s="5">
        <f t="shared" si="101"/>
        <v>8.6115789473684217</v>
      </c>
      <c r="O245" s="12"/>
      <c r="P245" s="1">
        <f>SUM(OSRRefP22_8x_0)</f>
        <v>743.89</v>
      </c>
      <c r="Q245" s="1"/>
      <c r="R245" s="5">
        <f t="shared" si="102"/>
        <v>7.2480656858064682E-5</v>
      </c>
      <c r="S245" s="1"/>
      <c r="T245" s="1">
        <f>SUM(OSRRefT22_8x_0)</f>
        <v>5310.59</v>
      </c>
      <c r="U245" s="1"/>
      <c r="V245" s="5">
        <f t="shared" si="103"/>
        <v>1.8544995817929008E-4</v>
      </c>
      <c r="W245" s="1"/>
      <c r="X245" s="1">
        <f t="shared" si="104"/>
        <v>-4566.7</v>
      </c>
      <c r="Y245" s="1"/>
      <c r="Z245" s="5">
        <f t="shared" si="105"/>
        <v>-0.85992328536000706</v>
      </c>
    </row>
    <row r="246" spans="1:26" s="23" customFormat="1" hidden="1" outlineLevel="2" x14ac:dyDescent="0.25">
      <c r="A246" s="25"/>
      <c r="B246" s="10" t="str">
        <f>CONCATENATE("          ", "6277", " - ", "EMPLOYEE APPRECIATION")</f>
        <v xml:space="preserve">          6277 - EMPLOYEE APPRECIATION</v>
      </c>
      <c r="C246" s="10"/>
      <c r="D246" s="6">
        <v>547.86</v>
      </c>
      <c r="E246" s="2"/>
      <c r="F246" s="7">
        <f t="shared" si="98"/>
        <v>1.2147640865217307E-3</v>
      </c>
      <c r="G246" s="2"/>
      <c r="H246" s="6">
        <v>57</v>
      </c>
      <c r="I246" s="2"/>
      <c r="J246" s="7">
        <f t="shared" si="99"/>
        <v>9.7009381181582479E-5</v>
      </c>
      <c r="K246" s="2"/>
      <c r="L246" s="6">
        <f t="shared" si="100"/>
        <v>490.86</v>
      </c>
      <c r="M246" s="2"/>
      <c r="N246" s="7">
        <f t="shared" si="101"/>
        <v>8.6115789473684217</v>
      </c>
      <c r="O246" s="10"/>
      <c r="P246" s="6">
        <v>743.89</v>
      </c>
      <c r="Q246" s="2"/>
      <c r="R246" s="7">
        <f t="shared" si="102"/>
        <v>7.2480656858064682E-5</v>
      </c>
      <c r="S246" s="2"/>
      <c r="T246" s="6">
        <v>5310.59</v>
      </c>
      <c r="U246" s="2"/>
      <c r="V246" s="7">
        <f t="shared" si="103"/>
        <v>1.8544995817929008E-4</v>
      </c>
      <c r="W246" s="2"/>
      <c r="X246" s="6">
        <f t="shared" si="104"/>
        <v>-4566.7</v>
      </c>
      <c r="Y246" s="2"/>
      <c r="Z246" s="7">
        <f t="shared" si="105"/>
        <v>-0.85992328536000706</v>
      </c>
    </row>
    <row r="247" spans="1:26" s="27" customFormat="1" outlineLevel="1" collapsed="1" x14ac:dyDescent="0.25">
      <c r="A247" s="26"/>
      <c r="B247" s="12" t="str">
        <f>CONCATENATE("     ","Equipment Rental                                  ")</f>
        <v xml:space="preserve">     Equipment Rental                                  </v>
      </c>
      <c r="C247" s="12"/>
      <c r="D247" s="1">
        <f>SUM(OSRRefD22_9x_0)</f>
        <v>4102</v>
      </c>
      <c r="E247" s="1"/>
      <c r="F247" s="5">
        <f t="shared" si="98"/>
        <v>9.0953204886506395E-3</v>
      </c>
      <c r="G247" s="1"/>
      <c r="H247" s="1">
        <f>SUM(OSRRefH22_9x_0)</f>
        <v>4178.84</v>
      </c>
      <c r="I247" s="1"/>
      <c r="J247" s="5">
        <f t="shared" si="99"/>
        <v>7.1120470606463888E-3</v>
      </c>
      <c r="K247" s="1"/>
      <c r="L247" s="1">
        <f t="shared" si="100"/>
        <v>-76.840000000000146</v>
      </c>
      <c r="M247" s="1"/>
      <c r="N247" s="5">
        <f t="shared" si="101"/>
        <v>-1.8387877975706211E-2</v>
      </c>
      <c r="O247" s="12"/>
      <c r="P247" s="1">
        <f>SUM(OSRRefP22_9x_0)</f>
        <v>34067.5</v>
      </c>
      <c r="Q247" s="1"/>
      <c r="R247" s="5">
        <f t="shared" si="102"/>
        <v>3.3193547130787059E-3</v>
      </c>
      <c r="S247" s="1"/>
      <c r="T247" s="1">
        <f>SUM(OSRRefT22_9x_0)</f>
        <v>55112.01</v>
      </c>
      <c r="U247" s="1"/>
      <c r="V247" s="5">
        <f t="shared" si="103"/>
        <v>1.9245545127145227E-3</v>
      </c>
      <c r="W247" s="1"/>
      <c r="X247" s="1">
        <f t="shared" si="104"/>
        <v>-21044.510000000002</v>
      </c>
      <c r="Y247" s="1"/>
      <c r="Z247" s="5">
        <f t="shared" si="105"/>
        <v>-0.38184980007080127</v>
      </c>
    </row>
    <row r="248" spans="1:26" s="23" customFormat="1" hidden="1" outlineLevel="2" x14ac:dyDescent="0.25">
      <c r="A248" s="25"/>
      <c r="B248" s="10" t="str">
        <f>CONCATENATE("          ", "6351", " - ", "EQUIPMENT RENTAL")</f>
        <v xml:space="preserve">          6351 - EQUIPMENT RENTAL</v>
      </c>
      <c r="C248" s="10"/>
      <c r="D248" s="6">
        <v>4102</v>
      </c>
      <c r="E248" s="2"/>
      <c r="F248" s="7">
        <f t="shared" si="98"/>
        <v>9.0953204886506395E-3</v>
      </c>
      <c r="G248" s="2"/>
      <c r="H248" s="6">
        <v>4178.84</v>
      </c>
      <c r="I248" s="2"/>
      <c r="J248" s="7">
        <f t="shared" si="99"/>
        <v>7.1120470606463888E-3</v>
      </c>
      <c r="K248" s="2"/>
      <c r="L248" s="6">
        <f t="shared" si="100"/>
        <v>-76.840000000000146</v>
      </c>
      <c r="M248" s="2"/>
      <c r="N248" s="7">
        <f t="shared" si="101"/>
        <v>-1.8387877975706211E-2</v>
      </c>
      <c r="O248" s="10"/>
      <c r="P248" s="6">
        <v>34067.5</v>
      </c>
      <c r="Q248" s="2"/>
      <c r="R248" s="7">
        <f t="shared" si="102"/>
        <v>3.3193547130787059E-3</v>
      </c>
      <c r="S248" s="2"/>
      <c r="T248" s="6">
        <v>55112.01</v>
      </c>
      <c r="U248" s="2"/>
      <c r="V248" s="7">
        <f t="shared" si="103"/>
        <v>1.9245545127145227E-3</v>
      </c>
      <c r="W248" s="2"/>
      <c r="X248" s="6">
        <f t="shared" si="104"/>
        <v>-21044.510000000002</v>
      </c>
      <c r="Y248" s="2"/>
      <c r="Z248" s="7">
        <f t="shared" si="105"/>
        <v>-0.38184980007080127</v>
      </c>
    </row>
    <row r="249" spans="1:26" s="27" customFormat="1" outlineLevel="1" collapsed="1" x14ac:dyDescent="0.25">
      <c r="A249" s="26"/>
      <c r="B249" s="12" t="str">
        <f>CONCATENATE("     ","Freight out/Postage                               ")</f>
        <v xml:space="preserve">     Freight out/Postage                               </v>
      </c>
      <c r="C249" s="12"/>
      <c r="D249" s="1">
        <f>SUM(OSRRefD22_10x_0)</f>
        <v>-7501.3200000000006</v>
      </c>
      <c r="E249" s="1"/>
      <c r="F249" s="5">
        <f t="shared" si="98"/>
        <v>-1.6632596169655001E-2</v>
      </c>
      <c r="G249" s="1"/>
      <c r="H249" s="1">
        <f>SUM(OSRRefH22_10x_0)</f>
        <v>25801.239999999998</v>
      </c>
      <c r="I249" s="1"/>
      <c r="J249" s="5">
        <f t="shared" si="99"/>
        <v>4.3911619756447244E-2</v>
      </c>
      <c r="K249" s="1"/>
      <c r="L249" s="1">
        <f t="shared" si="100"/>
        <v>-33302.559999999998</v>
      </c>
      <c r="M249" s="1"/>
      <c r="N249" s="5">
        <f t="shared" si="101"/>
        <v>-1.2907348639057659</v>
      </c>
      <c r="O249" s="12"/>
      <c r="P249" s="1">
        <f>SUM(OSRRefP22_10x_0)</f>
        <v>-72409.760000000009</v>
      </c>
      <c r="Q249" s="1"/>
      <c r="R249" s="5">
        <f t="shared" si="102"/>
        <v>-7.0552191422586924E-3</v>
      </c>
      <c r="S249" s="1"/>
      <c r="T249" s="1">
        <f>SUM(OSRRefT22_10x_0)</f>
        <v>42245.960000000006</v>
      </c>
      <c r="U249" s="1"/>
      <c r="V249" s="5">
        <f t="shared" si="103"/>
        <v>1.4752619794116968E-3</v>
      </c>
      <c r="W249" s="1"/>
      <c r="X249" s="1">
        <f t="shared" si="104"/>
        <v>-114655.72000000002</v>
      </c>
      <c r="Y249" s="1"/>
      <c r="Z249" s="5">
        <f t="shared" si="105"/>
        <v>-2.7140043687017648</v>
      </c>
    </row>
    <row r="250" spans="1:26" s="23" customFormat="1" hidden="1" outlineLevel="2" x14ac:dyDescent="0.25">
      <c r="A250" s="25"/>
      <c r="B250" s="10" t="str">
        <f>CONCATENATE("          ", "6305", " - ", "FREIGHT OUT")</f>
        <v xml:space="preserve">          6305 - FREIGHT OUT</v>
      </c>
      <c r="C250" s="10"/>
      <c r="D250" s="6">
        <v>7012.69</v>
      </c>
      <c r="E250" s="2"/>
      <c r="F250" s="7">
        <f t="shared" si="98"/>
        <v>1.5549162125196355E-2</v>
      </c>
      <c r="G250" s="2"/>
      <c r="H250" s="6">
        <v>32899.67</v>
      </c>
      <c r="I250" s="2"/>
      <c r="J250" s="7">
        <f t="shared" si="99"/>
        <v>5.5992572417162698E-2</v>
      </c>
      <c r="K250" s="2"/>
      <c r="L250" s="6">
        <f t="shared" si="100"/>
        <v>-25886.98</v>
      </c>
      <c r="M250" s="2"/>
      <c r="N250" s="7">
        <f t="shared" si="101"/>
        <v>-0.78684619025054059</v>
      </c>
      <c r="O250" s="10"/>
      <c r="P250" s="6">
        <v>234364.01</v>
      </c>
      <c r="Q250" s="2"/>
      <c r="R250" s="7">
        <f t="shared" si="102"/>
        <v>2.283517373360314E-2</v>
      </c>
      <c r="S250" s="2"/>
      <c r="T250" s="6">
        <v>103262.63</v>
      </c>
      <c r="U250" s="2"/>
      <c r="V250" s="7">
        <f t="shared" si="103"/>
        <v>3.6060118395476785E-3</v>
      </c>
      <c r="W250" s="2"/>
      <c r="X250" s="6">
        <f t="shared" si="104"/>
        <v>131101.38</v>
      </c>
      <c r="Y250" s="2"/>
      <c r="Z250" s="7">
        <f t="shared" si="105"/>
        <v>1.2695917196763242</v>
      </c>
    </row>
    <row r="251" spans="1:26" s="23" customFormat="1" hidden="1" outlineLevel="2" x14ac:dyDescent="0.25">
      <c r="A251" s="25"/>
      <c r="B251" s="10" t="str">
        <f>CONCATENATE("          ", "6307", " - ", "POSTAGE")</f>
        <v xml:space="preserve">          6307 - POSTAGE</v>
      </c>
      <c r="C251" s="10"/>
      <c r="D251" s="6">
        <v>-14514.01</v>
      </c>
      <c r="E251" s="2"/>
      <c r="F251" s="7">
        <f t="shared" si="98"/>
        <v>-3.2181758294851356E-2</v>
      </c>
      <c r="G251" s="2"/>
      <c r="H251" s="6">
        <v>-7098.43</v>
      </c>
      <c r="I251" s="2"/>
      <c r="J251" s="7">
        <f t="shared" si="99"/>
        <v>-1.2080952660715448E-2</v>
      </c>
      <c r="K251" s="2"/>
      <c r="L251" s="6">
        <f t="shared" si="100"/>
        <v>-7415.58</v>
      </c>
      <c r="M251" s="2"/>
      <c r="N251" s="7">
        <f t="shared" si="101"/>
        <v>1.0446788937835549</v>
      </c>
      <c r="O251" s="10"/>
      <c r="P251" s="6">
        <v>-306773.77</v>
      </c>
      <c r="Q251" s="2"/>
      <c r="R251" s="7">
        <f t="shared" si="102"/>
        <v>-2.9890392875861833E-2</v>
      </c>
      <c r="S251" s="2"/>
      <c r="T251" s="6">
        <v>-61016.67</v>
      </c>
      <c r="U251" s="2"/>
      <c r="V251" s="7">
        <f t="shared" si="103"/>
        <v>-2.1307498601359819E-3</v>
      </c>
      <c r="W251" s="2"/>
      <c r="X251" s="6">
        <f t="shared" si="104"/>
        <v>-245757.10000000003</v>
      </c>
      <c r="Y251" s="2"/>
      <c r="Z251" s="7">
        <f t="shared" si="105"/>
        <v>4.027704232302419</v>
      </c>
    </row>
    <row r="252" spans="1:26" s="27" customFormat="1" outlineLevel="1" collapsed="1" x14ac:dyDescent="0.25">
      <c r="A252" s="26"/>
      <c r="B252" s="12" t="str">
        <f>CONCATENATE("     ","General                                           ")</f>
        <v xml:space="preserve">     General                                           </v>
      </c>
      <c r="C252" s="12"/>
      <c r="D252" s="1">
        <f>SUM(OSRRefD22_11x_0)</f>
        <v>-871.74</v>
      </c>
      <c r="E252" s="1"/>
      <c r="F252" s="5">
        <f t="shared" ref="F252:F254" si="106">IF(D$12=0,0,D252/D$12)</f>
        <v>-1.9328997276392755E-3</v>
      </c>
      <c r="G252" s="1"/>
      <c r="H252" s="1">
        <f>SUM(OSRRefH22_11x_0)</f>
        <v>2960.82</v>
      </c>
      <c r="I252" s="1"/>
      <c r="J252" s="5">
        <f t="shared" ref="J252:J254" si="107">IF(H$12=0,0,H252/H$12)</f>
        <v>5.0390757191237376E-3</v>
      </c>
      <c r="K252" s="1"/>
      <c r="L252" s="1">
        <f t="shared" ref="L252:L254" si="108">+D252-H252</f>
        <v>-3832.5600000000004</v>
      </c>
      <c r="M252" s="1"/>
      <c r="N252" s="5">
        <f t="shared" ref="N252:N254" si="109">IF(H252=0,0,L252/H252)</f>
        <v>-1.2944251930208523</v>
      </c>
      <c r="O252" s="12"/>
      <c r="P252" s="1">
        <f>SUM(OSRRefP22_11x_0)</f>
        <v>20442.64</v>
      </c>
      <c r="Q252" s="1"/>
      <c r="R252" s="5">
        <f t="shared" ref="R252:R254" si="110">IF(P$12=0,0,P252/P$12)</f>
        <v>1.99182133798404E-3</v>
      </c>
      <c r="S252" s="1"/>
      <c r="T252" s="1">
        <f>SUM(OSRRefT22_11x_0)</f>
        <v>105025.13</v>
      </c>
      <c r="U252" s="1"/>
      <c r="V252" s="5">
        <f t="shared" ref="V252:V254" si="111">IF(T$12=0,0,T252/T$12)</f>
        <v>3.6675597186516949E-3</v>
      </c>
      <c r="W252" s="1"/>
      <c r="X252" s="1">
        <f t="shared" ref="X252:X254" si="112">+P252-T252</f>
        <v>-84582.49</v>
      </c>
      <c r="Y252" s="1"/>
      <c r="Z252" s="5">
        <f t="shared" ref="Z252:Z254" si="113">IF(T252=0,0,X252/T252)</f>
        <v>-0.80535477556657153</v>
      </c>
    </row>
    <row r="253" spans="1:26" s="23" customFormat="1" hidden="1" outlineLevel="2" x14ac:dyDescent="0.25">
      <c r="A253" s="25"/>
      <c r="B253" s="10" t="str">
        <f>CONCATENATE("          ", "6269", " - ", "ENTERTAINMENT")</f>
        <v xml:space="preserve">          6269 - ENTERTAINMENT</v>
      </c>
      <c r="C253" s="10"/>
      <c r="D253" s="6"/>
      <c r="E253" s="2"/>
      <c r="F253" s="7">
        <f t="shared" si="106"/>
        <v>0</v>
      </c>
      <c r="G253" s="2"/>
      <c r="H253" s="6"/>
      <c r="I253" s="2"/>
      <c r="J253" s="7">
        <f t="shared" si="107"/>
        <v>0</v>
      </c>
      <c r="K253" s="2"/>
      <c r="L253" s="6">
        <f t="shared" si="108"/>
        <v>0</v>
      </c>
      <c r="M253" s="2"/>
      <c r="N253" s="7">
        <f t="shared" si="109"/>
        <v>0</v>
      </c>
      <c r="O253" s="10"/>
      <c r="P253" s="6"/>
      <c r="Q253" s="2"/>
      <c r="R253" s="7">
        <f t="shared" si="110"/>
        <v>0</v>
      </c>
      <c r="S253" s="2"/>
      <c r="T253" s="6">
        <v>10050</v>
      </c>
      <c r="U253" s="2"/>
      <c r="V253" s="7">
        <f t="shared" si="111"/>
        <v>3.5095386382715768E-4</v>
      </c>
      <c r="W253" s="2"/>
      <c r="X253" s="6">
        <f t="shared" si="112"/>
        <v>-10050</v>
      </c>
      <c r="Y253" s="2"/>
      <c r="Z253" s="7">
        <f t="shared" si="113"/>
        <v>-1</v>
      </c>
    </row>
    <row r="254" spans="1:26" s="23" customFormat="1" hidden="1" outlineLevel="2" x14ac:dyDescent="0.25">
      <c r="A254" s="25"/>
      <c r="B254" s="10" t="str">
        <f>CONCATENATE("          ", "6279", " - ", "GENERAL EXPENSE")</f>
        <v xml:space="preserve">          6279 - GENERAL EXPENSE</v>
      </c>
      <c r="C254" s="10"/>
      <c r="D254" s="6">
        <v>-871.74</v>
      </c>
      <c r="E254" s="2"/>
      <c r="F254" s="7">
        <f t="shared" si="106"/>
        <v>-1.9328997276392755E-3</v>
      </c>
      <c r="G254" s="2"/>
      <c r="H254" s="6">
        <v>2960.82</v>
      </c>
      <c r="I254" s="2"/>
      <c r="J254" s="7">
        <f t="shared" si="107"/>
        <v>5.0390757191237376E-3</v>
      </c>
      <c r="K254" s="2"/>
      <c r="L254" s="6">
        <f t="shared" si="108"/>
        <v>-3832.5600000000004</v>
      </c>
      <c r="M254" s="2"/>
      <c r="N254" s="7">
        <f t="shared" si="109"/>
        <v>-1.2944251930208523</v>
      </c>
      <c r="O254" s="10"/>
      <c r="P254" s="6">
        <v>20442.64</v>
      </c>
      <c r="Q254" s="2"/>
      <c r="R254" s="7">
        <f t="shared" si="110"/>
        <v>1.99182133798404E-3</v>
      </c>
      <c r="S254" s="2"/>
      <c r="T254" s="6">
        <v>94975.13</v>
      </c>
      <c r="U254" s="2"/>
      <c r="V254" s="7">
        <f t="shared" si="111"/>
        <v>3.3166058548245374E-3</v>
      </c>
      <c r="W254" s="2"/>
      <c r="X254" s="6">
        <f t="shared" si="112"/>
        <v>-74532.490000000005</v>
      </c>
      <c r="Y254" s="2"/>
      <c r="Z254" s="7">
        <f t="shared" si="113"/>
        <v>-0.78475796769112083</v>
      </c>
    </row>
    <row r="255" spans="1:26" s="27" customFormat="1" outlineLevel="1" collapsed="1" x14ac:dyDescent="0.25">
      <c r="A255" s="26"/>
      <c r="B255" s="12" t="str">
        <f>CONCATENATE("     ","Insurance                                         ")</f>
        <v xml:space="preserve">     Insurance                                         </v>
      </c>
      <c r="C255" s="12"/>
      <c r="D255" s="1">
        <f>SUM(OSRRefD22_12x_0)</f>
        <v>18295.95</v>
      </c>
      <c r="E255" s="1"/>
      <c r="F255" s="5">
        <f t="shared" ref="F255:F296" si="114">IF(D$12=0,0,D255/D$12)</f>
        <v>4.0567413187305626E-2</v>
      </c>
      <c r="G255" s="1"/>
      <c r="H255" s="1">
        <f>SUM(OSRRefH22_12x_0)</f>
        <v>8563.32</v>
      </c>
      <c r="I255" s="1"/>
      <c r="J255" s="5">
        <f t="shared" ref="J255:J296" si="115">IF(H$12=0,0,H255/H$12)</f>
        <v>1.4574076737892436E-2</v>
      </c>
      <c r="K255" s="1"/>
      <c r="L255" s="1">
        <f t="shared" ref="L255:L296" si="116">+D255-H255</f>
        <v>9732.630000000001</v>
      </c>
      <c r="M255" s="1"/>
      <c r="N255" s="5">
        <f t="shared" ref="N255:N296" si="117">IF(H255=0,0,L255/H255)</f>
        <v>1.1365486750465943</v>
      </c>
      <c r="O255" s="12"/>
      <c r="P255" s="1">
        <f>SUM(OSRRefP22_12x_0)</f>
        <v>118604.47</v>
      </c>
      <c r="Q255" s="1"/>
      <c r="R255" s="5">
        <f t="shared" ref="R255:R296" si="118">IF(P$12=0,0,P255/P$12)</f>
        <v>1.1556184236785852E-2</v>
      </c>
      <c r="S255" s="1"/>
      <c r="T255" s="1">
        <f>SUM(OSRRefT22_12x_0)</f>
        <v>108520.84</v>
      </c>
      <c r="U255" s="1"/>
      <c r="V255" s="5">
        <f t="shared" ref="V255:V296" si="119">IF(T$12=0,0,T255/T$12)</f>
        <v>3.7896326471411708E-3</v>
      </c>
      <c r="W255" s="1"/>
      <c r="X255" s="1">
        <f t="shared" ref="X255:X296" si="120">+P255-T255</f>
        <v>10083.630000000005</v>
      </c>
      <c r="Y255" s="1"/>
      <c r="Z255" s="5">
        <f t="shared" ref="Z255:Z296" si="121">IF(T255=0,0,X255/T255)</f>
        <v>9.2918834760217534E-2</v>
      </c>
    </row>
    <row r="256" spans="1:26" s="23" customFormat="1" hidden="1" outlineLevel="2" x14ac:dyDescent="0.25">
      <c r="A256" s="25"/>
      <c r="B256" s="10" t="str">
        <f>CONCATENATE("          ", "6314", " - ", "LIABILITY INSURANCE")</f>
        <v xml:space="preserve">          6314 - LIABILITY INSURANCE</v>
      </c>
      <c r="C256" s="10"/>
      <c r="D256" s="6">
        <v>18295.95</v>
      </c>
      <c r="E256" s="2"/>
      <c r="F256" s="7">
        <f t="shared" si="114"/>
        <v>4.0567413187305626E-2</v>
      </c>
      <c r="G256" s="2"/>
      <c r="H256" s="6">
        <v>8563.32</v>
      </c>
      <c r="I256" s="2"/>
      <c r="J256" s="7">
        <f t="shared" si="115"/>
        <v>1.4574076737892436E-2</v>
      </c>
      <c r="K256" s="2"/>
      <c r="L256" s="6">
        <f t="shared" si="116"/>
        <v>9732.630000000001</v>
      </c>
      <c r="M256" s="2"/>
      <c r="N256" s="7">
        <f t="shared" si="117"/>
        <v>1.1365486750465943</v>
      </c>
      <c r="O256" s="10"/>
      <c r="P256" s="6">
        <v>118604.47</v>
      </c>
      <c r="Q256" s="2"/>
      <c r="R256" s="7">
        <f t="shared" si="118"/>
        <v>1.1556184236785852E-2</v>
      </c>
      <c r="S256" s="2"/>
      <c r="T256" s="6">
        <v>108520.84</v>
      </c>
      <c r="U256" s="2"/>
      <c r="V256" s="7">
        <f t="shared" si="119"/>
        <v>3.7896326471411708E-3</v>
      </c>
      <c r="W256" s="2"/>
      <c r="X256" s="6">
        <f t="shared" si="120"/>
        <v>10083.630000000005</v>
      </c>
      <c r="Y256" s="2"/>
      <c r="Z256" s="7">
        <f t="shared" si="121"/>
        <v>9.2918834760217534E-2</v>
      </c>
    </row>
    <row r="257" spans="1:26" s="27" customFormat="1" outlineLevel="1" collapsed="1" x14ac:dyDescent="0.25">
      <c r="A257" s="26"/>
      <c r="B257" s="12" t="str">
        <f>CONCATENATE("     ","Interest                                          ")</f>
        <v xml:space="preserve">     Interest                                          </v>
      </c>
      <c r="C257" s="12"/>
      <c r="D257" s="1">
        <f>SUM(OSRRefD22_13x_0)</f>
        <v>-1254.77</v>
      </c>
      <c r="E257" s="1"/>
      <c r="F257" s="5">
        <f t="shared" si="114"/>
        <v>-2.7821880276801955E-3</v>
      </c>
      <c r="G257" s="1"/>
      <c r="H257" s="1">
        <f>SUM(OSRRefH22_13x_0)</f>
        <v>-879.77</v>
      </c>
      <c r="I257" s="1"/>
      <c r="J257" s="5">
        <f t="shared" si="115"/>
        <v>-1.4972972505635231E-3</v>
      </c>
      <c r="K257" s="1"/>
      <c r="L257" s="1">
        <f t="shared" si="116"/>
        <v>-375</v>
      </c>
      <c r="M257" s="1"/>
      <c r="N257" s="5">
        <f t="shared" si="117"/>
        <v>0.42624776930334063</v>
      </c>
      <c r="O257" s="12"/>
      <c r="P257" s="1">
        <f>SUM(OSRRefP22_13x_0)</f>
        <v>122716.23</v>
      </c>
      <c r="Q257" s="1"/>
      <c r="R257" s="5">
        <f t="shared" si="118"/>
        <v>1.195681210601748E-2</v>
      </c>
      <c r="S257" s="1"/>
      <c r="T257" s="1">
        <f>SUM(OSRRefT22_13x_0)</f>
        <v>126739.28</v>
      </c>
      <c r="U257" s="1"/>
      <c r="V257" s="5">
        <f t="shared" si="119"/>
        <v>4.4258348273305478E-3</v>
      </c>
      <c r="W257" s="1"/>
      <c r="X257" s="1">
        <f t="shared" si="120"/>
        <v>-4023.0500000000029</v>
      </c>
      <c r="Y257" s="1"/>
      <c r="Z257" s="5">
        <f t="shared" si="121"/>
        <v>-3.1742724118363326E-2</v>
      </c>
    </row>
    <row r="258" spans="1:26" s="23" customFormat="1" hidden="1" outlineLevel="2" x14ac:dyDescent="0.25">
      <c r="A258" s="25"/>
      <c r="B258" s="10" t="str">
        <f>CONCATENATE("          ", "6401", " - ", "INTEREST EXPENSE")</f>
        <v xml:space="preserve">          6401 - INTEREST EXPENSE</v>
      </c>
      <c r="C258" s="10"/>
      <c r="D258" s="6">
        <v>-1254.77</v>
      </c>
      <c r="E258" s="2"/>
      <c r="F258" s="7">
        <f t="shared" si="114"/>
        <v>-2.7821880276801955E-3</v>
      </c>
      <c r="G258" s="2"/>
      <c r="H258" s="6">
        <v>-879.77</v>
      </c>
      <c r="I258" s="2"/>
      <c r="J258" s="7">
        <f t="shared" si="115"/>
        <v>-1.4972972505635231E-3</v>
      </c>
      <c r="K258" s="2"/>
      <c r="L258" s="6">
        <f t="shared" si="116"/>
        <v>-375</v>
      </c>
      <c r="M258" s="2"/>
      <c r="N258" s="7">
        <f t="shared" si="117"/>
        <v>0.42624776930334063</v>
      </c>
      <c r="O258" s="10"/>
      <c r="P258" s="6">
        <v>122716.23</v>
      </c>
      <c r="Q258" s="2"/>
      <c r="R258" s="7">
        <f t="shared" si="118"/>
        <v>1.195681210601748E-2</v>
      </c>
      <c r="S258" s="2"/>
      <c r="T258" s="6">
        <v>126739.28</v>
      </c>
      <c r="U258" s="2"/>
      <c r="V258" s="7">
        <f t="shared" si="119"/>
        <v>4.4258348273305478E-3</v>
      </c>
      <c r="W258" s="2"/>
      <c r="X258" s="6">
        <f t="shared" si="120"/>
        <v>-4023.0500000000029</v>
      </c>
      <c r="Y258" s="2"/>
      <c r="Z258" s="7">
        <f t="shared" si="121"/>
        <v>-3.1742724118363326E-2</v>
      </c>
    </row>
    <row r="259" spans="1:26" s="27" customFormat="1" outlineLevel="1" collapsed="1" x14ac:dyDescent="0.25">
      <c r="A259" s="26"/>
      <c r="B259" s="12" t="str">
        <f>CONCATENATE("     ","Inventory Adjustment                              ")</f>
        <v xml:space="preserve">     Inventory Adjustment                              </v>
      </c>
      <c r="C259" s="12"/>
      <c r="D259" s="1">
        <f>SUM(OSRRefD22_14x_0)</f>
        <v>-41850</v>
      </c>
      <c r="E259" s="1"/>
      <c r="F259" s="5">
        <f t="shared" si="114"/>
        <v>-9.2793554961001765E-2</v>
      </c>
      <c r="G259" s="1"/>
      <c r="H259" s="1">
        <f>SUM(OSRRefH22_14x_0)</f>
        <v>-53350</v>
      </c>
      <c r="I259" s="1"/>
      <c r="J259" s="5">
        <f t="shared" si="115"/>
        <v>-9.0797376948025005E-2</v>
      </c>
      <c r="K259" s="1"/>
      <c r="L259" s="1">
        <f t="shared" si="116"/>
        <v>11500</v>
      </c>
      <c r="M259" s="1"/>
      <c r="N259" s="5">
        <f t="shared" si="117"/>
        <v>-0.2155576382380506</v>
      </c>
      <c r="O259" s="12"/>
      <c r="P259" s="1">
        <f>SUM(OSRRefP22_14x_0)</f>
        <v>0</v>
      </c>
      <c r="Q259" s="1"/>
      <c r="R259" s="5">
        <f t="shared" si="118"/>
        <v>0</v>
      </c>
      <c r="S259" s="1"/>
      <c r="T259" s="1">
        <f>SUM(OSRRefT22_14x_0)</f>
        <v>0</v>
      </c>
      <c r="U259" s="1"/>
      <c r="V259" s="5">
        <f t="shared" si="119"/>
        <v>0</v>
      </c>
      <c r="W259" s="1"/>
      <c r="X259" s="1">
        <f t="shared" si="120"/>
        <v>0</v>
      </c>
      <c r="Y259" s="1"/>
      <c r="Z259" s="5">
        <f t="shared" si="121"/>
        <v>0</v>
      </c>
    </row>
    <row r="260" spans="1:26" s="23" customFormat="1" hidden="1" outlineLevel="2" x14ac:dyDescent="0.25">
      <c r="A260" s="25"/>
      <c r="B260" s="10" t="str">
        <f>CONCATENATE("          ", "6408", " - ", "INVENTORY ADJUSTMENT")</f>
        <v xml:space="preserve">          6408 - INVENTORY ADJUSTMENT</v>
      </c>
      <c r="C260" s="10"/>
      <c r="D260" s="6">
        <v>-41850</v>
      </c>
      <c r="E260" s="2"/>
      <c r="F260" s="7">
        <f t="shared" si="114"/>
        <v>-9.2793554961001765E-2</v>
      </c>
      <c r="G260" s="2"/>
      <c r="H260" s="6">
        <v>-53350</v>
      </c>
      <c r="I260" s="2"/>
      <c r="J260" s="7">
        <f t="shared" si="115"/>
        <v>-9.0797376948025005E-2</v>
      </c>
      <c r="K260" s="2"/>
      <c r="L260" s="6">
        <f t="shared" si="116"/>
        <v>11500</v>
      </c>
      <c r="M260" s="2"/>
      <c r="N260" s="7">
        <f t="shared" si="117"/>
        <v>-0.2155576382380506</v>
      </c>
      <c r="O260" s="10"/>
      <c r="P260" s="6">
        <v>0</v>
      </c>
      <c r="Q260" s="2"/>
      <c r="R260" s="7">
        <f t="shared" si="118"/>
        <v>0</v>
      </c>
      <c r="S260" s="2"/>
      <c r="T260" s="6">
        <v>0</v>
      </c>
      <c r="U260" s="2"/>
      <c r="V260" s="7">
        <f t="shared" si="119"/>
        <v>0</v>
      </c>
      <c r="W260" s="2"/>
      <c r="X260" s="6">
        <f t="shared" si="120"/>
        <v>0</v>
      </c>
      <c r="Y260" s="2"/>
      <c r="Z260" s="7">
        <f t="shared" si="121"/>
        <v>0</v>
      </c>
    </row>
    <row r="261" spans="1:26" s="23" customFormat="1" hidden="1" outlineLevel="2" x14ac:dyDescent="0.25">
      <c r="A261" s="25"/>
      <c r="B261" s="10" t="str">
        <f>CONCATENATE("          ", "7700", " - ", "INV. SHRINKAGE @ RETAIL-CONTRA")</f>
        <v xml:space="preserve">          7700 - INV. SHRINKAGE @ RETAIL-CONTRA</v>
      </c>
      <c r="C261" s="10"/>
      <c r="D261" s="6"/>
      <c r="E261" s="2"/>
      <c r="F261" s="7">
        <f t="shared" si="114"/>
        <v>0</v>
      </c>
      <c r="G261" s="2"/>
      <c r="H261" s="6">
        <v>-99781</v>
      </c>
      <c r="I261" s="2"/>
      <c r="J261" s="7">
        <f t="shared" si="115"/>
        <v>-0.16981917655578038</v>
      </c>
      <c r="K261" s="2"/>
      <c r="L261" s="6">
        <f t="shared" si="116"/>
        <v>99781</v>
      </c>
      <c r="M261" s="2"/>
      <c r="N261" s="7">
        <f t="shared" si="117"/>
        <v>-1</v>
      </c>
      <c r="O261" s="10"/>
      <c r="P261" s="6"/>
      <c r="Q261" s="2"/>
      <c r="R261" s="7">
        <f t="shared" si="118"/>
        <v>0</v>
      </c>
      <c r="S261" s="2"/>
      <c r="T261" s="6">
        <v>-99781</v>
      </c>
      <c r="U261" s="2"/>
      <c r="V261" s="7">
        <f t="shared" si="119"/>
        <v>-3.4844305956753851E-3</v>
      </c>
      <c r="W261" s="2"/>
      <c r="X261" s="6">
        <f t="shared" si="120"/>
        <v>99781</v>
      </c>
      <c r="Y261" s="2"/>
      <c r="Z261" s="7">
        <f t="shared" si="121"/>
        <v>-1</v>
      </c>
    </row>
    <row r="262" spans="1:26" s="23" customFormat="1" hidden="1" outlineLevel="2" x14ac:dyDescent="0.25">
      <c r="A262" s="25"/>
      <c r="B262" s="10" t="str">
        <f>CONCATENATE("          ", "7701", " - ", "INV. SHRINKAGE-NEW TEXT")</f>
        <v xml:space="preserve">          7701 - INV. SHRINKAGE-NEW TEXT</v>
      </c>
      <c r="C262" s="10"/>
      <c r="D262" s="6"/>
      <c r="E262" s="2"/>
      <c r="F262" s="7">
        <f t="shared" si="114"/>
        <v>0</v>
      </c>
      <c r="G262" s="2"/>
      <c r="H262" s="6">
        <v>-4346</v>
      </c>
      <c r="I262" s="2"/>
      <c r="J262" s="7">
        <f t="shared" si="115"/>
        <v>-7.3965398353536401E-3</v>
      </c>
      <c r="K262" s="2"/>
      <c r="L262" s="6">
        <f t="shared" si="116"/>
        <v>4346</v>
      </c>
      <c r="M262" s="2"/>
      <c r="N262" s="7">
        <f t="shared" si="117"/>
        <v>-1</v>
      </c>
      <c r="O262" s="10"/>
      <c r="P262" s="6"/>
      <c r="Q262" s="2"/>
      <c r="R262" s="7">
        <f t="shared" si="118"/>
        <v>0</v>
      </c>
      <c r="S262" s="2"/>
      <c r="T262" s="6">
        <v>-4346</v>
      </c>
      <c r="U262" s="2"/>
      <c r="V262" s="7">
        <f t="shared" si="119"/>
        <v>-1.5176572061620171E-4</v>
      </c>
      <c r="W262" s="2"/>
      <c r="X262" s="6">
        <f t="shared" si="120"/>
        <v>4346</v>
      </c>
      <c r="Y262" s="2"/>
      <c r="Z262" s="7">
        <f t="shared" si="121"/>
        <v>-1</v>
      </c>
    </row>
    <row r="263" spans="1:26" s="23" customFormat="1" hidden="1" outlineLevel="2" x14ac:dyDescent="0.25">
      <c r="A263" s="25"/>
      <c r="B263" s="10" t="str">
        <f>CONCATENATE("          ", "7702", " - ", "INV. SHRINKAGE-USED TEXT")</f>
        <v xml:space="preserve">          7702 - INV. SHRINKAGE-USED TEXT</v>
      </c>
      <c r="C263" s="10"/>
      <c r="D263" s="6"/>
      <c r="E263" s="2"/>
      <c r="F263" s="7">
        <f t="shared" si="114"/>
        <v>0</v>
      </c>
      <c r="G263" s="2"/>
      <c r="H263" s="6">
        <v>-29494</v>
      </c>
      <c r="I263" s="2"/>
      <c r="J263" s="7">
        <f t="shared" si="115"/>
        <v>-5.0196398045080595E-2</v>
      </c>
      <c r="K263" s="2"/>
      <c r="L263" s="6">
        <f t="shared" si="116"/>
        <v>29494</v>
      </c>
      <c r="M263" s="2"/>
      <c r="N263" s="7">
        <f t="shared" si="117"/>
        <v>-1</v>
      </c>
      <c r="O263" s="10"/>
      <c r="P263" s="6"/>
      <c r="Q263" s="2"/>
      <c r="R263" s="7">
        <f t="shared" si="118"/>
        <v>0</v>
      </c>
      <c r="S263" s="2"/>
      <c r="T263" s="6">
        <v>-29494</v>
      </c>
      <c r="U263" s="2"/>
      <c r="V263" s="7">
        <f t="shared" si="119"/>
        <v>-1.0299535581809144E-3</v>
      </c>
      <c r="W263" s="2"/>
      <c r="X263" s="6">
        <f t="shared" si="120"/>
        <v>29494</v>
      </c>
      <c r="Y263" s="2"/>
      <c r="Z263" s="7">
        <f t="shared" si="121"/>
        <v>-1</v>
      </c>
    </row>
    <row r="264" spans="1:26" s="23" customFormat="1" hidden="1" outlineLevel="2" x14ac:dyDescent="0.25">
      <c r="A264" s="25"/>
      <c r="B264" s="10" t="str">
        <f>CONCATENATE("          ", "7703", " - ", "INV. SHRINKAGE-RENTAL TEXT")</f>
        <v xml:space="preserve">          7703 - INV. SHRINKAGE-RENTAL TEXT</v>
      </c>
      <c r="C264" s="10"/>
      <c r="D264" s="6"/>
      <c r="E264" s="2"/>
      <c r="F264" s="7">
        <f t="shared" si="114"/>
        <v>0</v>
      </c>
      <c r="G264" s="2"/>
      <c r="H264" s="6">
        <v>526</v>
      </c>
      <c r="I264" s="2"/>
      <c r="J264" s="7">
        <f t="shared" si="115"/>
        <v>8.952093772195155E-4</v>
      </c>
      <c r="K264" s="2"/>
      <c r="L264" s="6">
        <f t="shared" si="116"/>
        <v>-526</v>
      </c>
      <c r="M264" s="2"/>
      <c r="N264" s="7">
        <f t="shared" si="117"/>
        <v>-1</v>
      </c>
      <c r="O264" s="10"/>
      <c r="P264" s="6"/>
      <c r="Q264" s="2"/>
      <c r="R264" s="7">
        <f t="shared" si="118"/>
        <v>0</v>
      </c>
      <c r="S264" s="2"/>
      <c r="T264" s="6">
        <v>526</v>
      </c>
      <c r="U264" s="2"/>
      <c r="V264" s="7">
        <f t="shared" si="119"/>
        <v>1.8368331579411437E-5</v>
      </c>
      <c r="W264" s="2"/>
      <c r="X264" s="6">
        <f t="shared" si="120"/>
        <v>-526</v>
      </c>
      <c r="Y264" s="2"/>
      <c r="Z264" s="7">
        <f t="shared" si="121"/>
        <v>-1</v>
      </c>
    </row>
    <row r="265" spans="1:26" s="23" customFormat="1" hidden="1" outlineLevel="2" x14ac:dyDescent="0.25">
      <c r="A265" s="25"/>
      <c r="B265" s="10" t="str">
        <f>CONCATENATE("          ", "7704", " - ", "INV. SHRINKAGE-DIGITAL TEXT")</f>
        <v xml:space="preserve">          7704 - INV. SHRINKAGE-DIGITAL TEXT</v>
      </c>
      <c r="C265" s="10"/>
      <c r="D265" s="6"/>
      <c r="E265" s="2"/>
      <c r="F265" s="7">
        <f t="shared" si="114"/>
        <v>0</v>
      </c>
      <c r="G265" s="2"/>
      <c r="H265" s="6">
        <v>816</v>
      </c>
      <c r="I265" s="2"/>
      <c r="J265" s="7">
        <f t="shared" si="115"/>
        <v>1.3887658779679177E-3</v>
      </c>
      <c r="K265" s="2"/>
      <c r="L265" s="6">
        <f t="shared" si="116"/>
        <v>-816</v>
      </c>
      <c r="M265" s="2"/>
      <c r="N265" s="7">
        <f t="shared" si="117"/>
        <v>-1</v>
      </c>
      <c r="O265" s="10"/>
      <c r="P265" s="6"/>
      <c r="Q265" s="2"/>
      <c r="R265" s="7">
        <f t="shared" si="118"/>
        <v>0</v>
      </c>
      <c r="S265" s="2"/>
      <c r="T265" s="6">
        <v>816</v>
      </c>
      <c r="U265" s="2"/>
      <c r="V265" s="7">
        <f t="shared" si="119"/>
        <v>2.849535849581698E-5</v>
      </c>
      <c r="W265" s="2"/>
      <c r="X265" s="6">
        <f t="shared" si="120"/>
        <v>-816</v>
      </c>
      <c r="Y265" s="2"/>
      <c r="Z265" s="7">
        <f t="shared" si="121"/>
        <v>-1</v>
      </c>
    </row>
    <row r="266" spans="1:26" s="23" customFormat="1" hidden="1" outlineLevel="2" x14ac:dyDescent="0.25">
      <c r="A266" s="25"/>
      <c r="B266" s="10" t="str">
        <f>CONCATENATE("          ", "7711", " - ", "INV. SHRINKAGE-NO VALUE TEXT")</f>
        <v xml:space="preserve">          7711 - INV. SHRINKAGE-NO VALUE TEXT</v>
      </c>
      <c r="C266" s="10"/>
      <c r="D266" s="6"/>
      <c r="E266" s="2"/>
      <c r="F266" s="7">
        <f t="shared" si="114"/>
        <v>0</v>
      </c>
      <c r="G266" s="2"/>
      <c r="H266" s="6">
        <v>-1126</v>
      </c>
      <c r="I266" s="2"/>
      <c r="J266" s="7">
        <f t="shared" si="115"/>
        <v>-1.9163607580782785E-3</v>
      </c>
      <c r="K266" s="2"/>
      <c r="L266" s="6">
        <f t="shared" si="116"/>
        <v>1126</v>
      </c>
      <c r="M266" s="2"/>
      <c r="N266" s="7">
        <f t="shared" si="117"/>
        <v>-1</v>
      </c>
      <c r="O266" s="10"/>
      <c r="P266" s="6"/>
      <c r="Q266" s="2"/>
      <c r="R266" s="7">
        <f t="shared" si="118"/>
        <v>0</v>
      </c>
      <c r="S266" s="2"/>
      <c r="T266" s="6">
        <v>-1126</v>
      </c>
      <c r="U266" s="2"/>
      <c r="V266" s="7">
        <f t="shared" si="119"/>
        <v>-3.9320801061629806E-5</v>
      </c>
      <c r="W266" s="2"/>
      <c r="X266" s="6">
        <f t="shared" si="120"/>
        <v>1126</v>
      </c>
      <c r="Y266" s="2"/>
      <c r="Z266" s="7">
        <f t="shared" si="121"/>
        <v>-1</v>
      </c>
    </row>
    <row r="267" spans="1:26" s="23" customFormat="1" hidden="1" outlineLevel="2" x14ac:dyDescent="0.25">
      <c r="A267" s="25"/>
      <c r="B267" s="10" t="str">
        <f>CONCATENATE("          ", "7713", " - ", "INV. SHRINKAGE-TRADE BOOKS")</f>
        <v xml:space="preserve">          7713 - INV. SHRINKAGE-TRADE BOOKS</v>
      </c>
      <c r="C267" s="10"/>
      <c r="D267" s="6"/>
      <c r="E267" s="2"/>
      <c r="F267" s="7">
        <f t="shared" si="114"/>
        <v>0</v>
      </c>
      <c r="G267" s="2"/>
      <c r="H267" s="6">
        <v>-385</v>
      </c>
      <c r="I267" s="2"/>
      <c r="J267" s="7">
        <f t="shared" si="115"/>
        <v>-6.5523880271770626E-4</v>
      </c>
      <c r="K267" s="2"/>
      <c r="L267" s="6">
        <f t="shared" si="116"/>
        <v>385</v>
      </c>
      <c r="M267" s="2"/>
      <c r="N267" s="7">
        <f t="shared" si="117"/>
        <v>-1</v>
      </c>
      <c r="O267" s="10"/>
      <c r="P267" s="6"/>
      <c r="Q267" s="2"/>
      <c r="R267" s="7">
        <f t="shared" si="118"/>
        <v>0</v>
      </c>
      <c r="S267" s="2"/>
      <c r="T267" s="6">
        <v>-385</v>
      </c>
      <c r="U267" s="2"/>
      <c r="V267" s="7">
        <f t="shared" si="119"/>
        <v>-1.3444501251090119E-5</v>
      </c>
      <c r="W267" s="2"/>
      <c r="X267" s="6">
        <f t="shared" si="120"/>
        <v>385</v>
      </c>
      <c r="Y267" s="2"/>
      <c r="Z267" s="7">
        <f t="shared" si="121"/>
        <v>-1</v>
      </c>
    </row>
    <row r="268" spans="1:26" s="23" customFormat="1" hidden="1" outlineLevel="2" x14ac:dyDescent="0.25">
      <c r="A268" s="25"/>
      <c r="B268" s="10" t="str">
        <f>CONCATENATE("          ", "7714", " - ", "INV. SHRINKAGE-REMAINDERS")</f>
        <v xml:space="preserve">          7714 - INV. SHRINKAGE-REMAINDERS</v>
      </c>
      <c r="C268" s="10"/>
      <c r="D268" s="6"/>
      <c r="E268" s="2"/>
      <c r="F268" s="7">
        <f t="shared" si="114"/>
        <v>0</v>
      </c>
      <c r="G268" s="2"/>
      <c r="H268" s="6">
        <v>204</v>
      </c>
      <c r="I268" s="2"/>
      <c r="J268" s="7">
        <f t="shared" si="115"/>
        <v>3.4719146949197942E-4</v>
      </c>
      <c r="K268" s="2"/>
      <c r="L268" s="6">
        <f t="shared" si="116"/>
        <v>-204</v>
      </c>
      <c r="M268" s="2"/>
      <c r="N268" s="7">
        <f t="shared" si="117"/>
        <v>-1</v>
      </c>
      <c r="O268" s="10"/>
      <c r="P268" s="6"/>
      <c r="Q268" s="2"/>
      <c r="R268" s="7">
        <f t="shared" si="118"/>
        <v>0</v>
      </c>
      <c r="S268" s="2"/>
      <c r="T268" s="6">
        <v>204</v>
      </c>
      <c r="U268" s="2"/>
      <c r="V268" s="7">
        <f t="shared" si="119"/>
        <v>7.123839623954245E-6</v>
      </c>
      <c r="W268" s="2"/>
      <c r="X268" s="6">
        <f t="shared" si="120"/>
        <v>-204</v>
      </c>
      <c r="Y268" s="2"/>
      <c r="Z268" s="7">
        <f t="shared" si="121"/>
        <v>-1</v>
      </c>
    </row>
    <row r="269" spans="1:26" s="23" customFormat="1" hidden="1" outlineLevel="2" x14ac:dyDescent="0.25">
      <c r="A269" s="25"/>
      <c r="B269" s="10" t="str">
        <f>CONCATENATE("          ", "7717", " - ", "INV. SHRINKAGE-DORM/HOUSEWARES")</f>
        <v xml:space="preserve">          7717 - INV. SHRINKAGE-DORM/HOUSEWARES</v>
      </c>
      <c r="C269" s="10"/>
      <c r="D269" s="6"/>
      <c r="E269" s="2"/>
      <c r="F269" s="7">
        <f t="shared" si="114"/>
        <v>0</v>
      </c>
      <c r="G269" s="2"/>
      <c r="H269" s="6">
        <v>-254</v>
      </c>
      <c r="I269" s="2"/>
      <c r="J269" s="7">
        <f t="shared" si="115"/>
        <v>-4.3228741789687634E-4</v>
      </c>
      <c r="K269" s="2"/>
      <c r="L269" s="6">
        <f t="shared" si="116"/>
        <v>254</v>
      </c>
      <c r="M269" s="2"/>
      <c r="N269" s="7">
        <f t="shared" si="117"/>
        <v>-1</v>
      </c>
      <c r="O269" s="10"/>
      <c r="P269" s="6"/>
      <c r="Q269" s="2"/>
      <c r="R269" s="7">
        <f t="shared" si="118"/>
        <v>0</v>
      </c>
      <c r="S269" s="2"/>
      <c r="T269" s="6">
        <v>-254</v>
      </c>
      <c r="U269" s="2"/>
      <c r="V269" s="7">
        <f t="shared" si="119"/>
        <v>-8.8698787474724433E-6</v>
      </c>
      <c r="W269" s="2"/>
      <c r="X269" s="6">
        <f t="shared" si="120"/>
        <v>254</v>
      </c>
      <c r="Y269" s="2"/>
      <c r="Z269" s="7">
        <f t="shared" si="121"/>
        <v>-1</v>
      </c>
    </row>
    <row r="270" spans="1:26" s="23" customFormat="1" hidden="1" outlineLevel="2" x14ac:dyDescent="0.25">
      <c r="A270" s="25"/>
      <c r="B270" s="10" t="str">
        <f>CONCATENATE("          ", "7718", " - ", "INV. SHRINKAGE-STUDY GUIDES")</f>
        <v xml:space="preserve">          7718 - INV. SHRINKAGE-STUDY GUIDES</v>
      </c>
      <c r="C270" s="10"/>
      <c r="D270" s="6"/>
      <c r="E270" s="2"/>
      <c r="F270" s="7">
        <f t="shared" si="114"/>
        <v>0</v>
      </c>
      <c r="G270" s="2"/>
      <c r="H270" s="6">
        <v>458</v>
      </c>
      <c r="I270" s="2"/>
      <c r="J270" s="7">
        <f t="shared" si="115"/>
        <v>7.7947888738885576E-4</v>
      </c>
      <c r="K270" s="2"/>
      <c r="L270" s="6">
        <f t="shared" si="116"/>
        <v>-458</v>
      </c>
      <c r="M270" s="2"/>
      <c r="N270" s="7">
        <f t="shared" si="117"/>
        <v>-1</v>
      </c>
      <c r="O270" s="10"/>
      <c r="P270" s="6"/>
      <c r="Q270" s="2"/>
      <c r="R270" s="7">
        <f t="shared" si="118"/>
        <v>0</v>
      </c>
      <c r="S270" s="2"/>
      <c r="T270" s="6">
        <v>458</v>
      </c>
      <c r="U270" s="2"/>
      <c r="V270" s="7">
        <f t="shared" si="119"/>
        <v>1.5993718371426687E-5</v>
      </c>
      <c r="W270" s="2"/>
      <c r="X270" s="6">
        <f t="shared" si="120"/>
        <v>-458</v>
      </c>
      <c r="Y270" s="2"/>
      <c r="Z270" s="7">
        <f t="shared" si="121"/>
        <v>-1</v>
      </c>
    </row>
    <row r="271" spans="1:26" s="23" customFormat="1" hidden="1" outlineLevel="2" x14ac:dyDescent="0.25">
      <c r="A271" s="25"/>
      <c r="B271" s="10" t="str">
        <f>CONCATENATE("          ", "7719", " - ", "INV. SHRINKAGE-BOOK RELATED")</f>
        <v xml:space="preserve">          7719 - INV. SHRINKAGE-BOOK RELATED</v>
      </c>
      <c r="C271" s="10"/>
      <c r="D271" s="6"/>
      <c r="E271" s="2"/>
      <c r="F271" s="7">
        <f t="shared" si="114"/>
        <v>0</v>
      </c>
      <c r="G271" s="2"/>
      <c r="H271" s="6">
        <v>-43</v>
      </c>
      <c r="I271" s="2"/>
      <c r="J271" s="7">
        <f t="shared" si="115"/>
        <v>-7.3182515628211344E-5</v>
      </c>
      <c r="K271" s="2"/>
      <c r="L271" s="6">
        <f t="shared" si="116"/>
        <v>43</v>
      </c>
      <c r="M271" s="2"/>
      <c r="N271" s="7">
        <f t="shared" si="117"/>
        <v>-1</v>
      </c>
      <c r="O271" s="10"/>
      <c r="P271" s="6"/>
      <c r="Q271" s="2"/>
      <c r="R271" s="7">
        <f t="shared" si="118"/>
        <v>0</v>
      </c>
      <c r="S271" s="2"/>
      <c r="T271" s="6">
        <v>-43</v>
      </c>
      <c r="U271" s="2"/>
      <c r="V271" s="7">
        <f t="shared" si="119"/>
        <v>-1.5015936462256498E-6</v>
      </c>
      <c r="W271" s="2"/>
      <c r="X271" s="6">
        <f t="shared" si="120"/>
        <v>43</v>
      </c>
      <c r="Y271" s="2"/>
      <c r="Z271" s="7">
        <f t="shared" si="121"/>
        <v>-1</v>
      </c>
    </row>
    <row r="272" spans="1:26" s="23" customFormat="1" hidden="1" outlineLevel="2" x14ac:dyDescent="0.25">
      <c r="A272" s="25"/>
      <c r="B272" s="10" t="str">
        <f>CONCATENATE("          ", "7725", " - ", "INV. SHRINKAGE-TEST FORMS")</f>
        <v xml:space="preserve">          7725 - INV. SHRINKAGE-TEST FORMS</v>
      </c>
      <c r="C272" s="10"/>
      <c r="D272" s="6"/>
      <c r="E272" s="2"/>
      <c r="F272" s="7">
        <f t="shared" si="114"/>
        <v>0</v>
      </c>
      <c r="G272" s="2"/>
      <c r="H272" s="6">
        <v>3987</v>
      </c>
      <c r="I272" s="2"/>
      <c r="J272" s="7">
        <f t="shared" si="115"/>
        <v>6.7855509258064797E-3</v>
      </c>
      <c r="K272" s="2"/>
      <c r="L272" s="6">
        <f t="shared" si="116"/>
        <v>-3987</v>
      </c>
      <c r="M272" s="2"/>
      <c r="N272" s="7">
        <f t="shared" si="117"/>
        <v>-1</v>
      </c>
      <c r="O272" s="10"/>
      <c r="P272" s="6"/>
      <c r="Q272" s="2"/>
      <c r="R272" s="7">
        <f t="shared" si="118"/>
        <v>0</v>
      </c>
      <c r="S272" s="2"/>
      <c r="T272" s="6">
        <v>3987</v>
      </c>
      <c r="U272" s="2"/>
      <c r="V272" s="7">
        <f t="shared" si="119"/>
        <v>1.3922915970934107E-4</v>
      </c>
      <c r="W272" s="2"/>
      <c r="X272" s="6">
        <f t="shared" si="120"/>
        <v>-3987</v>
      </c>
      <c r="Y272" s="2"/>
      <c r="Z272" s="7">
        <f t="shared" si="121"/>
        <v>-1</v>
      </c>
    </row>
    <row r="273" spans="1:26" s="23" customFormat="1" hidden="1" outlineLevel="2" x14ac:dyDescent="0.25">
      <c r="A273" s="25"/>
      <c r="B273" s="10" t="str">
        <f>CONCATENATE("          ", "7726", " - ", "INV. SHRINKAGE-WRITING INSTRUM")</f>
        <v xml:space="preserve">          7726 - INV. SHRINKAGE-WRITING INSTRUM</v>
      </c>
      <c r="C273" s="10"/>
      <c r="D273" s="6"/>
      <c r="E273" s="2"/>
      <c r="F273" s="7">
        <f t="shared" si="114"/>
        <v>0</v>
      </c>
      <c r="G273" s="2"/>
      <c r="H273" s="6">
        <v>9153</v>
      </c>
      <c r="I273" s="2"/>
      <c r="J273" s="7">
        <f t="shared" si="115"/>
        <v>1.557766431500043E-2</v>
      </c>
      <c r="K273" s="2"/>
      <c r="L273" s="6">
        <f t="shared" si="116"/>
        <v>-9153</v>
      </c>
      <c r="M273" s="2"/>
      <c r="N273" s="7">
        <f t="shared" si="117"/>
        <v>-1</v>
      </c>
      <c r="O273" s="10"/>
      <c r="P273" s="6"/>
      <c r="Q273" s="2"/>
      <c r="R273" s="7">
        <f t="shared" si="118"/>
        <v>0</v>
      </c>
      <c r="S273" s="2"/>
      <c r="T273" s="6">
        <v>9153</v>
      </c>
      <c r="U273" s="2"/>
      <c r="V273" s="7">
        <f t="shared" si="119"/>
        <v>3.1962992195124119E-4</v>
      </c>
      <c r="W273" s="2"/>
      <c r="X273" s="6">
        <f t="shared" si="120"/>
        <v>-9153</v>
      </c>
      <c r="Y273" s="2"/>
      <c r="Z273" s="7">
        <f t="shared" si="121"/>
        <v>-1</v>
      </c>
    </row>
    <row r="274" spans="1:26" s="23" customFormat="1" hidden="1" outlineLevel="2" x14ac:dyDescent="0.25">
      <c r="A274" s="25"/>
      <c r="B274" s="10" t="str">
        <f>CONCATENATE("          ", "7727", " - ", "INV. SHRINKAGE-SCHOOL SUPPLIES")</f>
        <v xml:space="preserve">          7727 - INV. SHRINKAGE-SCHOOL SUPPLIES</v>
      </c>
      <c r="C274" s="10"/>
      <c r="D274" s="6"/>
      <c r="E274" s="2"/>
      <c r="F274" s="7">
        <f t="shared" si="114"/>
        <v>0</v>
      </c>
      <c r="G274" s="2"/>
      <c r="H274" s="6">
        <v>9822</v>
      </c>
      <c r="I274" s="2"/>
      <c r="J274" s="7">
        <f t="shared" si="115"/>
        <v>1.6716248104657948E-2</v>
      </c>
      <c r="K274" s="2"/>
      <c r="L274" s="6">
        <f t="shared" si="116"/>
        <v>-9822</v>
      </c>
      <c r="M274" s="2"/>
      <c r="N274" s="7">
        <f t="shared" si="117"/>
        <v>-1</v>
      </c>
      <c r="O274" s="10"/>
      <c r="P274" s="6"/>
      <c r="Q274" s="2"/>
      <c r="R274" s="7">
        <f t="shared" si="118"/>
        <v>0</v>
      </c>
      <c r="S274" s="2"/>
      <c r="T274" s="6">
        <v>9822</v>
      </c>
      <c r="U274" s="2"/>
      <c r="V274" s="7">
        <f t="shared" si="119"/>
        <v>3.429919254239147E-4</v>
      </c>
      <c r="W274" s="2"/>
      <c r="X274" s="6">
        <f t="shared" si="120"/>
        <v>-9822</v>
      </c>
      <c r="Y274" s="2"/>
      <c r="Z274" s="7">
        <f t="shared" si="121"/>
        <v>-1</v>
      </c>
    </row>
    <row r="275" spans="1:26" s="23" customFormat="1" hidden="1" outlineLevel="2" x14ac:dyDescent="0.25">
      <c r="A275" s="25"/>
      <c r="B275" s="10" t="str">
        <f>CONCATENATE("          ", "7728", " - ", "INV. SHRINKAGE-ART/TECH")</f>
        <v xml:space="preserve">          7728 - INV. SHRINKAGE-ART/TECH</v>
      </c>
      <c r="C275" s="10"/>
      <c r="D275" s="6"/>
      <c r="E275" s="2"/>
      <c r="F275" s="7">
        <f t="shared" si="114"/>
        <v>0</v>
      </c>
      <c r="G275" s="2"/>
      <c r="H275" s="6">
        <v>8990</v>
      </c>
      <c r="I275" s="2"/>
      <c r="J275" s="7">
        <f t="shared" si="115"/>
        <v>1.5300251523200465E-2</v>
      </c>
      <c r="K275" s="2"/>
      <c r="L275" s="6">
        <f t="shared" si="116"/>
        <v>-8990</v>
      </c>
      <c r="M275" s="2"/>
      <c r="N275" s="7">
        <f t="shared" si="117"/>
        <v>-1</v>
      </c>
      <c r="O275" s="10"/>
      <c r="P275" s="6"/>
      <c r="Q275" s="2"/>
      <c r="R275" s="7">
        <f t="shared" si="118"/>
        <v>0</v>
      </c>
      <c r="S275" s="2"/>
      <c r="T275" s="6">
        <v>8990</v>
      </c>
      <c r="U275" s="2"/>
      <c r="V275" s="7">
        <f t="shared" si="119"/>
        <v>3.1393783440857189E-4</v>
      </c>
      <c r="W275" s="2"/>
      <c r="X275" s="6">
        <f t="shared" si="120"/>
        <v>-8990</v>
      </c>
      <c r="Y275" s="2"/>
      <c r="Z275" s="7">
        <f t="shared" si="121"/>
        <v>-1</v>
      </c>
    </row>
    <row r="276" spans="1:26" s="23" customFormat="1" hidden="1" outlineLevel="2" x14ac:dyDescent="0.25">
      <c r="A276" s="25"/>
      <c r="B276" s="10" t="str">
        <f>CONCATENATE("          ", "7731", " - ", "INV. SHRINKAGE-FOOD")</f>
        <v xml:space="preserve">          7731 - INV. SHRINKAGE-FOOD</v>
      </c>
      <c r="C276" s="10"/>
      <c r="D276" s="6"/>
      <c r="E276" s="2"/>
      <c r="F276" s="7">
        <f t="shared" si="114"/>
        <v>0</v>
      </c>
      <c r="G276" s="2"/>
      <c r="H276" s="6">
        <v>6964</v>
      </c>
      <c r="I276" s="2"/>
      <c r="J276" s="7">
        <f t="shared" si="115"/>
        <v>1.1852163693834043E-2</v>
      </c>
      <c r="K276" s="2"/>
      <c r="L276" s="6">
        <f t="shared" si="116"/>
        <v>-6964</v>
      </c>
      <c r="M276" s="2"/>
      <c r="N276" s="7">
        <f t="shared" si="117"/>
        <v>-1</v>
      </c>
      <c r="O276" s="10"/>
      <c r="P276" s="6"/>
      <c r="Q276" s="2"/>
      <c r="R276" s="7">
        <f t="shared" si="118"/>
        <v>0</v>
      </c>
      <c r="S276" s="2"/>
      <c r="T276" s="6">
        <v>6964</v>
      </c>
      <c r="U276" s="2"/>
      <c r="V276" s="7">
        <f t="shared" si="119"/>
        <v>2.4318832912361454E-4</v>
      </c>
      <c r="W276" s="2"/>
      <c r="X276" s="6">
        <f t="shared" si="120"/>
        <v>-6964</v>
      </c>
      <c r="Y276" s="2"/>
      <c r="Z276" s="7">
        <f t="shared" si="121"/>
        <v>-1</v>
      </c>
    </row>
    <row r="277" spans="1:26" s="23" customFormat="1" hidden="1" outlineLevel="2" x14ac:dyDescent="0.25">
      <c r="A277" s="25"/>
      <c r="B277" s="10" t="str">
        <f>CONCATENATE("          ", "7732", " - ", "INV. SHRINKAGE-JUICE")</f>
        <v xml:space="preserve">          7732 - INV. SHRINKAGE-JUICE</v>
      </c>
      <c r="C277" s="10"/>
      <c r="D277" s="6"/>
      <c r="E277" s="2"/>
      <c r="F277" s="7">
        <f t="shared" si="114"/>
        <v>0</v>
      </c>
      <c r="G277" s="2"/>
      <c r="H277" s="6">
        <v>-1942</v>
      </c>
      <c r="I277" s="2"/>
      <c r="J277" s="7">
        <f t="shared" si="115"/>
        <v>-3.305126636046196E-3</v>
      </c>
      <c r="K277" s="2"/>
      <c r="L277" s="6">
        <f t="shared" si="116"/>
        <v>1942</v>
      </c>
      <c r="M277" s="2"/>
      <c r="N277" s="7">
        <f t="shared" si="117"/>
        <v>-1</v>
      </c>
      <c r="O277" s="10"/>
      <c r="P277" s="6"/>
      <c r="Q277" s="2"/>
      <c r="R277" s="7">
        <f t="shared" si="118"/>
        <v>0</v>
      </c>
      <c r="S277" s="2"/>
      <c r="T277" s="6">
        <v>-1942</v>
      </c>
      <c r="U277" s="2"/>
      <c r="V277" s="7">
        <f t="shared" si="119"/>
        <v>-6.7816159557446793E-5</v>
      </c>
      <c r="W277" s="2"/>
      <c r="X277" s="6">
        <f t="shared" si="120"/>
        <v>1942</v>
      </c>
      <c r="Y277" s="2"/>
      <c r="Z277" s="7">
        <f t="shared" si="121"/>
        <v>-1</v>
      </c>
    </row>
    <row r="278" spans="1:26" s="23" customFormat="1" hidden="1" outlineLevel="2" x14ac:dyDescent="0.25">
      <c r="A278" s="25"/>
      <c r="B278" s="10" t="str">
        <f>CONCATENATE("          ", "7733", " - ", "INV. SHRINKAGE-CANDY")</f>
        <v xml:space="preserve">          7733 - INV. SHRINKAGE-CANDY</v>
      </c>
      <c r="C278" s="10"/>
      <c r="D278" s="6"/>
      <c r="E278" s="2"/>
      <c r="F278" s="7">
        <f t="shared" si="114"/>
        <v>0</v>
      </c>
      <c r="G278" s="2"/>
      <c r="H278" s="6">
        <v>2710</v>
      </c>
      <c r="I278" s="2"/>
      <c r="J278" s="7">
        <f t="shared" si="115"/>
        <v>4.6122004035454127E-3</v>
      </c>
      <c r="K278" s="2"/>
      <c r="L278" s="6">
        <f t="shared" si="116"/>
        <v>-2710</v>
      </c>
      <c r="M278" s="2"/>
      <c r="N278" s="7">
        <f t="shared" si="117"/>
        <v>-1</v>
      </c>
      <c r="O278" s="10"/>
      <c r="P278" s="6"/>
      <c r="Q278" s="2"/>
      <c r="R278" s="7">
        <f t="shared" si="118"/>
        <v>0</v>
      </c>
      <c r="S278" s="2"/>
      <c r="T278" s="6">
        <v>2710</v>
      </c>
      <c r="U278" s="2"/>
      <c r="V278" s="7">
        <f t="shared" si="119"/>
        <v>9.4635320494686296E-5</v>
      </c>
      <c r="W278" s="2"/>
      <c r="X278" s="6">
        <f t="shared" si="120"/>
        <v>-2710</v>
      </c>
      <c r="Y278" s="2"/>
      <c r="Z278" s="7">
        <f t="shared" si="121"/>
        <v>-1</v>
      </c>
    </row>
    <row r="279" spans="1:26" s="23" customFormat="1" hidden="1" outlineLevel="2" x14ac:dyDescent="0.25">
      <c r="A279" s="25"/>
      <c r="B279" s="10" t="str">
        <f>CONCATENATE("          ", "7734", " - ", "INV. SHRINKAGE-SODA")</f>
        <v xml:space="preserve">          7734 - INV. SHRINKAGE-SODA</v>
      </c>
      <c r="C279" s="10"/>
      <c r="D279" s="6"/>
      <c r="E279" s="2"/>
      <c r="F279" s="7">
        <f t="shared" si="114"/>
        <v>0</v>
      </c>
      <c r="G279" s="2"/>
      <c r="H279" s="6">
        <v>1253</v>
      </c>
      <c r="I279" s="2"/>
      <c r="J279" s="7">
        <f t="shared" si="115"/>
        <v>2.1325044670267167E-3</v>
      </c>
      <c r="K279" s="2"/>
      <c r="L279" s="6">
        <f t="shared" si="116"/>
        <v>-1253</v>
      </c>
      <c r="M279" s="2"/>
      <c r="N279" s="7">
        <f t="shared" si="117"/>
        <v>-1</v>
      </c>
      <c r="O279" s="10"/>
      <c r="P279" s="6"/>
      <c r="Q279" s="2"/>
      <c r="R279" s="7">
        <f t="shared" si="118"/>
        <v>0</v>
      </c>
      <c r="S279" s="2"/>
      <c r="T279" s="6">
        <v>1253</v>
      </c>
      <c r="U279" s="2"/>
      <c r="V279" s="7">
        <f t="shared" si="119"/>
        <v>4.3755740435366025E-5</v>
      </c>
      <c r="W279" s="2"/>
      <c r="X279" s="6">
        <f t="shared" si="120"/>
        <v>-1253</v>
      </c>
      <c r="Y279" s="2"/>
      <c r="Z279" s="7">
        <f t="shared" si="121"/>
        <v>-1</v>
      </c>
    </row>
    <row r="280" spans="1:26" s="23" customFormat="1" hidden="1" outlineLevel="2" x14ac:dyDescent="0.25">
      <c r="A280" s="25"/>
      <c r="B280" s="10" t="str">
        <f>CONCATENATE("          ", "7735", " - ", "INV. SHRINKAGE-HEALTH/BEAUTY")</f>
        <v xml:space="preserve">          7735 - INV. SHRINKAGE-HEALTH/BEAUTY</v>
      </c>
      <c r="C280" s="10"/>
      <c r="D280" s="6"/>
      <c r="E280" s="2"/>
      <c r="F280" s="7">
        <f t="shared" si="114"/>
        <v>0</v>
      </c>
      <c r="G280" s="2"/>
      <c r="H280" s="6">
        <v>369</v>
      </c>
      <c r="I280" s="2"/>
      <c r="J280" s="7">
        <f t="shared" si="115"/>
        <v>6.2800809922813926E-4</v>
      </c>
      <c r="K280" s="2"/>
      <c r="L280" s="6">
        <f t="shared" si="116"/>
        <v>-369</v>
      </c>
      <c r="M280" s="2"/>
      <c r="N280" s="7">
        <f t="shared" si="117"/>
        <v>-1</v>
      </c>
      <c r="O280" s="10"/>
      <c r="P280" s="6"/>
      <c r="Q280" s="2"/>
      <c r="R280" s="7">
        <f t="shared" si="118"/>
        <v>0</v>
      </c>
      <c r="S280" s="2"/>
      <c r="T280" s="6">
        <v>369</v>
      </c>
      <c r="U280" s="2"/>
      <c r="V280" s="7">
        <f t="shared" si="119"/>
        <v>1.2885768731564296E-5</v>
      </c>
      <c r="W280" s="2"/>
      <c r="X280" s="6">
        <f t="shared" si="120"/>
        <v>-369</v>
      </c>
      <c r="Y280" s="2"/>
      <c r="Z280" s="7">
        <f t="shared" si="121"/>
        <v>-1</v>
      </c>
    </row>
    <row r="281" spans="1:26" s="23" customFormat="1" hidden="1" outlineLevel="2" x14ac:dyDescent="0.25">
      <c r="A281" s="25"/>
      <c r="B281" s="10" t="str">
        <f>CONCATENATE("          ", "7737", " - ", "INV. SHRINKAGE-WATER")</f>
        <v xml:space="preserve">          7737 - INV. SHRINKAGE-WATER</v>
      </c>
      <c r="C281" s="10"/>
      <c r="D281" s="6"/>
      <c r="E281" s="2"/>
      <c r="F281" s="7">
        <f t="shared" si="114"/>
        <v>0</v>
      </c>
      <c r="G281" s="2"/>
      <c r="H281" s="6">
        <v>763</v>
      </c>
      <c r="I281" s="2"/>
      <c r="J281" s="7">
        <f t="shared" si="115"/>
        <v>1.2985641726587268E-3</v>
      </c>
      <c r="K281" s="2"/>
      <c r="L281" s="6">
        <f t="shared" si="116"/>
        <v>-763</v>
      </c>
      <c r="M281" s="2"/>
      <c r="N281" s="7">
        <f t="shared" si="117"/>
        <v>-1</v>
      </c>
      <c r="O281" s="10"/>
      <c r="P281" s="6"/>
      <c r="Q281" s="2"/>
      <c r="R281" s="7">
        <f t="shared" si="118"/>
        <v>0</v>
      </c>
      <c r="S281" s="2"/>
      <c r="T281" s="6">
        <v>763</v>
      </c>
      <c r="U281" s="2"/>
      <c r="V281" s="7">
        <f t="shared" si="119"/>
        <v>2.6644557024887693E-5</v>
      </c>
      <c r="W281" s="2"/>
      <c r="X281" s="6">
        <f t="shared" si="120"/>
        <v>-763</v>
      </c>
      <c r="Y281" s="2"/>
      <c r="Z281" s="7">
        <f t="shared" si="121"/>
        <v>-1</v>
      </c>
    </row>
    <row r="282" spans="1:26" s="23" customFormat="1" hidden="1" outlineLevel="2" x14ac:dyDescent="0.25">
      <c r="A282" s="25"/>
      <c r="B282" s="10" t="str">
        <f>CONCATENATE("          ", "7740", " - ", "INV. SHRINKAGE-LOGO CLOTHING")</f>
        <v xml:space="preserve">          7740 - INV. SHRINKAGE-LOGO CLOTHING</v>
      </c>
      <c r="C282" s="10"/>
      <c r="D282" s="6"/>
      <c r="E282" s="2"/>
      <c r="F282" s="7">
        <f t="shared" si="114"/>
        <v>0</v>
      </c>
      <c r="G282" s="2"/>
      <c r="H282" s="6">
        <v>62007</v>
      </c>
      <c r="I282" s="2"/>
      <c r="J282" s="7">
        <f t="shared" si="115"/>
        <v>0.10553088945484886</v>
      </c>
      <c r="K282" s="2"/>
      <c r="L282" s="6">
        <f t="shared" si="116"/>
        <v>-62007</v>
      </c>
      <c r="M282" s="2"/>
      <c r="N282" s="7">
        <f t="shared" si="117"/>
        <v>-1</v>
      </c>
      <c r="O282" s="10"/>
      <c r="P282" s="6"/>
      <c r="Q282" s="2"/>
      <c r="R282" s="7">
        <f t="shared" si="118"/>
        <v>0</v>
      </c>
      <c r="S282" s="2"/>
      <c r="T282" s="6">
        <v>62007</v>
      </c>
      <c r="U282" s="2"/>
      <c r="V282" s="7">
        <f t="shared" si="119"/>
        <v>2.1653329586398574E-3</v>
      </c>
      <c r="W282" s="2"/>
      <c r="X282" s="6">
        <f t="shared" si="120"/>
        <v>-62007</v>
      </c>
      <c r="Y282" s="2"/>
      <c r="Z282" s="7">
        <f t="shared" si="121"/>
        <v>-1</v>
      </c>
    </row>
    <row r="283" spans="1:26" s="23" customFormat="1" hidden="1" outlineLevel="2" x14ac:dyDescent="0.25">
      <c r="A283" s="25"/>
      <c r="B283" s="10" t="str">
        <f>CONCATENATE("          ", "7741", " - ", "INV. SHRINKAGE-LOGO GIFTS")</f>
        <v xml:space="preserve">          7741 - INV. SHRINKAGE-LOGO GIFTS</v>
      </c>
      <c r="C283" s="10"/>
      <c r="D283" s="6"/>
      <c r="E283" s="2"/>
      <c r="F283" s="7">
        <f t="shared" si="114"/>
        <v>0</v>
      </c>
      <c r="G283" s="2"/>
      <c r="H283" s="6">
        <v>30707</v>
      </c>
      <c r="I283" s="2"/>
      <c r="J283" s="7">
        <f t="shared" si="115"/>
        <v>5.2260825753383394E-2</v>
      </c>
      <c r="K283" s="2"/>
      <c r="L283" s="6">
        <f t="shared" si="116"/>
        <v>-30707</v>
      </c>
      <c r="M283" s="2"/>
      <c r="N283" s="7">
        <f t="shared" si="117"/>
        <v>-1</v>
      </c>
      <c r="O283" s="10"/>
      <c r="P283" s="6">
        <v>0</v>
      </c>
      <c r="Q283" s="2"/>
      <c r="R283" s="7">
        <f t="shared" si="118"/>
        <v>0</v>
      </c>
      <c r="S283" s="2"/>
      <c r="T283" s="6">
        <v>30707</v>
      </c>
      <c r="U283" s="2"/>
      <c r="V283" s="7">
        <f t="shared" si="119"/>
        <v>1.0723124673174657E-3</v>
      </c>
      <c r="W283" s="2"/>
      <c r="X283" s="6">
        <f t="shared" si="120"/>
        <v>-30707</v>
      </c>
      <c r="Y283" s="2"/>
      <c r="Z283" s="7">
        <f t="shared" si="121"/>
        <v>-1</v>
      </c>
    </row>
    <row r="284" spans="1:26" s="23" customFormat="1" hidden="1" outlineLevel="2" x14ac:dyDescent="0.25">
      <c r="A284" s="25"/>
      <c r="B284" s="10" t="str">
        <f>CONCATENATE("          ", "7742", " - ", "INV. SHRINKAGE-EVERYDAY GIFTS")</f>
        <v xml:space="preserve">          7742 - INV. SHRINKAGE-EVERYDAY GIFTS</v>
      </c>
      <c r="C284" s="10"/>
      <c r="D284" s="6"/>
      <c r="E284" s="2"/>
      <c r="F284" s="7">
        <f t="shared" si="114"/>
        <v>0</v>
      </c>
      <c r="G284" s="2"/>
      <c r="H284" s="6">
        <v>26197</v>
      </c>
      <c r="I284" s="2"/>
      <c r="J284" s="7">
        <f t="shared" si="115"/>
        <v>4.4585171207261687E-2</v>
      </c>
      <c r="K284" s="2"/>
      <c r="L284" s="6">
        <f t="shared" si="116"/>
        <v>-26197</v>
      </c>
      <c r="M284" s="2"/>
      <c r="N284" s="7">
        <f t="shared" si="117"/>
        <v>-1</v>
      </c>
      <c r="O284" s="10"/>
      <c r="P284" s="6"/>
      <c r="Q284" s="2"/>
      <c r="R284" s="7">
        <f t="shared" si="118"/>
        <v>0</v>
      </c>
      <c r="S284" s="2"/>
      <c r="T284" s="6">
        <v>26197</v>
      </c>
      <c r="U284" s="2"/>
      <c r="V284" s="7">
        <f t="shared" si="119"/>
        <v>9.1481973837612433E-4</v>
      </c>
      <c r="W284" s="2"/>
      <c r="X284" s="6">
        <f t="shared" si="120"/>
        <v>-26197</v>
      </c>
      <c r="Y284" s="2"/>
      <c r="Z284" s="7">
        <f t="shared" si="121"/>
        <v>-1</v>
      </c>
    </row>
    <row r="285" spans="1:26" s="23" customFormat="1" hidden="1" outlineLevel="2" x14ac:dyDescent="0.25">
      <c r="A285" s="25"/>
      <c r="B285" s="10" t="str">
        <f>CONCATENATE("          ", "7743", " - ", "INV. SHRINKAGE-CARDS")</f>
        <v xml:space="preserve">          7743 - INV. SHRINKAGE-CARDS</v>
      </c>
      <c r="C285" s="10"/>
      <c r="D285" s="6"/>
      <c r="E285" s="2"/>
      <c r="F285" s="7">
        <f t="shared" si="114"/>
        <v>0</v>
      </c>
      <c r="G285" s="2"/>
      <c r="H285" s="6">
        <v>-12818</v>
      </c>
      <c r="I285" s="2"/>
      <c r="J285" s="7">
        <f t="shared" si="115"/>
        <v>-2.1815197333079375E-2</v>
      </c>
      <c r="K285" s="2"/>
      <c r="L285" s="6">
        <f t="shared" si="116"/>
        <v>12818</v>
      </c>
      <c r="M285" s="2"/>
      <c r="N285" s="7">
        <f t="shared" si="117"/>
        <v>-1</v>
      </c>
      <c r="O285" s="10"/>
      <c r="P285" s="6"/>
      <c r="Q285" s="2"/>
      <c r="R285" s="7">
        <f t="shared" si="118"/>
        <v>0</v>
      </c>
      <c r="S285" s="2"/>
      <c r="T285" s="6">
        <v>-12818</v>
      </c>
      <c r="U285" s="2"/>
      <c r="V285" s="7">
        <f t="shared" si="119"/>
        <v>-4.476145897051251E-4</v>
      </c>
      <c r="W285" s="2"/>
      <c r="X285" s="6">
        <f t="shared" si="120"/>
        <v>12818</v>
      </c>
      <c r="Y285" s="2"/>
      <c r="Z285" s="7">
        <f t="shared" si="121"/>
        <v>-1</v>
      </c>
    </row>
    <row r="286" spans="1:26" s="23" customFormat="1" hidden="1" outlineLevel="2" x14ac:dyDescent="0.25">
      <c r="A286" s="25"/>
      <c r="B286" s="10" t="str">
        <f>CONCATENATE("          ", "7744", " - ", "INV. SHRINKAGE-ACCESSORIES")</f>
        <v xml:space="preserve">          7744 - INV. SHRINKAGE-ACCESSORIES</v>
      </c>
      <c r="C286" s="10"/>
      <c r="D286" s="6"/>
      <c r="E286" s="2"/>
      <c r="F286" s="7">
        <f t="shared" si="114"/>
        <v>0</v>
      </c>
      <c r="G286" s="2"/>
      <c r="H286" s="6">
        <v>-16780</v>
      </c>
      <c r="I286" s="2"/>
      <c r="J286" s="7">
        <f t="shared" si="115"/>
        <v>-2.8558200284683404E-2</v>
      </c>
      <c r="K286" s="2"/>
      <c r="L286" s="6">
        <f t="shared" si="116"/>
        <v>16780</v>
      </c>
      <c r="M286" s="2"/>
      <c r="N286" s="7">
        <f t="shared" si="117"/>
        <v>-1</v>
      </c>
      <c r="O286" s="10"/>
      <c r="P286" s="6"/>
      <c r="Q286" s="2"/>
      <c r="R286" s="7">
        <f t="shared" si="118"/>
        <v>0</v>
      </c>
      <c r="S286" s="2"/>
      <c r="T286" s="6">
        <v>-16780</v>
      </c>
      <c r="U286" s="2"/>
      <c r="V286" s="7">
        <f t="shared" si="119"/>
        <v>-5.8597072985270703E-4</v>
      </c>
      <c r="W286" s="2"/>
      <c r="X286" s="6">
        <f t="shared" si="120"/>
        <v>16780</v>
      </c>
      <c r="Y286" s="2"/>
      <c r="Z286" s="7">
        <f t="shared" si="121"/>
        <v>-1</v>
      </c>
    </row>
    <row r="287" spans="1:26" s="23" customFormat="1" hidden="1" outlineLevel="2" x14ac:dyDescent="0.25">
      <c r="A287" s="25"/>
      <c r="B287" s="10" t="str">
        <f>CONCATENATE("          ", "7745", " - ", "INV. SHRINKAGE-SPECIAL ORDERS")</f>
        <v xml:space="preserve">          7745 - INV. SHRINKAGE-SPECIAL ORDERS</v>
      </c>
      <c r="C287" s="10"/>
      <c r="D287" s="6"/>
      <c r="E287" s="2"/>
      <c r="F287" s="7">
        <f t="shared" si="114"/>
        <v>0</v>
      </c>
      <c r="G287" s="2"/>
      <c r="H287" s="6">
        <v>44531</v>
      </c>
      <c r="I287" s="2"/>
      <c r="J287" s="7">
        <f t="shared" si="115"/>
        <v>7.5788153568369293E-2</v>
      </c>
      <c r="K287" s="2"/>
      <c r="L287" s="6">
        <f t="shared" si="116"/>
        <v>-44531</v>
      </c>
      <c r="M287" s="2"/>
      <c r="N287" s="7">
        <f t="shared" si="117"/>
        <v>-1</v>
      </c>
      <c r="O287" s="10"/>
      <c r="P287" s="6"/>
      <c r="Q287" s="2"/>
      <c r="R287" s="7">
        <f t="shared" si="118"/>
        <v>0</v>
      </c>
      <c r="S287" s="2"/>
      <c r="T287" s="6">
        <v>44531</v>
      </c>
      <c r="U287" s="2"/>
      <c r="V287" s="7">
        <f t="shared" si="119"/>
        <v>1.555057364187777E-3</v>
      </c>
      <c r="W287" s="2"/>
      <c r="X287" s="6">
        <f t="shared" si="120"/>
        <v>-44531</v>
      </c>
      <c r="Y287" s="2"/>
      <c r="Z287" s="7">
        <f t="shared" si="121"/>
        <v>-1</v>
      </c>
    </row>
    <row r="288" spans="1:26" s="23" customFormat="1" hidden="1" outlineLevel="2" x14ac:dyDescent="0.25">
      <c r="A288" s="25"/>
      <c r="B288" s="10" t="str">
        <f>CONCATENATE("          ", "7781", " - ", "INV. SHRINKAGE-ELECTRONICS")</f>
        <v xml:space="preserve">          7781 - INV. SHRINKAGE-ELECTRONICS</v>
      </c>
      <c r="C288" s="10"/>
      <c r="D288" s="6"/>
      <c r="E288" s="2"/>
      <c r="F288" s="7">
        <f t="shared" si="114"/>
        <v>0</v>
      </c>
      <c r="G288" s="2"/>
      <c r="H288" s="6">
        <v>-18533</v>
      </c>
      <c r="I288" s="2"/>
      <c r="J288" s="7">
        <f t="shared" si="115"/>
        <v>-3.154166423575909E-2</v>
      </c>
      <c r="K288" s="2"/>
      <c r="L288" s="6">
        <f t="shared" si="116"/>
        <v>18533</v>
      </c>
      <c r="M288" s="2"/>
      <c r="N288" s="7">
        <f t="shared" si="117"/>
        <v>-1</v>
      </c>
      <c r="O288" s="10"/>
      <c r="P288" s="6"/>
      <c r="Q288" s="2"/>
      <c r="R288" s="7">
        <f t="shared" si="118"/>
        <v>0</v>
      </c>
      <c r="S288" s="2"/>
      <c r="T288" s="6">
        <v>-18533</v>
      </c>
      <c r="U288" s="2"/>
      <c r="V288" s="7">
        <f t="shared" si="119"/>
        <v>-6.4718686152325509E-4</v>
      </c>
      <c r="W288" s="2"/>
      <c r="X288" s="6">
        <f t="shared" si="120"/>
        <v>18533</v>
      </c>
      <c r="Y288" s="2"/>
      <c r="Z288" s="7">
        <f t="shared" si="121"/>
        <v>-1</v>
      </c>
    </row>
    <row r="289" spans="1:26" s="23" customFormat="1" hidden="1" outlineLevel="2" x14ac:dyDescent="0.25">
      <c r="A289" s="25"/>
      <c r="B289" s="10" t="str">
        <f>CONCATENATE("          ", "7782", " - ", "INV. SHRINKAGE-COMPUTER HARDWA")</f>
        <v xml:space="preserve">          7782 - INV. SHRINKAGE-COMPUTER HARDWA</v>
      </c>
      <c r="C289" s="10"/>
      <c r="D289" s="6"/>
      <c r="E289" s="2"/>
      <c r="F289" s="7">
        <f t="shared" si="114"/>
        <v>0</v>
      </c>
      <c r="G289" s="2"/>
      <c r="H289" s="6">
        <v>-30194</v>
      </c>
      <c r="I289" s="2"/>
      <c r="J289" s="7">
        <f t="shared" si="115"/>
        <v>-5.1387741322749148E-2</v>
      </c>
      <c r="K289" s="2"/>
      <c r="L289" s="6">
        <f t="shared" si="116"/>
        <v>30194</v>
      </c>
      <c r="M289" s="2"/>
      <c r="N289" s="7">
        <f t="shared" si="117"/>
        <v>-1</v>
      </c>
      <c r="O289" s="10"/>
      <c r="P289" s="6"/>
      <c r="Q289" s="2"/>
      <c r="R289" s="7">
        <f t="shared" si="118"/>
        <v>0</v>
      </c>
      <c r="S289" s="2"/>
      <c r="T289" s="6">
        <v>-30194</v>
      </c>
      <c r="U289" s="2"/>
      <c r="V289" s="7">
        <f t="shared" si="119"/>
        <v>-1.0543981059101691E-3</v>
      </c>
      <c r="W289" s="2"/>
      <c r="X289" s="6">
        <f t="shared" si="120"/>
        <v>30194</v>
      </c>
      <c r="Y289" s="2"/>
      <c r="Z289" s="7">
        <f t="shared" si="121"/>
        <v>-1</v>
      </c>
    </row>
    <row r="290" spans="1:26" s="23" customFormat="1" hidden="1" outlineLevel="2" x14ac:dyDescent="0.25">
      <c r="A290" s="25"/>
      <c r="B290" s="10" t="str">
        <f>CONCATENATE("          ", "7783", " - ", "INV. SHRINKAGE-COMPUTER EQUIPM")</f>
        <v xml:space="preserve">          7783 - INV. SHRINKAGE-COMPUTER EQUIPM</v>
      </c>
      <c r="C290" s="10"/>
      <c r="D290" s="6"/>
      <c r="E290" s="2"/>
      <c r="F290" s="7">
        <f t="shared" si="114"/>
        <v>0</v>
      </c>
      <c r="G290" s="2"/>
      <c r="H290" s="6">
        <v>2995</v>
      </c>
      <c r="I290" s="2"/>
      <c r="J290" s="7">
        <f t="shared" si="115"/>
        <v>5.097247309453325E-3</v>
      </c>
      <c r="K290" s="2"/>
      <c r="L290" s="6">
        <f t="shared" si="116"/>
        <v>-2995</v>
      </c>
      <c r="M290" s="2"/>
      <c r="N290" s="7">
        <f t="shared" si="117"/>
        <v>-1</v>
      </c>
      <c r="O290" s="10"/>
      <c r="P290" s="6"/>
      <c r="Q290" s="2"/>
      <c r="R290" s="7">
        <f t="shared" si="118"/>
        <v>0</v>
      </c>
      <c r="S290" s="2"/>
      <c r="T290" s="6">
        <v>2995</v>
      </c>
      <c r="U290" s="2"/>
      <c r="V290" s="7">
        <f t="shared" si="119"/>
        <v>1.0458774349874003E-4</v>
      </c>
      <c r="W290" s="2"/>
      <c r="X290" s="6">
        <f t="shared" si="120"/>
        <v>-2995</v>
      </c>
      <c r="Y290" s="2"/>
      <c r="Z290" s="7">
        <f t="shared" si="121"/>
        <v>-1</v>
      </c>
    </row>
    <row r="291" spans="1:26" s="23" customFormat="1" hidden="1" outlineLevel="2" x14ac:dyDescent="0.25">
      <c r="A291" s="25"/>
      <c r="B291" s="10" t="str">
        <f>CONCATENATE("          ", "7784", " - ", "INV. SHRINKAGE-SOFTWARE LICENS")</f>
        <v xml:space="preserve">          7784 - INV. SHRINKAGE-SOFTWARE LICENS</v>
      </c>
      <c r="C291" s="10"/>
      <c r="D291" s="6"/>
      <c r="E291" s="2"/>
      <c r="F291" s="7">
        <f t="shared" si="114"/>
        <v>0</v>
      </c>
      <c r="G291" s="2"/>
      <c r="H291" s="6">
        <v>1394</v>
      </c>
      <c r="I291" s="2"/>
      <c r="J291" s="7">
        <f t="shared" si="115"/>
        <v>2.372475041528526E-3</v>
      </c>
      <c r="K291" s="2"/>
      <c r="L291" s="6">
        <f t="shared" si="116"/>
        <v>-1394</v>
      </c>
      <c r="M291" s="2"/>
      <c r="N291" s="7">
        <f t="shared" si="117"/>
        <v>-1</v>
      </c>
      <c r="O291" s="10"/>
      <c r="P291" s="6"/>
      <c r="Q291" s="2"/>
      <c r="R291" s="7">
        <f t="shared" si="118"/>
        <v>0</v>
      </c>
      <c r="S291" s="2"/>
      <c r="T291" s="6">
        <v>1394</v>
      </c>
      <c r="U291" s="2"/>
      <c r="V291" s="7">
        <f t="shared" si="119"/>
        <v>4.8679570763687343E-5</v>
      </c>
      <c r="W291" s="2"/>
      <c r="X291" s="6">
        <f t="shared" si="120"/>
        <v>-1394</v>
      </c>
      <c r="Y291" s="2"/>
      <c r="Z291" s="7">
        <f t="shared" si="121"/>
        <v>-1</v>
      </c>
    </row>
    <row r="292" spans="1:26" s="23" customFormat="1" hidden="1" outlineLevel="2" x14ac:dyDescent="0.25">
      <c r="A292" s="25"/>
      <c r="B292" s="10" t="str">
        <f>CONCATENATE("          ", "7785", " - ", "INV. SHRINKAGE-SOFTWARE")</f>
        <v xml:space="preserve">          7785 - INV. SHRINKAGE-SOFTWARE</v>
      </c>
      <c r="C292" s="10"/>
      <c r="D292" s="6"/>
      <c r="E292" s="2"/>
      <c r="F292" s="7">
        <f t="shared" si="114"/>
        <v>0</v>
      </c>
      <c r="G292" s="2"/>
      <c r="H292" s="6">
        <v>-3743</v>
      </c>
      <c r="I292" s="2"/>
      <c r="J292" s="7">
        <f t="shared" si="115"/>
        <v>-6.3702826975905831E-3</v>
      </c>
      <c r="K292" s="2"/>
      <c r="L292" s="6">
        <f t="shared" si="116"/>
        <v>3743</v>
      </c>
      <c r="M292" s="2"/>
      <c r="N292" s="7">
        <f t="shared" si="117"/>
        <v>-1</v>
      </c>
      <c r="O292" s="10"/>
      <c r="P292" s="6"/>
      <c r="Q292" s="2"/>
      <c r="R292" s="7">
        <f t="shared" si="118"/>
        <v>0</v>
      </c>
      <c r="S292" s="2"/>
      <c r="T292" s="6">
        <v>-3743</v>
      </c>
      <c r="U292" s="2"/>
      <c r="V292" s="7">
        <f t="shared" si="119"/>
        <v>-1.3070848878657225E-4</v>
      </c>
      <c r="W292" s="2"/>
      <c r="X292" s="6">
        <f t="shared" si="120"/>
        <v>3743</v>
      </c>
      <c r="Y292" s="2"/>
      <c r="Z292" s="7">
        <f t="shared" si="121"/>
        <v>-1</v>
      </c>
    </row>
    <row r="293" spans="1:26" s="23" customFormat="1" hidden="1" outlineLevel="2" x14ac:dyDescent="0.25">
      <c r="A293" s="25"/>
      <c r="B293" s="10" t="str">
        <f>CONCATENATE("          ", "7786", " - ", "INV. SHRINKAGE-COMPUTER SUPPLI")</f>
        <v xml:space="preserve">          7786 - INV. SHRINKAGE-COMPUTER SUPPLI</v>
      </c>
      <c r="C293" s="10"/>
      <c r="D293" s="6"/>
      <c r="E293" s="2"/>
      <c r="F293" s="7">
        <f t="shared" si="114"/>
        <v>0</v>
      </c>
      <c r="G293" s="2"/>
      <c r="H293" s="6">
        <v>5038</v>
      </c>
      <c r="I293" s="2"/>
      <c r="J293" s="7">
        <f t="shared" si="115"/>
        <v>8.5742677612774126E-3</v>
      </c>
      <c r="K293" s="2"/>
      <c r="L293" s="6">
        <f t="shared" si="116"/>
        <v>-5038</v>
      </c>
      <c r="M293" s="2"/>
      <c r="N293" s="7">
        <f t="shared" si="117"/>
        <v>-1</v>
      </c>
      <c r="O293" s="10"/>
      <c r="P293" s="6"/>
      <c r="Q293" s="2"/>
      <c r="R293" s="7">
        <f t="shared" si="118"/>
        <v>0</v>
      </c>
      <c r="S293" s="2"/>
      <c r="T293" s="6">
        <v>5038</v>
      </c>
      <c r="U293" s="2"/>
      <c r="V293" s="7">
        <f t="shared" si="119"/>
        <v>1.7593090208569358E-4</v>
      </c>
      <c r="W293" s="2"/>
      <c r="X293" s="6">
        <f t="shared" si="120"/>
        <v>-5038</v>
      </c>
      <c r="Y293" s="2"/>
      <c r="Z293" s="7">
        <f t="shared" si="121"/>
        <v>-1</v>
      </c>
    </row>
    <row r="294" spans="1:26" s="23" customFormat="1" hidden="1" outlineLevel="2" x14ac:dyDescent="0.25">
      <c r="A294" s="25"/>
      <c r="B294" s="10" t="str">
        <f>CONCATENATE("          ", "7788", " - ", "INV. SHRINKAGE-MUSIC")</f>
        <v xml:space="preserve">          7788 - INV. SHRINKAGE-MUSIC</v>
      </c>
      <c r="C294" s="10"/>
      <c r="D294" s="6"/>
      <c r="E294" s="2"/>
      <c r="F294" s="7">
        <f t="shared" si="114"/>
        <v>0</v>
      </c>
      <c r="G294" s="2"/>
      <c r="H294" s="6">
        <v>152</v>
      </c>
      <c r="I294" s="2"/>
      <c r="J294" s="7">
        <f t="shared" si="115"/>
        <v>2.5869168315088663E-4</v>
      </c>
      <c r="K294" s="2"/>
      <c r="L294" s="6">
        <f t="shared" si="116"/>
        <v>-152</v>
      </c>
      <c r="M294" s="2"/>
      <c r="N294" s="7">
        <f t="shared" si="117"/>
        <v>-1</v>
      </c>
      <c r="O294" s="10"/>
      <c r="P294" s="6"/>
      <c r="Q294" s="2"/>
      <c r="R294" s="7">
        <f t="shared" si="118"/>
        <v>0</v>
      </c>
      <c r="S294" s="2"/>
      <c r="T294" s="6">
        <v>152</v>
      </c>
      <c r="U294" s="2"/>
      <c r="V294" s="7">
        <f t="shared" si="119"/>
        <v>5.3079589354953199E-6</v>
      </c>
      <c r="W294" s="2"/>
      <c r="X294" s="6">
        <f t="shared" si="120"/>
        <v>-152</v>
      </c>
      <c r="Y294" s="2"/>
      <c r="Z294" s="7">
        <f t="shared" si="121"/>
        <v>-1</v>
      </c>
    </row>
    <row r="295" spans="1:26" s="23" customFormat="1" hidden="1" outlineLevel="2" x14ac:dyDescent="0.25">
      <c r="A295" s="25"/>
      <c r="B295" s="10" t="str">
        <f>CONCATENATE("          ", "7792", " - ", "INV. SHRINKAGE-GRAD MERCH")</f>
        <v xml:space="preserve">          7792 - INV. SHRINKAGE-GRAD MERCH</v>
      </c>
      <c r="C295" s="10"/>
      <c r="D295" s="6"/>
      <c r="E295" s="2"/>
      <c r="F295" s="7">
        <f t="shared" si="114"/>
        <v>0</v>
      </c>
      <c r="G295" s="2"/>
      <c r="H295" s="6">
        <v>535</v>
      </c>
      <c r="I295" s="2"/>
      <c r="J295" s="7">
        <f t="shared" si="115"/>
        <v>9.1052664793239702E-4</v>
      </c>
      <c r="K295" s="2"/>
      <c r="L295" s="6">
        <f t="shared" si="116"/>
        <v>-535</v>
      </c>
      <c r="M295" s="2"/>
      <c r="N295" s="7">
        <f t="shared" si="117"/>
        <v>-1</v>
      </c>
      <c r="O295" s="10"/>
      <c r="P295" s="6"/>
      <c r="Q295" s="2"/>
      <c r="R295" s="7">
        <f t="shared" si="118"/>
        <v>0</v>
      </c>
      <c r="S295" s="2"/>
      <c r="T295" s="6">
        <v>535</v>
      </c>
      <c r="U295" s="2"/>
      <c r="V295" s="7">
        <f t="shared" si="119"/>
        <v>1.8682618621644713E-5</v>
      </c>
      <c r="W295" s="2"/>
      <c r="X295" s="6">
        <f t="shared" si="120"/>
        <v>-535</v>
      </c>
      <c r="Y295" s="2"/>
      <c r="Z295" s="7">
        <f t="shared" si="121"/>
        <v>-1</v>
      </c>
    </row>
    <row r="296" spans="1:26" s="23" customFormat="1" hidden="1" outlineLevel="2" x14ac:dyDescent="0.25">
      <c r="A296" s="25"/>
      <c r="B296" s="10" t="str">
        <f>CONCATENATE("          ", "7795", " - ", "INV. SHRINKAGE-CUSTOMER SERVIC")</f>
        <v xml:space="preserve">          7795 - INV. SHRINKAGE-CUSTOMER SERVIC</v>
      </c>
      <c r="C296" s="10"/>
      <c r="D296" s="6"/>
      <c r="E296" s="2"/>
      <c r="F296" s="7">
        <f t="shared" si="114"/>
        <v>0</v>
      </c>
      <c r="G296" s="2"/>
      <c r="H296" s="6">
        <v>-132</v>
      </c>
      <c r="I296" s="2"/>
      <c r="J296" s="7">
        <f t="shared" si="115"/>
        <v>-2.2465330378892786E-4</v>
      </c>
      <c r="K296" s="2"/>
      <c r="L296" s="6">
        <f t="shared" si="116"/>
        <v>132</v>
      </c>
      <c r="M296" s="2"/>
      <c r="N296" s="7">
        <f t="shared" si="117"/>
        <v>-1</v>
      </c>
      <c r="O296" s="10"/>
      <c r="P296" s="6"/>
      <c r="Q296" s="2"/>
      <c r="R296" s="7">
        <f t="shared" si="118"/>
        <v>0</v>
      </c>
      <c r="S296" s="2"/>
      <c r="T296" s="6">
        <v>-132</v>
      </c>
      <c r="U296" s="2"/>
      <c r="V296" s="7">
        <f t="shared" si="119"/>
        <v>-4.6095432860880408E-6</v>
      </c>
      <c r="W296" s="2"/>
      <c r="X296" s="6">
        <f t="shared" si="120"/>
        <v>132</v>
      </c>
      <c r="Y296" s="2"/>
      <c r="Z296" s="7">
        <f t="shared" si="121"/>
        <v>-1</v>
      </c>
    </row>
    <row r="297" spans="1:26" s="27" customFormat="1" outlineLevel="1" collapsed="1" x14ac:dyDescent="0.25">
      <c r="A297" s="26"/>
      <c r="B297" s="12" t="str">
        <f>CONCATENATE("     ","Professional Services                             ")</f>
        <v xml:space="preserve">     Professional Services                             </v>
      </c>
      <c r="C297" s="12"/>
      <c r="D297" s="1">
        <f>SUM(OSRRefD22_15x_0)</f>
        <v>1966.87</v>
      </c>
      <c r="E297" s="1"/>
      <c r="F297" s="5">
        <f t="shared" ref="F297:F307" si="122">IF(D$12=0,0,D297/D$12)</f>
        <v>4.3611197000273721E-3</v>
      </c>
      <c r="G297" s="1"/>
      <c r="H297" s="1">
        <f>SUM(OSRRefH22_15x_0)</f>
        <v>8441.9599999999991</v>
      </c>
      <c r="I297" s="1"/>
      <c r="J297" s="5">
        <f t="shared" ref="J297:J307" si="123">IF(H$12=0,0,H297/H$12)</f>
        <v>1.4367531851924071E-2</v>
      </c>
      <c r="K297" s="1"/>
      <c r="L297" s="1">
        <f t="shared" ref="L297:L307" si="124">+D297-H297</f>
        <v>-6475.0899999999992</v>
      </c>
      <c r="M297" s="1"/>
      <c r="N297" s="5">
        <f t="shared" ref="N297:N307" si="125">IF(H297=0,0,L297/H297)</f>
        <v>-0.76701263687579657</v>
      </c>
      <c r="O297" s="12"/>
      <c r="P297" s="1">
        <f>SUM(OSRRefP22_15x_0)</f>
        <v>1966.87</v>
      </c>
      <c r="Q297" s="1"/>
      <c r="R297" s="5">
        <f t="shared" ref="R297:R307" si="126">IF(P$12=0,0,P297/P$12)</f>
        <v>1.9164127700926437E-4</v>
      </c>
      <c r="S297" s="1"/>
      <c r="T297" s="1">
        <f>SUM(OSRRefT22_15x_0)</f>
        <v>17696.52</v>
      </c>
      <c r="U297" s="1"/>
      <c r="V297" s="5">
        <f t="shared" ref="V297:V307" si="127">IF(T$12=0,0,T297/T$12)</f>
        <v>6.1797632540244501E-4</v>
      </c>
      <c r="W297" s="1"/>
      <c r="X297" s="1">
        <f t="shared" ref="X297:X307" si="128">+P297-T297</f>
        <v>-15729.650000000001</v>
      </c>
      <c r="Y297" s="1"/>
      <c r="Z297" s="5">
        <f t="shared" ref="Z297:Z307" si="129">IF(T297=0,0,X297/T297)</f>
        <v>-0.88885554900059449</v>
      </c>
    </row>
    <row r="298" spans="1:26" s="23" customFormat="1" hidden="1" outlineLevel="2" x14ac:dyDescent="0.25">
      <c r="A298" s="25"/>
      <c r="B298" s="10" t="str">
        <f>CONCATENATE("          ", "6336", " - ", "PROFESSIONAL SERVICES")</f>
        <v xml:space="preserve">          6336 - PROFESSIONAL SERVICES</v>
      </c>
      <c r="C298" s="10"/>
      <c r="D298" s="6">
        <v>1966.87</v>
      </c>
      <c r="E298" s="2"/>
      <c r="F298" s="7">
        <f t="shared" si="122"/>
        <v>4.3611197000273721E-3</v>
      </c>
      <c r="G298" s="2"/>
      <c r="H298" s="6">
        <v>8441.9599999999991</v>
      </c>
      <c r="I298" s="2"/>
      <c r="J298" s="7">
        <f t="shared" si="123"/>
        <v>1.4367531851924071E-2</v>
      </c>
      <c r="K298" s="2"/>
      <c r="L298" s="6">
        <f t="shared" si="124"/>
        <v>-6475.0899999999992</v>
      </c>
      <c r="M298" s="2"/>
      <c r="N298" s="7">
        <f t="shared" si="125"/>
        <v>-0.76701263687579657</v>
      </c>
      <c r="O298" s="10"/>
      <c r="P298" s="6">
        <v>1966.87</v>
      </c>
      <c r="Q298" s="2"/>
      <c r="R298" s="7">
        <f t="shared" si="126"/>
        <v>1.9164127700926437E-4</v>
      </c>
      <c r="S298" s="2"/>
      <c r="T298" s="6">
        <v>17696.52</v>
      </c>
      <c r="U298" s="2"/>
      <c r="V298" s="7">
        <f t="shared" si="127"/>
        <v>6.1797632540244501E-4</v>
      </c>
      <c r="W298" s="2"/>
      <c r="X298" s="6">
        <f t="shared" si="128"/>
        <v>-15729.650000000001</v>
      </c>
      <c r="Y298" s="2"/>
      <c r="Z298" s="7">
        <f t="shared" si="129"/>
        <v>-0.88885554900059449</v>
      </c>
    </row>
    <row r="299" spans="1:26" s="27" customFormat="1" outlineLevel="1" collapsed="1" x14ac:dyDescent="0.25">
      <c r="A299" s="26"/>
      <c r="B299" s="12" t="str">
        <f>CONCATENATE("     ","R/H Commissions                                   ")</f>
        <v xml:space="preserve">     R/H Commissions                                   </v>
      </c>
      <c r="C299" s="12"/>
      <c r="D299" s="1">
        <f>SUM(OSRRefD22_16x_0)</f>
        <v>2207.92</v>
      </c>
      <c r="E299" s="1"/>
      <c r="F299" s="5">
        <f t="shared" si="122"/>
        <v>4.895597272867265E-3</v>
      </c>
      <c r="G299" s="1"/>
      <c r="H299" s="1">
        <f>SUM(OSRRefH22_16x_0)</f>
        <v>-11146.03</v>
      </c>
      <c r="I299" s="1"/>
      <c r="J299" s="5">
        <f t="shared" si="123"/>
        <v>-1.8969639875988663E-2</v>
      </c>
      <c r="K299" s="1"/>
      <c r="L299" s="1">
        <f t="shared" si="124"/>
        <v>13353.95</v>
      </c>
      <c r="M299" s="1"/>
      <c r="N299" s="5">
        <f t="shared" si="125"/>
        <v>-1.1980902617344471</v>
      </c>
      <c r="O299" s="12"/>
      <c r="P299" s="1">
        <f>SUM(OSRRefP22_16x_0)</f>
        <v>71608.39</v>
      </c>
      <c r="Q299" s="1"/>
      <c r="R299" s="5">
        <f t="shared" si="126"/>
        <v>6.9771379420995984E-3</v>
      </c>
      <c r="S299" s="1"/>
      <c r="T299" s="1">
        <f>SUM(OSRRefT22_16x_0)</f>
        <v>703130.05</v>
      </c>
      <c r="U299" s="1"/>
      <c r="V299" s="5">
        <f t="shared" si="127"/>
        <v>2.4553851524426129E-2</v>
      </c>
      <c r="W299" s="1"/>
      <c r="X299" s="1">
        <f t="shared" si="128"/>
        <v>-631521.66</v>
      </c>
      <c r="Y299" s="1"/>
      <c r="Z299" s="5">
        <f t="shared" si="129"/>
        <v>-0.89815768789856154</v>
      </c>
    </row>
    <row r="300" spans="1:26" s="23" customFormat="1" hidden="1" outlineLevel="2" x14ac:dyDescent="0.25">
      <c r="A300" s="25"/>
      <c r="B300" s="10" t="str">
        <f>CONCATENATE("          ", "6387", " - ", "COMMISSION DUE HOUSING")</f>
        <v xml:space="preserve">          6387 - COMMISSION DUE HOUSING</v>
      </c>
      <c r="C300" s="10"/>
      <c r="D300" s="6">
        <v>2207.92</v>
      </c>
      <c r="E300" s="2"/>
      <c r="F300" s="7">
        <f t="shared" si="122"/>
        <v>4.895597272867265E-3</v>
      </c>
      <c r="G300" s="2"/>
      <c r="H300" s="6">
        <v>-11146.03</v>
      </c>
      <c r="I300" s="2"/>
      <c r="J300" s="7">
        <f t="shared" si="123"/>
        <v>-1.8969639875988663E-2</v>
      </c>
      <c r="K300" s="2"/>
      <c r="L300" s="6">
        <f t="shared" si="124"/>
        <v>13353.95</v>
      </c>
      <c r="M300" s="2"/>
      <c r="N300" s="7">
        <f t="shared" si="125"/>
        <v>-1.1980902617344471</v>
      </c>
      <c r="O300" s="10"/>
      <c r="P300" s="6">
        <v>71608.39</v>
      </c>
      <c r="Q300" s="2"/>
      <c r="R300" s="7">
        <f t="shared" si="126"/>
        <v>6.9771379420995984E-3</v>
      </c>
      <c r="S300" s="2"/>
      <c r="T300" s="6">
        <v>703130.05</v>
      </c>
      <c r="U300" s="2"/>
      <c r="V300" s="7">
        <f t="shared" si="127"/>
        <v>2.4553851524426129E-2</v>
      </c>
      <c r="W300" s="2"/>
      <c r="X300" s="6">
        <f t="shared" si="128"/>
        <v>-631521.66</v>
      </c>
      <c r="Y300" s="2"/>
      <c r="Z300" s="7">
        <f t="shared" si="129"/>
        <v>-0.89815768789856154</v>
      </c>
    </row>
    <row r="301" spans="1:26" s="27" customFormat="1" outlineLevel="1" collapsed="1" x14ac:dyDescent="0.25">
      <c r="A301" s="26"/>
      <c r="B301" s="12" t="str">
        <f>CONCATENATE("     ","Rent                                              ")</f>
        <v xml:space="preserve">     Rent                                              </v>
      </c>
      <c r="C301" s="12"/>
      <c r="D301" s="1">
        <f>SUM(OSRRefD22_17x_0)</f>
        <v>14300</v>
      </c>
      <c r="E301" s="1"/>
      <c r="F301" s="5">
        <f t="shared" si="122"/>
        <v>3.1707236223233577E-2</v>
      </c>
      <c r="G301" s="1"/>
      <c r="H301" s="1">
        <f>SUM(OSRRefH22_17x_0)</f>
        <v>9900</v>
      </c>
      <c r="I301" s="1"/>
      <c r="J301" s="5">
        <f t="shared" si="123"/>
        <v>1.6848997784169588E-2</v>
      </c>
      <c r="K301" s="1"/>
      <c r="L301" s="1">
        <f t="shared" si="124"/>
        <v>4400</v>
      </c>
      <c r="M301" s="1"/>
      <c r="N301" s="5">
        <f t="shared" si="125"/>
        <v>0.44444444444444442</v>
      </c>
      <c r="O301" s="12"/>
      <c r="P301" s="1">
        <f>SUM(OSRRefP22_17x_0)</f>
        <v>105000</v>
      </c>
      <c r="Q301" s="1"/>
      <c r="R301" s="5">
        <f t="shared" si="126"/>
        <v>1.0230637554069543E-2</v>
      </c>
      <c r="S301" s="1"/>
      <c r="T301" s="1">
        <f>SUM(OSRRefT22_17x_0)</f>
        <v>118800</v>
      </c>
      <c r="U301" s="1"/>
      <c r="V301" s="5">
        <f t="shared" si="127"/>
        <v>4.1485889574792373E-3</v>
      </c>
      <c r="W301" s="1"/>
      <c r="X301" s="1">
        <f t="shared" si="128"/>
        <v>-13800</v>
      </c>
      <c r="Y301" s="1"/>
      <c r="Z301" s="5">
        <f t="shared" si="129"/>
        <v>-0.11616161616161616</v>
      </c>
    </row>
    <row r="302" spans="1:26" s="23" customFormat="1" hidden="1" outlineLevel="2" x14ac:dyDescent="0.25">
      <c r="A302" s="25"/>
      <c r="B302" s="10" t="str">
        <f>CONCATENATE("          ", "6273", " - ", "RENT")</f>
        <v xml:space="preserve">          6273 - RENT</v>
      </c>
      <c r="C302" s="10"/>
      <c r="D302" s="6">
        <v>14300</v>
      </c>
      <c r="E302" s="2"/>
      <c r="F302" s="7">
        <f t="shared" si="122"/>
        <v>3.1707236223233577E-2</v>
      </c>
      <c r="G302" s="2"/>
      <c r="H302" s="6">
        <v>9900</v>
      </c>
      <c r="I302" s="2"/>
      <c r="J302" s="7">
        <f t="shared" si="123"/>
        <v>1.6848997784169588E-2</v>
      </c>
      <c r="K302" s="2"/>
      <c r="L302" s="6">
        <f t="shared" si="124"/>
        <v>4400</v>
      </c>
      <c r="M302" s="2"/>
      <c r="N302" s="7">
        <f t="shared" si="125"/>
        <v>0.44444444444444442</v>
      </c>
      <c r="O302" s="10"/>
      <c r="P302" s="6">
        <v>105000</v>
      </c>
      <c r="Q302" s="2"/>
      <c r="R302" s="7">
        <f t="shared" si="126"/>
        <v>1.0230637554069543E-2</v>
      </c>
      <c r="S302" s="2"/>
      <c r="T302" s="6">
        <v>118800</v>
      </c>
      <c r="U302" s="2"/>
      <c r="V302" s="7">
        <f t="shared" si="127"/>
        <v>4.1485889574792373E-3</v>
      </c>
      <c r="W302" s="2"/>
      <c r="X302" s="6">
        <f t="shared" si="128"/>
        <v>-13800</v>
      </c>
      <c r="Y302" s="2"/>
      <c r="Z302" s="7">
        <f t="shared" si="129"/>
        <v>-0.11616161616161616</v>
      </c>
    </row>
    <row r="303" spans="1:26" s="27" customFormat="1" outlineLevel="1" collapsed="1" x14ac:dyDescent="0.25">
      <c r="A303" s="26"/>
      <c r="B303" s="12" t="str">
        <f>CONCATENATE("     ","Repair and Maintenance                            ")</f>
        <v xml:space="preserve">     Repair and Maintenance                            </v>
      </c>
      <c r="C303" s="12"/>
      <c r="D303" s="1">
        <f>SUM(OSRRefD22_18x_0)</f>
        <v>51278.09</v>
      </c>
      <c r="E303" s="1"/>
      <c r="F303" s="5">
        <f t="shared" si="122"/>
        <v>0.1136983575319043</v>
      </c>
      <c r="G303" s="1"/>
      <c r="H303" s="1">
        <f>SUM(OSRRefH22_18x_0)</f>
        <v>35187.649999999994</v>
      </c>
      <c r="I303" s="1"/>
      <c r="J303" s="5">
        <f t="shared" si="123"/>
        <v>5.9886528977791412E-2</v>
      </c>
      <c r="K303" s="1"/>
      <c r="L303" s="1">
        <f t="shared" si="124"/>
        <v>16090.440000000002</v>
      </c>
      <c r="M303" s="1"/>
      <c r="N303" s="5">
        <f t="shared" si="125"/>
        <v>0.45727520877353289</v>
      </c>
      <c r="O303" s="12"/>
      <c r="P303" s="1">
        <f>SUM(OSRRefP22_18x_0)</f>
        <v>431341.54</v>
      </c>
      <c r="Q303" s="1"/>
      <c r="R303" s="5">
        <f t="shared" si="126"/>
        <v>4.2027609121468468E-2</v>
      </c>
      <c r="S303" s="1"/>
      <c r="T303" s="1">
        <f>SUM(OSRRefT22_18x_0)</f>
        <v>596377.39999999991</v>
      </c>
      <c r="U303" s="1"/>
      <c r="V303" s="5">
        <f t="shared" si="127"/>
        <v>2.0825965455641225E-2</v>
      </c>
      <c r="W303" s="1"/>
      <c r="X303" s="1">
        <f t="shared" si="128"/>
        <v>-165035.85999999993</v>
      </c>
      <c r="Y303" s="1"/>
      <c r="Z303" s="5">
        <f t="shared" si="129"/>
        <v>-0.27673057362670006</v>
      </c>
    </row>
    <row r="304" spans="1:26" s="23" customFormat="1" hidden="1" outlineLevel="2" x14ac:dyDescent="0.25">
      <c r="A304" s="25"/>
      <c r="B304" s="10" t="str">
        <f>CONCATENATE("          ", "6371", " - ", "COMPUTER SOFTWARE MAINTENANCE")</f>
        <v xml:space="preserve">          6371 - COMPUTER SOFTWARE MAINTENANCE</v>
      </c>
      <c r="C304" s="10"/>
      <c r="D304" s="6">
        <v>33821</v>
      </c>
      <c r="E304" s="2"/>
      <c r="F304" s="7">
        <f t="shared" si="122"/>
        <v>7.4990939601816992E-2</v>
      </c>
      <c r="G304" s="2"/>
      <c r="H304" s="6">
        <v>12181.05</v>
      </c>
      <c r="I304" s="2"/>
      <c r="J304" s="7">
        <f t="shared" si="123"/>
        <v>2.0731160046349392E-2</v>
      </c>
      <c r="K304" s="2"/>
      <c r="L304" s="6">
        <f t="shared" si="124"/>
        <v>21639.95</v>
      </c>
      <c r="M304" s="2"/>
      <c r="N304" s="7">
        <f t="shared" si="125"/>
        <v>1.7765258331588822</v>
      </c>
      <c r="O304" s="10"/>
      <c r="P304" s="6">
        <v>130534.19</v>
      </c>
      <c r="Q304" s="2"/>
      <c r="R304" s="7">
        <f t="shared" si="126"/>
        <v>1.2718552250514752E-2</v>
      </c>
      <c r="S304" s="2"/>
      <c r="T304" s="6">
        <v>104343.41</v>
      </c>
      <c r="U304" s="2"/>
      <c r="V304" s="7">
        <f t="shared" si="127"/>
        <v>3.6437535228259982E-3</v>
      </c>
      <c r="W304" s="2"/>
      <c r="X304" s="6">
        <f t="shared" si="128"/>
        <v>26190.78</v>
      </c>
      <c r="Y304" s="2"/>
      <c r="Z304" s="7">
        <f t="shared" si="129"/>
        <v>0.25100559776606879</v>
      </c>
    </row>
    <row r="305" spans="1:26" s="23" customFormat="1" hidden="1" outlineLevel="2" x14ac:dyDescent="0.25">
      <c r="A305" s="25"/>
      <c r="B305" s="10" t="str">
        <f>CONCATENATE("          ", "6372", " - ", "COMPUTER HARDWARE MAINTENANCE")</f>
        <v xml:space="preserve">          6372 - COMPUTER HARDWARE MAINTENANCE</v>
      </c>
      <c r="C305" s="10"/>
      <c r="D305" s="6">
        <v>10.039999999999999</v>
      </c>
      <c r="E305" s="2"/>
      <c r="F305" s="7">
        <f t="shared" si="122"/>
        <v>2.2261584033654903E-5</v>
      </c>
      <c r="G305" s="2"/>
      <c r="H305" s="6">
        <v>-2</v>
      </c>
      <c r="I305" s="2"/>
      <c r="J305" s="7">
        <f t="shared" si="123"/>
        <v>-3.4038379361958767E-6</v>
      </c>
      <c r="K305" s="2"/>
      <c r="L305" s="6">
        <f t="shared" si="124"/>
        <v>12.04</v>
      </c>
      <c r="M305" s="2"/>
      <c r="N305" s="7">
        <f t="shared" si="125"/>
        <v>-6.02</v>
      </c>
      <c r="O305" s="10"/>
      <c r="P305" s="6">
        <v>108.89</v>
      </c>
      <c r="Q305" s="2"/>
      <c r="R305" s="7">
        <f t="shared" si="126"/>
        <v>1.0609658316786976E-5</v>
      </c>
      <c r="S305" s="2"/>
      <c r="T305" s="6">
        <v>8193.19</v>
      </c>
      <c r="U305" s="2"/>
      <c r="V305" s="7">
        <f t="shared" si="127"/>
        <v>2.8611260572836123E-4</v>
      </c>
      <c r="W305" s="2"/>
      <c r="X305" s="6">
        <f t="shared" si="128"/>
        <v>-8084.3</v>
      </c>
      <c r="Y305" s="2"/>
      <c r="Z305" s="7">
        <f t="shared" si="129"/>
        <v>-0.9867096942704856</v>
      </c>
    </row>
    <row r="306" spans="1:26" s="23" customFormat="1" hidden="1" outlineLevel="2" x14ac:dyDescent="0.25">
      <c r="A306" s="25"/>
      <c r="B306" s="10" t="str">
        <f>CONCATENATE("          ", "6373", " - ", "MAINTENANCE CONTRACTS")</f>
        <v xml:space="preserve">          6373 - MAINTENANCE CONTRACTS</v>
      </c>
      <c r="C306" s="10"/>
      <c r="D306" s="6">
        <v>-2025.63</v>
      </c>
      <c r="E306" s="2"/>
      <c r="F306" s="7">
        <f t="shared" si="122"/>
        <v>-4.4914076161446598E-3</v>
      </c>
      <c r="G306" s="2"/>
      <c r="H306" s="6">
        <v>20672.96</v>
      </c>
      <c r="I306" s="2"/>
      <c r="J306" s="7">
        <f t="shared" si="123"/>
        <v>3.5183702750729955E-2</v>
      </c>
      <c r="K306" s="2"/>
      <c r="L306" s="6">
        <f t="shared" si="124"/>
        <v>-22698.59</v>
      </c>
      <c r="M306" s="2"/>
      <c r="N306" s="7">
        <f t="shared" si="125"/>
        <v>-1.0979845169728961</v>
      </c>
      <c r="O306" s="10"/>
      <c r="P306" s="6">
        <v>212946.67</v>
      </c>
      <c r="Q306" s="2"/>
      <c r="R306" s="7">
        <f t="shared" si="126"/>
        <v>2.0748382848724326E-2</v>
      </c>
      <c r="S306" s="2"/>
      <c r="T306" s="6">
        <v>311305.74</v>
      </c>
      <c r="U306" s="2"/>
      <c r="V306" s="7">
        <f t="shared" si="127"/>
        <v>1.0871040028315676E-2</v>
      </c>
      <c r="W306" s="2"/>
      <c r="X306" s="6">
        <f t="shared" si="128"/>
        <v>-98359.069999999978</v>
      </c>
      <c r="Y306" s="2"/>
      <c r="Z306" s="7">
        <f t="shared" si="129"/>
        <v>-0.31595649344596083</v>
      </c>
    </row>
    <row r="307" spans="1:26" s="23" customFormat="1" hidden="1" outlineLevel="2" x14ac:dyDescent="0.25">
      <c r="A307" s="25"/>
      <c r="B307" s="10" t="str">
        <f>CONCATENATE("          ", "6375", " - ", "OUTSIDE REPAIRS &amp; MAINTENANCE")</f>
        <v xml:space="preserve">          6375 - OUTSIDE REPAIRS &amp; MAINTENANCE</v>
      </c>
      <c r="C307" s="10"/>
      <c r="D307" s="6">
        <v>19472.68</v>
      </c>
      <c r="E307" s="2"/>
      <c r="F307" s="7">
        <f t="shared" si="122"/>
        <v>4.3176563962198329E-2</v>
      </c>
      <c r="G307" s="2"/>
      <c r="H307" s="6">
        <v>2335.64</v>
      </c>
      <c r="I307" s="2"/>
      <c r="J307" s="7">
        <f t="shared" si="123"/>
        <v>3.9750700186482685E-3</v>
      </c>
      <c r="K307" s="2"/>
      <c r="L307" s="6">
        <f t="shared" si="124"/>
        <v>17137.04</v>
      </c>
      <c r="M307" s="2"/>
      <c r="N307" s="7">
        <f t="shared" si="125"/>
        <v>7.3371923755373265</v>
      </c>
      <c r="O307" s="10"/>
      <c r="P307" s="6">
        <v>87751.79</v>
      </c>
      <c r="Q307" s="2"/>
      <c r="R307" s="7">
        <f t="shared" si="126"/>
        <v>8.5500643639126097E-3</v>
      </c>
      <c r="S307" s="2"/>
      <c r="T307" s="6">
        <v>172535.06</v>
      </c>
      <c r="U307" s="2"/>
      <c r="V307" s="7">
        <f t="shared" si="127"/>
        <v>6.025059298771192E-3</v>
      </c>
      <c r="W307" s="2"/>
      <c r="X307" s="6">
        <f t="shared" si="128"/>
        <v>-84783.27</v>
      </c>
      <c r="Y307" s="2"/>
      <c r="Z307" s="7">
        <f t="shared" si="129"/>
        <v>-0.49139734266183349</v>
      </c>
    </row>
    <row r="308" spans="1:26" s="27" customFormat="1" outlineLevel="1" collapsed="1" x14ac:dyDescent="0.25">
      <c r="A308" s="26"/>
      <c r="B308" s="12" t="str">
        <f>CONCATENATE("     ","Royalty &amp; Commissions                             ")</f>
        <v xml:space="preserve">     Royalty &amp; Commissions                             </v>
      </c>
      <c r="C308" s="12"/>
      <c r="D308" s="1">
        <f>SUM(OSRRefD22_19x_0)</f>
        <v>2549.25</v>
      </c>
      <c r="E308" s="1"/>
      <c r="F308" s="5">
        <f t="shared" ref="F308:F311" si="130">IF(D$12=0,0,D308/D$12)</f>
        <v>5.6524246113341401E-3</v>
      </c>
      <c r="G308" s="1"/>
      <c r="H308" s="1">
        <f>SUM(OSRRefH22_19x_0)</f>
        <v>0</v>
      </c>
      <c r="I308" s="1"/>
      <c r="J308" s="5">
        <f t="shared" ref="J308:J311" si="131">IF(H$12=0,0,H308/H$12)</f>
        <v>0</v>
      </c>
      <c r="K308" s="1"/>
      <c r="L308" s="1">
        <f t="shared" ref="L308:L311" si="132">+D308-H308</f>
        <v>2549.25</v>
      </c>
      <c r="M308" s="1"/>
      <c r="N308" s="5">
        <f t="shared" ref="N308:N311" si="133">IF(H308=0,0,L308/H308)</f>
        <v>0</v>
      </c>
      <c r="O308" s="12"/>
      <c r="P308" s="1">
        <f>SUM(OSRRefP22_19x_0)</f>
        <v>51521.88</v>
      </c>
      <c r="Q308" s="1"/>
      <c r="R308" s="5">
        <f t="shared" ref="R308:R311" si="134">IF(P$12=0,0,P308/P$12)</f>
        <v>5.0200160036596615E-3</v>
      </c>
      <c r="S308" s="1"/>
      <c r="T308" s="1">
        <f>SUM(OSRRefT22_19x_0)</f>
        <v>381769.01</v>
      </c>
      <c r="U308" s="1"/>
      <c r="V308" s="5">
        <f t="shared" ref="V308:V311" si="135">IF(T$12=0,0,T308/T$12)</f>
        <v>1.3331672552136199E-2</v>
      </c>
      <c r="W308" s="1"/>
      <c r="X308" s="1">
        <f t="shared" ref="X308:X311" si="136">+P308-T308</f>
        <v>-330247.13</v>
      </c>
      <c r="Y308" s="1"/>
      <c r="Z308" s="5">
        <f t="shared" ref="Z308:Z311" si="137">IF(T308=0,0,X308/T308)</f>
        <v>-0.8650443628203347</v>
      </c>
    </row>
    <row r="309" spans="1:26" s="23" customFormat="1" hidden="1" outlineLevel="2" x14ac:dyDescent="0.25">
      <c r="A309" s="25"/>
      <c r="B309" s="10" t="str">
        <f>CONCATENATE("          ", "6253", " - ", "ROYALTY DUE ATHLETICS-LRG")</f>
        <v xml:space="preserve">          6253 - ROYALTY DUE ATHLETICS-LRG</v>
      </c>
      <c r="C309" s="10"/>
      <c r="D309" s="6"/>
      <c r="E309" s="2"/>
      <c r="F309" s="7">
        <f t="shared" si="130"/>
        <v>0</v>
      </c>
      <c r="G309" s="2"/>
      <c r="H309" s="6"/>
      <c r="I309" s="2"/>
      <c r="J309" s="7">
        <f t="shared" si="131"/>
        <v>0</v>
      </c>
      <c r="K309" s="2"/>
      <c r="L309" s="6">
        <f t="shared" si="132"/>
        <v>0</v>
      </c>
      <c r="M309" s="2"/>
      <c r="N309" s="7">
        <f t="shared" si="133"/>
        <v>0</v>
      </c>
      <c r="O309" s="10"/>
      <c r="P309" s="6">
        <v>35159.06</v>
      </c>
      <c r="Q309" s="2"/>
      <c r="R309" s="7">
        <f t="shared" si="134"/>
        <v>3.4257104723979452E-3</v>
      </c>
      <c r="S309" s="2"/>
      <c r="T309" s="6">
        <v>32870.44</v>
      </c>
      <c r="U309" s="2"/>
      <c r="V309" s="7">
        <f t="shared" si="135"/>
        <v>1.14786148494515E-3</v>
      </c>
      <c r="W309" s="2"/>
      <c r="X309" s="6">
        <f t="shared" si="136"/>
        <v>2288.6199999999953</v>
      </c>
      <c r="Y309" s="2"/>
      <c r="Z309" s="7">
        <f t="shared" si="137"/>
        <v>6.962547504688088E-2</v>
      </c>
    </row>
    <row r="310" spans="1:26" s="23" customFormat="1" hidden="1" outlineLevel="2" x14ac:dyDescent="0.25">
      <c r="A310" s="25"/>
      <c r="B310" s="10" t="str">
        <f>CONCATENATE("          ", "6254", " - ", "ROYALTY &amp; COMMISSIONS")</f>
        <v xml:space="preserve">          6254 - ROYALTY &amp; COMMISSIONS</v>
      </c>
      <c r="C310" s="10"/>
      <c r="D310" s="6"/>
      <c r="E310" s="2"/>
      <c r="F310" s="7">
        <f t="shared" si="130"/>
        <v>0</v>
      </c>
      <c r="G310" s="2"/>
      <c r="H310" s="6"/>
      <c r="I310" s="2"/>
      <c r="J310" s="7">
        <f t="shared" si="131"/>
        <v>0</v>
      </c>
      <c r="K310" s="2"/>
      <c r="L310" s="6">
        <f t="shared" si="132"/>
        <v>0</v>
      </c>
      <c r="M310" s="2"/>
      <c r="N310" s="7">
        <f t="shared" si="133"/>
        <v>0</v>
      </c>
      <c r="O310" s="10"/>
      <c r="P310" s="6">
        <v>185.7</v>
      </c>
      <c r="Q310" s="2"/>
      <c r="R310" s="7">
        <f t="shared" si="134"/>
        <v>1.8093613274197275E-5</v>
      </c>
      <c r="S310" s="2"/>
      <c r="T310" s="6">
        <v>161620.87</v>
      </c>
      <c r="U310" s="2"/>
      <c r="V310" s="7">
        <f t="shared" si="135"/>
        <v>5.6439272439409707E-3</v>
      </c>
      <c r="W310" s="2"/>
      <c r="X310" s="6">
        <f t="shared" si="136"/>
        <v>-161435.16999999998</v>
      </c>
      <c r="Y310" s="2"/>
      <c r="Z310" s="7">
        <f t="shared" si="137"/>
        <v>-0.99885101472353166</v>
      </c>
    </row>
    <row r="311" spans="1:26" s="23" customFormat="1" hidden="1" outlineLevel="2" x14ac:dyDescent="0.25">
      <c r="A311" s="25"/>
      <c r="B311" s="10" t="str">
        <f>CONCATENATE("          ", "6259", " - ", "ROYALTY &amp; COMMISSIONS")</f>
        <v xml:space="preserve">          6259 - ROYALTY &amp; COMMISSIONS</v>
      </c>
      <c r="C311" s="10"/>
      <c r="D311" s="6">
        <v>2549.25</v>
      </c>
      <c r="E311" s="2"/>
      <c r="F311" s="7">
        <f t="shared" si="130"/>
        <v>5.6524246113341401E-3</v>
      </c>
      <c r="G311" s="2"/>
      <c r="H311" s="6"/>
      <c r="I311" s="2"/>
      <c r="J311" s="7">
        <f t="shared" si="131"/>
        <v>0</v>
      </c>
      <c r="K311" s="2"/>
      <c r="L311" s="6">
        <f t="shared" si="132"/>
        <v>2549.25</v>
      </c>
      <c r="M311" s="2"/>
      <c r="N311" s="7">
        <f t="shared" si="133"/>
        <v>0</v>
      </c>
      <c r="O311" s="10"/>
      <c r="P311" s="6">
        <v>16177.12</v>
      </c>
      <c r="Q311" s="2"/>
      <c r="R311" s="7">
        <f t="shared" si="134"/>
        <v>1.5762119179875188E-3</v>
      </c>
      <c r="S311" s="2"/>
      <c r="T311" s="6">
        <v>187277.7</v>
      </c>
      <c r="U311" s="2"/>
      <c r="V311" s="7">
        <f t="shared" si="135"/>
        <v>6.539883823250079E-3</v>
      </c>
      <c r="W311" s="2"/>
      <c r="X311" s="6">
        <f t="shared" si="136"/>
        <v>-171100.58000000002</v>
      </c>
      <c r="Y311" s="2"/>
      <c r="Z311" s="7">
        <f t="shared" si="137"/>
        <v>-0.91361961408112125</v>
      </c>
    </row>
    <row r="312" spans="1:26" s="27" customFormat="1" outlineLevel="1" collapsed="1" x14ac:dyDescent="0.25">
      <c r="A312" s="26"/>
      <c r="B312" s="12" t="str">
        <f>CONCATENATE("     ","Services                                          ")</f>
        <v xml:space="preserve">     Services                                          </v>
      </c>
      <c r="C312" s="12"/>
      <c r="D312" s="1">
        <f>SUM(OSRRefD22_20x_0)</f>
        <v>17500.2</v>
      </c>
      <c r="E312" s="1"/>
      <c r="F312" s="5">
        <f t="shared" ref="F312:F317" si="138">IF(D$12=0,0,D312/D$12)</f>
        <v>3.8803005269498765E-2</v>
      </c>
      <c r="G312" s="1"/>
      <c r="H312" s="1">
        <f>SUM(OSRRefH22_20x_0)</f>
        <v>47921.329999999994</v>
      </c>
      <c r="I312" s="1"/>
      <c r="J312" s="5">
        <f t="shared" ref="J312:J317" si="139">IF(H$12=0,0,H312/H$12)</f>
        <v>8.1558220503480758E-2</v>
      </c>
      <c r="K312" s="1"/>
      <c r="L312" s="1">
        <f t="shared" ref="L312:L317" si="140">+D312-H312</f>
        <v>-30421.129999999994</v>
      </c>
      <c r="M312" s="1"/>
      <c r="N312" s="5">
        <f t="shared" ref="N312:N317" si="141">IF(H312=0,0,L312/H312)</f>
        <v>-0.63481397532163641</v>
      </c>
      <c r="O312" s="12"/>
      <c r="P312" s="1">
        <f>SUM(OSRRefP22_20x_0)</f>
        <v>258049.61</v>
      </c>
      <c r="Q312" s="1"/>
      <c r="R312" s="5">
        <f t="shared" ref="R312:R317" si="142">IF(P$12=0,0,P312/P$12)</f>
        <v>2.5142971722657136E-2</v>
      </c>
      <c r="S312" s="1"/>
      <c r="T312" s="1">
        <f>SUM(OSRRefT22_20x_0)</f>
        <v>516608.15</v>
      </c>
      <c r="U312" s="1"/>
      <c r="V312" s="5">
        <f t="shared" ref="V312:V317" si="143">IF(T$12=0,0,T312/T$12)</f>
        <v>1.8040360828567151E-2</v>
      </c>
      <c r="W312" s="1"/>
      <c r="X312" s="1">
        <f t="shared" ref="X312:X317" si="144">+P312-T312</f>
        <v>-258558.54000000004</v>
      </c>
      <c r="Y312" s="1"/>
      <c r="Z312" s="5">
        <f t="shared" ref="Z312:Z317" si="145">IF(T312=0,0,X312/T312)</f>
        <v>-0.50049256869060244</v>
      </c>
    </row>
    <row r="313" spans="1:26" s="23" customFormat="1" hidden="1" outlineLevel="2" x14ac:dyDescent="0.25">
      <c r="A313" s="25"/>
      <c r="B313" s="10" t="str">
        <f>CONCATENATE("          ", "6282", " - ", "JANITORIAL/EXTERMINATOR EXPENS")</f>
        <v xml:space="preserve">          6282 - JANITORIAL/EXTERMINATOR EXPENS</v>
      </c>
      <c r="C313" s="10"/>
      <c r="D313" s="6">
        <v>3972.15</v>
      </c>
      <c r="E313" s="2"/>
      <c r="F313" s="7">
        <f t="shared" si="138"/>
        <v>8.8074054800082006E-3</v>
      </c>
      <c r="G313" s="2"/>
      <c r="H313" s="6">
        <v>4889.2299999999996</v>
      </c>
      <c r="I313" s="2"/>
      <c r="J313" s="7">
        <f t="shared" si="139"/>
        <v>8.3210732763934828E-3</v>
      </c>
      <c r="K313" s="2"/>
      <c r="L313" s="6">
        <f t="shared" si="140"/>
        <v>-917.07999999999947</v>
      </c>
      <c r="M313" s="2"/>
      <c r="N313" s="7">
        <f t="shared" si="141"/>
        <v>-0.18757145808235642</v>
      </c>
      <c r="O313" s="10"/>
      <c r="P313" s="6">
        <v>40791.71</v>
      </c>
      <c r="Q313" s="2"/>
      <c r="R313" s="7">
        <f t="shared" si="142"/>
        <v>3.9745257163877534E-3</v>
      </c>
      <c r="S313" s="2"/>
      <c r="T313" s="6">
        <v>44969.91</v>
      </c>
      <c r="U313" s="2"/>
      <c r="V313" s="7">
        <f t="shared" si="143"/>
        <v>1.5703844448218445E-3</v>
      </c>
      <c r="W313" s="2"/>
      <c r="X313" s="6">
        <f t="shared" si="144"/>
        <v>-4178.2000000000044</v>
      </c>
      <c r="Y313" s="2"/>
      <c r="Z313" s="7">
        <f t="shared" si="145"/>
        <v>-9.2911015387844978E-2</v>
      </c>
    </row>
    <row r="314" spans="1:26" s="23" customFormat="1" hidden="1" outlineLevel="2" x14ac:dyDescent="0.25">
      <c r="A314" s="25"/>
      <c r="B314" s="10" t="str">
        <f>CONCATENATE("          ", "6283", " - ", "PLANT SERVICE")</f>
        <v xml:space="preserve">          6283 - PLANT SERVICE</v>
      </c>
      <c r="C314" s="10"/>
      <c r="D314" s="6"/>
      <c r="E314" s="2"/>
      <c r="F314" s="7">
        <f t="shared" si="138"/>
        <v>0</v>
      </c>
      <c r="G314" s="2"/>
      <c r="H314" s="6"/>
      <c r="I314" s="2"/>
      <c r="J314" s="7">
        <f t="shared" si="139"/>
        <v>0</v>
      </c>
      <c r="K314" s="2"/>
      <c r="L314" s="6">
        <f t="shared" si="140"/>
        <v>0</v>
      </c>
      <c r="M314" s="2"/>
      <c r="N314" s="7">
        <f t="shared" si="141"/>
        <v>0</v>
      </c>
      <c r="O314" s="10"/>
      <c r="P314" s="6">
        <v>171.31</v>
      </c>
      <c r="Q314" s="2"/>
      <c r="R314" s="7">
        <f t="shared" si="142"/>
        <v>1.6691528756072889E-5</v>
      </c>
      <c r="S314" s="2"/>
      <c r="T314" s="6">
        <v>2340</v>
      </c>
      <c r="U314" s="2"/>
      <c r="V314" s="7">
        <f t="shared" si="143"/>
        <v>8.1714630980651636E-5</v>
      </c>
      <c r="W314" s="2"/>
      <c r="X314" s="6">
        <f t="shared" si="144"/>
        <v>-2168.69</v>
      </c>
      <c r="Y314" s="2"/>
      <c r="Z314" s="7">
        <f t="shared" si="145"/>
        <v>-0.92679059829059829</v>
      </c>
    </row>
    <row r="315" spans="1:26" s="23" customFormat="1" hidden="1" outlineLevel="2" x14ac:dyDescent="0.25">
      <c r="A315" s="25"/>
      <c r="B315" s="10" t="str">
        <f>CONCATENATE("          ", "6284", " - ", "TRASH REMOVAL EXPENSE")</f>
        <v xml:space="preserve">          6284 - TRASH REMOVAL EXPENSE</v>
      </c>
      <c r="C315" s="10"/>
      <c r="D315" s="6">
        <v>-3907.43</v>
      </c>
      <c r="E315" s="2"/>
      <c r="F315" s="7">
        <f t="shared" si="138"/>
        <v>-8.6639025199824887E-3</v>
      </c>
      <c r="G315" s="2"/>
      <c r="H315" s="6">
        <v>16510.82</v>
      </c>
      <c r="I315" s="2"/>
      <c r="J315" s="7">
        <f t="shared" si="139"/>
        <v>2.81000777368508E-2</v>
      </c>
      <c r="K315" s="2"/>
      <c r="L315" s="6">
        <f t="shared" si="140"/>
        <v>-20418.25</v>
      </c>
      <c r="M315" s="2"/>
      <c r="N315" s="7">
        <f t="shared" si="141"/>
        <v>-1.2366587486266583</v>
      </c>
      <c r="O315" s="10"/>
      <c r="P315" s="6">
        <v>30553.61</v>
      </c>
      <c r="Q315" s="2"/>
      <c r="R315" s="7">
        <f t="shared" si="142"/>
        <v>2.9769800940799497E-3</v>
      </c>
      <c r="S315" s="2"/>
      <c r="T315" s="6">
        <v>69712.84</v>
      </c>
      <c r="U315" s="2"/>
      <c r="V315" s="7">
        <f t="shared" si="143"/>
        <v>2.4344269210312863E-3</v>
      </c>
      <c r="W315" s="2"/>
      <c r="X315" s="6">
        <f t="shared" si="144"/>
        <v>-39159.229999999996</v>
      </c>
      <c r="Y315" s="2"/>
      <c r="Z315" s="7">
        <f t="shared" si="145"/>
        <v>-0.5617219152167664</v>
      </c>
    </row>
    <row r="316" spans="1:26" s="23" customFormat="1" hidden="1" outlineLevel="2" x14ac:dyDescent="0.25">
      <c r="A316" s="25"/>
      <c r="B316" s="10" t="str">
        <f>CONCATENATE("          ", "6285", " - ", "JANITORIAL SERVICES")</f>
        <v xml:space="preserve">          6285 - JANITORIAL SERVICES</v>
      </c>
      <c r="C316" s="10"/>
      <c r="D316" s="6">
        <v>16146.46</v>
      </c>
      <c r="E316" s="2"/>
      <c r="F316" s="7">
        <f t="shared" si="138"/>
        <v>3.5801372125104342E-2</v>
      </c>
      <c r="G316" s="2"/>
      <c r="H316" s="6">
        <v>25849.71</v>
      </c>
      <c r="I316" s="2"/>
      <c r="J316" s="7">
        <f t="shared" si="139"/>
        <v>4.3994111768830953E-2</v>
      </c>
      <c r="K316" s="2"/>
      <c r="L316" s="6">
        <f t="shared" si="140"/>
        <v>-9703.25</v>
      </c>
      <c r="M316" s="2"/>
      <c r="N316" s="7">
        <f t="shared" si="141"/>
        <v>-0.37537171596896057</v>
      </c>
      <c r="O316" s="10"/>
      <c r="P316" s="6">
        <v>168536.59</v>
      </c>
      <c r="Q316" s="2"/>
      <c r="R316" s="7">
        <f t="shared" si="142"/>
        <v>1.6421302541798296E-2</v>
      </c>
      <c r="S316" s="2"/>
      <c r="T316" s="6">
        <v>324178.06</v>
      </c>
      <c r="U316" s="2"/>
      <c r="V316" s="7">
        <f t="shared" si="143"/>
        <v>1.1320551514924592E-2</v>
      </c>
      <c r="W316" s="2"/>
      <c r="X316" s="6">
        <f t="shared" si="144"/>
        <v>-155641.47</v>
      </c>
      <c r="Y316" s="2"/>
      <c r="Z316" s="7">
        <f t="shared" si="145"/>
        <v>-0.48011105378322028</v>
      </c>
    </row>
    <row r="317" spans="1:26" s="23" customFormat="1" hidden="1" outlineLevel="2" x14ac:dyDescent="0.25">
      <c r="A317" s="25"/>
      <c r="B317" s="10" t="str">
        <f>CONCATENATE("          ", "6286", " - ", "LAUNDRY EXPENSE")</f>
        <v xml:space="preserve">          6286 - LAUNDRY EXPENSE</v>
      </c>
      <c r="C317" s="10"/>
      <c r="D317" s="6">
        <v>1289.02</v>
      </c>
      <c r="E317" s="2"/>
      <c r="F317" s="7">
        <f t="shared" si="138"/>
        <v>2.8581301843687095E-3</v>
      </c>
      <c r="G317" s="2"/>
      <c r="H317" s="6">
        <v>671.57</v>
      </c>
      <c r="I317" s="2"/>
      <c r="J317" s="7">
        <f t="shared" si="139"/>
        <v>1.1429577214055325E-3</v>
      </c>
      <c r="K317" s="2"/>
      <c r="L317" s="6">
        <f t="shared" si="140"/>
        <v>617.44999999999993</v>
      </c>
      <c r="M317" s="2"/>
      <c r="N317" s="7">
        <f t="shared" si="141"/>
        <v>0.91941271944845648</v>
      </c>
      <c r="O317" s="10"/>
      <c r="P317" s="6">
        <v>17996.39</v>
      </c>
      <c r="Q317" s="2"/>
      <c r="R317" s="7">
        <f t="shared" si="142"/>
        <v>1.7534718416350626E-3</v>
      </c>
      <c r="S317" s="2"/>
      <c r="T317" s="6">
        <v>75407.34</v>
      </c>
      <c r="U317" s="2"/>
      <c r="V317" s="7">
        <f t="shared" si="143"/>
        <v>2.6332833168087742E-3</v>
      </c>
      <c r="W317" s="2"/>
      <c r="X317" s="6">
        <f t="shared" si="144"/>
        <v>-57410.95</v>
      </c>
      <c r="Y317" s="2"/>
      <c r="Z317" s="7">
        <f t="shared" si="145"/>
        <v>-0.76134432006221142</v>
      </c>
    </row>
    <row r="318" spans="1:26" s="27" customFormat="1" outlineLevel="1" collapsed="1" x14ac:dyDescent="0.25">
      <c r="A318" s="26"/>
      <c r="B318" s="12" t="str">
        <f>CONCATENATE("     ","Subscriptions &amp; Dues                              ")</f>
        <v xml:space="preserve">     Subscriptions &amp; Dues                              </v>
      </c>
      <c r="C318" s="12"/>
      <c r="D318" s="1">
        <f>SUM(OSRRefD22_21x_0)</f>
        <v>824.67</v>
      </c>
      <c r="E318" s="1"/>
      <c r="F318" s="5">
        <f t="shared" ref="F318:F320" si="146">IF(D$12=0,0,D318/D$12)</f>
        <v>1.8285319228121702E-3</v>
      </c>
      <c r="G318" s="1"/>
      <c r="H318" s="1">
        <f>SUM(OSRRefH22_21x_0)</f>
        <v>1101.25</v>
      </c>
      <c r="I318" s="1"/>
      <c r="J318" s="5">
        <f t="shared" ref="J318:J320" si="147">IF(H$12=0,0,H318/H$12)</f>
        <v>1.8742382636178546E-3</v>
      </c>
      <c r="K318" s="1"/>
      <c r="L318" s="1">
        <f t="shared" ref="L318:L320" si="148">+D318-H318</f>
        <v>-276.58000000000004</v>
      </c>
      <c r="M318" s="1"/>
      <c r="N318" s="5">
        <f t="shared" ref="N318:N320" si="149">IF(H318=0,0,L318/H318)</f>
        <v>-0.25115096481271287</v>
      </c>
      <c r="O318" s="12"/>
      <c r="P318" s="1">
        <f>SUM(OSRRefP22_21x_0)</f>
        <v>10099.27</v>
      </c>
      <c r="Q318" s="1"/>
      <c r="R318" s="5">
        <f t="shared" ref="R318:R320" si="150">IF(P$12=0,0,P318/P$12)</f>
        <v>9.8401877076845635E-4</v>
      </c>
      <c r="S318" s="1"/>
      <c r="T318" s="1">
        <f>SUM(OSRRefT22_21x_0)</f>
        <v>14025.349999999999</v>
      </c>
      <c r="U318" s="1"/>
      <c r="V318" s="5">
        <f t="shared" ref="V318:V320" si="151">IF(T$12=0,0,T318/T$12)</f>
        <v>4.8977619642071892E-4</v>
      </c>
      <c r="W318" s="1"/>
      <c r="X318" s="1">
        <f t="shared" ref="X318:X320" si="152">+P318-T318</f>
        <v>-3926.0799999999981</v>
      </c>
      <c r="Y318" s="1"/>
      <c r="Z318" s="5">
        <f t="shared" ref="Z318:Z320" si="153">IF(T318=0,0,X318/T318)</f>
        <v>-0.27992741714110508</v>
      </c>
    </row>
    <row r="319" spans="1:26" s="23" customFormat="1" hidden="1" outlineLevel="2" x14ac:dyDescent="0.25">
      <c r="A319" s="25"/>
      <c r="B319" s="10" t="str">
        <f>CONCATENATE("          ", "6258", " - ", "MEMBERSHIP DUES")</f>
        <v xml:space="preserve">          6258 - MEMBERSHIP DUES</v>
      </c>
      <c r="C319" s="10"/>
      <c r="D319" s="6">
        <v>609</v>
      </c>
      <c r="E319" s="2"/>
      <c r="F319" s="7">
        <f t="shared" si="146"/>
        <v>1.350329151045402E-3</v>
      </c>
      <c r="G319" s="2"/>
      <c r="H319" s="6">
        <v>1101.25</v>
      </c>
      <c r="I319" s="2"/>
      <c r="J319" s="7">
        <f t="shared" si="147"/>
        <v>1.8742382636178546E-3</v>
      </c>
      <c r="K319" s="2"/>
      <c r="L319" s="6">
        <f t="shared" si="148"/>
        <v>-492.25</v>
      </c>
      <c r="M319" s="2"/>
      <c r="N319" s="7">
        <f t="shared" si="149"/>
        <v>-0.44699205448354146</v>
      </c>
      <c r="O319" s="10"/>
      <c r="P319" s="6">
        <v>4450.45</v>
      </c>
      <c r="Q319" s="2"/>
      <c r="R319" s="7">
        <f t="shared" si="150"/>
        <v>4.3362800859532186E-4</v>
      </c>
      <c r="S319" s="2"/>
      <c r="T319" s="6">
        <v>6251.16</v>
      </c>
      <c r="U319" s="2"/>
      <c r="V319" s="7">
        <f t="shared" si="151"/>
        <v>2.182953985474403E-4</v>
      </c>
      <c r="W319" s="2"/>
      <c r="X319" s="6">
        <f t="shared" si="152"/>
        <v>-1800.71</v>
      </c>
      <c r="Y319" s="2"/>
      <c r="Z319" s="7">
        <f t="shared" si="153"/>
        <v>-0.28806013603875125</v>
      </c>
    </row>
    <row r="320" spans="1:26" s="23" customFormat="1" hidden="1" outlineLevel="2" x14ac:dyDescent="0.25">
      <c r="A320" s="25"/>
      <c r="B320" s="10" t="str">
        <f>CONCATENATE("          ", "6275", " - ", "SUBSCRIPTIONS")</f>
        <v xml:space="preserve">          6275 - SUBSCRIPTIONS</v>
      </c>
      <c r="C320" s="10"/>
      <c r="D320" s="6">
        <v>215.67</v>
      </c>
      <c r="E320" s="2"/>
      <c r="F320" s="7">
        <f t="shared" si="146"/>
        <v>4.7820277176676822E-4</v>
      </c>
      <c r="G320" s="2"/>
      <c r="H320" s="6"/>
      <c r="I320" s="2"/>
      <c r="J320" s="7">
        <f t="shared" si="147"/>
        <v>0</v>
      </c>
      <c r="K320" s="2"/>
      <c r="L320" s="6">
        <f t="shared" si="148"/>
        <v>215.67</v>
      </c>
      <c r="M320" s="2"/>
      <c r="N320" s="7">
        <f t="shared" si="149"/>
        <v>0</v>
      </c>
      <c r="O320" s="10"/>
      <c r="P320" s="6">
        <v>5648.82</v>
      </c>
      <c r="Q320" s="2"/>
      <c r="R320" s="7">
        <f t="shared" si="150"/>
        <v>5.5039076217313439E-4</v>
      </c>
      <c r="S320" s="2"/>
      <c r="T320" s="6">
        <v>7774.19</v>
      </c>
      <c r="U320" s="2"/>
      <c r="V320" s="7">
        <f t="shared" si="151"/>
        <v>2.7148079787327867E-4</v>
      </c>
      <c r="W320" s="2"/>
      <c r="X320" s="6">
        <f t="shared" si="152"/>
        <v>-2125.37</v>
      </c>
      <c r="Y320" s="2"/>
      <c r="Z320" s="7">
        <f t="shared" si="153"/>
        <v>-0.27338796710654101</v>
      </c>
    </row>
    <row r="321" spans="1:26" s="27" customFormat="1" outlineLevel="1" collapsed="1" x14ac:dyDescent="0.25">
      <c r="A321" s="26"/>
      <c r="B321" s="12" t="str">
        <f>CONCATENATE("     ","Supplies                                          ")</f>
        <v xml:space="preserve">     Supplies                                          </v>
      </c>
      <c r="C321" s="12"/>
      <c r="D321" s="1">
        <f>SUM(OSRRefD22_22x_0)</f>
        <v>33025.360000000001</v>
      </c>
      <c r="E321" s="1"/>
      <c r="F321" s="5">
        <f t="shared" ref="F321:F331" si="154">IF(D$12=0,0,D321/D$12)</f>
        <v>7.3226775585827228E-2</v>
      </c>
      <c r="G321" s="1"/>
      <c r="H321" s="1">
        <f>SUM(OSRRefH22_22x_0)</f>
        <v>59850.65</v>
      </c>
      <c r="I321" s="1"/>
      <c r="J321" s="5">
        <f t="shared" ref="J321:J331" si="155">IF(H$12=0,0,H321/H$12)</f>
        <v>0.10186095648799087</v>
      </c>
      <c r="K321" s="1"/>
      <c r="L321" s="1">
        <f t="shared" ref="L321:L331" si="156">+D321-H321</f>
        <v>-26825.29</v>
      </c>
      <c r="M321" s="1"/>
      <c r="N321" s="5">
        <f t="shared" ref="N321:N331" si="157">IF(H321=0,0,L321/H321)</f>
        <v>-0.4482038206769684</v>
      </c>
      <c r="O321" s="12"/>
      <c r="P321" s="1">
        <f>SUM(OSRRefP22_22x_0)</f>
        <v>331387.23</v>
      </c>
      <c r="Q321" s="1"/>
      <c r="R321" s="5">
        <f t="shared" ref="R321:R331" si="158">IF(P$12=0,0,P321/P$12)</f>
        <v>3.2288596573115051E-2</v>
      </c>
      <c r="S321" s="1"/>
      <c r="T321" s="1">
        <f>SUM(OSRRefT22_22x_0)</f>
        <v>592661.26</v>
      </c>
      <c r="U321" s="1"/>
      <c r="V321" s="5">
        <f t="shared" ref="V321:V331" si="159">IF(T$12=0,0,T321/T$12)</f>
        <v>2.0696194939071811E-2</v>
      </c>
      <c r="W321" s="1"/>
      <c r="X321" s="1">
        <f t="shared" ref="X321:X331" si="160">+P321-T321</f>
        <v>-261274.03000000003</v>
      </c>
      <c r="Y321" s="1"/>
      <c r="Z321" s="5">
        <f t="shared" ref="Z321:Z331" si="161">IF(T321=0,0,X321/T321)</f>
        <v>-0.4408488417144053</v>
      </c>
    </row>
    <row r="322" spans="1:26" s="23" customFormat="1" hidden="1" outlineLevel="2" x14ac:dyDescent="0.25">
      <c r="A322" s="25"/>
      <c r="B322" s="10" t="str">
        <f>CONCATENATE("          ", "6234", " - ", "EXPENDABLE SUPPLIES &amp; EQUIPMEN")</f>
        <v xml:space="preserve">          6234 - EXPENDABLE SUPPLIES &amp; EQUIPMEN</v>
      </c>
      <c r="C322" s="10"/>
      <c r="D322" s="6">
        <v>-1048.8</v>
      </c>
      <c r="E322" s="2"/>
      <c r="F322" s="7">
        <f t="shared" si="154"/>
        <v>-2.3254929616033132E-3</v>
      </c>
      <c r="G322" s="2"/>
      <c r="H322" s="6">
        <v>5404.9</v>
      </c>
      <c r="I322" s="2"/>
      <c r="J322" s="7">
        <f t="shared" si="155"/>
        <v>9.1987018306725465E-3</v>
      </c>
      <c r="K322" s="2"/>
      <c r="L322" s="6">
        <f t="shared" si="156"/>
        <v>-6453.7</v>
      </c>
      <c r="M322" s="2"/>
      <c r="N322" s="7">
        <f t="shared" si="157"/>
        <v>-1.1940461433143998</v>
      </c>
      <c r="O322" s="10"/>
      <c r="P322" s="6">
        <v>1338.68</v>
      </c>
      <c r="Q322" s="2"/>
      <c r="R322" s="7">
        <f t="shared" si="158"/>
        <v>1.3043380838935063E-4</v>
      </c>
      <c r="S322" s="2"/>
      <c r="T322" s="6">
        <v>25858.02</v>
      </c>
      <c r="U322" s="2"/>
      <c r="V322" s="7">
        <f t="shared" si="159"/>
        <v>9.0298229153432043E-4</v>
      </c>
      <c r="W322" s="2"/>
      <c r="X322" s="6">
        <f t="shared" si="160"/>
        <v>-24519.34</v>
      </c>
      <c r="Y322" s="2"/>
      <c r="Z322" s="7">
        <f t="shared" si="161"/>
        <v>-0.94822960149307645</v>
      </c>
    </row>
    <row r="323" spans="1:26" s="23" customFormat="1" hidden="1" outlineLevel="2" x14ac:dyDescent="0.25">
      <c r="A323" s="25"/>
      <c r="B323" s="10" t="str">
        <f>CONCATENATE("          ", "6235", " - ", "COVID-19 EXPENSES")</f>
        <v xml:space="preserve">          6235 - COVID-19 EXPENSES</v>
      </c>
      <c r="C323" s="10"/>
      <c r="D323" s="6">
        <v>957.91</v>
      </c>
      <c r="E323" s="2"/>
      <c r="F323" s="7">
        <f t="shared" si="154"/>
        <v>2.1239635419998374E-3</v>
      </c>
      <c r="G323" s="2"/>
      <c r="H323" s="6">
        <v>3541.44</v>
      </c>
      <c r="I323" s="2"/>
      <c r="J323" s="7">
        <f t="shared" si="155"/>
        <v>6.0272439103807628E-3</v>
      </c>
      <c r="K323" s="2"/>
      <c r="L323" s="6">
        <f t="shared" si="156"/>
        <v>-2583.5300000000002</v>
      </c>
      <c r="M323" s="2"/>
      <c r="N323" s="7">
        <f t="shared" si="157"/>
        <v>-0.72951398301255987</v>
      </c>
      <c r="O323" s="10"/>
      <c r="P323" s="6">
        <v>112190.62</v>
      </c>
      <c r="Q323" s="2"/>
      <c r="R323" s="7">
        <f t="shared" si="158"/>
        <v>1.0931253049393765E-2</v>
      </c>
      <c r="S323" s="2"/>
      <c r="T323" s="6">
        <v>7042.55</v>
      </c>
      <c r="U323" s="2"/>
      <c r="V323" s="7">
        <f t="shared" si="159"/>
        <v>2.4593135658666163E-4</v>
      </c>
      <c r="W323" s="2"/>
      <c r="X323" s="6">
        <f t="shared" si="160"/>
        <v>105148.06999999999</v>
      </c>
      <c r="Y323" s="2"/>
      <c r="Z323" s="7">
        <f t="shared" si="161"/>
        <v>14.930397370270709</v>
      </c>
    </row>
    <row r="324" spans="1:26" s="23" customFormat="1" hidden="1" outlineLevel="2" x14ac:dyDescent="0.25">
      <c r="A324" s="25"/>
      <c r="B324" s="10" t="str">
        <f>CONCATENATE("          ", "6237", " - ", "JANITORIAL SUPPLIES")</f>
        <v xml:space="preserve">          6237 - JANITORIAL SUPPLIES</v>
      </c>
      <c r="C324" s="10"/>
      <c r="D324" s="6">
        <v>2590.06</v>
      </c>
      <c r="E324" s="2"/>
      <c r="F324" s="7">
        <f t="shared" si="154"/>
        <v>5.7429121854789067E-3</v>
      </c>
      <c r="G324" s="2"/>
      <c r="H324" s="6">
        <v>4102.6400000000003</v>
      </c>
      <c r="I324" s="2"/>
      <c r="J324" s="7">
        <f t="shared" si="155"/>
        <v>6.9823608352773264E-3</v>
      </c>
      <c r="K324" s="2"/>
      <c r="L324" s="6">
        <f t="shared" si="156"/>
        <v>-1512.5800000000004</v>
      </c>
      <c r="M324" s="2"/>
      <c r="N324" s="7">
        <f t="shared" si="157"/>
        <v>-0.36868455433574487</v>
      </c>
      <c r="O324" s="10"/>
      <c r="P324" s="6">
        <v>30283.55</v>
      </c>
      <c r="Q324" s="2"/>
      <c r="R324" s="7">
        <f t="shared" si="158"/>
        <v>2.9506668942908825E-3</v>
      </c>
      <c r="S324" s="2"/>
      <c r="T324" s="6">
        <v>136514.57999999999</v>
      </c>
      <c r="U324" s="2"/>
      <c r="V324" s="7">
        <f t="shared" si="159"/>
        <v>4.7671959522130967E-3</v>
      </c>
      <c r="W324" s="2"/>
      <c r="X324" s="6">
        <f t="shared" si="160"/>
        <v>-106231.02999999998</v>
      </c>
      <c r="Y324" s="2"/>
      <c r="Z324" s="7">
        <f t="shared" si="161"/>
        <v>-0.77816618561914774</v>
      </c>
    </row>
    <row r="325" spans="1:26" s="23" customFormat="1" hidden="1" outlineLevel="2" x14ac:dyDescent="0.25">
      <c r="A325" s="25"/>
      <c r="B325" s="10" t="str">
        <f>CONCATENATE("          ", "6239", " - ", "KITCHEN SUPPLIES")</f>
        <v xml:space="preserve">          6239 - KITCHEN SUPPLIES</v>
      </c>
      <c r="C325" s="10"/>
      <c r="D325" s="6">
        <v>7752.64</v>
      </c>
      <c r="E325" s="2"/>
      <c r="F325" s="7">
        <f t="shared" si="154"/>
        <v>1.7189845303055215E-2</v>
      </c>
      <c r="G325" s="2"/>
      <c r="H325" s="6">
        <v>349.26</v>
      </c>
      <c r="I325" s="2"/>
      <c r="J325" s="7">
        <f t="shared" si="155"/>
        <v>5.9441221879788595E-4</v>
      </c>
      <c r="K325" s="2"/>
      <c r="L325" s="6">
        <f t="shared" si="156"/>
        <v>7403.38</v>
      </c>
      <c r="M325" s="2"/>
      <c r="N325" s="7">
        <f t="shared" si="157"/>
        <v>21.197331500887593</v>
      </c>
      <c r="O325" s="10"/>
      <c r="P325" s="6">
        <v>15638.74</v>
      </c>
      <c r="Q325" s="2"/>
      <c r="R325" s="7">
        <f t="shared" si="158"/>
        <v>1.5237550546888525E-3</v>
      </c>
      <c r="S325" s="2"/>
      <c r="T325" s="6">
        <v>73164.59</v>
      </c>
      <c r="U325" s="2"/>
      <c r="V325" s="7">
        <f t="shared" si="159"/>
        <v>2.5549647319233655E-3</v>
      </c>
      <c r="W325" s="2"/>
      <c r="X325" s="6">
        <f t="shared" si="160"/>
        <v>-57525.85</v>
      </c>
      <c r="Y325" s="2"/>
      <c r="Z325" s="7">
        <f t="shared" si="161"/>
        <v>-0.78625261209008346</v>
      </c>
    </row>
    <row r="326" spans="1:26" s="23" customFormat="1" hidden="1" outlineLevel="2" x14ac:dyDescent="0.25">
      <c r="A326" s="25"/>
      <c r="B326" s="10" t="str">
        <f>CONCATENATE("          ", "6241", " - ", "OFFICE EXPENSE")</f>
        <v xml:space="preserve">          6241 - OFFICE EXPENSE</v>
      </c>
      <c r="C326" s="10"/>
      <c r="D326" s="6">
        <v>6595.91</v>
      </c>
      <c r="E326" s="2"/>
      <c r="F326" s="7">
        <f t="shared" si="154"/>
        <v>1.4625040313090112E-2</v>
      </c>
      <c r="G326" s="2"/>
      <c r="H326" s="6">
        <v>39928.99</v>
      </c>
      <c r="I326" s="2"/>
      <c r="J326" s="7">
        <f t="shared" si="155"/>
        <v>6.7955905457992891E-2</v>
      </c>
      <c r="K326" s="2"/>
      <c r="L326" s="6">
        <f t="shared" si="156"/>
        <v>-33333.08</v>
      </c>
      <c r="M326" s="2"/>
      <c r="N326" s="7">
        <f t="shared" si="157"/>
        <v>-0.83480899466778402</v>
      </c>
      <c r="O326" s="10"/>
      <c r="P326" s="6">
        <v>49147.1</v>
      </c>
      <c r="Q326" s="2"/>
      <c r="R326" s="7">
        <f t="shared" si="158"/>
        <v>4.7886301612724879E-3</v>
      </c>
      <c r="S326" s="2"/>
      <c r="T326" s="6">
        <v>138534.59</v>
      </c>
      <c r="U326" s="2"/>
      <c r="V326" s="7">
        <f t="shared" si="159"/>
        <v>4.8377362820110565E-3</v>
      </c>
      <c r="W326" s="2"/>
      <c r="X326" s="6">
        <f t="shared" si="160"/>
        <v>-89387.489999999991</v>
      </c>
      <c r="Y326" s="2"/>
      <c r="Z326" s="7">
        <f t="shared" si="161"/>
        <v>-0.64523589379374491</v>
      </c>
    </row>
    <row r="327" spans="1:26" s="23" customFormat="1" hidden="1" outlineLevel="2" x14ac:dyDescent="0.25">
      <c r="A327" s="25"/>
      <c r="B327" s="10" t="str">
        <f>CONCATENATE("          ", "6243", " - ", "PAPER SUPPLIES")</f>
        <v xml:space="preserve">          6243 - PAPER SUPPLIES</v>
      </c>
      <c r="C327" s="10"/>
      <c r="D327" s="6">
        <v>5033.67</v>
      </c>
      <c r="E327" s="2"/>
      <c r="F327" s="7">
        <f t="shared" si="154"/>
        <v>1.1161102360825468E-2</v>
      </c>
      <c r="G327" s="2"/>
      <c r="H327" s="6">
        <v>1368.33</v>
      </c>
      <c r="I327" s="2"/>
      <c r="J327" s="7">
        <f t="shared" si="155"/>
        <v>2.328786781617452E-3</v>
      </c>
      <c r="K327" s="2"/>
      <c r="L327" s="6">
        <f t="shared" si="156"/>
        <v>3665.34</v>
      </c>
      <c r="M327" s="2"/>
      <c r="N327" s="7">
        <f t="shared" si="157"/>
        <v>2.678695928613712</v>
      </c>
      <c r="O327" s="10"/>
      <c r="P327" s="6">
        <v>50690.45</v>
      </c>
      <c r="Q327" s="2"/>
      <c r="R327" s="7">
        <f t="shared" si="158"/>
        <v>4.939005918120804E-3</v>
      </c>
      <c r="S327" s="2"/>
      <c r="T327" s="6">
        <v>113380.86</v>
      </c>
      <c r="U327" s="2"/>
      <c r="V327" s="7">
        <f t="shared" si="159"/>
        <v>3.9593483483627888E-3</v>
      </c>
      <c r="W327" s="2"/>
      <c r="X327" s="6">
        <f t="shared" si="160"/>
        <v>-62690.41</v>
      </c>
      <c r="Y327" s="2"/>
      <c r="Z327" s="7">
        <f t="shared" si="161"/>
        <v>-0.55291880834207818</v>
      </c>
    </row>
    <row r="328" spans="1:26" s="23" customFormat="1" hidden="1" outlineLevel="2" x14ac:dyDescent="0.25">
      <c r="A328" s="25"/>
      <c r="B328" s="10" t="str">
        <f>CONCATENATE("          ", "6245", " - ", "PRINTING")</f>
        <v xml:space="preserve">          6245 - PRINTING</v>
      </c>
      <c r="C328" s="10"/>
      <c r="D328" s="6">
        <v>2921.89</v>
      </c>
      <c r="E328" s="2"/>
      <c r="F328" s="7">
        <f t="shared" si="154"/>
        <v>6.4786752761051723E-3</v>
      </c>
      <c r="G328" s="2"/>
      <c r="H328" s="6">
        <v>158.76</v>
      </c>
      <c r="I328" s="2"/>
      <c r="J328" s="7">
        <f t="shared" si="155"/>
        <v>2.701966553752287E-4</v>
      </c>
      <c r="K328" s="2"/>
      <c r="L328" s="6">
        <f t="shared" si="156"/>
        <v>2763.13</v>
      </c>
      <c r="M328" s="2"/>
      <c r="N328" s="7">
        <f t="shared" si="157"/>
        <v>17.404446963970774</v>
      </c>
      <c r="O328" s="10"/>
      <c r="P328" s="6">
        <v>12006.27</v>
      </c>
      <c r="Q328" s="2"/>
      <c r="R328" s="7">
        <f t="shared" si="158"/>
        <v>1.1698266356790336E-3</v>
      </c>
      <c r="S328" s="2"/>
      <c r="T328" s="6">
        <v>12954.34</v>
      </c>
      <c r="U328" s="2"/>
      <c r="V328" s="7">
        <f t="shared" si="159"/>
        <v>4.5237568918713453E-4</v>
      </c>
      <c r="W328" s="2"/>
      <c r="X328" s="6">
        <f t="shared" si="160"/>
        <v>-948.06999999999971</v>
      </c>
      <c r="Y328" s="2"/>
      <c r="Z328" s="7">
        <f t="shared" si="161"/>
        <v>-7.3185511573727394E-2</v>
      </c>
    </row>
    <row r="329" spans="1:26" s="23" customFormat="1" hidden="1" outlineLevel="2" x14ac:dyDescent="0.25">
      <c r="A329" s="25"/>
      <c r="B329" s="10" t="str">
        <f>CONCATENATE("          ", "6246", " - ", "REPLACEMENTS")</f>
        <v xml:space="preserve">          6246 - REPLACEMENTS</v>
      </c>
      <c r="C329" s="10"/>
      <c r="D329" s="6"/>
      <c r="E329" s="2"/>
      <c r="F329" s="7">
        <f t="shared" si="154"/>
        <v>0</v>
      </c>
      <c r="G329" s="2"/>
      <c r="H329" s="6"/>
      <c r="I329" s="2"/>
      <c r="J329" s="7">
        <f t="shared" si="155"/>
        <v>0</v>
      </c>
      <c r="K329" s="2"/>
      <c r="L329" s="6">
        <f t="shared" si="156"/>
        <v>0</v>
      </c>
      <c r="M329" s="2"/>
      <c r="N329" s="7">
        <f t="shared" si="157"/>
        <v>0</v>
      </c>
      <c r="O329" s="10"/>
      <c r="P329" s="6"/>
      <c r="Q329" s="2"/>
      <c r="R329" s="7">
        <f t="shared" si="158"/>
        <v>0</v>
      </c>
      <c r="S329" s="2"/>
      <c r="T329" s="6">
        <v>25.87</v>
      </c>
      <c r="U329" s="2"/>
      <c r="V329" s="7">
        <f t="shared" si="159"/>
        <v>9.0340064250831538E-7</v>
      </c>
      <c r="W329" s="2"/>
      <c r="X329" s="6">
        <f t="shared" si="160"/>
        <v>-25.87</v>
      </c>
      <c r="Y329" s="2"/>
      <c r="Z329" s="7">
        <f t="shared" si="161"/>
        <v>-1</v>
      </c>
    </row>
    <row r="330" spans="1:26" s="23" customFormat="1" hidden="1" outlineLevel="2" x14ac:dyDescent="0.25">
      <c r="A330" s="25"/>
      <c r="B330" s="10" t="str">
        <f>CONCATENATE("          ", "6247", " - ", "STORE SUPPLIES")</f>
        <v xml:space="preserve">          6247 - STORE SUPPLIES</v>
      </c>
      <c r="C330" s="10"/>
      <c r="D330" s="6">
        <v>8222.08</v>
      </c>
      <c r="E330" s="2"/>
      <c r="F330" s="7">
        <f t="shared" si="154"/>
        <v>1.8230729566875829E-2</v>
      </c>
      <c r="G330" s="2"/>
      <c r="H330" s="6">
        <v>4996.33</v>
      </c>
      <c r="I330" s="2"/>
      <c r="J330" s="7">
        <f t="shared" si="155"/>
        <v>8.5033487978767724E-3</v>
      </c>
      <c r="K330" s="2"/>
      <c r="L330" s="6">
        <f t="shared" si="156"/>
        <v>3225.75</v>
      </c>
      <c r="M330" s="2"/>
      <c r="N330" s="7">
        <f t="shared" si="157"/>
        <v>0.64562388793374337</v>
      </c>
      <c r="O330" s="10"/>
      <c r="P330" s="6">
        <v>55591.23</v>
      </c>
      <c r="Q330" s="2"/>
      <c r="R330" s="7">
        <f t="shared" si="158"/>
        <v>5.4165116696658798E-3</v>
      </c>
      <c r="S330" s="2"/>
      <c r="T330" s="6">
        <v>80350.679999999993</v>
      </c>
      <c r="U330" s="2"/>
      <c r="V330" s="7">
        <f t="shared" si="159"/>
        <v>2.8059086176258226E-3</v>
      </c>
      <c r="W330" s="2"/>
      <c r="X330" s="6">
        <f t="shared" si="160"/>
        <v>-24759.44999999999</v>
      </c>
      <c r="Y330" s="2"/>
      <c r="Z330" s="7">
        <f t="shared" si="161"/>
        <v>-0.30814238286471241</v>
      </c>
    </row>
    <row r="331" spans="1:26" s="23" customFormat="1" hidden="1" outlineLevel="2" x14ac:dyDescent="0.25">
      <c r="A331" s="25"/>
      <c r="B331" s="10" t="str">
        <f>CONCATENATE("          ", "6248", " - ", "UNIFORMS")</f>
        <v xml:space="preserve">          6248 - UNIFORMS</v>
      </c>
      <c r="C331" s="10"/>
      <c r="D331" s="6"/>
      <c r="E331" s="2"/>
      <c r="F331" s="7">
        <f t="shared" si="154"/>
        <v>0</v>
      </c>
      <c r="G331" s="2"/>
      <c r="H331" s="6"/>
      <c r="I331" s="2"/>
      <c r="J331" s="7">
        <f t="shared" si="155"/>
        <v>0</v>
      </c>
      <c r="K331" s="2"/>
      <c r="L331" s="6">
        <f t="shared" si="156"/>
        <v>0</v>
      </c>
      <c r="M331" s="2"/>
      <c r="N331" s="7">
        <f t="shared" si="157"/>
        <v>0</v>
      </c>
      <c r="O331" s="10"/>
      <c r="P331" s="6">
        <v>4500.59</v>
      </c>
      <c r="Q331" s="2"/>
      <c r="R331" s="7">
        <f t="shared" si="158"/>
        <v>4.3851338161399851E-4</v>
      </c>
      <c r="S331" s="2"/>
      <c r="T331" s="6">
        <v>4835.18</v>
      </c>
      <c r="U331" s="2"/>
      <c r="V331" s="7">
        <f t="shared" si="159"/>
        <v>1.6884826898505437E-4</v>
      </c>
      <c r="W331" s="2"/>
      <c r="X331" s="6">
        <f t="shared" si="160"/>
        <v>-334.59000000000015</v>
      </c>
      <c r="Y331" s="2"/>
      <c r="Z331" s="7">
        <f t="shared" si="161"/>
        <v>-6.9199078421072258E-2</v>
      </c>
    </row>
    <row r="332" spans="1:26" s="27" customFormat="1" outlineLevel="1" collapsed="1" x14ac:dyDescent="0.25">
      <c r="A332" s="26"/>
      <c r="B332" s="12" t="str">
        <f>CONCATENATE("     ","Telephone/Data Lines                              ")</f>
        <v xml:space="preserve">     Telephone/Data Lines                              </v>
      </c>
      <c r="C332" s="12"/>
      <c r="D332" s="1">
        <f>SUM(OSRRefD22_23x_0)</f>
        <v>5177.72</v>
      </c>
      <c r="E332" s="1"/>
      <c r="F332" s="5">
        <f t="shared" ref="F332:F334" si="162">IF(D$12=0,0,D332/D$12)</f>
        <v>1.1480502876766501E-2</v>
      </c>
      <c r="G332" s="1"/>
      <c r="H332" s="1">
        <f>SUM(OSRRefH22_23x_0)</f>
        <v>1910.13</v>
      </c>
      <c r="I332" s="1"/>
      <c r="J332" s="5">
        <f t="shared" ref="J332:J334" si="163">IF(H$12=0,0,H332/H$12)</f>
        <v>3.2508864785329153E-3</v>
      </c>
      <c r="K332" s="1"/>
      <c r="L332" s="1">
        <f t="shared" ref="L332:L334" si="164">+D332-H332</f>
        <v>3267.59</v>
      </c>
      <c r="M332" s="1"/>
      <c r="N332" s="5">
        <f t="shared" ref="N332:N334" si="165">IF(H332=0,0,L332/H332)</f>
        <v>1.7106636721060871</v>
      </c>
      <c r="O332" s="12"/>
      <c r="P332" s="1">
        <f>SUM(OSRRefP22_23x_0)</f>
        <v>49206.5</v>
      </c>
      <c r="Q332" s="1"/>
      <c r="R332" s="5">
        <f t="shared" ref="R332:R334" si="166">IF(P$12=0,0,P332/P$12)</f>
        <v>4.7944177790887896E-3</v>
      </c>
      <c r="S332" s="1"/>
      <c r="T332" s="1">
        <f>SUM(OSRRefT22_23x_0)</f>
        <v>66671.989999999991</v>
      </c>
      <c r="U332" s="1"/>
      <c r="V332" s="5">
        <f t="shared" ref="V332:V334" si="167">IF(T$12=0,0,T332/T$12)</f>
        <v>2.3282380596562802E-3</v>
      </c>
      <c r="W332" s="1"/>
      <c r="X332" s="1">
        <f t="shared" ref="X332:X334" si="168">+P332-T332</f>
        <v>-17465.489999999991</v>
      </c>
      <c r="Y332" s="1"/>
      <c r="Z332" s="5">
        <f t="shared" ref="Z332:Z334" si="169">IF(T332=0,0,X332/T332)</f>
        <v>-0.26196143237962438</v>
      </c>
    </row>
    <row r="333" spans="1:26" s="23" customFormat="1" hidden="1" outlineLevel="2" x14ac:dyDescent="0.25">
      <c r="A333" s="25"/>
      <c r="B333" s="10" t="str">
        <f>CONCATENATE("          ", "6303", " - ", "DATA PHONE LINES")</f>
        <v xml:space="preserve">          6303 - DATA PHONE LINES</v>
      </c>
      <c r="C333" s="10"/>
      <c r="D333" s="6"/>
      <c r="E333" s="2"/>
      <c r="F333" s="7">
        <f t="shared" si="162"/>
        <v>0</v>
      </c>
      <c r="G333" s="2"/>
      <c r="H333" s="6"/>
      <c r="I333" s="2"/>
      <c r="J333" s="7">
        <f t="shared" si="163"/>
        <v>0</v>
      </c>
      <c r="K333" s="2"/>
      <c r="L333" s="6">
        <f t="shared" si="164"/>
        <v>0</v>
      </c>
      <c r="M333" s="2"/>
      <c r="N333" s="7">
        <f t="shared" si="165"/>
        <v>0</v>
      </c>
      <c r="O333" s="10"/>
      <c r="P333" s="6">
        <v>3540</v>
      </c>
      <c r="Q333" s="2"/>
      <c r="R333" s="7">
        <f t="shared" si="166"/>
        <v>3.4491863753720174E-4</v>
      </c>
      <c r="S333" s="2"/>
      <c r="T333" s="6">
        <v>2950</v>
      </c>
      <c r="U333" s="2"/>
      <c r="V333" s="7">
        <f t="shared" si="167"/>
        <v>1.0301630828757364E-4</v>
      </c>
      <c r="W333" s="2"/>
      <c r="X333" s="6">
        <f t="shared" si="168"/>
        <v>590</v>
      </c>
      <c r="Y333" s="2"/>
      <c r="Z333" s="7">
        <f t="shared" si="169"/>
        <v>0.2</v>
      </c>
    </row>
    <row r="334" spans="1:26" s="23" customFormat="1" hidden="1" outlineLevel="2" x14ac:dyDescent="0.25">
      <c r="A334" s="25"/>
      <c r="B334" s="10" t="str">
        <f>CONCATENATE("          ", "6309", " - ", "TELEPHONE")</f>
        <v xml:space="preserve">          6309 - TELEPHONE</v>
      </c>
      <c r="C334" s="10"/>
      <c r="D334" s="6">
        <v>5177.72</v>
      </c>
      <c r="E334" s="2"/>
      <c r="F334" s="7">
        <f t="shared" si="162"/>
        <v>1.1480502876766501E-2</v>
      </c>
      <c r="G334" s="2"/>
      <c r="H334" s="6">
        <v>1910.13</v>
      </c>
      <c r="I334" s="2"/>
      <c r="J334" s="7">
        <f t="shared" si="163"/>
        <v>3.2508864785329153E-3</v>
      </c>
      <c r="K334" s="2"/>
      <c r="L334" s="6">
        <f t="shared" si="164"/>
        <v>3267.59</v>
      </c>
      <c r="M334" s="2"/>
      <c r="N334" s="7">
        <f t="shared" si="165"/>
        <v>1.7106636721060871</v>
      </c>
      <c r="O334" s="10"/>
      <c r="P334" s="6">
        <v>45666.5</v>
      </c>
      <c r="Q334" s="2"/>
      <c r="R334" s="7">
        <f t="shared" si="166"/>
        <v>4.4494991415515881E-3</v>
      </c>
      <c r="S334" s="2"/>
      <c r="T334" s="6">
        <v>63721.99</v>
      </c>
      <c r="U334" s="2"/>
      <c r="V334" s="7">
        <f t="shared" si="167"/>
        <v>2.2252217513687067E-3</v>
      </c>
      <c r="W334" s="2"/>
      <c r="X334" s="6">
        <f t="shared" si="168"/>
        <v>-18055.489999999998</v>
      </c>
      <c r="Y334" s="2"/>
      <c r="Z334" s="7">
        <f t="shared" si="169"/>
        <v>-0.28334786782396465</v>
      </c>
    </row>
    <row r="335" spans="1:26" s="27" customFormat="1" outlineLevel="1" collapsed="1" x14ac:dyDescent="0.25">
      <c r="A335" s="26"/>
      <c r="B335" s="12" t="str">
        <f>CONCATENATE("     ","Training                                          ")</f>
        <v xml:space="preserve">     Training                                          </v>
      </c>
      <c r="C335" s="12"/>
      <c r="D335" s="1">
        <f>SUM(OSRRefD22_24x_0)</f>
        <v>506.99</v>
      </c>
      <c r="E335" s="1"/>
      <c r="F335" s="5">
        <f t="shared" ref="F335:F340" si="170">IF(D$12=0,0,D335/D$12)</f>
        <v>1.1241434750221813E-3</v>
      </c>
      <c r="G335" s="1"/>
      <c r="H335" s="1">
        <f>SUM(OSRRefH22_24x_0)</f>
        <v>494</v>
      </c>
      <c r="I335" s="1"/>
      <c r="J335" s="5">
        <f t="shared" ref="J335:J340" si="171">IF(H$12=0,0,H335/H$12)</f>
        <v>8.4074797024038151E-4</v>
      </c>
      <c r="K335" s="1"/>
      <c r="L335" s="1">
        <f t="shared" ref="L335:L340" si="172">+D335-H335</f>
        <v>12.990000000000009</v>
      </c>
      <c r="M335" s="1"/>
      <c r="N335" s="5">
        <f t="shared" ref="N335:N340" si="173">IF(H335=0,0,L335/H335)</f>
        <v>2.6295546558704471E-2</v>
      </c>
      <c r="O335" s="12"/>
      <c r="P335" s="1">
        <f>SUM(OSRRefP22_24x_0)</f>
        <v>2688.85</v>
      </c>
      <c r="Q335" s="1"/>
      <c r="R335" s="5">
        <f t="shared" ref="R335:R340" si="174">IF(P$12=0,0,P335/P$12)</f>
        <v>2.6198714083104657E-4</v>
      </c>
      <c r="S335" s="1"/>
      <c r="T335" s="1">
        <f>SUM(OSRRefT22_24x_0)</f>
        <v>38044.239999999998</v>
      </c>
      <c r="U335" s="1"/>
      <c r="V335" s="5">
        <f t="shared" ref="V335:V340" si="175">IF(T$12=0,0,T335/T$12)</f>
        <v>1.3285346292903188E-3</v>
      </c>
      <c r="W335" s="1"/>
      <c r="X335" s="1">
        <f t="shared" ref="X335:X340" si="176">+P335-T335</f>
        <v>-35355.39</v>
      </c>
      <c r="Y335" s="1"/>
      <c r="Z335" s="5">
        <f t="shared" ref="Z335:Z340" si="177">IF(T335=0,0,X335/T335)</f>
        <v>-0.92932307229688382</v>
      </c>
    </row>
    <row r="336" spans="1:26" s="23" customFormat="1" hidden="1" outlineLevel="2" x14ac:dyDescent="0.25">
      <c r="A336" s="25"/>
      <c r="B336" s="10" t="str">
        <f>CONCATENATE("          ", "6376", " - ", "TRAINING")</f>
        <v xml:space="preserve">          6376 - TRAINING</v>
      </c>
      <c r="C336" s="10"/>
      <c r="D336" s="6">
        <v>506.99</v>
      </c>
      <c r="E336" s="2"/>
      <c r="F336" s="7">
        <f t="shared" si="170"/>
        <v>1.1241434750221813E-3</v>
      </c>
      <c r="G336" s="2"/>
      <c r="H336" s="6">
        <v>494</v>
      </c>
      <c r="I336" s="2"/>
      <c r="J336" s="7">
        <f t="shared" si="171"/>
        <v>8.4074797024038151E-4</v>
      </c>
      <c r="K336" s="2"/>
      <c r="L336" s="6">
        <f t="shared" si="172"/>
        <v>12.990000000000009</v>
      </c>
      <c r="M336" s="2"/>
      <c r="N336" s="7">
        <f t="shared" si="173"/>
        <v>2.6295546558704471E-2</v>
      </c>
      <c r="O336" s="10"/>
      <c r="P336" s="6">
        <v>2688.85</v>
      </c>
      <c r="Q336" s="2"/>
      <c r="R336" s="7">
        <f t="shared" si="174"/>
        <v>2.6198714083104657E-4</v>
      </c>
      <c r="S336" s="2"/>
      <c r="T336" s="6">
        <v>38044.239999999998</v>
      </c>
      <c r="U336" s="2"/>
      <c r="V336" s="7">
        <f t="shared" si="175"/>
        <v>1.3285346292903188E-3</v>
      </c>
      <c r="W336" s="2"/>
      <c r="X336" s="6">
        <f t="shared" si="176"/>
        <v>-35355.39</v>
      </c>
      <c r="Y336" s="2"/>
      <c r="Z336" s="7">
        <f t="shared" si="177"/>
        <v>-0.92932307229688382</v>
      </c>
    </row>
    <row r="337" spans="1:26" s="27" customFormat="1" outlineLevel="1" collapsed="1" x14ac:dyDescent="0.25">
      <c r="A337" s="26"/>
      <c r="B337" s="12" t="str">
        <f>CONCATENATE("     ","Travel                                            ")</f>
        <v xml:space="preserve">     Travel                                            </v>
      </c>
      <c r="C337" s="12"/>
      <c r="D337" s="1">
        <f>SUM(OSRRefD22_25x_0)</f>
        <v>67.62</v>
      </c>
      <c r="E337" s="1"/>
      <c r="F337" s="5">
        <f t="shared" si="170"/>
        <v>1.4993309884021362E-4</v>
      </c>
      <c r="G337" s="1"/>
      <c r="H337" s="1">
        <f>SUM(OSRRefH22_25x_0)</f>
        <v>0</v>
      </c>
      <c r="I337" s="1"/>
      <c r="J337" s="5">
        <f t="shared" si="171"/>
        <v>0</v>
      </c>
      <c r="K337" s="1"/>
      <c r="L337" s="1">
        <f t="shared" si="172"/>
        <v>67.62</v>
      </c>
      <c r="M337" s="1"/>
      <c r="N337" s="5">
        <f t="shared" si="173"/>
        <v>0</v>
      </c>
      <c r="O337" s="12"/>
      <c r="P337" s="1">
        <f>SUM(OSRRefP22_25x_0)</f>
        <v>1532.5300000000002</v>
      </c>
      <c r="Q337" s="1"/>
      <c r="R337" s="5">
        <f t="shared" si="174"/>
        <v>1.4932151400703046E-4</v>
      </c>
      <c r="S337" s="1"/>
      <c r="T337" s="1">
        <f>SUM(OSRRefT22_25x_0)</f>
        <v>9441.3100000000013</v>
      </c>
      <c r="U337" s="1"/>
      <c r="V337" s="5">
        <f t="shared" si="175"/>
        <v>3.2969793274527191E-4</v>
      </c>
      <c r="W337" s="1"/>
      <c r="X337" s="1">
        <f t="shared" si="176"/>
        <v>-7908.7800000000007</v>
      </c>
      <c r="Y337" s="1"/>
      <c r="Z337" s="5">
        <f t="shared" si="177"/>
        <v>-0.83767824592138163</v>
      </c>
    </row>
    <row r="338" spans="1:26" s="23" customFormat="1" hidden="1" outlineLevel="2" x14ac:dyDescent="0.25">
      <c r="A338" s="25"/>
      <c r="B338" s="10" t="str">
        <f>CONCATENATE("          ", "6292", " - ", "TRAVEL/CONFERENCE")</f>
        <v xml:space="preserve">          6292 - TRAVEL/CONFERENCE</v>
      </c>
      <c r="C338" s="10"/>
      <c r="D338" s="6"/>
      <c r="E338" s="2"/>
      <c r="F338" s="7">
        <f t="shared" si="170"/>
        <v>0</v>
      </c>
      <c r="G338" s="2"/>
      <c r="H338" s="6"/>
      <c r="I338" s="2"/>
      <c r="J338" s="7">
        <f t="shared" si="171"/>
        <v>0</v>
      </c>
      <c r="K338" s="2"/>
      <c r="L338" s="6">
        <f t="shared" si="172"/>
        <v>0</v>
      </c>
      <c r="M338" s="2"/>
      <c r="N338" s="7">
        <f t="shared" si="173"/>
        <v>0</v>
      </c>
      <c r="O338" s="10"/>
      <c r="P338" s="6">
        <v>299.16000000000003</v>
      </c>
      <c r="Q338" s="2"/>
      <c r="R338" s="7">
        <f t="shared" si="174"/>
        <v>2.914854791119471E-5</v>
      </c>
      <c r="S338" s="2"/>
      <c r="T338" s="6">
        <v>7216.54</v>
      </c>
      <c r="U338" s="2"/>
      <c r="V338" s="7">
        <f t="shared" si="175"/>
        <v>2.5200722352868027E-4</v>
      </c>
      <c r="W338" s="2"/>
      <c r="X338" s="6">
        <f t="shared" si="176"/>
        <v>-6917.38</v>
      </c>
      <c r="Y338" s="2"/>
      <c r="Z338" s="7">
        <f t="shared" si="177"/>
        <v>-0.95854523081698428</v>
      </c>
    </row>
    <row r="339" spans="1:26" s="23" customFormat="1" hidden="1" outlineLevel="2" x14ac:dyDescent="0.25">
      <c r="A339" s="25"/>
      <c r="B339" s="10" t="str">
        <f>CONCATENATE("          ", "6294", " - ", "TRAVEL OPERATIONAL")</f>
        <v xml:space="preserve">          6294 - TRAVEL OPERATIONAL</v>
      </c>
      <c r="C339" s="10"/>
      <c r="D339" s="6">
        <v>67.62</v>
      </c>
      <c r="E339" s="2"/>
      <c r="F339" s="7">
        <f t="shared" si="170"/>
        <v>1.4993309884021362E-4</v>
      </c>
      <c r="G339" s="2"/>
      <c r="H339" s="6"/>
      <c r="I339" s="2"/>
      <c r="J339" s="7">
        <f t="shared" si="171"/>
        <v>0</v>
      </c>
      <c r="K339" s="2"/>
      <c r="L339" s="6">
        <f t="shared" si="172"/>
        <v>67.62</v>
      </c>
      <c r="M339" s="2"/>
      <c r="N339" s="7">
        <f t="shared" si="173"/>
        <v>0</v>
      </c>
      <c r="O339" s="10"/>
      <c r="P339" s="6">
        <v>841.27</v>
      </c>
      <c r="Q339" s="2"/>
      <c r="R339" s="7">
        <f t="shared" si="174"/>
        <v>8.1968842429638891E-5</v>
      </c>
      <c r="S339" s="2"/>
      <c r="T339" s="6">
        <v>418.6</v>
      </c>
      <c r="U339" s="2"/>
      <c r="V339" s="7">
        <f t="shared" si="175"/>
        <v>1.461783954209435E-5</v>
      </c>
      <c r="W339" s="2"/>
      <c r="X339" s="6">
        <f t="shared" si="176"/>
        <v>422.66999999999996</v>
      </c>
      <c r="Y339" s="2"/>
      <c r="Z339" s="7">
        <f t="shared" si="177"/>
        <v>1.0097228858098422</v>
      </c>
    </row>
    <row r="340" spans="1:26" s="23" customFormat="1" hidden="1" outlineLevel="2" x14ac:dyDescent="0.25">
      <c r="A340" s="25"/>
      <c r="B340" s="10" t="str">
        <f>CONCATENATE("          ", "6298", " - ", "VEHICLE MILEAGE")</f>
        <v xml:space="preserve">          6298 - VEHICLE MILEAGE</v>
      </c>
      <c r="C340" s="10"/>
      <c r="D340" s="6"/>
      <c r="E340" s="2"/>
      <c r="F340" s="7">
        <f t="shared" si="170"/>
        <v>0</v>
      </c>
      <c r="G340" s="2"/>
      <c r="H340" s="6"/>
      <c r="I340" s="2"/>
      <c r="J340" s="7">
        <f t="shared" si="171"/>
        <v>0</v>
      </c>
      <c r="K340" s="2"/>
      <c r="L340" s="6">
        <f t="shared" si="172"/>
        <v>0</v>
      </c>
      <c r="M340" s="2"/>
      <c r="N340" s="7">
        <f t="shared" si="173"/>
        <v>0</v>
      </c>
      <c r="O340" s="10"/>
      <c r="P340" s="6">
        <v>392.1</v>
      </c>
      <c r="Q340" s="2"/>
      <c r="R340" s="7">
        <f t="shared" si="174"/>
        <v>3.8204123666196833E-5</v>
      </c>
      <c r="S340" s="2"/>
      <c r="T340" s="6">
        <v>1806.17</v>
      </c>
      <c r="U340" s="2"/>
      <c r="V340" s="7">
        <f t="shared" si="175"/>
        <v>6.3072869674497261E-5</v>
      </c>
      <c r="W340" s="2"/>
      <c r="X340" s="6">
        <f t="shared" si="176"/>
        <v>-1414.0700000000002</v>
      </c>
      <c r="Y340" s="2"/>
      <c r="Z340" s="7">
        <f t="shared" si="177"/>
        <v>-0.78291080020153148</v>
      </c>
    </row>
    <row r="341" spans="1:26" s="27" customFormat="1" outlineLevel="1" collapsed="1" x14ac:dyDescent="0.25">
      <c r="A341" s="26"/>
      <c r="B341" s="12" t="str">
        <f>CONCATENATE("     ","Utilities                                         ")</f>
        <v xml:space="preserve">     Utilities                                         </v>
      </c>
      <c r="C341" s="12"/>
      <c r="D341" s="1">
        <f>SUM(OSRRefD22_26x_0)</f>
        <v>44905.94</v>
      </c>
      <c r="E341" s="1"/>
      <c r="F341" s="5">
        <f t="shared" ref="F341:F342" si="178">IF(D$12=0,0,D341/D$12)</f>
        <v>9.9569457860584187E-2</v>
      </c>
      <c r="G341" s="1"/>
      <c r="H341" s="1">
        <f>SUM(OSRRefH22_26x_0)</f>
        <v>54288.800000000003</v>
      </c>
      <c r="I341" s="1"/>
      <c r="J341" s="5">
        <f t="shared" ref="J341:J342" si="179">IF(H$12=0,0,H341/H$12)</f>
        <v>9.2395138475275362E-2</v>
      </c>
      <c r="K341" s="1"/>
      <c r="L341" s="1">
        <f t="shared" ref="L341:L342" si="180">+D341-H341</f>
        <v>-9382.86</v>
      </c>
      <c r="M341" s="1"/>
      <c r="N341" s="5">
        <f t="shared" ref="N341:N342" si="181">IF(H341=0,0,L341/H341)</f>
        <v>-0.17283233374102946</v>
      </c>
      <c r="O341" s="12"/>
      <c r="P341" s="1">
        <f>SUM(OSRRefP22_26x_0)</f>
        <v>122504.39</v>
      </c>
      <c r="Q341" s="1"/>
      <c r="R341" s="5">
        <f t="shared" ref="R341:R342" si="182">IF(P$12=0,0,P341/P$12)</f>
        <v>1.1936171551165536E-2</v>
      </c>
      <c r="S341" s="1"/>
      <c r="T341" s="1">
        <f>SUM(OSRRefT22_26x_0)</f>
        <v>306059.32</v>
      </c>
      <c r="U341" s="1"/>
      <c r="V341" s="5">
        <f t="shared" ref="V341:V342" si="183">IF(T$12=0,0,T341/T$12)</f>
        <v>1.068783093674751E-2</v>
      </c>
      <c r="W341" s="1"/>
      <c r="X341" s="1">
        <f t="shared" ref="X341:X342" si="184">+P341-T341</f>
        <v>-183554.93</v>
      </c>
      <c r="Y341" s="1"/>
      <c r="Z341" s="5">
        <f t="shared" ref="Z341:Z342" si="185">IF(T341=0,0,X341/T341)</f>
        <v>-0.59973644978365626</v>
      </c>
    </row>
    <row r="342" spans="1:26" s="23" customFormat="1" hidden="1" outlineLevel="2" x14ac:dyDescent="0.25">
      <c r="A342" s="25"/>
      <c r="B342" s="10" t="str">
        <f>CONCATENATE("          ", "6274", " - ", "UTILITIES")</f>
        <v xml:space="preserve">          6274 - UTILITIES</v>
      </c>
      <c r="C342" s="10"/>
      <c r="D342" s="6">
        <v>44905.94</v>
      </c>
      <c r="E342" s="2"/>
      <c r="F342" s="7">
        <f t="shared" si="178"/>
        <v>9.9569457860584187E-2</v>
      </c>
      <c r="G342" s="2"/>
      <c r="H342" s="6">
        <v>54288.800000000003</v>
      </c>
      <c r="I342" s="2"/>
      <c r="J342" s="7">
        <f t="shared" si="179"/>
        <v>9.2395138475275362E-2</v>
      </c>
      <c r="K342" s="2"/>
      <c r="L342" s="6">
        <f t="shared" si="180"/>
        <v>-9382.86</v>
      </c>
      <c r="M342" s="2"/>
      <c r="N342" s="7">
        <f t="shared" si="181"/>
        <v>-0.17283233374102946</v>
      </c>
      <c r="O342" s="10"/>
      <c r="P342" s="6">
        <v>122504.39</v>
      </c>
      <c r="Q342" s="2"/>
      <c r="R342" s="7">
        <f t="shared" si="182"/>
        <v>1.1936171551165536E-2</v>
      </c>
      <c r="S342" s="2"/>
      <c r="T342" s="6">
        <v>306059.32</v>
      </c>
      <c r="U342" s="2"/>
      <c r="V342" s="7">
        <f t="shared" si="183"/>
        <v>1.068783093674751E-2</v>
      </c>
      <c r="W342" s="2"/>
      <c r="X342" s="6">
        <f t="shared" si="184"/>
        <v>-183554.93</v>
      </c>
      <c r="Y342" s="2"/>
      <c r="Z342" s="7">
        <f t="shared" si="185"/>
        <v>-0.59973644978365626</v>
      </c>
    </row>
    <row r="343" spans="1:26" s="52" customFormat="1" x14ac:dyDescent="0.25">
      <c r="A343" s="37"/>
      <c r="B343" s="37"/>
      <c r="C343" s="37"/>
      <c r="D343" s="1"/>
      <c r="E343" s="1"/>
      <c r="F343" s="5"/>
      <c r="G343" s="1"/>
      <c r="H343" s="1"/>
      <c r="I343" s="1"/>
      <c r="J343" s="5"/>
      <c r="K343" s="1"/>
      <c r="L343" s="1"/>
      <c r="M343" s="1"/>
      <c r="N343" s="5"/>
      <c r="O343" s="37"/>
      <c r="P343" s="1"/>
      <c r="Q343" s="1"/>
      <c r="R343" s="5"/>
      <c r="S343" s="1"/>
      <c r="T343" s="1"/>
      <c r="U343" s="1"/>
      <c r="V343" s="5"/>
      <c r="W343" s="1"/>
      <c r="X343" s="1"/>
      <c r="Y343" s="1"/>
      <c r="Z343" s="5"/>
    </row>
    <row r="344" spans="1:26" s="24" customFormat="1" collapsed="1" x14ac:dyDescent="0.25">
      <c r="A344" s="11"/>
      <c r="B344" s="29" t="s">
        <v>292</v>
      </c>
      <c r="C344" s="11"/>
      <c r="D344" s="4">
        <f>SUM(OSRRefD25x_0)</f>
        <v>405273.88999999996</v>
      </c>
      <c r="E344" s="4"/>
      <c r="F344" s="13">
        <f t="shared" ref="F344:F357" si="186">IF(D$12=0,0,D344/D$12)</f>
        <v>0.89860943813557903</v>
      </c>
      <c r="G344" s="4"/>
      <c r="H344" s="4">
        <f>SUM(OSRRefH25x_0)</f>
        <v>82049.190000000017</v>
      </c>
      <c r="I344" s="4"/>
      <c r="J344" s="13">
        <f t="shared" ref="J344:J357" si="187">IF(H$12=0,0,H344/H$12)</f>
        <v>0.1396410727780717</v>
      </c>
      <c r="K344" s="4"/>
      <c r="L344" s="4">
        <f t="shared" ref="L344:L357" si="188">+D344-H344</f>
        <v>323224.69999999995</v>
      </c>
      <c r="M344" s="4"/>
      <c r="N344" s="13">
        <f t="shared" ref="N344:N357" si="189">IF(H344=0,0,L344/H344)</f>
        <v>3.9394014736769476</v>
      </c>
      <c r="O344" s="11"/>
      <c r="P344" s="4">
        <f>SUM(OSRRefP25x_0)</f>
        <v>1487383.5100000002</v>
      </c>
      <c r="Q344" s="4"/>
      <c r="R344" s="13">
        <f t="shared" ref="R344:R357" si="190">IF(P$12=0,0,P344/P$12)</f>
        <v>0.14492268185437879</v>
      </c>
      <c r="S344" s="4"/>
      <c r="T344" s="4">
        <f>SUM(OSRRefT25x_0)</f>
        <v>1972386.5100000002</v>
      </c>
      <c r="U344" s="4"/>
      <c r="V344" s="13">
        <f t="shared" ref="V344:V357" si="191">IF(T$12=0,0,T344/T$12)</f>
        <v>6.887728026319033E-2</v>
      </c>
      <c r="W344" s="4"/>
      <c r="X344" s="4">
        <f t="shared" ref="X344:X357" si="192">+P344-T344</f>
        <v>-485003</v>
      </c>
      <c r="Y344" s="4"/>
      <c r="Z344" s="13">
        <f t="shared" ref="Z344:Z357" si="193">IF(T344=0,0,X344/T344)</f>
        <v>-0.24589653069570017</v>
      </c>
    </row>
    <row r="345" spans="1:26" s="23" customFormat="1" hidden="1" outlineLevel="1" x14ac:dyDescent="0.25">
      <c r="A345" s="44"/>
      <c r="B345" s="10" t="str">
        <f>CONCATENATE("          ", "4098", " - ", "TAXABLE SALES-GRAD RENTALS")</f>
        <v xml:space="preserve">          4098 - TAXABLE SALES-GRAD RENTALS</v>
      </c>
      <c r="C345" s="10"/>
      <c r="D345" s="2">
        <f>--1017.7</f>
        <v>1017.7</v>
      </c>
      <c r="E345" s="2"/>
      <c r="F345" s="19">
        <f t="shared" si="186"/>
        <v>2.2565352660408964E-3</v>
      </c>
      <c r="G345" s="2"/>
      <c r="H345" s="2">
        <f>0</f>
        <v>0</v>
      </c>
      <c r="I345" s="2"/>
      <c r="J345" s="19">
        <f t="shared" si="187"/>
        <v>0</v>
      </c>
      <c r="K345" s="2"/>
      <c r="L345" s="2">
        <f t="shared" si="188"/>
        <v>1017.7</v>
      </c>
      <c r="M345" s="2"/>
      <c r="N345" s="19">
        <f t="shared" si="189"/>
        <v>0</v>
      </c>
      <c r="O345" s="10"/>
      <c r="P345" s="2">
        <f>--1067.65</f>
        <v>1067.6500000000001</v>
      </c>
      <c r="Q345" s="2"/>
      <c r="R345" s="19">
        <f t="shared" si="190"/>
        <v>1.0402609699621283E-4</v>
      </c>
      <c r="S345" s="2"/>
      <c r="T345" s="2">
        <f>--1946.85</f>
        <v>1946.85</v>
      </c>
      <c r="U345" s="2"/>
      <c r="V345" s="19">
        <f t="shared" si="191"/>
        <v>6.7985525352428044E-5</v>
      </c>
      <c r="W345" s="2"/>
      <c r="X345" s="2">
        <f t="shared" si="192"/>
        <v>-879.19999999999982</v>
      </c>
      <c r="Y345" s="2"/>
      <c r="Z345" s="19">
        <f t="shared" si="193"/>
        <v>-0.451601304671649</v>
      </c>
    </row>
    <row r="346" spans="1:26" s="23" customFormat="1" hidden="1" outlineLevel="1" x14ac:dyDescent="0.25">
      <c r="A346" s="44"/>
      <c r="B346" s="10" t="str">
        <f>CONCATENATE("          ", "4187", " - ", "NON-TAXABLE SALES-COMPUTER REP")</f>
        <v xml:space="preserve">          4187 - NON-TAXABLE SALES-COMPUTER REP</v>
      </c>
      <c r="C346" s="10"/>
      <c r="D346" s="2">
        <f>--189.31</f>
        <v>189.31</v>
      </c>
      <c r="E346" s="2"/>
      <c r="F346" s="19">
        <f t="shared" si="186"/>
        <v>4.1975502723219226E-4</v>
      </c>
      <c r="G346" s="2"/>
      <c r="H346" s="2">
        <f>--166.52</f>
        <v>166.52</v>
      </c>
      <c r="I346" s="2"/>
      <c r="J346" s="19">
        <f t="shared" si="187"/>
        <v>2.8340354656766873E-4</v>
      </c>
      <c r="K346" s="2"/>
      <c r="L346" s="2">
        <f t="shared" si="188"/>
        <v>22.789999999999992</v>
      </c>
      <c r="M346" s="2"/>
      <c r="N346" s="19">
        <f t="shared" si="189"/>
        <v>0.13686043718472249</v>
      </c>
      <c r="O346" s="10"/>
      <c r="P346" s="2">
        <f>--3769.75</f>
        <v>3769.75</v>
      </c>
      <c r="Q346" s="2"/>
      <c r="R346" s="19">
        <f t="shared" si="190"/>
        <v>3.673042468519396E-4</v>
      </c>
      <c r="S346" s="2"/>
      <c r="T346" s="2">
        <f>--16449.71</f>
        <v>16449.71</v>
      </c>
      <c r="U346" s="2"/>
      <c r="V346" s="19">
        <f t="shared" si="191"/>
        <v>5.7443674461057047E-4</v>
      </c>
      <c r="W346" s="2"/>
      <c r="X346" s="2">
        <f t="shared" si="192"/>
        <v>-12679.96</v>
      </c>
      <c r="Y346" s="2"/>
      <c r="Z346" s="19">
        <f t="shared" si="193"/>
        <v>-0.77083182621456547</v>
      </c>
    </row>
    <row r="347" spans="1:26" s="23" customFormat="1" hidden="1" outlineLevel="1" x14ac:dyDescent="0.25">
      <c r="A347" s="44"/>
      <c r="B347" s="10" t="str">
        <f>CONCATENATE("          ", "4197", " - ", "NON-TAXABLE SALES-RETURNED CHE")</f>
        <v xml:space="preserve">          4197 - NON-TAXABLE SALES-RETURNED CHE</v>
      </c>
      <c r="C347" s="10"/>
      <c r="D347" s="2">
        <f t="shared" ref="D347:D350" si="194">0</f>
        <v>0</v>
      </c>
      <c r="E347" s="2"/>
      <c r="F347" s="19">
        <f t="shared" si="186"/>
        <v>0</v>
      </c>
      <c r="G347" s="2"/>
      <c r="H347" s="2">
        <f t="shared" ref="H347:H350" si="195">0</f>
        <v>0</v>
      </c>
      <c r="I347" s="2"/>
      <c r="J347" s="19">
        <f t="shared" si="187"/>
        <v>0</v>
      </c>
      <c r="K347" s="2"/>
      <c r="L347" s="2">
        <f t="shared" si="188"/>
        <v>0</v>
      </c>
      <c r="M347" s="2"/>
      <c r="N347" s="19">
        <f t="shared" si="189"/>
        <v>0</v>
      </c>
      <c r="O347" s="10"/>
      <c r="P347" s="2">
        <f t="shared" ref="P347:P350" si="196">0</f>
        <v>0</v>
      </c>
      <c r="Q347" s="2"/>
      <c r="R347" s="19">
        <f t="shared" si="190"/>
        <v>0</v>
      </c>
      <c r="S347" s="2"/>
      <c r="T347" s="2">
        <f>--30</f>
        <v>30</v>
      </c>
      <c r="U347" s="2"/>
      <c r="V347" s="19">
        <f t="shared" si="191"/>
        <v>1.0476234741109185E-6</v>
      </c>
      <c r="W347" s="2"/>
      <c r="X347" s="2">
        <f t="shared" si="192"/>
        <v>-30</v>
      </c>
      <c r="Y347" s="2"/>
      <c r="Z347" s="19">
        <f t="shared" si="193"/>
        <v>-1</v>
      </c>
    </row>
    <row r="348" spans="1:26" s="23" customFormat="1" hidden="1" outlineLevel="1" x14ac:dyDescent="0.25">
      <c r="A348" s="44"/>
      <c r="B348" s="10" t="str">
        <f>CONCATENATE("          ", "4198", " - ", "NON-TAXABLE SALES-GRAD RENTALS")</f>
        <v xml:space="preserve">          4198 - NON-TAXABLE SALES-GRAD RENTALS</v>
      </c>
      <c r="C348" s="10"/>
      <c r="D348" s="2">
        <f t="shared" si="194"/>
        <v>0</v>
      </c>
      <c r="E348" s="2"/>
      <c r="F348" s="19">
        <f t="shared" si="186"/>
        <v>0</v>
      </c>
      <c r="G348" s="2"/>
      <c r="H348" s="2">
        <f t="shared" si="195"/>
        <v>0</v>
      </c>
      <c r="I348" s="2"/>
      <c r="J348" s="19">
        <f t="shared" si="187"/>
        <v>0</v>
      </c>
      <c r="K348" s="2"/>
      <c r="L348" s="2">
        <f t="shared" si="188"/>
        <v>0</v>
      </c>
      <c r="M348" s="2"/>
      <c r="N348" s="19">
        <f t="shared" si="189"/>
        <v>0</v>
      </c>
      <c r="O348" s="10"/>
      <c r="P348" s="2">
        <f t="shared" si="196"/>
        <v>0</v>
      </c>
      <c r="Q348" s="2"/>
      <c r="R348" s="19">
        <f t="shared" si="190"/>
        <v>0</v>
      </c>
      <c r="S348" s="2"/>
      <c r="T348" s="2">
        <f>--163.76</f>
        <v>163.76</v>
      </c>
      <c r="U348" s="2"/>
      <c r="V348" s="19">
        <f t="shared" si="191"/>
        <v>5.7186273373468E-6</v>
      </c>
      <c r="W348" s="2"/>
      <c r="X348" s="2">
        <f t="shared" si="192"/>
        <v>-163.76</v>
      </c>
      <c r="Y348" s="2"/>
      <c r="Z348" s="19">
        <f t="shared" si="193"/>
        <v>-1</v>
      </c>
    </row>
    <row r="349" spans="1:26" s="23" customFormat="1" hidden="1" outlineLevel="1" x14ac:dyDescent="0.25">
      <c r="A349" s="44"/>
      <c r="B349" s="10" t="str">
        <f>CONCATENATE("          ", "4387", " - ", "SALES RETURN NON TAXABLE-COMPU")</f>
        <v xml:space="preserve">          4387 - SALES RETURN NON TAXABLE-COMPU</v>
      </c>
      <c r="C349" s="10"/>
      <c r="D349" s="2">
        <f t="shared" si="194"/>
        <v>0</v>
      </c>
      <c r="E349" s="2"/>
      <c r="F349" s="19">
        <f t="shared" si="186"/>
        <v>0</v>
      </c>
      <c r="G349" s="2"/>
      <c r="H349" s="2">
        <f t="shared" si="195"/>
        <v>0</v>
      </c>
      <c r="I349" s="2"/>
      <c r="J349" s="19">
        <f t="shared" si="187"/>
        <v>0</v>
      </c>
      <c r="K349" s="2"/>
      <c r="L349" s="2">
        <f t="shared" si="188"/>
        <v>0</v>
      </c>
      <c r="M349" s="2"/>
      <c r="N349" s="19">
        <f t="shared" si="189"/>
        <v>0</v>
      </c>
      <c r="O349" s="10"/>
      <c r="P349" s="2">
        <f t="shared" si="196"/>
        <v>0</v>
      </c>
      <c r="Q349" s="2"/>
      <c r="R349" s="19">
        <f t="shared" si="190"/>
        <v>0</v>
      </c>
      <c r="S349" s="2"/>
      <c r="T349" s="2">
        <f>-7889</f>
        <v>-7889</v>
      </c>
      <c r="U349" s="2"/>
      <c r="V349" s="19">
        <f t="shared" si="191"/>
        <v>-2.7549005290870116E-4</v>
      </c>
      <c r="W349" s="2"/>
      <c r="X349" s="2">
        <f t="shared" si="192"/>
        <v>7889</v>
      </c>
      <c r="Y349" s="2"/>
      <c r="Z349" s="19">
        <f t="shared" si="193"/>
        <v>-1</v>
      </c>
    </row>
    <row r="350" spans="1:26" s="23" customFormat="1" hidden="1" outlineLevel="1" x14ac:dyDescent="0.25">
      <c r="A350" s="44"/>
      <c r="B350" s="10" t="str">
        <f>CONCATENATE("          ", "5087", " - ", "PURCHASES @ COST-COMPUTER REPA")</f>
        <v xml:space="preserve">          5087 - PURCHASES @ COST-COMPUTER REPA</v>
      </c>
      <c r="C350" s="10"/>
      <c r="D350" s="2">
        <f t="shared" si="194"/>
        <v>0</v>
      </c>
      <c r="E350" s="2"/>
      <c r="F350" s="19">
        <f t="shared" si="186"/>
        <v>0</v>
      </c>
      <c r="G350" s="2"/>
      <c r="H350" s="2">
        <f t="shared" si="195"/>
        <v>0</v>
      </c>
      <c r="I350" s="2"/>
      <c r="J350" s="19">
        <f t="shared" si="187"/>
        <v>0</v>
      </c>
      <c r="K350" s="2"/>
      <c r="L350" s="2">
        <f t="shared" si="188"/>
        <v>0</v>
      </c>
      <c r="M350" s="2"/>
      <c r="N350" s="19">
        <f t="shared" si="189"/>
        <v>0</v>
      </c>
      <c r="O350" s="10"/>
      <c r="P350" s="2">
        <f t="shared" si="196"/>
        <v>0</v>
      </c>
      <c r="Q350" s="2"/>
      <c r="R350" s="19">
        <f t="shared" si="190"/>
        <v>0</v>
      </c>
      <c r="S350" s="2"/>
      <c r="T350" s="2">
        <f>-72.06</f>
        <v>-72.06</v>
      </c>
      <c r="U350" s="2"/>
      <c r="V350" s="19">
        <f t="shared" si="191"/>
        <v>-2.5163915848144261E-6</v>
      </c>
      <c r="W350" s="2"/>
      <c r="X350" s="2">
        <f t="shared" si="192"/>
        <v>72.06</v>
      </c>
      <c r="Y350" s="2"/>
      <c r="Z350" s="19">
        <f t="shared" si="193"/>
        <v>-1</v>
      </c>
    </row>
    <row r="351" spans="1:26" s="23" customFormat="1" hidden="1" outlineLevel="1" x14ac:dyDescent="0.25">
      <c r="A351" s="44"/>
      <c r="B351" s="10" t="str">
        <f>CONCATENATE("          ", "9150", " - ", "MISC. INCOME")</f>
        <v xml:space="preserve">          9150 - MISC. INCOME</v>
      </c>
      <c r="C351" s="10"/>
      <c r="D351" s="2">
        <f>--22973.99</f>
        <v>22973.99</v>
      </c>
      <c r="E351" s="2"/>
      <c r="F351" s="19">
        <f t="shared" si="186"/>
        <v>5.0939980973440983E-2</v>
      </c>
      <c r="G351" s="2"/>
      <c r="H351" s="2">
        <f>--73508.24</f>
        <v>73508.240000000005</v>
      </c>
      <c r="I351" s="2"/>
      <c r="J351" s="19">
        <f t="shared" si="187"/>
        <v>0.1251050679674956</v>
      </c>
      <c r="K351" s="2"/>
      <c r="L351" s="2">
        <f t="shared" si="188"/>
        <v>-50534.25</v>
      </c>
      <c r="M351" s="2"/>
      <c r="N351" s="19">
        <f t="shared" si="189"/>
        <v>-0.68746374556104184</v>
      </c>
      <c r="O351" s="10"/>
      <c r="P351" s="2">
        <f>--434694.89</f>
        <v>434694.89</v>
      </c>
      <c r="Q351" s="2"/>
      <c r="R351" s="19">
        <f t="shared" si="190"/>
        <v>4.2354341582820275E-2</v>
      </c>
      <c r="S351" s="2"/>
      <c r="T351" s="2">
        <f>--889242.05</f>
        <v>889242.05</v>
      </c>
      <c r="U351" s="2"/>
      <c r="V351" s="19">
        <f t="shared" si="191"/>
        <v>3.1053028191550505E-2</v>
      </c>
      <c r="W351" s="2"/>
      <c r="X351" s="2">
        <f t="shared" si="192"/>
        <v>-454547.16000000003</v>
      </c>
      <c r="Y351" s="2"/>
      <c r="Z351" s="19">
        <f t="shared" si="193"/>
        <v>-0.51116246695711254</v>
      </c>
    </row>
    <row r="352" spans="1:26" s="23" customFormat="1" hidden="1" outlineLevel="1" x14ac:dyDescent="0.25">
      <c r="A352" s="44"/>
      <c r="B352" s="10" t="str">
        <f>CONCATENATE("          ", "9151", " - ", "MISC. INCOME")</f>
        <v xml:space="preserve">          9151 - MISC. INCOME</v>
      </c>
      <c r="C352" s="10"/>
      <c r="D352" s="2">
        <f>0</f>
        <v>0</v>
      </c>
      <c r="E352" s="2"/>
      <c r="F352" s="19">
        <f t="shared" si="186"/>
        <v>0</v>
      </c>
      <c r="G352" s="2"/>
      <c r="H352" s="2">
        <f>-18698.07</f>
        <v>-18698.07</v>
      </c>
      <c r="I352" s="2"/>
      <c r="J352" s="19">
        <f t="shared" si="187"/>
        <v>-3.1822599999823016E-2</v>
      </c>
      <c r="K352" s="2"/>
      <c r="L352" s="2">
        <f t="shared" si="188"/>
        <v>18698.07</v>
      </c>
      <c r="M352" s="2"/>
      <c r="N352" s="19">
        <f t="shared" si="189"/>
        <v>-1</v>
      </c>
      <c r="O352" s="10"/>
      <c r="P352" s="2">
        <f>--295628.46</f>
        <v>295628.46000000002</v>
      </c>
      <c r="Q352" s="2"/>
      <c r="R352" s="19">
        <f t="shared" si="190"/>
        <v>2.8804453570740435E-2</v>
      </c>
      <c r="S352" s="2"/>
      <c r="T352" s="2">
        <f>--150694.63</f>
        <v>150694.63</v>
      </c>
      <c r="U352" s="2"/>
      <c r="V352" s="19">
        <f t="shared" si="191"/>
        <v>5.2623743936819813E-3</v>
      </c>
      <c r="W352" s="2"/>
      <c r="X352" s="2">
        <f t="shared" si="192"/>
        <v>144933.83000000002</v>
      </c>
      <c r="Y352" s="2"/>
      <c r="Z352" s="19">
        <f t="shared" si="193"/>
        <v>0.96177169684148678</v>
      </c>
    </row>
    <row r="353" spans="1:26" s="23" customFormat="1" hidden="1" outlineLevel="1" x14ac:dyDescent="0.25">
      <c r="A353" s="44"/>
      <c r="B353" s="10" t="str">
        <f>CONCATENATE("          ", "9152", " - ", "MISC. INCOME")</f>
        <v xml:space="preserve">          9152 - MISC. INCOME</v>
      </c>
      <c r="C353" s="10"/>
      <c r="D353" s="2">
        <f>--1755.54</f>
        <v>1755.54</v>
      </c>
      <c r="E353" s="2"/>
      <c r="F353" s="19">
        <f t="shared" si="186"/>
        <v>3.8925399635898936E-3</v>
      </c>
      <c r="G353" s="2"/>
      <c r="H353" s="2">
        <f>--762.71</f>
        <v>762.71</v>
      </c>
      <c r="I353" s="2"/>
      <c r="J353" s="19">
        <f t="shared" si="187"/>
        <v>1.2980706161579785E-3</v>
      </c>
      <c r="K353" s="2"/>
      <c r="L353" s="2">
        <f t="shared" si="188"/>
        <v>992.82999999999993</v>
      </c>
      <c r="M353" s="2"/>
      <c r="N353" s="19">
        <f t="shared" si="189"/>
        <v>1.3017136264110867</v>
      </c>
      <c r="O353" s="10"/>
      <c r="P353" s="2">
        <f>--7408.11</f>
        <v>7408.11</v>
      </c>
      <c r="Q353" s="2"/>
      <c r="R353" s="19">
        <f t="shared" si="190"/>
        <v>7.2180655591122013E-4</v>
      </c>
      <c r="S353" s="2"/>
      <c r="T353" s="2">
        <f>--10637.6</f>
        <v>10637.6</v>
      </c>
      <c r="U353" s="2"/>
      <c r="V353" s="19">
        <f t="shared" si="191"/>
        <v>3.7147331560674352E-4</v>
      </c>
      <c r="W353" s="2"/>
      <c r="X353" s="2">
        <f t="shared" si="192"/>
        <v>-3229.4900000000007</v>
      </c>
      <c r="Y353" s="2"/>
      <c r="Z353" s="19">
        <f t="shared" si="193"/>
        <v>-0.30359197563360163</v>
      </c>
    </row>
    <row r="354" spans="1:26" s="23" customFormat="1" hidden="1" outlineLevel="1" x14ac:dyDescent="0.25">
      <c r="A354" s="44"/>
      <c r="B354" s="10" t="str">
        <f>CONCATENATE("          ", "9153", " - ", "MISC. INCOME")</f>
        <v xml:space="preserve">          9153 - MISC. INCOME</v>
      </c>
      <c r="C354" s="10"/>
      <c r="D354" s="2">
        <f t="shared" ref="D354:D355" si="197">0</f>
        <v>0</v>
      </c>
      <c r="E354" s="2"/>
      <c r="F354" s="19">
        <f t="shared" si="186"/>
        <v>0</v>
      </c>
      <c r="G354" s="2"/>
      <c r="H354" s="2">
        <f>0</f>
        <v>0</v>
      </c>
      <c r="I354" s="2"/>
      <c r="J354" s="19">
        <f t="shared" si="187"/>
        <v>0</v>
      </c>
      <c r="K354" s="2"/>
      <c r="L354" s="2">
        <f t="shared" si="188"/>
        <v>0</v>
      </c>
      <c r="M354" s="2"/>
      <c r="N354" s="19">
        <f t="shared" si="189"/>
        <v>0</v>
      </c>
      <c r="O354" s="10"/>
      <c r="P354" s="2">
        <f>0</f>
        <v>0</v>
      </c>
      <c r="Q354" s="2"/>
      <c r="R354" s="19">
        <f t="shared" si="190"/>
        <v>0</v>
      </c>
      <c r="S354" s="2"/>
      <c r="T354" s="2">
        <f>--450</f>
        <v>450</v>
      </c>
      <c r="U354" s="2"/>
      <c r="V354" s="19">
        <f t="shared" si="191"/>
        <v>1.5714352111663776E-5</v>
      </c>
      <c r="W354" s="2"/>
      <c r="X354" s="2">
        <f t="shared" si="192"/>
        <v>-450</v>
      </c>
      <c r="Y354" s="2"/>
      <c r="Z354" s="19">
        <f t="shared" si="193"/>
        <v>-1</v>
      </c>
    </row>
    <row r="355" spans="1:26" s="23" customFormat="1" hidden="1" outlineLevel="1" x14ac:dyDescent="0.25">
      <c r="A355" s="44"/>
      <c r="B355" s="10" t="str">
        <f>CONCATENATE("          ", "9160", " - ", "MISC. INCOME")</f>
        <v xml:space="preserve">          9160 - MISC. INCOME</v>
      </c>
      <c r="C355" s="10"/>
      <c r="D355" s="2">
        <f t="shared" si="197"/>
        <v>0</v>
      </c>
      <c r="E355" s="2"/>
      <c r="F355" s="19">
        <f t="shared" si="186"/>
        <v>0</v>
      </c>
      <c r="G355" s="2"/>
      <c r="H355" s="2">
        <f>--25000.02</f>
        <v>25000.02</v>
      </c>
      <c r="I355" s="2"/>
      <c r="J355" s="19">
        <f t="shared" si="187"/>
        <v>4.2548008240827821E-2</v>
      </c>
      <c r="K355" s="2"/>
      <c r="L355" s="2">
        <f t="shared" si="188"/>
        <v>-25000.02</v>
      </c>
      <c r="M355" s="2"/>
      <c r="N355" s="19">
        <f t="shared" si="189"/>
        <v>-1</v>
      </c>
      <c r="O355" s="10"/>
      <c r="P355" s="2">
        <f>--13615.06</f>
        <v>13615.06</v>
      </c>
      <c r="Q355" s="2"/>
      <c r="R355" s="19">
        <f t="shared" si="190"/>
        <v>1.3265785155896195E-3</v>
      </c>
      <c r="S355" s="2"/>
      <c r="T355" s="2">
        <f>--177564.34</f>
        <v>177564.34</v>
      </c>
      <c r="U355" s="2"/>
      <c r="V355" s="19">
        <f t="shared" si="191"/>
        <v>6.2006856916337443E-3</v>
      </c>
      <c r="W355" s="2"/>
      <c r="X355" s="2">
        <f t="shared" si="192"/>
        <v>-163949.28</v>
      </c>
      <c r="Y355" s="2"/>
      <c r="Z355" s="19">
        <f t="shared" si="193"/>
        <v>-0.92332323032879238</v>
      </c>
    </row>
    <row r="356" spans="1:26" s="23" customFormat="1" hidden="1" outlineLevel="1" x14ac:dyDescent="0.25">
      <c r="A356" s="44"/>
      <c r="B356" s="10" t="str">
        <f>CONCATENATE("          ", "9163", " - ", "MISC. INCOME")</f>
        <v xml:space="preserve">          9163 - MISC. INCOME</v>
      </c>
      <c r="C356" s="10"/>
      <c r="D356" s="2">
        <f>--378760.49</f>
        <v>378760.49</v>
      </c>
      <c r="E356" s="2"/>
      <c r="F356" s="19">
        <f t="shared" si="186"/>
        <v>0.83982156143060838</v>
      </c>
      <c r="G356" s="2"/>
      <c r="H356" s="2">
        <f>0</f>
        <v>0</v>
      </c>
      <c r="I356" s="2"/>
      <c r="J356" s="19">
        <f t="shared" si="187"/>
        <v>0</v>
      </c>
      <c r="K356" s="2"/>
      <c r="L356" s="2">
        <f t="shared" si="188"/>
        <v>378760.49</v>
      </c>
      <c r="M356" s="2"/>
      <c r="N356" s="19">
        <f t="shared" si="189"/>
        <v>0</v>
      </c>
      <c r="O356" s="10"/>
      <c r="P356" s="2">
        <f>--727101.05</f>
        <v>727101.05</v>
      </c>
      <c r="Q356" s="2"/>
      <c r="R356" s="19">
        <f t="shared" si="190"/>
        <v>7.084483150222283E-2</v>
      </c>
      <c r="S356" s="2"/>
      <c r="T356" s="2">
        <f>--488733.84</f>
        <v>488733.84</v>
      </c>
      <c r="U356" s="2"/>
      <c r="V356" s="19">
        <f t="shared" si="191"/>
        <v>1.7066968112545659E-2</v>
      </c>
      <c r="W356" s="2"/>
      <c r="X356" s="2">
        <f t="shared" si="192"/>
        <v>238367.21000000002</v>
      </c>
      <c r="Y356" s="2"/>
      <c r="Z356" s="19">
        <f t="shared" si="193"/>
        <v>0.48772397262280837</v>
      </c>
    </row>
    <row r="357" spans="1:26" s="23" customFormat="1" hidden="1" outlineLevel="1" x14ac:dyDescent="0.25">
      <c r="A357" s="44"/>
      <c r="B357" s="10" t="str">
        <f>CONCATENATE("          ", "9165", " - ", "OTHER INCOME")</f>
        <v xml:space="preserve">          9165 - OTHER INCOME</v>
      </c>
      <c r="C357" s="10"/>
      <c r="D357" s="2">
        <f>--576.86</f>
        <v>576.86</v>
      </c>
      <c r="E357" s="2"/>
      <c r="F357" s="19">
        <f t="shared" si="186"/>
        <v>1.2790654746667499E-3</v>
      </c>
      <c r="G357" s="2"/>
      <c r="H357" s="2">
        <f>--1309.77</f>
        <v>1309.77</v>
      </c>
      <c r="I357" s="2"/>
      <c r="J357" s="19">
        <f t="shared" si="187"/>
        <v>2.2291224068456367E-3</v>
      </c>
      <c r="K357" s="2"/>
      <c r="L357" s="2">
        <f t="shared" si="188"/>
        <v>-732.91</v>
      </c>
      <c r="M357" s="2"/>
      <c r="N357" s="19">
        <f t="shared" si="189"/>
        <v>-0.55957152782549602</v>
      </c>
      <c r="O357" s="10"/>
      <c r="P357" s="2">
        <f>--4098.54</f>
        <v>4098.54</v>
      </c>
      <c r="Q357" s="2"/>
      <c r="R357" s="19">
        <f t="shared" si="190"/>
        <v>3.9933978324624935E-4</v>
      </c>
      <c r="S357" s="2"/>
      <c r="T357" s="2">
        <f>--244434.79</f>
        <v>244434.79</v>
      </c>
      <c r="U357" s="2"/>
      <c r="V357" s="19">
        <f t="shared" si="191"/>
        <v>8.5358541297790927E-3</v>
      </c>
      <c r="W357" s="2"/>
      <c r="X357" s="2">
        <f t="shared" si="192"/>
        <v>-240336.25</v>
      </c>
      <c r="Y357" s="2"/>
      <c r="Z357" s="19">
        <f t="shared" si="193"/>
        <v>-0.98323258321779805</v>
      </c>
    </row>
    <row r="358" spans="1:26" x14ac:dyDescent="0.25">
      <c r="A358" s="9"/>
      <c r="B358" s="11"/>
      <c r="C358" s="11"/>
      <c r="D358" s="3"/>
      <c r="E358" s="3"/>
      <c r="F358" s="8"/>
      <c r="G358" s="3"/>
      <c r="H358" s="3"/>
      <c r="I358" s="3"/>
      <c r="J358" s="8"/>
      <c r="K358" s="3"/>
      <c r="L358" s="3"/>
      <c r="M358" s="3"/>
      <c r="N358" s="8"/>
      <c r="O358" s="11"/>
      <c r="P358" s="3"/>
      <c r="Q358" s="3"/>
      <c r="R358" s="8"/>
      <c r="S358" s="3"/>
      <c r="T358" s="3"/>
      <c r="U358" s="3"/>
      <c r="V358" s="8"/>
      <c r="W358" s="3"/>
      <c r="X358" s="3"/>
      <c r="Y358" s="3"/>
      <c r="Z358" s="8"/>
    </row>
    <row r="359" spans="1:26" s="24" customFormat="1" x14ac:dyDescent="0.25">
      <c r="A359" s="11"/>
      <c r="B359" s="28" t="s">
        <v>276</v>
      </c>
      <c r="C359" s="28"/>
      <c r="D359" s="21">
        <f>+D206-D208+D344</f>
        <v>-93426.650000000081</v>
      </c>
      <c r="E359" s="14"/>
      <c r="F359" s="22">
        <f>IF(D$12=0,0,D359/D$12)</f>
        <v>-0.20715390637030545</v>
      </c>
      <c r="G359" s="14"/>
      <c r="H359" s="21">
        <f>+H206-H208+H344</f>
        <v>-636584.58000000031</v>
      </c>
      <c r="I359" s="14"/>
      <c r="J359" s="22">
        <f>IF(H$12=0,0,H359/H$12)</f>
        <v>-1.08341537150066</v>
      </c>
      <c r="K359" s="15"/>
      <c r="L359" s="21">
        <f>+D359-H359</f>
        <v>543157.93000000017</v>
      </c>
      <c r="M359" s="15"/>
      <c r="N359" s="22">
        <f>IF(H359=0,0,L359/H359)</f>
        <v>-0.85323764832632276</v>
      </c>
      <c r="O359" s="29"/>
      <c r="P359" s="21">
        <f>+P206-P208+P344</f>
        <v>-2559372.7899999986</v>
      </c>
      <c r="Q359" s="14"/>
      <c r="R359" s="22">
        <f>IF(P$12=0,0,P359/P$12)</f>
        <v>-0.24937157504988311</v>
      </c>
      <c r="S359" s="14"/>
      <c r="T359" s="21">
        <f>+T206-T208+T344</f>
        <v>1808111.3999999859</v>
      </c>
      <c r="U359" s="14"/>
      <c r="V359" s="22">
        <f>IF(T$12=0,0,T359/T$12)</f>
        <v>6.3140664881584721E-2</v>
      </c>
      <c r="W359" s="15"/>
      <c r="X359" s="21">
        <f>+P359-T359</f>
        <v>-4367484.1899999846</v>
      </c>
      <c r="Y359" s="15"/>
      <c r="Z359" s="22">
        <f>IF(T359=0,0,X359/T359)</f>
        <v>-2.4154950795620329</v>
      </c>
    </row>
    <row r="360" spans="1:26" x14ac:dyDescent="0.25">
      <c r="A360" s="9"/>
      <c r="B360" s="11"/>
      <c r="C360" s="9"/>
      <c r="D360" s="3"/>
      <c r="E360" s="3"/>
      <c r="F360" s="8"/>
      <c r="G360" s="3"/>
      <c r="H360" s="3"/>
      <c r="I360" s="3"/>
      <c r="J360" s="8"/>
      <c r="K360" s="3"/>
      <c r="L360" s="3"/>
      <c r="M360" s="3"/>
      <c r="N360" s="8"/>
      <c r="P360" s="3"/>
      <c r="Q360" s="3"/>
      <c r="R360" s="8"/>
      <c r="S360" s="3"/>
      <c r="T360" s="3"/>
      <c r="U360" s="3"/>
      <c r="V360" s="8"/>
      <c r="W360" s="3"/>
      <c r="X360" s="3"/>
      <c r="Y360" s="3"/>
      <c r="Z360" s="8"/>
    </row>
    <row r="361" spans="1:26" s="24" customFormat="1" x14ac:dyDescent="0.25">
      <c r="A361" s="51"/>
      <c r="B361" s="11" t="s">
        <v>127</v>
      </c>
      <c r="C361" s="11"/>
      <c r="D361" s="4">
        <v>744030.66</v>
      </c>
      <c r="E361" s="4"/>
      <c r="F361" s="13">
        <f>IF(D$12=0,0,D361/D$12)</f>
        <v>1.6497311813949922</v>
      </c>
      <c r="G361" s="4"/>
      <c r="H361" s="4">
        <v>1014635.28</v>
      </c>
      <c r="I361" s="4"/>
      <c r="J361" s="13">
        <f>IF(H$12=0,0,H361/H$12)</f>
        <v>1.7268270287333627</v>
      </c>
      <c r="K361" s="4"/>
      <c r="L361" s="4">
        <f>+D361-H361</f>
        <v>-270604.62</v>
      </c>
      <c r="M361" s="4"/>
      <c r="N361" s="13">
        <f>IF(H361=0,0,L361/H361)</f>
        <v>-0.26670137076250688</v>
      </c>
      <c r="O361" s="11"/>
      <c r="P361" s="4">
        <v>2840823.75</v>
      </c>
      <c r="Q361" s="4"/>
      <c r="R361" s="13">
        <f>IF(P$12=0,0,P361/P$12)</f>
        <v>0.27679464896421585</v>
      </c>
      <c r="S361" s="4"/>
      <c r="T361" s="4">
        <v>4336174.96</v>
      </c>
      <c r="U361" s="4"/>
      <c r="V361" s="13">
        <f>IF(T$12=0,0,T361/T$12)</f>
        <v>0.1514226225315991</v>
      </c>
      <c r="W361" s="4"/>
      <c r="X361" s="4">
        <f>+P361-T361</f>
        <v>-1495351.21</v>
      </c>
      <c r="Y361" s="4"/>
      <c r="Z361" s="13">
        <f>IF(T361=0,0,X361/T361)</f>
        <v>-0.34485490640811228</v>
      </c>
    </row>
    <row r="362" spans="1:26" x14ac:dyDescent="0.25">
      <c r="A362" s="9"/>
      <c r="B362" s="11"/>
      <c r="C362" s="11"/>
      <c r="D362" s="3"/>
      <c r="E362" s="3"/>
      <c r="F362" s="8"/>
      <c r="G362" s="3"/>
      <c r="H362" s="3"/>
      <c r="I362" s="3"/>
      <c r="J362" s="8"/>
      <c r="K362" s="3"/>
      <c r="L362" s="3"/>
      <c r="M362" s="3"/>
      <c r="N362" s="8"/>
      <c r="O362" s="11"/>
      <c r="P362" s="3"/>
      <c r="Q362" s="3"/>
      <c r="R362" s="8"/>
      <c r="S362" s="3"/>
      <c r="T362" s="3"/>
      <c r="U362" s="3"/>
      <c r="V362" s="8"/>
      <c r="W362" s="3"/>
      <c r="X362" s="3"/>
      <c r="Y362" s="3"/>
      <c r="Z362" s="8"/>
    </row>
    <row r="363" spans="1:26" s="24" customFormat="1" ht="15.75" thickBot="1" x14ac:dyDescent="0.3">
      <c r="A363" s="11"/>
      <c r="B363" s="28" t="s">
        <v>125</v>
      </c>
      <c r="C363" s="28"/>
      <c r="D363" s="34">
        <f>+D359-D361</f>
        <v>-837457.31</v>
      </c>
      <c r="E363" s="14"/>
      <c r="F363" s="31">
        <f>IF(D$12=0,0,D363/D$12)</f>
        <v>-1.8568850877652976</v>
      </c>
      <c r="G363" s="14"/>
      <c r="H363" s="34">
        <f>+H359-H361</f>
        <v>-1651219.8600000003</v>
      </c>
      <c r="I363" s="14"/>
      <c r="J363" s="31">
        <f>IF(H$12=0,0,H363/H$12)</f>
        <v>-2.8102424002340229</v>
      </c>
      <c r="K363" s="15"/>
      <c r="L363" s="34">
        <f>D363-H363</f>
        <v>813762.55000000028</v>
      </c>
      <c r="M363" s="15"/>
      <c r="N363" s="31">
        <f>IF(H363=0,0,L363/H363)</f>
        <v>-0.4928250741848515</v>
      </c>
      <c r="O363" s="29"/>
      <c r="P363" s="34">
        <f>+P359-P361</f>
        <v>-5400196.5399999991</v>
      </c>
      <c r="Q363" s="14"/>
      <c r="R363" s="31">
        <f>IF(P$12=0,0,P363/P$12)</f>
        <v>-0.52616622401409896</v>
      </c>
      <c r="S363" s="14"/>
      <c r="T363" s="34">
        <f>+T359-T361</f>
        <v>-2528063.560000014</v>
      </c>
      <c r="U363" s="14"/>
      <c r="V363" s="31">
        <f>IF(T$12=0,0,T363/T$12)</f>
        <v>-8.828195765001437E-2</v>
      </c>
      <c r="W363" s="15"/>
      <c r="X363" s="34">
        <f>P363-T363</f>
        <v>-2872132.9799999851</v>
      </c>
      <c r="Y363" s="15"/>
      <c r="Z363" s="31">
        <f>IF(T363=0,0,X363/T363)</f>
        <v>1.1360999879290887</v>
      </c>
    </row>
    <row r="364" spans="1:26" ht="15.75" thickTop="1" x14ac:dyDescent="0.25">
      <c r="A364" s="9"/>
      <c r="B364" s="9"/>
      <c r="C364" s="9"/>
      <c r="D364" s="3"/>
      <c r="E364" s="3"/>
      <c r="F364" s="8"/>
      <c r="G364" s="3"/>
      <c r="H364" s="3"/>
      <c r="I364" s="3"/>
      <c r="J364" s="8"/>
      <c r="K364" s="3"/>
      <c r="L364" s="3"/>
      <c r="M364" s="3"/>
      <c r="N364" s="8"/>
      <c r="P364" s="3"/>
      <c r="Q364" s="3"/>
      <c r="R364" s="8"/>
      <c r="S364" s="3"/>
      <c r="T364" s="3"/>
      <c r="U364" s="3"/>
      <c r="V364" s="8"/>
      <c r="W364" s="3"/>
      <c r="X364" s="3"/>
      <c r="Y364" s="3"/>
      <c r="Z364" s="8"/>
    </row>
    <row r="365" spans="1:26" s="24" customFormat="1" x14ac:dyDescent="0.25">
      <c r="A365" s="51"/>
      <c r="B365" s="11" t="s">
        <v>183</v>
      </c>
      <c r="C365" s="11"/>
      <c r="D365" s="4">
        <f>-920090.89</f>
        <v>-920090.89</v>
      </c>
      <c r="E365" s="4"/>
      <c r="F365" s="13">
        <f t="shared" ref="F365:F366" si="198">IF(D$12=0,0,D365/D$12)</f>
        <v>-2.0401076360891763</v>
      </c>
      <c r="G365" s="4"/>
      <c r="H365" s="4">
        <f>--322360.04</f>
        <v>322360.03999999998</v>
      </c>
      <c r="I365" s="4"/>
      <c r="J365" s="13">
        <f t="shared" ref="J365:J366" si="199">IF(H$12=0,0,H365/H$12)</f>
        <v>0.54863066663281013</v>
      </c>
      <c r="K365" s="4"/>
      <c r="L365" s="4">
        <f t="shared" ref="L365:L366" si="200">+D365-H365</f>
        <v>-1242450.93</v>
      </c>
      <c r="M365" s="4"/>
      <c r="N365" s="13">
        <f t="shared" ref="N365:N366" si="201">IF(H365=0,0,L365/H365)</f>
        <v>-3.8542337009264549</v>
      </c>
      <c r="O365" s="11"/>
      <c r="P365" s="4">
        <f>--1782877.25</f>
        <v>1782877.25</v>
      </c>
      <c r="Q365" s="4"/>
      <c r="R365" s="13">
        <f t="shared" ref="R365:R366" si="202">IF(P$12=0,0,P365/P$12)</f>
        <v>0.17371400902996412</v>
      </c>
      <c r="S365" s="4"/>
      <c r="T365" s="4">
        <f>-36911.48</f>
        <v>-36911.480000000003</v>
      </c>
      <c r="U365" s="4"/>
      <c r="V365" s="13">
        <f t="shared" ref="V365:V366" si="203">IF(T$12=0,0,T365/T$12)</f>
        <v>-1.2889777637391895E-3</v>
      </c>
      <c r="W365" s="4"/>
      <c r="X365" s="4">
        <f t="shared" ref="X365:X366" si="204">+P365-T365</f>
        <v>1819788.73</v>
      </c>
      <c r="Y365" s="4"/>
      <c r="Z365" s="13">
        <f t="shared" ref="Z365:Z366" si="205">IF(T365=0,0,X365/T365)</f>
        <v>-49.301429528157634</v>
      </c>
    </row>
    <row r="366" spans="1:26" s="24" customFormat="1" x14ac:dyDescent="0.25">
      <c r="A366" s="51"/>
      <c r="B366" s="11" t="s">
        <v>81</v>
      </c>
      <c r="C366" s="11"/>
      <c r="D366" s="4">
        <f>--2951630.18</f>
        <v>2951630.18</v>
      </c>
      <c r="E366" s="4"/>
      <c r="F366" s="13">
        <f t="shared" si="198"/>
        <v>6.5446178574045772</v>
      </c>
      <c r="G366" s="4"/>
      <c r="H366" s="4">
        <f>--56882.15</f>
        <v>56882.15</v>
      </c>
      <c r="I366" s="4"/>
      <c r="J366" s="13">
        <f t="shared" si="199"/>
        <v>9.6808810031192141E-2</v>
      </c>
      <c r="K366" s="4"/>
      <c r="L366" s="4">
        <f t="shared" si="200"/>
        <v>2894748.0300000003</v>
      </c>
      <c r="M366" s="4"/>
      <c r="N366" s="13">
        <f t="shared" si="201"/>
        <v>50.890271025268916</v>
      </c>
      <c r="O366" s="11"/>
      <c r="P366" s="4">
        <f>--3055858.1</f>
        <v>3055858.1</v>
      </c>
      <c r="Q366" s="4"/>
      <c r="R366" s="13">
        <f t="shared" si="202"/>
        <v>0.29774644416921525</v>
      </c>
      <c r="S366" s="4"/>
      <c r="T366" s="4">
        <f>--324468.28</f>
        <v>324468.28000000003</v>
      </c>
      <c r="U366" s="4"/>
      <c r="V366" s="13">
        <f t="shared" si="203"/>
        <v>1.1330686224413142E-2</v>
      </c>
      <c r="W366" s="4"/>
      <c r="X366" s="4">
        <f t="shared" si="204"/>
        <v>2731389.8200000003</v>
      </c>
      <c r="Y366" s="4"/>
      <c r="Z366" s="13">
        <f t="shared" si="205"/>
        <v>8.4180488151260882</v>
      </c>
    </row>
    <row r="367" spans="1:26" x14ac:dyDescent="0.25">
      <c r="A367" s="9"/>
      <c r="B367" s="9"/>
      <c r="C367" s="9"/>
      <c r="D367" s="3"/>
      <c r="E367" s="3"/>
      <c r="F367" s="8"/>
      <c r="G367" s="3"/>
      <c r="H367" s="3"/>
      <c r="I367" s="3"/>
      <c r="J367" s="8"/>
      <c r="K367" s="3"/>
      <c r="L367" s="3"/>
      <c r="M367" s="3"/>
      <c r="N367" s="8"/>
      <c r="P367" s="3"/>
      <c r="Q367" s="3"/>
      <c r="R367" s="8"/>
      <c r="S367" s="3"/>
      <c r="T367" s="3"/>
      <c r="U367" s="3"/>
      <c r="V367" s="8"/>
      <c r="W367" s="3"/>
      <c r="X367" s="3"/>
      <c r="Y367" s="3"/>
      <c r="Z367" s="8"/>
    </row>
    <row r="368" spans="1:26" s="24" customFormat="1" ht="15.75" thickBot="1" x14ac:dyDescent="0.3">
      <c r="A368" s="11"/>
      <c r="B368" s="28" t="s">
        <v>293</v>
      </c>
      <c r="C368" s="28"/>
      <c r="D368" s="33">
        <f>SUM(D363:D367)</f>
        <v>1194081.98</v>
      </c>
      <c r="E368" s="14"/>
      <c r="F368" s="35">
        <f>IF(D$12=0,0,D368/D$12)</f>
        <v>2.6476251335501031</v>
      </c>
      <c r="G368" s="14"/>
      <c r="H368" s="33">
        <f>SUM(H363:H367)</f>
        <v>-1271977.6700000004</v>
      </c>
      <c r="I368" s="14"/>
      <c r="J368" s="35">
        <f>IF(H$12=0,0,H368/H$12)</f>
        <v>-2.1648029235700204</v>
      </c>
      <c r="K368" s="15"/>
      <c r="L368" s="33">
        <f>+D368-H368</f>
        <v>2466059.6500000004</v>
      </c>
      <c r="M368" s="15"/>
      <c r="N368" s="35">
        <f>IF(H368=0,0,L368/H368)</f>
        <v>-1.9387601749329448</v>
      </c>
      <c r="O368" s="29"/>
      <c r="P368" s="33">
        <f>SUM(P363:P367)</f>
        <v>-561461.18999999901</v>
      </c>
      <c r="Q368" s="14"/>
      <c r="R368" s="35">
        <f>IF(P$12=0,0,P368/P$12)</f>
        <v>-5.470577081491966E-2</v>
      </c>
      <c r="S368" s="14"/>
      <c r="T368" s="33">
        <f>SUM(T363:T367)</f>
        <v>-2240506.7600000137</v>
      </c>
      <c r="U368" s="14"/>
      <c r="V368" s="35">
        <f>IF(T$12=0,0,T368/T$12)</f>
        <v>-7.8240249189340402E-2</v>
      </c>
      <c r="W368" s="15"/>
      <c r="X368" s="33">
        <f>+P368-T368</f>
        <v>1679045.5700000147</v>
      </c>
      <c r="Y368" s="15"/>
      <c r="Z368" s="35">
        <f>IF(T368=0,0,X368/T368)</f>
        <v>-0.74940437582076491</v>
      </c>
    </row>
    <row r="369" spans="1:24" ht="15.75" thickTop="1" x14ac:dyDescent="0.25">
      <c r="A369" s="9"/>
      <c r="C369" s="9"/>
      <c r="D369" s="18"/>
      <c r="E369" s="18"/>
      <c r="G369" s="18"/>
      <c r="H369" s="18"/>
      <c r="I369" s="18"/>
      <c r="J369" s="43"/>
      <c r="K369" s="18"/>
      <c r="L369" s="18"/>
      <c r="M369" s="18"/>
      <c r="P369" s="18"/>
      <c r="Q369" s="18"/>
      <c r="R369" s="43"/>
      <c r="S369" s="18"/>
      <c r="T369" s="18"/>
      <c r="U369" s="18"/>
      <c r="V369" s="43"/>
      <c r="W369" s="18"/>
      <c r="X369" s="18"/>
    </row>
    <row r="370" spans="1:24" x14ac:dyDescent="0.25">
      <c r="A370" s="9"/>
      <c r="B370" s="56">
        <v>44454.698475810183</v>
      </c>
      <c r="D370" s="18"/>
      <c r="E370" s="18"/>
      <c r="G370" s="18"/>
      <c r="H370" s="18"/>
      <c r="I370" s="18"/>
      <c r="J370" s="43"/>
      <c r="K370" s="18"/>
      <c r="L370" s="18"/>
      <c r="M370" s="18"/>
      <c r="P370" s="18"/>
      <c r="Q370" s="18"/>
      <c r="R370" s="43"/>
      <c r="S370" s="18"/>
      <c r="T370" s="18"/>
      <c r="U370" s="18"/>
      <c r="V370" s="43"/>
      <c r="W370" s="18"/>
      <c r="X370" s="18"/>
    </row>
    <row r="371" spans="1:24" x14ac:dyDescent="0.25">
      <c r="A371" s="9"/>
      <c r="B371" s="55" t="s">
        <v>56</v>
      </c>
      <c r="D371" s="18"/>
      <c r="E371" s="18"/>
      <c r="G371" s="18"/>
      <c r="H371" s="18"/>
      <c r="I371" s="18"/>
      <c r="J371" s="43"/>
      <c r="K371" s="18"/>
      <c r="L371" s="18"/>
      <c r="M371" s="18"/>
      <c r="P371" s="18"/>
      <c r="Q371" s="18"/>
      <c r="R371" s="43"/>
      <c r="S371" s="18"/>
      <c r="T371" s="18"/>
      <c r="U371" s="18"/>
      <c r="V371" s="43"/>
      <c r="W371" s="18"/>
      <c r="X371" s="18"/>
    </row>
    <row r="372" spans="1:24" x14ac:dyDescent="0.25">
      <c r="A372" s="9"/>
      <c r="B372" s="60"/>
      <c r="D372" s="18"/>
      <c r="E372" s="18"/>
      <c r="G372" s="18"/>
      <c r="H372" s="18"/>
      <c r="I372" s="18"/>
      <c r="J372" s="43"/>
      <c r="K372" s="18"/>
      <c r="L372" s="18"/>
      <c r="M372" s="18"/>
      <c r="P372" s="18"/>
      <c r="Q372" s="18"/>
      <c r="R372" s="43"/>
      <c r="S372" s="18"/>
      <c r="T372" s="18"/>
      <c r="U372" s="18"/>
      <c r="V372" s="43"/>
      <c r="W372" s="18"/>
      <c r="X372" s="18"/>
    </row>
    <row r="373" spans="1:24" x14ac:dyDescent="0.25">
      <c r="D373" s="18"/>
      <c r="E373" s="18"/>
      <c r="G373" s="18"/>
      <c r="H373" s="18"/>
      <c r="I373" s="18"/>
      <c r="J373" s="43"/>
      <c r="K373" s="18"/>
      <c r="L373" s="18"/>
      <c r="M373" s="18"/>
      <c r="P373" s="18"/>
      <c r="Q373" s="18"/>
      <c r="R373" s="43"/>
      <c r="S373" s="18"/>
      <c r="T373" s="18"/>
      <c r="U373" s="18"/>
      <c r="V373" s="43"/>
      <c r="W373" s="18"/>
      <c r="X373" s="18"/>
    </row>
  </sheetData>
  <pageMargins left="0.25" right="0.25" top="0.75" bottom="0.75" header="0.3" footer="0.3"/>
  <pageSetup scale="55" fitToWidth="2" orientation="landscape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tabColor theme="5" tint="0.39997558519241921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62" t="s">
        <v>23</v>
      </c>
    </row>
    <row r="3" spans="1:26" x14ac:dyDescent="0.25">
      <c r="D3" s="62" t="s">
        <v>236</v>
      </c>
      <c r="E3" s="17"/>
      <c r="F3" s="46"/>
      <c r="G3" s="17"/>
      <c r="H3" s="17"/>
      <c r="I3" s="17"/>
      <c r="J3" s="38"/>
      <c r="K3" s="17"/>
      <c r="L3" s="17"/>
      <c r="M3" s="17"/>
      <c r="N3" s="46"/>
      <c r="O3" s="53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2" t="e">
        <f ca="1">CONCATENATE("Period ",RIGHT(_xll.OneStop.ReportPlayer.OSRFunctions.OSRGet("Period","PeriodId"),2),", ",_xll.OneStop.ReportPlayer.OSRFunctions.OSRGet("Period","Year"))</f>
        <v>#NAME?</v>
      </c>
      <c r="E4" s="17"/>
      <c r="F4" s="46"/>
      <c r="G4" s="17"/>
      <c r="H4" s="17"/>
      <c r="I4" s="17"/>
      <c r="J4" s="38"/>
      <c r="K4" s="17"/>
      <c r="L4" s="17"/>
      <c r="M4" s="17"/>
      <c r="N4" s="46"/>
      <c r="O4" s="53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4"/>
      <c r="D5" s="64" t="e">
        <f ca="1">_xll.OneStop.ReportPlayer.OSRFunctions.OSRGet("Period","PeriodEnd")</f>
        <v>#NAME?</v>
      </c>
      <c r="E5" s="17"/>
      <c r="F5" s="46"/>
      <c r="G5" s="17"/>
      <c r="H5" s="17"/>
      <c r="I5" s="17"/>
      <c r="J5" s="38"/>
      <c r="K5" s="17"/>
      <c r="L5" s="17"/>
      <c r="M5" s="17"/>
      <c r="N5" s="46"/>
      <c r="O5" s="53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4"/>
      <c r="B6" s="48"/>
      <c r="C6" s="48"/>
      <c r="D6" s="24" t="s">
        <v>55</v>
      </c>
      <c r="E6" s="17"/>
      <c r="F6" s="46"/>
      <c r="G6" s="17"/>
      <c r="H6" s="17"/>
      <c r="I6" s="17"/>
      <c r="J6" s="38"/>
      <c r="K6" s="17"/>
      <c r="L6" s="17"/>
      <c r="M6" s="17"/>
      <c r="N6" s="46"/>
      <c r="O6" s="54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9"/>
    </row>
    <row r="8" spans="1:26" x14ac:dyDescent="0.25">
      <c r="B8" s="59"/>
    </row>
    <row r="9" spans="1:26" x14ac:dyDescent="0.25">
      <c r="B9" s="9"/>
      <c r="C9" s="9"/>
      <c r="D9" s="16" t="s">
        <v>291</v>
      </c>
      <c r="E9" s="16"/>
      <c r="F9" s="39"/>
      <c r="G9" s="16"/>
      <c r="H9" s="16"/>
      <c r="I9" s="16"/>
      <c r="J9" s="49"/>
      <c r="K9" s="16"/>
      <c r="L9" s="16"/>
      <c r="M9" s="16"/>
      <c r="N9" s="39"/>
      <c r="P9" s="16" t="s">
        <v>39</v>
      </c>
      <c r="Q9" s="16"/>
      <c r="R9" s="39"/>
      <c r="S9" s="16"/>
      <c r="T9" s="16"/>
      <c r="U9" s="16"/>
      <c r="V9" s="49"/>
      <c r="W9" s="16"/>
      <c r="X9" s="16"/>
      <c r="Y9" s="16"/>
      <c r="Z9" s="39"/>
    </row>
    <row r="10" spans="1:26" x14ac:dyDescent="0.25">
      <c r="A10" s="11"/>
      <c r="B10" s="58"/>
      <c r="C10" s="11"/>
      <c r="D10" s="42" t="s">
        <v>57</v>
      </c>
      <c r="E10" s="36"/>
      <c r="F10" s="30" t="s">
        <v>40</v>
      </c>
      <c r="G10" s="36"/>
      <c r="H10" s="50" t="s">
        <v>237</v>
      </c>
      <c r="I10" s="36"/>
      <c r="J10" s="30" t="s">
        <v>40</v>
      </c>
      <c r="K10" s="11"/>
      <c r="L10" s="42" t="s">
        <v>126</v>
      </c>
      <c r="M10" s="11"/>
      <c r="N10" s="30" t="s">
        <v>257</v>
      </c>
      <c r="O10" s="11"/>
      <c r="P10" s="61" t="s">
        <v>57</v>
      </c>
      <c r="Q10" s="36"/>
      <c r="R10" s="30" t="s">
        <v>40</v>
      </c>
      <c r="S10" s="36"/>
      <c r="T10" s="50" t="s">
        <v>237</v>
      </c>
      <c r="U10" s="36"/>
      <c r="V10" s="30" t="s">
        <v>40</v>
      </c>
      <c r="W10" s="11"/>
      <c r="X10" s="42" t="s">
        <v>126</v>
      </c>
      <c r="Y10" s="11"/>
      <c r="Z10" s="30" t="s">
        <v>257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4" customFormat="1" collapsed="1" x14ac:dyDescent="0.25">
      <c r="A12" s="11"/>
      <c r="B12" s="29" t="s">
        <v>139</v>
      </c>
      <c r="C12" s="11"/>
      <c r="D12" s="4" t="e">
        <f ca="1">SUM(_xll.OneStop.ReportPlayer.OSRFunctions.OSRRef(D13))</f>
        <v>#NAME?</v>
      </c>
      <c r="E12" s="4"/>
      <c r="F12" s="13"/>
      <c r="G12" s="4"/>
      <c r="H12" s="4" t="e">
        <f ca="1">SUM(_xll.OneStop.ReportPlayer.OSRFunctions.OSRRef(H13))</f>
        <v>#NAME?</v>
      </c>
      <c r="I12" s="4"/>
      <c r="J12" s="13"/>
      <c r="K12" s="4"/>
      <c r="L12" s="4" t="e">
        <f t="shared" ref="L12:L13" ca="1" si="0">+D12-H12</f>
        <v>#NAME?</v>
      </c>
      <c r="M12" s="4"/>
      <c r="N12" s="13" t="e">
        <f t="shared" ref="N12:N13" ca="1" si="1">IF(H12=0,0,L12/H12)</f>
        <v>#NAME?</v>
      </c>
      <c r="O12" s="11"/>
      <c r="P12" s="4" t="e">
        <f ca="1">SUM(_xll.OneStop.ReportPlayer.OSRFunctions.OSRRef(P13))</f>
        <v>#NAME?</v>
      </c>
      <c r="Q12" s="4"/>
      <c r="R12" s="13"/>
      <c r="S12" s="4"/>
      <c r="T12" s="4" t="e">
        <f ca="1">SUM(_xll.OneStop.ReportPlayer.OSRFunctions.OSRRef(T13))</f>
        <v>#NAME?</v>
      </c>
      <c r="U12" s="4"/>
      <c r="V12" s="13"/>
      <c r="W12" s="4"/>
      <c r="X12" s="4" t="e">
        <f t="shared" ref="X12:X13" ca="1" si="2">+P12-T12</f>
        <v>#NAME?</v>
      </c>
      <c r="Y12" s="4"/>
      <c r="Z12" s="13" t="e">
        <f t="shared" ref="Z12:Z13" ca="1" si="3">IF(T12=0,0,X12/T12)</f>
        <v>#NAME?</v>
      </c>
    </row>
    <row r="13" spans="1:26" s="23" customFormat="1" hidden="1" outlineLevel="1" x14ac:dyDescent="0.25">
      <c r="A13" s="44"/>
      <c r="B13" s="10" t="e">
        <f ca="1">CONCATENATE("          ", _xll.OneStop.ReportPlayer.OSRFunctions.OSRGet("d_Account","Code"), " - ", _xll.OneStop.ReportPlayer.OSRFunctions.OSRGet("d_Account","Description"))</f>
        <v>#NAME?</v>
      </c>
      <c r="C13" s="10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0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1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4" customFormat="1" collapsed="1" x14ac:dyDescent="0.25">
      <c r="A15" s="11"/>
      <c r="B15" s="29" t="s">
        <v>256</v>
      </c>
      <c r="C15" s="11"/>
      <c r="D15" s="4" t="e">
        <f ca="1">SUM(_xll.OneStop.ReportPlayer.OSRFunctions.OSRRef(D16))</f>
        <v>#NAME?</v>
      </c>
      <c r="E15" s="4"/>
      <c r="F15" s="13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3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3" t="e">
        <f t="shared" ref="N15:N16" ca="1" si="7">IF(H15=0,0,L15/H15)</f>
        <v>#NAME?</v>
      </c>
      <c r="O15" s="11"/>
      <c r="P15" s="4" t="e">
        <f ca="1">SUM(_xll.OneStop.ReportPlayer.OSRFunctions.OSRRef(P16))</f>
        <v>#NAME?</v>
      </c>
      <c r="Q15" s="4"/>
      <c r="R15" s="13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3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3" t="e">
        <f t="shared" ref="Z15:Z16" ca="1" si="11">IF(T15=0,0,X15/T15)</f>
        <v>#NAME?</v>
      </c>
    </row>
    <row r="16" spans="1:26" s="23" customFormat="1" hidden="1" outlineLevel="1" x14ac:dyDescent="0.25">
      <c r="A16" s="44"/>
      <c r="B16" s="10" t="e">
        <f ca="1">CONCATENATE("          ", _xll.OneStop.ReportPlayer.OSRFunctions.OSRGet("d_Account","Code"), " - ", _xll.OneStop.ReportPlayer.OSRFunctions.OSRGet("d_Account","Description"))</f>
        <v>#NAME?</v>
      </c>
      <c r="C16" s="10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0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1"/>
      <c r="C17" s="11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1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4" customFormat="1" x14ac:dyDescent="0.25">
      <c r="A18" s="11"/>
      <c r="B18" s="28" t="s">
        <v>107</v>
      </c>
      <c r="C18" s="28"/>
      <c r="D18" s="21" t="e">
        <f ca="1">D12-D15</f>
        <v>#NAME?</v>
      </c>
      <c r="E18" s="14"/>
      <c r="F18" s="22" t="e">
        <f ca="1">IF(D$12=0,0,D18/D$12)</f>
        <v>#NAME?</v>
      </c>
      <c r="G18" s="14"/>
      <c r="H18" s="21" t="e">
        <f ca="1">H12-H15</f>
        <v>#NAME?</v>
      </c>
      <c r="I18" s="14"/>
      <c r="J18" s="22" t="e">
        <f ca="1">IF(H$12=0,0,H18/H$12)</f>
        <v>#NAME?</v>
      </c>
      <c r="K18" s="15"/>
      <c r="L18" s="21" t="e">
        <f ca="1">+D18-H18</f>
        <v>#NAME?</v>
      </c>
      <c r="M18" s="15"/>
      <c r="N18" s="22" t="e">
        <f ca="1">IF(H18=0,0,L18/H18)</f>
        <v>#NAME?</v>
      </c>
      <c r="O18" s="29"/>
      <c r="P18" s="21" t="e">
        <f ca="1">P12-P15</f>
        <v>#NAME?</v>
      </c>
      <c r="Q18" s="14"/>
      <c r="R18" s="22" t="e">
        <f ca="1">IF(P$12=0,0,P18/P$12)</f>
        <v>#NAME?</v>
      </c>
      <c r="S18" s="14"/>
      <c r="T18" s="21" t="e">
        <f ca="1">T12-T15</f>
        <v>#NAME?</v>
      </c>
      <c r="U18" s="14"/>
      <c r="V18" s="22" t="e">
        <f ca="1">IF(T$12=0,0,T18/T$12)</f>
        <v>#NAME?</v>
      </c>
      <c r="W18" s="15"/>
      <c r="X18" s="21" t="e">
        <f ca="1">+P18-T18</f>
        <v>#NAME?</v>
      </c>
      <c r="Y18" s="15"/>
      <c r="Z18" s="22" t="e">
        <f ca="1">IF(T18=0,0,X18/T18)</f>
        <v>#NAME?</v>
      </c>
    </row>
    <row r="19" spans="1:26" x14ac:dyDescent="0.25">
      <c r="A19" s="9"/>
      <c r="B19" s="11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4" customFormat="1" x14ac:dyDescent="0.25">
      <c r="A20" s="11"/>
      <c r="B20" s="29" t="s">
        <v>294</v>
      </c>
      <c r="C20" s="11"/>
      <c r="D20" s="20" t="e">
        <f ca="1">SUM(_xll.OneStop.ReportPlayer.OSRFunctions.OSRRef(D22))</f>
        <v>#NAME?</v>
      </c>
      <c r="E20" s="20"/>
      <c r="F20" s="32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2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2" t="e">
        <f t="shared" ref="N20:N22" ca="1" si="15">IF(H20=0,0,L20/H20)</f>
        <v>#NAME?</v>
      </c>
      <c r="O20" s="11"/>
      <c r="P20" s="20" t="e">
        <f ca="1">SUM(_xll.OneStop.ReportPlayer.OSRFunctions.OSRRef(P22))</f>
        <v>#NAME?</v>
      </c>
      <c r="Q20" s="20"/>
      <c r="R20" s="32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2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2" t="e">
        <f t="shared" ref="Z20:Z22" ca="1" si="19">IF(T20=0,0,X20/T20)</f>
        <v>#NAME?</v>
      </c>
    </row>
    <row r="21" spans="1:26" s="27" customFormat="1" outlineLevel="1" collapsed="1" x14ac:dyDescent="0.25">
      <c r="A21" s="26"/>
      <c r="B21" s="12" t="e">
        <f ca="1">CONCATENATE("     ",_xll.OneStop.ReportPlayer.OSRFunctions.OSRGet("d_Account","AccountCategory"))</f>
        <v>#NAME?</v>
      </c>
      <c r="C21" s="12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2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3" customFormat="1" hidden="1" outlineLevel="2" x14ac:dyDescent="0.25">
      <c r="A22" s="25"/>
      <c r="B22" s="10" t="e">
        <f ca="1">CONCATENATE("          ", _xll.OneStop.ReportPlayer.OSRFunctions.OSRGet("d_Account","Code"), " - ", _xll.OneStop.ReportPlayer.OSRFunctions.OSRGet("d_Account","Description"))</f>
        <v>#NAME?</v>
      </c>
      <c r="C22" s="10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0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2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4" customFormat="1" collapsed="1" x14ac:dyDescent="0.25">
      <c r="A24" s="11"/>
      <c r="B24" s="29" t="s">
        <v>292</v>
      </c>
      <c r="C24" s="11"/>
      <c r="D24" s="4" t="e">
        <f ca="1">SUM(_xll.OneStop.ReportPlayer.OSRFunctions.OSRRef(D25))</f>
        <v>#NAME?</v>
      </c>
      <c r="E24" s="4"/>
      <c r="F24" s="13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3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3" t="e">
        <f t="shared" ref="N24:N25" ca="1" si="23">IF(H24=0,0,L24/H24)</f>
        <v>#NAME?</v>
      </c>
      <c r="O24" s="11"/>
      <c r="P24" s="4" t="e">
        <f ca="1">SUM(_xll.OneStop.ReportPlayer.OSRFunctions.OSRRef(P25))</f>
        <v>#NAME?</v>
      </c>
      <c r="Q24" s="4"/>
      <c r="R24" s="13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3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3" t="e">
        <f t="shared" ref="Z24:Z25" ca="1" si="27">IF(T24=0,0,X24/T24)</f>
        <v>#NAME?</v>
      </c>
    </row>
    <row r="25" spans="1:26" s="23" customFormat="1" hidden="1" outlineLevel="1" x14ac:dyDescent="0.25">
      <c r="A25" s="44"/>
      <c r="B25" s="10" t="e">
        <f ca="1">CONCATENATE("          ", _xll.OneStop.ReportPlayer.OSRFunctions.OSRGet("d_Account","Code"), " - ", _xll.OneStop.ReportPlayer.OSRFunctions.OSRGet("d_Account","Description"))</f>
        <v>#NAME?</v>
      </c>
      <c r="C25" s="10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0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1"/>
      <c r="C26" s="11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1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4" customFormat="1" x14ac:dyDescent="0.25">
      <c r="A27" s="11"/>
      <c r="B27" s="28" t="s">
        <v>276</v>
      </c>
      <c r="C27" s="28"/>
      <c r="D27" s="21" t="e">
        <f ca="1">+D18-D20+D24</f>
        <v>#NAME?</v>
      </c>
      <c r="E27" s="14"/>
      <c r="F27" s="22" t="e">
        <f ca="1">IF(D$12=0,0,D27/D$12)</f>
        <v>#NAME?</v>
      </c>
      <c r="G27" s="14"/>
      <c r="H27" s="21" t="e">
        <f ca="1">+H18-H20+H24</f>
        <v>#NAME?</v>
      </c>
      <c r="I27" s="14"/>
      <c r="J27" s="22" t="e">
        <f ca="1">IF(H$12=0,0,H27/H$12)</f>
        <v>#NAME?</v>
      </c>
      <c r="K27" s="15"/>
      <c r="L27" s="21" t="e">
        <f ca="1">+D27-H27</f>
        <v>#NAME?</v>
      </c>
      <c r="M27" s="15"/>
      <c r="N27" s="22" t="e">
        <f ca="1">IF(H27=0,0,L27/H27)</f>
        <v>#NAME?</v>
      </c>
      <c r="O27" s="29"/>
      <c r="P27" s="21" t="e">
        <f ca="1">+P18-P20+P24</f>
        <v>#NAME?</v>
      </c>
      <c r="Q27" s="14"/>
      <c r="R27" s="22" t="e">
        <f ca="1">IF(P$12=0,0,P27/P$12)</f>
        <v>#NAME?</v>
      </c>
      <c r="S27" s="14"/>
      <c r="T27" s="21" t="e">
        <f ca="1">+T18-T20+T24</f>
        <v>#NAME?</v>
      </c>
      <c r="U27" s="14"/>
      <c r="V27" s="22" t="e">
        <f ca="1">IF(T$12=0,0,T27/T$12)</f>
        <v>#NAME?</v>
      </c>
      <c r="W27" s="15"/>
      <c r="X27" s="21" t="e">
        <f ca="1">+P27-T27</f>
        <v>#NAME?</v>
      </c>
      <c r="Y27" s="15"/>
      <c r="Z27" s="22" t="e">
        <f ca="1">IF(T27=0,0,X27/T27)</f>
        <v>#NAME?</v>
      </c>
    </row>
    <row r="28" spans="1:26" x14ac:dyDescent="0.25">
      <c r="A28" s="9"/>
      <c r="B28" s="11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4" customFormat="1" x14ac:dyDescent="0.25">
      <c r="A29" s="51"/>
      <c r="B29" s="11" t="s">
        <v>127</v>
      </c>
      <c r="C29" s="11"/>
      <c r="D29" s="4" t="e">
        <f ca="1">_xll.OneStop.ReportPlayer.OSRFunctions.OSRGet("GL_F_Trans","Value1")</f>
        <v>#NAME?</v>
      </c>
      <c r="E29" s="4"/>
      <c r="F29" s="13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3" t="e">
        <f ca="1">IF(H$12=0,0,H29/H$12)</f>
        <v>#NAME?</v>
      </c>
      <c r="K29" s="4"/>
      <c r="L29" s="4" t="e">
        <f ca="1">+D29-H29</f>
        <v>#NAME?</v>
      </c>
      <c r="M29" s="4"/>
      <c r="N29" s="13" t="e">
        <f ca="1">IF(H29=0,0,L29/H29)</f>
        <v>#NAME?</v>
      </c>
      <c r="O29" s="11"/>
      <c r="P29" s="4" t="e">
        <f ca="1">_xll.OneStop.ReportPlayer.OSRFunctions.OSRGet("GL_F_Trans","Value1")</f>
        <v>#NAME?</v>
      </c>
      <c r="Q29" s="4"/>
      <c r="R29" s="13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3" t="e">
        <f ca="1">IF(T$12=0,0,T29/T$12)</f>
        <v>#NAME?</v>
      </c>
      <c r="W29" s="4"/>
      <c r="X29" s="4" t="e">
        <f ca="1">+P29-T29</f>
        <v>#NAME?</v>
      </c>
      <c r="Y29" s="4"/>
      <c r="Z29" s="13" t="e">
        <f ca="1">IF(T29=0,0,X29/T29)</f>
        <v>#NAME?</v>
      </c>
    </row>
    <row r="30" spans="1:26" x14ac:dyDescent="0.25">
      <c r="A30" s="9"/>
      <c r="B30" s="11"/>
      <c r="C30" s="11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1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4" customFormat="1" ht="15.75" thickBot="1" x14ac:dyDescent="0.3">
      <c r="A31" s="11"/>
      <c r="B31" s="28" t="s">
        <v>125</v>
      </c>
      <c r="C31" s="28"/>
      <c r="D31" s="34" t="e">
        <f ca="1">+D27-D29</f>
        <v>#NAME?</v>
      </c>
      <c r="E31" s="14"/>
      <c r="F31" s="31" t="e">
        <f ca="1">IF(D$12=0,0,D31/D$12)</f>
        <v>#NAME?</v>
      </c>
      <c r="G31" s="14"/>
      <c r="H31" s="34" t="e">
        <f ca="1">+H27-H29</f>
        <v>#NAME?</v>
      </c>
      <c r="I31" s="14"/>
      <c r="J31" s="31" t="e">
        <f ca="1">IF(H$12=0,0,H31/H$12)</f>
        <v>#NAME?</v>
      </c>
      <c r="K31" s="15"/>
      <c r="L31" s="34" t="e">
        <f ca="1">D31-H31</f>
        <v>#NAME?</v>
      </c>
      <c r="M31" s="15"/>
      <c r="N31" s="31" t="e">
        <f ca="1">IF(H31=0,0,L31/H31)</f>
        <v>#NAME?</v>
      </c>
      <c r="O31" s="29"/>
      <c r="P31" s="34" t="e">
        <f ca="1">+P27-P29</f>
        <v>#NAME?</v>
      </c>
      <c r="Q31" s="14"/>
      <c r="R31" s="31" t="e">
        <f ca="1">IF(P$12=0,0,P31/P$12)</f>
        <v>#NAME?</v>
      </c>
      <c r="S31" s="14"/>
      <c r="T31" s="34" t="e">
        <f ca="1">+T27-T29</f>
        <v>#NAME?</v>
      </c>
      <c r="U31" s="14"/>
      <c r="V31" s="31" t="e">
        <f ca="1">IF(T$12=0,0,T31/T$12)</f>
        <v>#NAME?</v>
      </c>
      <c r="W31" s="15"/>
      <c r="X31" s="34" t="e">
        <f ca="1">P31-T31</f>
        <v>#NAME?</v>
      </c>
      <c r="Y31" s="15"/>
      <c r="Z31" s="31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4" customFormat="1" x14ac:dyDescent="0.25">
      <c r="A33" s="51"/>
      <c r="B33" s="11" t="s">
        <v>183</v>
      </c>
      <c r="C33" s="11"/>
      <c r="D33" s="4" t="e">
        <f ca="1">-_xll.OneStop.ReportPlayer.OSRFunctions.OSRGet("GL_F_Trans","Value1")</f>
        <v>#NAME?</v>
      </c>
      <c r="E33" s="4"/>
      <c r="F33" s="13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3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3" t="e">
        <f t="shared" ref="N33:N34" ca="1" si="31">IF(H33=0,0,L33/H33)</f>
        <v>#NAME?</v>
      </c>
      <c r="O33" s="11"/>
      <c r="P33" s="4" t="e">
        <f ca="1">-_xll.OneStop.ReportPlayer.OSRFunctions.OSRGet("GL_F_Trans","Value1")</f>
        <v>#NAME?</v>
      </c>
      <c r="Q33" s="4"/>
      <c r="R33" s="13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3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3" t="e">
        <f t="shared" ref="Z33:Z34" ca="1" si="35">IF(T33=0,0,X33/T33)</f>
        <v>#NAME?</v>
      </c>
    </row>
    <row r="34" spans="1:26" s="24" customFormat="1" x14ac:dyDescent="0.25">
      <c r="A34" s="51"/>
      <c r="B34" s="11" t="s">
        <v>81</v>
      </c>
      <c r="C34" s="11"/>
      <c r="D34" s="4" t="e">
        <f ca="1">-_xll.OneStop.ReportPlayer.OSRFunctions.OSRGet("GL_F_Trans","Value1")</f>
        <v>#NAME?</v>
      </c>
      <c r="E34" s="4"/>
      <c r="F34" s="13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3" t="e">
        <f t="shared" ca="1" si="29"/>
        <v>#NAME?</v>
      </c>
      <c r="K34" s="4"/>
      <c r="L34" s="4" t="e">
        <f t="shared" ca="1" si="30"/>
        <v>#NAME?</v>
      </c>
      <c r="M34" s="4"/>
      <c r="N34" s="13" t="e">
        <f t="shared" ca="1" si="31"/>
        <v>#NAME?</v>
      </c>
      <c r="O34" s="11"/>
      <c r="P34" s="4" t="e">
        <f ca="1">-_xll.OneStop.ReportPlayer.OSRFunctions.OSRGet("GL_F_Trans","Value1")</f>
        <v>#NAME?</v>
      </c>
      <c r="Q34" s="4"/>
      <c r="R34" s="13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3" t="e">
        <f t="shared" ca="1" si="33"/>
        <v>#NAME?</v>
      </c>
      <c r="W34" s="4"/>
      <c r="X34" s="4" t="e">
        <f t="shared" ca="1" si="34"/>
        <v>#NAME?</v>
      </c>
      <c r="Y34" s="4"/>
      <c r="Z34" s="13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4" customFormat="1" ht="15.75" thickBot="1" x14ac:dyDescent="0.3">
      <c r="A36" s="11"/>
      <c r="B36" s="28" t="s">
        <v>293</v>
      </c>
      <c r="C36" s="28"/>
      <c r="D36" s="33" t="e">
        <f ca="1">SUM(D31:D35)</f>
        <v>#NAME?</v>
      </c>
      <c r="E36" s="14"/>
      <c r="F36" s="35" t="e">
        <f ca="1">IF(D$12=0,0,D36/D$12)</f>
        <v>#NAME?</v>
      </c>
      <c r="G36" s="14"/>
      <c r="H36" s="33" t="e">
        <f ca="1">SUM(H31:H35)</f>
        <v>#NAME?</v>
      </c>
      <c r="I36" s="14"/>
      <c r="J36" s="35" t="e">
        <f ca="1">IF(H$12=0,0,H36/H$12)</f>
        <v>#NAME?</v>
      </c>
      <c r="K36" s="15"/>
      <c r="L36" s="33" t="e">
        <f ca="1">+D36-H36</f>
        <v>#NAME?</v>
      </c>
      <c r="M36" s="15"/>
      <c r="N36" s="35" t="e">
        <f ca="1">IF(H36=0,0,L36/H36)</f>
        <v>#NAME?</v>
      </c>
      <c r="O36" s="29"/>
      <c r="P36" s="33" t="e">
        <f ca="1">SUM(P31:P35)</f>
        <v>#NAME?</v>
      </c>
      <c r="Q36" s="14"/>
      <c r="R36" s="35" t="e">
        <f ca="1">IF(P$12=0,0,P36/P$12)</f>
        <v>#NAME?</v>
      </c>
      <c r="S36" s="14"/>
      <c r="T36" s="33" t="e">
        <f ca="1">SUM(T31:T35)</f>
        <v>#NAME?</v>
      </c>
      <c r="U36" s="14"/>
      <c r="V36" s="35" t="e">
        <f ca="1">IF(T$12=0,0,T36/T$12)</f>
        <v>#NAME?</v>
      </c>
      <c r="W36" s="15"/>
      <c r="X36" s="33" t="e">
        <f ca="1">+P36-T36</f>
        <v>#NAME?</v>
      </c>
      <c r="Y36" s="15"/>
      <c r="Z36" s="35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56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55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60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62" t="s">
        <v>23</v>
      </c>
    </row>
    <row r="3" spans="1:26" x14ac:dyDescent="0.25">
      <c r="D3" s="62" t="s">
        <v>236</v>
      </c>
      <c r="E3" s="17"/>
      <c r="F3" s="46"/>
      <c r="G3" s="17"/>
      <c r="H3" s="17"/>
      <c r="I3" s="17"/>
      <c r="J3" s="38"/>
      <c r="K3" s="17"/>
      <c r="L3" s="17"/>
      <c r="M3" s="17"/>
      <c r="N3" s="46"/>
      <c r="O3" s="53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2" t="e">
        <f ca="1">CONCATENATE("Period ",RIGHT(_xll.OneStop.ReportPlayer.OSRFunctions.OSRGet("Period","PeriodId"),2),", ",_xll.OneStop.ReportPlayer.OSRFunctions.OSRGet("Period","Year"))</f>
        <v>#NAME?</v>
      </c>
      <c r="E4" s="17"/>
      <c r="F4" s="46"/>
      <c r="G4" s="17"/>
      <c r="H4" s="17"/>
      <c r="I4" s="17"/>
      <c r="J4" s="38"/>
      <c r="K4" s="17"/>
      <c r="L4" s="17"/>
      <c r="M4" s="17"/>
      <c r="N4" s="46"/>
      <c r="O4" s="53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4"/>
      <c r="D5" s="64" t="e">
        <f ca="1">_xll.OneStop.ReportPlayer.OSRFunctions.OSRGet("Period","PeriodEnd")</f>
        <v>#NAME?</v>
      </c>
      <c r="E5" s="17"/>
      <c r="F5" s="46"/>
      <c r="G5" s="17"/>
      <c r="H5" s="17"/>
      <c r="I5" s="17"/>
      <c r="J5" s="38"/>
      <c r="K5" s="17"/>
      <c r="L5" s="17"/>
      <c r="M5" s="17"/>
      <c r="N5" s="46"/>
      <c r="O5" s="53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4"/>
      <c r="B6" s="48"/>
      <c r="C6" s="48"/>
      <c r="D6" s="24" t="s">
        <v>105</v>
      </c>
      <c r="E6" s="17"/>
      <c r="F6" s="46"/>
      <c r="G6" s="17"/>
      <c r="H6" s="17"/>
      <c r="I6" s="17"/>
      <c r="J6" s="38"/>
      <c r="K6" s="17"/>
      <c r="L6" s="17"/>
      <c r="M6" s="17"/>
      <c r="N6" s="46"/>
      <c r="O6" s="54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9"/>
    </row>
    <row r="8" spans="1:26" x14ac:dyDescent="0.25">
      <c r="B8" s="59"/>
    </row>
    <row r="9" spans="1:26" x14ac:dyDescent="0.25">
      <c r="B9" s="9"/>
      <c r="C9" s="9"/>
      <c r="D9" s="16" t="s">
        <v>291</v>
      </c>
      <c r="E9" s="16"/>
      <c r="F9" s="39"/>
      <c r="G9" s="16"/>
      <c r="H9" s="16"/>
      <c r="I9" s="16"/>
      <c r="J9" s="49"/>
      <c r="K9" s="16"/>
      <c r="L9" s="16"/>
      <c r="M9" s="16"/>
      <c r="N9" s="39"/>
      <c r="P9" s="16" t="s">
        <v>39</v>
      </c>
      <c r="Q9" s="16"/>
      <c r="R9" s="39"/>
      <c r="S9" s="16"/>
      <c r="T9" s="16"/>
      <c r="U9" s="16"/>
      <c r="V9" s="49"/>
      <c r="W9" s="16"/>
      <c r="X9" s="16"/>
      <c r="Y9" s="16"/>
      <c r="Z9" s="39"/>
    </row>
    <row r="10" spans="1:26" x14ac:dyDescent="0.25">
      <c r="A10" s="11"/>
      <c r="B10" s="58"/>
      <c r="C10" s="11"/>
      <c r="D10" s="42" t="s">
        <v>57</v>
      </c>
      <c r="E10" s="36"/>
      <c r="F10" s="30" t="s">
        <v>40</v>
      </c>
      <c r="G10" s="36"/>
      <c r="H10" s="50" t="s">
        <v>237</v>
      </c>
      <c r="I10" s="36"/>
      <c r="J10" s="30" t="s">
        <v>40</v>
      </c>
      <c r="K10" s="11"/>
      <c r="L10" s="42" t="s">
        <v>126</v>
      </c>
      <c r="M10" s="11"/>
      <c r="N10" s="30" t="s">
        <v>257</v>
      </c>
      <c r="O10" s="11"/>
      <c r="P10" s="61" t="s">
        <v>57</v>
      </c>
      <c r="Q10" s="36"/>
      <c r="R10" s="30" t="s">
        <v>40</v>
      </c>
      <c r="S10" s="36"/>
      <c r="T10" s="50" t="s">
        <v>237</v>
      </c>
      <c r="U10" s="36"/>
      <c r="V10" s="30" t="s">
        <v>40</v>
      </c>
      <c r="W10" s="11"/>
      <c r="X10" s="42" t="s">
        <v>126</v>
      </c>
      <c r="Y10" s="11"/>
      <c r="Z10" s="30" t="s">
        <v>257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4" customFormat="1" collapsed="1" x14ac:dyDescent="0.25">
      <c r="A12" s="11"/>
      <c r="B12" s="29" t="s">
        <v>139</v>
      </c>
      <c r="C12" s="11"/>
      <c r="D12" s="4" t="e">
        <f ca="1">SUM(_xll.OneStop.ReportPlayer.OSRFunctions.OSRRef(D13))</f>
        <v>#NAME?</v>
      </c>
      <c r="E12" s="4"/>
      <c r="F12" s="13"/>
      <c r="G12" s="4"/>
      <c r="H12" s="4" t="e">
        <f ca="1">SUM(_xll.OneStop.ReportPlayer.OSRFunctions.OSRRef(H13))</f>
        <v>#NAME?</v>
      </c>
      <c r="I12" s="4"/>
      <c r="J12" s="13"/>
      <c r="K12" s="4"/>
      <c r="L12" s="4" t="e">
        <f t="shared" ref="L12:L13" ca="1" si="0">+D12-H12</f>
        <v>#NAME?</v>
      </c>
      <c r="M12" s="4"/>
      <c r="N12" s="13" t="e">
        <f t="shared" ref="N12:N13" ca="1" si="1">IF(H12=0,0,L12/H12)</f>
        <v>#NAME?</v>
      </c>
      <c r="O12" s="11"/>
      <c r="P12" s="4" t="e">
        <f ca="1">SUM(_xll.OneStop.ReportPlayer.OSRFunctions.OSRRef(P13))</f>
        <v>#NAME?</v>
      </c>
      <c r="Q12" s="4"/>
      <c r="R12" s="13"/>
      <c r="S12" s="4"/>
      <c r="T12" s="4" t="e">
        <f ca="1">SUM(_xll.OneStop.ReportPlayer.OSRFunctions.OSRRef(T13))</f>
        <v>#NAME?</v>
      </c>
      <c r="U12" s="4"/>
      <c r="V12" s="13"/>
      <c r="W12" s="4"/>
      <c r="X12" s="4" t="e">
        <f t="shared" ref="X12:X13" ca="1" si="2">+P12-T12</f>
        <v>#NAME?</v>
      </c>
      <c r="Y12" s="4"/>
      <c r="Z12" s="13" t="e">
        <f t="shared" ref="Z12:Z13" ca="1" si="3">IF(T12=0,0,X12/T12)</f>
        <v>#NAME?</v>
      </c>
    </row>
    <row r="13" spans="1:26" s="23" customFormat="1" hidden="1" outlineLevel="1" x14ac:dyDescent="0.25">
      <c r="A13" s="44"/>
      <c r="B13" s="10" t="e">
        <f ca="1">CONCATENATE("          ", _xll.OneStop.ReportPlayer.OSRFunctions.OSRGet("d_Account","Code"), " - ", _xll.OneStop.ReportPlayer.OSRFunctions.OSRGet("d_Account","Description"))</f>
        <v>#NAME?</v>
      </c>
      <c r="C13" s="10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0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1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4" customFormat="1" collapsed="1" x14ac:dyDescent="0.25">
      <c r="A15" s="11"/>
      <c r="B15" s="29" t="s">
        <v>256</v>
      </c>
      <c r="C15" s="11"/>
      <c r="D15" s="4" t="e">
        <f ca="1">SUM(_xll.OneStop.ReportPlayer.OSRFunctions.OSRRef(D16))</f>
        <v>#NAME?</v>
      </c>
      <c r="E15" s="4"/>
      <c r="F15" s="13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3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3" t="e">
        <f t="shared" ref="N15:N16" ca="1" si="7">IF(H15=0,0,L15/H15)</f>
        <v>#NAME?</v>
      </c>
      <c r="O15" s="11"/>
      <c r="P15" s="4" t="e">
        <f ca="1">SUM(_xll.OneStop.ReportPlayer.OSRFunctions.OSRRef(P16))</f>
        <v>#NAME?</v>
      </c>
      <c r="Q15" s="4"/>
      <c r="R15" s="13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3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3" t="e">
        <f t="shared" ref="Z15:Z16" ca="1" si="11">IF(T15=0,0,X15/T15)</f>
        <v>#NAME?</v>
      </c>
    </row>
    <row r="16" spans="1:26" s="23" customFormat="1" hidden="1" outlineLevel="1" x14ac:dyDescent="0.25">
      <c r="A16" s="44"/>
      <c r="B16" s="10" t="e">
        <f ca="1">CONCATENATE("          ", _xll.OneStop.ReportPlayer.OSRFunctions.OSRGet("d_Account","Code"), " - ", _xll.OneStop.ReportPlayer.OSRFunctions.OSRGet("d_Account","Description"))</f>
        <v>#NAME?</v>
      </c>
      <c r="C16" s="10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0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1"/>
      <c r="C17" s="11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1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4" customFormat="1" x14ac:dyDescent="0.25">
      <c r="A18" s="11"/>
      <c r="B18" s="28" t="s">
        <v>107</v>
      </c>
      <c r="C18" s="28"/>
      <c r="D18" s="21" t="e">
        <f ca="1">D12-D15</f>
        <v>#NAME?</v>
      </c>
      <c r="E18" s="14"/>
      <c r="F18" s="22" t="e">
        <f ca="1">IF(D$12=0,0,D18/D$12)</f>
        <v>#NAME?</v>
      </c>
      <c r="G18" s="14"/>
      <c r="H18" s="21" t="e">
        <f ca="1">H12-H15</f>
        <v>#NAME?</v>
      </c>
      <c r="I18" s="14"/>
      <c r="J18" s="22" t="e">
        <f ca="1">IF(H$12=0,0,H18/H$12)</f>
        <v>#NAME?</v>
      </c>
      <c r="K18" s="15"/>
      <c r="L18" s="21" t="e">
        <f ca="1">+D18-H18</f>
        <v>#NAME?</v>
      </c>
      <c r="M18" s="15"/>
      <c r="N18" s="22" t="e">
        <f ca="1">IF(H18=0,0,L18/H18)</f>
        <v>#NAME?</v>
      </c>
      <c r="O18" s="29"/>
      <c r="P18" s="21" t="e">
        <f ca="1">P12-P15</f>
        <v>#NAME?</v>
      </c>
      <c r="Q18" s="14"/>
      <c r="R18" s="22" t="e">
        <f ca="1">IF(P$12=0,0,P18/P$12)</f>
        <v>#NAME?</v>
      </c>
      <c r="S18" s="14"/>
      <c r="T18" s="21" t="e">
        <f ca="1">T12-T15</f>
        <v>#NAME?</v>
      </c>
      <c r="U18" s="14"/>
      <c r="V18" s="22" t="e">
        <f ca="1">IF(T$12=0,0,T18/T$12)</f>
        <v>#NAME?</v>
      </c>
      <c r="W18" s="15"/>
      <c r="X18" s="21" t="e">
        <f ca="1">+P18-T18</f>
        <v>#NAME?</v>
      </c>
      <c r="Y18" s="15"/>
      <c r="Z18" s="22" t="e">
        <f ca="1">IF(T18=0,0,X18/T18)</f>
        <v>#NAME?</v>
      </c>
    </row>
    <row r="19" spans="1:26" x14ac:dyDescent="0.25">
      <c r="A19" s="9"/>
      <c r="B19" s="11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4" customFormat="1" x14ac:dyDescent="0.25">
      <c r="A20" s="11"/>
      <c r="B20" s="29" t="s">
        <v>294</v>
      </c>
      <c r="C20" s="11"/>
      <c r="D20" s="20" t="e">
        <f ca="1">SUM(_xll.OneStop.ReportPlayer.OSRFunctions.OSRRef(D22))</f>
        <v>#NAME?</v>
      </c>
      <c r="E20" s="20"/>
      <c r="F20" s="32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2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2" t="e">
        <f t="shared" ref="N20:N22" ca="1" si="15">IF(H20=0,0,L20/H20)</f>
        <v>#NAME?</v>
      </c>
      <c r="O20" s="11"/>
      <c r="P20" s="20" t="e">
        <f ca="1">SUM(_xll.OneStop.ReportPlayer.OSRFunctions.OSRRef(P22))</f>
        <v>#NAME?</v>
      </c>
      <c r="Q20" s="20"/>
      <c r="R20" s="32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2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2" t="e">
        <f t="shared" ref="Z20:Z22" ca="1" si="19">IF(T20=0,0,X20/T20)</f>
        <v>#NAME?</v>
      </c>
    </row>
    <row r="21" spans="1:26" s="27" customFormat="1" outlineLevel="1" collapsed="1" x14ac:dyDescent="0.25">
      <c r="A21" s="26"/>
      <c r="B21" s="12" t="e">
        <f ca="1">CONCATENATE("     ",_xll.OneStop.ReportPlayer.OSRFunctions.OSRGet("d_Account","AccountCategory"))</f>
        <v>#NAME?</v>
      </c>
      <c r="C21" s="12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2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3" customFormat="1" hidden="1" outlineLevel="2" x14ac:dyDescent="0.25">
      <c r="A22" s="25"/>
      <c r="B22" s="10" t="e">
        <f ca="1">CONCATENATE("          ", _xll.OneStop.ReportPlayer.OSRFunctions.OSRGet("d_Account","Code"), " - ", _xll.OneStop.ReportPlayer.OSRFunctions.OSRGet("d_Account","Description"))</f>
        <v>#NAME?</v>
      </c>
      <c r="C22" s="10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0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2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4" customFormat="1" collapsed="1" x14ac:dyDescent="0.25">
      <c r="A24" s="11"/>
      <c r="B24" s="29" t="s">
        <v>292</v>
      </c>
      <c r="C24" s="11"/>
      <c r="D24" s="4" t="e">
        <f ca="1">SUM(_xll.OneStop.ReportPlayer.OSRFunctions.OSRRef(D25))</f>
        <v>#NAME?</v>
      </c>
      <c r="E24" s="4"/>
      <c r="F24" s="13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3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3" t="e">
        <f t="shared" ref="N24:N25" ca="1" si="23">IF(H24=0,0,L24/H24)</f>
        <v>#NAME?</v>
      </c>
      <c r="O24" s="11"/>
      <c r="P24" s="4" t="e">
        <f ca="1">SUM(_xll.OneStop.ReportPlayer.OSRFunctions.OSRRef(P25))</f>
        <v>#NAME?</v>
      </c>
      <c r="Q24" s="4"/>
      <c r="R24" s="13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3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3" t="e">
        <f t="shared" ref="Z24:Z25" ca="1" si="27">IF(T24=0,0,X24/T24)</f>
        <v>#NAME?</v>
      </c>
    </row>
    <row r="25" spans="1:26" s="23" customFormat="1" hidden="1" outlineLevel="1" x14ac:dyDescent="0.25">
      <c r="A25" s="44"/>
      <c r="B25" s="10" t="e">
        <f ca="1">CONCATENATE("          ", _xll.OneStop.ReportPlayer.OSRFunctions.OSRGet("d_Account","Code"), " - ", _xll.OneStop.ReportPlayer.OSRFunctions.OSRGet("d_Account","Description"))</f>
        <v>#NAME?</v>
      </c>
      <c r="C25" s="10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0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1"/>
      <c r="C26" s="11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1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4" customFormat="1" x14ac:dyDescent="0.25">
      <c r="A27" s="11"/>
      <c r="B27" s="28" t="s">
        <v>276</v>
      </c>
      <c r="C27" s="28"/>
      <c r="D27" s="21" t="e">
        <f ca="1">+D18-D20+D24</f>
        <v>#NAME?</v>
      </c>
      <c r="E27" s="14"/>
      <c r="F27" s="22" t="e">
        <f ca="1">IF(D$12=0,0,D27/D$12)</f>
        <v>#NAME?</v>
      </c>
      <c r="G27" s="14"/>
      <c r="H27" s="21" t="e">
        <f ca="1">+H18-H20+H24</f>
        <v>#NAME?</v>
      </c>
      <c r="I27" s="14"/>
      <c r="J27" s="22" t="e">
        <f ca="1">IF(H$12=0,0,H27/H$12)</f>
        <v>#NAME?</v>
      </c>
      <c r="K27" s="15"/>
      <c r="L27" s="21" t="e">
        <f ca="1">+D27-H27</f>
        <v>#NAME?</v>
      </c>
      <c r="M27" s="15"/>
      <c r="N27" s="22" t="e">
        <f ca="1">IF(H27=0,0,L27/H27)</f>
        <v>#NAME?</v>
      </c>
      <c r="O27" s="29"/>
      <c r="P27" s="21" t="e">
        <f ca="1">+P18-P20+P24</f>
        <v>#NAME?</v>
      </c>
      <c r="Q27" s="14"/>
      <c r="R27" s="22" t="e">
        <f ca="1">IF(P$12=0,0,P27/P$12)</f>
        <v>#NAME?</v>
      </c>
      <c r="S27" s="14"/>
      <c r="T27" s="21" t="e">
        <f ca="1">+T18-T20+T24</f>
        <v>#NAME?</v>
      </c>
      <c r="U27" s="14"/>
      <c r="V27" s="22" t="e">
        <f ca="1">IF(T$12=0,0,T27/T$12)</f>
        <v>#NAME?</v>
      </c>
      <c r="W27" s="15"/>
      <c r="X27" s="21" t="e">
        <f ca="1">+P27-T27</f>
        <v>#NAME?</v>
      </c>
      <c r="Y27" s="15"/>
      <c r="Z27" s="22" t="e">
        <f ca="1">IF(T27=0,0,X27/T27)</f>
        <v>#NAME?</v>
      </c>
    </row>
    <row r="28" spans="1:26" x14ac:dyDescent="0.25">
      <c r="A28" s="9"/>
      <c r="B28" s="11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4" customFormat="1" x14ac:dyDescent="0.25">
      <c r="A29" s="51"/>
      <c r="B29" s="11" t="s">
        <v>127</v>
      </c>
      <c r="C29" s="11"/>
      <c r="D29" s="4" t="e">
        <f ca="1">_xll.OneStop.ReportPlayer.OSRFunctions.OSRGet("GL_F_Trans","Value1")</f>
        <v>#NAME?</v>
      </c>
      <c r="E29" s="4"/>
      <c r="F29" s="13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3" t="e">
        <f ca="1">IF(H$12=0,0,H29/H$12)</f>
        <v>#NAME?</v>
      </c>
      <c r="K29" s="4"/>
      <c r="L29" s="4" t="e">
        <f ca="1">+D29-H29</f>
        <v>#NAME?</v>
      </c>
      <c r="M29" s="4"/>
      <c r="N29" s="13" t="e">
        <f ca="1">IF(H29=0,0,L29/H29)</f>
        <v>#NAME?</v>
      </c>
      <c r="O29" s="11"/>
      <c r="P29" s="4" t="e">
        <f ca="1">_xll.OneStop.ReportPlayer.OSRFunctions.OSRGet("GL_F_Trans","Value1")</f>
        <v>#NAME?</v>
      </c>
      <c r="Q29" s="4"/>
      <c r="R29" s="13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3" t="e">
        <f ca="1">IF(T$12=0,0,T29/T$12)</f>
        <v>#NAME?</v>
      </c>
      <c r="W29" s="4"/>
      <c r="X29" s="4" t="e">
        <f ca="1">+P29-T29</f>
        <v>#NAME?</v>
      </c>
      <c r="Y29" s="4"/>
      <c r="Z29" s="13" t="e">
        <f ca="1">IF(T29=0,0,X29/T29)</f>
        <v>#NAME?</v>
      </c>
    </row>
    <row r="30" spans="1:26" x14ac:dyDescent="0.25">
      <c r="A30" s="9"/>
      <c r="B30" s="11"/>
      <c r="C30" s="11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1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4" customFormat="1" ht="15.75" thickBot="1" x14ac:dyDescent="0.3">
      <c r="A31" s="11"/>
      <c r="B31" s="28" t="s">
        <v>125</v>
      </c>
      <c r="C31" s="28"/>
      <c r="D31" s="34" t="e">
        <f ca="1">+D27-D29</f>
        <v>#NAME?</v>
      </c>
      <c r="E31" s="14"/>
      <c r="F31" s="31" t="e">
        <f ca="1">IF(D$12=0,0,D31/D$12)</f>
        <v>#NAME?</v>
      </c>
      <c r="G31" s="14"/>
      <c r="H31" s="34" t="e">
        <f ca="1">+H27-H29</f>
        <v>#NAME?</v>
      </c>
      <c r="I31" s="14"/>
      <c r="J31" s="31" t="e">
        <f ca="1">IF(H$12=0,0,H31/H$12)</f>
        <v>#NAME?</v>
      </c>
      <c r="K31" s="15"/>
      <c r="L31" s="34" t="e">
        <f ca="1">D31-H31</f>
        <v>#NAME?</v>
      </c>
      <c r="M31" s="15"/>
      <c r="N31" s="31" t="e">
        <f ca="1">IF(H31=0,0,L31/H31)</f>
        <v>#NAME?</v>
      </c>
      <c r="O31" s="29"/>
      <c r="P31" s="34" t="e">
        <f ca="1">+P27-P29</f>
        <v>#NAME?</v>
      </c>
      <c r="Q31" s="14"/>
      <c r="R31" s="31" t="e">
        <f ca="1">IF(P$12=0,0,P31/P$12)</f>
        <v>#NAME?</v>
      </c>
      <c r="S31" s="14"/>
      <c r="T31" s="34" t="e">
        <f ca="1">+T27-T29</f>
        <v>#NAME?</v>
      </c>
      <c r="U31" s="14"/>
      <c r="V31" s="31" t="e">
        <f ca="1">IF(T$12=0,0,T31/T$12)</f>
        <v>#NAME?</v>
      </c>
      <c r="W31" s="15"/>
      <c r="X31" s="34" t="e">
        <f ca="1">P31-T31</f>
        <v>#NAME?</v>
      </c>
      <c r="Y31" s="15"/>
      <c r="Z31" s="31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4" customFormat="1" x14ac:dyDescent="0.25">
      <c r="A33" s="51"/>
      <c r="B33" s="11" t="s">
        <v>183</v>
      </c>
      <c r="C33" s="11"/>
      <c r="D33" s="4" t="e">
        <f ca="1">-_xll.OneStop.ReportPlayer.OSRFunctions.OSRGet("GL_F_Trans","Value1")</f>
        <v>#NAME?</v>
      </c>
      <c r="E33" s="4"/>
      <c r="F33" s="13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3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3" t="e">
        <f t="shared" ref="N33:N34" ca="1" si="31">IF(H33=0,0,L33/H33)</f>
        <v>#NAME?</v>
      </c>
      <c r="O33" s="11"/>
      <c r="P33" s="4" t="e">
        <f ca="1">-_xll.OneStop.ReportPlayer.OSRFunctions.OSRGet("GL_F_Trans","Value1")</f>
        <v>#NAME?</v>
      </c>
      <c r="Q33" s="4"/>
      <c r="R33" s="13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3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3" t="e">
        <f t="shared" ref="Z33:Z34" ca="1" si="35">IF(T33=0,0,X33/T33)</f>
        <v>#NAME?</v>
      </c>
    </row>
    <row r="34" spans="1:26" s="24" customFormat="1" x14ac:dyDescent="0.25">
      <c r="A34" s="51"/>
      <c r="B34" s="11" t="s">
        <v>81</v>
      </c>
      <c r="C34" s="11"/>
      <c r="D34" s="4" t="e">
        <f ca="1">-_xll.OneStop.ReportPlayer.OSRFunctions.OSRGet("GL_F_Trans","Value1")</f>
        <v>#NAME?</v>
      </c>
      <c r="E34" s="4"/>
      <c r="F34" s="13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3" t="e">
        <f t="shared" ca="1" si="29"/>
        <v>#NAME?</v>
      </c>
      <c r="K34" s="4"/>
      <c r="L34" s="4" t="e">
        <f t="shared" ca="1" si="30"/>
        <v>#NAME?</v>
      </c>
      <c r="M34" s="4"/>
      <c r="N34" s="13" t="e">
        <f t="shared" ca="1" si="31"/>
        <v>#NAME?</v>
      </c>
      <c r="O34" s="11"/>
      <c r="P34" s="4" t="e">
        <f ca="1">-_xll.OneStop.ReportPlayer.OSRFunctions.OSRGet("GL_F_Trans","Value1")</f>
        <v>#NAME?</v>
      </c>
      <c r="Q34" s="4"/>
      <c r="R34" s="13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3" t="e">
        <f t="shared" ca="1" si="33"/>
        <v>#NAME?</v>
      </c>
      <c r="W34" s="4"/>
      <c r="X34" s="4" t="e">
        <f t="shared" ca="1" si="34"/>
        <v>#NAME?</v>
      </c>
      <c r="Y34" s="4"/>
      <c r="Z34" s="13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4" customFormat="1" ht="15.75" thickBot="1" x14ac:dyDescent="0.3">
      <c r="A36" s="11"/>
      <c r="B36" s="28" t="s">
        <v>293</v>
      </c>
      <c r="C36" s="28"/>
      <c r="D36" s="33" t="e">
        <f ca="1">SUM(D31:D35)</f>
        <v>#NAME?</v>
      </c>
      <c r="E36" s="14"/>
      <c r="F36" s="35" t="e">
        <f ca="1">IF(D$12=0,0,D36/D$12)</f>
        <v>#NAME?</v>
      </c>
      <c r="G36" s="14"/>
      <c r="H36" s="33" t="e">
        <f ca="1">SUM(H31:H35)</f>
        <v>#NAME?</v>
      </c>
      <c r="I36" s="14"/>
      <c r="J36" s="35" t="e">
        <f ca="1">IF(H$12=0,0,H36/H$12)</f>
        <v>#NAME?</v>
      </c>
      <c r="K36" s="15"/>
      <c r="L36" s="33" t="e">
        <f ca="1">+D36-H36</f>
        <v>#NAME?</v>
      </c>
      <c r="M36" s="15"/>
      <c r="N36" s="35" t="e">
        <f ca="1">IF(H36=0,0,L36/H36)</f>
        <v>#NAME?</v>
      </c>
      <c r="O36" s="29"/>
      <c r="P36" s="33" t="e">
        <f ca="1">SUM(P31:P35)</f>
        <v>#NAME?</v>
      </c>
      <c r="Q36" s="14"/>
      <c r="R36" s="35" t="e">
        <f ca="1">IF(P$12=0,0,P36/P$12)</f>
        <v>#NAME?</v>
      </c>
      <c r="S36" s="14"/>
      <c r="T36" s="33" t="e">
        <f ca="1">SUM(T31:T35)</f>
        <v>#NAME?</v>
      </c>
      <c r="U36" s="14"/>
      <c r="V36" s="35" t="e">
        <f ca="1">IF(T$12=0,0,T36/T$12)</f>
        <v>#NAME?</v>
      </c>
      <c r="W36" s="15"/>
      <c r="X36" s="33" t="e">
        <f ca="1">+P36-T36</f>
        <v>#NAME?</v>
      </c>
      <c r="Y36" s="15"/>
      <c r="Z36" s="35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56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55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60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62" t="s">
        <v>23</v>
      </c>
    </row>
    <row r="3" spans="1:26" x14ac:dyDescent="0.25">
      <c r="D3" s="62" t="s">
        <v>236</v>
      </c>
      <c r="E3" s="17"/>
      <c r="F3" s="46"/>
      <c r="G3" s="17"/>
      <c r="H3" s="17"/>
      <c r="I3" s="17"/>
      <c r="J3" s="38"/>
      <c r="K3" s="17"/>
      <c r="L3" s="17"/>
      <c r="M3" s="17"/>
      <c r="N3" s="46"/>
      <c r="O3" s="53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2" t="e">
        <f ca="1">CONCATENATE("Period ",RIGHT(_xll.OneStop.ReportPlayer.OSRFunctions.OSRGet("Period","PeriodId"),2),", ",_xll.OneStop.ReportPlayer.OSRFunctions.OSRGet("Period","Year"))</f>
        <v>#NAME?</v>
      </c>
      <c r="E4" s="17"/>
      <c r="F4" s="46"/>
      <c r="G4" s="17"/>
      <c r="H4" s="17"/>
      <c r="I4" s="17"/>
      <c r="J4" s="38"/>
      <c r="K4" s="17"/>
      <c r="L4" s="17"/>
      <c r="M4" s="17"/>
      <c r="N4" s="46"/>
      <c r="O4" s="53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4"/>
      <c r="D5" s="64" t="e">
        <f ca="1">_xll.OneStop.ReportPlayer.OSRFunctions.OSRGet("Period","PeriodEnd")</f>
        <v>#NAME?</v>
      </c>
      <c r="E5" s="17"/>
      <c r="F5" s="46"/>
      <c r="G5" s="17"/>
      <c r="H5" s="17"/>
      <c r="I5" s="17"/>
      <c r="J5" s="38"/>
      <c r="K5" s="17"/>
      <c r="L5" s="17"/>
      <c r="M5" s="17"/>
      <c r="N5" s="46"/>
      <c r="O5" s="53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4"/>
      <c r="B6" s="48"/>
      <c r="C6" s="48"/>
      <c r="D6" s="24" t="s">
        <v>105</v>
      </c>
      <c r="E6" s="17"/>
      <c r="F6" s="46"/>
      <c r="G6" s="17"/>
      <c r="H6" s="17"/>
      <c r="I6" s="17"/>
      <c r="J6" s="38"/>
      <c r="K6" s="17"/>
      <c r="L6" s="17"/>
      <c r="M6" s="17"/>
      <c r="N6" s="46"/>
      <c r="O6" s="54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9"/>
    </row>
    <row r="8" spans="1:26" x14ac:dyDescent="0.25">
      <c r="B8" s="59"/>
    </row>
    <row r="9" spans="1:26" x14ac:dyDescent="0.25">
      <c r="B9" s="9"/>
      <c r="C9" s="9"/>
      <c r="D9" s="16" t="s">
        <v>291</v>
      </c>
      <c r="E9" s="16"/>
      <c r="F9" s="39"/>
      <c r="G9" s="16"/>
      <c r="H9" s="16"/>
      <c r="I9" s="16"/>
      <c r="J9" s="49"/>
      <c r="K9" s="16"/>
      <c r="L9" s="16"/>
      <c r="M9" s="16"/>
      <c r="N9" s="39"/>
      <c r="P9" s="16" t="s">
        <v>39</v>
      </c>
      <c r="Q9" s="16"/>
      <c r="R9" s="39"/>
      <c r="S9" s="16"/>
      <c r="T9" s="16"/>
      <c r="U9" s="16"/>
      <c r="V9" s="49"/>
      <c r="W9" s="16"/>
      <c r="X9" s="16"/>
      <c r="Y9" s="16"/>
      <c r="Z9" s="39"/>
    </row>
    <row r="10" spans="1:26" x14ac:dyDescent="0.25">
      <c r="A10" s="11"/>
      <c r="B10" s="58"/>
      <c r="C10" s="11"/>
      <c r="D10" s="42" t="s">
        <v>57</v>
      </c>
      <c r="E10" s="36"/>
      <c r="F10" s="30" t="s">
        <v>40</v>
      </c>
      <c r="G10" s="36"/>
      <c r="H10" s="50" t="s">
        <v>237</v>
      </c>
      <c r="I10" s="36"/>
      <c r="J10" s="30" t="s">
        <v>40</v>
      </c>
      <c r="K10" s="11"/>
      <c r="L10" s="42" t="s">
        <v>126</v>
      </c>
      <c r="M10" s="11"/>
      <c r="N10" s="30" t="s">
        <v>257</v>
      </c>
      <c r="O10" s="11"/>
      <c r="P10" s="61" t="s">
        <v>57</v>
      </c>
      <c r="Q10" s="36"/>
      <c r="R10" s="30" t="s">
        <v>40</v>
      </c>
      <c r="S10" s="36"/>
      <c r="T10" s="50" t="s">
        <v>237</v>
      </c>
      <c r="U10" s="36"/>
      <c r="V10" s="30" t="s">
        <v>40</v>
      </c>
      <c r="W10" s="11"/>
      <c r="X10" s="42" t="s">
        <v>126</v>
      </c>
      <c r="Y10" s="11"/>
      <c r="Z10" s="30" t="s">
        <v>257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4" customFormat="1" collapsed="1" x14ac:dyDescent="0.25">
      <c r="A12" s="11"/>
      <c r="B12" s="29" t="s">
        <v>139</v>
      </c>
      <c r="C12" s="11"/>
      <c r="D12" s="4" t="e">
        <f ca="1">SUM(_xll.OneStop.ReportPlayer.OSRFunctions.OSRRef(D13))</f>
        <v>#NAME?</v>
      </c>
      <c r="E12" s="4"/>
      <c r="F12" s="13"/>
      <c r="G12" s="4"/>
      <c r="H12" s="4" t="e">
        <f ca="1">SUM(_xll.OneStop.ReportPlayer.OSRFunctions.OSRRef(H13))</f>
        <v>#NAME?</v>
      </c>
      <c r="I12" s="4"/>
      <c r="J12" s="13"/>
      <c r="K12" s="4"/>
      <c r="L12" s="4" t="e">
        <f t="shared" ref="L12:L13" ca="1" si="0">+D12-H12</f>
        <v>#NAME?</v>
      </c>
      <c r="M12" s="4"/>
      <c r="N12" s="13" t="e">
        <f t="shared" ref="N12:N13" ca="1" si="1">IF(H12=0,0,L12/H12)</f>
        <v>#NAME?</v>
      </c>
      <c r="O12" s="11"/>
      <c r="P12" s="4" t="e">
        <f ca="1">SUM(_xll.OneStop.ReportPlayer.OSRFunctions.OSRRef(P13))</f>
        <v>#NAME?</v>
      </c>
      <c r="Q12" s="4"/>
      <c r="R12" s="13"/>
      <c r="S12" s="4"/>
      <c r="T12" s="4" t="e">
        <f ca="1">SUM(_xll.OneStop.ReportPlayer.OSRFunctions.OSRRef(T13))</f>
        <v>#NAME?</v>
      </c>
      <c r="U12" s="4"/>
      <c r="V12" s="13"/>
      <c r="W12" s="4"/>
      <c r="X12" s="4" t="e">
        <f t="shared" ref="X12:X13" ca="1" si="2">+P12-T12</f>
        <v>#NAME?</v>
      </c>
      <c r="Y12" s="4"/>
      <c r="Z12" s="13" t="e">
        <f t="shared" ref="Z12:Z13" ca="1" si="3">IF(T12=0,0,X12/T12)</f>
        <v>#NAME?</v>
      </c>
    </row>
    <row r="13" spans="1:26" s="23" customFormat="1" hidden="1" outlineLevel="1" x14ac:dyDescent="0.25">
      <c r="A13" s="44"/>
      <c r="B13" s="10" t="e">
        <f ca="1">CONCATENATE("          ", _xll.OneStop.ReportPlayer.OSRFunctions.OSRGet("d_Account","Code"), " - ", _xll.OneStop.ReportPlayer.OSRFunctions.OSRGet("d_Account","Description"))</f>
        <v>#NAME?</v>
      </c>
      <c r="C13" s="10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0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1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4" customFormat="1" collapsed="1" x14ac:dyDescent="0.25">
      <c r="A15" s="11"/>
      <c r="B15" s="29" t="s">
        <v>256</v>
      </c>
      <c r="C15" s="11"/>
      <c r="D15" s="4" t="e">
        <f ca="1">SUM(_xll.OneStop.ReportPlayer.OSRFunctions.OSRRef(D16))</f>
        <v>#NAME?</v>
      </c>
      <c r="E15" s="4"/>
      <c r="F15" s="13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3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3" t="e">
        <f t="shared" ref="N15:N16" ca="1" si="7">IF(H15=0,0,L15/H15)</f>
        <v>#NAME?</v>
      </c>
      <c r="O15" s="11"/>
      <c r="P15" s="4" t="e">
        <f ca="1">SUM(_xll.OneStop.ReportPlayer.OSRFunctions.OSRRef(P16))</f>
        <v>#NAME?</v>
      </c>
      <c r="Q15" s="4"/>
      <c r="R15" s="13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3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3" t="e">
        <f t="shared" ref="Z15:Z16" ca="1" si="11">IF(T15=0,0,X15/T15)</f>
        <v>#NAME?</v>
      </c>
    </row>
    <row r="16" spans="1:26" s="23" customFormat="1" hidden="1" outlineLevel="1" x14ac:dyDescent="0.25">
      <c r="A16" s="44"/>
      <c r="B16" s="10" t="e">
        <f ca="1">CONCATENATE("          ", _xll.OneStop.ReportPlayer.OSRFunctions.OSRGet("d_Account","Code"), " - ", _xll.OneStop.ReportPlayer.OSRFunctions.OSRGet("d_Account","Description"))</f>
        <v>#NAME?</v>
      </c>
      <c r="C16" s="10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0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1"/>
      <c r="C17" s="11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1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4" customFormat="1" x14ac:dyDescent="0.25">
      <c r="A18" s="11"/>
      <c r="B18" s="28" t="s">
        <v>107</v>
      </c>
      <c r="C18" s="28"/>
      <c r="D18" s="21" t="e">
        <f ca="1">D12-D15</f>
        <v>#NAME?</v>
      </c>
      <c r="E18" s="14"/>
      <c r="F18" s="22" t="e">
        <f ca="1">IF(D$12=0,0,D18/D$12)</f>
        <v>#NAME?</v>
      </c>
      <c r="G18" s="14"/>
      <c r="H18" s="21" t="e">
        <f ca="1">H12-H15</f>
        <v>#NAME?</v>
      </c>
      <c r="I18" s="14"/>
      <c r="J18" s="22" t="e">
        <f ca="1">IF(H$12=0,0,H18/H$12)</f>
        <v>#NAME?</v>
      </c>
      <c r="K18" s="15"/>
      <c r="L18" s="21" t="e">
        <f ca="1">+D18-H18</f>
        <v>#NAME?</v>
      </c>
      <c r="M18" s="15"/>
      <c r="N18" s="22" t="e">
        <f ca="1">IF(H18=0,0,L18/H18)</f>
        <v>#NAME?</v>
      </c>
      <c r="O18" s="29"/>
      <c r="P18" s="21" t="e">
        <f ca="1">P12-P15</f>
        <v>#NAME?</v>
      </c>
      <c r="Q18" s="14"/>
      <c r="R18" s="22" t="e">
        <f ca="1">IF(P$12=0,0,P18/P$12)</f>
        <v>#NAME?</v>
      </c>
      <c r="S18" s="14"/>
      <c r="T18" s="21" t="e">
        <f ca="1">T12-T15</f>
        <v>#NAME?</v>
      </c>
      <c r="U18" s="14"/>
      <c r="V18" s="22" t="e">
        <f ca="1">IF(T$12=0,0,T18/T$12)</f>
        <v>#NAME?</v>
      </c>
      <c r="W18" s="15"/>
      <c r="X18" s="21" t="e">
        <f ca="1">+P18-T18</f>
        <v>#NAME?</v>
      </c>
      <c r="Y18" s="15"/>
      <c r="Z18" s="22" t="e">
        <f ca="1">IF(T18=0,0,X18/T18)</f>
        <v>#NAME?</v>
      </c>
    </row>
    <row r="19" spans="1:26" x14ac:dyDescent="0.25">
      <c r="A19" s="9"/>
      <c r="B19" s="11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4" customFormat="1" x14ac:dyDescent="0.25">
      <c r="A20" s="11"/>
      <c r="B20" s="29" t="s">
        <v>294</v>
      </c>
      <c r="C20" s="11"/>
      <c r="D20" s="20" t="e">
        <f ca="1">SUM(_xll.OneStop.ReportPlayer.OSRFunctions.OSRRef(D22))</f>
        <v>#NAME?</v>
      </c>
      <c r="E20" s="20"/>
      <c r="F20" s="32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2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2" t="e">
        <f t="shared" ref="N20:N22" ca="1" si="15">IF(H20=0,0,L20/H20)</f>
        <v>#NAME?</v>
      </c>
      <c r="O20" s="11"/>
      <c r="P20" s="20" t="e">
        <f ca="1">SUM(_xll.OneStop.ReportPlayer.OSRFunctions.OSRRef(P22))</f>
        <v>#NAME?</v>
      </c>
      <c r="Q20" s="20"/>
      <c r="R20" s="32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2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2" t="e">
        <f t="shared" ref="Z20:Z22" ca="1" si="19">IF(T20=0,0,X20/T20)</f>
        <v>#NAME?</v>
      </c>
    </row>
    <row r="21" spans="1:26" s="27" customFormat="1" outlineLevel="1" collapsed="1" x14ac:dyDescent="0.25">
      <c r="A21" s="26"/>
      <c r="B21" s="12" t="e">
        <f ca="1">CONCATENATE("     ",_xll.OneStop.ReportPlayer.OSRFunctions.OSRGet("d_Account","AccountCategory"))</f>
        <v>#NAME?</v>
      </c>
      <c r="C21" s="12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2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3" customFormat="1" hidden="1" outlineLevel="2" x14ac:dyDescent="0.25">
      <c r="A22" s="25"/>
      <c r="B22" s="10" t="e">
        <f ca="1">CONCATENATE("          ", _xll.OneStop.ReportPlayer.OSRFunctions.OSRGet("d_Account","Code"), " - ", _xll.OneStop.ReportPlayer.OSRFunctions.OSRGet("d_Account","Description"))</f>
        <v>#NAME?</v>
      </c>
      <c r="C22" s="10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0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2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4" customFormat="1" collapsed="1" x14ac:dyDescent="0.25">
      <c r="A24" s="11"/>
      <c r="B24" s="29" t="s">
        <v>292</v>
      </c>
      <c r="C24" s="11"/>
      <c r="D24" s="4" t="e">
        <f ca="1">SUM(_xll.OneStop.ReportPlayer.OSRFunctions.OSRRef(D25))</f>
        <v>#NAME?</v>
      </c>
      <c r="E24" s="4"/>
      <c r="F24" s="13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3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3" t="e">
        <f t="shared" ref="N24:N25" ca="1" si="23">IF(H24=0,0,L24/H24)</f>
        <v>#NAME?</v>
      </c>
      <c r="O24" s="11"/>
      <c r="P24" s="4" t="e">
        <f ca="1">SUM(_xll.OneStop.ReportPlayer.OSRFunctions.OSRRef(P25))</f>
        <v>#NAME?</v>
      </c>
      <c r="Q24" s="4"/>
      <c r="R24" s="13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3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3" t="e">
        <f t="shared" ref="Z24:Z25" ca="1" si="27">IF(T24=0,0,X24/T24)</f>
        <v>#NAME?</v>
      </c>
    </row>
    <row r="25" spans="1:26" s="23" customFormat="1" hidden="1" outlineLevel="1" x14ac:dyDescent="0.25">
      <c r="A25" s="44"/>
      <c r="B25" s="10" t="e">
        <f ca="1">CONCATENATE("          ", _xll.OneStop.ReportPlayer.OSRFunctions.OSRGet("d_Account","Code"), " - ", _xll.OneStop.ReportPlayer.OSRFunctions.OSRGet("d_Account","Description"))</f>
        <v>#NAME?</v>
      </c>
      <c r="C25" s="10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0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1"/>
      <c r="C26" s="11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1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4" customFormat="1" x14ac:dyDescent="0.25">
      <c r="A27" s="11"/>
      <c r="B27" s="28" t="s">
        <v>276</v>
      </c>
      <c r="C27" s="28"/>
      <c r="D27" s="21" t="e">
        <f ca="1">+D18-D20+D24</f>
        <v>#NAME?</v>
      </c>
      <c r="E27" s="14"/>
      <c r="F27" s="22" t="e">
        <f ca="1">IF(D$12=0,0,D27/D$12)</f>
        <v>#NAME?</v>
      </c>
      <c r="G27" s="14"/>
      <c r="H27" s="21" t="e">
        <f ca="1">+H18-H20+H24</f>
        <v>#NAME?</v>
      </c>
      <c r="I27" s="14"/>
      <c r="J27" s="22" t="e">
        <f ca="1">IF(H$12=0,0,H27/H$12)</f>
        <v>#NAME?</v>
      </c>
      <c r="K27" s="15"/>
      <c r="L27" s="21" t="e">
        <f ca="1">+D27-H27</f>
        <v>#NAME?</v>
      </c>
      <c r="M27" s="15"/>
      <c r="N27" s="22" t="e">
        <f ca="1">IF(H27=0,0,L27/H27)</f>
        <v>#NAME?</v>
      </c>
      <c r="O27" s="29"/>
      <c r="P27" s="21" t="e">
        <f ca="1">+P18-P20+P24</f>
        <v>#NAME?</v>
      </c>
      <c r="Q27" s="14"/>
      <c r="R27" s="22" t="e">
        <f ca="1">IF(P$12=0,0,P27/P$12)</f>
        <v>#NAME?</v>
      </c>
      <c r="S27" s="14"/>
      <c r="T27" s="21" t="e">
        <f ca="1">+T18-T20+T24</f>
        <v>#NAME?</v>
      </c>
      <c r="U27" s="14"/>
      <c r="V27" s="22" t="e">
        <f ca="1">IF(T$12=0,0,T27/T$12)</f>
        <v>#NAME?</v>
      </c>
      <c r="W27" s="15"/>
      <c r="X27" s="21" t="e">
        <f ca="1">+P27-T27</f>
        <v>#NAME?</v>
      </c>
      <c r="Y27" s="15"/>
      <c r="Z27" s="22" t="e">
        <f ca="1">IF(T27=0,0,X27/T27)</f>
        <v>#NAME?</v>
      </c>
    </row>
    <row r="28" spans="1:26" x14ac:dyDescent="0.25">
      <c r="A28" s="9"/>
      <c r="B28" s="11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4" customFormat="1" x14ac:dyDescent="0.25">
      <c r="A29" s="51"/>
      <c r="B29" s="11" t="s">
        <v>127</v>
      </c>
      <c r="C29" s="11"/>
      <c r="D29" s="4" t="e">
        <f ca="1">_xll.OneStop.ReportPlayer.OSRFunctions.OSRGet("GL_F_Trans","Value1")</f>
        <v>#NAME?</v>
      </c>
      <c r="E29" s="4"/>
      <c r="F29" s="13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3" t="e">
        <f ca="1">IF(H$12=0,0,H29/H$12)</f>
        <v>#NAME?</v>
      </c>
      <c r="K29" s="4"/>
      <c r="L29" s="4" t="e">
        <f ca="1">+D29-H29</f>
        <v>#NAME?</v>
      </c>
      <c r="M29" s="4"/>
      <c r="N29" s="13" t="e">
        <f ca="1">IF(H29=0,0,L29/H29)</f>
        <v>#NAME?</v>
      </c>
      <c r="O29" s="11"/>
      <c r="P29" s="4" t="e">
        <f ca="1">_xll.OneStop.ReportPlayer.OSRFunctions.OSRGet("GL_F_Trans","Value1")</f>
        <v>#NAME?</v>
      </c>
      <c r="Q29" s="4"/>
      <c r="R29" s="13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3" t="e">
        <f ca="1">IF(T$12=0,0,T29/T$12)</f>
        <v>#NAME?</v>
      </c>
      <c r="W29" s="4"/>
      <c r="X29" s="4" t="e">
        <f ca="1">+P29-T29</f>
        <v>#NAME?</v>
      </c>
      <c r="Y29" s="4"/>
      <c r="Z29" s="13" t="e">
        <f ca="1">IF(T29=0,0,X29/T29)</f>
        <v>#NAME?</v>
      </c>
    </row>
    <row r="30" spans="1:26" x14ac:dyDescent="0.25">
      <c r="A30" s="9"/>
      <c r="B30" s="11"/>
      <c r="C30" s="11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1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4" customFormat="1" ht="15.75" thickBot="1" x14ac:dyDescent="0.3">
      <c r="A31" s="11"/>
      <c r="B31" s="28" t="s">
        <v>125</v>
      </c>
      <c r="C31" s="28"/>
      <c r="D31" s="34" t="e">
        <f ca="1">+D27-D29</f>
        <v>#NAME?</v>
      </c>
      <c r="E31" s="14"/>
      <c r="F31" s="31" t="e">
        <f ca="1">IF(D$12=0,0,D31/D$12)</f>
        <v>#NAME?</v>
      </c>
      <c r="G31" s="14"/>
      <c r="H31" s="34" t="e">
        <f ca="1">+H27-H29</f>
        <v>#NAME?</v>
      </c>
      <c r="I31" s="14"/>
      <c r="J31" s="31" t="e">
        <f ca="1">IF(H$12=0,0,H31/H$12)</f>
        <v>#NAME?</v>
      </c>
      <c r="K31" s="15"/>
      <c r="L31" s="34" t="e">
        <f ca="1">D31-H31</f>
        <v>#NAME?</v>
      </c>
      <c r="M31" s="15"/>
      <c r="N31" s="31" t="e">
        <f ca="1">IF(H31=0,0,L31/H31)</f>
        <v>#NAME?</v>
      </c>
      <c r="O31" s="29"/>
      <c r="P31" s="34" t="e">
        <f ca="1">+P27-P29</f>
        <v>#NAME?</v>
      </c>
      <c r="Q31" s="14"/>
      <c r="R31" s="31" t="e">
        <f ca="1">IF(P$12=0,0,P31/P$12)</f>
        <v>#NAME?</v>
      </c>
      <c r="S31" s="14"/>
      <c r="T31" s="34" t="e">
        <f ca="1">+T27-T29</f>
        <v>#NAME?</v>
      </c>
      <c r="U31" s="14"/>
      <c r="V31" s="31" t="e">
        <f ca="1">IF(T$12=0,0,T31/T$12)</f>
        <v>#NAME?</v>
      </c>
      <c r="W31" s="15"/>
      <c r="X31" s="34" t="e">
        <f ca="1">P31-T31</f>
        <v>#NAME?</v>
      </c>
      <c r="Y31" s="15"/>
      <c r="Z31" s="31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4" customFormat="1" x14ac:dyDescent="0.25">
      <c r="A33" s="51"/>
      <c r="B33" s="11" t="s">
        <v>183</v>
      </c>
      <c r="C33" s="11"/>
      <c r="D33" s="4" t="e">
        <f ca="1">-_xll.OneStop.ReportPlayer.OSRFunctions.OSRGet("GL_F_Trans","Value1")</f>
        <v>#NAME?</v>
      </c>
      <c r="E33" s="4"/>
      <c r="F33" s="13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3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3" t="e">
        <f t="shared" ref="N33:N34" ca="1" si="31">IF(H33=0,0,L33/H33)</f>
        <v>#NAME?</v>
      </c>
      <c r="O33" s="11"/>
      <c r="P33" s="4" t="e">
        <f ca="1">-_xll.OneStop.ReportPlayer.OSRFunctions.OSRGet("GL_F_Trans","Value1")</f>
        <v>#NAME?</v>
      </c>
      <c r="Q33" s="4"/>
      <c r="R33" s="13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3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3" t="e">
        <f t="shared" ref="Z33:Z34" ca="1" si="35">IF(T33=0,0,X33/T33)</f>
        <v>#NAME?</v>
      </c>
    </row>
    <row r="34" spans="1:26" s="24" customFormat="1" x14ac:dyDescent="0.25">
      <c r="A34" s="51"/>
      <c r="B34" s="11" t="s">
        <v>81</v>
      </c>
      <c r="C34" s="11"/>
      <c r="D34" s="4" t="e">
        <f ca="1">-_xll.OneStop.ReportPlayer.OSRFunctions.OSRGet("GL_F_Trans","Value1")</f>
        <v>#NAME?</v>
      </c>
      <c r="E34" s="4"/>
      <c r="F34" s="13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3" t="e">
        <f t="shared" ca="1" si="29"/>
        <v>#NAME?</v>
      </c>
      <c r="K34" s="4"/>
      <c r="L34" s="4" t="e">
        <f t="shared" ca="1" si="30"/>
        <v>#NAME?</v>
      </c>
      <c r="M34" s="4"/>
      <c r="N34" s="13" t="e">
        <f t="shared" ca="1" si="31"/>
        <v>#NAME?</v>
      </c>
      <c r="O34" s="11"/>
      <c r="P34" s="4" t="e">
        <f ca="1">-_xll.OneStop.ReportPlayer.OSRFunctions.OSRGet("GL_F_Trans","Value1")</f>
        <v>#NAME?</v>
      </c>
      <c r="Q34" s="4"/>
      <c r="R34" s="13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3" t="e">
        <f t="shared" ca="1" si="33"/>
        <v>#NAME?</v>
      </c>
      <c r="W34" s="4"/>
      <c r="X34" s="4" t="e">
        <f t="shared" ca="1" si="34"/>
        <v>#NAME?</v>
      </c>
      <c r="Y34" s="4"/>
      <c r="Z34" s="13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4" customFormat="1" ht="15.75" thickBot="1" x14ac:dyDescent="0.3">
      <c r="A36" s="11"/>
      <c r="B36" s="28" t="s">
        <v>293</v>
      </c>
      <c r="C36" s="28"/>
      <c r="D36" s="33" t="e">
        <f ca="1">SUM(D31:D35)</f>
        <v>#NAME?</v>
      </c>
      <c r="E36" s="14"/>
      <c r="F36" s="35" t="e">
        <f ca="1">IF(D$12=0,0,D36/D$12)</f>
        <v>#NAME?</v>
      </c>
      <c r="G36" s="14"/>
      <c r="H36" s="33" t="e">
        <f ca="1">SUM(H31:H35)</f>
        <v>#NAME?</v>
      </c>
      <c r="I36" s="14"/>
      <c r="J36" s="35" t="e">
        <f ca="1">IF(H$12=0,0,H36/H$12)</f>
        <v>#NAME?</v>
      </c>
      <c r="K36" s="15"/>
      <c r="L36" s="33" t="e">
        <f ca="1">+D36-H36</f>
        <v>#NAME?</v>
      </c>
      <c r="M36" s="15"/>
      <c r="N36" s="35" t="e">
        <f ca="1">IF(H36=0,0,L36/H36)</f>
        <v>#NAME?</v>
      </c>
      <c r="O36" s="29"/>
      <c r="P36" s="33" t="e">
        <f ca="1">SUM(P31:P35)</f>
        <v>#NAME?</v>
      </c>
      <c r="Q36" s="14"/>
      <c r="R36" s="35" t="e">
        <f ca="1">IF(P$12=0,0,P36/P$12)</f>
        <v>#NAME?</v>
      </c>
      <c r="S36" s="14"/>
      <c r="T36" s="33" t="e">
        <f ca="1">SUM(T31:T35)</f>
        <v>#NAME?</v>
      </c>
      <c r="U36" s="14"/>
      <c r="V36" s="35" t="e">
        <f ca="1">IF(T$12=0,0,T36/T$12)</f>
        <v>#NAME?</v>
      </c>
      <c r="W36" s="15"/>
      <c r="X36" s="33" t="e">
        <f ca="1">+P36-T36</f>
        <v>#NAME?</v>
      </c>
      <c r="Y36" s="15"/>
      <c r="Z36" s="35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56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55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60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62" t="s">
        <v>23</v>
      </c>
    </row>
    <row r="3" spans="1:26" x14ac:dyDescent="0.25">
      <c r="D3" s="62" t="s">
        <v>236</v>
      </c>
      <c r="E3" s="17"/>
      <c r="F3" s="46"/>
      <c r="G3" s="17"/>
      <c r="H3" s="17"/>
      <c r="I3" s="17"/>
      <c r="J3" s="38"/>
      <c r="K3" s="17"/>
      <c r="L3" s="17"/>
      <c r="M3" s="17"/>
      <c r="N3" s="46"/>
      <c r="O3" s="53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2" t="e">
        <f ca="1">CONCATENATE("Period ",RIGHT(_xll.OneStop.ReportPlayer.OSRFunctions.OSRGet("Period","PeriodId"),2),", ",_xll.OneStop.ReportPlayer.OSRFunctions.OSRGet("Period","Year"))</f>
        <v>#NAME?</v>
      </c>
      <c r="E4" s="17"/>
      <c r="F4" s="46"/>
      <c r="G4" s="17"/>
      <c r="H4" s="17"/>
      <c r="I4" s="17"/>
      <c r="J4" s="38"/>
      <c r="K4" s="17"/>
      <c r="L4" s="17"/>
      <c r="M4" s="17"/>
      <c r="N4" s="46"/>
      <c r="O4" s="53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4"/>
      <c r="D5" s="64" t="e">
        <f ca="1">_xll.OneStop.ReportPlayer.OSRFunctions.OSRGet("Period","PeriodEnd")</f>
        <v>#NAME?</v>
      </c>
      <c r="E5" s="17"/>
      <c r="F5" s="46"/>
      <c r="G5" s="17"/>
      <c r="H5" s="17"/>
      <c r="I5" s="17"/>
      <c r="J5" s="38"/>
      <c r="K5" s="17"/>
      <c r="L5" s="17"/>
      <c r="M5" s="17"/>
      <c r="N5" s="46"/>
      <c r="O5" s="53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4"/>
      <c r="B6" s="48"/>
      <c r="C6" s="48"/>
      <c r="D6" s="24" t="s">
        <v>182</v>
      </c>
      <c r="E6" s="17"/>
      <c r="F6" s="46"/>
      <c r="G6" s="17"/>
      <c r="H6" s="17"/>
      <c r="I6" s="17"/>
      <c r="J6" s="38"/>
      <c r="K6" s="17"/>
      <c r="L6" s="17"/>
      <c r="M6" s="17"/>
      <c r="N6" s="46"/>
      <c r="O6" s="54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9"/>
    </row>
    <row r="8" spans="1:26" x14ac:dyDescent="0.25">
      <c r="B8" s="59"/>
    </row>
    <row r="9" spans="1:26" x14ac:dyDescent="0.25">
      <c r="B9" s="9"/>
      <c r="C9" s="9"/>
      <c r="D9" s="16" t="s">
        <v>291</v>
      </c>
      <c r="E9" s="16"/>
      <c r="F9" s="39"/>
      <c r="G9" s="16"/>
      <c r="H9" s="16"/>
      <c r="I9" s="16"/>
      <c r="J9" s="49"/>
      <c r="K9" s="16"/>
      <c r="L9" s="16"/>
      <c r="M9" s="16"/>
      <c r="N9" s="39"/>
      <c r="P9" s="16" t="s">
        <v>39</v>
      </c>
      <c r="Q9" s="16"/>
      <c r="R9" s="39"/>
      <c r="S9" s="16"/>
      <c r="T9" s="16"/>
      <c r="U9" s="16"/>
      <c r="V9" s="49"/>
      <c r="W9" s="16"/>
      <c r="X9" s="16"/>
      <c r="Y9" s="16"/>
      <c r="Z9" s="39"/>
    </row>
    <row r="10" spans="1:26" x14ac:dyDescent="0.25">
      <c r="A10" s="11"/>
      <c r="B10" s="58"/>
      <c r="C10" s="11"/>
      <c r="D10" s="42" t="s">
        <v>57</v>
      </c>
      <c r="E10" s="36"/>
      <c r="F10" s="30" t="s">
        <v>40</v>
      </c>
      <c r="G10" s="36"/>
      <c r="H10" s="50" t="s">
        <v>237</v>
      </c>
      <c r="I10" s="36"/>
      <c r="J10" s="30" t="s">
        <v>40</v>
      </c>
      <c r="K10" s="11"/>
      <c r="L10" s="42" t="s">
        <v>126</v>
      </c>
      <c r="M10" s="11"/>
      <c r="N10" s="30" t="s">
        <v>257</v>
      </c>
      <c r="O10" s="11"/>
      <c r="P10" s="61" t="s">
        <v>57</v>
      </c>
      <c r="Q10" s="36"/>
      <c r="R10" s="30" t="s">
        <v>40</v>
      </c>
      <c r="S10" s="36"/>
      <c r="T10" s="50" t="s">
        <v>237</v>
      </c>
      <c r="U10" s="36"/>
      <c r="V10" s="30" t="s">
        <v>40</v>
      </c>
      <c r="W10" s="11"/>
      <c r="X10" s="42" t="s">
        <v>126</v>
      </c>
      <c r="Y10" s="11"/>
      <c r="Z10" s="30" t="s">
        <v>257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4" customFormat="1" collapsed="1" x14ac:dyDescent="0.25">
      <c r="A12" s="11"/>
      <c r="B12" s="29" t="s">
        <v>139</v>
      </c>
      <c r="C12" s="11"/>
      <c r="D12" s="4" t="e">
        <f ca="1">SUM(_xll.OneStop.ReportPlayer.OSRFunctions.OSRRef(D13))</f>
        <v>#NAME?</v>
      </c>
      <c r="E12" s="4"/>
      <c r="F12" s="13"/>
      <c r="G12" s="4"/>
      <c r="H12" s="4" t="e">
        <f ca="1">SUM(_xll.OneStop.ReportPlayer.OSRFunctions.OSRRef(H13))</f>
        <v>#NAME?</v>
      </c>
      <c r="I12" s="4"/>
      <c r="J12" s="13"/>
      <c r="K12" s="4"/>
      <c r="L12" s="4" t="e">
        <f t="shared" ref="L12:L13" ca="1" si="0">+D12-H12</f>
        <v>#NAME?</v>
      </c>
      <c r="M12" s="4"/>
      <c r="N12" s="13" t="e">
        <f t="shared" ref="N12:N13" ca="1" si="1">IF(H12=0,0,L12/H12)</f>
        <v>#NAME?</v>
      </c>
      <c r="O12" s="11"/>
      <c r="P12" s="4" t="e">
        <f ca="1">SUM(_xll.OneStop.ReportPlayer.OSRFunctions.OSRRef(P13))</f>
        <v>#NAME?</v>
      </c>
      <c r="Q12" s="4"/>
      <c r="R12" s="13"/>
      <c r="S12" s="4"/>
      <c r="T12" s="4" t="e">
        <f ca="1">SUM(_xll.OneStop.ReportPlayer.OSRFunctions.OSRRef(T13))</f>
        <v>#NAME?</v>
      </c>
      <c r="U12" s="4"/>
      <c r="V12" s="13"/>
      <c r="W12" s="4"/>
      <c r="X12" s="4" t="e">
        <f t="shared" ref="X12:X13" ca="1" si="2">+P12-T12</f>
        <v>#NAME?</v>
      </c>
      <c r="Y12" s="4"/>
      <c r="Z12" s="13" t="e">
        <f t="shared" ref="Z12:Z13" ca="1" si="3">IF(T12=0,0,X12/T12)</f>
        <v>#NAME?</v>
      </c>
    </row>
    <row r="13" spans="1:26" s="23" customFormat="1" hidden="1" outlineLevel="1" x14ac:dyDescent="0.25">
      <c r="A13" s="44"/>
      <c r="B13" s="10" t="e">
        <f ca="1">CONCATENATE("          ", _xll.OneStop.ReportPlayer.OSRFunctions.OSRGet("d_Account","Code"), " - ", _xll.OneStop.ReportPlayer.OSRFunctions.OSRGet("d_Account","Description"))</f>
        <v>#NAME?</v>
      </c>
      <c r="C13" s="10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0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1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4" customFormat="1" collapsed="1" x14ac:dyDescent="0.25">
      <c r="A15" s="11"/>
      <c r="B15" s="29" t="s">
        <v>256</v>
      </c>
      <c r="C15" s="11"/>
      <c r="D15" s="4" t="e">
        <f ca="1">SUM(_xll.OneStop.ReportPlayer.OSRFunctions.OSRRef(D16))</f>
        <v>#NAME?</v>
      </c>
      <c r="E15" s="4"/>
      <c r="F15" s="13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3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3" t="e">
        <f t="shared" ref="N15:N16" ca="1" si="7">IF(H15=0,0,L15/H15)</f>
        <v>#NAME?</v>
      </c>
      <c r="O15" s="11"/>
      <c r="P15" s="4" t="e">
        <f ca="1">SUM(_xll.OneStop.ReportPlayer.OSRFunctions.OSRRef(P16))</f>
        <v>#NAME?</v>
      </c>
      <c r="Q15" s="4"/>
      <c r="R15" s="13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3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3" t="e">
        <f t="shared" ref="Z15:Z16" ca="1" si="11">IF(T15=0,0,X15/T15)</f>
        <v>#NAME?</v>
      </c>
    </row>
    <row r="16" spans="1:26" s="23" customFormat="1" hidden="1" outlineLevel="1" x14ac:dyDescent="0.25">
      <c r="A16" s="44"/>
      <c r="B16" s="10" t="e">
        <f ca="1">CONCATENATE("          ", _xll.OneStop.ReportPlayer.OSRFunctions.OSRGet("d_Account","Code"), " - ", _xll.OneStop.ReportPlayer.OSRFunctions.OSRGet("d_Account","Description"))</f>
        <v>#NAME?</v>
      </c>
      <c r="C16" s="10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0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1"/>
      <c r="C17" s="11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1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4" customFormat="1" x14ac:dyDescent="0.25">
      <c r="A18" s="11"/>
      <c r="B18" s="28" t="s">
        <v>107</v>
      </c>
      <c r="C18" s="28"/>
      <c r="D18" s="21" t="e">
        <f ca="1">D12-D15</f>
        <v>#NAME?</v>
      </c>
      <c r="E18" s="14"/>
      <c r="F18" s="22" t="e">
        <f ca="1">IF(D$12=0,0,D18/D$12)</f>
        <v>#NAME?</v>
      </c>
      <c r="G18" s="14"/>
      <c r="H18" s="21" t="e">
        <f ca="1">H12-H15</f>
        <v>#NAME?</v>
      </c>
      <c r="I18" s="14"/>
      <c r="J18" s="22" t="e">
        <f ca="1">IF(H$12=0,0,H18/H$12)</f>
        <v>#NAME?</v>
      </c>
      <c r="K18" s="15"/>
      <c r="L18" s="21" t="e">
        <f ca="1">+D18-H18</f>
        <v>#NAME?</v>
      </c>
      <c r="M18" s="15"/>
      <c r="N18" s="22" t="e">
        <f ca="1">IF(H18=0,0,L18/H18)</f>
        <v>#NAME?</v>
      </c>
      <c r="O18" s="29"/>
      <c r="P18" s="21" t="e">
        <f ca="1">P12-P15</f>
        <v>#NAME?</v>
      </c>
      <c r="Q18" s="14"/>
      <c r="R18" s="22" t="e">
        <f ca="1">IF(P$12=0,0,P18/P$12)</f>
        <v>#NAME?</v>
      </c>
      <c r="S18" s="14"/>
      <c r="T18" s="21" t="e">
        <f ca="1">T12-T15</f>
        <v>#NAME?</v>
      </c>
      <c r="U18" s="14"/>
      <c r="V18" s="22" t="e">
        <f ca="1">IF(T$12=0,0,T18/T$12)</f>
        <v>#NAME?</v>
      </c>
      <c r="W18" s="15"/>
      <c r="X18" s="21" t="e">
        <f ca="1">+P18-T18</f>
        <v>#NAME?</v>
      </c>
      <c r="Y18" s="15"/>
      <c r="Z18" s="22" t="e">
        <f ca="1">IF(T18=0,0,X18/T18)</f>
        <v>#NAME?</v>
      </c>
    </row>
    <row r="19" spans="1:26" x14ac:dyDescent="0.25">
      <c r="A19" s="9"/>
      <c r="B19" s="11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4" customFormat="1" x14ac:dyDescent="0.25">
      <c r="A20" s="11"/>
      <c r="B20" s="29" t="s">
        <v>294</v>
      </c>
      <c r="C20" s="11"/>
      <c r="D20" s="20" t="e">
        <f ca="1">SUM(_xll.OneStop.ReportPlayer.OSRFunctions.OSRRef(D22))</f>
        <v>#NAME?</v>
      </c>
      <c r="E20" s="20"/>
      <c r="F20" s="32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2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2" t="e">
        <f t="shared" ref="N20:N22" ca="1" si="15">IF(H20=0,0,L20/H20)</f>
        <v>#NAME?</v>
      </c>
      <c r="O20" s="11"/>
      <c r="P20" s="20" t="e">
        <f ca="1">SUM(_xll.OneStop.ReportPlayer.OSRFunctions.OSRRef(P22))</f>
        <v>#NAME?</v>
      </c>
      <c r="Q20" s="20"/>
      <c r="R20" s="32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2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2" t="e">
        <f t="shared" ref="Z20:Z22" ca="1" si="19">IF(T20=0,0,X20/T20)</f>
        <v>#NAME?</v>
      </c>
    </row>
    <row r="21" spans="1:26" s="27" customFormat="1" outlineLevel="1" collapsed="1" x14ac:dyDescent="0.25">
      <c r="A21" s="26"/>
      <c r="B21" s="12" t="e">
        <f ca="1">CONCATENATE("     ",_xll.OneStop.ReportPlayer.OSRFunctions.OSRGet("d_Account","AccountCategory"))</f>
        <v>#NAME?</v>
      </c>
      <c r="C21" s="12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2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3" customFormat="1" hidden="1" outlineLevel="2" x14ac:dyDescent="0.25">
      <c r="A22" s="25"/>
      <c r="B22" s="10" t="e">
        <f ca="1">CONCATENATE("          ", _xll.OneStop.ReportPlayer.OSRFunctions.OSRGet("d_Account","Code"), " - ", _xll.OneStop.ReportPlayer.OSRFunctions.OSRGet("d_Account","Description"))</f>
        <v>#NAME?</v>
      </c>
      <c r="C22" s="10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0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2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4" customFormat="1" collapsed="1" x14ac:dyDescent="0.25">
      <c r="A24" s="11"/>
      <c r="B24" s="29" t="s">
        <v>292</v>
      </c>
      <c r="C24" s="11"/>
      <c r="D24" s="4" t="e">
        <f ca="1">SUM(_xll.OneStop.ReportPlayer.OSRFunctions.OSRRef(D25))</f>
        <v>#NAME?</v>
      </c>
      <c r="E24" s="4"/>
      <c r="F24" s="13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3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3" t="e">
        <f t="shared" ref="N24:N25" ca="1" si="23">IF(H24=0,0,L24/H24)</f>
        <v>#NAME?</v>
      </c>
      <c r="O24" s="11"/>
      <c r="P24" s="4" t="e">
        <f ca="1">SUM(_xll.OneStop.ReportPlayer.OSRFunctions.OSRRef(P25))</f>
        <v>#NAME?</v>
      </c>
      <c r="Q24" s="4"/>
      <c r="R24" s="13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3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3" t="e">
        <f t="shared" ref="Z24:Z25" ca="1" si="27">IF(T24=0,0,X24/T24)</f>
        <v>#NAME?</v>
      </c>
    </row>
    <row r="25" spans="1:26" s="23" customFormat="1" hidden="1" outlineLevel="1" x14ac:dyDescent="0.25">
      <c r="A25" s="44"/>
      <c r="B25" s="10" t="e">
        <f ca="1">CONCATENATE("          ", _xll.OneStop.ReportPlayer.OSRFunctions.OSRGet("d_Account","Code"), " - ", _xll.OneStop.ReportPlayer.OSRFunctions.OSRGet("d_Account","Description"))</f>
        <v>#NAME?</v>
      </c>
      <c r="C25" s="10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0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1"/>
      <c r="C26" s="11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1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4" customFormat="1" x14ac:dyDescent="0.25">
      <c r="A27" s="11"/>
      <c r="B27" s="28" t="s">
        <v>276</v>
      </c>
      <c r="C27" s="28"/>
      <c r="D27" s="21" t="e">
        <f ca="1">+D18-D20+D24</f>
        <v>#NAME?</v>
      </c>
      <c r="E27" s="14"/>
      <c r="F27" s="22" t="e">
        <f ca="1">IF(D$12=0,0,D27/D$12)</f>
        <v>#NAME?</v>
      </c>
      <c r="G27" s="14"/>
      <c r="H27" s="21" t="e">
        <f ca="1">+H18-H20+H24</f>
        <v>#NAME?</v>
      </c>
      <c r="I27" s="14"/>
      <c r="J27" s="22" t="e">
        <f ca="1">IF(H$12=0,0,H27/H$12)</f>
        <v>#NAME?</v>
      </c>
      <c r="K27" s="15"/>
      <c r="L27" s="21" t="e">
        <f ca="1">+D27-H27</f>
        <v>#NAME?</v>
      </c>
      <c r="M27" s="15"/>
      <c r="N27" s="22" t="e">
        <f ca="1">IF(H27=0,0,L27/H27)</f>
        <v>#NAME?</v>
      </c>
      <c r="O27" s="29"/>
      <c r="P27" s="21" t="e">
        <f ca="1">+P18-P20+P24</f>
        <v>#NAME?</v>
      </c>
      <c r="Q27" s="14"/>
      <c r="R27" s="22" t="e">
        <f ca="1">IF(P$12=0,0,P27/P$12)</f>
        <v>#NAME?</v>
      </c>
      <c r="S27" s="14"/>
      <c r="T27" s="21" t="e">
        <f ca="1">+T18-T20+T24</f>
        <v>#NAME?</v>
      </c>
      <c r="U27" s="14"/>
      <c r="V27" s="22" t="e">
        <f ca="1">IF(T$12=0,0,T27/T$12)</f>
        <v>#NAME?</v>
      </c>
      <c r="W27" s="15"/>
      <c r="X27" s="21" t="e">
        <f ca="1">+P27-T27</f>
        <v>#NAME?</v>
      </c>
      <c r="Y27" s="15"/>
      <c r="Z27" s="22" t="e">
        <f ca="1">IF(T27=0,0,X27/T27)</f>
        <v>#NAME?</v>
      </c>
    </row>
    <row r="28" spans="1:26" x14ac:dyDescent="0.25">
      <c r="A28" s="9"/>
      <c r="B28" s="11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4" customFormat="1" x14ac:dyDescent="0.25">
      <c r="A29" s="51"/>
      <c r="B29" s="11" t="s">
        <v>127</v>
      </c>
      <c r="C29" s="11"/>
      <c r="D29" s="4" t="e">
        <f ca="1">_xll.OneStop.ReportPlayer.OSRFunctions.OSRGet("GL_F_Trans","Value1")</f>
        <v>#NAME?</v>
      </c>
      <c r="E29" s="4"/>
      <c r="F29" s="13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3" t="e">
        <f ca="1">IF(H$12=0,0,H29/H$12)</f>
        <v>#NAME?</v>
      </c>
      <c r="K29" s="4"/>
      <c r="L29" s="4" t="e">
        <f ca="1">+D29-H29</f>
        <v>#NAME?</v>
      </c>
      <c r="M29" s="4"/>
      <c r="N29" s="13" t="e">
        <f ca="1">IF(H29=0,0,L29/H29)</f>
        <v>#NAME?</v>
      </c>
      <c r="O29" s="11"/>
      <c r="P29" s="4" t="e">
        <f ca="1">_xll.OneStop.ReportPlayer.OSRFunctions.OSRGet("GL_F_Trans","Value1")</f>
        <v>#NAME?</v>
      </c>
      <c r="Q29" s="4"/>
      <c r="R29" s="13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3" t="e">
        <f ca="1">IF(T$12=0,0,T29/T$12)</f>
        <v>#NAME?</v>
      </c>
      <c r="W29" s="4"/>
      <c r="X29" s="4" t="e">
        <f ca="1">+P29-T29</f>
        <v>#NAME?</v>
      </c>
      <c r="Y29" s="4"/>
      <c r="Z29" s="13" t="e">
        <f ca="1">IF(T29=0,0,X29/T29)</f>
        <v>#NAME?</v>
      </c>
    </row>
    <row r="30" spans="1:26" x14ac:dyDescent="0.25">
      <c r="A30" s="9"/>
      <c r="B30" s="11"/>
      <c r="C30" s="11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1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4" customFormat="1" ht="15.75" thickBot="1" x14ac:dyDescent="0.3">
      <c r="A31" s="11"/>
      <c r="B31" s="28" t="s">
        <v>125</v>
      </c>
      <c r="C31" s="28"/>
      <c r="D31" s="34" t="e">
        <f ca="1">+D27-D29</f>
        <v>#NAME?</v>
      </c>
      <c r="E31" s="14"/>
      <c r="F31" s="31" t="e">
        <f ca="1">IF(D$12=0,0,D31/D$12)</f>
        <v>#NAME?</v>
      </c>
      <c r="G31" s="14"/>
      <c r="H31" s="34" t="e">
        <f ca="1">+H27-H29</f>
        <v>#NAME?</v>
      </c>
      <c r="I31" s="14"/>
      <c r="J31" s="31" t="e">
        <f ca="1">IF(H$12=0,0,H31/H$12)</f>
        <v>#NAME?</v>
      </c>
      <c r="K31" s="15"/>
      <c r="L31" s="34" t="e">
        <f ca="1">D31-H31</f>
        <v>#NAME?</v>
      </c>
      <c r="M31" s="15"/>
      <c r="N31" s="31" t="e">
        <f ca="1">IF(H31=0,0,L31/H31)</f>
        <v>#NAME?</v>
      </c>
      <c r="O31" s="29"/>
      <c r="P31" s="34" t="e">
        <f ca="1">+P27-P29</f>
        <v>#NAME?</v>
      </c>
      <c r="Q31" s="14"/>
      <c r="R31" s="31" t="e">
        <f ca="1">IF(P$12=0,0,P31/P$12)</f>
        <v>#NAME?</v>
      </c>
      <c r="S31" s="14"/>
      <c r="T31" s="34" t="e">
        <f ca="1">+T27-T29</f>
        <v>#NAME?</v>
      </c>
      <c r="U31" s="14"/>
      <c r="V31" s="31" t="e">
        <f ca="1">IF(T$12=0,0,T31/T$12)</f>
        <v>#NAME?</v>
      </c>
      <c r="W31" s="15"/>
      <c r="X31" s="34" t="e">
        <f ca="1">P31-T31</f>
        <v>#NAME?</v>
      </c>
      <c r="Y31" s="15"/>
      <c r="Z31" s="31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4" customFormat="1" x14ac:dyDescent="0.25">
      <c r="A33" s="51"/>
      <c r="B33" s="11" t="s">
        <v>183</v>
      </c>
      <c r="C33" s="11"/>
      <c r="D33" s="4" t="e">
        <f ca="1">-_xll.OneStop.ReportPlayer.OSRFunctions.OSRGet("GL_F_Trans","Value1")</f>
        <v>#NAME?</v>
      </c>
      <c r="E33" s="4"/>
      <c r="F33" s="13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3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3" t="e">
        <f t="shared" ref="N33:N34" ca="1" si="31">IF(H33=0,0,L33/H33)</f>
        <v>#NAME?</v>
      </c>
      <c r="O33" s="11"/>
      <c r="P33" s="4" t="e">
        <f ca="1">-_xll.OneStop.ReportPlayer.OSRFunctions.OSRGet("GL_F_Trans","Value1")</f>
        <v>#NAME?</v>
      </c>
      <c r="Q33" s="4"/>
      <c r="R33" s="13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3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3" t="e">
        <f t="shared" ref="Z33:Z34" ca="1" si="35">IF(T33=0,0,X33/T33)</f>
        <v>#NAME?</v>
      </c>
    </row>
    <row r="34" spans="1:26" s="24" customFormat="1" x14ac:dyDescent="0.25">
      <c r="A34" s="51"/>
      <c r="B34" s="11" t="s">
        <v>81</v>
      </c>
      <c r="C34" s="11"/>
      <c r="D34" s="4" t="e">
        <f ca="1">-_xll.OneStop.ReportPlayer.OSRFunctions.OSRGet("GL_F_Trans","Value1")</f>
        <v>#NAME?</v>
      </c>
      <c r="E34" s="4"/>
      <c r="F34" s="13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3" t="e">
        <f t="shared" ca="1" si="29"/>
        <v>#NAME?</v>
      </c>
      <c r="K34" s="4"/>
      <c r="L34" s="4" t="e">
        <f t="shared" ca="1" si="30"/>
        <v>#NAME?</v>
      </c>
      <c r="M34" s="4"/>
      <c r="N34" s="13" t="e">
        <f t="shared" ca="1" si="31"/>
        <v>#NAME?</v>
      </c>
      <c r="O34" s="11"/>
      <c r="P34" s="4" t="e">
        <f ca="1">-_xll.OneStop.ReportPlayer.OSRFunctions.OSRGet("GL_F_Trans","Value1")</f>
        <v>#NAME?</v>
      </c>
      <c r="Q34" s="4"/>
      <c r="R34" s="13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3" t="e">
        <f t="shared" ca="1" si="33"/>
        <v>#NAME?</v>
      </c>
      <c r="W34" s="4"/>
      <c r="X34" s="4" t="e">
        <f t="shared" ca="1" si="34"/>
        <v>#NAME?</v>
      </c>
      <c r="Y34" s="4"/>
      <c r="Z34" s="13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4" customFormat="1" ht="15.75" thickBot="1" x14ac:dyDescent="0.3">
      <c r="A36" s="11"/>
      <c r="B36" s="28" t="s">
        <v>293</v>
      </c>
      <c r="C36" s="28"/>
      <c r="D36" s="33" t="e">
        <f ca="1">SUM(D31:D35)</f>
        <v>#NAME?</v>
      </c>
      <c r="E36" s="14"/>
      <c r="F36" s="35" t="e">
        <f ca="1">IF(D$12=0,0,D36/D$12)</f>
        <v>#NAME?</v>
      </c>
      <c r="G36" s="14"/>
      <c r="H36" s="33" t="e">
        <f ca="1">SUM(H31:H35)</f>
        <v>#NAME?</v>
      </c>
      <c r="I36" s="14"/>
      <c r="J36" s="35" t="e">
        <f ca="1">IF(H$12=0,0,H36/H$12)</f>
        <v>#NAME?</v>
      </c>
      <c r="K36" s="15"/>
      <c r="L36" s="33" t="e">
        <f ca="1">+D36-H36</f>
        <v>#NAME?</v>
      </c>
      <c r="M36" s="15"/>
      <c r="N36" s="35" t="e">
        <f ca="1">IF(H36=0,0,L36/H36)</f>
        <v>#NAME?</v>
      </c>
      <c r="O36" s="29"/>
      <c r="P36" s="33" t="e">
        <f ca="1">SUM(P31:P35)</f>
        <v>#NAME?</v>
      </c>
      <c r="Q36" s="14"/>
      <c r="R36" s="35" t="e">
        <f ca="1">IF(P$12=0,0,P36/P$12)</f>
        <v>#NAME?</v>
      </c>
      <c r="S36" s="14"/>
      <c r="T36" s="33" t="e">
        <f ca="1">SUM(T31:T35)</f>
        <v>#NAME?</v>
      </c>
      <c r="U36" s="14"/>
      <c r="V36" s="35" t="e">
        <f ca="1">IF(T$12=0,0,T36/T$12)</f>
        <v>#NAME?</v>
      </c>
      <c r="W36" s="15"/>
      <c r="X36" s="33" t="e">
        <f ca="1">+P36-T36</f>
        <v>#NAME?</v>
      </c>
      <c r="Y36" s="15"/>
      <c r="Z36" s="35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56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55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60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62" t="s">
        <v>23</v>
      </c>
    </row>
    <row r="3" spans="1:26" x14ac:dyDescent="0.25">
      <c r="D3" s="62" t="s">
        <v>236</v>
      </c>
      <c r="E3" s="17"/>
      <c r="F3" s="46"/>
      <c r="G3" s="17"/>
      <c r="H3" s="17"/>
      <c r="I3" s="17"/>
      <c r="J3" s="38"/>
      <c r="K3" s="17"/>
      <c r="L3" s="17"/>
      <c r="M3" s="17"/>
      <c r="N3" s="46"/>
      <c r="O3" s="53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2" t="e">
        <f ca="1">CONCATENATE("Period ",RIGHT(_xll.OneStop.ReportPlayer.OSRFunctions.OSRGet("Period","PeriodId"),2),", ",_xll.OneStop.ReportPlayer.OSRFunctions.OSRGet("Period","Year"))</f>
        <v>#NAME?</v>
      </c>
      <c r="E4" s="17"/>
      <c r="F4" s="46"/>
      <c r="G4" s="17"/>
      <c r="H4" s="17"/>
      <c r="I4" s="17"/>
      <c r="J4" s="38"/>
      <c r="K4" s="17"/>
      <c r="L4" s="17"/>
      <c r="M4" s="17"/>
      <c r="N4" s="46"/>
      <c r="O4" s="53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4"/>
      <c r="D5" s="64" t="e">
        <f ca="1">_xll.OneStop.ReportPlayer.OSRFunctions.OSRGet("Period","PeriodEnd")</f>
        <v>#NAME?</v>
      </c>
      <c r="E5" s="17"/>
      <c r="F5" s="46"/>
      <c r="G5" s="17"/>
      <c r="H5" s="17"/>
      <c r="I5" s="17"/>
      <c r="J5" s="38"/>
      <c r="K5" s="17"/>
      <c r="L5" s="17"/>
      <c r="M5" s="17"/>
      <c r="N5" s="46"/>
      <c r="O5" s="53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4"/>
      <c r="B6" s="48"/>
      <c r="C6" s="48"/>
      <c r="D6" s="24" t="s">
        <v>182</v>
      </c>
      <c r="E6" s="17"/>
      <c r="F6" s="46"/>
      <c r="G6" s="17"/>
      <c r="H6" s="17"/>
      <c r="I6" s="17"/>
      <c r="J6" s="38"/>
      <c r="K6" s="17"/>
      <c r="L6" s="17"/>
      <c r="M6" s="17"/>
      <c r="N6" s="46"/>
      <c r="O6" s="54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9"/>
    </row>
    <row r="8" spans="1:26" x14ac:dyDescent="0.25">
      <c r="B8" s="59"/>
    </row>
    <row r="9" spans="1:26" x14ac:dyDescent="0.25">
      <c r="B9" s="9"/>
      <c r="C9" s="9"/>
      <c r="D9" s="16" t="s">
        <v>291</v>
      </c>
      <c r="E9" s="16"/>
      <c r="F9" s="39"/>
      <c r="G9" s="16"/>
      <c r="H9" s="16"/>
      <c r="I9" s="16"/>
      <c r="J9" s="49"/>
      <c r="K9" s="16"/>
      <c r="L9" s="16"/>
      <c r="M9" s="16"/>
      <c r="N9" s="39"/>
      <c r="P9" s="16" t="s">
        <v>39</v>
      </c>
      <c r="Q9" s="16"/>
      <c r="R9" s="39"/>
      <c r="S9" s="16"/>
      <c r="T9" s="16"/>
      <c r="U9" s="16"/>
      <c r="V9" s="49"/>
      <c r="W9" s="16"/>
      <c r="X9" s="16"/>
      <c r="Y9" s="16"/>
      <c r="Z9" s="39"/>
    </row>
    <row r="10" spans="1:26" x14ac:dyDescent="0.25">
      <c r="A10" s="11"/>
      <c r="B10" s="58"/>
      <c r="C10" s="11"/>
      <c r="D10" s="42" t="s">
        <v>57</v>
      </c>
      <c r="E10" s="36"/>
      <c r="F10" s="30" t="s">
        <v>40</v>
      </c>
      <c r="G10" s="36"/>
      <c r="H10" s="50" t="s">
        <v>237</v>
      </c>
      <c r="I10" s="36"/>
      <c r="J10" s="30" t="s">
        <v>40</v>
      </c>
      <c r="K10" s="11"/>
      <c r="L10" s="42" t="s">
        <v>126</v>
      </c>
      <c r="M10" s="11"/>
      <c r="N10" s="30" t="s">
        <v>257</v>
      </c>
      <c r="O10" s="11"/>
      <c r="P10" s="61" t="s">
        <v>57</v>
      </c>
      <c r="Q10" s="36"/>
      <c r="R10" s="30" t="s">
        <v>40</v>
      </c>
      <c r="S10" s="36"/>
      <c r="T10" s="50" t="s">
        <v>237</v>
      </c>
      <c r="U10" s="36"/>
      <c r="V10" s="30" t="s">
        <v>40</v>
      </c>
      <c r="W10" s="11"/>
      <c r="X10" s="42" t="s">
        <v>126</v>
      </c>
      <c r="Y10" s="11"/>
      <c r="Z10" s="30" t="s">
        <v>257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4" customFormat="1" collapsed="1" x14ac:dyDescent="0.25">
      <c r="A12" s="11"/>
      <c r="B12" s="29" t="s">
        <v>139</v>
      </c>
      <c r="C12" s="11"/>
      <c r="D12" s="4" t="e">
        <f ca="1">SUM(_xll.OneStop.ReportPlayer.OSRFunctions.OSRRef(D13))</f>
        <v>#NAME?</v>
      </c>
      <c r="E12" s="4"/>
      <c r="F12" s="13"/>
      <c r="G12" s="4"/>
      <c r="H12" s="4" t="e">
        <f ca="1">SUM(_xll.OneStop.ReportPlayer.OSRFunctions.OSRRef(H13))</f>
        <v>#NAME?</v>
      </c>
      <c r="I12" s="4"/>
      <c r="J12" s="13"/>
      <c r="K12" s="4"/>
      <c r="L12" s="4" t="e">
        <f t="shared" ref="L12:L13" ca="1" si="0">+D12-H12</f>
        <v>#NAME?</v>
      </c>
      <c r="M12" s="4"/>
      <c r="N12" s="13" t="e">
        <f t="shared" ref="N12:N13" ca="1" si="1">IF(H12=0,0,L12/H12)</f>
        <v>#NAME?</v>
      </c>
      <c r="O12" s="11"/>
      <c r="P12" s="4" t="e">
        <f ca="1">SUM(_xll.OneStop.ReportPlayer.OSRFunctions.OSRRef(P13))</f>
        <v>#NAME?</v>
      </c>
      <c r="Q12" s="4"/>
      <c r="R12" s="13"/>
      <c r="S12" s="4"/>
      <c r="T12" s="4" t="e">
        <f ca="1">SUM(_xll.OneStop.ReportPlayer.OSRFunctions.OSRRef(T13))</f>
        <v>#NAME?</v>
      </c>
      <c r="U12" s="4"/>
      <c r="V12" s="13"/>
      <c r="W12" s="4"/>
      <c r="X12" s="4" t="e">
        <f t="shared" ref="X12:X13" ca="1" si="2">+P12-T12</f>
        <v>#NAME?</v>
      </c>
      <c r="Y12" s="4"/>
      <c r="Z12" s="13" t="e">
        <f t="shared" ref="Z12:Z13" ca="1" si="3">IF(T12=0,0,X12/T12)</f>
        <v>#NAME?</v>
      </c>
    </row>
    <row r="13" spans="1:26" s="23" customFormat="1" hidden="1" outlineLevel="1" x14ac:dyDescent="0.25">
      <c r="A13" s="44"/>
      <c r="B13" s="10" t="e">
        <f ca="1">CONCATENATE("          ", _xll.OneStop.ReportPlayer.OSRFunctions.OSRGet("d_Account","Code"), " - ", _xll.OneStop.ReportPlayer.OSRFunctions.OSRGet("d_Account","Description"))</f>
        <v>#NAME?</v>
      </c>
      <c r="C13" s="10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0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1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4" customFormat="1" collapsed="1" x14ac:dyDescent="0.25">
      <c r="A15" s="11"/>
      <c r="B15" s="29" t="s">
        <v>256</v>
      </c>
      <c r="C15" s="11"/>
      <c r="D15" s="4" t="e">
        <f ca="1">SUM(_xll.OneStop.ReportPlayer.OSRFunctions.OSRRef(D16))</f>
        <v>#NAME?</v>
      </c>
      <c r="E15" s="4"/>
      <c r="F15" s="13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3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3" t="e">
        <f t="shared" ref="N15:N16" ca="1" si="7">IF(H15=0,0,L15/H15)</f>
        <v>#NAME?</v>
      </c>
      <c r="O15" s="11"/>
      <c r="P15" s="4" t="e">
        <f ca="1">SUM(_xll.OneStop.ReportPlayer.OSRFunctions.OSRRef(P16))</f>
        <v>#NAME?</v>
      </c>
      <c r="Q15" s="4"/>
      <c r="R15" s="13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3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3" t="e">
        <f t="shared" ref="Z15:Z16" ca="1" si="11">IF(T15=0,0,X15/T15)</f>
        <v>#NAME?</v>
      </c>
    </row>
    <row r="16" spans="1:26" s="23" customFormat="1" hidden="1" outlineLevel="1" x14ac:dyDescent="0.25">
      <c r="A16" s="44"/>
      <c r="B16" s="10" t="e">
        <f ca="1">CONCATENATE("          ", _xll.OneStop.ReportPlayer.OSRFunctions.OSRGet("d_Account","Code"), " - ", _xll.OneStop.ReportPlayer.OSRFunctions.OSRGet("d_Account","Description"))</f>
        <v>#NAME?</v>
      </c>
      <c r="C16" s="10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0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1"/>
      <c r="C17" s="11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1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4" customFormat="1" x14ac:dyDescent="0.25">
      <c r="A18" s="11"/>
      <c r="B18" s="28" t="s">
        <v>107</v>
      </c>
      <c r="C18" s="28"/>
      <c r="D18" s="21" t="e">
        <f ca="1">D12-D15</f>
        <v>#NAME?</v>
      </c>
      <c r="E18" s="14"/>
      <c r="F18" s="22" t="e">
        <f ca="1">IF(D$12=0,0,D18/D$12)</f>
        <v>#NAME?</v>
      </c>
      <c r="G18" s="14"/>
      <c r="H18" s="21" t="e">
        <f ca="1">H12-H15</f>
        <v>#NAME?</v>
      </c>
      <c r="I18" s="14"/>
      <c r="J18" s="22" t="e">
        <f ca="1">IF(H$12=0,0,H18/H$12)</f>
        <v>#NAME?</v>
      </c>
      <c r="K18" s="15"/>
      <c r="L18" s="21" t="e">
        <f ca="1">+D18-H18</f>
        <v>#NAME?</v>
      </c>
      <c r="M18" s="15"/>
      <c r="N18" s="22" t="e">
        <f ca="1">IF(H18=0,0,L18/H18)</f>
        <v>#NAME?</v>
      </c>
      <c r="O18" s="29"/>
      <c r="P18" s="21" t="e">
        <f ca="1">P12-P15</f>
        <v>#NAME?</v>
      </c>
      <c r="Q18" s="14"/>
      <c r="R18" s="22" t="e">
        <f ca="1">IF(P$12=0,0,P18/P$12)</f>
        <v>#NAME?</v>
      </c>
      <c r="S18" s="14"/>
      <c r="T18" s="21" t="e">
        <f ca="1">T12-T15</f>
        <v>#NAME?</v>
      </c>
      <c r="U18" s="14"/>
      <c r="V18" s="22" t="e">
        <f ca="1">IF(T$12=0,0,T18/T$12)</f>
        <v>#NAME?</v>
      </c>
      <c r="W18" s="15"/>
      <c r="X18" s="21" t="e">
        <f ca="1">+P18-T18</f>
        <v>#NAME?</v>
      </c>
      <c r="Y18" s="15"/>
      <c r="Z18" s="22" t="e">
        <f ca="1">IF(T18=0,0,X18/T18)</f>
        <v>#NAME?</v>
      </c>
    </row>
    <row r="19" spans="1:26" x14ac:dyDescent="0.25">
      <c r="A19" s="9"/>
      <c r="B19" s="11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4" customFormat="1" x14ac:dyDescent="0.25">
      <c r="A20" s="11"/>
      <c r="B20" s="29" t="s">
        <v>294</v>
      </c>
      <c r="C20" s="11"/>
      <c r="D20" s="20" t="e">
        <f ca="1">SUM(_xll.OneStop.ReportPlayer.OSRFunctions.OSRRef(D22))</f>
        <v>#NAME?</v>
      </c>
      <c r="E20" s="20"/>
      <c r="F20" s="32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2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2" t="e">
        <f t="shared" ref="N20:N22" ca="1" si="15">IF(H20=0,0,L20/H20)</f>
        <v>#NAME?</v>
      </c>
      <c r="O20" s="11"/>
      <c r="P20" s="20" t="e">
        <f ca="1">SUM(_xll.OneStop.ReportPlayer.OSRFunctions.OSRRef(P22))</f>
        <v>#NAME?</v>
      </c>
      <c r="Q20" s="20"/>
      <c r="R20" s="32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2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2" t="e">
        <f t="shared" ref="Z20:Z22" ca="1" si="19">IF(T20=0,0,X20/T20)</f>
        <v>#NAME?</v>
      </c>
    </row>
    <row r="21" spans="1:26" s="27" customFormat="1" outlineLevel="1" collapsed="1" x14ac:dyDescent="0.25">
      <c r="A21" s="26"/>
      <c r="B21" s="12" t="e">
        <f ca="1">CONCATENATE("     ",_xll.OneStop.ReportPlayer.OSRFunctions.OSRGet("d_Account","AccountCategory"))</f>
        <v>#NAME?</v>
      </c>
      <c r="C21" s="12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2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3" customFormat="1" hidden="1" outlineLevel="2" x14ac:dyDescent="0.25">
      <c r="A22" s="25"/>
      <c r="B22" s="10" t="e">
        <f ca="1">CONCATENATE("          ", _xll.OneStop.ReportPlayer.OSRFunctions.OSRGet("d_Account","Code"), " - ", _xll.OneStop.ReportPlayer.OSRFunctions.OSRGet("d_Account","Description"))</f>
        <v>#NAME?</v>
      </c>
      <c r="C22" s="10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0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2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4" customFormat="1" collapsed="1" x14ac:dyDescent="0.25">
      <c r="A24" s="11"/>
      <c r="B24" s="29" t="s">
        <v>292</v>
      </c>
      <c r="C24" s="11"/>
      <c r="D24" s="4" t="e">
        <f ca="1">SUM(_xll.OneStop.ReportPlayer.OSRFunctions.OSRRef(D25))</f>
        <v>#NAME?</v>
      </c>
      <c r="E24" s="4"/>
      <c r="F24" s="13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3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3" t="e">
        <f t="shared" ref="N24:N25" ca="1" si="23">IF(H24=0,0,L24/H24)</f>
        <v>#NAME?</v>
      </c>
      <c r="O24" s="11"/>
      <c r="P24" s="4" t="e">
        <f ca="1">SUM(_xll.OneStop.ReportPlayer.OSRFunctions.OSRRef(P25))</f>
        <v>#NAME?</v>
      </c>
      <c r="Q24" s="4"/>
      <c r="R24" s="13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3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3" t="e">
        <f t="shared" ref="Z24:Z25" ca="1" si="27">IF(T24=0,0,X24/T24)</f>
        <v>#NAME?</v>
      </c>
    </row>
    <row r="25" spans="1:26" s="23" customFormat="1" hidden="1" outlineLevel="1" x14ac:dyDescent="0.25">
      <c r="A25" s="44"/>
      <c r="B25" s="10" t="e">
        <f ca="1">CONCATENATE("          ", _xll.OneStop.ReportPlayer.OSRFunctions.OSRGet("d_Account","Code"), " - ", _xll.OneStop.ReportPlayer.OSRFunctions.OSRGet("d_Account","Description"))</f>
        <v>#NAME?</v>
      </c>
      <c r="C25" s="10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0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1"/>
      <c r="C26" s="11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1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4" customFormat="1" x14ac:dyDescent="0.25">
      <c r="A27" s="11"/>
      <c r="B27" s="28" t="s">
        <v>276</v>
      </c>
      <c r="C27" s="28"/>
      <c r="D27" s="21" t="e">
        <f ca="1">+D18-D20+D24</f>
        <v>#NAME?</v>
      </c>
      <c r="E27" s="14"/>
      <c r="F27" s="22" t="e">
        <f ca="1">IF(D$12=0,0,D27/D$12)</f>
        <v>#NAME?</v>
      </c>
      <c r="G27" s="14"/>
      <c r="H27" s="21" t="e">
        <f ca="1">+H18-H20+H24</f>
        <v>#NAME?</v>
      </c>
      <c r="I27" s="14"/>
      <c r="J27" s="22" t="e">
        <f ca="1">IF(H$12=0,0,H27/H$12)</f>
        <v>#NAME?</v>
      </c>
      <c r="K27" s="15"/>
      <c r="L27" s="21" t="e">
        <f ca="1">+D27-H27</f>
        <v>#NAME?</v>
      </c>
      <c r="M27" s="15"/>
      <c r="N27" s="22" t="e">
        <f ca="1">IF(H27=0,0,L27/H27)</f>
        <v>#NAME?</v>
      </c>
      <c r="O27" s="29"/>
      <c r="P27" s="21" t="e">
        <f ca="1">+P18-P20+P24</f>
        <v>#NAME?</v>
      </c>
      <c r="Q27" s="14"/>
      <c r="R27" s="22" t="e">
        <f ca="1">IF(P$12=0,0,P27/P$12)</f>
        <v>#NAME?</v>
      </c>
      <c r="S27" s="14"/>
      <c r="T27" s="21" t="e">
        <f ca="1">+T18-T20+T24</f>
        <v>#NAME?</v>
      </c>
      <c r="U27" s="14"/>
      <c r="V27" s="22" t="e">
        <f ca="1">IF(T$12=0,0,T27/T$12)</f>
        <v>#NAME?</v>
      </c>
      <c r="W27" s="15"/>
      <c r="X27" s="21" t="e">
        <f ca="1">+P27-T27</f>
        <v>#NAME?</v>
      </c>
      <c r="Y27" s="15"/>
      <c r="Z27" s="22" t="e">
        <f ca="1">IF(T27=0,0,X27/T27)</f>
        <v>#NAME?</v>
      </c>
    </row>
    <row r="28" spans="1:26" x14ac:dyDescent="0.25">
      <c r="A28" s="9"/>
      <c r="B28" s="11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4" customFormat="1" x14ac:dyDescent="0.25">
      <c r="A29" s="51"/>
      <c r="B29" s="11" t="s">
        <v>127</v>
      </c>
      <c r="C29" s="11"/>
      <c r="D29" s="4" t="e">
        <f ca="1">_xll.OneStop.ReportPlayer.OSRFunctions.OSRGet("GL_F_Trans","Value1")</f>
        <v>#NAME?</v>
      </c>
      <c r="E29" s="4"/>
      <c r="F29" s="13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3" t="e">
        <f ca="1">IF(H$12=0,0,H29/H$12)</f>
        <v>#NAME?</v>
      </c>
      <c r="K29" s="4"/>
      <c r="L29" s="4" t="e">
        <f ca="1">+D29-H29</f>
        <v>#NAME?</v>
      </c>
      <c r="M29" s="4"/>
      <c r="N29" s="13" t="e">
        <f ca="1">IF(H29=0,0,L29/H29)</f>
        <v>#NAME?</v>
      </c>
      <c r="O29" s="11"/>
      <c r="P29" s="4" t="e">
        <f ca="1">_xll.OneStop.ReportPlayer.OSRFunctions.OSRGet("GL_F_Trans","Value1")</f>
        <v>#NAME?</v>
      </c>
      <c r="Q29" s="4"/>
      <c r="R29" s="13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3" t="e">
        <f ca="1">IF(T$12=0,0,T29/T$12)</f>
        <v>#NAME?</v>
      </c>
      <c r="W29" s="4"/>
      <c r="X29" s="4" t="e">
        <f ca="1">+P29-T29</f>
        <v>#NAME?</v>
      </c>
      <c r="Y29" s="4"/>
      <c r="Z29" s="13" t="e">
        <f ca="1">IF(T29=0,0,X29/T29)</f>
        <v>#NAME?</v>
      </c>
    </row>
    <row r="30" spans="1:26" x14ac:dyDescent="0.25">
      <c r="A30" s="9"/>
      <c r="B30" s="11"/>
      <c r="C30" s="11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1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4" customFormat="1" ht="15.75" thickBot="1" x14ac:dyDescent="0.3">
      <c r="A31" s="11"/>
      <c r="B31" s="28" t="s">
        <v>125</v>
      </c>
      <c r="C31" s="28"/>
      <c r="D31" s="34" t="e">
        <f ca="1">+D27-D29</f>
        <v>#NAME?</v>
      </c>
      <c r="E31" s="14"/>
      <c r="F31" s="31" t="e">
        <f ca="1">IF(D$12=0,0,D31/D$12)</f>
        <v>#NAME?</v>
      </c>
      <c r="G31" s="14"/>
      <c r="H31" s="34" t="e">
        <f ca="1">+H27-H29</f>
        <v>#NAME?</v>
      </c>
      <c r="I31" s="14"/>
      <c r="J31" s="31" t="e">
        <f ca="1">IF(H$12=0,0,H31/H$12)</f>
        <v>#NAME?</v>
      </c>
      <c r="K31" s="15"/>
      <c r="L31" s="34" t="e">
        <f ca="1">D31-H31</f>
        <v>#NAME?</v>
      </c>
      <c r="M31" s="15"/>
      <c r="N31" s="31" t="e">
        <f ca="1">IF(H31=0,0,L31/H31)</f>
        <v>#NAME?</v>
      </c>
      <c r="O31" s="29"/>
      <c r="P31" s="34" t="e">
        <f ca="1">+P27-P29</f>
        <v>#NAME?</v>
      </c>
      <c r="Q31" s="14"/>
      <c r="R31" s="31" t="e">
        <f ca="1">IF(P$12=0,0,P31/P$12)</f>
        <v>#NAME?</v>
      </c>
      <c r="S31" s="14"/>
      <c r="T31" s="34" t="e">
        <f ca="1">+T27-T29</f>
        <v>#NAME?</v>
      </c>
      <c r="U31" s="14"/>
      <c r="V31" s="31" t="e">
        <f ca="1">IF(T$12=0,0,T31/T$12)</f>
        <v>#NAME?</v>
      </c>
      <c r="W31" s="15"/>
      <c r="X31" s="34" t="e">
        <f ca="1">P31-T31</f>
        <v>#NAME?</v>
      </c>
      <c r="Y31" s="15"/>
      <c r="Z31" s="31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4" customFormat="1" x14ac:dyDescent="0.25">
      <c r="A33" s="51"/>
      <c r="B33" s="11" t="s">
        <v>183</v>
      </c>
      <c r="C33" s="11"/>
      <c r="D33" s="4" t="e">
        <f ca="1">-_xll.OneStop.ReportPlayer.OSRFunctions.OSRGet("GL_F_Trans","Value1")</f>
        <v>#NAME?</v>
      </c>
      <c r="E33" s="4"/>
      <c r="F33" s="13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3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3" t="e">
        <f t="shared" ref="N33:N34" ca="1" si="31">IF(H33=0,0,L33/H33)</f>
        <v>#NAME?</v>
      </c>
      <c r="O33" s="11"/>
      <c r="P33" s="4" t="e">
        <f ca="1">-_xll.OneStop.ReportPlayer.OSRFunctions.OSRGet("GL_F_Trans","Value1")</f>
        <v>#NAME?</v>
      </c>
      <c r="Q33" s="4"/>
      <c r="R33" s="13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3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3" t="e">
        <f t="shared" ref="Z33:Z34" ca="1" si="35">IF(T33=0,0,X33/T33)</f>
        <v>#NAME?</v>
      </c>
    </row>
    <row r="34" spans="1:26" s="24" customFormat="1" x14ac:dyDescent="0.25">
      <c r="A34" s="51"/>
      <c r="B34" s="11" t="s">
        <v>81</v>
      </c>
      <c r="C34" s="11"/>
      <c r="D34" s="4" t="e">
        <f ca="1">-_xll.OneStop.ReportPlayer.OSRFunctions.OSRGet("GL_F_Trans","Value1")</f>
        <v>#NAME?</v>
      </c>
      <c r="E34" s="4"/>
      <c r="F34" s="13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3" t="e">
        <f t="shared" ca="1" si="29"/>
        <v>#NAME?</v>
      </c>
      <c r="K34" s="4"/>
      <c r="L34" s="4" t="e">
        <f t="shared" ca="1" si="30"/>
        <v>#NAME?</v>
      </c>
      <c r="M34" s="4"/>
      <c r="N34" s="13" t="e">
        <f t="shared" ca="1" si="31"/>
        <v>#NAME?</v>
      </c>
      <c r="O34" s="11"/>
      <c r="P34" s="4" t="e">
        <f ca="1">-_xll.OneStop.ReportPlayer.OSRFunctions.OSRGet("GL_F_Trans","Value1")</f>
        <v>#NAME?</v>
      </c>
      <c r="Q34" s="4"/>
      <c r="R34" s="13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3" t="e">
        <f t="shared" ca="1" si="33"/>
        <v>#NAME?</v>
      </c>
      <c r="W34" s="4"/>
      <c r="X34" s="4" t="e">
        <f t="shared" ca="1" si="34"/>
        <v>#NAME?</v>
      </c>
      <c r="Y34" s="4"/>
      <c r="Z34" s="13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4" customFormat="1" ht="15.75" thickBot="1" x14ac:dyDescent="0.3">
      <c r="A36" s="11"/>
      <c r="B36" s="28" t="s">
        <v>293</v>
      </c>
      <c r="C36" s="28"/>
      <c r="D36" s="33" t="e">
        <f ca="1">SUM(D31:D35)</f>
        <v>#NAME?</v>
      </c>
      <c r="E36" s="14"/>
      <c r="F36" s="35" t="e">
        <f ca="1">IF(D$12=0,0,D36/D$12)</f>
        <v>#NAME?</v>
      </c>
      <c r="G36" s="14"/>
      <c r="H36" s="33" t="e">
        <f ca="1">SUM(H31:H35)</f>
        <v>#NAME?</v>
      </c>
      <c r="I36" s="14"/>
      <c r="J36" s="35" t="e">
        <f ca="1">IF(H$12=0,0,H36/H$12)</f>
        <v>#NAME?</v>
      </c>
      <c r="K36" s="15"/>
      <c r="L36" s="33" t="e">
        <f ca="1">+D36-H36</f>
        <v>#NAME?</v>
      </c>
      <c r="M36" s="15"/>
      <c r="N36" s="35" t="e">
        <f ca="1">IF(H36=0,0,L36/H36)</f>
        <v>#NAME?</v>
      </c>
      <c r="O36" s="29"/>
      <c r="P36" s="33" t="e">
        <f ca="1">SUM(P31:P35)</f>
        <v>#NAME?</v>
      </c>
      <c r="Q36" s="14"/>
      <c r="R36" s="35" t="e">
        <f ca="1">IF(P$12=0,0,P36/P$12)</f>
        <v>#NAME?</v>
      </c>
      <c r="S36" s="14"/>
      <c r="T36" s="33" t="e">
        <f ca="1">SUM(T31:T35)</f>
        <v>#NAME?</v>
      </c>
      <c r="U36" s="14"/>
      <c r="V36" s="35" t="e">
        <f ca="1">IF(T$12=0,0,T36/T$12)</f>
        <v>#NAME?</v>
      </c>
      <c r="W36" s="15"/>
      <c r="X36" s="33" t="e">
        <f ca="1">+P36-T36</f>
        <v>#NAME?</v>
      </c>
      <c r="Y36" s="15"/>
      <c r="Z36" s="35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56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55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60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62" t="s">
        <v>23</v>
      </c>
    </row>
    <row r="3" spans="1:26" x14ac:dyDescent="0.25">
      <c r="D3" s="62" t="s">
        <v>236</v>
      </c>
      <c r="E3" s="17"/>
      <c r="F3" s="46"/>
      <c r="G3" s="17"/>
      <c r="H3" s="17"/>
      <c r="I3" s="17"/>
      <c r="J3" s="38"/>
      <c r="K3" s="17"/>
      <c r="L3" s="17"/>
      <c r="M3" s="17"/>
      <c r="N3" s="46"/>
      <c r="O3" s="53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2" t="e">
        <f ca="1">CONCATENATE("Period ",RIGHT(_xll.OneStop.ReportPlayer.OSRFunctions.OSRGet("Period","PeriodId"),2),", ",_xll.OneStop.ReportPlayer.OSRFunctions.OSRGet("Period","Year"))</f>
        <v>#NAME?</v>
      </c>
      <c r="E4" s="17"/>
      <c r="F4" s="46"/>
      <c r="G4" s="17"/>
      <c r="H4" s="17"/>
      <c r="I4" s="17"/>
      <c r="J4" s="38"/>
      <c r="K4" s="17"/>
      <c r="L4" s="17"/>
      <c r="M4" s="17"/>
      <c r="N4" s="46"/>
      <c r="O4" s="53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4"/>
      <c r="D5" s="64" t="e">
        <f ca="1">_xll.OneStop.ReportPlayer.OSRFunctions.OSRGet("Period","PeriodEnd")</f>
        <v>#NAME?</v>
      </c>
      <c r="E5" s="17"/>
      <c r="F5" s="46"/>
      <c r="G5" s="17"/>
      <c r="H5" s="17"/>
      <c r="I5" s="17"/>
      <c r="J5" s="38"/>
      <c r="K5" s="17"/>
      <c r="L5" s="17"/>
      <c r="M5" s="17"/>
      <c r="N5" s="46"/>
      <c r="O5" s="53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4"/>
      <c r="B6" s="48"/>
      <c r="C6" s="48"/>
      <c r="D6" s="24" t="s">
        <v>104</v>
      </c>
      <c r="E6" s="17"/>
      <c r="F6" s="46"/>
      <c r="G6" s="17"/>
      <c r="H6" s="17"/>
      <c r="I6" s="17"/>
      <c r="J6" s="38"/>
      <c r="K6" s="17"/>
      <c r="L6" s="17"/>
      <c r="M6" s="17"/>
      <c r="N6" s="46"/>
      <c r="O6" s="54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9"/>
    </row>
    <row r="8" spans="1:26" x14ac:dyDescent="0.25">
      <c r="B8" s="59"/>
    </row>
    <row r="9" spans="1:26" x14ac:dyDescent="0.25">
      <c r="B9" s="9"/>
      <c r="C9" s="9"/>
      <c r="D9" s="16" t="s">
        <v>291</v>
      </c>
      <c r="E9" s="16"/>
      <c r="F9" s="39"/>
      <c r="G9" s="16"/>
      <c r="H9" s="16"/>
      <c r="I9" s="16"/>
      <c r="J9" s="49"/>
      <c r="K9" s="16"/>
      <c r="L9" s="16"/>
      <c r="M9" s="16"/>
      <c r="N9" s="39"/>
      <c r="P9" s="16" t="s">
        <v>39</v>
      </c>
      <c r="Q9" s="16"/>
      <c r="R9" s="39"/>
      <c r="S9" s="16"/>
      <c r="T9" s="16"/>
      <c r="U9" s="16"/>
      <c r="V9" s="49"/>
      <c r="W9" s="16"/>
      <c r="X9" s="16"/>
      <c r="Y9" s="16"/>
      <c r="Z9" s="39"/>
    </row>
    <row r="10" spans="1:26" x14ac:dyDescent="0.25">
      <c r="A10" s="11"/>
      <c r="B10" s="58"/>
      <c r="C10" s="11"/>
      <c r="D10" s="42" t="s">
        <v>57</v>
      </c>
      <c r="E10" s="36"/>
      <c r="F10" s="30" t="s">
        <v>40</v>
      </c>
      <c r="G10" s="36"/>
      <c r="H10" s="50" t="s">
        <v>237</v>
      </c>
      <c r="I10" s="36"/>
      <c r="J10" s="30" t="s">
        <v>40</v>
      </c>
      <c r="K10" s="11"/>
      <c r="L10" s="42" t="s">
        <v>126</v>
      </c>
      <c r="M10" s="11"/>
      <c r="N10" s="30" t="s">
        <v>257</v>
      </c>
      <c r="O10" s="11"/>
      <c r="P10" s="61" t="s">
        <v>57</v>
      </c>
      <c r="Q10" s="36"/>
      <c r="R10" s="30" t="s">
        <v>40</v>
      </c>
      <c r="S10" s="36"/>
      <c r="T10" s="50" t="s">
        <v>237</v>
      </c>
      <c r="U10" s="36"/>
      <c r="V10" s="30" t="s">
        <v>40</v>
      </c>
      <c r="W10" s="11"/>
      <c r="X10" s="42" t="s">
        <v>126</v>
      </c>
      <c r="Y10" s="11"/>
      <c r="Z10" s="30" t="s">
        <v>257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4" customFormat="1" collapsed="1" x14ac:dyDescent="0.25">
      <c r="A12" s="11"/>
      <c r="B12" s="29" t="s">
        <v>139</v>
      </c>
      <c r="C12" s="11"/>
      <c r="D12" s="4" t="e">
        <f ca="1">SUM(_xll.OneStop.ReportPlayer.OSRFunctions.OSRRef(D13))</f>
        <v>#NAME?</v>
      </c>
      <c r="E12" s="4"/>
      <c r="F12" s="13"/>
      <c r="G12" s="4"/>
      <c r="H12" s="4" t="e">
        <f ca="1">SUM(_xll.OneStop.ReportPlayer.OSRFunctions.OSRRef(H13))</f>
        <v>#NAME?</v>
      </c>
      <c r="I12" s="4"/>
      <c r="J12" s="13"/>
      <c r="K12" s="4"/>
      <c r="L12" s="4" t="e">
        <f t="shared" ref="L12:L13" ca="1" si="0">+D12-H12</f>
        <v>#NAME?</v>
      </c>
      <c r="M12" s="4"/>
      <c r="N12" s="13" t="e">
        <f t="shared" ref="N12:N13" ca="1" si="1">IF(H12=0,0,L12/H12)</f>
        <v>#NAME?</v>
      </c>
      <c r="O12" s="11"/>
      <c r="P12" s="4" t="e">
        <f ca="1">SUM(_xll.OneStop.ReportPlayer.OSRFunctions.OSRRef(P13))</f>
        <v>#NAME?</v>
      </c>
      <c r="Q12" s="4"/>
      <c r="R12" s="13"/>
      <c r="S12" s="4"/>
      <c r="T12" s="4" t="e">
        <f ca="1">SUM(_xll.OneStop.ReportPlayer.OSRFunctions.OSRRef(T13))</f>
        <v>#NAME?</v>
      </c>
      <c r="U12" s="4"/>
      <c r="V12" s="13"/>
      <c r="W12" s="4"/>
      <c r="X12" s="4" t="e">
        <f t="shared" ref="X12:X13" ca="1" si="2">+P12-T12</f>
        <v>#NAME?</v>
      </c>
      <c r="Y12" s="4"/>
      <c r="Z12" s="13" t="e">
        <f t="shared" ref="Z12:Z13" ca="1" si="3">IF(T12=0,0,X12/T12)</f>
        <v>#NAME?</v>
      </c>
    </row>
    <row r="13" spans="1:26" s="23" customFormat="1" hidden="1" outlineLevel="1" x14ac:dyDescent="0.25">
      <c r="A13" s="44"/>
      <c r="B13" s="10" t="e">
        <f ca="1">CONCATENATE("          ", _xll.OneStop.ReportPlayer.OSRFunctions.OSRGet("d_Account","Code"), " - ", _xll.OneStop.ReportPlayer.OSRFunctions.OSRGet("d_Account","Description"))</f>
        <v>#NAME?</v>
      </c>
      <c r="C13" s="10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0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1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4" customFormat="1" collapsed="1" x14ac:dyDescent="0.25">
      <c r="A15" s="11"/>
      <c r="B15" s="29" t="s">
        <v>256</v>
      </c>
      <c r="C15" s="11"/>
      <c r="D15" s="4" t="e">
        <f ca="1">SUM(_xll.OneStop.ReportPlayer.OSRFunctions.OSRRef(D16))</f>
        <v>#NAME?</v>
      </c>
      <c r="E15" s="4"/>
      <c r="F15" s="13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3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3" t="e">
        <f t="shared" ref="N15:N16" ca="1" si="7">IF(H15=0,0,L15/H15)</f>
        <v>#NAME?</v>
      </c>
      <c r="O15" s="11"/>
      <c r="P15" s="4" t="e">
        <f ca="1">SUM(_xll.OneStop.ReportPlayer.OSRFunctions.OSRRef(P16))</f>
        <v>#NAME?</v>
      </c>
      <c r="Q15" s="4"/>
      <c r="R15" s="13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3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3" t="e">
        <f t="shared" ref="Z15:Z16" ca="1" si="11">IF(T15=0,0,X15/T15)</f>
        <v>#NAME?</v>
      </c>
    </row>
    <row r="16" spans="1:26" s="23" customFormat="1" hidden="1" outlineLevel="1" x14ac:dyDescent="0.25">
      <c r="A16" s="44"/>
      <c r="B16" s="10" t="e">
        <f ca="1">CONCATENATE("          ", _xll.OneStop.ReportPlayer.OSRFunctions.OSRGet("d_Account","Code"), " - ", _xll.OneStop.ReportPlayer.OSRFunctions.OSRGet("d_Account","Description"))</f>
        <v>#NAME?</v>
      </c>
      <c r="C16" s="10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0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1"/>
      <c r="C17" s="11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1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4" customFormat="1" x14ac:dyDescent="0.25">
      <c r="A18" s="11"/>
      <c r="B18" s="28" t="s">
        <v>107</v>
      </c>
      <c r="C18" s="28"/>
      <c r="D18" s="21" t="e">
        <f ca="1">D12-D15</f>
        <v>#NAME?</v>
      </c>
      <c r="E18" s="14"/>
      <c r="F18" s="22" t="e">
        <f ca="1">IF(D$12=0,0,D18/D$12)</f>
        <v>#NAME?</v>
      </c>
      <c r="G18" s="14"/>
      <c r="H18" s="21" t="e">
        <f ca="1">H12-H15</f>
        <v>#NAME?</v>
      </c>
      <c r="I18" s="14"/>
      <c r="J18" s="22" t="e">
        <f ca="1">IF(H$12=0,0,H18/H$12)</f>
        <v>#NAME?</v>
      </c>
      <c r="K18" s="15"/>
      <c r="L18" s="21" t="e">
        <f ca="1">+D18-H18</f>
        <v>#NAME?</v>
      </c>
      <c r="M18" s="15"/>
      <c r="N18" s="22" t="e">
        <f ca="1">IF(H18=0,0,L18/H18)</f>
        <v>#NAME?</v>
      </c>
      <c r="O18" s="29"/>
      <c r="P18" s="21" t="e">
        <f ca="1">P12-P15</f>
        <v>#NAME?</v>
      </c>
      <c r="Q18" s="14"/>
      <c r="R18" s="22" t="e">
        <f ca="1">IF(P$12=0,0,P18/P$12)</f>
        <v>#NAME?</v>
      </c>
      <c r="S18" s="14"/>
      <c r="T18" s="21" t="e">
        <f ca="1">T12-T15</f>
        <v>#NAME?</v>
      </c>
      <c r="U18" s="14"/>
      <c r="V18" s="22" t="e">
        <f ca="1">IF(T$12=0,0,T18/T$12)</f>
        <v>#NAME?</v>
      </c>
      <c r="W18" s="15"/>
      <c r="X18" s="21" t="e">
        <f ca="1">+P18-T18</f>
        <v>#NAME?</v>
      </c>
      <c r="Y18" s="15"/>
      <c r="Z18" s="22" t="e">
        <f ca="1">IF(T18=0,0,X18/T18)</f>
        <v>#NAME?</v>
      </c>
    </row>
    <row r="19" spans="1:26" x14ac:dyDescent="0.25">
      <c r="A19" s="9"/>
      <c r="B19" s="11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4" customFormat="1" x14ac:dyDescent="0.25">
      <c r="A20" s="11"/>
      <c r="B20" s="29" t="s">
        <v>294</v>
      </c>
      <c r="C20" s="11"/>
      <c r="D20" s="20" t="e">
        <f ca="1">SUM(_xll.OneStop.ReportPlayer.OSRFunctions.OSRRef(D22))</f>
        <v>#NAME?</v>
      </c>
      <c r="E20" s="20"/>
      <c r="F20" s="32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2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2" t="e">
        <f t="shared" ref="N20:N22" ca="1" si="15">IF(H20=0,0,L20/H20)</f>
        <v>#NAME?</v>
      </c>
      <c r="O20" s="11"/>
      <c r="P20" s="20" t="e">
        <f ca="1">SUM(_xll.OneStop.ReportPlayer.OSRFunctions.OSRRef(P22))</f>
        <v>#NAME?</v>
      </c>
      <c r="Q20" s="20"/>
      <c r="R20" s="32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2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2" t="e">
        <f t="shared" ref="Z20:Z22" ca="1" si="19">IF(T20=0,0,X20/T20)</f>
        <v>#NAME?</v>
      </c>
    </row>
    <row r="21" spans="1:26" s="27" customFormat="1" outlineLevel="1" collapsed="1" x14ac:dyDescent="0.25">
      <c r="A21" s="26"/>
      <c r="B21" s="12" t="e">
        <f ca="1">CONCATENATE("     ",_xll.OneStop.ReportPlayer.OSRFunctions.OSRGet("d_Account","AccountCategory"))</f>
        <v>#NAME?</v>
      </c>
      <c r="C21" s="12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2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3" customFormat="1" hidden="1" outlineLevel="2" x14ac:dyDescent="0.25">
      <c r="A22" s="25"/>
      <c r="B22" s="10" t="e">
        <f ca="1">CONCATENATE("          ", _xll.OneStop.ReportPlayer.OSRFunctions.OSRGet("d_Account","Code"), " - ", _xll.OneStop.ReportPlayer.OSRFunctions.OSRGet("d_Account","Description"))</f>
        <v>#NAME?</v>
      </c>
      <c r="C22" s="10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0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2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4" customFormat="1" collapsed="1" x14ac:dyDescent="0.25">
      <c r="A24" s="11"/>
      <c r="B24" s="29" t="s">
        <v>292</v>
      </c>
      <c r="C24" s="11"/>
      <c r="D24" s="4" t="e">
        <f ca="1">SUM(_xll.OneStop.ReportPlayer.OSRFunctions.OSRRef(D25))</f>
        <v>#NAME?</v>
      </c>
      <c r="E24" s="4"/>
      <c r="F24" s="13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3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3" t="e">
        <f t="shared" ref="N24:N25" ca="1" si="23">IF(H24=0,0,L24/H24)</f>
        <v>#NAME?</v>
      </c>
      <c r="O24" s="11"/>
      <c r="P24" s="4" t="e">
        <f ca="1">SUM(_xll.OneStop.ReportPlayer.OSRFunctions.OSRRef(P25))</f>
        <v>#NAME?</v>
      </c>
      <c r="Q24" s="4"/>
      <c r="R24" s="13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3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3" t="e">
        <f t="shared" ref="Z24:Z25" ca="1" si="27">IF(T24=0,0,X24/T24)</f>
        <v>#NAME?</v>
      </c>
    </row>
    <row r="25" spans="1:26" s="23" customFormat="1" hidden="1" outlineLevel="1" x14ac:dyDescent="0.25">
      <c r="A25" s="44"/>
      <c r="B25" s="10" t="e">
        <f ca="1">CONCATENATE("          ", _xll.OneStop.ReportPlayer.OSRFunctions.OSRGet("d_Account","Code"), " - ", _xll.OneStop.ReportPlayer.OSRFunctions.OSRGet("d_Account","Description"))</f>
        <v>#NAME?</v>
      </c>
      <c r="C25" s="10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0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1"/>
      <c r="C26" s="11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1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4" customFormat="1" x14ac:dyDescent="0.25">
      <c r="A27" s="11"/>
      <c r="B27" s="28" t="s">
        <v>276</v>
      </c>
      <c r="C27" s="28"/>
      <c r="D27" s="21" t="e">
        <f ca="1">+D18-D20+D24</f>
        <v>#NAME?</v>
      </c>
      <c r="E27" s="14"/>
      <c r="F27" s="22" t="e">
        <f ca="1">IF(D$12=0,0,D27/D$12)</f>
        <v>#NAME?</v>
      </c>
      <c r="G27" s="14"/>
      <c r="H27" s="21" t="e">
        <f ca="1">+H18-H20+H24</f>
        <v>#NAME?</v>
      </c>
      <c r="I27" s="14"/>
      <c r="J27" s="22" t="e">
        <f ca="1">IF(H$12=0,0,H27/H$12)</f>
        <v>#NAME?</v>
      </c>
      <c r="K27" s="15"/>
      <c r="L27" s="21" t="e">
        <f ca="1">+D27-H27</f>
        <v>#NAME?</v>
      </c>
      <c r="M27" s="15"/>
      <c r="N27" s="22" t="e">
        <f ca="1">IF(H27=0,0,L27/H27)</f>
        <v>#NAME?</v>
      </c>
      <c r="O27" s="29"/>
      <c r="P27" s="21" t="e">
        <f ca="1">+P18-P20+P24</f>
        <v>#NAME?</v>
      </c>
      <c r="Q27" s="14"/>
      <c r="R27" s="22" t="e">
        <f ca="1">IF(P$12=0,0,P27/P$12)</f>
        <v>#NAME?</v>
      </c>
      <c r="S27" s="14"/>
      <c r="T27" s="21" t="e">
        <f ca="1">+T18-T20+T24</f>
        <v>#NAME?</v>
      </c>
      <c r="U27" s="14"/>
      <c r="V27" s="22" t="e">
        <f ca="1">IF(T$12=0,0,T27/T$12)</f>
        <v>#NAME?</v>
      </c>
      <c r="W27" s="15"/>
      <c r="X27" s="21" t="e">
        <f ca="1">+P27-T27</f>
        <v>#NAME?</v>
      </c>
      <c r="Y27" s="15"/>
      <c r="Z27" s="22" t="e">
        <f ca="1">IF(T27=0,0,X27/T27)</f>
        <v>#NAME?</v>
      </c>
    </row>
    <row r="28" spans="1:26" x14ac:dyDescent="0.25">
      <c r="A28" s="9"/>
      <c r="B28" s="11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4" customFormat="1" x14ac:dyDescent="0.25">
      <c r="A29" s="51"/>
      <c r="B29" s="11" t="s">
        <v>127</v>
      </c>
      <c r="C29" s="11"/>
      <c r="D29" s="4" t="e">
        <f ca="1">_xll.OneStop.ReportPlayer.OSRFunctions.OSRGet("GL_F_Trans","Value1")</f>
        <v>#NAME?</v>
      </c>
      <c r="E29" s="4"/>
      <c r="F29" s="13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3" t="e">
        <f ca="1">IF(H$12=0,0,H29/H$12)</f>
        <v>#NAME?</v>
      </c>
      <c r="K29" s="4"/>
      <c r="L29" s="4" t="e">
        <f ca="1">+D29-H29</f>
        <v>#NAME?</v>
      </c>
      <c r="M29" s="4"/>
      <c r="N29" s="13" t="e">
        <f ca="1">IF(H29=0,0,L29/H29)</f>
        <v>#NAME?</v>
      </c>
      <c r="O29" s="11"/>
      <c r="P29" s="4" t="e">
        <f ca="1">_xll.OneStop.ReportPlayer.OSRFunctions.OSRGet("GL_F_Trans","Value1")</f>
        <v>#NAME?</v>
      </c>
      <c r="Q29" s="4"/>
      <c r="R29" s="13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3" t="e">
        <f ca="1">IF(T$12=0,0,T29/T$12)</f>
        <v>#NAME?</v>
      </c>
      <c r="W29" s="4"/>
      <c r="X29" s="4" t="e">
        <f ca="1">+P29-T29</f>
        <v>#NAME?</v>
      </c>
      <c r="Y29" s="4"/>
      <c r="Z29" s="13" t="e">
        <f ca="1">IF(T29=0,0,X29/T29)</f>
        <v>#NAME?</v>
      </c>
    </row>
    <row r="30" spans="1:26" x14ac:dyDescent="0.25">
      <c r="A30" s="9"/>
      <c r="B30" s="11"/>
      <c r="C30" s="11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1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4" customFormat="1" ht="15.75" thickBot="1" x14ac:dyDescent="0.3">
      <c r="A31" s="11"/>
      <c r="B31" s="28" t="s">
        <v>125</v>
      </c>
      <c r="C31" s="28"/>
      <c r="D31" s="34" t="e">
        <f ca="1">+D27-D29</f>
        <v>#NAME?</v>
      </c>
      <c r="E31" s="14"/>
      <c r="F31" s="31" t="e">
        <f ca="1">IF(D$12=0,0,D31/D$12)</f>
        <v>#NAME?</v>
      </c>
      <c r="G31" s="14"/>
      <c r="H31" s="34" t="e">
        <f ca="1">+H27-H29</f>
        <v>#NAME?</v>
      </c>
      <c r="I31" s="14"/>
      <c r="J31" s="31" t="e">
        <f ca="1">IF(H$12=0,0,H31/H$12)</f>
        <v>#NAME?</v>
      </c>
      <c r="K31" s="15"/>
      <c r="L31" s="34" t="e">
        <f ca="1">D31-H31</f>
        <v>#NAME?</v>
      </c>
      <c r="M31" s="15"/>
      <c r="N31" s="31" t="e">
        <f ca="1">IF(H31=0,0,L31/H31)</f>
        <v>#NAME?</v>
      </c>
      <c r="O31" s="29"/>
      <c r="P31" s="34" t="e">
        <f ca="1">+P27-P29</f>
        <v>#NAME?</v>
      </c>
      <c r="Q31" s="14"/>
      <c r="R31" s="31" t="e">
        <f ca="1">IF(P$12=0,0,P31/P$12)</f>
        <v>#NAME?</v>
      </c>
      <c r="S31" s="14"/>
      <c r="T31" s="34" t="e">
        <f ca="1">+T27-T29</f>
        <v>#NAME?</v>
      </c>
      <c r="U31" s="14"/>
      <c r="V31" s="31" t="e">
        <f ca="1">IF(T$12=0,0,T31/T$12)</f>
        <v>#NAME?</v>
      </c>
      <c r="W31" s="15"/>
      <c r="X31" s="34" t="e">
        <f ca="1">P31-T31</f>
        <v>#NAME?</v>
      </c>
      <c r="Y31" s="15"/>
      <c r="Z31" s="31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4" customFormat="1" x14ac:dyDescent="0.25">
      <c r="A33" s="51"/>
      <c r="B33" s="11" t="s">
        <v>183</v>
      </c>
      <c r="C33" s="11"/>
      <c r="D33" s="4" t="e">
        <f ca="1">-_xll.OneStop.ReportPlayer.OSRFunctions.OSRGet("GL_F_Trans","Value1")</f>
        <v>#NAME?</v>
      </c>
      <c r="E33" s="4"/>
      <c r="F33" s="13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3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3" t="e">
        <f t="shared" ref="N33:N34" ca="1" si="31">IF(H33=0,0,L33/H33)</f>
        <v>#NAME?</v>
      </c>
      <c r="O33" s="11"/>
      <c r="P33" s="4" t="e">
        <f ca="1">-_xll.OneStop.ReportPlayer.OSRFunctions.OSRGet("GL_F_Trans","Value1")</f>
        <v>#NAME?</v>
      </c>
      <c r="Q33" s="4"/>
      <c r="R33" s="13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3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3" t="e">
        <f t="shared" ref="Z33:Z34" ca="1" si="35">IF(T33=0,0,X33/T33)</f>
        <v>#NAME?</v>
      </c>
    </row>
    <row r="34" spans="1:26" s="24" customFormat="1" x14ac:dyDescent="0.25">
      <c r="A34" s="51"/>
      <c r="B34" s="11" t="s">
        <v>81</v>
      </c>
      <c r="C34" s="11"/>
      <c r="D34" s="4" t="e">
        <f ca="1">-_xll.OneStop.ReportPlayer.OSRFunctions.OSRGet("GL_F_Trans","Value1")</f>
        <v>#NAME?</v>
      </c>
      <c r="E34" s="4"/>
      <c r="F34" s="13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3" t="e">
        <f t="shared" ca="1" si="29"/>
        <v>#NAME?</v>
      </c>
      <c r="K34" s="4"/>
      <c r="L34" s="4" t="e">
        <f t="shared" ca="1" si="30"/>
        <v>#NAME?</v>
      </c>
      <c r="M34" s="4"/>
      <c r="N34" s="13" t="e">
        <f t="shared" ca="1" si="31"/>
        <v>#NAME?</v>
      </c>
      <c r="O34" s="11"/>
      <c r="P34" s="4" t="e">
        <f ca="1">-_xll.OneStop.ReportPlayer.OSRFunctions.OSRGet("GL_F_Trans","Value1")</f>
        <v>#NAME?</v>
      </c>
      <c r="Q34" s="4"/>
      <c r="R34" s="13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3" t="e">
        <f t="shared" ca="1" si="33"/>
        <v>#NAME?</v>
      </c>
      <c r="W34" s="4"/>
      <c r="X34" s="4" t="e">
        <f t="shared" ca="1" si="34"/>
        <v>#NAME?</v>
      </c>
      <c r="Y34" s="4"/>
      <c r="Z34" s="13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4" customFormat="1" ht="15.75" thickBot="1" x14ac:dyDescent="0.3">
      <c r="A36" s="11"/>
      <c r="B36" s="28" t="s">
        <v>293</v>
      </c>
      <c r="C36" s="28"/>
      <c r="D36" s="33" t="e">
        <f ca="1">SUM(D31:D35)</f>
        <v>#NAME?</v>
      </c>
      <c r="E36" s="14"/>
      <c r="F36" s="35" t="e">
        <f ca="1">IF(D$12=0,0,D36/D$12)</f>
        <v>#NAME?</v>
      </c>
      <c r="G36" s="14"/>
      <c r="H36" s="33" t="e">
        <f ca="1">SUM(H31:H35)</f>
        <v>#NAME?</v>
      </c>
      <c r="I36" s="14"/>
      <c r="J36" s="35" t="e">
        <f ca="1">IF(H$12=0,0,H36/H$12)</f>
        <v>#NAME?</v>
      </c>
      <c r="K36" s="15"/>
      <c r="L36" s="33" t="e">
        <f ca="1">+D36-H36</f>
        <v>#NAME?</v>
      </c>
      <c r="M36" s="15"/>
      <c r="N36" s="35" t="e">
        <f ca="1">IF(H36=0,0,L36/H36)</f>
        <v>#NAME?</v>
      </c>
      <c r="O36" s="29"/>
      <c r="P36" s="33" t="e">
        <f ca="1">SUM(P31:P35)</f>
        <v>#NAME?</v>
      </c>
      <c r="Q36" s="14"/>
      <c r="R36" s="35" t="e">
        <f ca="1">IF(P$12=0,0,P36/P$12)</f>
        <v>#NAME?</v>
      </c>
      <c r="S36" s="14"/>
      <c r="T36" s="33" t="e">
        <f ca="1">SUM(T31:T35)</f>
        <v>#NAME?</v>
      </c>
      <c r="U36" s="14"/>
      <c r="V36" s="35" t="e">
        <f ca="1">IF(T$12=0,0,T36/T$12)</f>
        <v>#NAME?</v>
      </c>
      <c r="W36" s="15"/>
      <c r="X36" s="33" t="e">
        <f ca="1">+P36-T36</f>
        <v>#NAME?</v>
      </c>
      <c r="Y36" s="15"/>
      <c r="Z36" s="35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56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55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60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62" t="s">
        <v>23</v>
      </c>
    </row>
    <row r="3" spans="1:26" x14ac:dyDescent="0.25">
      <c r="D3" s="62" t="s">
        <v>236</v>
      </c>
      <c r="E3" s="17"/>
      <c r="F3" s="46"/>
      <c r="G3" s="17"/>
      <c r="H3" s="17"/>
      <c r="I3" s="17"/>
      <c r="J3" s="38"/>
      <c r="K3" s="17"/>
      <c r="L3" s="17"/>
      <c r="M3" s="17"/>
      <c r="N3" s="46"/>
      <c r="O3" s="53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2" t="e">
        <f ca="1">CONCATENATE("Period ",RIGHT(_xll.OneStop.ReportPlayer.OSRFunctions.OSRGet("Period","PeriodId"),2),", ",_xll.OneStop.ReportPlayer.OSRFunctions.OSRGet("Period","Year"))</f>
        <v>#NAME?</v>
      </c>
      <c r="E4" s="17"/>
      <c r="F4" s="46"/>
      <c r="G4" s="17"/>
      <c r="H4" s="17"/>
      <c r="I4" s="17"/>
      <c r="J4" s="38"/>
      <c r="K4" s="17"/>
      <c r="L4" s="17"/>
      <c r="M4" s="17"/>
      <c r="N4" s="46"/>
      <c r="O4" s="53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4"/>
      <c r="D5" s="64" t="e">
        <f ca="1">_xll.OneStop.ReportPlayer.OSRFunctions.OSRGet("Period","PeriodEnd")</f>
        <v>#NAME?</v>
      </c>
      <c r="E5" s="17"/>
      <c r="F5" s="46"/>
      <c r="G5" s="17"/>
      <c r="H5" s="17"/>
      <c r="I5" s="17"/>
      <c r="J5" s="38"/>
      <c r="K5" s="17"/>
      <c r="L5" s="17"/>
      <c r="M5" s="17"/>
      <c r="N5" s="46"/>
      <c r="O5" s="53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4"/>
      <c r="B6" s="48"/>
      <c r="C6" s="48"/>
      <c r="D6" s="24" t="s">
        <v>104</v>
      </c>
      <c r="E6" s="17"/>
      <c r="F6" s="46"/>
      <c r="G6" s="17"/>
      <c r="H6" s="17"/>
      <c r="I6" s="17"/>
      <c r="J6" s="38"/>
      <c r="K6" s="17"/>
      <c r="L6" s="17"/>
      <c r="M6" s="17"/>
      <c r="N6" s="46"/>
      <c r="O6" s="54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9"/>
    </row>
    <row r="8" spans="1:26" x14ac:dyDescent="0.25">
      <c r="B8" s="59"/>
    </row>
    <row r="9" spans="1:26" x14ac:dyDescent="0.25">
      <c r="B9" s="9"/>
      <c r="C9" s="9"/>
      <c r="D9" s="16" t="s">
        <v>291</v>
      </c>
      <c r="E9" s="16"/>
      <c r="F9" s="39"/>
      <c r="G9" s="16"/>
      <c r="H9" s="16"/>
      <c r="I9" s="16"/>
      <c r="J9" s="49"/>
      <c r="K9" s="16"/>
      <c r="L9" s="16"/>
      <c r="M9" s="16"/>
      <c r="N9" s="39"/>
      <c r="P9" s="16" t="s">
        <v>39</v>
      </c>
      <c r="Q9" s="16"/>
      <c r="R9" s="39"/>
      <c r="S9" s="16"/>
      <c r="T9" s="16"/>
      <c r="U9" s="16"/>
      <c r="V9" s="49"/>
      <c r="W9" s="16"/>
      <c r="X9" s="16"/>
      <c r="Y9" s="16"/>
      <c r="Z9" s="39"/>
    </row>
    <row r="10" spans="1:26" x14ac:dyDescent="0.25">
      <c r="A10" s="11"/>
      <c r="B10" s="58"/>
      <c r="C10" s="11"/>
      <c r="D10" s="42" t="s">
        <v>57</v>
      </c>
      <c r="E10" s="36"/>
      <c r="F10" s="30" t="s">
        <v>40</v>
      </c>
      <c r="G10" s="36"/>
      <c r="H10" s="50" t="s">
        <v>237</v>
      </c>
      <c r="I10" s="36"/>
      <c r="J10" s="30" t="s">
        <v>40</v>
      </c>
      <c r="K10" s="11"/>
      <c r="L10" s="42" t="s">
        <v>126</v>
      </c>
      <c r="M10" s="11"/>
      <c r="N10" s="30" t="s">
        <v>257</v>
      </c>
      <c r="O10" s="11"/>
      <c r="P10" s="61" t="s">
        <v>57</v>
      </c>
      <c r="Q10" s="36"/>
      <c r="R10" s="30" t="s">
        <v>40</v>
      </c>
      <c r="S10" s="36"/>
      <c r="T10" s="50" t="s">
        <v>237</v>
      </c>
      <c r="U10" s="36"/>
      <c r="V10" s="30" t="s">
        <v>40</v>
      </c>
      <c r="W10" s="11"/>
      <c r="X10" s="42" t="s">
        <v>126</v>
      </c>
      <c r="Y10" s="11"/>
      <c r="Z10" s="30" t="s">
        <v>257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4" customFormat="1" collapsed="1" x14ac:dyDescent="0.25">
      <c r="A12" s="11"/>
      <c r="B12" s="29" t="s">
        <v>139</v>
      </c>
      <c r="C12" s="11"/>
      <c r="D12" s="4" t="e">
        <f ca="1">SUM(_xll.OneStop.ReportPlayer.OSRFunctions.OSRRef(D13))</f>
        <v>#NAME?</v>
      </c>
      <c r="E12" s="4"/>
      <c r="F12" s="13"/>
      <c r="G12" s="4"/>
      <c r="H12" s="4" t="e">
        <f ca="1">SUM(_xll.OneStop.ReportPlayer.OSRFunctions.OSRRef(H13))</f>
        <v>#NAME?</v>
      </c>
      <c r="I12" s="4"/>
      <c r="J12" s="13"/>
      <c r="K12" s="4"/>
      <c r="L12" s="4" t="e">
        <f t="shared" ref="L12:L13" ca="1" si="0">+D12-H12</f>
        <v>#NAME?</v>
      </c>
      <c r="M12" s="4"/>
      <c r="N12" s="13" t="e">
        <f t="shared" ref="N12:N13" ca="1" si="1">IF(H12=0,0,L12/H12)</f>
        <v>#NAME?</v>
      </c>
      <c r="O12" s="11"/>
      <c r="P12" s="4" t="e">
        <f ca="1">SUM(_xll.OneStop.ReportPlayer.OSRFunctions.OSRRef(P13))</f>
        <v>#NAME?</v>
      </c>
      <c r="Q12" s="4"/>
      <c r="R12" s="13"/>
      <c r="S12" s="4"/>
      <c r="T12" s="4" t="e">
        <f ca="1">SUM(_xll.OneStop.ReportPlayer.OSRFunctions.OSRRef(T13))</f>
        <v>#NAME?</v>
      </c>
      <c r="U12" s="4"/>
      <c r="V12" s="13"/>
      <c r="W12" s="4"/>
      <c r="X12" s="4" t="e">
        <f t="shared" ref="X12:X13" ca="1" si="2">+P12-T12</f>
        <v>#NAME?</v>
      </c>
      <c r="Y12" s="4"/>
      <c r="Z12" s="13" t="e">
        <f t="shared" ref="Z12:Z13" ca="1" si="3">IF(T12=0,0,X12/T12)</f>
        <v>#NAME?</v>
      </c>
    </row>
    <row r="13" spans="1:26" s="23" customFormat="1" hidden="1" outlineLevel="1" x14ac:dyDescent="0.25">
      <c r="A13" s="44"/>
      <c r="B13" s="10" t="e">
        <f ca="1">CONCATENATE("          ", _xll.OneStop.ReportPlayer.OSRFunctions.OSRGet("d_Account","Code"), " - ", _xll.OneStop.ReportPlayer.OSRFunctions.OSRGet("d_Account","Description"))</f>
        <v>#NAME?</v>
      </c>
      <c r="C13" s="10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0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1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4" customFormat="1" collapsed="1" x14ac:dyDescent="0.25">
      <c r="A15" s="11"/>
      <c r="B15" s="29" t="s">
        <v>256</v>
      </c>
      <c r="C15" s="11"/>
      <c r="D15" s="4" t="e">
        <f ca="1">SUM(_xll.OneStop.ReportPlayer.OSRFunctions.OSRRef(D16))</f>
        <v>#NAME?</v>
      </c>
      <c r="E15" s="4"/>
      <c r="F15" s="13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3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3" t="e">
        <f t="shared" ref="N15:N16" ca="1" si="7">IF(H15=0,0,L15/H15)</f>
        <v>#NAME?</v>
      </c>
      <c r="O15" s="11"/>
      <c r="P15" s="4" t="e">
        <f ca="1">SUM(_xll.OneStop.ReportPlayer.OSRFunctions.OSRRef(P16))</f>
        <v>#NAME?</v>
      </c>
      <c r="Q15" s="4"/>
      <c r="R15" s="13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3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3" t="e">
        <f t="shared" ref="Z15:Z16" ca="1" si="11">IF(T15=0,0,X15/T15)</f>
        <v>#NAME?</v>
      </c>
    </row>
    <row r="16" spans="1:26" s="23" customFormat="1" hidden="1" outlineLevel="1" x14ac:dyDescent="0.25">
      <c r="A16" s="44"/>
      <c r="B16" s="10" t="e">
        <f ca="1">CONCATENATE("          ", _xll.OneStop.ReportPlayer.OSRFunctions.OSRGet("d_Account","Code"), " - ", _xll.OneStop.ReportPlayer.OSRFunctions.OSRGet("d_Account","Description"))</f>
        <v>#NAME?</v>
      </c>
      <c r="C16" s="10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0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1"/>
      <c r="C17" s="11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1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4" customFormat="1" x14ac:dyDescent="0.25">
      <c r="A18" s="11"/>
      <c r="B18" s="28" t="s">
        <v>107</v>
      </c>
      <c r="C18" s="28"/>
      <c r="D18" s="21" t="e">
        <f ca="1">D12-D15</f>
        <v>#NAME?</v>
      </c>
      <c r="E18" s="14"/>
      <c r="F18" s="22" t="e">
        <f ca="1">IF(D$12=0,0,D18/D$12)</f>
        <v>#NAME?</v>
      </c>
      <c r="G18" s="14"/>
      <c r="H18" s="21" t="e">
        <f ca="1">H12-H15</f>
        <v>#NAME?</v>
      </c>
      <c r="I18" s="14"/>
      <c r="J18" s="22" t="e">
        <f ca="1">IF(H$12=0,0,H18/H$12)</f>
        <v>#NAME?</v>
      </c>
      <c r="K18" s="15"/>
      <c r="L18" s="21" t="e">
        <f ca="1">+D18-H18</f>
        <v>#NAME?</v>
      </c>
      <c r="M18" s="15"/>
      <c r="N18" s="22" t="e">
        <f ca="1">IF(H18=0,0,L18/H18)</f>
        <v>#NAME?</v>
      </c>
      <c r="O18" s="29"/>
      <c r="P18" s="21" t="e">
        <f ca="1">P12-P15</f>
        <v>#NAME?</v>
      </c>
      <c r="Q18" s="14"/>
      <c r="R18" s="22" t="e">
        <f ca="1">IF(P$12=0,0,P18/P$12)</f>
        <v>#NAME?</v>
      </c>
      <c r="S18" s="14"/>
      <c r="T18" s="21" t="e">
        <f ca="1">T12-T15</f>
        <v>#NAME?</v>
      </c>
      <c r="U18" s="14"/>
      <c r="V18" s="22" t="e">
        <f ca="1">IF(T$12=0,0,T18/T$12)</f>
        <v>#NAME?</v>
      </c>
      <c r="W18" s="15"/>
      <c r="X18" s="21" t="e">
        <f ca="1">+P18-T18</f>
        <v>#NAME?</v>
      </c>
      <c r="Y18" s="15"/>
      <c r="Z18" s="22" t="e">
        <f ca="1">IF(T18=0,0,X18/T18)</f>
        <v>#NAME?</v>
      </c>
    </row>
    <row r="19" spans="1:26" x14ac:dyDescent="0.25">
      <c r="A19" s="9"/>
      <c r="B19" s="11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4" customFormat="1" x14ac:dyDescent="0.25">
      <c r="A20" s="11"/>
      <c r="B20" s="29" t="s">
        <v>294</v>
      </c>
      <c r="C20" s="11"/>
      <c r="D20" s="20" t="e">
        <f ca="1">SUM(_xll.OneStop.ReportPlayer.OSRFunctions.OSRRef(D22))</f>
        <v>#NAME?</v>
      </c>
      <c r="E20" s="20"/>
      <c r="F20" s="32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2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2" t="e">
        <f t="shared" ref="N20:N22" ca="1" si="15">IF(H20=0,0,L20/H20)</f>
        <v>#NAME?</v>
      </c>
      <c r="O20" s="11"/>
      <c r="P20" s="20" t="e">
        <f ca="1">SUM(_xll.OneStop.ReportPlayer.OSRFunctions.OSRRef(P22))</f>
        <v>#NAME?</v>
      </c>
      <c r="Q20" s="20"/>
      <c r="R20" s="32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2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2" t="e">
        <f t="shared" ref="Z20:Z22" ca="1" si="19">IF(T20=0,0,X20/T20)</f>
        <v>#NAME?</v>
      </c>
    </row>
    <row r="21" spans="1:26" s="27" customFormat="1" outlineLevel="1" collapsed="1" x14ac:dyDescent="0.25">
      <c r="A21" s="26"/>
      <c r="B21" s="12" t="e">
        <f ca="1">CONCATENATE("     ",_xll.OneStop.ReportPlayer.OSRFunctions.OSRGet("d_Account","AccountCategory"))</f>
        <v>#NAME?</v>
      </c>
      <c r="C21" s="12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2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3" customFormat="1" hidden="1" outlineLevel="2" x14ac:dyDescent="0.25">
      <c r="A22" s="25"/>
      <c r="B22" s="10" t="e">
        <f ca="1">CONCATENATE("          ", _xll.OneStop.ReportPlayer.OSRFunctions.OSRGet("d_Account","Code"), " - ", _xll.OneStop.ReportPlayer.OSRFunctions.OSRGet("d_Account","Description"))</f>
        <v>#NAME?</v>
      </c>
      <c r="C22" s="10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0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2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4" customFormat="1" collapsed="1" x14ac:dyDescent="0.25">
      <c r="A24" s="11"/>
      <c r="B24" s="29" t="s">
        <v>292</v>
      </c>
      <c r="C24" s="11"/>
      <c r="D24" s="4" t="e">
        <f ca="1">SUM(_xll.OneStop.ReportPlayer.OSRFunctions.OSRRef(D25))</f>
        <v>#NAME?</v>
      </c>
      <c r="E24" s="4"/>
      <c r="F24" s="13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3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3" t="e">
        <f t="shared" ref="N24:N25" ca="1" si="23">IF(H24=0,0,L24/H24)</f>
        <v>#NAME?</v>
      </c>
      <c r="O24" s="11"/>
      <c r="P24" s="4" t="e">
        <f ca="1">SUM(_xll.OneStop.ReportPlayer.OSRFunctions.OSRRef(P25))</f>
        <v>#NAME?</v>
      </c>
      <c r="Q24" s="4"/>
      <c r="R24" s="13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3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3" t="e">
        <f t="shared" ref="Z24:Z25" ca="1" si="27">IF(T24=0,0,X24/T24)</f>
        <v>#NAME?</v>
      </c>
    </row>
    <row r="25" spans="1:26" s="23" customFormat="1" hidden="1" outlineLevel="1" x14ac:dyDescent="0.25">
      <c r="A25" s="44"/>
      <c r="B25" s="10" t="e">
        <f ca="1">CONCATENATE("          ", _xll.OneStop.ReportPlayer.OSRFunctions.OSRGet("d_Account","Code"), " - ", _xll.OneStop.ReportPlayer.OSRFunctions.OSRGet("d_Account","Description"))</f>
        <v>#NAME?</v>
      </c>
      <c r="C25" s="10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0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1"/>
      <c r="C26" s="11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1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4" customFormat="1" x14ac:dyDescent="0.25">
      <c r="A27" s="11"/>
      <c r="B27" s="28" t="s">
        <v>276</v>
      </c>
      <c r="C27" s="28"/>
      <c r="D27" s="21" t="e">
        <f ca="1">+D18-D20+D24</f>
        <v>#NAME?</v>
      </c>
      <c r="E27" s="14"/>
      <c r="F27" s="22" t="e">
        <f ca="1">IF(D$12=0,0,D27/D$12)</f>
        <v>#NAME?</v>
      </c>
      <c r="G27" s="14"/>
      <c r="H27" s="21" t="e">
        <f ca="1">+H18-H20+H24</f>
        <v>#NAME?</v>
      </c>
      <c r="I27" s="14"/>
      <c r="J27" s="22" t="e">
        <f ca="1">IF(H$12=0,0,H27/H$12)</f>
        <v>#NAME?</v>
      </c>
      <c r="K27" s="15"/>
      <c r="L27" s="21" t="e">
        <f ca="1">+D27-H27</f>
        <v>#NAME?</v>
      </c>
      <c r="M27" s="15"/>
      <c r="N27" s="22" t="e">
        <f ca="1">IF(H27=0,0,L27/H27)</f>
        <v>#NAME?</v>
      </c>
      <c r="O27" s="29"/>
      <c r="P27" s="21" t="e">
        <f ca="1">+P18-P20+P24</f>
        <v>#NAME?</v>
      </c>
      <c r="Q27" s="14"/>
      <c r="R27" s="22" t="e">
        <f ca="1">IF(P$12=0,0,P27/P$12)</f>
        <v>#NAME?</v>
      </c>
      <c r="S27" s="14"/>
      <c r="T27" s="21" t="e">
        <f ca="1">+T18-T20+T24</f>
        <v>#NAME?</v>
      </c>
      <c r="U27" s="14"/>
      <c r="V27" s="22" t="e">
        <f ca="1">IF(T$12=0,0,T27/T$12)</f>
        <v>#NAME?</v>
      </c>
      <c r="W27" s="15"/>
      <c r="X27" s="21" t="e">
        <f ca="1">+P27-T27</f>
        <v>#NAME?</v>
      </c>
      <c r="Y27" s="15"/>
      <c r="Z27" s="22" t="e">
        <f ca="1">IF(T27=0,0,X27/T27)</f>
        <v>#NAME?</v>
      </c>
    </row>
    <row r="28" spans="1:26" x14ac:dyDescent="0.25">
      <c r="A28" s="9"/>
      <c r="B28" s="11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4" customFormat="1" x14ac:dyDescent="0.25">
      <c r="A29" s="51"/>
      <c r="B29" s="11" t="s">
        <v>127</v>
      </c>
      <c r="C29" s="11"/>
      <c r="D29" s="4" t="e">
        <f ca="1">_xll.OneStop.ReportPlayer.OSRFunctions.OSRGet("GL_F_Trans","Value1")</f>
        <v>#NAME?</v>
      </c>
      <c r="E29" s="4"/>
      <c r="F29" s="13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3" t="e">
        <f ca="1">IF(H$12=0,0,H29/H$12)</f>
        <v>#NAME?</v>
      </c>
      <c r="K29" s="4"/>
      <c r="L29" s="4" t="e">
        <f ca="1">+D29-H29</f>
        <v>#NAME?</v>
      </c>
      <c r="M29" s="4"/>
      <c r="N29" s="13" t="e">
        <f ca="1">IF(H29=0,0,L29/H29)</f>
        <v>#NAME?</v>
      </c>
      <c r="O29" s="11"/>
      <c r="P29" s="4" t="e">
        <f ca="1">_xll.OneStop.ReportPlayer.OSRFunctions.OSRGet("GL_F_Trans","Value1")</f>
        <v>#NAME?</v>
      </c>
      <c r="Q29" s="4"/>
      <c r="R29" s="13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3" t="e">
        <f ca="1">IF(T$12=0,0,T29/T$12)</f>
        <v>#NAME?</v>
      </c>
      <c r="W29" s="4"/>
      <c r="X29" s="4" t="e">
        <f ca="1">+P29-T29</f>
        <v>#NAME?</v>
      </c>
      <c r="Y29" s="4"/>
      <c r="Z29" s="13" t="e">
        <f ca="1">IF(T29=0,0,X29/T29)</f>
        <v>#NAME?</v>
      </c>
    </row>
    <row r="30" spans="1:26" x14ac:dyDescent="0.25">
      <c r="A30" s="9"/>
      <c r="B30" s="11"/>
      <c r="C30" s="11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1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4" customFormat="1" ht="15.75" thickBot="1" x14ac:dyDescent="0.3">
      <c r="A31" s="11"/>
      <c r="B31" s="28" t="s">
        <v>125</v>
      </c>
      <c r="C31" s="28"/>
      <c r="D31" s="34" t="e">
        <f ca="1">+D27-D29</f>
        <v>#NAME?</v>
      </c>
      <c r="E31" s="14"/>
      <c r="F31" s="31" t="e">
        <f ca="1">IF(D$12=0,0,D31/D$12)</f>
        <v>#NAME?</v>
      </c>
      <c r="G31" s="14"/>
      <c r="H31" s="34" t="e">
        <f ca="1">+H27-H29</f>
        <v>#NAME?</v>
      </c>
      <c r="I31" s="14"/>
      <c r="J31" s="31" t="e">
        <f ca="1">IF(H$12=0,0,H31/H$12)</f>
        <v>#NAME?</v>
      </c>
      <c r="K31" s="15"/>
      <c r="L31" s="34" t="e">
        <f ca="1">D31-H31</f>
        <v>#NAME?</v>
      </c>
      <c r="M31" s="15"/>
      <c r="N31" s="31" t="e">
        <f ca="1">IF(H31=0,0,L31/H31)</f>
        <v>#NAME?</v>
      </c>
      <c r="O31" s="29"/>
      <c r="P31" s="34" t="e">
        <f ca="1">+P27-P29</f>
        <v>#NAME?</v>
      </c>
      <c r="Q31" s="14"/>
      <c r="R31" s="31" t="e">
        <f ca="1">IF(P$12=0,0,P31/P$12)</f>
        <v>#NAME?</v>
      </c>
      <c r="S31" s="14"/>
      <c r="T31" s="34" t="e">
        <f ca="1">+T27-T29</f>
        <v>#NAME?</v>
      </c>
      <c r="U31" s="14"/>
      <c r="V31" s="31" t="e">
        <f ca="1">IF(T$12=0,0,T31/T$12)</f>
        <v>#NAME?</v>
      </c>
      <c r="W31" s="15"/>
      <c r="X31" s="34" t="e">
        <f ca="1">P31-T31</f>
        <v>#NAME?</v>
      </c>
      <c r="Y31" s="15"/>
      <c r="Z31" s="31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4" customFormat="1" x14ac:dyDescent="0.25">
      <c r="A33" s="51"/>
      <c r="B33" s="11" t="s">
        <v>183</v>
      </c>
      <c r="C33" s="11"/>
      <c r="D33" s="4" t="e">
        <f ca="1">-_xll.OneStop.ReportPlayer.OSRFunctions.OSRGet("GL_F_Trans","Value1")</f>
        <v>#NAME?</v>
      </c>
      <c r="E33" s="4"/>
      <c r="F33" s="13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3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3" t="e">
        <f t="shared" ref="N33:N34" ca="1" si="31">IF(H33=0,0,L33/H33)</f>
        <v>#NAME?</v>
      </c>
      <c r="O33" s="11"/>
      <c r="P33" s="4" t="e">
        <f ca="1">-_xll.OneStop.ReportPlayer.OSRFunctions.OSRGet("GL_F_Trans","Value1")</f>
        <v>#NAME?</v>
      </c>
      <c r="Q33" s="4"/>
      <c r="R33" s="13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3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3" t="e">
        <f t="shared" ref="Z33:Z34" ca="1" si="35">IF(T33=0,0,X33/T33)</f>
        <v>#NAME?</v>
      </c>
    </row>
    <row r="34" spans="1:26" s="24" customFormat="1" x14ac:dyDescent="0.25">
      <c r="A34" s="51"/>
      <c r="B34" s="11" t="s">
        <v>81</v>
      </c>
      <c r="C34" s="11"/>
      <c r="D34" s="4" t="e">
        <f ca="1">-_xll.OneStop.ReportPlayer.OSRFunctions.OSRGet("GL_F_Trans","Value1")</f>
        <v>#NAME?</v>
      </c>
      <c r="E34" s="4"/>
      <c r="F34" s="13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3" t="e">
        <f t="shared" ca="1" si="29"/>
        <v>#NAME?</v>
      </c>
      <c r="K34" s="4"/>
      <c r="L34" s="4" t="e">
        <f t="shared" ca="1" si="30"/>
        <v>#NAME?</v>
      </c>
      <c r="M34" s="4"/>
      <c r="N34" s="13" t="e">
        <f t="shared" ca="1" si="31"/>
        <v>#NAME?</v>
      </c>
      <c r="O34" s="11"/>
      <c r="P34" s="4" t="e">
        <f ca="1">-_xll.OneStop.ReportPlayer.OSRFunctions.OSRGet("GL_F_Trans","Value1")</f>
        <v>#NAME?</v>
      </c>
      <c r="Q34" s="4"/>
      <c r="R34" s="13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3" t="e">
        <f t="shared" ca="1" si="33"/>
        <v>#NAME?</v>
      </c>
      <c r="W34" s="4"/>
      <c r="X34" s="4" t="e">
        <f t="shared" ca="1" si="34"/>
        <v>#NAME?</v>
      </c>
      <c r="Y34" s="4"/>
      <c r="Z34" s="13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4" customFormat="1" ht="15.75" thickBot="1" x14ac:dyDescent="0.3">
      <c r="A36" s="11"/>
      <c r="B36" s="28" t="s">
        <v>293</v>
      </c>
      <c r="C36" s="28"/>
      <c r="D36" s="33" t="e">
        <f ca="1">SUM(D31:D35)</f>
        <v>#NAME?</v>
      </c>
      <c r="E36" s="14"/>
      <c r="F36" s="35" t="e">
        <f ca="1">IF(D$12=0,0,D36/D$12)</f>
        <v>#NAME?</v>
      </c>
      <c r="G36" s="14"/>
      <c r="H36" s="33" t="e">
        <f ca="1">SUM(H31:H35)</f>
        <v>#NAME?</v>
      </c>
      <c r="I36" s="14"/>
      <c r="J36" s="35" t="e">
        <f ca="1">IF(H$12=0,0,H36/H$12)</f>
        <v>#NAME?</v>
      </c>
      <c r="K36" s="15"/>
      <c r="L36" s="33" t="e">
        <f ca="1">+D36-H36</f>
        <v>#NAME?</v>
      </c>
      <c r="M36" s="15"/>
      <c r="N36" s="35" t="e">
        <f ca="1">IF(H36=0,0,L36/H36)</f>
        <v>#NAME?</v>
      </c>
      <c r="O36" s="29"/>
      <c r="P36" s="33" t="e">
        <f ca="1">SUM(P31:P35)</f>
        <v>#NAME?</v>
      </c>
      <c r="Q36" s="14"/>
      <c r="R36" s="35" t="e">
        <f ca="1">IF(P$12=0,0,P36/P$12)</f>
        <v>#NAME?</v>
      </c>
      <c r="S36" s="14"/>
      <c r="T36" s="33" t="e">
        <f ca="1">SUM(T31:T35)</f>
        <v>#NAME?</v>
      </c>
      <c r="U36" s="14"/>
      <c r="V36" s="35" t="e">
        <f ca="1">IF(T$12=0,0,T36/T$12)</f>
        <v>#NAME?</v>
      </c>
      <c r="W36" s="15"/>
      <c r="X36" s="33" t="e">
        <f ca="1">+P36-T36</f>
        <v>#NAME?</v>
      </c>
      <c r="Y36" s="15"/>
      <c r="Z36" s="35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56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55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60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62" t="s">
        <v>23</v>
      </c>
    </row>
    <row r="3" spans="1:26" x14ac:dyDescent="0.25">
      <c r="D3" s="62" t="s">
        <v>236</v>
      </c>
      <c r="E3" s="17"/>
      <c r="F3" s="46"/>
      <c r="G3" s="17"/>
      <c r="H3" s="17"/>
      <c r="I3" s="17"/>
      <c r="J3" s="38"/>
      <c r="K3" s="17"/>
      <c r="L3" s="17"/>
      <c r="M3" s="17"/>
      <c r="N3" s="46"/>
      <c r="O3" s="53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2" t="e">
        <f ca="1">CONCATENATE("Period ",RIGHT(_xll.OneStop.ReportPlayer.OSRFunctions.OSRGet("Period","PeriodId"),2),", ",_xll.OneStop.ReportPlayer.OSRFunctions.OSRGet("Period","Year"))</f>
        <v>#NAME?</v>
      </c>
      <c r="E4" s="17"/>
      <c r="F4" s="46"/>
      <c r="G4" s="17"/>
      <c r="H4" s="17"/>
      <c r="I4" s="17"/>
      <c r="J4" s="38"/>
      <c r="K4" s="17"/>
      <c r="L4" s="17"/>
      <c r="M4" s="17"/>
      <c r="N4" s="46"/>
      <c r="O4" s="53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4"/>
      <c r="D5" s="64" t="e">
        <f ca="1">_xll.OneStop.ReportPlayer.OSRFunctions.OSRGet("Period","PeriodEnd")</f>
        <v>#NAME?</v>
      </c>
      <c r="E5" s="17"/>
      <c r="F5" s="46"/>
      <c r="G5" s="17"/>
      <c r="H5" s="17"/>
      <c r="I5" s="17"/>
      <c r="J5" s="38"/>
      <c r="K5" s="17"/>
      <c r="L5" s="17"/>
      <c r="M5" s="17"/>
      <c r="N5" s="46"/>
      <c r="O5" s="53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4"/>
      <c r="B6" s="48"/>
      <c r="C6" s="48"/>
      <c r="D6" s="24" t="s">
        <v>218</v>
      </c>
      <c r="E6" s="17"/>
      <c r="F6" s="46"/>
      <c r="G6" s="17"/>
      <c r="H6" s="17"/>
      <c r="I6" s="17"/>
      <c r="J6" s="38"/>
      <c r="K6" s="17"/>
      <c r="L6" s="17"/>
      <c r="M6" s="17"/>
      <c r="N6" s="46"/>
      <c r="O6" s="54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9"/>
    </row>
    <row r="8" spans="1:26" x14ac:dyDescent="0.25">
      <c r="B8" s="59"/>
    </row>
    <row r="9" spans="1:26" x14ac:dyDescent="0.25">
      <c r="B9" s="9"/>
      <c r="C9" s="9"/>
      <c r="D9" s="16" t="s">
        <v>291</v>
      </c>
      <c r="E9" s="16"/>
      <c r="F9" s="39"/>
      <c r="G9" s="16"/>
      <c r="H9" s="16"/>
      <c r="I9" s="16"/>
      <c r="J9" s="49"/>
      <c r="K9" s="16"/>
      <c r="L9" s="16"/>
      <c r="M9" s="16"/>
      <c r="N9" s="39"/>
      <c r="P9" s="16" t="s">
        <v>39</v>
      </c>
      <c r="Q9" s="16"/>
      <c r="R9" s="39"/>
      <c r="S9" s="16"/>
      <c r="T9" s="16"/>
      <c r="U9" s="16"/>
      <c r="V9" s="49"/>
      <c r="W9" s="16"/>
      <c r="X9" s="16"/>
      <c r="Y9" s="16"/>
      <c r="Z9" s="39"/>
    </row>
    <row r="10" spans="1:26" x14ac:dyDescent="0.25">
      <c r="A10" s="11"/>
      <c r="B10" s="58"/>
      <c r="C10" s="11"/>
      <c r="D10" s="42" t="s">
        <v>57</v>
      </c>
      <c r="E10" s="36"/>
      <c r="F10" s="30" t="s">
        <v>40</v>
      </c>
      <c r="G10" s="36"/>
      <c r="H10" s="50" t="s">
        <v>237</v>
      </c>
      <c r="I10" s="36"/>
      <c r="J10" s="30" t="s">
        <v>40</v>
      </c>
      <c r="K10" s="11"/>
      <c r="L10" s="42" t="s">
        <v>126</v>
      </c>
      <c r="M10" s="11"/>
      <c r="N10" s="30" t="s">
        <v>257</v>
      </c>
      <c r="O10" s="11"/>
      <c r="P10" s="61" t="s">
        <v>57</v>
      </c>
      <c r="Q10" s="36"/>
      <c r="R10" s="30" t="s">
        <v>40</v>
      </c>
      <c r="S10" s="36"/>
      <c r="T10" s="50" t="s">
        <v>237</v>
      </c>
      <c r="U10" s="36"/>
      <c r="V10" s="30" t="s">
        <v>40</v>
      </c>
      <c r="W10" s="11"/>
      <c r="X10" s="42" t="s">
        <v>126</v>
      </c>
      <c r="Y10" s="11"/>
      <c r="Z10" s="30" t="s">
        <v>257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4" customFormat="1" collapsed="1" x14ac:dyDescent="0.25">
      <c r="A12" s="11"/>
      <c r="B12" s="29" t="s">
        <v>139</v>
      </c>
      <c r="C12" s="11"/>
      <c r="D12" s="4" t="e">
        <f ca="1">SUM(_xll.OneStop.ReportPlayer.OSRFunctions.OSRRef(D13))</f>
        <v>#NAME?</v>
      </c>
      <c r="E12" s="4"/>
      <c r="F12" s="13"/>
      <c r="G12" s="4"/>
      <c r="H12" s="4" t="e">
        <f ca="1">SUM(_xll.OneStop.ReportPlayer.OSRFunctions.OSRRef(H13))</f>
        <v>#NAME?</v>
      </c>
      <c r="I12" s="4"/>
      <c r="J12" s="13"/>
      <c r="K12" s="4"/>
      <c r="L12" s="4" t="e">
        <f t="shared" ref="L12:L13" ca="1" si="0">+D12-H12</f>
        <v>#NAME?</v>
      </c>
      <c r="M12" s="4"/>
      <c r="N12" s="13" t="e">
        <f t="shared" ref="N12:N13" ca="1" si="1">IF(H12=0,0,L12/H12)</f>
        <v>#NAME?</v>
      </c>
      <c r="O12" s="11"/>
      <c r="P12" s="4" t="e">
        <f ca="1">SUM(_xll.OneStop.ReportPlayer.OSRFunctions.OSRRef(P13))</f>
        <v>#NAME?</v>
      </c>
      <c r="Q12" s="4"/>
      <c r="R12" s="13"/>
      <c r="S12" s="4"/>
      <c r="T12" s="4" t="e">
        <f ca="1">SUM(_xll.OneStop.ReportPlayer.OSRFunctions.OSRRef(T13))</f>
        <v>#NAME?</v>
      </c>
      <c r="U12" s="4"/>
      <c r="V12" s="13"/>
      <c r="W12" s="4"/>
      <c r="X12" s="4" t="e">
        <f t="shared" ref="X12:X13" ca="1" si="2">+P12-T12</f>
        <v>#NAME?</v>
      </c>
      <c r="Y12" s="4"/>
      <c r="Z12" s="13" t="e">
        <f t="shared" ref="Z12:Z13" ca="1" si="3">IF(T12=0,0,X12/T12)</f>
        <v>#NAME?</v>
      </c>
    </row>
    <row r="13" spans="1:26" s="23" customFormat="1" hidden="1" outlineLevel="1" x14ac:dyDescent="0.25">
      <c r="A13" s="44"/>
      <c r="B13" s="10" t="e">
        <f ca="1">CONCATENATE("          ", _xll.OneStop.ReportPlayer.OSRFunctions.OSRGet("d_Account","Code"), " - ", _xll.OneStop.ReportPlayer.OSRFunctions.OSRGet("d_Account","Description"))</f>
        <v>#NAME?</v>
      </c>
      <c r="C13" s="10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0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1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4" customFormat="1" collapsed="1" x14ac:dyDescent="0.25">
      <c r="A15" s="11"/>
      <c r="B15" s="29" t="s">
        <v>256</v>
      </c>
      <c r="C15" s="11"/>
      <c r="D15" s="4" t="e">
        <f ca="1">SUM(_xll.OneStop.ReportPlayer.OSRFunctions.OSRRef(D16))</f>
        <v>#NAME?</v>
      </c>
      <c r="E15" s="4"/>
      <c r="F15" s="13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3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3" t="e">
        <f t="shared" ref="N15:N16" ca="1" si="7">IF(H15=0,0,L15/H15)</f>
        <v>#NAME?</v>
      </c>
      <c r="O15" s="11"/>
      <c r="P15" s="4" t="e">
        <f ca="1">SUM(_xll.OneStop.ReportPlayer.OSRFunctions.OSRRef(P16))</f>
        <v>#NAME?</v>
      </c>
      <c r="Q15" s="4"/>
      <c r="R15" s="13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3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3" t="e">
        <f t="shared" ref="Z15:Z16" ca="1" si="11">IF(T15=0,0,X15/T15)</f>
        <v>#NAME?</v>
      </c>
    </row>
    <row r="16" spans="1:26" s="23" customFormat="1" hidden="1" outlineLevel="1" x14ac:dyDescent="0.25">
      <c r="A16" s="44"/>
      <c r="B16" s="10" t="e">
        <f ca="1">CONCATENATE("          ", _xll.OneStop.ReportPlayer.OSRFunctions.OSRGet("d_Account","Code"), " - ", _xll.OneStop.ReportPlayer.OSRFunctions.OSRGet("d_Account","Description"))</f>
        <v>#NAME?</v>
      </c>
      <c r="C16" s="10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0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1"/>
      <c r="C17" s="11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1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4" customFormat="1" x14ac:dyDescent="0.25">
      <c r="A18" s="11"/>
      <c r="B18" s="28" t="s">
        <v>107</v>
      </c>
      <c r="C18" s="28"/>
      <c r="D18" s="21" t="e">
        <f ca="1">D12-D15</f>
        <v>#NAME?</v>
      </c>
      <c r="E18" s="14"/>
      <c r="F18" s="22" t="e">
        <f ca="1">IF(D$12=0,0,D18/D$12)</f>
        <v>#NAME?</v>
      </c>
      <c r="G18" s="14"/>
      <c r="H18" s="21" t="e">
        <f ca="1">H12-H15</f>
        <v>#NAME?</v>
      </c>
      <c r="I18" s="14"/>
      <c r="J18" s="22" t="e">
        <f ca="1">IF(H$12=0,0,H18/H$12)</f>
        <v>#NAME?</v>
      </c>
      <c r="K18" s="15"/>
      <c r="L18" s="21" t="e">
        <f ca="1">+D18-H18</f>
        <v>#NAME?</v>
      </c>
      <c r="M18" s="15"/>
      <c r="N18" s="22" t="e">
        <f ca="1">IF(H18=0,0,L18/H18)</f>
        <v>#NAME?</v>
      </c>
      <c r="O18" s="29"/>
      <c r="P18" s="21" t="e">
        <f ca="1">P12-P15</f>
        <v>#NAME?</v>
      </c>
      <c r="Q18" s="14"/>
      <c r="R18" s="22" t="e">
        <f ca="1">IF(P$12=0,0,P18/P$12)</f>
        <v>#NAME?</v>
      </c>
      <c r="S18" s="14"/>
      <c r="T18" s="21" t="e">
        <f ca="1">T12-T15</f>
        <v>#NAME?</v>
      </c>
      <c r="U18" s="14"/>
      <c r="V18" s="22" t="e">
        <f ca="1">IF(T$12=0,0,T18/T$12)</f>
        <v>#NAME?</v>
      </c>
      <c r="W18" s="15"/>
      <c r="X18" s="21" t="e">
        <f ca="1">+P18-T18</f>
        <v>#NAME?</v>
      </c>
      <c r="Y18" s="15"/>
      <c r="Z18" s="22" t="e">
        <f ca="1">IF(T18=0,0,X18/T18)</f>
        <v>#NAME?</v>
      </c>
    </row>
    <row r="19" spans="1:26" x14ac:dyDescent="0.25">
      <c r="A19" s="9"/>
      <c r="B19" s="11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4" customFormat="1" x14ac:dyDescent="0.25">
      <c r="A20" s="11"/>
      <c r="B20" s="29" t="s">
        <v>294</v>
      </c>
      <c r="C20" s="11"/>
      <c r="D20" s="20" t="e">
        <f ca="1">SUM(_xll.OneStop.ReportPlayer.OSRFunctions.OSRRef(D22))</f>
        <v>#NAME?</v>
      </c>
      <c r="E20" s="20"/>
      <c r="F20" s="32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2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2" t="e">
        <f t="shared" ref="N20:N22" ca="1" si="15">IF(H20=0,0,L20/H20)</f>
        <v>#NAME?</v>
      </c>
      <c r="O20" s="11"/>
      <c r="P20" s="20" t="e">
        <f ca="1">SUM(_xll.OneStop.ReportPlayer.OSRFunctions.OSRRef(P22))</f>
        <v>#NAME?</v>
      </c>
      <c r="Q20" s="20"/>
      <c r="R20" s="32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2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2" t="e">
        <f t="shared" ref="Z20:Z22" ca="1" si="19">IF(T20=0,0,X20/T20)</f>
        <v>#NAME?</v>
      </c>
    </row>
    <row r="21" spans="1:26" s="27" customFormat="1" outlineLevel="1" collapsed="1" x14ac:dyDescent="0.25">
      <c r="A21" s="26"/>
      <c r="B21" s="12" t="e">
        <f ca="1">CONCATENATE("     ",_xll.OneStop.ReportPlayer.OSRFunctions.OSRGet("d_Account","AccountCategory"))</f>
        <v>#NAME?</v>
      </c>
      <c r="C21" s="12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2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3" customFormat="1" hidden="1" outlineLevel="2" x14ac:dyDescent="0.25">
      <c r="A22" s="25"/>
      <c r="B22" s="10" t="e">
        <f ca="1">CONCATENATE("          ", _xll.OneStop.ReportPlayer.OSRFunctions.OSRGet("d_Account","Code"), " - ", _xll.OneStop.ReportPlayer.OSRFunctions.OSRGet("d_Account","Description"))</f>
        <v>#NAME?</v>
      </c>
      <c r="C22" s="10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0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2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4" customFormat="1" collapsed="1" x14ac:dyDescent="0.25">
      <c r="A24" s="11"/>
      <c r="B24" s="29" t="s">
        <v>292</v>
      </c>
      <c r="C24" s="11"/>
      <c r="D24" s="4" t="e">
        <f ca="1">SUM(_xll.OneStop.ReportPlayer.OSRFunctions.OSRRef(D25))</f>
        <v>#NAME?</v>
      </c>
      <c r="E24" s="4"/>
      <c r="F24" s="13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3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3" t="e">
        <f t="shared" ref="N24:N25" ca="1" si="23">IF(H24=0,0,L24/H24)</f>
        <v>#NAME?</v>
      </c>
      <c r="O24" s="11"/>
      <c r="P24" s="4" t="e">
        <f ca="1">SUM(_xll.OneStop.ReportPlayer.OSRFunctions.OSRRef(P25))</f>
        <v>#NAME?</v>
      </c>
      <c r="Q24" s="4"/>
      <c r="R24" s="13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3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3" t="e">
        <f t="shared" ref="Z24:Z25" ca="1" si="27">IF(T24=0,0,X24/T24)</f>
        <v>#NAME?</v>
      </c>
    </row>
    <row r="25" spans="1:26" s="23" customFormat="1" hidden="1" outlineLevel="1" x14ac:dyDescent="0.25">
      <c r="A25" s="44"/>
      <c r="B25" s="10" t="e">
        <f ca="1">CONCATENATE("          ", _xll.OneStop.ReportPlayer.OSRFunctions.OSRGet("d_Account","Code"), " - ", _xll.OneStop.ReportPlayer.OSRFunctions.OSRGet("d_Account","Description"))</f>
        <v>#NAME?</v>
      </c>
      <c r="C25" s="10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0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1"/>
      <c r="C26" s="11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1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4" customFormat="1" x14ac:dyDescent="0.25">
      <c r="A27" s="11"/>
      <c r="B27" s="28" t="s">
        <v>276</v>
      </c>
      <c r="C27" s="28"/>
      <c r="D27" s="21" t="e">
        <f ca="1">+D18-D20+D24</f>
        <v>#NAME?</v>
      </c>
      <c r="E27" s="14"/>
      <c r="F27" s="22" t="e">
        <f ca="1">IF(D$12=0,0,D27/D$12)</f>
        <v>#NAME?</v>
      </c>
      <c r="G27" s="14"/>
      <c r="H27" s="21" t="e">
        <f ca="1">+H18-H20+H24</f>
        <v>#NAME?</v>
      </c>
      <c r="I27" s="14"/>
      <c r="J27" s="22" t="e">
        <f ca="1">IF(H$12=0,0,H27/H$12)</f>
        <v>#NAME?</v>
      </c>
      <c r="K27" s="15"/>
      <c r="L27" s="21" t="e">
        <f ca="1">+D27-H27</f>
        <v>#NAME?</v>
      </c>
      <c r="M27" s="15"/>
      <c r="N27" s="22" t="e">
        <f ca="1">IF(H27=0,0,L27/H27)</f>
        <v>#NAME?</v>
      </c>
      <c r="O27" s="29"/>
      <c r="P27" s="21" t="e">
        <f ca="1">+P18-P20+P24</f>
        <v>#NAME?</v>
      </c>
      <c r="Q27" s="14"/>
      <c r="R27" s="22" t="e">
        <f ca="1">IF(P$12=0,0,P27/P$12)</f>
        <v>#NAME?</v>
      </c>
      <c r="S27" s="14"/>
      <c r="T27" s="21" t="e">
        <f ca="1">+T18-T20+T24</f>
        <v>#NAME?</v>
      </c>
      <c r="U27" s="14"/>
      <c r="V27" s="22" t="e">
        <f ca="1">IF(T$12=0,0,T27/T$12)</f>
        <v>#NAME?</v>
      </c>
      <c r="W27" s="15"/>
      <c r="X27" s="21" t="e">
        <f ca="1">+P27-T27</f>
        <v>#NAME?</v>
      </c>
      <c r="Y27" s="15"/>
      <c r="Z27" s="22" t="e">
        <f ca="1">IF(T27=0,0,X27/T27)</f>
        <v>#NAME?</v>
      </c>
    </row>
    <row r="28" spans="1:26" x14ac:dyDescent="0.25">
      <c r="A28" s="9"/>
      <c r="B28" s="11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4" customFormat="1" x14ac:dyDescent="0.25">
      <c r="A29" s="51"/>
      <c r="B29" s="11" t="s">
        <v>127</v>
      </c>
      <c r="C29" s="11"/>
      <c r="D29" s="4" t="e">
        <f ca="1">_xll.OneStop.ReportPlayer.OSRFunctions.OSRGet("GL_F_Trans","Value1")</f>
        <v>#NAME?</v>
      </c>
      <c r="E29" s="4"/>
      <c r="F29" s="13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3" t="e">
        <f ca="1">IF(H$12=0,0,H29/H$12)</f>
        <v>#NAME?</v>
      </c>
      <c r="K29" s="4"/>
      <c r="L29" s="4" t="e">
        <f ca="1">+D29-H29</f>
        <v>#NAME?</v>
      </c>
      <c r="M29" s="4"/>
      <c r="N29" s="13" t="e">
        <f ca="1">IF(H29=0,0,L29/H29)</f>
        <v>#NAME?</v>
      </c>
      <c r="O29" s="11"/>
      <c r="P29" s="4" t="e">
        <f ca="1">_xll.OneStop.ReportPlayer.OSRFunctions.OSRGet("GL_F_Trans","Value1")</f>
        <v>#NAME?</v>
      </c>
      <c r="Q29" s="4"/>
      <c r="R29" s="13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3" t="e">
        <f ca="1">IF(T$12=0,0,T29/T$12)</f>
        <v>#NAME?</v>
      </c>
      <c r="W29" s="4"/>
      <c r="X29" s="4" t="e">
        <f ca="1">+P29-T29</f>
        <v>#NAME?</v>
      </c>
      <c r="Y29" s="4"/>
      <c r="Z29" s="13" t="e">
        <f ca="1">IF(T29=0,0,X29/T29)</f>
        <v>#NAME?</v>
      </c>
    </row>
    <row r="30" spans="1:26" x14ac:dyDescent="0.25">
      <c r="A30" s="9"/>
      <c r="B30" s="11"/>
      <c r="C30" s="11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1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4" customFormat="1" ht="15.75" thickBot="1" x14ac:dyDescent="0.3">
      <c r="A31" s="11"/>
      <c r="B31" s="28" t="s">
        <v>125</v>
      </c>
      <c r="C31" s="28"/>
      <c r="D31" s="34" t="e">
        <f ca="1">+D27-D29</f>
        <v>#NAME?</v>
      </c>
      <c r="E31" s="14"/>
      <c r="F31" s="31" t="e">
        <f ca="1">IF(D$12=0,0,D31/D$12)</f>
        <v>#NAME?</v>
      </c>
      <c r="G31" s="14"/>
      <c r="H31" s="34" t="e">
        <f ca="1">+H27-H29</f>
        <v>#NAME?</v>
      </c>
      <c r="I31" s="14"/>
      <c r="J31" s="31" t="e">
        <f ca="1">IF(H$12=0,0,H31/H$12)</f>
        <v>#NAME?</v>
      </c>
      <c r="K31" s="15"/>
      <c r="L31" s="34" t="e">
        <f ca="1">D31-H31</f>
        <v>#NAME?</v>
      </c>
      <c r="M31" s="15"/>
      <c r="N31" s="31" t="e">
        <f ca="1">IF(H31=0,0,L31/H31)</f>
        <v>#NAME?</v>
      </c>
      <c r="O31" s="29"/>
      <c r="P31" s="34" t="e">
        <f ca="1">+P27-P29</f>
        <v>#NAME?</v>
      </c>
      <c r="Q31" s="14"/>
      <c r="R31" s="31" t="e">
        <f ca="1">IF(P$12=0,0,P31/P$12)</f>
        <v>#NAME?</v>
      </c>
      <c r="S31" s="14"/>
      <c r="T31" s="34" t="e">
        <f ca="1">+T27-T29</f>
        <v>#NAME?</v>
      </c>
      <c r="U31" s="14"/>
      <c r="V31" s="31" t="e">
        <f ca="1">IF(T$12=0,0,T31/T$12)</f>
        <v>#NAME?</v>
      </c>
      <c r="W31" s="15"/>
      <c r="X31" s="34" t="e">
        <f ca="1">P31-T31</f>
        <v>#NAME?</v>
      </c>
      <c r="Y31" s="15"/>
      <c r="Z31" s="31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4" customFormat="1" x14ac:dyDescent="0.25">
      <c r="A33" s="51"/>
      <c r="B33" s="11" t="s">
        <v>183</v>
      </c>
      <c r="C33" s="11"/>
      <c r="D33" s="4" t="e">
        <f ca="1">-_xll.OneStop.ReportPlayer.OSRFunctions.OSRGet("GL_F_Trans","Value1")</f>
        <v>#NAME?</v>
      </c>
      <c r="E33" s="4"/>
      <c r="F33" s="13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3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3" t="e">
        <f t="shared" ref="N33:N34" ca="1" si="31">IF(H33=0,0,L33/H33)</f>
        <v>#NAME?</v>
      </c>
      <c r="O33" s="11"/>
      <c r="P33" s="4" t="e">
        <f ca="1">-_xll.OneStop.ReportPlayer.OSRFunctions.OSRGet("GL_F_Trans","Value1")</f>
        <v>#NAME?</v>
      </c>
      <c r="Q33" s="4"/>
      <c r="R33" s="13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3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3" t="e">
        <f t="shared" ref="Z33:Z34" ca="1" si="35">IF(T33=0,0,X33/T33)</f>
        <v>#NAME?</v>
      </c>
    </row>
    <row r="34" spans="1:26" s="24" customFormat="1" x14ac:dyDescent="0.25">
      <c r="A34" s="51"/>
      <c r="B34" s="11" t="s">
        <v>81</v>
      </c>
      <c r="C34" s="11"/>
      <c r="D34" s="4" t="e">
        <f ca="1">-_xll.OneStop.ReportPlayer.OSRFunctions.OSRGet("GL_F_Trans","Value1")</f>
        <v>#NAME?</v>
      </c>
      <c r="E34" s="4"/>
      <c r="F34" s="13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3" t="e">
        <f t="shared" ca="1" si="29"/>
        <v>#NAME?</v>
      </c>
      <c r="K34" s="4"/>
      <c r="L34" s="4" t="e">
        <f t="shared" ca="1" si="30"/>
        <v>#NAME?</v>
      </c>
      <c r="M34" s="4"/>
      <c r="N34" s="13" t="e">
        <f t="shared" ca="1" si="31"/>
        <v>#NAME?</v>
      </c>
      <c r="O34" s="11"/>
      <c r="P34" s="4" t="e">
        <f ca="1">-_xll.OneStop.ReportPlayer.OSRFunctions.OSRGet("GL_F_Trans","Value1")</f>
        <v>#NAME?</v>
      </c>
      <c r="Q34" s="4"/>
      <c r="R34" s="13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3" t="e">
        <f t="shared" ca="1" si="33"/>
        <v>#NAME?</v>
      </c>
      <c r="W34" s="4"/>
      <c r="X34" s="4" t="e">
        <f t="shared" ca="1" si="34"/>
        <v>#NAME?</v>
      </c>
      <c r="Y34" s="4"/>
      <c r="Z34" s="13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4" customFormat="1" ht="15.75" thickBot="1" x14ac:dyDescent="0.3">
      <c r="A36" s="11"/>
      <c r="B36" s="28" t="s">
        <v>293</v>
      </c>
      <c r="C36" s="28"/>
      <c r="D36" s="33" t="e">
        <f ca="1">SUM(D31:D35)</f>
        <v>#NAME?</v>
      </c>
      <c r="E36" s="14"/>
      <c r="F36" s="35" t="e">
        <f ca="1">IF(D$12=0,0,D36/D$12)</f>
        <v>#NAME?</v>
      </c>
      <c r="G36" s="14"/>
      <c r="H36" s="33" t="e">
        <f ca="1">SUM(H31:H35)</f>
        <v>#NAME?</v>
      </c>
      <c r="I36" s="14"/>
      <c r="J36" s="35" t="e">
        <f ca="1">IF(H$12=0,0,H36/H$12)</f>
        <v>#NAME?</v>
      </c>
      <c r="K36" s="15"/>
      <c r="L36" s="33" t="e">
        <f ca="1">+D36-H36</f>
        <v>#NAME?</v>
      </c>
      <c r="M36" s="15"/>
      <c r="N36" s="35" t="e">
        <f ca="1">IF(H36=0,0,L36/H36)</f>
        <v>#NAME?</v>
      </c>
      <c r="O36" s="29"/>
      <c r="P36" s="33" t="e">
        <f ca="1">SUM(P31:P35)</f>
        <v>#NAME?</v>
      </c>
      <c r="Q36" s="14"/>
      <c r="R36" s="35" t="e">
        <f ca="1">IF(P$12=0,0,P36/P$12)</f>
        <v>#NAME?</v>
      </c>
      <c r="S36" s="14"/>
      <c r="T36" s="33" t="e">
        <f ca="1">SUM(T31:T35)</f>
        <v>#NAME?</v>
      </c>
      <c r="U36" s="14"/>
      <c r="V36" s="35" t="e">
        <f ca="1">IF(T$12=0,0,T36/T$12)</f>
        <v>#NAME?</v>
      </c>
      <c r="W36" s="15"/>
      <c r="X36" s="33" t="e">
        <f ca="1">+P36-T36</f>
        <v>#NAME?</v>
      </c>
      <c r="Y36" s="15"/>
      <c r="Z36" s="35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56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55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60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62" t="s">
        <v>23</v>
      </c>
    </row>
    <row r="3" spans="1:26" x14ac:dyDescent="0.25">
      <c r="D3" s="62" t="s">
        <v>236</v>
      </c>
      <c r="E3" s="17"/>
      <c r="F3" s="46"/>
      <c r="G3" s="17"/>
      <c r="H3" s="17"/>
      <c r="I3" s="17"/>
      <c r="J3" s="38"/>
      <c r="K3" s="17"/>
      <c r="L3" s="17"/>
      <c r="M3" s="17"/>
      <c r="N3" s="46"/>
      <c r="O3" s="53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2" t="e">
        <f ca="1">CONCATENATE("Period ",RIGHT(_xll.OneStop.ReportPlayer.OSRFunctions.OSRGet("Period","PeriodId"),2),", ",_xll.OneStop.ReportPlayer.OSRFunctions.OSRGet("Period","Year"))</f>
        <v>#NAME?</v>
      </c>
      <c r="E4" s="17"/>
      <c r="F4" s="46"/>
      <c r="G4" s="17"/>
      <c r="H4" s="17"/>
      <c r="I4" s="17"/>
      <c r="J4" s="38"/>
      <c r="K4" s="17"/>
      <c r="L4" s="17"/>
      <c r="M4" s="17"/>
      <c r="N4" s="46"/>
      <c r="O4" s="53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4"/>
      <c r="D5" s="64" t="e">
        <f ca="1">_xll.OneStop.ReportPlayer.OSRFunctions.OSRGet("Period","PeriodEnd")</f>
        <v>#NAME?</v>
      </c>
      <c r="E5" s="17"/>
      <c r="F5" s="46"/>
      <c r="G5" s="17"/>
      <c r="H5" s="17"/>
      <c r="I5" s="17"/>
      <c r="J5" s="38"/>
      <c r="K5" s="17"/>
      <c r="L5" s="17"/>
      <c r="M5" s="17"/>
      <c r="N5" s="46"/>
      <c r="O5" s="53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4"/>
      <c r="B6" s="48"/>
      <c r="C6" s="48"/>
      <c r="D6" s="24" t="s">
        <v>218</v>
      </c>
      <c r="E6" s="17"/>
      <c r="F6" s="46"/>
      <c r="G6" s="17"/>
      <c r="H6" s="17"/>
      <c r="I6" s="17"/>
      <c r="J6" s="38"/>
      <c r="K6" s="17"/>
      <c r="L6" s="17"/>
      <c r="M6" s="17"/>
      <c r="N6" s="46"/>
      <c r="O6" s="54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9"/>
    </row>
    <row r="8" spans="1:26" x14ac:dyDescent="0.25">
      <c r="B8" s="59"/>
    </row>
    <row r="9" spans="1:26" x14ac:dyDescent="0.25">
      <c r="B9" s="9"/>
      <c r="C9" s="9"/>
      <c r="D9" s="16" t="s">
        <v>291</v>
      </c>
      <c r="E9" s="16"/>
      <c r="F9" s="39"/>
      <c r="G9" s="16"/>
      <c r="H9" s="16"/>
      <c r="I9" s="16"/>
      <c r="J9" s="49"/>
      <c r="K9" s="16"/>
      <c r="L9" s="16"/>
      <c r="M9" s="16"/>
      <c r="N9" s="39"/>
      <c r="P9" s="16" t="s">
        <v>39</v>
      </c>
      <c r="Q9" s="16"/>
      <c r="R9" s="39"/>
      <c r="S9" s="16"/>
      <c r="T9" s="16"/>
      <c r="U9" s="16"/>
      <c r="V9" s="49"/>
      <c r="W9" s="16"/>
      <c r="X9" s="16"/>
      <c r="Y9" s="16"/>
      <c r="Z9" s="39"/>
    </row>
    <row r="10" spans="1:26" x14ac:dyDescent="0.25">
      <c r="A10" s="11"/>
      <c r="B10" s="58"/>
      <c r="C10" s="11"/>
      <c r="D10" s="42" t="s">
        <v>57</v>
      </c>
      <c r="E10" s="36"/>
      <c r="F10" s="30" t="s">
        <v>40</v>
      </c>
      <c r="G10" s="36"/>
      <c r="H10" s="50" t="s">
        <v>237</v>
      </c>
      <c r="I10" s="36"/>
      <c r="J10" s="30" t="s">
        <v>40</v>
      </c>
      <c r="K10" s="11"/>
      <c r="L10" s="42" t="s">
        <v>126</v>
      </c>
      <c r="M10" s="11"/>
      <c r="N10" s="30" t="s">
        <v>257</v>
      </c>
      <c r="O10" s="11"/>
      <c r="P10" s="61" t="s">
        <v>57</v>
      </c>
      <c r="Q10" s="36"/>
      <c r="R10" s="30" t="s">
        <v>40</v>
      </c>
      <c r="S10" s="36"/>
      <c r="T10" s="50" t="s">
        <v>237</v>
      </c>
      <c r="U10" s="36"/>
      <c r="V10" s="30" t="s">
        <v>40</v>
      </c>
      <c r="W10" s="11"/>
      <c r="X10" s="42" t="s">
        <v>126</v>
      </c>
      <c r="Y10" s="11"/>
      <c r="Z10" s="30" t="s">
        <v>257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4" customFormat="1" collapsed="1" x14ac:dyDescent="0.25">
      <c r="A12" s="11"/>
      <c r="B12" s="29" t="s">
        <v>139</v>
      </c>
      <c r="C12" s="11"/>
      <c r="D12" s="4" t="e">
        <f ca="1">SUM(_xll.OneStop.ReportPlayer.OSRFunctions.OSRRef(D13))</f>
        <v>#NAME?</v>
      </c>
      <c r="E12" s="4"/>
      <c r="F12" s="13"/>
      <c r="G12" s="4"/>
      <c r="H12" s="4" t="e">
        <f ca="1">SUM(_xll.OneStop.ReportPlayer.OSRFunctions.OSRRef(H13))</f>
        <v>#NAME?</v>
      </c>
      <c r="I12" s="4"/>
      <c r="J12" s="13"/>
      <c r="K12" s="4"/>
      <c r="L12" s="4" t="e">
        <f t="shared" ref="L12:L13" ca="1" si="0">+D12-H12</f>
        <v>#NAME?</v>
      </c>
      <c r="M12" s="4"/>
      <c r="N12" s="13" t="e">
        <f t="shared" ref="N12:N13" ca="1" si="1">IF(H12=0,0,L12/H12)</f>
        <v>#NAME?</v>
      </c>
      <c r="O12" s="11"/>
      <c r="P12" s="4" t="e">
        <f ca="1">SUM(_xll.OneStop.ReportPlayer.OSRFunctions.OSRRef(P13))</f>
        <v>#NAME?</v>
      </c>
      <c r="Q12" s="4"/>
      <c r="R12" s="13"/>
      <c r="S12" s="4"/>
      <c r="T12" s="4" t="e">
        <f ca="1">SUM(_xll.OneStop.ReportPlayer.OSRFunctions.OSRRef(T13))</f>
        <v>#NAME?</v>
      </c>
      <c r="U12" s="4"/>
      <c r="V12" s="13"/>
      <c r="W12" s="4"/>
      <c r="X12" s="4" t="e">
        <f t="shared" ref="X12:X13" ca="1" si="2">+P12-T12</f>
        <v>#NAME?</v>
      </c>
      <c r="Y12" s="4"/>
      <c r="Z12" s="13" t="e">
        <f t="shared" ref="Z12:Z13" ca="1" si="3">IF(T12=0,0,X12/T12)</f>
        <v>#NAME?</v>
      </c>
    </row>
    <row r="13" spans="1:26" s="23" customFormat="1" hidden="1" outlineLevel="1" x14ac:dyDescent="0.25">
      <c r="A13" s="44"/>
      <c r="B13" s="10" t="e">
        <f ca="1">CONCATENATE("          ", _xll.OneStop.ReportPlayer.OSRFunctions.OSRGet("d_Account","Code"), " - ", _xll.OneStop.ReportPlayer.OSRFunctions.OSRGet("d_Account","Description"))</f>
        <v>#NAME?</v>
      </c>
      <c r="C13" s="10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0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1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4" customFormat="1" collapsed="1" x14ac:dyDescent="0.25">
      <c r="A15" s="11"/>
      <c r="B15" s="29" t="s">
        <v>256</v>
      </c>
      <c r="C15" s="11"/>
      <c r="D15" s="4" t="e">
        <f ca="1">SUM(_xll.OneStop.ReportPlayer.OSRFunctions.OSRRef(D16))</f>
        <v>#NAME?</v>
      </c>
      <c r="E15" s="4"/>
      <c r="F15" s="13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3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3" t="e">
        <f t="shared" ref="N15:N16" ca="1" si="7">IF(H15=0,0,L15/H15)</f>
        <v>#NAME?</v>
      </c>
      <c r="O15" s="11"/>
      <c r="P15" s="4" t="e">
        <f ca="1">SUM(_xll.OneStop.ReportPlayer.OSRFunctions.OSRRef(P16))</f>
        <v>#NAME?</v>
      </c>
      <c r="Q15" s="4"/>
      <c r="R15" s="13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3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3" t="e">
        <f t="shared" ref="Z15:Z16" ca="1" si="11">IF(T15=0,0,X15/T15)</f>
        <v>#NAME?</v>
      </c>
    </row>
    <row r="16" spans="1:26" s="23" customFormat="1" hidden="1" outlineLevel="1" x14ac:dyDescent="0.25">
      <c r="A16" s="44"/>
      <c r="B16" s="10" t="e">
        <f ca="1">CONCATENATE("          ", _xll.OneStop.ReportPlayer.OSRFunctions.OSRGet("d_Account","Code"), " - ", _xll.OneStop.ReportPlayer.OSRFunctions.OSRGet("d_Account","Description"))</f>
        <v>#NAME?</v>
      </c>
      <c r="C16" s="10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0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1"/>
      <c r="C17" s="11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1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4" customFormat="1" x14ac:dyDescent="0.25">
      <c r="A18" s="11"/>
      <c r="B18" s="28" t="s">
        <v>107</v>
      </c>
      <c r="C18" s="28"/>
      <c r="D18" s="21" t="e">
        <f ca="1">D12-D15</f>
        <v>#NAME?</v>
      </c>
      <c r="E18" s="14"/>
      <c r="F18" s="22" t="e">
        <f ca="1">IF(D$12=0,0,D18/D$12)</f>
        <v>#NAME?</v>
      </c>
      <c r="G18" s="14"/>
      <c r="H18" s="21" t="e">
        <f ca="1">H12-H15</f>
        <v>#NAME?</v>
      </c>
      <c r="I18" s="14"/>
      <c r="J18" s="22" t="e">
        <f ca="1">IF(H$12=0,0,H18/H$12)</f>
        <v>#NAME?</v>
      </c>
      <c r="K18" s="15"/>
      <c r="L18" s="21" t="e">
        <f ca="1">+D18-H18</f>
        <v>#NAME?</v>
      </c>
      <c r="M18" s="15"/>
      <c r="N18" s="22" t="e">
        <f ca="1">IF(H18=0,0,L18/H18)</f>
        <v>#NAME?</v>
      </c>
      <c r="O18" s="29"/>
      <c r="P18" s="21" t="e">
        <f ca="1">P12-P15</f>
        <v>#NAME?</v>
      </c>
      <c r="Q18" s="14"/>
      <c r="R18" s="22" t="e">
        <f ca="1">IF(P$12=0,0,P18/P$12)</f>
        <v>#NAME?</v>
      </c>
      <c r="S18" s="14"/>
      <c r="T18" s="21" t="e">
        <f ca="1">T12-T15</f>
        <v>#NAME?</v>
      </c>
      <c r="U18" s="14"/>
      <c r="V18" s="22" t="e">
        <f ca="1">IF(T$12=0,0,T18/T$12)</f>
        <v>#NAME?</v>
      </c>
      <c r="W18" s="15"/>
      <c r="X18" s="21" t="e">
        <f ca="1">+P18-T18</f>
        <v>#NAME?</v>
      </c>
      <c r="Y18" s="15"/>
      <c r="Z18" s="22" t="e">
        <f ca="1">IF(T18=0,0,X18/T18)</f>
        <v>#NAME?</v>
      </c>
    </row>
    <row r="19" spans="1:26" x14ac:dyDescent="0.25">
      <c r="A19" s="9"/>
      <c r="B19" s="11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4" customFormat="1" x14ac:dyDescent="0.25">
      <c r="A20" s="11"/>
      <c r="B20" s="29" t="s">
        <v>294</v>
      </c>
      <c r="C20" s="11"/>
      <c r="D20" s="20" t="e">
        <f ca="1">SUM(_xll.OneStop.ReportPlayer.OSRFunctions.OSRRef(D22))</f>
        <v>#NAME?</v>
      </c>
      <c r="E20" s="20"/>
      <c r="F20" s="32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2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2" t="e">
        <f t="shared" ref="N20:N22" ca="1" si="15">IF(H20=0,0,L20/H20)</f>
        <v>#NAME?</v>
      </c>
      <c r="O20" s="11"/>
      <c r="P20" s="20" t="e">
        <f ca="1">SUM(_xll.OneStop.ReportPlayer.OSRFunctions.OSRRef(P22))</f>
        <v>#NAME?</v>
      </c>
      <c r="Q20" s="20"/>
      <c r="R20" s="32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2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2" t="e">
        <f t="shared" ref="Z20:Z22" ca="1" si="19">IF(T20=0,0,X20/T20)</f>
        <v>#NAME?</v>
      </c>
    </row>
    <row r="21" spans="1:26" s="27" customFormat="1" outlineLevel="1" collapsed="1" x14ac:dyDescent="0.25">
      <c r="A21" s="26"/>
      <c r="B21" s="12" t="e">
        <f ca="1">CONCATENATE("     ",_xll.OneStop.ReportPlayer.OSRFunctions.OSRGet("d_Account","AccountCategory"))</f>
        <v>#NAME?</v>
      </c>
      <c r="C21" s="12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2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3" customFormat="1" hidden="1" outlineLevel="2" x14ac:dyDescent="0.25">
      <c r="A22" s="25"/>
      <c r="B22" s="10" t="e">
        <f ca="1">CONCATENATE("          ", _xll.OneStop.ReportPlayer.OSRFunctions.OSRGet("d_Account","Code"), " - ", _xll.OneStop.ReportPlayer.OSRFunctions.OSRGet("d_Account","Description"))</f>
        <v>#NAME?</v>
      </c>
      <c r="C22" s="10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0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2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4" customFormat="1" collapsed="1" x14ac:dyDescent="0.25">
      <c r="A24" s="11"/>
      <c r="B24" s="29" t="s">
        <v>292</v>
      </c>
      <c r="C24" s="11"/>
      <c r="D24" s="4" t="e">
        <f ca="1">SUM(_xll.OneStop.ReportPlayer.OSRFunctions.OSRRef(D25))</f>
        <v>#NAME?</v>
      </c>
      <c r="E24" s="4"/>
      <c r="F24" s="13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3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3" t="e">
        <f t="shared" ref="N24:N25" ca="1" si="23">IF(H24=0,0,L24/H24)</f>
        <v>#NAME?</v>
      </c>
      <c r="O24" s="11"/>
      <c r="P24" s="4" t="e">
        <f ca="1">SUM(_xll.OneStop.ReportPlayer.OSRFunctions.OSRRef(P25))</f>
        <v>#NAME?</v>
      </c>
      <c r="Q24" s="4"/>
      <c r="R24" s="13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3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3" t="e">
        <f t="shared" ref="Z24:Z25" ca="1" si="27">IF(T24=0,0,X24/T24)</f>
        <v>#NAME?</v>
      </c>
    </row>
    <row r="25" spans="1:26" s="23" customFormat="1" hidden="1" outlineLevel="1" x14ac:dyDescent="0.25">
      <c r="A25" s="44"/>
      <c r="B25" s="10" t="e">
        <f ca="1">CONCATENATE("          ", _xll.OneStop.ReportPlayer.OSRFunctions.OSRGet("d_Account","Code"), " - ", _xll.OneStop.ReportPlayer.OSRFunctions.OSRGet("d_Account","Description"))</f>
        <v>#NAME?</v>
      </c>
      <c r="C25" s="10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0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1"/>
      <c r="C26" s="11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1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4" customFormat="1" x14ac:dyDescent="0.25">
      <c r="A27" s="11"/>
      <c r="B27" s="28" t="s">
        <v>276</v>
      </c>
      <c r="C27" s="28"/>
      <c r="D27" s="21" t="e">
        <f ca="1">+D18-D20+D24</f>
        <v>#NAME?</v>
      </c>
      <c r="E27" s="14"/>
      <c r="F27" s="22" t="e">
        <f ca="1">IF(D$12=0,0,D27/D$12)</f>
        <v>#NAME?</v>
      </c>
      <c r="G27" s="14"/>
      <c r="H27" s="21" t="e">
        <f ca="1">+H18-H20+H24</f>
        <v>#NAME?</v>
      </c>
      <c r="I27" s="14"/>
      <c r="J27" s="22" t="e">
        <f ca="1">IF(H$12=0,0,H27/H$12)</f>
        <v>#NAME?</v>
      </c>
      <c r="K27" s="15"/>
      <c r="L27" s="21" t="e">
        <f ca="1">+D27-H27</f>
        <v>#NAME?</v>
      </c>
      <c r="M27" s="15"/>
      <c r="N27" s="22" t="e">
        <f ca="1">IF(H27=0,0,L27/H27)</f>
        <v>#NAME?</v>
      </c>
      <c r="O27" s="29"/>
      <c r="P27" s="21" t="e">
        <f ca="1">+P18-P20+P24</f>
        <v>#NAME?</v>
      </c>
      <c r="Q27" s="14"/>
      <c r="R27" s="22" t="e">
        <f ca="1">IF(P$12=0,0,P27/P$12)</f>
        <v>#NAME?</v>
      </c>
      <c r="S27" s="14"/>
      <c r="T27" s="21" t="e">
        <f ca="1">+T18-T20+T24</f>
        <v>#NAME?</v>
      </c>
      <c r="U27" s="14"/>
      <c r="V27" s="22" t="e">
        <f ca="1">IF(T$12=0,0,T27/T$12)</f>
        <v>#NAME?</v>
      </c>
      <c r="W27" s="15"/>
      <c r="X27" s="21" t="e">
        <f ca="1">+P27-T27</f>
        <v>#NAME?</v>
      </c>
      <c r="Y27" s="15"/>
      <c r="Z27" s="22" t="e">
        <f ca="1">IF(T27=0,0,X27/T27)</f>
        <v>#NAME?</v>
      </c>
    </row>
    <row r="28" spans="1:26" x14ac:dyDescent="0.25">
      <c r="A28" s="9"/>
      <c r="B28" s="11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4" customFormat="1" x14ac:dyDescent="0.25">
      <c r="A29" s="51"/>
      <c r="B29" s="11" t="s">
        <v>127</v>
      </c>
      <c r="C29" s="11"/>
      <c r="D29" s="4" t="e">
        <f ca="1">_xll.OneStop.ReportPlayer.OSRFunctions.OSRGet("GL_F_Trans","Value1")</f>
        <v>#NAME?</v>
      </c>
      <c r="E29" s="4"/>
      <c r="F29" s="13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3" t="e">
        <f ca="1">IF(H$12=0,0,H29/H$12)</f>
        <v>#NAME?</v>
      </c>
      <c r="K29" s="4"/>
      <c r="L29" s="4" t="e">
        <f ca="1">+D29-H29</f>
        <v>#NAME?</v>
      </c>
      <c r="M29" s="4"/>
      <c r="N29" s="13" t="e">
        <f ca="1">IF(H29=0,0,L29/H29)</f>
        <v>#NAME?</v>
      </c>
      <c r="O29" s="11"/>
      <c r="P29" s="4" t="e">
        <f ca="1">_xll.OneStop.ReportPlayer.OSRFunctions.OSRGet("GL_F_Trans","Value1")</f>
        <v>#NAME?</v>
      </c>
      <c r="Q29" s="4"/>
      <c r="R29" s="13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3" t="e">
        <f ca="1">IF(T$12=0,0,T29/T$12)</f>
        <v>#NAME?</v>
      </c>
      <c r="W29" s="4"/>
      <c r="X29" s="4" t="e">
        <f ca="1">+P29-T29</f>
        <v>#NAME?</v>
      </c>
      <c r="Y29" s="4"/>
      <c r="Z29" s="13" t="e">
        <f ca="1">IF(T29=0,0,X29/T29)</f>
        <v>#NAME?</v>
      </c>
    </row>
    <row r="30" spans="1:26" x14ac:dyDescent="0.25">
      <c r="A30" s="9"/>
      <c r="B30" s="11"/>
      <c r="C30" s="11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1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4" customFormat="1" ht="15.75" thickBot="1" x14ac:dyDescent="0.3">
      <c r="A31" s="11"/>
      <c r="B31" s="28" t="s">
        <v>125</v>
      </c>
      <c r="C31" s="28"/>
      <c r="D31" s="34" t="e">
        <f ca="1">+D27-D29</f>
        <v>#NAME?</v>
      </c>
      <c r="E31" s="14"/>
      <c r="F31" s="31" t="e">
        <f ca="1">IF(D$12=0,0,D31/D$12)</f>
        <v>#NAME?</v>
      </c>
      <c r="G31" s="14"/>
      <c r="H31" s="34" t="e">
        <f ca="1">+H27-H29</f>
        <v>#NAME?</v>
      </c>
      <c r="I31" s="14"/>
      <c r="J31" s="31" t="e">
        <f ca="1">IF(H$12=0,0,H31/H$12)</f>
        <v>#NAME?</v>
      </c>
      <c r="K31" s="15"/>
      <c r="L31" s="34" t="e">
        <f ca="1">D31-H31</f>
        <v>#NAME?</v>
      </c>
      <c r="M31" s="15"/>
      <c r="N31" s="31" t="e">
        <f ca="1">IF(H31=0,0,L31/H31)</f>
        <v>#NAME?</v>
      </c>
      <c r="O31" s="29"/>
      <c r="P31" s="34" t="e">
        <f ca="1">+P27-P29</f>
        <v>#NAME?</v>
      </c>
      <c r="Q31" s="14"/>
      <c r="R31" s="31" t="e">
        <f ca="1">IF(P$12=0,0,P31/P$12)</f>
        <v>#NAME?</v>
      </c>
      <c r="S31" s="14"/>
      <c r="T31" s="34" t="e">
        <f ca="1">+T27-T29</f>
        <v>#NAME?</v>
      </c>
      <c r="U31" s="14"/>
      <c r="V31" s="31" t="e">
        <f ca="1">IF(T$12=0,0,T31/T$12)</f>
        <v>#NAME?</v>
      </c>
      <c r="W31" s="15"/>
      <c r="X31" s="34" t="e">
        <f ca="1">P31-T31</f>
        <v>#NAME?</v>
      </c>
      <c r="Y31" s="15"/>
      <c r="Z31" s="31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4" customFormat="1" x14ac:dyDescent="0.25">
      <c r="A33" s="51"/>
      <c r="B33" s="11" t="s">
        <v>183</v>
      </c>
      <c r="C33" s="11"/>
      <c r="D33" s="4" t="e">
        <f ca="1">-_xll.OneStop.ReportPlayer.OSRFunctions.OSRGet("GL_F_Trans","Value1")</f>
        <v>#NAME?</v>
      </c>
      <c r="E33" s="4"/>
      <c r="F33" s="13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3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3" t="e">
        <f t="shared" ref="N33:N34" ca="1" si="31">IF(H33=0,0,L33/H33)</f>
        <v>#NAME?</v>
      </c>
      <c r="O33" s="11"/>
      <c r="P33" s="4" t="e">
        <f ca="1">-_xll.OneStop.ReportPlayer.OSRFunctions.OSRGet("GL_F_Trans","Value1")</f>
        <v>#NAME?</v>
      </c>
      <c r="Q33" s="4"/>
      <c r="R33" s="13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3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3" t="e">
        <f t="shared" ref="Z33:Z34" ca="1" si="35">IF(T33=0,0,X33/T33)</f>
        <v>#NAME?</v>
      </c>
    </row>
    <row r="34" spans="1:26" s="24" customFormat="1" x14ac:dyDescent="0.25">
      <c r="A34" s="51"/>
      <c r="B34" s="11" t="s">
        <v>81</v>
      </c>
      <c r="C34" s="11"/>
      <c r="D34" s="4" t="e">
        <f ca="1">-_xll.OneStop.ReportPlayer.OSRFunctions.OSRGet("GL_F_Trans","Value1")</f>
        <v>#NAME?</v>
      </c>
      <c r="E34" s="4"/>
      <c r="F34" s="13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3" t="e">
        <f t="shared" ca="1" si="29"/>
        <v>#NAME?</v>
      </c>
      <c r="K34" s="4"/>
      <c r="L34" s="4" t="e">
        <f t="shared" ca="1" si="30"/>
        <v>#NAME?</v>
      </c>
      <c r="M34" s="4"/>
      <c r="N34" s="13" t="e">
        <f t="shared" ca="1" si="31"/>
        <v>#NAME?</v>
      </c>
      <c r="O34" s="11"/>
      <c r="P34" s="4" t="e">
        <f ca="1">-_xll.OneStop.ReportPlayer.OSRFunctions.OSRGet("GL_F_Trans","Value1")</f>
        <v>#NAME?</v>
      </c>
      <c r="Q34" s="4"/>
      <c r="R34" s="13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3" t="e">
        <f t="shared" ca="1" si="33"/>
        <v>#NAME?</v>
      </c>
      <c r="W34" s="4"/>
      <c r="X34" s="4" t="e">
        <f t="shared" ca="1" si="34"/>
        <v>#NAME?</v>
      </c>
      <c r="Y34" s="4"/>
      <c r="Z34" s="13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4" customFormat="1" ht="15.75" thickBot="1" x14ac:dyDescent="0.3">
      <c r="A36" s="11"/>
      <c r="B36" s="28" t="s">
        <v>293</v>
      </c>
      <c r="C36" s="28"/>
      <c r="D36" s="33" t="e">
        <f ca="1">SUM(D31:D35)</f>
        <v>#NAME?</v>
      </c>
      <c r="E36" s="14"/>
      <c r="F36" s="35" t="e">
        <f ca="1">IF(D$12=0,0,D36/D$12)</f>
        <v>#NAME?</v>
      </c>
      <c r="G36" s="14"/>
      <c r="H36" s="33" t="e">
        <f ca="1">SUM(H31:H35)</f>
        <v>#NAME?</v>
      </c>
      <c r="I36" s="14"/>
      <c r="J36" s="35" t="e">
        <f ca="1">IF(H$12=0,0,H36/H$12)</f>
        <v>#NAME?</v>
      </c>
      <c r="K36" s="15"/>
      <c r="L36" s="33" t="e">
        <f ca="1">+D36-H36</f>
        <v>#NAME?</v>
      </c>
      <c r="M36" s="15"/>
      <c r="N36" s="35" t="e">
        <f ca="1">IF(H36=0,0,L36/H36)</f>
        <v>#NAME?</v>
      </c>
      <c r="O36" s="29"/>
      <c r="P36" s="33" t="e">
        <f ca="1">SUM(P31:P35)</f>
        <v>#NAME?</v>
      </c>
      <c r="Q36" s="14"/>
      <c r="R36" s="35" t="e">
        <f ca="1">IF(P$12=0,0,P36/P$12)</f>
        <v>#NAME?</v>
      </c>
      <c r="S36" s="14"/>
      <c r="T36" s="33" t="e">
        <f ca="1">SUM(T31:T35)</f>
        <v>#NAME?</v>
      </c>
      <c r="U36" s="14"/>
      <c r="V36" s="35" t="e">
        <f ca="1">IF(T$12=0,0,T36/T$12)</f>
        <v>#NAME?</v>
      </c>
      <c r="W36" s="15"/>
      <c r="X36" s="33" t="e">
        <f ca="1">+P36-T36</f>
        <v>#NAME?</v>
      </c>
      <c r="Y36" s="15"/>
      <c r="Z36" s="35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56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55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60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>
    <tabColor rgb="FF92D050"/>
    <outlinePr summaryBelow="0" summaryRight="0"/>
  </sheetPr>
  <dimension ref="A2:Z36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62" t="s">
        <v>23</v>
      </c>
    </row>
    <row r="3" spans="1:26" x14ac:dyDescent="0.25">
      <c r="D3" s="62" t="s">
        <v>236</v>
      </c>
      <c r="E3" s="17"/>
      <c r="F3" s="46"/>
      <c r="G3" s="17"/>
      <c r="H3" s="17"/>
      <c r="I3" s="17"/>
      <c r="J3" s="38"/>
      <c r="K3" s="17"/>
      <c r="L3" s="17"/>
      <c r="M3" s="17"/>
      <c r="N3" s="46"/>
      <c r="O3" s="53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2" t="str">
        <f>CONCATENATE("Period ",RIGHT(202112,2),", ",2021)</f>
        <v>Period 12, 2021</v>
      </c>
      <c r="E4" s="17"/>
      <c r="F4" s="46"/>
      <c r="G4" s="17"/>
      <c r="H4" s="17"/>
      <c r="I4" s="17"/>
      <c r="J4" s="38"/>
      <c r="K4" s="17"/>
      <c r="L4" s="17"/>
      <c r="M4" s="17"/>
      <c r="N4" s="46"/>
      <c r="O4" s="53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4"/>
      <c r="D5" s="63">
        <v>44377</v>
      </c>
      <c r="E5" s="17"/>
      <c r="F5" s="46"/>
      <c r="G5" s="17"/>
      <c r="H5" s="17"/>
      <c r="I5" s="17"/>
      <c r="J5" s="38"/>
      <c r="K5" s="17"/>
      <c r="L5" s="17"/>
      <c r="M5" s="17"/>
      <c r="N5" s="46"/>
      <c r="O5" s="53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4"/>
      <c r="B6" s="48"/>
      <c r="C6" s="48"/>
      <c r="D6" s="24" t="str">
        <f>CONCATENATE("Department ","100", " - ", "Corporate")</f>
        <v>Department 100 - Corporate</v>
      </c>
      <c r="E6" s="17"/>
      <c r="F6" s="46"/>
      <c r="G6" s="17"/>
      <c r="H6" s="17"/>
      <c r="I6" s="17"/>
      <c r="J6" s="38"/>
      <c r="K6" s="17"/>
      <c r="L6" s="17"/>
      <c r="M6" s="17"/>
      <c r="N6" s="46"/>
      <c r="O6" s="54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9"/>
    </row>
    <row r="8" spans="1:26" x14ac:dyDescent="0.25">
      <c r="B8" s="59"/>
    </row>
    <row r="9" spans="1:26" x14ac:dyDescent="0.25">
      <c r="B9" s="9"/>
      <c r="C9" s="9"/>
      <c r="D9" s="16" t="s">
        <v>291</v>
      </c>
      <c r="E9" s="16"/>
      <c r="F9" s="39"/>
      <c r="G9" s="16"/>
      <c r="H9" s="16"/>
      <c r="I9" s="16"/>
      <c r="J9" s="49"/>
      <c r="K9" s="16"/>
      <c r="L9" s="16"/>
      <c r="M9" s="16"/>
      <c r="N9" s="39"/>
      <c r="P9" s="16" t="s">
        <v>39</v>
      </c>
      <c r="Q9" s="16"/>
      <c r="R9" s="39"/>
      <c r="S9" s="16"/>
      <c r="T9" s="16"/>
      <c r="U9" s="16"/>
      <c r="V9" s="49"/>
      <c r="W9" s="16"/>
      <c r="X9" s="16"/>
      <c r="Y9" s="16"/>
      <c r="Z9" s="39"/>
    </row>
    <row r="10" spans="1:26" x14ac:dyDescent="0.25">
      <c r="A10" s="11"/>
      <c r="B10" s="58"/>
      <c r="C10" s="11"/>
      <c r="D10" s="42" t="s">
        <v>57</v>
      </c>
      <c r="E10" s="36"/>
      <c r="F10" s="30" t="s">
        <v>40</v>
      </c>
      <c r="G10" s="36"/>
      <c r="H10" s="50" t="s">
        <v>237</v>
      </c>
      <c r="I10" s="36"/>
      <c r="J10" s="30" t="s">
        <v>40</v>
      </c>
      <c r="K10" s="11"/>
      <c r="L10" s="42" t="s">
        <v>126</v>
      </c>
      <c r="M10" s="11"/>
      <c r="N10" s="30" t="s">
        <v>257</v>
      </c>
      <c r="O10" s="11"/>
      <c r="P10" s="61" t="s">
        <v>57</v>
      </c>
      <c r="Q10" s="36"/>
      <c r="R10" s="30" t="s">
        <v>40</v>
      </c>
      <c r="S10" s="36"/>
      <c r="T10" s="50" t="s">
        <v>237</v>
      </c>
      <c r="U10" s="36"/>
      <c r="V10" s="30" t="s">
        <v>40</v>
      </c>
      <c r="W10" s="11"/>
      <c r="X10" s="42" t="s">
        <v>126</v>
      </c>
      <c r="Y10" s="11"/>
      <c r="Z10" s="30" t="s">
        <v>257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4" customFormat="1" x14ac:dyDescent="0.25">
      <c r="A12" s="11"/>
      <c r="B12" s="29" t="s">
        <v>139</v>
      </c>
      <c r="C12" s="11"/>
      <c r="D12" s="4">
        <f>SUM(0)</f>
        <v>0</v>
      </c>
      <c r="E12" s="4"/>
      <c r="F12" s="13"/>
      <c r="G12" s="4"/>
      <c r="H12" s="4">
        <f>SUM(0)</f>
        <v>0</v>
      </c>
      <c r="I12" s="4"/>
      <c r="J12" s="13"/>
      <c r="K12" s="4"/>
      <c r="L12" s="4">
        <f>+D12-H12</f>
        <v>0</v>
      </c>
      <c r="M12" s="4"/>
      <c r="N12" s="13">
        <f>IF(H12=0,0,L12/H12)</f>
        <v>0</v>
      </c>
      <c r="O12" s="11"/>
      <c r="P12" s="4">
        <f>SUM(0)</f>
        <v>0</v>
      </c>
      <c r="Q12" s="4"/>
      <c r="R12" s="13"/>
      <c r="S12" s="4"/>
      <c r="T12" s="4">
        <f>SUM(0)</f>
        <v>0</v>
      </c>
      <c r="U12" s="4"/>
      <c r="V12" s="13"/>
      <c r="W12" s="4"/>
      <c r="X12" s="4">
        <f>+P12-T12</f>
        <v>0</v>
      </c>
      <c r="Y12" s="4"/>
      <c r="Z12" s="13">
        <f>IF(T12=0,0,X12/T12)</f>
        <v>0</v>
      </c>
    </row>
    <row r="13" spans="1:26" x14ac:dyDescent="0.25">
      <c r="A13" s="9"/>
      <c r="B13" s="11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4" customFormat="1" x14ac:dyDescent="0.25">
      <c r="A14" s="11"/>
      <c r="B14" s="29" t="s">
        <v>256</v>
      </c>
      <c r="C14" s="11"/>
      <c r="D14" s="4">
        <f>SUM(0)</f>
        <v>0</v>
      </c>
      <c r="E14" s="4"/>
      <c r="F14" s="13">
        <f>IF(D$12=0,0,D14/D$12)</f>
        <v>0</v>
      </c>
      <c r="G14" s="4"/>
      <c r="H14" s="4">
        <f>SUM(0)</f>
        <v>0</v>
      </c>
      <c r="I14" s="4"/>
      <c r="J14" s="13">
        <f>IF(H$12=0,0,H14/H$12)</f>
        <v>0</v>
      </c>
      <c r="K14" s="4"/>
      <c r="L14" s="4">
        <f>+D14-H14</f>
        <v>0</v>
      </c>
      <c r="M14" s="4"/>
      <c r="N14" s="13">
        <f>IF(H14=0,0,L14/H14)</f>
        <v>0</v>
      </c>
      <c r="O14" s="11"/>
      <c r="P14" s="4">
        <f>SUM(0)</f>
        <v>0</v>
      </c>
      <c r="Q14" s="4"/>
      <c r="R14" s="13">
        <f>IF(P$12=0,0,P14/P$12)</f>
        <v>0</v>
      </c>
      <c r="S14" s="4"/>
      <c r="T14" s="4">
        <f>SUM(0)</f>
        <v>0</v>
      </c>
      <c r="U14" s="4"/>
      <c r="V14" s="13">
        <f>IF(T$12=0,0,T14/T$12)</f>
        <v>0</v>
      </c>
      <c r="W14" s="4"/>
      <c r="X14" s="4">
        <f>+P14-T14</f>
        <v>0</v>
      </c>
      <c r="Y14" s="4"/>
      <c r="Z14" s="13">
        <f>IF(T14=0,0,X14/T14)</f>
        <v>0</v>
      </c>
    </row>
    <row r="15" spans="1:26" x14ac:dyDescent="0.25">
      <c r="A15" s="9"/>
      <c r="B15" s="11"/>
      <c r="C15" s="11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1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4" customFormat="1" x14ac:dyDescent="0.25">
      <c r="A16" s="11"/>
      <c r="B16" s="28" t="s">
        <v>107</v>
      </c>
      <c r="C16" s="28"/>
      <c r="D16" s="21">
        <f>D12-D14</f>
        <v>0</v>
      </c>
      <c r="E16" s="14"/>
      <c r="F16" s="22">
        <f>IF(D$12=0,0,D16/D$12)</f>
        <v>0</v>
      </c>
      <c r="G16" s="14"/>
      <c r="H16" s="21">
        <f>H12-H14</f>
        <v>0</v>
      </c>
      <c r="I16" s="14"/>
      <c r="J16" s="22">
        <f>IF(H$12=0,0,H16/H$12)</f>
        <v>0</v>
      </c>
      <c r="K16" s="15"/>
      <c r="L16" s="21">
        <f>+D16-H16</f>
        <v>0</v>
      </c>
      <c r="M16" s="15"/>
      <c r="N16" s="22">
        <f>IF(H16=0,0,L16/H16)</f>
        <v>0</v>
      </c>
      <c r="O16" s="29"/>
      <c r="P16" s="21">
        <f>P12-P14</f>
        <v>0</v>
      </c>
      <c r="Q16" s="14"/>
      <c r="R16" s="22">
        <f>IF(P$12=0,0,P16/P$12)</f>
        <v>0</v>
      </c>
      <c r="S16" s="14"/>
      <c r="T16" s="21">
        <f>T12-T14</f>
        <v>0</v>
      </c>
      <c r="U16" s="14"/>
      <c r="V16" s="22">
        <f>IF(T$12=0,0,T16/T$12)</f>
        <v>0</v>
      </c>
      <c r="W16" s="15"/>
      <c r="X16" s="21">
        <f>+P16-T16</f>
        <v>0</v>
      </c>
      <c r="Y16" s="15"/>
      <c r="Z16" s="22">
        <f>IF(T16=0,0,X16/T16)</f>
        <v>0</v>
      </c>
    </row>
    <row r="17" spans="1:26" x14ac:dyDescent="0.25">
      <c r="A17" s="9"/>
      <c r="B17" s="11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4" customFormat="1" x14ac:dyDescent="0.25">
      <c r="A18" s="11"/>
      <c r="B18" s="29" t="s">
        <v>294</v>
      </c>
      <c r="C18" s="11"/>
      <c r="D18" s="20">
        <f>SUM(0)</f>
        <v>0</v>
      </c>
      <c r="E18" s="20"/>
      <c r="F18" s="32">
        <f>IF(D$12=0,0,D18/D$12)</f>
        <v>0</v>
      </c>
      <c r="G18" s="20"/>
      <c r="H18" s="20">
        <f>SUM(0)</f>
        <v>0</v>
      </c>
      <c r="I18" s="20"/>
      <c r="J18" s="32">
        <f>IF(H$12=0,0,H18/H$12)</f>
        <v>0</v>
      </c>
      <c r="K18" s="4"/>
      <c r="L18" s="20">
        <f>+D18-H18</f>
        <v>0</v>
      </c>
      <c r="M18" s="4"/>
      <c r="N18" s="32">
        <f>IF(H18=0,0,L18/H18)</f>
        <v>0</v>
      </c>
      <c r="O18" s="11"/>
      <c r="P18" s="20">
        <f>SUM(0)</f>
        <v>0</v>
      </c>
      <c r="Q18" s="20"/>
      <c r="R18" s="32">
        <f>IF(P$12=0,0,P18/P$12)</f>
        <v>0</v>
      </c>
      <c r="S18" s="20"/>
      <c r="T18" s="20">
        <f>SUM(0)</f>
        <v>0</v>
      </c>
      <c r="U18" s="20"/>
      <c r="V18" s="32">
        <f>IF(T$12=0,0,T18/T$12)</f>
        <v>0</v>
      </c>
      <c r="W18" s="4"/>
      <c r="X18" s="20">
        <f>+P18-T18</f>
        <v>0</v>
      </c>
      <c r="Y18" s="4"/>
      <c r="Z18" s="32">
        <f>IF(T18=0,0,X18/T18)</f>
        <v>0</v>
      </c>
    </row>
    <row r="19" spans="1:26" s="52" customFormat="1" x14ac:dyDescent="0.25">
      <c r="A19" s="37"/>
      <c r="B19" s="37"/>
      <c r="C19" s="37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4" customFormat="1" x14ac:dyDescent="0.25">
      <c r="A20" s="11"/>
      <c r="B20" s="29" t="s">
        <v>292</v>
      </c>
      <c r="C20" s="11"/>
      <c r="D20" s="4">
        <f>SUM(0)</f>
        <v>0</v>
      </c>
      <c r="E20" s="4"/>
      <c r="F20" s="13">
        <f>IF(D$12=0,0,D20/D$12)</f>
        <v>0</v>
      </c>
      <c r="G20" s="4"/>
      <c r="H20" s="4">
        <f>SUM(0)</f>
        <v>0</v>
      </c>
      <c r="I20" s="4"/>
      <c r="J20" s="13">
        <f>IF(H$12=0,0,H20/H$12)</f>
        <v>0</v>
      </c>
      <c r="K20" s="4"/>
      <c r="L20" s="4">
        <f>+D20-H20</f>
        <v>0</v>
      </c>
      <c r="M20" s="4"/>
      <c r="N20" s="13">
        <f>IF(H20=0,0,L20/H20)</f>
        <v>0</v>
      </c>
      <c r="O20" s="11"/>
      <c r="P20" s="4">
        <f>SUM(0)</f>
        <v>0</v>
      </c>
      <c r="Q20" s="4"/>
      <c r="R20" s="13">
        <f>IF(P$12=0,0,P20/P$12)</f>
        <v>0</v>
      </c>
      <c r="S20" s="4"/>
      <c r="T20" s="4">
        <f>SUM(0)</f>
        <v>0</v>
      </c>
      <c r="U20" s="4"/>
      <c r="V20" s="13">
        <f>IF(T$12=0,0,T20/T$12)</f>
        <v>0</v>
      </c>
      <c r="W20" s="4"/>
      <c r="X20" s="4">
        <f>+P20-T20</f>
        <v>0</v>
      </c>
      <c r="Y20" s="4"/>
      <c r="Z20" s="13">
        <f>IF(T20=0,0,X20/T20)</f>
        <v>0</v>
      </c>
    </row>
    <row r="21" spans="1:26" x14ac:dyDescent="0.25">
      <c r="A21" s="9"/>
      <c r="B21" s="11"/>
      <c r="C21" s="11"/>
      <c r="D21" s="3"/>
      <c r="E21" s="3"/>
      <c r="F21" s="8"/>
      <c r="G21" s="3"/>
      <c r="H21" s="3"/>
      <c r="I21" s="3"/>
      <c r="J21" s="8"/>
      <c r="K21" s="3"/>
      <c r="L21" s="3"/>
      <c r="M21" s="3"/>
      <c r="N21" s="8"/>
      <c r="O21" s="11"/>
      <c r="P21" s="3"/>
      <c r="Q21" s="3"/>
      <c r="R21" s="8"/>
      <c r="S21" s="3"/>
      <c r="T21" s="3"/>
      <c r="U21" s="3"/>
      <c r="V21" s="8"/>
      <c r="W21" s="3"/>
      <c r="X21" s="3"/>
      <c r="Y21" s="3"/>
      <c r="Z21" s="8"/>
    </row>
    <row r="22" spans="1:26" s="24" customFormat="1" x14ac:dyDescent="0.25">
      <c r="A22" s="11"/>
      <c r="B22" s="28" t="s">
        <v>276</v>
      </c>
      <c r="C22" s="28"/>
      <c r="D22" s="21">
        <f>+D16-D18+D20</f>
        <v>0</v>
      </c>
      <c r="E22" s="14"/>
      <c r="F22" s="22">
        <f>IF(D$12=0,0,D22/D$12)</f>
        <v>0</v>
      </c>
      <c r="G22" s="14"/>
      <c r="H22" s="21">
        <f>+H16-H18+H20</f>
        <v>0</v>
      </c>
      <c r="I22" s="14"/>
      <c r="J22" s="22">
        <f>IF(H$12=0,0,H22/H$12)</f>
        <v>0</v>
      </c>
      <c r="K22" s="15"/>
      <c r="L22" s="21">
        <f>+D22-H22</f>
        <v>0</v>
      </c>
      <c r="M22" s="15"/>
      <c r="N22" s="22">
        <f>IF(H22=0,0,L22/H22)</f>
        <v>0</v>
      </c>
      <c r="O22" s="29"/>
      <c r="P22" s="21">
        <f>+P16-P18+P20</f>
        <v>0</v>
      </c>
      <c r="Q22" s="14"/>
      <c r="R22" s="22">
        <f>IF(P$12=0,0,P22/P$12)</f>
        <v>0</v>
      </c>
      <c r="S22" s="14"/>
      <c r="T22" s="21">
        <f>+T16-T18+T20</f>
        <v>0</v>
      </c>
      <c r="U22" s="14"/>
      <c r="V22" s="22">
        <f>IF(T$12=0,0,T22/T$12)</f>
        <v>0</v>
      </c>
      <c r="W22" s="15"/>
      <c r="X22" s="21">
        <f>+P22-T22</f>
        <v>0</v>
      </c>
      <c r="Y22" s="15"/>
      <c r="Z22" s="22">
        <f>IF(T22=0,0,X22/T22)</f>
        <v>0</v>
      </c>
    </row>
    <row r="23" spans="1:26" x14ac:dyDescent="0.25">
      <c r="A23" s="9"/>
      <c r="B23" s="11"/>
      <c r="C23" s="9"/>
      <c r="D23" s="3"/>
      <c r="E23" s="3"/>
      <c r="F23" s="8"/>
      <c r="G23" s="3"/>
      <c r="H23" s="3"/>
      <c r="I23" s="3"/>
      <c r="J23" s="8"/>
      <c r="K23" s="3"/>
      <c r="L23" s="3"/>
      <c r="M23" s="3"/>
      <c r="N23" s="8"/>
      <c r="P23" s="3"/>
      <c r="Q23" s="3"/>
      <c r="R23" s="8"/>
      <c r="S23" s="3"/>
      <c r="T23" s="3"/>
      <c r="U23" s="3"/>
      <c r="V23" s="8"/>
      <c r="W23" s="3"/>
      <c r="X23" s="3"/>
      <c r="Y23" s="3"/>
      <c r="Z23" s="8"/>
    </row>
    <row r="24" spans="1:26" s="24" customFormat="1" x14ac:dyDescent="0.25">
      <c r="A24" s="51"/>
      <c r="B24" s="11" t="s">
        <v>127</v>
      </c>
      <c r="C24" s="11"/>
      <c r="D24" s="4"/>
      <c r="E24" s="4"/>
      <c r="F24" s="13">
        <f>IF(D$12=0,0,D24/D$12)</f>
        <v>0</v>
      </c>
      <c r="G24" s="4"/>
      <c r="H24" s="4"/>
      <c r="I24" s="4"/>
      <c r="J24" s="13">
        <f>IF(H$12=0,0,H24/H$12)</f>
        <v>0</v>
      </c>
      <c r="K24" s="4"/>
      <c r="L24" s="4">
        <f>+D24-H24</f>
        <v>0</v>
      </c>
      <c r="M24" s="4"/>
      <c r="N24" s="13">
        <f>IF(H24=0,0,L24/H24)</f>
        <v>0</v>
      </c>
      <c r="O24" s="11"/>
      <c r="P24" s="4"/>
      <c r="Q24" s="4"/>
      <c r="R24" s="13">
        <f>IF(P$12=0,0,P24/P$12)</f>
        <v>0</v>
      </c>
      <c r="S24" s="4"/>
      <c r="T24" s="4"/>
      <c r="U24" s="4"/>
      <c r="V24" s="13">
        <f>IF(T$12=0,0,T24/T$12)</f>
        <v>0</v>
      </c>
      <c r="W24" s="4"/>
      <c r="X24" s="4">
        <f>+P24-T24</f>
        <v>0</v>
      </c>
      <c r="Y24" s="4"/>
      <c r="Z24" s="13">
        <f>IF(T24=0,0,X24/T24)</f>
        <v>0</v>
      </c>
    </row>
    <row r="25" spans="1:26" x14ac:dyDescent="0.25">
      <c r="A25" s="9"/>
      <c r="B25" s="11"/>
      <c r="C25" s="11"/>
      <c r="D25" s="3"/>
      <c r="E25" s="3"/>
      <c r="F25" s="8"/>
      <c r="G25" s="3"/>
      <c r="H25" s="3"/>
      <c r="I25" s="3"/>
      <c r="J25" s="8"/>
      <c r="K25" s="3"/>
      <c r="L25" s="3"/>
      <c r="M25" s="3"/>
      <c r="N25" s="8"/>
      <c r="O25" s="11"/>
      <c r="P25" s="3"/>
      <c r="Q25" s="3"/>
      <c r="R25" s="8"/>
      <c r="S25" s="3"/>
      <c r="T25" s="3"/>
      <c r="U25" s="3"/>
      <c r="V25" s="8"/>
      <c r="W25" s="3"/>
      <c r="X25" s="3"/>
      <c r="Y25" s="3"/>
      <c r="Z25" s="8"/>
    </row>
    <row r="26" spans="1:26" s="24" customFormat="1" ht="15.75" thickBot="1" x14ac:dyDescent="0.3">
      <c r="A26" s="11"/>
      <c r="B26" s="28" t="s">
        <v>125</v>
      </c>
      <c r="C26" s="28"/>
      <c r="D26" s="34">
        <f>+D22-D24</f>
        <v>0</v>
      </c>
      <c r="E26" s="14"/>
      <c r="F26" s="31">
        <f>IF(D$12=0,0,D26/D$12)</f>
        <v>0</v>
      </c>
      <c r="G26" s="14"/>
      <c r="H26" s="34">
        <f>+H22-H24</f>
        <v>0</v>
      </c>
      <c r="I26" s="14"/>
      <c r="J26" s="31">
        <f>IF(H$12=0,0,H26/H$12)</f>
        <v>0</v>
      </c>
      <c r="K26" s="15"/>
      <c r="L26" s="34">
        <f>D26-H26</f>
        <v>0</v>
      </c>
      <c r="M26" s="15"/>
      <c r="N26" s="31">
        <f>IF(H26=0,0,L26/H26)</f>
        <v>0</v>
      </c>
      <c r="O26" s="29"/>
      <c r="P26" s="34">
        <f>+P22-P24</f>
        <v>0</v>
      </c>
      <c r="Q26" s="14"/>
      <c r="R26" s="31">
        <f>IF(P$12=0,0,P26/P$12)</f>
        <v>0</v>
      </c>
      <c r="S26" s="14"/>
      <c r="T26" s="34">
        <f>+T22-T24</f>
        <v>0</v>
      </c>
      <c r="U26" s="14"/>
      <c r="V26" s="31">
        <f>IF(T$12=0,0,T26/T$12)</f>
        <v>0</v>
      </c>
      <c r="W26" s="15"/>
      <c r="X26" s="34">
        <f>P26-T26</f>
        <v>0</v>
      </c>
      <c r="Y26" s="15"/>
      <c r="Z26" s="31">
        <f>IF(T26=0,0,X26/T26)</f>
        <v>0</v>
      </c>
    </row>
    <row r="27" spans="1:26" ht="15.75" thickTop="1" x14ac:dyDescent="0.25">
      <c r="A27" s="9"/>
      <c r="B27" s="9"/>
      <c r="C27" s="9"/>
      <c r="D27" s="3"/>
      <c r="E27" s="3"/>
      <c r="F27" s="8"/>
      <c r="G27" s="3"/>
      <c r="H27" s="3"/>
      <c r="I27" s="3"/>
      <c r="J27" s="8"/>
      <c r="K27" s="3"/>
      <c r="L27" s="3"/>
      <c r="M27" s="3"/>
      <c r="N27" s="8"/>
      <c r="P27" s="3"/>
      <c r="Q27" s="3"/>
      <c r="R27" s="8"/>
      <c r="S27" s="3"/>
      <c r="T27" s="3"/>
      <c r="U27" s="3"/>
      <c r="V27" s="8"/>
      <c r="W27" s="3"/>
      <c r="X27" s="3"/>
      <c r="Y27" s="3"/>
      <c r="Z27" s="8"/>
    </row>
    <row r="28" spans="1:26" s="24" customFormat="1" x14ac:dyDescent="0.25">
      <c r="A28" s="51"/>
      <c r="B28" s="11" t="s">
        <v>183</v>
      </c>
      <c r="C28" s="11"/>
      <c r="D28" s="4">
        <f>-920090.89</f>
        <v>-920090.89</v>
      </c>
      <c r="E28" s="4"/>
      <c r="F28" s="13">
        <f t="shared" ref="F28:F29" si="0">IF(D$12=0,0,D28/D$12)</f>
        <v>0</v>
      </c>
      <c r="G28" s="4"/>
      <c r="H28" s="4">
        <f>--322360.04</f>
        <v>322360.03999999998</v>
      </c>
      <c r="I28" s="4"/>
      <c r="J28" s="13">
        <f t="shared" ref="J28:J29" si="1">IF(H$12=0,0,H28/H$12)</f>
        <v>0</v>
      </c>
      <c r="K28" s="4"/>
      <c r="L28" s="4">
        <f t="shared" ref="L28:L29" si="2">+D28-H28</f>
        <v>-1242450.93</v>
      </c>
      <c r="M28" s="4"/>
      <c r="N28" s="13">
        <f t="shared" ref="N28:N29" si="3">IF(H28=0,0,L28/H28)</f>
        <v>-3.8542337009264549</v>
      </c>
      <c r="O28" s="11"/>
      <c r="P28" s="4">
        <f>--1782877.25</f>
        <v>1782877.25</v>
      </c>
      <c r="Q28" s="4"/>
      <c r="R28" s="13">
        <f t="shared" ref="R28:R29" si="4">IF(P$12=0,0,P28/P$12)</f>
        <v>0</v>
      </c>
      <c r="S28" s="4"/>
      <c r="T28" s="4">
        <f>-36911.48</f>
        <v>-36911.480000000003</v>
      </c>
      <c r="U28" s="4"/>
      <c r="V28" s="13">
        <f t="shared" ref="V28:V29" si="5">IF(T$12=0,0,T28/T$12)</f>
        <v>0</v>
      </c>
      <c r="W28" s="4"/>
      <c r="X28" s="4">
        <f t="shared" ref="X28:X29" si="6">+P28-T28</f>
        <v>1819788.73</v>
      </c>
      <c r="Y28" s="4"/>
      <c r="Z28" s="13">
        <f t="shared" ref="Z28:Z29" si="7">IF(T28=0,0,X28/T28)</f>
        <v>-49.301429528157634</v>
      </c>
    </row>
    <row r="29" spans="1:26" s="24" customFormat="1" x14ac:dyDescent="0.25">
      <c r="A29" s="51"/>
      <c r="B29" s="11" t="s">
        <v>81</v>
      </c>
      <c r="C29" s="11"/>
      <c r="D29" s="4">
        <f>--2951630.18</f>
        <v>2951630.18</v>
      </c>
      <c r="E29" s="4"/>
      <c r="F29" s="13">
        <f t="shared" si="0"/>
        <v>0</v>
      </c>
      <c r="G29" s="4"/>
      <c r="H29" s="4">
        <f>--56882.15</f>
        <v>56882.15</v>
      </c>
      <c r="I29" s="4"/>
      <c r="J29" s="13">
        <f t="shared" si="1"/>
        <v>0</v>
      </c>
      <c r="K29" s="4"/>
      <c r="L29" s="4">
        <f t="shared" si="2"/>
        <v>2894748.0300000003</v>
      </c>
      <c r="M29" s="4"/>
      <c r="N29" s="13">
        <f t="shared" si="3"/>
        <v>50.890271025268916</v>
      </c>
      <c r="O29" s="11"/>
      <c r="P29" s="4">
        <f>--3055858.1</f>
        <v>3055858.1</v>
      </c>
      <c r="Q29" s="4"/>
      <c r="R29" s="13">
        <f t="shared" si="4"/>
        <v>0</v>
      </c>
      <c r="S29" s="4"/>
      <c r="T29" s="4">
        <f>--324468.28</f>
        <v>324468.28000000003</v>
      </c>
      <c r="U29" s="4"/>
      <c r="V29" s="13">
        <f t="shared" si="5"/>
        <v>0</v>
      </c>
      <c r="W29" s="4"/>
      <c r="X29" s="4">
        <f t="shared" si="6"/>
        <v>2731389.8200000003</v>
      </c>
      <c r="Y29" s="4"/>
      <c r="Z29" s="13">
        <f t="shared" si="7"/>
        <v>8.4180488151260882</v>
      </c>
    </row>
    <row r="30" spans="1:26" x14ac:dyDescent="0.25">
      <c r="A30" s="9"/>
      <c r="B30" s="9"/>
      <c r="C30" s="9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4" customFormat="1" ht="15.75" thickBot="1" x14ac:dyDescent="0.3">
      <c r="A31" s="11"/>
      <c r="B31" s="28" t="s">
        <v>293</v>
      </c>
      <c r="C31" s="28"/>
      <c r="D31" s="33">
        <f>SUM(D26:D30)</f>
        <v>2031539.29</v>
      </c>
      <c r="E31" s="14"/>
      <c r="F31" s="35">
        <f>IF(D$12=0,0,D31/D$12)</f>
        <v>0</v>
      </c>
      <c r="G31" s="14"/>
      <c r="H31" s="33">
        <f>SUM(H26:H30)</f>
        <v>379242.19</v>
      </c>
      <c r="I31" s="14"/>
      <c r="J31" s="35">
        <f>IF(H$12=0,0,H31/H$12)</f>
        <v>0</v>
      </c>
      <c r="K31" s="15"/>
      <c r="L31" s="33">
        <f>+D31-H31</f>
        <v>1652297.1</v>
      </c>
      <c r="M31" s="15"/>
      <c r="N31" s="35">
        <f>IF(H31=0,0,L31/H31)</f>
        <v>4.3568388316711282</v>
      </c>
      <c r="O31" s="29"/>
      <c r="P31" s="33">
        <f>SUM(P26:P30)</f>
        <v>4838735.3499999996</v>
      </c>
      <c r="Q31" s="14"/>
      <c r="R31" s="35">
        <f>IF(P$12=0,0,P31/P$12)</f>
        <v>0</v>
      </c>
      <c r="S31" s="14"/>
      <c r="T31" s="33">
        <f>SUM(T26:T30)</f>
        <v>287556.80000000005</v>
      </c>
      <c r="U31" s="14"/>
      <c r="V31" s="35">
        <f>IF(T$12=0,0,T31/T$12)</f>
        <v>0</v>
      </c>
      <c r="W31" s="15"/>
      <c r="X31" s="33">
        <f>+P31-T31</f>
        <v>4551178.55</v>
      </c>
      <c r="Y31" s="15"/>
      <c r="Z31" s="35">
        <f>IF(T31=0,0,X31/T31)</f>
        <v>15.827059384441609</v>
      </c>
    </row>
    <row r="32" spans="1:26" ht="15.75" thickTop="1" x14ac:dyDescent="0.25">
      <c r="A32" s="9"/>
      <c r="C32" s="9"/>
      <c r="D32" s="18"/>
      <c r="E32" s="18"/>
      <c r="G32" s="18"/>
      <c r="H32" s="18"/>
      <c r="I32" s="18"/>
      <c r="J32" s="43"/>
      <c r="K32" s="18"/>
      <c r="L32" s="18"/>
      <c r="M32" s="18"/>
      <c r="P32" s="18"/>
      <c r="Q32" s="18"/>
      <c r="R32" s="43"/>
      <c r="S32" s="18"/>
      <c r="T32" s="18"/>
      <c r="U32" s="18"/>
      <c r="V32" s="43"/>
      <c r="W32" s="18"/>
      <c r="X32" s="18"/>
    </row>
    <row r="33" spans="1:24" x14ac:dyDescent="0.25">
      <c r="A33" s="9"/>
      <c r="B33" s="56">
        <v>44454.698585613427</v>
      </c>
      <c r="D33" s="18"/>
      <c r="E33" s="18"/>
      <c r="G33" s="18"/>
      <c r="H33" s="18"/>
      <c r="I33" s="18"/>
      <c r="J33" s="43"/>
      <c r="K33" s="18"/>
      <c r="L33" s="18"/>
      <c r="M33" s="18"/>
      <c r="P33" s="18"/>
      <c r="Q33" s="18"/>
      <c r="R33" s="43"/>
      <c r="S33" s="18"/>
      <c r="T33" s="18"/>
      <c r="U33" s="18"/>
      <c r="V33" s="43"/>
      <c r="W33" s="18"/>
      <c r="X33" s="18"/>
    </row>
    <row r="34" spans="1:24" x14ac:dyDescent="0.25">
      <c r="A34" s="9"/>
      <c r="B34" s="55" t="s">
        <v>56</v>
      </c>
      <c r="D34" s="18"/>
      <c r="E34" s="18"/>
      <c r="G34" s="18"/>
      <c r="H34" s="18"/>
      <c r="I34" s="18"/>
      <c r="J34" s="43"/>
      <c r="K34" s="18"/>
      <c r="L34" s="18"/>
      <c r="M34" s="18"/>
      <c r="P34" s="18"/>
      <c r="Q34" s="18"/>
      <c r="R34" s="43"/>
      <c r="S34" s="18"/>
      <c r="T34" s="18"/>
      <c r="U34" s="18"/>
      <c r="V34" s="43"/>
      <c r="W34" s="18"/>
      <c r="X34" s="18"/>
    </row>
    <row r="35" spans="1:24" x14ac:dyDescent="0.25">
      <c r="A35" s="9"/>
      <c r="B35" s="60"/>
      <c r="D35" s="18"/>
      <c r="E35" s="18"/>
      <c r="G35" s="18"/>
      <c r="H35" s="18"/>
      <c r="I35" s="18"/>
      <c r="J35" s="43"/>
      <c r="K35" s="18"/>
      <c r="L35" s="18"/>
      <c r="M35" s="18"/>
      <c r="P35" s="18"/>
      <c r="Q35" s="18"/>
      <c r="R35" s="43"/>
      <c r="S35" s="18"/>
      <c r="T35" s="18"/>
      <c r="U35" s="18"/>
      <c r="V35" s="43"/>
      <c r="W35" s="18"/>
      <c r="X35" s="18"/>
    </row>
    <row r="36" spans="1:24" x14ac:dyDescent="0.25">
      <c r="D36" s="18"/>
      <c r="E36" s="18"/>
      <c r="G36" s="18"/>
      <c r="H36" s="18"/>
      <c r="I36" s="18"/>
      <c r="J36" s="43"/>
      <c r="K36" s="18"/>
      <c r="L36" s="18"/>
      <c r="M36" s="18"/>
      <c r="P36" s="18"/>
      <c r="Q36" s="18"/>
      <c r="R36" s="43"/>
      <c r="S36" s="18"/>
      <c r="T36" s="18"/>
      <c r="U36" s="18"/>
      <c r="V36" s="43"/>
      <c r="W36" s="18"/>
      <c r="X36" s="18"/>
    </row>
  </sheetData>
  <pageMargins left="0.25" right="0.25" top="0.75" bottom="0.75" header="0.3" footer="0.3"/>
  <pageSetup scale="55" fitToWidth="2" orientation="landscape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B0F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62" t="s">
        <v>23</v>
      </c>
    </row>
    <row r="3" spans="1:26" x14ac:dyDescent="0.25">
      <c r="D3" s="62" t="s">
        <v>236</v>
      </c>
      <c r="E3" s="17"/>
      <c r="F3" s="46"/>
      <c r="G3" s="17"/>
      <c r="H3" s="17"/>
      <c r="I3" s="17"/>
      <c r="J3" s="38"/>
      <c r="K3" s="17"/>
      <c r="L3" s="17"/>
      <c r="M3" s="17"/>
      <c r="N3" s="46"/>
      <c r="O3" s="53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2" t="e">
        <f ca="1">CONCATENATE("Period ",RIGHT(_xll.OneStop.ReportPlayer.OSRFunctions.OSRGet("Period","PeriodId"),2),", ",_xll.OneStop.ReportPlayer.OSRFunctions.OSRGet("Period","Year"))</f>
        <v>#NAME?</v>
      </c>
      <c r="E4" s="17"/>
      <c r="F4" s="46"/>
      <c r="G4" s="17"/>
      <c r="H4" s="17"/>
      <c r="I4" s="17"/>
      <c r="J4" s="38"/>
      <c r="K4" s="17"/>
      <c r="L4" s="17"/>
      <c r="M4" s="17"/>
      <c r="N4" s="46"/>
      <c r="O4" s="53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4"/>
      <c r="D5" s="64" t="e">
        <f ca="1">_xll.OneStop.ReportPlayer.OSRFunctions.OSRGet("Period","PeriodEnd")</f>
        <v>#NAME?</v>
      </c>
      <c r="E5" s="17"/>
      <c r="F5" s="46"/>
      <c r="G5" s="17"/>
      <c r="H5" s="17"/>
      <c r="I5" s="17"/>
      <c r="J5" s="38"/>
      <c r="K5" s="17"/>
      <c r="L5" s="17"/>
      <c r="M5" s="17"/>
      <c r="N5" s="46"/>
      <c r="O5" s="53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4"/>
      <c r="B6" s="48"/>
      <c r="C6" s="48"/>
      <c r="D6" s="24" t="s">
        <v>312</v>
      </c>
      <c r="E6" s="17"/>
      <c r="F6" s="46"/>
      <c r="G6" s="17"/>
      <c r="H6" s="17"/>
      <c r="I6" s="17"/>
      <c r="J6" s="38"/>
      <c r="K6" s="17"/>
      <c r="L6" s="17"/>
      <c r="M6" s="17"/>
      <c r="N6" s="46"/>
      <c r="O6" s="54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9"/>
    </row>
    <row r="8" spans="1:26" x14ac:dyDescent="0.25">
      <c r="B8" s="59"/>
    </row>
    <row r="9" spans="1:26" x14ac:dyDescent="0.25">
      <c r="B9" s="9"/>
      <c r="C9" s="9"/>
      <c r="D9" s="16" t="s">
        <v>291</v>
      </c>
      <c r="E9" s="16"/>
      <c r="F9" s="39"/>
      <c r="G9" s="16"/>
      <c r="H9" s="16"/>
      <c r="I9" s="16"/>
      <c r="J9" s="49"/>
      <c r="K9" s="16"/>
      <c r="L9" s="16"/>
      <c r="M9" s="16"/>
      <c r="N9" s="39"/>
      <c r="P9" s="16" t="s">
        <v>39</v>
      </c>
      <c r="Q9" s="16"/>
      <c r="R9" s="39"/>
      <c r="S9" s="16"/>
      <c r="T9" s="16"/>
      <c r="U9" s="16"/>
      <c r="V9" s="49"/>
      <c r="W9" s="16"/>
      <c r="X9" s="16"/>
      <c r="Y9" s="16"/>
      <c r="Z9" s="39"/>
    </row>
    <row r="10" spans="1:26" x14ac:dyDescent="0.25">
      <c r="A10" s="11"/>
      <c r="B10" s="58"/>
      <c r="C10" s="11"/>
      <c r="D10" s="42" t="s">
        <v>57</v>
      </c>
      <c r="E10" s="36"/>
      <c r="F10" s="30" t="s">
        <v>40</v>
      </c>
      <c r="G10" s="36"/>
      <c r="H10" s="50" t="s">
        <v>237</v>
      </c>
      <c r="I10" s="36"/>
      <c r="J10" s="30" t="s">
        <v>40</v>
      </c>
      <c r="K10" s="11"/>
      <c r="L10" s="42" t="s">
        <v>126</v>
      </c>
      <c r="M10" s="11"/>
      <c r="N10" s="30" t="s">
        <v>257</v>
      </c>
      <c r="O10" s="11"/>
      <c r="P10" s="61" t="s">
        <v>57</v>
      </c>
      <c r="Q10" s="36"/>
      <c r="R10" s="30" t="s">
        <v>40</v>
      </c>
      <c r="S10" s="36"/>
      <c r="T10" s="50" t="s">
        <v>237</v>
      </c>
      <c r="U10" s="36"/>
      <c r="V10" s="30" t="s">
        <v>40</v>
      </c>
      <c r="W10" s="11"/>
      <c r="X10" s="42" t="s">
        <v>126</v>
      </c>
      <c r="Y10" s="11"/>
      <c r="Z10" s="30" t="s">
        <v>257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4" customFormat="1" collapsed="1" x14ac:dyDescent="0.25">
      <c r="A12" s="11"/>
      <c r="B12" s="29" t="s">
        <v>139</v>
      </c>
      <c r="C12" s="11"/>
      <c r="D12" s="4" t="e">
        <f ca="1">SUM(_xll.OneStop.ReportPlayer.OSRFunctions.OSRRef(D13))</f>
        <v>#NAME?</v>
      </c>
      <c r="E12" s="4"/>
      <c r="F12" s="13"/>
      <c r="G12" s="4"/>
      <c r="H12" s="4" t="e">
        <f ca="1">SUM(_xll.OneStop.ReportPlayer.OSRFunctions.OSRRef(H13))</f>
        <v>#NAME?</v>
      </c>
      <c r="I12" s="4"/>
      <c r="J12" s="13"/>
      <c r="K12" s="4"/>
      <c r="L12" s="4" t="e">
        <f t="shared" ref="L12:L13" ca="1" si="0">+D12-H12</f>
        <v>#NAME?</v>
      </c>
      <c r="M12" s="4"/>
      <c r="N12" s="13" t="e">
        <f t="shared" ref="N12:N13" ca="1" si="1">IF(H12=0,0,L12/H12)</f>
        <v>#NAME?</v>
      </c>
      <c r="O12" s="11"/>
      <c r="P12" s="4" t="e">
        <f ca="1">SUM(_xll.OneStop.ReportPlayer.OSRFunctions.OSRRef(P13))</f>
        <v>#NAME?</v>
      </c>
      <c r="Q12" s="4"/>
      <c r="R12" s="13"/>
      <c r="S12" s="4"/>
      <c r="T12" s="4" t="e">
        <f ca="1">SUM(_xll.OneStop.ReportPlayer.OSRFunctions.OSRRef(T13))</f>
        <v>#NAME?</v>
      </c>
      <c r="U12" s="4"/>
      <c r="V12" s="13"/>
      <c r="W12" s="4"/>
      <c r="X12" s="4" t="e">
        <f t="shared" ref="X12:X13" ca="1" si="2">+P12-T12</f>
        <v>#NAME?</v>
      </c>
      <c r="Y12" s="4"/>
      <c r="Z12" s="13" t="e">
        <f t="shared" ref="Z12:Z13" ca="1" si="3">IF(T12=0,0,X12/T12)</f>
        <v>#NAME?</v>
      </c>
    </row>
    <row r="13" spans="1:26" s="23" customFormat="1" hidden="1" outlineLevel="1" x14ac:dyDescent="0.25">
      <c r="A13" s="44"/>
      <c r="B13" s="10" t="e">
        <f ca="1">CONCATENATE("          ", _xll.OneStop.ReportPlayer.OSRFunctions.OSRGet("d_Account","Code"), " - ", _xll.OneStop.ReportPlayer.OSRFunctions.OSRGet("d_Account","Description"))</f>
        <v>#NAME?</v>
      </c>
      <c r="C13" s="10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0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1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4" customFormat="1" collapsed="1" x14ac:dyDescent="0.25">
      <c r="A15" s="11"/>
      <c r="B15" s="29" t="s">
        <v>256</v>
      </c>
      <c r="C15" s="11"/>
      <c r="D15" s="4" t="e">
        <f ca="1">SUM(_xll.OneStop.ReportPlayer.OSRFunctions.OSRRef(D16))</f>
        <v>#NAME?</v>
      </c>
      <c r="E15" s="4"/>
      <c r="F15" s="13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3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3" t="e">
        <f t="shared" ref="N15:N16" ca="1" si="7">IF(H15=0,0,L15/H15)</f>
        <v>#NAME?</v>
      </c>
      <c r="O15" s="11"/>
      <c r="P15" s="4" t="e">
        <f ca="1">SUM(_xll.OneStop.ReportPlayer.OSRFunctions.OSRRef(P16))</f>
        <v>#NAME?</v>
      </c>
      <c r="Q15" s="4"/>
      <c r="R15" s="13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3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3" t="e">
        <f t="shared" ref="Z15:Z16" ca="1" si="11">IF(T15=0,0,X15/T15)</f>
        <v>#NAME?</v>
      </c>
    </row>
    <row r="16" spans="1:26" s="23" customFormat="1" hidden="1" outlineLevel="1" x14ac:dyDescent="0.25">
      <c r="A16" s="44"/>
      <c r="B16" s="10" t="e">
        <f ca="1">CONCATENATE("          ", _xll.OneStop.ReportPlayer.OSRFunctions.OSRGet("d_Account","Code"), " - ", _xll.OneStop.ReportPlayer.OSRFunctions.OSRGet("d_Account","Description"))</f>
        <v>#NAME?</v>
      </c>
      <c r="C16" s="10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0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1"/>
      <c r="C17" s="11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1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4" customFormat="1" x14ac:dyDescent="0.25">
      <c r="A18" s="11"/>
      <c r="B18" s="28" t="s">
        <v>107</v>
      </c>
      <c r="C18" s="28"/>
      <c r="D18" s="21" t="e">
        <f ca="1">D12-D15</f>
        <v>#NAME?</v>
      </c>
      <c r="E18" s="14"/>
      <c r="F18" s="22" t="e">
        <f ca="1">IF(D$12=0,0,D18/D$12)</f>
        <v>#NAME?</v>
      </c>
      <c r="G18" s="14"/>
      <c r="H18" s="21" t="e">
        <f ca="1">H12-H15</f>
        <v>#NAME?</v>
      </c>
      <c r="I18" s="14"/>
      <c r="J18" s="22" t="e">
        <f ca="1">IF(H$12=0,0,H18/H$12)</f>
        <v>#NAME?</v>
      </c>
      <c r="K18" s="15"/>
      <c r="L18" s="21" t="e">
        <f ca="1">+D18-H18</f>
        <v>#NAME?</v>
      </c>
      <c r="M18" s="15"/>
      <c r="N18" s="22" t="e">
        <f ca="1">IF(H18=0,0,L18/H18)</f>
        <v>#NAME?</v>
      </c>
      <c r="O18" s="29"/>
      <c r="P18" s="21" t="e">
        <f ca="1">P12-P15</f>
        <v>#NAME?</v>
      </c>
      <c r="Q18" s="14"/>
      <c r="R18" s="22" t="e">
        <f ca="1">IF(P$12=0,0,P18/P$12)</f>
        <v>#NAME?</v>
      </c>
      <c r="S18" s="14"/>
      <c r="T18" s="21" t="e">
        <f ca="1">T12-T15</f>
        <v>#NAME?</v>
      </c>
      <c r="U18" s="14"/>
      <c r="V18" s="22" t="e">
        <f ca="1">IF(T$12=0,0,T18/T$12)</f>
        <v>#NAME?</v>
      </c>
      <c r="W18" s="15"/>
      <c r="X18" s="21" t="e">
        <f ca="1">+P18-T18</f>
        <v>#NAME?</v>
      </c>
      <c r="Y18" s="15"/>
      <c r="Z18" s="22" t="e">
        <f ca="1">IF(T18=0,0,X18/T18)</f>
        <v>#NAME?</v>
      </c>
    </row>
    <row r="19" spans="1:26" x14ac:dyDescent="0.25">
      <c r="A19" s="9"/>
      <c r="B19" s="11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4" customFormat="1" x14ac:dyDescent="0.25">
      <c r="A20" s="11"/>
      <c r="B20" s="29" t="s">
        <v>294</v>
      </c>
      <c r="C20" s="11"/>
      <c r="D20" s="20" t="e">
        <f ca="1">SUM(_xll.OneStop.ReportPlayer.OSRFunctions.OSRRef(D22))</f>
        <v>#NAME?</v>
      </c>
      <c r="E20" s="20"/>
      <c r="F20" s="32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2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2" t="e">
        <f t="shared" ref="N20:N22" ca="1" si="15">IF(H20=0,0,L20/H20)</f>
        <v>#NAME?</v>
      </c>
      <c r="O20" s="11"/>
      <c r="P20" s="20" t="e">
        <f ca="1">SUM(_xll.OneStop.ReportPlayer.OSRFunctions.OSRRef(P22))</f>
        <v>#NAME?</v>
      </c>
      <c r="Q20" s="20"/>
      <c r="R20" s="32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2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2" t="e">
        <f t="shared" ref="Z20:Z22" ca="1" si="19">IF(T20=0,0,X20/T20)</f>
        <v>#NAME?</v>
      </c>
    </row>
    <row r="21" spans="1:26" s="27" customFormat="1" outlineLevel="1" collapsed="1" x14ac:dyDescent="0.25">
      <c r="A21" s="26"/>
      <c r="B21" s="12" t="e">
        <f ca="1">CONCATENATE("     ",_xll.OneStop.ReportPlayer.OSRFunctions.OSRGet("d_Account","AccountCategory"))</f>
        <v>#NAME?</v>
      </c>
      <c r="C21" s="12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2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3" customFormat="1" hidden="1" outlineLevel="2" x14ac:dyDescent="0.25">
      <c r="A22" s="25"/>
      <c r="B22" s="10" t="e">
        <f ca="1">CONCATENATE("          ", _xll.OneStop.ReportPlayer.OSRFunctions.OSRGet("d_Account","Code"), " - ", _xll.OneStop.ReportPlayer.OSRFunctions.OSRGet("d_Account","Description"))</f>
        <v>#NAME?</v>
      </c>
      <c r="C22" s="10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0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2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4" customFormat="1" collapsed="1" x14ac:dyDescent="0.25">
      <c r="A24" s="11"/>
      <c r="B24" s="29" t="s">
        <v>292</v>
      </c>
      <c r="C24" s="11"/>
      <c r="D24" s="4" t="e">
        <f ca="1">SUM(_xll.OneStop.ReportPlayer.OSRFunctions.OSRRef(D25))</f>
        <v>#NAME?</v>
      </c>
      <c r="E24" s="4"/>
      <c r="F24" s="13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3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3" t="e">
        <f t="shared" ref="N24:N25" ca="1" si="23">IF(H24=0,0,L24/H24)</f>
        <v>#NAME?</v>
      </c>
      <c r="O24" s="11"/>
      <c r="P24" s="4" t="e">
        <f ca="1">SUM(_xll.OneStop.ReportPlayer.OSRFunctions.OSRRef(P25))</f>
        <v>#NAME?</v>
      </c>
      <c r="Q24" s="4"/>
      <c r="R24" s="13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3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3" t="e">
        <f t="shared" ref="Z24:Z25" ca="1" si="27">IF(T24=0,0,X24/T24)</f>
        <v>#NAME?</v>
      </c>
    </row>
    <row r="25" spans="1:26" s="23" customFormat="1" hidden="1" outlineLevel="1" x14ac:dyDescent="0.25">
      <c r="A25" s="44"/>
      <c r="B25" s="10" t="e">
        <f ca="1">CONCATENATE("          ", _xll.OneStop.ReportPlayer.OSRFunctions.OSRGet("d_Account","Code"), " - ", _xll.OneStop.ReportPlayer.OSRFunctions.OSRGet("d_Account","Description"))</f>
        <v>#NAME?</v>
      </c>
      <c r="C25" s="10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0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1"/>
      <c r="C26" s="11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1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4" customFormat="1" x14ac:dyDescent="0.25">
      <c r="A27" s="11"/>
      <c r="B27" s="28" t="s">
        <v>276</v>
      </c>
      <c r="C27" s="28"/>
      <c r="D27" s="21" t="e">
        <f ca="1">+D18-D20+D24</f>
        <v>#NAME?</v>
      </c>
      <c r="E27" s="14"/>
      <c r="F27" s="22" t="e">
        <f ca="1">IF(D$12=0,0,D27/D$12)</f>
        <v>#NAME?</v>
      </c>
      <c r="G27" s="14"/>
      <c r="H27" s="21" t="e">
        <f ca="1">+H18-H20+H24</f>
        <v>#NAME?</v>
      </c>
      <c r="I27" s="14"/>
      <c r="J27" s="22" t="e">
        <f ca="1">IF(H$12=0,0,H27/H$12)</f>
        <v>#NAME?</v>
      </c>
      <c r="K27" s="15"/>
      <c r="L27" s="21" t="e">
        <f ca="1">+D27-H27</f>
        <v>#NAME?</v>
      </c>
      <c r="M27" s="15"/>
      <c r="N27" s="22" t="e">
        <f ca="1">IF(H27=0,0,L27/H27)</f>
        <v>#NAME?</v>
      </c>
      <c r="O27" s="29"/>
      <c r="P27" s="21" t="e">
        <f ca="1">+P18-P20+P24</f>
        <v>#NAME?</v>
      </c>
      <c r="Q27" s="14"/>
      <c r="R27" s="22" t="e">
        <f ca="1">IF(P$12=0,0,P27/P$12)</f>
        <v>#NAME?</v>
      </c>
      <c r="S27" s="14"/>
      <c r="T27" s="21" t="e">
        <f ca="1">+T18-T20+T24</f>
        <v>#NAME?</v>
      </c>
      <c r="U27" s="14"/>
      <c r="V27" s="22" t="e">
        <f ca="1">IF(T$12=0,0,T27/T$12)</f>
        <v>#NAME?</v>
      </c>
      <c r="W27" s="15"/>
      <c r="X27" s="21" t="e">
        <f ca="1">+P27-T27</f>
        <v>#NAME?</v>
      </c>
      <c r="Y27" s="15"/>
      <c r="Z27" s="22" t="e">
        <f ca="1">IF(T27=0,0,X27/T27)</f>
        <v>#NAME?</v>
      </c>
    </row>
    <row r="28" spans="1:26" x14ac:dyDescent="0.25">
      <c r="A28" s="9"/>
      <c r="B28" s="11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4" customFormat="1" x14ac:dyDescent="0.25">
      <c r="A29" s="51"/>
      <c r="B29" s="11" t="s">
        <v>127</v>
      </c>
      <c r="C29" s="11"/>
      <c r="D29" s="4" t="e">
        <f ca="1">_xll.OneStop.ReportPlayer.OSRFunctions.OSRGet("GL_F_Trans","Value1")</f>
        <v>#NAME?</v>
      </c>
      <c r="E29" s="4"/>
      <c r="F29" s="13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3" t="e">
        <f ca="1">IF(H$12=0,0,H29/H$12)</f>
        <v>#NAME?</v>
      </c>
      <c r="K29" s="4"/>
      <c r="L29" s="4" t="e">
        <f ca="1">+D29-H29</f>
        <v>#NAME?</v>
      </c>
      <c r="M29" s="4"/>
      <c r="N29" s="13" t="e">
        <f ca="1">IF(H29=0,0,L29/H29)</f>
        <v>#NAME?</v>
      </c>
      <c r="O29" s="11"/>
      <c r="P29" s="4" t="e">
        <f ca="1">_xll.OneStop.ReportPlayer.OSRFunctions.OSRGet("GL_F_Trans","Value1")</f>
        <v>#NAME?</v>
      </c>
      <c r="Q29" s="4"/>
      <c r="R29" s="13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3" t="e">
        <f ca="1">IF(T$12=0,0,T29/T$12)</f>
        <v>#NAME?</v>
      </c>
      <c r="W29" s="4"/>
      <c r="X29" s="4" t="e">
        <f ca="1">+P29-T29</f>
        <v>#NAME?</v>
      </c>
      <c r="Y29" s="4"/>
      <c r="Z29" s="13" t="e">
        <f ca="1">IF(T29=0,0,X29/T29)</f>
        <v>#NAME?</v>
      </c>
    </row>
    <row r="30" spans="1:26" x14ac:dyDescent="0.25">
      <c r="A30" s="9"/>
      <c r="B30" s="11"/>
      <c r="C30" s="11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1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4" customFormat="1" ht="15.75" thickBot="1" x14ac:dyDescent="0.3">
      <c r="A31" s="11"/>
      <c r="B31" s="28" t="s">
        <v>125</v>
      </c>
      <c r="C31" s="28"/>
      <c r="D31" s="34" t="e">
        <f ca="1">+D27-D29</f>
        <v>#NAME?</v>
      </c>
      <c r="E31" s="14"/>
      <c r="F31" s="31" t="e">
        <f ca="1">IF(D$12=0,0,D31/D$12)</f>
        <v>#NAME?</v>
      </c>
      <c r="G31" s="14"/>
      <c r="H31" s="34" t="e">
        <f ca="1">+H27-H29</f>
        <v>#NAME?</v>
      </c>
      <c r="I31" s="14"/>
      <c r="J31" s="31" t="e">
        <f ca="1">IF(H$12=0,0,H31/H$12)</f>
        <v>#NAME?</v>
      </c>
      <c r="K31" s="15"/>
      <c r="L31" s="34" t="e">
        <f ca="1">D31-H31</f>
        <v>#NAME?</v>
      </c>
      <c r="M31" s="15"/>
      <c r="N31" s="31" t="e">
        <f ca="1">IF(H31=0,0,L31/H31)</f>
        <v>#NAME?</v>
      </c>
      <c r="O31" s="29"/>
      <c r="P31" s="34" t="e">
        <f ca="1">+P27-P29</f>
        <v>#NAME?</v>
      </c>
      <c r="Q31" s="14"/>
      <c r="R31" s="31" t="e">
        <f ca="1">IF(P$12=0,0,P31/P$12)</f>
        <v>#NAME?</v>
      </c>
      <c r="S31" s="14"/>
      <c r="T31" s="34" t="e">
        <f ca="1">+T27-T29</f>
        <v>#NAME?</v>
      </c>
      <c r="U31" s="14"/>
      <c r="V31" s="31" t="e">
        <f ca="1">IF(T$12=0,0,T31/T$12)</f>
        <v>#NAME?</v>
      </c>
      <c r="W31" s="15"/>
      <c r="X31" s="34" t="e">
        <f ca="1">P31-T31</f>
        <v>#NAME?</v>
      </c>
      <c r="Y31" s="15"/>
      <c r="Z31" s="31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4" customFormat="1" x14ac:dyDescent="0.25">
      <c r="A33" s="51"/>
      <c r="B33" s="11" t="s">
        <v>183</v>
      </c>
      <c r="C33" s="11"/>
      <c r="D33" s="4" t="e">
        <f ca="1">-_xll.OneStop.ReportPlayer.OSRFunctions.OSRGet("GL_F_Trans","Value1")</f>
        <v>#NAME?</v>
      </c>
      <c r="E33" s="4"/>
      <c r="F33" s="13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3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3" t="e">
        <f t="shared" ref="N33:N34" ca="1" si="31">IF(H33=0,0,L33/H33)</f>
        <v>#NAME?</v>
      </c>
      <c r="O33" s="11"/>
      <c r="P33" s="4" t="e">
        <f ca="1">-_xll.OneStop.ReportPlayer.OSRFunctions.OSRGet("GL_F_Trans","Value1")</f>
        <v>#NAME?</v>
      </c>
      <c r="Q33" s="4"/>
      <c r="R33" s="13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3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3" t="e">
        <f t="shared" ref="Z33:Z34" ca="1" si="35">IF(T33=0,0,X33/T33)</f>
        <v>#NAME?</v>
      </c>
    </row>
    <row r="34" spans="1:26" s="24" customFormat="1" x14ac:dyDescent="0.25">
      <c r="A34" s="51"/>
      <c r="B34" s="11" t="s">
        <v>81</v>
      </c>
      <c r="C34" s="11"/>
      <c r="D34" s="4" t="e">
        <f ca="1">-_xll.OneStop.ReportPlayer.OSRFunctions.OSRGet("GL_F_Trans","Value1")</f>
        <v>#NAME?</v>
      </c>
      <c r="E34" s="4"/>
      <c r="F34" s="13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3" t="e">
        <f t="shared" ca="1" si="29"/>
        <v>#NAME?</v>
      </c>
      <c r="K34" s="4"/>
      <c r="L34" s="4" t="e">
        <f t="shared" ca="1" si="30"/>
        <v>#NAME?</v>
      </c>
      <c r="M34" s="4"/>
      <c r="N34" s="13" t="e">
        <f t="shared" ca="1" si="31"/>
        <v>#NAME?</v>
      </c>
      <c r="O34" s="11"/>
      <c r="P34" s="4" t="e">
        <f ca="1">-_xll.OneStop.ReportPlayer.OSRFunctions.OSRGet("GL_F_Trans","Value1")</f>
        <v>#NAME?</v>
      </c>
      <c r="Q34" s="4"/>
      <c r="R34" s="13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3" t="e">
        <f t="shared" ca="1" si="33"/>
        <v>#NAME?</v>
      </c>
      <c r="W34" s="4"/>
      <c r="X34" s="4" t="e">
        <f t="shared" ca="1" si="34"/>
        <v>#NAME?</v>
      </c>
      <c r="Y34" s="4"/>
      <c r="Z34" s="13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4" customFormat="1" ht="15.75" thickBot="1" x14ac:dyDescent="0.3">
      <c r="A36" s="11"/>
      <c r="B36" s="28" t="s">
        <v>293</v>
      </c>
      <c r="C36" s="28"/>
      <c r="D36" s="33" t="e">
        <f ca="1">SUM(D31:D35)</f>
        <v>#NAME?</v>
      </c>
      <c r="E36" s="14"/>
      <c r="F36" s="35" t="e">
        <f ca="1">IF(D$12=0,0,D36/D$12)</f>
        <v>#NAME?</v>
      </c>
      <c r="G36" s="14"/>
      <c r="H36" s="33" t="e">
        <f ca="1">SUM(H31:H35)</f>
        <v>#NAME?</v>
      </c>
      <c r="I36" s="14"/>
      <c r="J36" s="35" t="e">
        <f ca="1">IF(H$12=0,0,H36/H$12)</f>
        <v>#NAME?</v>
      </c>
      <c r="K36" s="15"/>
      <c r="L36" s="33" t="e">
        <f ca="1">+D36-H36</f>
        <v>#NAME?</v>
      </c>
      <c r="M36" s="15"/>
      <c r="N36" s="35" t="e">
        <f ca="1">IF(H36=0,0,L36/H36)</f>
        <v>#NAME?</v>
      </c>
      <c r="O36" s="29"/>
      <c r="P36" s="33" t="e">
        <f ca="1">SUM(P31:P35)</f>
        <v>#NAME?</v>
      </c>
      <c r="Q36" s="14"/>
      <c r="R36" s="35" t="e">
        <f ca="1">IF(P$12=0,0,P36/P$12)</f>
        <v>#NAME?</v>
      </c>
      <c r="S36" s="14"/>
      <c r="T36" s="33" t="e">
        <f ca="1">SUM(T31:T35)</f>
        <v>#NAME?</v>
      </c>
      <c r="U36" s="14"/>
      <c r="V36" s="35" t="e">
        <f ca="1">IF(T$12=0,0,T36/T$12)</f>
        <v>#NAME?</v>
      </c>
      <c r="W36" s="15"/>
      <c r="X36" s="33" t="e">
        <f ca="1">+P36-T36</f>
        <v>#NAME?</v>
      </c>
      <c r="Y36" s="15"/>
      <c r="Z36" s="35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56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55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60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FFC000"/>
    <outlinePr summaryBelow="0" summaryRight="0"/>
  </sheetPr>
  <dimension ref="A2:Z104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62" t="s">
        <v>23</v>
      </c>
    </row>
    <row r="3" spans="1:26" x14ac:dyDescent="0.25">
      <c r="D3" s="62" t="s">
        <v>236</v>
      </c>
      <c r="E3" s="17"/>
      <c r="F3" s="46"/>
      <c r="G3" s="17"/>
      <c r="H3" s="17"/>
      <c r="I3" s="17"/>
      <c r="J3" s="38"/>
      <c r="K3" s="17"/>
      <c r="L3" s="17"/>
      <c r="M3" s="17"/>
      <c r="N3" s="46"/>
      <c r="O3" s="53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2" t="str">
        <f>CONCATENATE("Period ",RIGHT(202112,2),", ",2021)</f>
        <v>Period 12, 2021</v>
      </c>
      <c r="E4" s="17"/>
      <c r="F4" s="46"/>
      <c r="G4" s="17"/>
      <c r="H4" s="17"/>
      <c r="I4" s="17"/>
      <c r="J4" s="38"/>
      <c r="K4" s="17"/>
      <c r="L4" s="17"/>
      <c r="M4" s="17"/>
      <c r="N4" s="46"/>
      <c r="O4" s="53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4"/>
      <c r="D5" s="63">
        <v>44377</v>
      </c>
      <c r="E5" s="17"/>
      <c r="F5" s="46"/>
      <c r="G5" s="17"/>
      <c r="H5" s="17"/>
      <c r="I5" s="17"/>
      <c r="J5" s="38"/>
      <c r="K5" s="17"/>
      <c r="L5" s="17"/>
      <c r="M5" s="17"/>
      <c r="N5" s="46"/>
      <c r="O5" s="53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4"/>
      <c r="B6" s="48"/>
      <c r="C6" s="48"/>
      <c r="D6" s="24" t="s">
        <v>138</v>
      </c>
      <c r="E6" s="17"/>
      <c r="F6" s="46"/>
      <c r="G6" s="17"/>
      <c r="H6" s="17"/>
      <c r="I6" s="17"/>
      <c r="J6" s="38"/>
      <c r="K6" s="17"/>
      <c r="L6" s="17"/>
      <c r="M6" s="17"/>
      <c r="N6" s="46"/>
      <c r="O6" s="54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9"/>
    </row>
    <row r="8" spans="1:26" x14ac:dyDescent="0.25">
      <c r="B8" s="59"/>
    </row>
    <row r="9" spans="1:26" x14ac:dyDescent="0.25">
      <c r="B9" s="9"/>
      <c r="C9" s="9"/>
      <c r="D9" s="16" t="s">
        <v>291</v>
      </c>
      <c r="E9" s="16"/>
      <c r="F9" s="39"/>
      <c r="G9" s="16"/>
      <c r="H9" s="16"/>
      <c r="I9" s="16"/>
      <c r="J9" s="49"/>
      <c r="K9" s="16"/>
      <c r="L9" s="16"/>
      <c r="M9" s="16"/>
      <c r="N9" s="39"/>
      <c r="P9" s="16" t="s">
        <v>39</v>
      </c>
      <c r="Q9" s="16"/>
      <c r="R9" s="39"/>
      <c r="S9" s="16"/>
      <c r="T9" s="16"/>
      <c r="U9" s="16"/>
      <c r="V9" s="49"/>
      <c r="W9" s="16"/>
      <c r="X9" s="16"/>
      <c r="Y9" s="16"/>
      <c r="Z9" s="39"/>
    </row>
    <row r="10" spans="1:26" x14ac:dyDescent="0.25">
      <c r="A10" s="11"/>
      <c r="B10" s="58"/>
      <c r="C10" s="11"/>
      <c r="D10" s="42" t="s">
        <v>57</v>
      </c>
      <c r="E10" s="36"/>
      <c r="F10" s="30" t="s">
        <v>40</v>
      </c>
      <c r="G10" s="36"/>
      <c r="H10" s="50" t="s">
        <v>237</v>
      </c>
      <c r="I10" s="36"/>
      <c r="J10" s="30" t="s">
        <v>40</v>
      </c>
      <c r="K10" s="11"/>
      <c r="L10" s="42" t="s">
        <v>126</v>
      </c>
      <c r="M10" s="11"/>
      <c r="N10" s="30" t="s">
        <v>257</v>
      </c>
      <c r="O10" s="11"/>
      <c r="P10" s="61" t="s">
        <v>57</v>
      </c>
      <c r="Q10" s="36"/>
      <c r="R10" s="30" t="s">
        <v>40</v>
      </c>
      <c r="S10" s="36"/>
      <c r="T10" s="50" t="s">
        <v>237</v>
      </c>
      <c r="U10" s="36"/>
      <c r="V10" s="30" t="s">
        <v>40</v>
      </c>
      <c r="W10" s="11"/>
      <c r="X10" s="42" t="s">
        <v>126</v>
      </c>
      <c r="Y10" s="11"/>
      <c r="Z10" s="30" t="s">
        <v>257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4" customFormat="1" x14ac:dyDescent="0.25">
      <c r="A12" s="11"/>
      <c r="B12" s="29" t="s">
        <v>139</v>
      </c>
      <c r="C12" s="11"/>
      <c r="D12" s="4">
        <f>SUM(0)</f>
        <v>0</v>
      </c>
      <c r="E12" s="4"/>
      <c r="F12" s="13"/>
      <c r="G12" s="4"/>
      <c r="H12" s="4">
        <f>SUM(0)</f>
        <v>0</v>
      </c>
      <c r="I12" s="4"/>
      <c r="J12" s="13"/>
      <c r="K12" s="4"/>
      <c r="L12" s="4">
        <f>+D12-H12</f>
        <v>0</v>
      </c>
      <c r="M12" s="4"/>
      <c r="N12" s="13">
        <f>IF(H12=0,0,L12/H12)</f>
        <v>0</v>
      </c>
      <c r="O12" s="11"/>
      <c r="P12" s="4">
        <f>SUM(0)</f>
        <v>0</v>
      </c>
      <c r="Q12" s="4"/>
      <c r="R12" s="13"/>
      <c r="S12" s="4"/>
      <c r="T12" s="4">
        <f>SUM(0)</f>
        <v>0</v>
      </c>
      <c r="U12" s="4"/>
      <c r="V12" s="13"/>
      <c r="W12" s="4"/>
      <c r="X12" s="4">
        <f>+P12-T12</f>
        <v>0</v>
      </c>
      <c r="Y12" s="4"/>
      <c r="Z12" s="13">
        <f>IF(T12=0,0,X12/T12)</f>
        <v>0</v>
      </c>
    </row>
    <row r="13" spans="1:26" x14ac:dyDescent="0.25">
      <c r="A13" s="9"/>
      <c r="B13" s="11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4" customFormat="1" x14ac:dyDescent="0.25">
      <c r="A14" s="11"/>
      <c r="B14" s="29" t="s">
        <v>256</v>
      </c>
      <c r="C14" s="11"/>
      <c r="D14" s="4">
        <f>SUM(0)</f>
        <v>0</v>
      </c>
      <c r="E14" s="4"/>
      <c r="F14" s="13">
        <f>IF(D$12=0,0,D14/D$12)</f>
        <v>0</v>
      </c>
      <c r="G14" s="4"/>
      <c r="H14" s="4">
        <f>SUM(0)</f>
        <v>0</v>
      </c>
      <c r="I14" s="4"/>
      <c r="J14" s="13">
        <f>IF(H$12=0,0,H14/H$12)</f>
        <v>0</v>
      </c>
      <c r="K14" s="4"/>
      <c r="L14" s="4">
        <f>+D14-H14</f>
        <v>0</v>
      </c>
      <c r="M14" s="4"/>
      <c r="N14" s="13">
        <f>IF(H14=0,0,L14/H14)</f>
        <v>0</v>
      </c>
      <c r="O14" s="11"/>
      <c r="P14" s="4">
        <f>SUM(0)</f>
        <v>0</v>
      </c>
      <c r="Q14" s="4"/>
      <c r="R14" s="13">
        <f>IF(P$12=0,0,P14/P$12)</f>
        <v>0</v>
      </c>
      <c r="S14" s="4"/>
      <c r="T14" s="4">
        <f>SUM(0)</f>
        <v>0</v>
      </c>
      <c r="U14" s="4"/>
      <c r="V14" s="13">
        <f>IF(T$12=0,0,T14/T$12)</f>
        <v>0</v>
      </c>
      <c r="W14" s="4"/>
      <c r="X14" s="4">
        <f>+P14-T14</f>
        <v>0</v>
      </c>
      <c r="Y14" s="4"/>
      <c r="Z14" s="13">
        <f>IF(T14=0,0,X14/T14)</f>
        <v>0</v>
      </c>
    </row>
    <row r="15" spans="1:26" x14ac:dyDescent="0.25">
      <c r="A15" s="9"/>
      <c r="B15" s="11"/>
      <c r="C15" s="11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1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4" customFormat="1" x14ac:dyDescent="0.25">
      <c r="A16" s="11"/>
      <c r="B16" s="28" t="s">
        <v>107</v>
      </c>
      <c r="C16" s="28"/>
      <c r="D16" s="21">
        <f>D12-D14</f>
        <v>0</v>
      </c>
      <c r="E16" s="14"/>
      <c r="F16" s="22">
        <f>IF(D$12=0,0,D16/D$12)</f>
        <v>0</v>
      </c>
      <c r="G16" s="14"/>
      <c r="H16" s="21">
        <f>H12-H14</f>
        <v>0</v>
      </c>
      <c r="I16" s="14"/>
      <c r="J16" s="22">
        <f>IF(H$12=0,0,H16/H$12)</f>
        <v>0</v>
      </c>
      <c r="K16" s="15"/>
      <c r="L16" s="21">
        <f>+D16-H16</f>
        <v>0</v>
      </c>
      <c r="M16" s="15"/>
      <c r="N16" s="22">
        <f>IF(H16=0,0,L16/H16)</f>
        <v>0</v>
      </c>
      <c r="O16" s="29"/>
      <c r="P16" s="21">
        <f>P12-P14</f>
        <v>0</v>
      </c>
      <c r="Q16" s="14"/>
      <c r="R16" s="22">
        <f>IF(P$12=0,0,P16/P$12)</f>
        <v>0</v>
      </c>
      <c r="S16" s="14"/>
      <c r="T16" s="21">
        <f>T12-T14</f>
        <v>0</v>
      </c>
      <c r="U16" s="14"/>
      <c r="V16" s="22">
        <f>IF(T$12=0,0,T16/T$12)</f>
        <v>0</v>
      </c>
      <c r="W16" s="15"/>
      <c r="X16" s="21">
        <f>+P16-T16</f>
        <v>0</v>
      </c>
      <c r="Y16" s="15"/>
      <c r="Z16" s="22">
        <f>IF(T16=0,0,X16/T16)</f>
        <v>0</v>
      </c>
    </row>
    <row r="17" spans="1:26" x14ac:dyDescent="0.25">
      <c r="A17" s="9"/>
      <c r="B17" s="11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4" customFormat="1" x14ac:dyDescent="0.25">
      <c r="A18" s="11"/>
      <c r="B18" s="29" t="s">
        <v>294</v>
      </c>
      <c r="C18" s="11"/>
      <c r="D18" s="20">
        <f>SUM(OSRRefD22x_0)</f>
        <v>744030.65999999992</v>
      </c>
      <c r="E18" s="20"/>
      <c r="F18" s="32">
        <f t="shared" ref="F18:F30" si="0">IF(D$12=0,0,D18/D$12)</f>
        <v>0</v>
      </c>
      <c r="G18" s="20"/>
      <c r="H18" s="20">
        <f>SUM(OSRRefH22x_0)</f>
        <v>1014635.2799999998</v>
      </c>
      <c r="I18" s="20"/>
      <c r="J18" s="32">
        <f t="shared" ref="J18:J30" si="1">IF(H$12=0,0,H18/H$12)</f>
        <v>0</v>
      </c>
      <c r="K18" s="4"/>
      <c r="L18" s="20">
        <f t="shared" ref="L18:L30" si="2">+D18-H18</f>
        <v>-270604.61999999988</v>
      </c>
      <c r="M18" s="4"/>
      <c r="N18" s="32">
        <f t="shared" ref="N18:N30" si="3">IF(H18=0,0,L18/H18)</f>
        <v>-0.26670137076250683</v>
      </c>
      <c r="O18" s="11"/>
      <c r="P18" s="20">
        <f>SUM(OSRRefP22x_0)</f>
        <v>2840823.7500000005</v>
      </c>
      <c r="Q18" s="20"/>
      <c r="R18" s="32">
        <f t="shared" ref="R18:R30" si="4">IF(P$12=0,0,P18/P$12)</f>
        <v>0</v>
      </c>
      <c r="S18" s="20"/>
      <c r="T18" s="20">
        <f>SUM(OSRRefT22x_0)</f>
        <v>4336174.9600000009</v>
      </c>
      <c r="U18" s="20"/>
      <c r="V18" s="32">
        <f t="shared" ref="V18:V30" si="5">IF(T$12=0,0,T18/T$12)</f>
        <v>0</v>
      </c>
      <c r="W18" s="4"/>
      <c r="X18" s="20">
        <f t="shared" ref="X18:X30" si="6">+P18-T18</f>
        <v>-1495351.2100000004</v>
      </c>
      <c r="Y18" s="4"/>
      <c r="Z18" s="32">
        <f t="shared" ref="Z18:Z30" si="7">IF(T18=0,0,X18/T18)</f>
        <v>-0.34485490640811228</v>
      </c>
    </row>
    <row r="19" spans="1:26" s="27" customFormat="1" outlineLevel="1" collapsed="1" x14ac:dyDescent="0.25">
      <c r="A19" s="26"/>
      <c r="B19" s="12" t="str">
        <f>CONCATENATE("     ","*Benefits                                         ")</f>
        <v xml:space="preserve">     *Benefits                                         </v>
      </c>
      <c r="C19" s="12"/>
      <c r="D19" s="1">
        <f>SUM(OSRRefD22_0x_0)</f>
        <v>570244.29</v>
      </c>
      <c r="E19" s="1"/>
      <c r="F19" s="5">
        <f t="shared" si="0"/>
        <v>0</v>
      </c>
      <c r="G19" s="1"/>
      <c r="H19" s="1">
        <f>SUM(OSRRefH22_0x_0)</f>
        <v>699219.77999999991</v>
      </c>
      <c r="I19" s="1"/>
      <c r="J19" s="5">
        <f t="shared" si="1"/>
        <v>0</v>
      </c>
      <c r="K19" s="1"/>
      <c r="L19" s="1">
        <f t="shared" si="2"/>
        <v>-128975.48999999987</v>
      </c>
      <c r="M19" s="1"/>
      <c r="N19" s="5">
        <f t="shared" si="3"/>
        <v>-0.18445629498639168</v>
      </c>
      <c r="O19" s="12"/>
      <c r="P19" s="1">
        <f>SUM(OSRRefP22_0x_0)</f>
        <v>1080416.2299999997</v>
      </c>
      <c r="Q19" s="1"/>
      <c r="R19" s="5">
        <f t="shared" si="4"/>
        <v>0</v>
      </c>
      <c r="S19" s="1"/>
      <c r="T19" s="1">
        <f>SUM(OSRRefT22_0x_0)</f>
        <v>1648724.6099999999</v>
      </c>
      <c r="U19" s="1"/>
      <c r="V19" s="5">
        <f t="shared" si="5"/>
        <v>0</v>
      </c>
      <c r="W19" s="1"/>
      <c r="X19" s="1">
        <f t="shared" si="6"/>
        <v>-568308.38000000012</v>
      </c>
      <c r="Y19" s="1"/>
      <c r="Z19" s="5">
        <f t="shared" si="7"/>
        <v>-0.34469575849904988</v>
      </c>
    </row>
    <row r="20" spans="1:26" s="23" customFormat="1" hidden="1" outlineLevel="2" x14ac:dyDescent="0.25">
      <c r="A20" s="25"/>
      <c r="B20" s="10" t="str">
        <f>CONCATENATE("          ", "6111", " - ", "F.I.C.A.")</f>
        <v xml:space="preserve">          6111 - F.I.C.A.</v>
      </c>
      <c r="C20" s="10"/>
      <c r="D20" s="6">
        <v>7326.22</v>
      </c>
      <c r="E20" s="2"/>
      <c r="F20" s="7">
        <f t="shared" si="0"/>
        <v>0</v>
      </c>
      <c r="G20" s="2"/>
      <c r="H20" s="6">
        <v>7105.59</v>
      </c>
      <c r="I20" s="2"/>
      <c r="J20" s="7">
        <f t="shared" si="1"/>
        <v>0</v>
      </c>
      <c r="K20" s="2"/>
      <c r="L20" s="6">
        <f t="shared" si="2"/>
        <v>220.63000000000011</v>
      </c>
      <c r="M20" s="2"/>
      <c r="N20" s="7">
        <f t="shared" si="3"/>
        <v>3.1050201320368908E-2</v>
      </c>
      <c r="O20" s="10"/>
      <c r="P20" s="6">
        <v>93764.74</v>
      </c>
      <c r="Q20" s="2"/>
      <c r="R20" s="7">
        <f t="shared" si="4"/>
        <v>0</v>
      </c>
      <c r="S20" s="2"/>
      <c r="T20" s="6">
        <v>112892.49</v>
      </c>
      <c r="U20" s="2"/>
      <c r="V20" s="7">
        <f t="shared" si="5"/>
        <v>0</v>
      </c>
      <c r="W20" s="2"/>
      <c r="X20" s="6">
        <f t="shared" si="6"/>
        <v>-19127.75</v>
      </c>
      <c r="Y20" s="2"/>
      <c r="Z20" s="7">
        <f t="shared" si="7"/>
        <v>-0.16943332545858453</v>
      </c>
    </row>
    <row r="21" spans="1:26" s="23" customFormat="1" hidden="1" outlineLevel="2" x14ac:dyDescent="0.25">
      <c r="A21" s="25"/>
      <c r="B21" s="10" t="str">
        <f>CONCATENATE("          ", "6112", " - ", "COMPENSATION INSURANCE")</f>
        <v xml:space="preserve">          6112 - COMPENSATION INSURANCE</v>
      </c>
      <c r="C21" s="10"/>
      <c r="D21" s="6">
        <v>596.76</v>
      </c>
      <c r="E21" s="2"/>
      <c r="F21" s="7">
        <f t="shared" si="0"/>
        <v>0</v>
      </c>
      <c r="G21" s="2"/>
      <c r="H21" s="6">
        <v>599.51</v>
      </c>
      <c r="I21" s="2"/>
      <c r="J21" s="7">
        <f t="shared" si="1"/>
        <v>0</v>
      </c>
      <c r="K21" s="2"/>
      <c r="L21" s="6">
        <f t="shared" si="2"/>
        <v>-2.75</v>
      </c>
      <c r="M21" s="2"/>
      <c r="N21" s="7">
        <f t="shared" si="3"/>
        <v>-4.5870794482160433E-3</v>
      </c>
      <c r="O21" s="10"/>
      <c r="P21" s="6">
        <v>7948.31</v>
      </c>
      <c r="Q21" s="2"/>
      <c r="R21" s="7">
        <f t="shared" si="4"/>
        <v>0</v>
      </c>
      <c r="S21" s="2"/>
      <c r="T21" s="6">
        <v>8259.33</v>
      </c>
      <c r="U21" s="2"/>
      <c r="V21" s="7">
        <f t="shared" si="5"/>
        <v>0</v>
      </c>
      <c r="W21" s="2"/>
      <c r="X21" s="6">
        <f t="shared" si="6"/>
        <v>-311.01999999999953</v>
      </c>
      <c r="Y21" s="2"/>
      <c r="Z21" s="7">
        <f t="shared" si="7"/>
        <v>-3.7656807513442317E-2</v>
      </c>
    </row>
    <row r="22" spans="1:26" s="23" customFormat="1" hidden="1" outlineLevel="2" x14ac:dyDescent="0.25">
      <c r="A22" s="25"/>
      <c r="B22" s="10" t="str">
        <f>CONCATENATE("          ", "6113", " - ", "GROUP INSURANCE")</f>
        <v xml:space="preserve">          6113 - GROUP INSURANCE</v>
      </c>
      <c r="C22" s="10"/>
      <c r="D22" s="6">
        <v>22463.05</v>
      </c>
      <c r="E22" s="2"/>
      <c r="F22" s="7">
        <f t="shared" si="0"/>
        <v>0</v>
      </c>
      <c r="G22" s="2"/>
      <c r="H22" s="6">
        <v>22589.05</v>
      </c>
      <c r="I22" s="2"/>
      <c r="J22" s="7">
        <f t="shared" si="1"/>
        <v>0</v>
      </c>
      <c r="K22" s="2"/>
      <c r="L22" s="6">
        <f t="shared" si="2"/>
        <v>-126</v>
      </c>
      <c r="M22" s="2"/>
      <c r="N22" s="7">
        <f t="shared" si="3"/>
        <v>-5.5779238170706605E-3</v>
      </c>
      <c r="O22" s="10"/>
      <c r="P22" s="6">
        <v>272586.58</v>
      </c>
      <c r="Q22" s="2"/>
      <c r="R22" s="7">
        <f t="shared" si="4"/>
        <v>0</v>
      </c>
      <c r="S22" s="2"/>
      <c r="T22" s="6">
        <v>275749.84999999998</v>
      </c>
      <c r="U22" s="2"/>
      <c r="V22" s="7">
        <f t="shared" si="5"/>
        <v>0</v>
      </c>
      <c r="W22" s="2"/>
      <c r="X22" s="6">
        <f t="shared" si="6"/>
        <v>-3163.2699999999604</v>
      </c>
      <c r="Y22" s="2"/>
      <c r="Z22" s="7">
        <f t="shared" si="7"/>
        <v>-1.1471520292757949E-2</v>
      </c>
    </row>
    <row r="23" spans="1:26" s="23" customFormat="1" hidden="1" outlineLevel="2" x14ac:dyDescent="0.25">
      <c r="A23" s="25"/>
      <c r="B23" s="10" t="str">
        <f>CONCATENATE("          ", "6114", " - ", "STATE UNEMPLOYMENT INSURANCE")</f>
        <v xml:space="preserve">          6114 - STATE UNEMPLOYMENT INSURANCE</v>
      </c>
      <c r="C23" s="10"/>
      <c r="D23" s="6">
        <v>500111.07</v>
      </c>
      <c r="E23" s="2"/>
      <c r="F23" s="7">
        <f t="shared" si="0"/>
        <v>0</v>
      </c>
      <c r="G23" s="2"/>
      <c r="H23" s="6">
        <v>-4238.08</v>
      </c>
      <c r="I23" s="2"/>
      <c r="J23" s="7">
        <f t="shared" si="1"/>
        <v>0</v>
      </c>
      <c r="K23" s="2"/>
      <c r="L23" s="6">
        <f t="shared" si="2"/>
        <v>504349.15</v>
      </c>
      <c r="M23" s="2"/>
      <c r="N23" s="7">
        <f t="shared" si="3"/>
        <v>-119.00415990259741</v>
      </c>
      <c r="O23" s="10"/>
      <c r="P23" s="6">
        <v>503255.82</v>
      </c>
      <c r="Q23" s="2"/>
      <c r="R23" s="7">
        <f t="shared" si="4"/>
        <v>0</v>
      </c>
      <c r="S23" s="2"/>
      <c r="T23" s="6">
        <v>0</v>
      </c>
      <c r="U23" s="2"/>
      <c r="V23" s="7">
        <f t="shared" si="5"/>
        <v>0</v>
      </c>
      <c r="W23" s="2"/>
      <c r="X23" s="6">
        <f t="shared" si="6"/>
        <v>503255.82</v>
      </c>
      <c r="Y23" s="2"/>
      <c r="Z23" s="7">
        <f t="shared" si="7"/>
        <v>0</v>
      </c>
    </row>
    <row r="24" spans="1:26" s="23" customFormat="1" hidden="1" outlineLevel="2" x14ac:dyDescent="0.25">
      <c r="A24" s="25"/>
      <c r="B24" s="10" t="str">
        <f>CONCATENATE("          ", "6115", " - ", "P.E.R.S.")</f>
        <v xml:space="preserve">          6115 - P.E.R.S.</v>
      </c>
      <c r="C24" s="10"/>
      <c r="D24" s="6">
        <v>1033541.89</v>
      </c>
      <c r="E24" s="2"/>
      <c r="F24" s="7">
        <f t="shared" si="0"/>
        <v>0</v>
      </c>
      <c r="G24" s="2"/>
      <c r="H24" s="6">
        <v>830630.17</v>
      </c>
      <c r="I24" s="2"/>
      <c r="J24" s="7">
        <f t="shared" si="1"/>
        <v>0</v>
      </c>
      <c r="K24" s="2"/>
      <c r="L24" s="6">
        <f t="shared" si="2"/>
        <v>202911.71999999997</v>
      </c>
      <c r="M24" s="2"/>
      <c r="N24" s="7">
        <f t="shared" si="3"/>
        <v>0.2442864795050726</v>
      </c>
      <c r="O24" s="10"/>
      <c r="P24" s="6">
        <v>1131542.27</v>
      </c>
      <c r="Q24" s="2"/>
      <c r="R24" s="7">
        <f t="shared" si="4"/>
        <v>0</v>
      </c>
      <c r="S24" s="2"/>
      <c r="T24" s="6">
        <v>925085.05</v>
      </c>
      <c r="U24" s="2"/>
      <c r="V24" s="7">
        <f t="shared" si="5"/>
        <v>0</v>
      </c>
      <c r="W24" s="2"/>
      <c r="X24" s="6">
        <f t="shared" si="6"/>
        <v>206457.21999999997</v>
      </c>
      <c r="Y24" s="2"/>
      <c r="Z24" s="7">
        <f t="shared" si="7"/>
        <v>0.2231764744225409</v>
      </c>
    </row>
    <row r="25" spans="1:26" s="23" customFormat="1" hidden="1" outlineLevel="2" x14ac:dyDescent="0.25">
      <c r="A25" s="25"/>
      <c r="B25" s="10" t="str">
        <f>CONCATENATE("          ", "6116", " - ", "EDUCATIONAL BENEFITS")</f>
        <v xml:space="preserve">          6116 - EDUCATIONAL BENEFITS</v>
      </c>
      <c r="C25" s="10"/>
      <c r="D25" s="6">
        <v>2636</v>
      </c>
      <c r="E25" s="2"/>
      <c r="F25" s="7">
        <f t="shared" si="0"/>
        <v>0</v>
      </c>
      <c r="G25" s="2"/>
      <c r="H25" s="6">
        <v>744</v>
      </c>
      <c r="I25" s="2"/>
      <c r="J25" s="7">
        <f t="shared" si="1"/>
        <v>0</v>
      </c>
      <c r="K25" s="2"/>
      <c r="L25" s="6">
        <f t="shared" si="2"/>
        <v>1892</v>
      </c>
      <c r="M25" s="2"/>
      <c r="N25" s="7">
        <f t="shared" si="3"/>
        <v>2.543010752688172</v>
      </c>
      <c r="O25" s="10"/>
      <c r="P25" s="6">
        <v>7482</v>
      </c>
      <c r="Q25" s="2"/>
      <c r="R25" s="7">
        <f t="shared" si="4"/>
        <v>0</v>
      </c>
      <c r="S25" s="2"/>
      <c r="T25" s="6">
        <v>5814.88</v>
      </c>
      <c r="U25" s="2"/>
      <c r="V25" s="7">
        <f t="shared" si="5"/>
        <v>0</v>
      </c>
      <c r="W25" s="2"/>
      <c r="X25" s="6">
        <f t="shared" si="6"/>
        <v>1667.12</v>
      </c>
      <c r="Y25" s="2"/>
      <c r="Z25" s="7">
        <f t="shared" si="7"/>
        <v>0.2866989516550642</v>
      </c>
    </row>
    <row r="26" spans="1:26" s="23" customFormat="1" hidden="1" outlineLevel="2" x14ac:dyDescent="0.25">
      <c r="A26" s="25"/>
      <c r="B26" s="10" t="str">
        <f>CONCATENATE("          ", "6117", " - ", "RETIREMENT STAFF HOURLY")</f>
        <v xml:space="preserve">          6117 - RETIREMENT STAFF HOURLY</v>
      </c>
      <c r="C26" s="10"/>
      <c r="D26" s="6">
        <v>585.27</v>
      </c>
      <c r="E26" s="2"/>
      <c r="F26" s="7">
        <f t="shared" si="0"/>
        <v>0</v>
      </c>
      <c r="G26" s="2"/>
      <c r="H26" s="6">
        <v>634.21</v>
      </c>
      <c r="I26" s="2"/>
      <c r="J26" s="7">
        <f t="shared" si="1"/>
        <v>0</v>
      </c>
      <c r="K26" s="2"/>
      <c r="L26" s="6">
        <f t="shared" si="2"/>
        <v>-48.940000000000055</v>
      </c>
      <c r="M26" s="2"/>
      <c r="N26" s="7">
        <f t="shared" si="3"/>
        <v>-7.7166869018148648E-2</v>
      </c>
      <c r="O26" s="10"/>
      <c r="P26" s="6">
        <v>8163.56</v>
      </c>
      <c r="Q26" s="2"/>
      <c r="R26" s="7">
        <f t="shared" si="4"/>
        <v>0</v>
      </c>
      <c r="S26" s="2"/>
      <c r="T26" s="6">
        <v>10118.870000000001</v>
      </c>
      <c r="U26" s="2"/>
      <c r="V26" s="7">
        <f t="shared" si="5"/>
        <v>0</v>
      </c>
      <c r="W26" s="2"/>
      <c r="X26" s="6">
        <f t="shared" si="6"/>
        <v>-1955.3100000000004</v>
      </c>
      <c r="Y26" s="2"/>
      <c r="Z26" s="7">
        <f t="shared" si="7"/>
        <v>-0.193234027119629</v>
      </c>
    </row>
    <row r="27" spans="1:26" s="23" customFormat="1" hidden="1" outlineLevel="2" x14ac:dyDescent="0.25">
      <c r="A27" s="25"/>
      <c r="B27" s="10" t="str">
        <f>CONCATENATE("          ", "6118", " - ", "VACATION")</f>
        <v xml:space="preserve">          6118 - VACATION</v>
      </c>
      <c r="C27" s="10"/>
      <c r="D27" s="6">
        <v>10991.56</v>
      </c>
      <c r="E27" s="2"/>
      <c r="F27" s="7">
        <f t="shared" si="0"/>
        <v>0</v>
      </c>
      <c r="G27" s="2"/>
      <c r="H27" s="6">
        <v>5486.99</v>
      </c>
      <c r="I27" s="2"/>
      <c r="J27" s="7">
        <f t="shared" si="1"/>
        <v>0</v>
      </c>
      <c r="K27" s="2"/>
      <c r="L27" s="6">
        <f t="shared" si="2"/>
        <v>5504.57</v>
      </c>
      <c r="M27" s="2"/>
      <c r="N27" s="7">
        <f t="shared" si="3"/>
        <v>1.0032039424165162</v>
      </c>
      <c r="O27" s="10"/>
      <c r="P27" s="6">
        <v>84623.14</v>
      </c>
      <c r="Q27" s="2"/>
      <c r="R27" s="7">
        <f t="shared" si="4"/>
        <v>0</v>
      </c>
      <c r="S27" s="2"/>
      <c r="T27" s="6">
        <v>98550.01</v>
      </c>
      <c r="U27" s="2"/>
      <c r="V27" s="7">
        <f t="shared" si="5"/>
        <v>0</v>
      </c>
      <c r="W27" s="2"/>
      <c r="X27" s="6">
        <f t="shared" si="6"/>
        <v>-13926.869999999995</v>
      </c>
      <c r="Y27" s="2"/>
      <c r="Z27" s="7">
        <f t="shared" si="7"/>
        <v>-0.14131779387947294</v>
      </c>
    </row>
    <row r="28" spans="1:26" s="23" customFormat="1" hidden="1" outlineLevel="2" x14ac:dyDescent="0.25">
      <c r="A28" s="25"/>
      <c r="B28" s="10" t="str">
        <f>CONCATENATE("          ", "6119", " - ", "SICK LEAVE")</f>
        <v xml:space="preserve">          6119 - SICK LEAVE</v>
      </c>
      <c r="C28" s="10"/>
      <c r="D28" s="6">
        <v>6643.52</v>
      </c>
      <c r="E28" s="2"/>
      <c r="F28" s="7">
        <f t="shared" si="0"/>
        <v>0</v>
      </c>
      <c r="G28" s="2"/>
      <c r="H28" s="6">
        <v>4151.12</v>
      </c>
      <c r="I28" s="2"/>
      <c r="J28" s="7">
        <f t="shared" si="1"/>
        <v>0</v>
      </c>
      <c r="K28" s="2"/>
      <c r="L28" s="6">
        <f t="shared" si="2"/>
        <v>2492.4000000000005</v>
      </c>
      <c r="M28" s="2"/>
      <c r="N28" s="7">
        <f t="shared" si="3"/>
        <v>0.60041627319855861</v>
      </c>
      <c r="O28" s="10"/>
      <c r="P28" s="6">
        <v>55571.360000000001</v>
      </c>
      <c r="Q28" s="2"/>
      <c r="R28" s="7">
        <f t="shared" si="4"/>
        <v>0</v>
      </c>
      <c r="S28" s="2"/>
      <c r="T28" s="6">
        <v>40659.72</v>
      </c>
      <c r="U28" s="2"/>
      <c r="V28" s="7">
        <f t="shared" si="5"/>
        <v>0</v>
      </c>
      <c r="W28" s="2"/>
      <c r="X28" s="6">
        <f t="shared" si="6"/>
        <v>14911.64</v>
      </c>
      <c r="Y28" s="2"/>
      <c r="Z28" s="7">
        <f t="shared" si="7"/>
        <v>0.36674231893382442</v>
      </c>
    </row>
    <row r="29" spans="1:26" s="23" customFormat="1" hidden="1" outlineLevel="2" x14ac:dyDescent="0.25">
      <c r="A29" s="25"/>
      <c r="B29" s="10" t="str">
        <f>CONCATENATE("          ", "6120", " - ", "RETIREES HEALTH INSURANCE")</f>
        <v xml:space="preserve">          6120 - RETIREES HEALTH INSURANCE</v>
      </c>
      <c r="C29" s="10"/>
      <c r="D29" s="6">
        <v>-1015521.92</v>
      </c>
      <c r="E29" s="2"/>
      <c r="F29" s="7">
        <f t="shared" si="0"/>
        <v>0</v>
      </c>
      <c r="G29" s="2"/>
      <c r="H29" s="6">
        <v>-169010.78</v>
      </c>
      <c r="I29" s="2"/>
      <c r="J29" s="7">
        <f t="shared" si="1"/>
        <v>0</v>
      </c>
      <c r="K29" s="2"/>
      <c r="L29" s="6">
        <f t="shared" si="2"/>
        <v>-846511.14</v>
      </c>
      <c r="M29" s="2"/>
      <c r="N29" s="7">
        <f t="shared" si="3"/>
        <v>5.0086221719111643</v>
      </c>
      <c r="O29" s="10"/>
      <c r="P29" s="6">
        <v>-1092215.8</v>
      </c>
      <c r="Q29" s="2"/>
      <c r="R29" s="7">
        <f t="shared" si="4"/>
        <v>0</v>
      </c>
      <c r="S29" s="2"/>
      <c r="T29" s="6">
        <v>148985.03</v>
      </c>
      <c r="U29" s="2"/>
      <c r="V29" s="7">
        <f t="shared" si="5"/>
        <v>0</v>
      </c>
      <c r="W29" s="2"/>
      <c r="X29" s="6">
        <f t="shared" si="6"/>
        <v>-1241200.83</v>
      </c>
      <c r="Y29" s="2"/>
      <c r="Z29" s="7">
        <f t="shared" si="7"/>
        <v>-8.3310439310580406</v>
      </c>
    </row>
    <row r="30" spans="1:26" s="23" customFormat="1" hidden="1" outlineLevel="2" x14ac:dyDescent="0.25">
      <c r="A30" s="25"/>
      <c r="B30" s="10" t="str">
        <f>CONCATENATE("          ", "6156", " - ", "EMPLOYEE MEALS")</f>
        <v xml:space="preserve">          6156 - EMPLOYEE MEALS</v>
      </c>
      <c r="C30" s="10"/>
      <c r="D30" s="6">
        <v>870.87</v>
      </c>
      <c r="E30" s="2"/>
      <c r="F30" s="7">
        <f t="shared" si="0"/>
        <v>0</v>
      </c>
      <c r="G30" s="2"/>
      <c r="H30" s="6">
        <v>528</v>
      </c>
      <c r="I30" s="2"/>
      <c r="J30" s="7">
        <f t="shared" si="1"/>
        <v>0</v>
      </c>
      <c r="K30" s="2"/>
      <c r="L30" s="6">
        <f t="shared" si="2"/>
        <v>342.87</v>
      </c>
      <c r="M30" s="2"/>
      <c r="N30" s="7">
        <f t="shared" si="3"/>
        <v>0.64937500000000004</v>
      </c>
      <c r="O30" s="10"/>
      <c r="P30" s="6">
        <v>7694.25</v>
      </c>
      <c r="Q30" s="2"/>
      <c r="R30" s="7">
        <f t="shared" si="4"/>
        <v>0</v>
      </c>
      <c r="S30" s="2"/>
      <c r="T30" s="6">
        <v>22609.38</v>
      </c>
      <c r="U30" s="2"/>
      <c r="V30" s="7">
        <f t="shared" si="5"/>
        <v>0</v>
      </c>
      <c r="W30" s="2"/>
      <c r="X30" s="6">
        <f t="shared" si="6"/>
        <v>-14915.130000000001</v>
      </c>
      <c r="Y30" s="2"/>
      <c r="Z30" s="7">
        <f t="shared" si="7"/>
        <v>-0.65968770483754979</v>
      </c>
    </row>
    <row r="31" spans="1:26" s="27" customFormat="1" outlineLevel="1" collapsed="1" x14ac:dyDescent="0.25">
      <c r="A31" s="26"/>
      <c r="B31" s="12" t="str">
        <f>CONCATENATE("     ","*Payroll                                          ")</f>
        <v xml:space="preserve">     *Payroll                                          </v>
      </c>
      <c r="C31" s="12"/>
      <c r="D31" s="1">
        <f>SUM(OSRRefD22_1x_0)</f>
        <v>119645.82</v>
      </c>
      <c r="E31" s="1"/>
      <c r="F31" s="5">
        <f t="shared" ref="F31:F38" si="8">IF(D$12=0,0,D31/D$12)</f>
        <v>0</v>
      </c>
      <c r="G31" s="1"/>
      <c r="H31" s="1">
        <f>SUM(OSRRefH22_1x_0)</f>
        <v>287985.74000000005</v>
      </c>
      <c r="I31" s="1"/>
      <c r="J31" s="5">
        <f t="shared" ref="J31:J38" si="9">IF(H$12=0,0,H31/H$12)</f>
        <v>0</v>
      </c>
      <c r="K31" s="1"/>
      <c r="L31" s="1">
        <f t="shared" ref="L31:L38" si="10">+D31-H31</f>
        <v>-168339.92000000004</v>
      </c>
      <c r="M31" s="1"/>
      <c r="N31" s="5">
        <f t="shared" ref="N31:N38" si="11">IF(H31=0,0,L31/H31)</f>
        <v>-0.58454255408618505</v>
      </c>
      <c r="O31" s="12"/>
      <c r="P31" s="1">
        <f>SUM(OSRRefP22_1x_0)</f>
        <v>1143105.2600000002</v>
      </c>
      <c r="Q31" s="1"/>
      <c r="R31" s="5">
        <f t="shared" ref="R31:R38" si="12">IF(P$12=0,0,P31/P$12)</f>
        <v>0</v>
      </c>
      <c r="S31" s="1"/>
      <c r="T31" s="1">
        <f>SUM(OSRRefT22_1x_0)</f>
        <v>1515617.82</v>
      </c>
      <c r="U31" s="1"/>
      <c r="V31" s="5">
        <f t="shared" ref="V31:V38" si="13">IF(T$12=0,0,T31/T$12)</f>
        <v>0</v>
      </c>
      <c r="W31" s="1"/>
      <c r="X31" s="1">
        <f t="shared" ref="X31:X38" si="14">+P31-T31</f>
        <v>-372512.55999999982</v>
      </c>
      <c r="Y31" s="1"/>
      <c r="Z31" s="5">
        <f t="shared" ref="Z31:Z38" si="15">IF(T31=0,0,X31/T31)</f>
        <v>-0.24578264723754686</v>
      </c>
    </row>
    <row r="32" spans="1:26" s="23" customFormat="1" hidden="1" outlineLevel="2" x14ac:dyDescent="0.25">
      <c r="A32" s="25"/>
      <c r="B32" s="10" t="str">
        <f>CONCATENATE("          ", "6001", " - ", "ADMINISTRATIVE SALARIES")</f>
        <v xml:space="preserve">          6001 - ADMINISTRATIVE SALARIES</v>
      </c>
      <c r="C32" s="10"/>
      <c r="D32" s="6">
        <v>52855.03</v>
      </c>
      <c r="E32" s="2"/>
      <c r="F32" s="7">
        <f t="shared" si="8"/>
        <v>0</v>
      </c>
      <c r="G32" s="2"/>
      <c r="H32" s="6">
        <v>24034.959999999999</v>
      </c>
      <c r="I32" s="2"/>
      <c r="J32" s="7">
        <f t="shared" si="9"/>
        <v>0</v>
      </c>
      <c r="K32" s="2"/>
      <c r="L32" s="6">
        <f t="shared" si="10"/>
        <v>28820.07</v>
      </c>
      <c r="M32" s="2"/>
      <c r="N32" s="7">
        <f t="shared" si="11"/>
        <v>1.1990895761840252</v>
      </c>
      <c r="O32" s="10"/>
      <c r="P32" s="6">
        <v>325179.7</v>
      </c>
      <c r="Q32" s="2"/>
      <c r="R32" s="7">
        <f t="shared" si="12"/>
        <v>0</v>
      </c>
      <c r="S32" s="2"/>
      <c r="T32" s="6">
        <v>299345.38</v>
      </c>
      <c r="U32" s="2"/>
      <c r="V32" s="7">
        <f t="shared" si="13"/>
        <v>0</v>
      </c>
      <c r="W32" s="2"/>
      <c r="X32" s="6">
        <f t="shared" si="14"/>
        <v>25834.320000000007</v>
      </c>
      <c r="Y32" s="2"/>
      <c r="Z32" s="7">
        <f t="shared" si="15"/>
        <v>8.6302718284812036E-2</v>
      </c>
    </row>
    <row r="33" spans="1:26" s="23" customFormat="1" hidden="1" outlineLevel="2" x14ac:dyDescent="0.25">
      <c r="A33" s="25"/>
      <c r="B33" s="10" t="str">
        <f>CONCATENATE("          ", "6002", " - ", "STAFF SALARIES")</f>
        <v xml:space="preserve">          6002 - STAFF SALARIES</v>
      </c>
      <c r="C33" s="10"/>
      <c r="D33" s="6">
        <v>45813.25</v>
      </c>
      <c r="E33" s="2"/>
      <c r="F33" s="7">
        <f t="shared" si="8"/>
        <v>0</v>
      </c>
      <c r="G33" s="2"/>
      <c r="H33" s="6">
        <v>37674.400000000001</v>
      </c>
      <c r="I33" s="2"/>
      <c r="J33" s="7">
        <f t="shared" si="9"/>
        <v>0</v>
      </c>
      <c r="K33" s="2"/>
      <c r="L33" s="6">
        <f t="shared" si="10"/>
        <v>8138.8499999999985</v>
      </c>
      <c r="M33" s="2"/>
      <c r="N33" s="7">
        <f t="shared" si="11"/>
        <v>0.21603131038583223</v>
      </c>
      <c r="O33" s="10"/>
      <c r="P33" s="6">
        <v>581348.59</v>
      </c>
      <c r="Q33" s="2"/>
      <c r="R33" s="7">
        <f t="shared" si="12"/>
        <v>0</v>
      </c>
      <c r="S33" s="2"/>
      <c r="T33" s="6">
        <v>561045.28</v>
      </c>
      <c r="U33" s="2"/>
      <c r="V33" s="7">
        <f t="shared" si="13"/>
        <v>0</v>
      </c>
      <c r="W33" s="2"/>
      <c r="X33" s="6">
        <f t="shared" si="14"/>
        <v>20303.309999999939</v>
      </c>
      <c r="Y33" s="2"/>
      <c r="Z33" s="7">
        <f t="shared" si="15"/>
        <v>3.618836255070168E-2</v>
      </c>
    </row>
    <row r="34" spans="1:26" s="23" customFormat="1" hidden="1" outlineLevel="2" x14ac:dyDescent="0.25">
      <c r="A34" s="25"/>
      <c r="B34" s="10" t="str">
        <f>CONCATENATE("          ", "6004", " - ", "STAFF HOURLY")</f>
        <v xml:space="preserve">          6004 - STAFF HOURLY</v>
      </c>
      <c r="C34" s="10"/>
      <c r="D34" s="6">
        <v>17307.849999999999</v>
      </c>
      <c r="E34" s="2"/>
      <c r="F34" s="7">
        <f t="shared" si="8"/>
        <v>0</v>
      </c>
      <c r="G34" s="2"/>
      <c r="H34" s="6">
        <v>18448.52</v>
      </c>
      <c r="I34" s="2"/>
      <c r="J34" s="7">
        <f t="shared" si="9"/>
        <v>0</v>
      </c>
      <c r="K34" s="2"/>
      <c r="L34" s="6">
        <f t="shared" si="10"/>
        <v>-1140.6700000000019</v>
      </c>
      <c r="M34" s="2"/>
      <c r="N34" s="7">
        <f t="shared" si="11"/>
        <v>-6.1829892045540881E-2</v>
      </c>
      <c r="O34" s="10"/>
      <c r="P34" s="6">
        <v>204780.37</v>
      </c>
      <c r="Q34" s="2"/>
      <c r="R34" s="7">
        <f t="shared" si="12"/>
        <v>0</v>
      </c>
      <c r="S34" s="2"/>
      <c r="T34" s="6">
        <v>255605.1</v>
      </c>
      <c r="U34" s="2"/>
      <c r="V34" s="7">
        <f t="shared" si="13"/>
        <v>0</v>
      </c>
      <c r="W34" s="2"/>
      <c r="X34" s="6">
        <f t="shared" si="14"/>
        <v>-50824.73000000001</v>
      </c>
      <c r="Y34" s="2"/>
      <c r="Z34" s="7">
        <f t="shared" si="15"/>
        <v>-0.1988408290757892</v>
      </c>
    </row>
    <row r="35" spans="1:26" s="23" customFormat="1" hidden="1" outlineLevel="2" x14ac:dyDescent="0.25">
      <c r="A35" s="25"/>
      <c r="B35" s="10" t="str">
        <f>CONCATENATE("          ", "6005", " - ", "TEMPORARY WAGES-HOURLY")</f>
        <v xml:space="preserve">          6005 - TEMPORARY WAGES-HOURLY</v>
      </c>
      <c r="C35" s="10"/>
      <c r="D35" s="6">
        <v>1984.5</v>
      </c>
      <c r="E35" s="2"/>
      <c r="F35" s="7">
        <f t="shared" si="8"/>
        <v>0</v>
      </c>
      <c r="G35" s="2"/>
      <c r="H35" s="6">
        <v>6487.71</v>
      </c>
      <c r="I35" s="2"/>
      <c r="J35" s="7">
        <f t="shared" si="9"/>
        <v>0</v>
      </c>
      <c r="K35" s="2"/>
      <c r="L35" s="6">
        <f t="shared" si="10"/>
        <v>-4503.21</v>
      </c>
      <c r="M35" s="2"/>
      <c r="N35" s="7">
        <f t="shared" si="11"/>
        <v>-0.6941139477566044</v>
      </c>
      <c r="O35" s="10"/>
      <c r="P35" s="6">
        <v>60188.51</v>
      </c>
      <c r="Q35" s="2"/>
      <c r="R35" s="7">
        <f t="shared" si="12"/>
        <v>0</v>
      </c>
      <c r="S35" s="2"/>
      <c r="T35" s="6">
        <v>114072.61</v>
      </c>
      <c r="U35" s="2"/>
      <c r="V35" s="7">
        <f t="shared" si="13"/>
        <v>0</v>
      </c>
      <c r="W35" s="2"/>
      <c r="X35" s="6">
        <f t="shared" si="14"/>
        <v>-53884.1</v>
      </c>
      <c r="Y35" s="2"/>
      <c r="Z35" s="7">
        <f t="shared" si="15"/>
        <v>-0.47236667943338895</v>
      </c>
    </row>
    <row r="36" spans="1:26" s="23" customFormat="1" hidden="1" outlineLevel="2" x14ac:dyDescent="0.25">
      <c r="A36" s="25"/>
      <c r="B36" s="10" t="str">
        <f>CONCATENATE("          ", "6006", " - ", "TEMPORARY PART TIME")</f>
        <v xml:space="preserve">          6006 - TEMPORARY PART TIME</v>
      </c>
      <c r="C36" s="10"/>
      <c r="D36" s="6"/>
      <c r="E36" s="2"/>
      <c r="F36" s="7">
        <f t="shared" si="8"/>
        <v>0</v>
      </c>
      <c r="G36" s="2"/>
      <c r="H36" s="6"/>
      <c r="I36" s="2"/>
      <c r="J36" s="7">
        <f t="shared" si="9"/>
        <v>0</v>
      </c>
      <c r="K36" s="2"/>
      <c r="L36" s="6">
        <f t="shared" si="10"/>
        <v>0</v>
      </c>
      <c r="M36" s="2"/>
      <c r="N36" s="7">
        <f t="shared" si="11"/>
        <v>0</v>
      </c>
      <c r="O36" s="10"/>
      <c r="P36" s="6"/>
      <c r="Q36" s="2"/>
      <c r="R36" s="7">
        <f t="shared" si="12"/>
        <v>0</v>
      </c>
      <c r="S36" s="2"/>
      <c r="T36" s="6">
        <v>2361.4299999999998</v>
      </c>
      <c r="U36" s="2"/>
      <c r="V36" s="7">
        <f t="shared" si="13"/>
        <v>0</v>
      </c>
      <c r="W36" s="2"/>
      <c r="X36" s="6">
        <f t="shared" si="14"/>
        <v>-2361.4299999999998</v>
      </c>
      <c r="Y36" s="2"/>
      <c r="Z36" s="7">
        <f t="shared" si="15"/>
        <v>-1</v>
      </c>
    </row>
    <row r="37" spans="1:26" s="23" customFormat="1" hidden="1" outlineLevel="2" x14ac:dyDescent="0.25">
      <c r="A37" s="25"/>
      <c r="B37" s="10" t="str">
        <f>CONCATENATE("          ", "6007", " - ", "STUDENT HOURLY")</f>
        <v xml:space="preserve">          6007 - STUDENT HOURLY</v>
      </c>
      <c r="C37" s="10"/>
      <c r="D37" s="6"/>
      <c r="E37" s="2"/>
      <c r="F37" s="7">
        <f t="shared" si="8"/>
        <v>0</v>
      </c>
      <c r="G37" s="2"/>
      <c r="H37" s="6">
        <v>200000</v>
      </c>
      <c r="I37" s="2"/>
      <c r="J37" s="7">
        <f t="shared" si="9"/>
        <v>0</v>
      </c>
      <c r="K37" s="2"/>
      <c r="L37" s="6">
        <f t="shared" si="10"/>
        <v>-200000</v>
      </c>
      <c r="M37" s="2"/>
      <c r="N37" s="7">
        <f t="shared" si="11"/>
        <v>-1</v>
      </c>
      <c r="O37" s="10"/>
      <c r="P37" s="6">
        <v>-44841.01</v>
      </c>
      <c r="Q37" s="2"/>
      <c r="R37" s="7">
        <f t="shared" si="12"/>
        <v>0</v>
      </c>
      <c r="S37" s="2"/>
      <c r="T37" s="6">
        <v>262823.01</v>
      </c>
      <c r="U37" s="2"/>
      <c r="V37" s="7">
        <f t="shared" si="13"/>
        <v>0</v>
      </c>
      <c r="W37" s="2"/>
      <c r="X37" s="6">
        <f t="shared" si="14"/>
        <v>-307664.02</v>
      </c>
      <c r="Y37" s="2"/>
      <c r="Z37" s="7">
        <f t="shared" si="15"/>
        <v>-1.17061295356141</v>
      </c>
    </row>
    <row r="38" spans="1:26" s="23" customFormat="1" hidden="1" outlineLevel="2" x14ac:dyDescent="0.25">
      <c r="A38" s="25"/>
      <c r="B38" s="10" t="str">
        <f>CONCATENATE("          ", "6008", " - ", "STUDENT HOURLY-FICA EXEMPT")</f>
        <v xml:space="preserve">          6008 - STUDENT HOURLY-FICA EXEMPT</v>
      </c>
      <c r="C38" s="10"/>
      <c r="D38" s="6">
        <v>1685.19</v>
      </c>
      <c r="E38" s="2"/>
      <c r="F38" s="7">
        <f t="shared" si="8"/>
        <v>0</v>
      </c>
      <c r="G38" s="2"/>
      <c r="H38" s="6">
        <v>1340.15</v>
      </c>
      <c r="I38" s="2"/>
      <c r="J38" s="7">
        <f t="shared" si="9"/>
        <v>0</v>
      </c>
      <c r="K38" s="2"/>
      <c r="L38" s="6">
        <f t="shared" si="10"/>
        <v>345.03999999999996</v>
      </c>
      <c r="M38" s="2"/>
      <c r="N38" s="7">
        <f t="shared" si="11"/>
        <v>0.25746371674812518</v>
      </c>
      <c r="O38" s="10"/>
      <c r="P38" s="6">
        <v>16449.099999999999</v>
      </c>
      <c r="Q38" s="2"/>
      <c r="R38" s="7">
        <f t="shared" si="12"/>
        <v>0</v>
      </c>
      <c r="S38" s="2"/>
      <c r="T38" s="6">
        <v>20365.009999999998</v>
      </c>
      <c r="U38" s="2"/>
      <c r="V38" s="7">
        <f t="shared" si="13"/>
        <v>0</v>
      </c>
      <c r="W38" s="2"/>
      <c r="X38" s="6">
        <f t="shared" si="14"/>
        <v>-3915.91</v>
      </c>
      <c r="Y38" s="2"/>
      <c r="Z38" s="7">
        <f t="shared" si="15"/>
        <v>-0.19228618105269774</v>
      </c>
    </row>
    <row r="39" spans="1:26" s="27" customFormat="1" outlineLevel="1" collapsed="1" x14ac:dyDescent="0.25">
      <c r="A39" s="26"/>
      <c r="B39" s="12" t="str">
        <f>CONCATENATE("     ","Advertising/Promo                                 ")</f>
        <v xml:space="preserve">     Advertising/Promo                                 </v>
      </c>
      <c r="C39" s="12"/>
      <c r="D39" s="1">
        <f>SUM(OSRRefD22_2x_0)</f>
        <v>173.21</v>
      </c>
      <c r="E39" s="1"/>
      <c r="F39" s="5">
        <f t="shared" ref="F39:F55" si="16">IF(D$12=0,0,D39/D$12)</f>
        <v>0</v>
      </c>
      <c r="G39" s="1"/>
      <c r="H39" s="1">
        <f>SUM(OSRRefH22_2x_0)</f>
        <v>346.42</v>
      </c>
      <c r="I39" s="1"/>
      <c r="J39" s="5">
        <f t="shared" ref="J39:J55" si="17">IF(H$12=0,0,H39/H$12)</f>
        <v>0</v>
      </c>
      <c r="K39" s="1"/>
      <c r="L39" s="1">
        <f t="shared" ref="L39:L55" si="18">+D39-H39</f>
        <v>-173.21</v>
      </c>
      <c r="M39" s="1"/>
      <c r="N39" s="5">
        <f t="shared" ref="N39:N55" si="19">IF(H39=0,0,L39/H39)</f>
        <v>-0.5</v>
      </c>
      <c r="O39" s="12"/>
      <c r="P39" s="1">
        <f>SUM(OSRRefP22_2x_0)</f>
        <v>2150.38</v>
      </c>
      <c r="Q39" s="1"/>
      <c r="R39" s="5">
        <f t="shared" ref="R39:R55" si="20">IF(P$12=0,0,P39/P$12)</f>
        <v>0</v>
      </c>
      <c r="S39" s="1"/>
      <c r="T39" s="1">
        <f>SUM(OSRRefT22_2x_0)</f>
        <v>-31034.71</v>
      </c>
      <c r="U39" s="1"/>
      <c r="V39" s="5">
        <f t="shared" ref="V39:V55" si="21">IF(T$12=0,0,T39/T$12)</f>
        <v>0</v>
      </c>
      <c r="W39" s="1"/>
      <c r="X39" s="1">
        <f t="shared" ref="X39:X55" si="22">+P39-T39</f>
        <v>33185.089999999997</v>
      </c>
      <c r="Y39" s="1"/>
      <c r="Z39" s="5">
        <f t="shared" ref="Z39:Z55" si="23">IF(T39=0,0,X39/T39)</f>
        <v>-1.0692895148689967</v>
      </c>
    </row>
    <row r="40" spans="1:26" s="23" customFormat="1" hidden="1" outlineLevel="2" x14ac:dyDescent="0.25">
      <c r="A40" s="25"/>
      <c r="B40" s="10" t="str">
        <f>CONCATENATE("          ", "6362", " - ", "ADVERTISING EXPENSE")</f>
        <v xml:space="preserve">          6362 - ADVERTISING EXPENSE</v>
      </c>
      <c r="C40" s="10"/>
      <c r="D40" s="6">
        <v>173.21</v>
      </c>
      <c r="E40" s="2"/>
      <c r="F40" s="7">
        <f t="shared" si="16"/>
        <v>0</v>
      </c>
      <c r="G40" s="2"/>
      <c r="H40" s="6">
        <v>346.42</v>
      </c>
      <c r="I40" s="2"/>
      <c r="J40" s="7">
        <f t="shared" si="17"/>
        <v>0</v>
      </c>
      <c r="K40" s="2"/>
      <c r="L40" s="6">
        <f t="shared" si="18"/>
        <v>-173.21</v>
      </c>
      <c r="M40" s="2"/>
      <c r="N40" s="7">
        <f t="shared" si="19"/>
        <v>-0.5</v>
      </c>
      <c r="O40" s="10"/>
      <c r="P40" s="6">
        <v>2150.38</v>
      </c>
      <c r="Q40" s="2"/>
      <c r="R40" s="7">
        <f t="shared" si="20"/>
        <v>0</v>
      </c>
      <c r="S40" s="2"/>
      <c r="T40" s="6">
        <v>-31034.71</v>
      </c>
      <c r="U40" s="2"/>
      <c r="V40" s="7">
        <f t="shared" si="21"/>
        <v>0</v>
      </c>
      <c r="W40" s="2"/>
      <c r="X40" s="6">
        <f t="shared" si="22"/>
        <v>33185.089999999997</v>
      </c>
      <c r="Y40" s="2"/>
      <c r="Z40" s="7">
        <f t="shared" si="23"/>
        <v>-1.0692895148689967</v>
      </c>
    </row>
    <row r="41" spans="1:26" s="27" customFormat="1" outlineLevel="1" collapsed="1" x14ac:dyDescent="0.25">
      <c r="A41" s="26"/>
      <c r="B41" s="12" t="str">
        <f>CONCATENATE("     ","Bank/card Fees                                    ")</f>
        <v xml:space="preserve">     Bank/card Fees                                    </v>
      </c>
      <c r="C41" s="12"/>
      <c r="D41" s="1">
        <f>SUM(OSRRefD22_3x_0)</f>
        <v>3.07</v>
      </c>
      <c r="E41" s="1"/>
      <c r="F41" s="5">
        <f t="shared" si="16"/>
        <v>0</v>
      </c>
      <c r="G41" s="1"/>
      <c r="H41" s="1">
        <f>SUM(OSRRefH22_3x_0)</f>
        <v>11.34</v>
      </c>
      <c r="I41" s="1"/>
      <c r="J41" s="5">
        <f t="shared" si="17"/>
        <v>0</v>
      </c>
      <c r="K41" s="1"/>
      <c r="L41" s="1">
        <f t="shared" si="18"/>
        <v>-8.27</v>
      </c>
      <c r="M41" s="1"/>
      <c r="N41" s="5">
        <f t="shared" si="19"/>
        <v>-0.7292768959435626</v>
      </c>
      <c r="O41" s="12"/>
      <c r="P41" s="1">
        <f>SUM(OSRRefP22_3x_0)</f>
        <v>6999.14</v>
      </c>
      <c r="Q41" s="1"/>
      <c r="R41" s="5">
        <f t="shared" si="20"/>
        <v>0</v>
      </c>
      <c r="S41" s="1"/>
      <c r="T41" s="1">
        <f>SUM(OSRRefT22_3x_0)</f>
        <v>53963.34</v>
      </c>
      <c r="U41" s="1"/>
      <c r="V41" s="5">
        <f t="shared" si="21"/>
        <v>0</v>
      </c>
      <c r="W41" s="1"/>
      <c r="X41" s="1">
        <f t="shared" si="22"/>
        <v>-46964.2</v>
      </c>
      <c r="Y41" s="1"/>
      <c r="Z41" s="5">
        <f t="shared" si="23"/>
        <v>-0.87029824321474547</v>
      </c>
    </row>
    <row r="42" spans="1:26" s="23" customFormat="1" hidden="1" outlineLevel="2" x14ac:dyDescent="0.25">
      <c r="A42" s="25"/>
      <c r="B42" s="10" t="str">
        <f>CONCATENATE("          ", "6381", " - ", "BANK/CREDIT CARD FEES")</f>
        <v xml:space="preserve">          6381 - BANK/CREDIT CARD FEES</v>
      </c>
      <c r="C42" s="10"/>
      <c r="D42" s="6">
        <v>3.07</v>
      </c>
      <c r="E42" s="2"/>
      <c r="F42" s="7">
        <f t="shared" si="16"/>
        <v>0</v>
      </c>
      <c r="G42" s="2"/>
      <c r="H42" s="6">
        <v>11.34</v>
      </c>
      <c r="I42" s="2"/>
      <c r="J42" s="7">
        <f t="shared" si="17"/>
        <v>0</v>
      </c>
      <c r="K42" s="2"/>
      <c r="L42" s="6">
        <f t="shared" si="18"/>
        <v>-8.27</v>
      </c>
      <c r="M42" s="2"/>
      <c r="N42" s="7">
        <f t="shared" si="19"/>
        <v>-0.7292768959435626</v>
      </c>
      <c r="O42" s="10"/>
      <c r="P42" s="6">
        <v>6999.14</v>
      </c>
      <c r="Q42" s="2"/>
      <c r="R42" s="7">
        <f t="shared" si="20"/>
        <v>0</v>
      </c>
      <c r="S42" s="2"/>
      <c r="T42" s="6">
        <v>53963.34</v>
      </c>
      <c r="U42" s="2"/>
      <c r="V42" s="7">
        <f t="shared" si="21"/>
        <v>0</v>
      </c>
      <c r="W42" s="2"/>
      <c r="X42" s="6">
        <f t="shared" si="22"/>
        <v>-46964.2</v>
      </c>
      <c r="Y42" s="2"/>
      <c r="Z42" s="7">
        <f t="shared" si="23"/>
        <v>-0.87029824321474547</v>
      </c>
    </row>
    <row r="43" spans="1:26" s="27" customFormat="1" outlineLevel="1" collapsed="1" x14ac:dyDescent="0.25">
      <c r="A43" s="26"/>
      <c r="B43" s="12" t="str">
        <f>CONCATENATE("     ","Board                                             ")</f>
        <v xml:space="preserve">     Board                                             </v>
      </c>
      <c r="C43" s="12"/>
      <c r="D43" s="1">
        <f>SUM(OSRRefD22_4x_0)</f>
        <v>1048.1099999999999</v>
      </c>
      <c r="E43" s="1"/>
      <c r="F43" s="5">
        <f t="shared" si="16"/>
        <v>0</v>
      </c>
      <c r="G43" s="1"/>
      <c r="H43" s="1">
        <f>SUM(OSRRefH22_4x_0)</f>
        <v>1452.6</v>
      </c>
      <c r="I43" s="1"/>
      <c r="J43" s="5">
        <f t="shared" si="17"/>
        <v>0</v>
      </c>
      <c r="K43" s="1"/>
      <c r="L43" s="1">
        <f t="shared" si="18"/>
        <v>-404.49</v>
      </c>
      <c r="M43" s="1"/>
      <c r="N43" s="5">
        <f t="shared" si="19"/>
        <v>-0.27845931433292032</v>
      </c>
      <c r="O43" s="12"/>
      <c r="P43" s="1">
        <f>SUM(OSRRefP22_4x_0)</f>
        <v>15246.13</v>
      </c>
      <c r="Q43" s="1"/>
      <c r="R43" s="5">
        <f t="shared" si="20"/>
        <v>0</v>
      </c>
      <c r="S43" s="1"/>
      <c r="T43" s="1">
        <f>SUM(OSRRefT22_4x_0)</f>
        <v>42435.31</v>
      </c>
      <c r="U43" s="1"/>
      <c r="V43" s="5">
        <f t="shared" si="21"/>
        <v>0</v>
      </c>
      <c r="W43" s="1"/>
      <c r="X43" s="1">
        <f t="shared" si="22"/>
        <v>-27189.18</v>
      </c>
      <c r="Y43" s="1"/>
      <c r="Z43" s="5">
        <f t="shared" si="23"/>
        <v>-0.6407206639942068</v>
      </c>
    </row>
    <row r="44" spans="1:26" s="23" customFormat="1" hidden="1" outlineLevel="2" x14ac:dyDescent="0.25">
      <c r="A44" s="25"/>
      <c r="B44" s="10" t="str">
        <f>CONCATENATE("          ", "6397", " - ", "BOARD EXPENSES")</f>
        <v xml:space="preserve">          6397 - BOARD EXPENSES</v>
      </c>
      <c r="C44" s="10"/>
      <c r="D44" s="6">
        <v>1048.1099999999999</v>
      </c>
      <c r="E44" s="2"/>
      <c r="F44" s="7">
        <f t="shared" si="16"/>
        <v>0</v>
      </c>
      <c r="G44" s="2"/>
      <c r="H44" s="6">
        <v>1452.6</v>
      </c>
      <c r="I44" s="2"/>
      <c r="J44" s="7">
        <f t="shared" si="17"/>
        <v>0</v>
      </c>
      <c r="K44" s="2"/>
      <c r="L44" s="6">
        <f t="shared" si="18"/>
        <v>-404.49</v>
      </c>
      <c r="M44" s="2"/>
      <c r="N44" s="7">
        <f t="shared" si="19"/>
        <v>-0.27845931433292032</v>
      </c>
      <c r="O44" s="10"/>
      <c r="P44" s="6">
        <v>15246.13</v>
      </c>
      <c r="Q44" s="2"/>
      <c r="R44" s="7">
        <f t="shared" si="20"/>
        <v>0</v>
      </c>
      <c r="S44" s="2"/>
      <c r="T44" s="6">
        <v>42435.31</v>
      </c>
      <c r="U44" s="2"/>
      <c r="V44" s="7">
        <f t="shared" si="21"/>
        <v>0</v>
      </c>
      <c r="W44" s="2"/>
      <c r="X44" s="6">
        <f t="shared" si="22"/>
        <v>-27189.18</v>
      </c>
      <c r="Y44" s="2"/>
      <c r="Z44" s="7">
        <f t="shared" si="23"/>
        <v>-0.6407206639942068</v>
      </c>
    </row>
    <row r="45" spans="1:26" s="27" customFormat="1" outlineLevel="1" collapsed="1" x14ac:dyDescent="0.25">
      <c r="A45" s="26"/>
      <c r="B45" s="12" t="str">
        <f>CONCATENATE("     ","Depreciation                                      ")</f>
        <v xml:space="preserve">     Depreciation                                      </v>
      </c>
      <c r="C45" s="12"/>
      <c r="D45" s="1">
        <f>SUM(OSRRefD22_5x_0)</f>
        <v>6971.93</v>
      </c>
      <c r="E45" s="1"/>
      <c r="F45" s="5">
        <f t="shared" si="16"/>
        <v>0</v>
      </c>
      <c r="G45" s="1"/>
      <c r="H45" s="1">
        <f>SUM(OSRRefH22_5x_0)</f>
        <v>7606.97</v>
      </c>
      <c r="I45" s="1"/>
      <c r="J45" s="5">
        <f t="shared" si="17"/>
        <v>0</v>
      </c>
      <c r="K45" s="1"/>
      <c r="L45" s="1">
        <f t="shared" si="18"/>
        <v>-635.04</v>
      </c>
      <c r="M45" s="1"/>
      <c r="N45" s="5">
        <f t="shared" si="19"/>
        <v>-8.3481333566452862E-2</v>
      </c>
      <c r="O45" s="12"/>
      <c r="P45" s="1">
        <f>SUM(OSRRefP22_5x_0)</f>
        <v>85883.73</v>
      </c>
      <c r="Q45" s="1"/>
      <c r="R45" s="5">
        <f t="shared" si="20"/>
        <v>0</v>
      </c>
      <c r="S45" s="1"/>
      <c r="T45" s="1">
        <f>SUM(OSRRefT22_5x_0)</f>
        <v>100576.16</v>
      </c>
      <c r="U45" s="1"/>
      <c r="V45" s="5">
        <f t="shared" si="21"/>
        <v>0</v>
      </c>
      <c r="W45" s="1"/>
      <c r="X45" s="1">
        <f t="shared" si="22"/>
        <v>-14692.430000000008</v>
      </c>
      <c r="Y45" s="1"/>
      <c r="Z45" s="5">
        <f t="shared" si="23"/>
        <v>-0.1460826303171647</v>
      </c>
    </row>
    <row r="46" spans="1:26" s="23" customFormat="1" hidden="1" outlineLevel="2" x14ac:dyDescent="0.25">
      <c r="A46" s="25"/>
      <c r="B46" s="10" t="str">
        <f>CONCATENATE("          ", "6322", " - ", "EQUIPMENT DEPRECIATION EXPENSE")</f>
        <v xml:space="preserve">          6322 - EQUIPMENT DEPRECIATION EXPENSE</v>
      </c>
      <c r="C46" s="10"/>
      <c r="D46" s="6">
        <v>6971.93</v>
      </c>
      <c r="E46" s="2"/>
      <c r="F46" s="7">
        <f t="shared" si="16"/>
        <v>0</v>
      </c>
      <c r="G46" s="2"/>
      <c r="H46" s="6">
        <v>7606.97</v>
      </c>
      <c r="I46" s="2"/>
      <c r="J46" s="7">
        <f t="shared" si="17"/>
        <v>0</v>
      </c>
      <c r="K46" s="2"/>
      <c r="L46" s="6">
        <f t="shared" si="18"/>
        <v>-635.04</v>
      </c>
      <c r="M46" s="2"/>
      <c r="N46" s="7">
        <f t="shared" si="19"/>
        <v>-8.3481333566452862E-2</v>
      </c>
      <c r="O46" s="10"/>
      <c r="P46" s="6">
        <v>85883.73</v>
      </c>
      <c r="Q46" s="2"/>
      <c r="R46" s="7">
        <f t="shared" si="20"/>
        <v>0</v>
      </c>
      <c r="S46" s="2"/>
      <c r="T46" s="6">
        <v>100576.16</v>
      </c>
      <c r="U46" s="2"/>
      <c r="V46" s="7">
        <f t="shared" si="21"/>
        <v>0</v>
      </c>
      <c r="W46" s="2"/>
      <c r="X46" s="6">
        <f t="shared" si="22"/>
        <v>-14692.430000000008</v>
      </c>
      <c r="Y46" s="2"/>
      <c r="Z46" s="7">
        <f t="shared" si="23"/>
        <v>-0.1460826303171647</v>
      </c>
    </row>
    <row r="47" spans="1:26" s="27" customFormat="1" outlineLevel="1" collapsed="1" x14ac:dyDescent="0.25">
      <c r="A47" s="26"/>
      <c r="B47" s="12" t="str">
        <f>CONCATENATE("     ","Donations                                         ")</f>
        <v xml:space="preserve">     Donations                                         </v>
      </c>
      <c r="C47" s="12"/>
      <c r="D47" s="1">
        <f>SUM(OSRRefD22_6x_0)</f>
        <v>263.25</v>
      </c>
      <c r="E47" s="1"/>
      <c r="F47" s="5">
        <f t="shared" si="16"/>
        <v>0</v>
      </c>
      <c r="G47" s="1"/>
      <c r="H47" s="1">
        <f>SUM(OSRRefH22_6x_0)</f>
        <v>-787</v>
      </c>
      <c r="I47" s="1"/>
      <c r="J47" s="5">
        <f t="shared" si="17"/>
        <v>0</v>
      </c>
      <c r="K47" s="1"/>
      <c r="L47" s="1">
        <f t="shared" si="18"/>
        <v>1050.25</v>
      </c>
      <c r="M47" s="1"/>
      <c r="N47" s="5">
        <f t="shared" si="19"/>
        <v>-1.3344980940279543</v>
      </c>
      <c r="O47" s="12"/>
      <c r="P47" s="1">
        <f>SUM(OSRRefP22_6x_0)</f>
        <v>26763.25</v>
      </c>
      <c r="Q47" s="1"/>
      <c r="R47" s="5">
        <f t="shared" si="20"/>
        <v>0</v>
      </c>
      <c r="S47" s="1"/>
      <c r="T47" s="1">
        <f>SUM(OSRRefT22_6x_0)</f>
        <v>247986.19</v>
      </c>
      <c r="U47" s="1"/>
      <c r="V47" s="5">
        <f t="shared" si="21"/>
        <v>0</v>
      </c>
      <c r="W47" s="1"/>
      <c r="X47" s="1">
        <f t="shared" si="22"/>
        <v>-221222.94</v>
      </c>
      <c r="Y47" s="1"/>
      <c r="Z47" s="5">
        <f t="shared" si="23"/>
        <v>-0.89207765964709562</v>
      </c>
    </row>
    <row r="48" spans="1:26" s="23" customFormat="1" hidden="1" outlineLevel="2" x14ac:dyDescent="0.25">
      <c r="A48" s="25"/>
      <c r="B48" s="10" t="str">
        <f>CONCATENATE("          ", "6399", " - ", "DONATION-ON CAMPUS")</f>
        <v xml:space="preserve">          6399 - DONATION-ON CAMPUS</v>
      </c>
      <c r="C48" s="10"/>
      <c r="D48" s="6">
        <v>263.25</v>
      </c>
      <c r="E48" s="2"/>
      <c r="F48" s="7">
        <f t="shared" si="16"/>
        <v>0</v>
      </c>
      <c r="G48" s="2"/>
      <c r="H48" s="6">
        <v>-787</v>
      </c>
      <c r="I48" s="2"/>
      <c r="J48" s="7">
        <f t="shared" si="17"/>
        <v>0</v>
      </c>
      <c r="K48" s="2"/>
      <c r="L48" s="6">
        <f t="shared" si="18"/>
        <v>1050.25</v>
      </c>
      <c r="M48" s="2"/>
      <c r="N48" s="7">
        <f t="shared" si="19"/>
        <v>-1.3344980940279543</v>
      </c>
      <c r="O48" s="10"/>
      <c r="P48" s="6">
        <v>26763.25</v>
      </c>
      <c r="Q48" s="2"/>
      <c r="R48" s="7">
        <f t="shared" si="20"/>
        <v>0</v>
      </c>
      <c r="S48" s="2"/>
      <c r="T48" s="6">
        <v>247986.19</v>
      </c>
      <c r="U48" s="2"/>
      <c r="V48" s="7">
        <f t="shared" si="21"/>
        <v>0</v>
      </c>
      <c r="W48" s="2"/>
      <c r="X48" s="6">
        <f t="shared" si="22"/>
        <v>-221222.94</v>
      </c>
      <c r="Y48" s="2"/>
      <c r="Z48" s="7">
        <f t="shared" si="23"/>
        <v>-0.89207765964709562</v>
      </c>
    </row>
    <row r="49" spans="1:26" s="27" customFormat="1" outlineLevel="1" collapsed="1" x14ac:dyDescent="0.25">
      <c r="A49" s="26"/>
      <c r="B49" s="12" t="str">
        <f>CONCATENATE("     ","Employees' Appreciation                           ")</f>
        <v xml:space="preserve">     Employees' Appreciation                           </v>
      </c>
      <c r="C49" s="12"/>
      <c r="D49" s="1">
        <f>SUM(OSRRefD22_7x_0)</f>
        <v>0</v>
      </c>
      <c r="E49" s="1"/>
      <c r="F49" s="5">
        <f t="shared" si="16"/>
        <v>0</v>
      </c>
      <c r="G49" s="1"/>
      <c r="H49" s="1">
        <f>SUM(OSRRefH22_7x_0)</f>
        <v>0</v>
      </c>
      <c r="I49" s="1"/>
      <c r="J49" s="5">
        <f t="shared" si="17"/>
        <v>0</v>
      </c>
      <c r="K49" s="1"/>
      <c r="L49" s="1">
        <f t="shared" si="18"/>
        <v>0</v>
      </c>
      <c r="M49" s="1"/>
      <c r="N49" s="5">
        <f t="shared" si="19"/>
        <v>0</v>
      </c>
      <c r="O49" s="12"/>
      <c r="P49" s="1">
        <f>SUM(OSRRefP22_7x_0)</f>
        <v>81.56</v>
      </c>
      <c r="Q49" s="1"/>
      <c r="R49" s="5">
        <f t="shared" si="20"/>
        <v>0</v>
      </c>
      <c r="S49" s="1"/>
      <c r="T49" s="1">
        <f>SUM(OSRRefT22_7x_0)</f>
        <v>29556.05</v>
      </c>
      <c r="U49" s="1"/>
      <c r="V49" s="5">
        <f t="shared" si="21"/>
        <v>0</v>
      </c>
      <c r="W49" s="1"/>
      <c r="X49" s="1">
        <f t="shared" si="22"/>
        <v>-29474.489999999998</v>
      </c>
      <c r="Y49" s="1"/>
      <c r="Z49" s="5">
        <f t="shared" si="23"/>
        <v>-0.99724049729243247</v>
      </c>
    </row>
    <row r="50" spans="1:26" s="23" customFormat="1" hidden="1" outlineLevel="2" x14ac:dyDescent="0.25">
      <c r="A50" s="25"/>
      <c r="B50" s="10" t="str">
        <f>CONCATENATE("          ", "6277", " - ", "EMPLOYEE APPRECIATION")</f>
        <v xml:space="preserve">          6277 - EMPLOYEE APPRECIATION</v>
      </c>
      <c r="C50" s="10"/>
      <c r="D50" s="6"/>
      <c r="E50" s="2"/>
      <c r="F50" s="7">
        <f t="shared" si="16"/>
        <v>0</v>
      </c>
      <c r="G50" s="2"/>
      <c r="H50" s="6"/>
      <c r="I50" s="2"/>
      <c r="J50" s="7">
        <f t="shared" si="17"/>
        <v>0</v>
      </c>
      <c r="K50" s="2"/>
      <c r="L50" s="6">
        <f t="shared" si="18"/>
        <v>0</v>
      </c>
      <c r="M50" s="2"/>
      <c r="N50" s="7">
        <f t="shared" si="19"/>
        <v>0</v>
      </c>
      <c r="O50" s="10"/>
      <c r="P50" s="6">
        <v>81.56</v>
      </c>
      <c r="Q50" s="2"/>
      <c r="R50" s="7">
        <f t="shared" si="20"/>
        <v>0</v>
      </c>
      <c r="S50" s="2"/>
      <c r="T50" s="6">
        <v>29556.05</v>
      </c>
      <c r="U50" s="2"/>
      <c r="V50" s="7">
        <f t="shared" si="21"/>
        <v>0</v>
      </c>
      <c r="W50" s="2"/>
      <c r="X50" s="6">
        <f t="shared" si="22"/>
        <v>-29474.489999999998</v>
      </c>
      <c r="Y50" s="2"/>
      <c r="Z50" s="7">
        <f t="shared" si="23"/>
        <v>-0.99724049729243247</v>
      </c>
    </row>
    <row r="51" spans="1:26" s="27" customFormat="1" outlineLevel="1" collapsed="1" x14ac:dyDescent="0.25">
      <c r="A51" s="26"/>
      <c r="B51" s="12" t="str">
        <f>CONCATENATE("     ","Equipment Rental                                  ")</f>
        <v xml:space="preserve">     Equipment Rental                                  </v>
      </c>
      <c r="C51" s="12"/>
      <c r="D51" s="1">
        <f>SUM(OSRRefD22_8x_0)</f>
        <v>208.97</v>
      </c>
      <c r="E51" s="1"/>
      <c r="F51" s="5">
        <f t="shared" si="16"/>
        <v>0</v>
      </c>
      <c r="G51" s="1"/>
      <c r="H51" s="1">
        <f>SUM(OSRRefH22_8x_0)</f>
        <v>208.98</v>
      </c>
      <c r="I51" s="1"/>
      <c r="J51" s="5">
        <f t="shared" si="17"/>
        <v>0</v>
      </c>
      <c r="K51" s="1"/>
      <c r="L51" s="1">
        <f t="shared" si="18"/>
        <v>-9.9999999999909051E-3</v>
      </c>
      <c r="M51" s="1"/>
      <c r="N51" s="5">
        <f t="shared" si="19"/>
        <v>-4.7851469040056015E-5</v>
      </c>
      <c r="O51" s="12"/>
      <c r="P51" s="1">
        <f>SUM(OSRRefP22_8x_0)</f>
        <v>2598.9</v>
      </c>
      <c r="Q51" s="1"/>
      <c r="R51" s="5">
        <f t="shared" si="20"/>
        <v>0</v>
      </c>
      <c r="S51" s="1"/>
      <c r="T51" s="1">
        <f>SUM(OSRRefT22_8x_0)</f>
        <v>2781.54</v>
      </c>
      <c r="U51" s="1"/>
      <c r="V51" s="5">
        <f t="shared" si="21"/>
        <v>0</v>
      </c>
      <c r="W51" s="1"/>
      <c r="X51" s="1">
        <f t="shared" si="22"/>
        <v>-182.63999999999987</v>
      </c>
      <c r="Y51" s="1"/>
      <c r="Z51" s="5">
        <f t="shared" si="23"/>
        <v>-6.5661468107595031E-2</v>
      </c>
    </row>
    <row r="52" spans="1:26" s="23" customFormat="1" hidden="1" outlineLevel="2" x14ac:dyDescent="0.25">
      <c r="A52" s="25"/>
      <c r="B52" s="10" t="str">
        <f>CONCATENATE("          ", "6351", " - ", "EQUIPMENT RENTAL")</f>
        <v xml:space="preserve">          6351 - EQUIPMENT RENTAL</v>
      </c>
      <c r="C52" s="10"/>
      <c r="D52" s="6">
        <v>208.97</v>
      </c>
      <c r="E52" s="2"/>
      <c r="F52" s="7">
        <f t="shared" si="16"/>
        <v>0</v>
      </c>
      <c r="G52" s="2"/>
      <c r="H52" s="6">
        <v>208.98</v>
      </c>
      <c r="I52" s="2"/>
      <c r="J52" s="7">
        <f t="shared" si="17"/>
        <v>0</v>
      </c>
      <c r="K52" s="2"/>
      <c r="L52" s="6">
        <f t="shared" si="18"/>
        <v>-9.9999999999909051E-3</v>
      </c>
      <c r="M52" s="2"/>
      <c r="N52" s="7">
        <f t="shared" si="19"/>
        <v>-4.7851469040056015E-5</v>
      </c>
      <c r="O52" s="10"/>
      <c r="P52" s="6">
        <v>2598.9</v>
      </c>
      <c r="Q52" s="2"/>
      <c r="R52" s="7">
        <f t="shared" si="20"/>
        <v>0</v>
      </c>
      <c r="S52" s="2"/>
      <c r="T52" s="6">
        <v>2781.54</v>
      </c>
      <c r="U52" s="2"/>
      <c r="V52" s="7">
        <f t="shared" si="21"/>
        <v>0</v>
      </c>
      <c r="W52" s="2"/>
      <c r="X52" s="6">
        <f t="shared" si="22"/>
        <v>-182.63999999999987</v>
      </c>
      <c r="Y52" s="2"/>
      <c r="Z52" s="7">
        <f t="shared" si="23"/>
        <v>-6.5661468107595031E-2</v>
      </c>
    </row>
    <row r="53" spans="1:26" s="27" customFormat="1" outlineLevel="1" collapsed="1" x14ac:dyDescent="0.25">
      <c r="A53" s="26"/>
      <c r="B53" s="12" t="str">
        <f>CONCATENATE("     ","Freight out/Postage                               ")</f>
        <v xml:space="preserve">     Freight out/Postage                               </v>
      </c>
      <c r="C53" s="12"/>
      <c r="D53" s="1">
        <f>SUM(OSRRefD22_9x_0)</f>
        <v>85.68</v>
      </c>
      <c r="E53" s="1"/>
      <c r="F53" s="5">
        <f t="shared" si="16"/>
        <v>0</v>
      </c>
      <c r="G53" s="1"/>
      <c r="H53" s="1">
        <f>SUM(OSRRefH22_9x_0)</f>
        <v>46.3</v>
      </c>
      <c r="I53" s="1"/>
      <c r="J53" s="5">
        <f t="shared" si="17"/>
        <v>0</v>
      </c>
      <c r="K53" s="1"/>
      <c r="L53" s="1">
        <f t="shared" si="18"/>
        <v>39.38000000000001</v>
      </c>
      <c r="M53" s="1"/>
      <c r="N53" s="5">
        <f t="shared" si="19"/>
        <v>0.85053995680345595</v>
      </c>
      <c r="O53" s="12"/>
      <c r="P53" s="1">
        <f>SUM(OSRRefP22_9x_0)</f>
        <v>1265.3800000000001</v>
      </c>
      <c r="Q53" s="1"/>
      <c r="R53" s="5">
        <f t="shared" si="20"/>
        <v>0</v>
      </c>
      <c r="S53" s="1"/>
      <c r="T53" s="1">
        <f>SUM(OSRRefT22_9x_0)</f>
        <v>2658.96</v>
      </c>
      <c r="U53" s="1"/>
      <c r="V53" s="5">
        <f t="shared" si="21"/>
        <v>0</v>
      </c>
      <c r="W53" s="1"/>
      <c r="X53" s="1">
        <f t="shared" si="22"/>
        <v>-1393.58</v>
      </c>
      <c r="Y53" s="1"/>
      <c r="Z53" s="5">
        <f t="shared" si="23"/>
        <v>-0.52410716972049221</v>
      </c>
    </row>
    <row r="54" spans="1:26" s="23" customFormat="1" hidden="1" outlineLevel="2" x14ac:dyDescent="0.25">
      <c r="A54" s="25"/>
      <c r="B54" s="10" t="str">
        <f>CONCATENATE("          ", "6305", " - ", "FREIGHT OUT")</f>
        <v xml:space="preserve">          6305 - FREIGHT OUT</v>
      </c>
      <c r="C54" s="10"/>
      <c r="D54" s="6"/>
      <c r="E54" s="2"/>
      <c r="F54" s="7">
        <f t="shared" si="16"/>
        <v>0</v>
      </c>
      <c r="G54" s="2"/>
      <c r="H54" s="6"/>
      <c r="I54" s="2"/>
      <c r="J54" s="7">
        <f t="shared" si="17"/>
        <v>0</v>
      </c>
      <c r="K54" s="2"/>
      <c r="L54" s="6">
        <f t="shared" si="18"/>
        <v>0</v>
      </c>
      <c r="M54" s="2"/>
      <c r="N54" s="7">
        <f t="shared" si="19"/>
        <v>0</v>
      </c>
      <c r="O54" s="10"/>
      <c r="P54" s="6">
        <v>5.41</v>
      </c>
      <c r="Q54" s="2"/>
      <c r="R54" s="7">
        <f t="shared" si="20"/>
        <v>0</v>
      </c>
      <c r="S54" s="2"/>
      <c r="T54" s="6"/>
      <c r="U54" s="2"/>
      <c r="V54" s="7">
        <f t="shared" si="21"/>
        <v>0</v>
      </c>
      <c r="W54" s="2"/>
      <c r="X54" s="6">
        <f t="shared" si="22"/>
        <v>5.41</v>
      </c>
      <c r="Y54" s="2"/>
      <c r="Z54" s="7">
        <f t="shared" si="23"/>
        <v>0</v>
      </c>
    </row>
    <row r="55" spans="1:26" s="23" customFormat="1" hidden="1" outlineLevel="2" x14ac:dyDescent="0.25">
      <c r="A55" s="25"/>
      <c r="B55" s="10" t="str">
        <f>CONCATENATE("          ", "6307", " - ", "POSTAGE")</f>
        <v xml:space="preserve">          6307 - POSTAGE</v>
      </c>
      <c r="C55" s="10"/>
      <c r="D55" s="6">
        <v>85.68</v>
      </c>
      <c r="E55" s="2"/>
      <c r="F55" s="7">
        <f t="shared" si="16"/>
        <v>0</v>
      </c>
      <c r="G55" s="2"/>
      <c r="H55" s="6">
        <v>46.3</v>
      </c>
      <c r="I55" s="2"/>
      <c r="J55" s="7">
        <f t="shared" si="17"/>
        <v>0</v>
      </c>
      <c r="K55" s="2"/>
      <c r="L55" s="6">
        <f t="shared" si="18"/>
        <v>39.38000000000001</v>
      </c>
      <c r="M55" s="2"/>
      <c r="N55" s="7">
        <f t="shared" si="19"/>
        <v>0.85053995680345595</v>
      </c>
      <c r="O55" s="10"/>
      <c r="P55" s="6">
        <v>1259.97</v>
      </c>
      <c r="Q55" s="2"/>
      <c r="R55" s="7">
        <f t="shared" si="20"/>
        <v>0</v>
      </c>
      <c r="S55" s="2"/>
      <c r="T55" s="6">
        <v>2658.96</v>
      </c>
      <c r="U55" s="2"/>
      <c r="V55" s="7">
        <f t="shared" si="21"/>
        <v>0</v>
      </c>
      <c r="W55" s="2"/>
      <c r="X55" s="6">
        <f t="shared" si="22"/>
        <v>-1398.99</v>
      </c>
      <c r="Y55" s="2"/>
      <c r="Z55" s="7">
        <f t="shared" si="23"/>
        <v>-0.52614179980142617</v>
      </c>
    </row>
    <row r="56" spans="1:26" s="27" customFormat="1" outlineLevel="1" collapsed="1" x14ac:dyDescent="0.25">
      <c r="A56" s="26"/>
      <c r="B56" s="12" t="str">
        <f>CONCATENATE("     ","General                                           ")</f>
        <v xml:space="preserve">     General                                           </v>
      </c>
      <c r="C56" s="12"/>
      <c r="D56" s="1">
        <f>SUM(OSRRefD22_10x_0)</f>
        <v>197.75</v>
      </c>
      <c r="E56" s="1"/>
      <c r="F56" s="5">
        <f t="shared" ref="F56:F64" si="24">IF(D$12=0,0,D56/D$12)</f>
        <v>0</v>
      </c>
      <c r="G56" s="1"/>
      <c r="H56" s="1">
        <f>SUM(OSRRefH22_10x_0)</f>
        <v>-276.68</v>
      </c>
      <c r="I56" s="1"/>
      <c r="J56" s="5">
        <f t="shared" ref="J56:J64" si="25">IF(H$12=0,0,H56/H$12)</f>
        <v>0</v>
      </c>
      <c r="K56" s="1"/>
      <c r="L56" s="1">
        <f t="shared" ref="L56:L64" si="26">+D56-H56</f>
        <v>474.43</v>
      </c>
      <c r="M56" s="1"/>
      <c r="N56" s="5">
        <f t="shared" ref="N56:N64" si="27">IF(H56=0,0,L56/H56)</f>
        <v>-1.7147245915859477</v>
      </c>
      <c r="O56" s="12"/>
      <c r="P56" s="1">
        <f>SUM(OSRRefP22_10x_0)</f>
        <v>577.09</v>
      </c>
      <c r="Q56" s="1"/>
      <c r="R56" s="5">
        <f t="shared" ref="R56:R64" si="28">IF(P$12=0,0,P56/P$12)</f>
        <v>0</v>
      </c>
      <c r="S56" s="1"/>
      <c r="T56" s="1">
        <f>SUM(OSRRefT22_10x_0)</f>
        <v>14318.01</v>
      </c>
      <c r="U56" s="1"/>
      <c r="V56" s="5">
        <f t="shared" ref="V56:V64" si="29">IF(T$12=0,0,T56/T$12)</f>
        <v>0</v>
      </c>
      <c r="W56" s="1"/>
      <c r="X56" s="1">
        <f t="shared" ref="X56:X64" si="30">+P56-T56</f>
        <v>-13740.92</v>
      </c>
      <c r="Y56" s="1"/>
      <c r="Z56" s="5">
        <f t="shared" ref="Z56:Z64" si="31">IF(T56=0,0,X56/T56)</f>
        <v>-0.95969481792511668</v>
      </c>
    </row>
    <row r="57" spans="1:26" s="23" customFormat="1" hidden="1" outlineLevel="2" x14ac:dyDescent="0.25">
      <c r="A57" s="25"/>
      <c r="B57" s="10" t="str">
        <f>CONCATENATE("          ", "6279", " - ", "GENERAL EXPENSE")</f>
        <v xml:space="preserve">          6279 - GENERAL EXPENSE</v>
      </c>
      <c r="C57" s="10"/>
      <c r="D57" s="6">
        <v>197.75</v>
      </c>
      <c r="E57" s="2"/>
      <c r="F57" s="7">
        <f t="shared" si="24"/>
        <v>0</v>
      </c>
      <c r="G57" s="2"/>
      <c r="H57" s="6">
        <v>-276.68</v>
      </c>
      <c r="I57" s="2"/>
      <c r="J57" s="7">
        <f t="shared" si="25"/>
        <v>0</v>
      </c>
      <c r="K57" s="2"/>
      <c r="L57" s="6">
        <f t="shared" si="26"/>
        <v>474.43</v>
      </c>
      <c r="M57" s="2"/>
      <c r="N57" s="7">
        <f t="shared" si="27"/>
        <v>-1.7147245915859477</v>
      </c>
      <c r="O57" s="10"/>
      <c r="P57" s="6">
        <v>577.09</v>
      </c>
      <c r="Q57" s="2"/>
      <c r="R57" s="7">
        <f t="shared" si="28"/>
        <v>0</v>
      </c>
      <c r="S57" s="2"/>
      <c r="T57" s="6">
        <v>14318.01</v>
      </c>
      <c r="U57" s="2"/>
      <c r="V57" s="7">
        <f t="shared" si="29"/>
        <v>0</v>
      </c>
      <c r="W57" s="2"/>
      <c r="X57" s="6">
        <f t="shared" si="30"/>
        <v>-13740.92</v>
      </c>
      <c r="Y57" s="2"/>
      <c r="Z57" s="7">
        <f t="shared" si="31"/>
        <v>-0.95969481792511668</v>
      </c>
    </row>
    <row r="58" spans="1:26" s="27" customFormat="1" outlineLevel="1" collapsed="1" x14ac:dyDescent="0.25">
      <c r="A58" s="26"/>
      <c r="B58" s="12" t="str">
        <f>CONCATENATE("     ","Insurance                                         ")</f>
        <v xml:space="preserve">     Insurance                                         </v>
      </c>
      <c r="C58" s="12"/>
      <c r="D58" s="1">
        <f>SUM(OSRRefD22_11x_0)</f>
        <v>845.16</v>
      </c>
      <c r="E58" s="1"/>
      <c r="F58" s="5">
        <f t="shared" si="24"/>
        <v>0</v>
      </c>
      <c r="G58" s="1"/>
      <c r="H58" s="1">
        <f>SUM(OSRRefH22_11x_0)</f>
        <v>393.67</v>
      </c>
      <c r="I58" s="1"/>
      <c r="J58" s="5">
        <f t="shared" si="25"/>
        <v>0</v>
      </c>
      <c r="K58" s="1"/>
      <c r="L58" s="1">
        <f t="shared" si="26"/>
        <v>451.48999999999995</v>
      </c>
      <c r="M58" s="1"/>
      <c r="N58" s="5">
        <f t="shared" si="27"/>
        <v>1.1468742855691314</v>
      </c>
      <c r="O58" s="12"/>
      <c r="P58" s="1">
        <f>SUM(OSRRefP22_11x_0)</f>
        <v>5175.53</v>
      </c>
      <c r="Q58" s="1"/>
      <c r="R58" s="5">
        <f t="shared" si="28"/>
        <v>0</v>
      </c>
      <c r="S58" s="1"/>
      <c r="T58" s="1">
        <f>SUM(OSRRefT22_11x_0)</f>
        <v>5078.04</v>
      </c>
      <c r="U58" s="1"/>
      <c r="V58" s="5">
        <f t="shared" si="29"/>
        <v>0</v>
      </c>
      <c r="W58" s="1"/>
      <c r="X58" s="1">
        <f t="shared" si="30"/>
        <v>97.489999999999782</v>
      </c>
      <c r="Y58" s="1"/>
      <c r="Z58" s="5">
        <f t="shared" si="31"/>
        <v>1.9198352120109289E-2</v>
      </c>
    </row>
    <row r="59" spans="1:26" s="23" customFormat="1" hidden="1" outlineLevel="2" x14ac:dyDescent="0.25">
      <c r="A59" s="25"/>
      <c r="B59" s="10" t="str">
        <f>CONCATENATE("          ", "6314", " - ", "LIABILITY INSURANCE")</f>
        <v xml:space="preserve">          6314 - LIABILITY INSURANCE</v>
      </c>
      <c r="C59" s="10"/>
      <c r="D59" s="6">
        <v>845.16</v>
      </c>
      <c r="E59" s="2"/>
      <c r="F59" s="7">
        <f t="shared" si="24"/>
        <v>0</v>
      </c>
      <c r="G59" s="2"/>
      <c r="H59" s="6">
        <v>393.67</v>
      </c>
      <c r="I59" s="2"/>
      <c r="J59" s="7">
        <f t="shared" si="25"/>
        <v>0</v>
      </c>
      <c r="K59" s="2"/>
      <c r="L59" s="6">
        <f t="shared" si="26"/>
        <v>451.48999999999995</v>
      </c>
      <c r="M59" s="2"/>
      <c r="N59" s="7">
        <f t="shared" si="27"/>
        <v>1.1468742855691314</v>
      </c>
      <c r="O59" s="10"/>
      <c r="P59" s="6">
        <v>5175.53</v>
      </c>
      <c r="Q59" s="2"/>
      <c r="R59" s="7">
        <f t="shared" si="28"/>
        <v>0</v>
      </c>
      <c r="S59" s="2"/>
      <c r="T59" s="6">
        <v>5078.04</v>
      </c>
      <c r="U59" s="2"/>
      <c r="V59" s="7">
        <f t="shared" si="29"/>
        <v>0</v>
      </c>
      <c r="W59" s="2"/>
      <c r="X59" s="6">
        <f t="shared" si="30"/>
        <v>97.489999999999782</v>
      </c>
      <c r="Y59" s="2"/>
      <c r="Z59" s="7">
        <f t="shared" si="31"/>
        <v>1.9198352120109289E-2</v>
      </c>
    </row>
    <row r="60" spans="1:26" s="27" customFormat="1" outlineLevel="1" collapsed="1" x14ac:dyDescent="0.25">
      <c r="A60" s="26"/>
      <c r="B60" s="12" t="str">
        <f>CONCATENATE("     ","Professional Services                             ")</f>
        <v xml:space="preserve">     Professional Services                             </v>
      </c>
      <c r="C60" s="12"/>
      <c r="D60" s="1">
        <f>SUM(OSRRefD22_12x_0)</f>
        <v>643.47</v>
      </c>
      <c r="E60" s="1"/>
      <c r="F60" s="5">
        <f t="shared" si="24"/>
        <v>0</v>
      </c>
      <c r="G60" s="1"/>
      <c r="H60" s="1">
        <f>SUM(OSRRefH22_12x_0)</f>
        <v>595</v>
      </c>
      <c r="I60" s="1"/>
      <c r="J60" s="5">
        <f t="shared" si="25"/>
        <v>0</v>
      </c>
      <c r="K60" s="1"/>
      <c r="L60" s="1">
        <f t="shared" si="26"/>
        <v>48.470000000000027</v>
      </c>
      <c r="M60" s="1"/>
      <c r="N60" s="5">
        <f t="shared" si="27"/>
        <v>8.1462184873949628E-2</v>
      </c>
      <c r="O60" s="12"/>
      <c r="P60" s="1">
        <f>SUM(OSRRefP22_12x_0)</f>
        <v>108065.59000000001</v>
      </c>
      <c r="Q60" s="1"/>
      <c r="R60" s="5">
        <f t="shared" si="28"/>
        <v>0</v>
      </c>
      <c r="S60" s="1"/>
      <c r="T60" s="1">
        <f>SUM(OSRRefT22_12x_0)</f>
        <v>202586.25999999998</v>
      </c>
      <c r="U60" s="1"/>
      <c r="V60" s="5">
        <f t="shared" si="29"/>
        <v>0</v>
      </c>
      <c r="W60" s="1"/>
      <c r="X60" s="1">
        <f t="shared" si="30"/>
        <v>-94520.669999999969</v>
      </c>
      <c r="Y60" s="1"/>
      <c r="Z60" s="5">
        <f t="shared" si="31"/>
        <v>-0.46656999344378036</v>
      </c>
    </row>
    <row r="61" spans="1:26" s="23" customFormat="1" hidden="1" outlineLevel="2" x14ac:dyDescent="0.25">
      <c r="A61" s="25"/>
      <c r="B61" s="10" t="str">
        <f>CONCATENATE("          ", "6331", " - ", "INDIRECT COSTS-AUXILIARY ORGAN")</f>
        <v xml:space="preserve">          6331 - INDIRECT COSTS-AUXILIARY ORGAN</v>
      </c>
      <c r="C61" s="10"/>
      <c r="D61" s="6"/>
      <c r="E61" s="2"/>
      <c r="F61" s="7">
        <f t="shared" si="24"/>
        <v>0</v>
      </c>
      <c r="G61" s="2"/>
      <c r="H61" s="6"/>
      <c r="I61" s="2"/>
      <c r="J61" s="7">
        <f t="shared" si="25"/>
        <v>0</v>
      </c>
      <c r="K61" s="2"/>
      <c r="L61" s="6">
        <f t="shared" si="26"/>
        <v>0</v>
      </c>
      <c r="M61" s="2"/>
      <c r="N61" s="7">
        <f t="shared" si="27"/>
        <v>0</v>
      </c>
      <c r="O61" s="10"/>
      <c r="P61" s="6">
        <v>92418</v>
      </c>
      <c r="Q61" s="2"/>
      <c r="R61" s="7">
        <f t="shared" si="28"/>
        <v>0</v>
      </c>
      <c r="S61" s="2"/>
      <c r="T61" s="6">
        <v>91723</v>
      </c>
      <c r="U61" s="2"/>
      <c r="V61" s="7">
        <f t="shared" si="29"/>
        <v>0</v>
      </c>
      <c r="W61" s="2"/>
      <c r="X61" s="6">
        <f t="shared" si="30"/>
        <v>695</v>
      </c>
      <c r="Y61" s="2"/>
      <c r="Z61" s="7">
        <f t="shared" si="31"/>
        <v>7.5771616715545722E-3</v>
      </c>
    </row>
    <row r="62" spans="1:26" s="23" customFormat="1" hidden="1" outlineLevel="2" x14ac:dyDescent="0.25">
      <c r="A62" s="25"/>
      <c r="B62" s="10" t="str">
        <f>CONCATENATE("          ", "6332", " - ", "CONSULTANT FEES")</f>
        <v xml:space="preserve">          6332 - CONSULTANT FEES</v>
      </c>
      <c r="C62" s="10"/>
      <c r="D62" s="6"/>
      <c r="E62" s="2"/>
      <c r="F62" s="7">
        <f t="shared" si="24"/>
        <v>0</v>
      </c>
      <c r="G62" s="2"/>
      <c r="H62" s="6"/>
      <c r="I62" s="2"/>
      <c r="J62" s="7">
        <f t="shared" si="25"/>
        <v>0</v>
      </c>
      <c r="K62" s="2"/>
      <c r="L62" s="6">
        <f t="shared" si="26"/>
        <v>0</v>
      </c>
      <c r="M62" s="2"/>
      <c r="N62" s="7">
        <f t="shared" si="27"/>
        <v>0</v>
      </c>
      <c r="O62" s="10"/>
      <c r="P62" s="6"/>
      <c r="Q62" s="2"/>
      <c r="R62" s="7">
        <f t="shared" si="28"/>
        <v>0</v>
      </c>
      <c r="S62" s="2"/>
      <c r="T62" s="6">
        <v>36894.74</v>
      </c>
      <c r="U62" s="2"/>
      <c r="V62" s="7">
        <f t="shared" si="29"/>
        <v>0</v>
      </c>
      <c r="W62" s="2"/>
      <c r="X62" s="6">
        <f t="shared" si="30"/>
        <v>-36894.74</v>
      </c>
      <c r="Y62" s="2"/>
      <c r="Z62" s="7">
        <f t="shared" si="31"/>
        <v>-1</v>
      </c>
    </row>
    <row r="63" spans="1:26" s="23" customFormat="1" hidden="1" outlineLevel="2" x14ac:dyDescent="0.25">
      <c r="A63" s="25"/>
      <c r="B63" s="10" t="str">
        <f>CONCATENATE("          ", "6334", " - ", "LEGAL COUNCIL EXPENSE")</f>
        <v xml:space="preserve">          6334 - LEGAL COUNCIL EXPENSE</v>
      </c>
      <c r="C63" s="10"/>
      <c r="D63" s="6"/>
      <c r="E63" s="2"/>
      <c r="F63" s="7">
        <f t="shared" si="24"/>
        <v>0</v>
      </c>
      <c r="G63" s="2"/>
      <c r="H63" s="6">
        <v>595</v>
      </c>
      <c r="I63" s="2"/>
      <c r="J63" s="7">
        <f t="shared" si="25"/>
        <v>0</v>
      </c>
      <c r="K63" s="2"/>
      <c r="L63" s="6">
        <f t="shared" si="26"/>
        <v>-595</v>
      </c>
      <c r="M63" s="2"/>
      <c r="N63" s="7">
        <f t="shared" si="27"/>
        <v>-1</v>
      </c>
      <c r="O63" s="10"/>
      <c r="P63" s="6">
        <v>6979.24</v>
      </c>
      <c r="Q63" s="2"/>
      <c r="R63" s="7">
        <f t="shared" si="28"/>
        <v>0</v>
      </c>
      <c r="S63" s="2"/>
      <c r="T63" s="6">
        <v>39770</v>
      </c>
      <c r="U63" s="2"/>
      <c r="V63" s="7">
        <f t="shared" si="29"/>
        <v>0</v>
      </c>
      <c r="W63" s="2"/>
      <c r="X63" s="6">
        <f t="shared" si="30"/>
        <v>-32790.76</v>
      </c>
      <c r="Y63" s="2"/>
      <c r="Z63" s="7">
        <f t="shared" si="31"/>
        <v>-0.82450993210963042</v>
      </c>
    </row>
    <row r="64" spans="1:26" s="23" customFormat="1" hidden="1" outlineLevel="2" x14ac:dyDescent="0.25">
      <c r="A64" s="25"/>
      <c r="B64" s="10" t="str">
        <f>CONCATENATE("          ", "6336", " - ", "PROFESSIONAL SERVICES")</f>
        <v xml:space="preserve">          6336 - PROFESSIONAL SERVICES</v>
      </c>
      <c r="C64" s="10"/>
      <c r="D64" s="6">
        <v>643.47</v>
      </c>
      <c r="E64" s="2"/>
      <c r="F64" s="7">
        <f t="shared" si="24"/>
        <v>0</v>
      </c>
      <c r="G64" s="2"/>
      <c r="H64" s="6"/>
      <c r="I64" s="2"/>
      <c r="J64" s="7">
        <f t="shared" si="25"/>
        <v>0</v>
      </c>
      <c r="K64" s="2"/>
      <c r="L64" s="6">
        <f t="shared" si="26"/>
        <v>643.47</v>
      </c>
      <c r="M64" s="2"/>
      <c r="N64" s="7">
        <f t="shared" si="27"/>
        <v>0</v>
      </c>
      <c r="O64" s="10"/>
      <c r="P64" s="6">
        <v>8668.35</v>
      </c>
      <c r="Q64" s="2"/>
      <c r="R64" s="7">
        <f t="shared" si="28"/>
        <v>0</v>
      </c>
      <c r="S64" s="2"/>
      <c r="T64" s="6">
        <v>34198.519999999997</v>
      </c>
      <c r="U64" s="2"/>
      <c r="V64" s="7">
        <f t="shared" si="29"/>
        <v>0</v>
      </c>
      <c r="W64" s="2"/>
      <c r="X64" s="6">
        <f t="shared" si="30"/>
        <v>-25530.17</v>
      </c>
      <c r="Y64" s="2"/>
      <c r="Z64" s="7">
        <f t="shared" si="31"/>
        <v>-0.74652850474231047</v>
      </c>
    </row>
    <row r="65" spans="1:26" s="27" customFormat="1" outlineLevel="1" collapsed="1" x14ac:dyDescent="0.25">
      <c r="A65" s="26"/>
      <c r="B65" s="12" t="str">
        <f>CONCATENATE("     ","Repair and Maintenance                            ")</f>
        <v xml:space="preserve">     Repair and Maintenance                            </v>
      </c>
      <c r="C65" s="12"/>
      <c r="D65" s="1">
        <f>SUM(OSRRefD22_13x_0)</f>
        <v>21679.37</v>
      </c>
      <c r="E65" s="1"/>
      <c r="F65" s="5">
        <f t="shared" ref="F65:F68" si="32">IF(D$12=0,0,D65/D$12)</f>
        <v>0</v>
      </c>
      <c r="G65" s="1"/>
      <c r="H65" s="1">
        <f>SUM(OSRRefH22_13x_0)</f>
        <v>15511.72</v>
      </c>
      <c r="I65" s="1"/>
      <c r="J65" s="5">
        <f t="shared" ref="J65:J68" si="33">IF(H$12=0,0,H65/H$12)</f>
        <v>0</v>
      </c>
      <c r="K65" s="1"/>
      <c r="L65" s="1">
        <f t="shared" ref="L65:L68" si="34">+D65-H65</f>
        <v>6167.65</v>
      </c>
      <c r="M65" s="1"/>
      <c r="N65" s="5">
        <f t="shared" ref="N65:N68" si="35">IF(H65=0,0,L65/H65)</f>
        <v>0.39761225705466574</v>
      </c>
      <c r="O65" s="12"/>
      <c r="P65" s="1">
        <f>SUM(OSRRefP22_13x_0)</f>
        <v>286993.28999999998</v>
      </c>
      <c r="Q65" s="1"/>
      <c r="R65" s="5">
        <f t="shared" ref="R65:R68" si="36">IF(P$12=0,0,P65/P$12)</f>
        <v>0</v>
      </c>
      <c r="S65" s="1"/>
      <c r="T65" s="1">
        <f>SUM(OSRRefT22_13x_0)</f>
        <v>354241.67000000004</v>
      </c>
      <c r="U65" s="1"/>
      <c r="V65" s="5">
        <f t="shared" ref="V65:V68" si="37">IF(T$12=0,0,T65/T$12)</f>
        <v>0</v>
      </c>
      <c r="W65" s="1"/>
      <c r="X65" s="1">
        <f t="shared" ref="X65:X68" si="38">+P65-T65</f>
        <v>-67248.380000000063</v>
      </c>
      <c r="Y65" s="1"/>
      <c r="Z65" s="5">
        <f t="shared" ref="Z65:Z68" si="39">IF(T65=0,0,X65/T65)</f>
        <v>-0.18983757613834662</v>
      </c>
    </row>
    <row r="66" spans="1:26" s="23" customFormat="1" hidden="1" outlineLevel="2" x14ac:dyDescent="0.25">
      <c r="A66" s="25"/>
      <c r="B66" s="10" t="str">
        <f>CONCATENATE("          ", "6371", " - ", "COMPUTER SOFTWARE MAINTENANCE")</f>
        <v xml:space="preserve">          6371 - COMPUTER SOFTWARE MAINTENANCE</v>
      </c>
      <c r="C66" s="10"/>
      <c r="D66" s="6">
        <v>6281.98</v>
      </c>
      <c r="E66" s="2"/>
      <c r="F66" s="7">
        <f t="shared" si="32"/>
        <v>0</v>
      </c>
      <c r="G66" s="2"/>
      <c r="H66" s="6">
        <v>5190.34</v>
      </c>
      <c r="I66" s="2"/>
      <c r="J66" s="7">
        <f t="shared" si="33"/>
        <v>0</v>
      </c>
      <c r="K66" s="2"/>
      <c r="L66" s="6">
        <f t="shared" si="34"/>
        <v>1091.6399999999994</v>
      </c>
      <c r="M66" s="2"/>
      <c r="N66" s="7">
        <f t="shared" si="35"/>
        <v>0.21032148182970661</v>
      </c>
      <c r="O66" s="10"/>
      <c r="P66" s="6">
        <v>99100.72</v>
      </c>
      <c r="Q66" s="2"/>
      <c r="R66" s="7">
        <f t="shared" si="36"/>
        <v>0</v>
      </c>
      <c r="S66" s="2"/>
      <c r="T66" s="6">
        <v>183745.69</v>
      </c>
      <c r="U66" s="2"/>
      <c r="V66" s="7">
        <f t="shared" si="37"/>
        <v>0</v>
      </c>
      <c r="W66" s="2"/>
      <c r="X66" s="6">
        <f t="shared" si="38"/>
        <v>-84644.97</v>
      </c>
      <c r="Y66" s="2"/>
      <c r="Z66" s="7">
        <f t="shared" si="39"/>
        <v>-0.46066370318672512</v>
      </c>
    </row>
    <row r="67" spans="1:26" s="23" customFormat="1" hidden="1" outlineLevel="2" x14ac:dyDescent="0.25">
      <c r="A67" s="25"/>
      <c r="B67" s="10" t="str">
        <f>CONCATENATE("          ", "6373", " - ", "MAINTENANCE CONTRACTS")</f>
        <v xml:space="preserve">          6373 - MAINTENANCE CONTRACTS</v>
      </c>
      <c r="C67" s="10"/>
      <c r="D67" s="6">
        <v>15312.39</v>
      </c>
      <c r="E67" s="2"/>
      <c r="F67" s="7">
        <f t="shared" si="32"/>
        <v>0</v>
      </c>
      <c r="G67" s="2"/>
      <c r="H67" s="6">
        <v>10299.549999999999</v>
      </c>
      <c r="I67" s="2"/>
      <c r="J67" s="7">
        <f t="shared" si="33"/>
        <v>0</v>
      </c>
      <c r="K67" s="2"/>
      <c r="L67" s="6">
        <f t="shared" si="34"/>
        <v>5012.84</v>
      </c>
      <c r="M67" s="2"/>
      <c r="N67" s="7">
        <f t="shared" si="35"/>
        <v>0.48670475894577925</v>
      </c>
      <c r="O67" s="10"/>
      <c r="P67" s="6">
        <v>185460.14</v>
      </c>
      <c r="Q67" s="2"/>
      <c r="R67" s="7">
        <f t="shared" si="36"/>
        <v>0</v>
      </c>
      <c r="S67" s="2"/>
      <c r="T67" s="6">
        <v>166846.89000000001</v>
      </c>
      <c r="U67" s="2"/>
      <c r="V67" s="7">
        <f t="shared" si="37"/>
        <v>0</v>
      </c>
      <c r="W67" s="2"/>
      <c r="X67" s="6">
        <f t="shared" si="38"/>
        <v>18613.25</v>
      </c>
      <c r="Y67" s="2"/>
      <c r="Z67" s="7">
        <f t="shared" si="39"/>
        <v>0.11155886693482868</v>
      </c>
    </row>
    <row r="68" spans="1:26" s="23" customFormat="1" hidden="1" outlineLevel="2" x14ac:dyDescent="0.25">
      <c r="A68" s="25"/>
      <c r="B68" s="10" t="str">
        <f>CONCATENATE("          ", "6375", " - ", "OUTSIDE REPAIRS &amp; MAINTENANCE")</f>
        <v xml:space="preserve">          6375 - OUTSIDE REPAIRS &amp; MAINTENANCE</v>
      </c>
      <c r="C68" s="10"/>
      <c r="D68" s="6">
        <v>85</v>
      </c>
      <c r="E68" s="2"/>
      <c r="F68" s="7">
        <f t="shared" si="32"/>
        <v>0</v>
      </c>
      <c r="G68" s="2"/>
      <c r="H68" s="6">
        <v>21.83</v>
      </c>
      <c r="I68" s="2"/>
      <c r="J68" s="7">
        <f t="shared" si="33"/>
        <v>0</v>
      </c>
      <c r="K68" s="2"/>
      <c r="L68" s="6">
        <f t="shared" si="34"/>
        <v>63.17</v>
      </c>
      <c r="M68" s="2"/>
      <c r="N68" s="7">
        <f t="shared" si="35"/>
        <v>2.8937242327072838</v>
      </c>
      <c r="O68" s="10"/>
      <c r="P68" s="6">
        <v>2432.4299999999998</v>
      </c>
      <c r="Q68" s="2"/>
      <c r="R68" s="7">
        <f t="shared" si="36"/>
        <v>0</v>
      </c>
      <c r="S68" s="2"/>
      <c r="T68" s="6">
        <v>3649.09</v>
      </c>
      <c r="U68" s="2"/>
      <c r="V68" s="7">
        <f t="shared" si="37"/>
        <v>0</v>
      </c>
      <c r="W68" s="2"/>
      <c r="X68" s="6">
        <f t="shared" si="38"/>
        <v>-1216.6600000000003</v>
      </c>
      <c r="Y68" s="2"/>
      <c r="Z68" s="7">
        <f t="shared" si="39"/>
        <v>-0.33341463214116401</v>
      </c>
    </row>
    <row r="69" spans="1:26" s="27" customFormat="1" outlineLevel="1" collapsed="1" x14ac:dyDescent="0.25">
      <c r="A69" s="26"/>
      <c r="B69" s="12" t="str">
        <f>CONCATENATE("     ","Services                                          ")</f>
        <v xml:space="preserve">     Services                                          </v>
      </c>
      <c r="C69" s="12"/>
      <c r="D69" s="1">
        <f>SUM(OSRRefD22_14x_0)</f>
        <v>1242.68</v>
      </c>
      <c r="E69" s="1"/>
      <c r="F69" s="5">
        <f t="shared" ref="F69:F71" si="40">IF(D$12=0,0,D69/D$12)</f>
        <v>0</v>
      </c>
      <c r="G69" s="1"/>
      <c r="H69" s="1">
        <f>SUM(OSRRefH22_14x_0)</f>
        <v>0</v>
      </c>
      <c r="I69" s="1"/>
      <c r="J69" s="5">
        <f t="shared" ref="J69:J71" si="41">IF(H$12=0,0,H69/H$12)</f>
        <v>0</v>
      </c>
      <c r="K69" s="1"/>
      <c r="L69" s="1">
        <f t="shared" ref="L69:L71" si="42">+D69-H69</f>
        <v>1242.68</v>
      </c>
      <c r="M69" s="1"/>
      <c r="N69" s="5">
        <f t="shared" ref="N69:N71" si="43">IF(H69=0,0,L69/H69)</f>
        <v>0</v>
      </c>
      <c r="O69" s="12"/>
      <c r="P69" s="1">
        <f>SUM(OSRRefP22_14x_0)</f>
        <v>7444.36</v>
      </c>
      <c r="Q69" s="1"/>
      <c r="R69" s="5">
        <f t="shared" ref="R69:R71" si="44">IF(P$12=0,0,P69/P$12)</f>
        <v>0</v>
      </c>
      <c r="S69" s="1"/>
      <c r="T69" s="1">
        <f>SUM(OSRRefT22_14x_0)</f>
        <v>11051.39</v>
      </c>
      <c r="U69" s="1"/>
      <c r="V69" s="5">
        <f t="shared" ref="V69:V71" si="45">IF(T$12=0,0,T69/T$12)</f>
        <v>0</v>
      </c>
      <c r="W69" s="1"/>
      <c r="X69" s="1">
        <f t="shared" ref="X69:X71" si="46">+P69-T69</f>
        <v>-3607.0299999999997</v>
      </c>
      <c r="Y69" s="1"/>
      <c r="Z69" s="5">
        <f t="shared" ref="Z69:Z71" si="47">IF(T69=0,0,X69/T69)</f>
        <v>-0.3263869974727161</v>
      </c>
    </row>
    <row r="70" spans="1:26" s="23" customFormat="1" hidden="1" outlineLevel="2" x14ac:dyDescent="0.25">
      <c r="A70" s="25"/>
      <c r="B70" s="10" t="str">
        <f>CONCATENATE("          ", "6281", " - ", "STORAGE FEE")</f>
        <v xml:space="preserve">          6281 - STORAGE FEE</v>
      </c>
      <c r="C70" s="10"/>
      <c r="D70" s="6">
        <v>1242.68</v>
      </c>
      <c r="E70" s="2"/>
      <c r="F70" s="7">
        <f t="shared" si="40"/>
        <v>0</v>
      </c>
      <c r="G70" s="2"/>
      <c r="H70" s="6"/>
      <c r="I70" s="2"/>
      <c r="J70" s="7">
        <f t="shared" si="41"/>
        <v>0</v>
      </c>
      <c r="K70" s="2"/>
      <c r="L70" s="6">
        <f t="shared" si="42"/>
        <v>1242.68</v>
      </c>
      <c r="M70" s="2"/>
      <c r="N70" s="7">
        <f t="shared" si="43"/>
        <v>0</v>
      </c>
      <c r="O70" s="10"/>
      <c r="P70" s="6">
        <v>7444.36</v>
      </c>
      <c r="Q70" s="2"/>
      <c r="R70" s="7">
        <f t="shared" si="44"/>
        <v>0</v>
      </c>
      <c r="S70" s="2"/>
      <c r="T70" s="6">
        <v>10967.41</v>
      </c>
      <c r="U70" s="2"/>
      <c r="V70" s="7">
        <f t="shared" si="45"/>
        <v>0</v>
      </c>
      <c r="W70" s="2"/>
      <c r="X70" s="6">
        <f t="shared" si="46"/>
        <v>-3523.05</v>
      </c>
      <c r="Y70" s="2"/>
      <c r="Z70" s="7">
        <f t="shared" si="47"/>
        <v>-0.32122898660668292</v>
      </c>
    </row>
    <row r="71" spans="1:26" s="23" customFormat="1" hidden="1" outlineLevel="2" x14ac:dyDescent="0.25">
      <c r="A71" s="25"/>
      <c r="B71" s="10" t="str">
        <f>CONCATENATE("          ", "6286", " - ", "LAUNDRY EXPENSE")</f>
        <v xml:space="preserve">          6286 - LAUNDRY EXPENSE</v>
      </c>
      <c r="C71" s="10"/>
      <c r="D71" s="6"/>
      <c r="E71" s="2"/>
      <c r="F71" s="7">
        <f t="shared" si="40"/>
        <v>0</v>
      </c>
      <c r="G71" s="2"/>
      <c r="H71" s="6"/>
      <c r="I71" s="2"/>
      <c r="J71" s="7">
        <f t="shared" si="41"/>
        <v>0</v>
      </c>
      <c r="K71" s="2"/>
      <c r="L71" s="6">
        <f t="shared" si="42"/>
        <v>0</v>
      </c>
      <c r="M71" s="2"/>
      <c r="N71" s="7">
        <f t="shared" si="43"/>
        <v>0</v>
      </c>
      <c r="O71" s="10"/>
      <c r="P71" s="6"/>
      <c r="Q71" s="2"/>
      <c r="R71" s="7">
        <f t="shared" si="44"/>
        <v>0</v>
      </c>
      <c r="S71" s="2"/>
      <c r="T71" s="6">
        <v>83.98</v>
      </c>
      <c r="U71" s="2"/>
      <c r="V71" s="7">
        <f t="shared" si="45"/>
        <v>0</v>
      </c>
      <c r="W71" s="2"/>
      <c r="X71" s="6">
        <f t="shared" si="46"/>
        <v>-83.98</v>
      </c>
      <c r="Y71" s="2"/>
      <c r="Z71" s="7">
        <f t="shared" si="47"/>
        <v>-1</v>
      </c>
    </row>
    <row r="72" spans="1:26" s="27" customFormat="1" outlineLevel="1" collapsed="1" x14ac:dyDescent="0.25">
      <c r="A72" s="26"/>
      <c r="B72" s="12" t="str">
        <f>CONCATENATE("     ","Subscriptions &amp; Dues                              ")</f>
        <v xml:space="preserve">     Subscriptions &amp; Dues                              </v>
      </c>
      <c r="C72" s="12"/>
      <c r="D72" s="1">
        <f>SUM(OSRRefD22_15x_0)</f>
        <v>0</v>
      </c>
      <c r="E72" s="1"/>
      <c r="F72" s="5">
        <f t="shared" ref="F72:F80" si="48">IF(D$12=0,0,D72/D$12)</f>
        <v>0</v>
      </c>
      <c r="G72" s="1"/>
      <c r="H72" s="1">
        <f>SUM(OSRRefH22_15x_0)</f>
        <v>-775</v>
      </c>
      <c r="I72" s="1"/>
      <c r="J72" s="5">
        <f t="shared" ref="J72:J80" si="49">IF(H$12=0,0,H72/H$12)</f>
        <v>0</v>
      </c>
      <c r="K72" s="1"/>
      <c r="L72" s="1">
        <f t="shared" ref="L72:L80" si="50">+D72-H72</f>
        <v>775</v>
      </c>
      <c r="M72" s="1"/>
      <c r="N72" s="5">
        <f t="shared" ref="N72:N80" si="51">IF(H72=0,0,L72/H72)</f>
        <v>-1</v>
      </c>
      <c r="O72" s="12"/>
      <c r="P72" s="1">
        <f>SUM(OSRRefP22_15x_0)</f>
        <v>10122.99</v>
      </c>
      <c r="Q72" s="1"/>
      <c r="R72" s="5">
        <f t="shared" ref="R72:R80" si="52">IF(P$12=0,0,P72/P$12)</f>
        <v>0</v>
      </c>
      <c r="S72" s="1"/>
      <c r="T72" s="1">
        <f>SUM(OSRRefT22_15x_0)</f>
        <v>7864</v>
      </c>
      <c r="U72" s="1"/>
      <c r="V72" s="5">
        <f t="shared" ref="V72:V80" si="53">IF(T$12=0,0,T72/T$12)</f>
        <v>0</v>
      </c>
      <c r="W72" s="1"/>
      <c r="X72" s="1">
        <f t="shared" ref="X72:X80" si="54">+P72-T72</f>
        <v>2258.9899999999998</v>
      </c>
      <c r="Y72" s="1"/>
      <c r="Z72" s="5">
        <f t="shared" ref="Z72:Z80" si="55">IF(T72=0,0,X72/T72)</f>
        <v>0.28725712105798573</v>
      </c>
    </row>
    <row r="73" spans="1:26" s="23" customFormat="1" hidden="1" outlineLevel="2" x14ac:dyDescent="0.25">
      <c r="A73" s="25"/>
      <c r="B73" s="10" t="str">
        <f>CONCATENATE("          ", "6258", " - ", "MEMBERSHIP DUES")</f>
        <v xml:space="preserve">          6258 - MEMBERSHIP DUES</v>
      </c>
      <c r="C73" s="10"/>
      <c r="D73" s="6"/>
      <c r="E73" s="2"/>
      <c r="F73" s="7">
        <f t="shared" si="48"/>
        <v>0</v>
      </c>
      <c r="G73" s="2"/>
      <c r="H73" s="6">
        <v>-775</v>
      </c>
      <c r="I73" s="2"/>
      <c r="J73" s="7">
        <f t="shared" si="49"/>
        <v>0</v>
      </c>
      <c r="K73" s="2"/>
      <c r="L73" s="6">
        <f t="shared" si="50"/>
        <v>775</v>
      </c>
      <c r="M73" s="2"/>
      <c r="N73" s="7">
        <f t="shared" si="51"/>
        <v>-1</v>
      </c>
      <c r="O73" s="10"/>
      <c r="P73" s="6">
        <v>10122.99</v>
      </c>
      <c r="Q73" s="2"/>
      <c r="R73" s="7">
        <f t="shared" si="52"/>
        <v>0</v>
      </c>
      <c r="S73" s="2"/>
      <c r="T73" s="6">
        <v>7864</v>
      </c>
      <c r="U73" s="2"/>
      <c r="V73" s="7">
        <f t="shared" si="53"/>
        <v>0</v>
      </c>
      <c r="W73" s="2"/>
      <c r="X73" s="6">
        <f t="shared" si="54"/>
        <v>2258.9899999999998</v>
      </c>
      <c r="Y73" s="2"/>
      <c r="Z73" s="7">
        <f t="shared" si="55"/>
        <v>0.28725712105798573</v>
      </c>
    </row>
    <row r="74" spans="1:26" s="27" customFormat="1" outlineLevel="1" collapsed="1" x14ac:dyDescent="0.25">
      <c r="A74" s="26"/>
      <c r="B74" s="12" t="str">
        <f>CONCATENATE("     ","Supplies                                          ")</f>
        <v xml:space="preserve">     Supplies                                          </v>
      </c>
      <c r="C74" s="12"/>
      <c r="D74" s="1">
        <f>SUM(OSRRefD22_16x_0)</f>
        <v>17831.96</v>
      </c>
      <c r="E74" s="1"/>
      <c r="F74" s="5">
        <f t="shared" si="48"/>
        <v>0</v>
      </c>
      <c r="G74" s="1"/>
      <c r="H74" s="1">
        <f>SUM(OSRRefH22_16x_0)</f>
        <v>2591.77</v>
      </c>
      <c r="I74" s="1"/>
      <c r="J74" s="5">
        <f t="shared" si="49"/>
        <v>0</v>
      </c>
      <c r="K74" s="1"/>
      <c r="L74" s="1">
        <f t="shared" si="50"/>
        <v>15240.189999999999</v>
      </c>
      <c r="M74" s="1"/>
      <c r="N74" s="5">
        <f t="shared" si="51"/>
        <v>5.880224711297684</v>
      </c>
      <c r="O74" s="12"/>
      <c r="P74" s="1">
        <f>SUM(OSRRefP22_16x_0)</f>
        <v>26772.219999999998</v>
      </c>
      <c r="Q74" s="1"/>
      <c r="R74" s="5">
        <f t="shared" si="52"/>
        <v>0</v>
      </c>
      <c r="S74" s="1"/>
      <c r="T74" s="1">
        <f>SUM(OSRRefT22_16x_0)</f>
        <v>65426.86</v>
      </c>
      <c r="U74" s="1"/>
      <c r="V74" s="5">
        <f t="shared" si="53"/>
        <v>0</v>
      </c>
      <c r="W74" s="1"/>
      <c r="X74" s="1">
        <f t="shared" si="54"/>
        <v>-38654.639999999999</v>
      </c>
      <c r="Y74" s="1"/>
      <c r="Z74" s="5">
        <f t="shared" si="55"/>
        <v>-0.5908068949052423</v>
      </c>
    </row>
    <row r="75" spans="1:26" s="23" customFormat="1" hidden="1" outlineLevel="2" x14ac:dyDescent="0.25">
      <c r="A75" s="25"/>
      <c r="B75" s="10" t="str">
        <f>CONCATENATE("          ", "6234", " - ", "EXPENDABLE SUPPLIES &amp; EQUIPMEN")</f>
        <v xml:space="preserve">          6234 - EXPENDABLE SUPPLIES &amp; EQUIPMEN</v>
      </c>
      <c r="C75" s="10"/>
      <c r="D75" s="6"/>
      <c r="E75" s="2"/>
      <c r="F75" s="7">
        <f t="shared" si="48"/>
        <v>0</v>
      </c>
      <c r="G75" s="2"/>
      <c r="H75" s="6"/>
      <c r="I75" s="2"/>
      <c r="J75" s="7">
        <f t="shared" si="49"/>
        <v>0</v>
      </c>
      <c r="K75" s="2"/>
      <c r="L75" s="6">
        <f t="shared" si="50"/>
        <v>0</v>
      </c>
      <c r="M75" s="2"/>
      <c r="N75" s="7">
        <f t="shared" si="51"/>
        <v>0</v>
      </c>
      <c r="O75" s="10"/>
      <c r="P75" s="6"/>
      <c r="Q75" s="2"/>
      <c r="R75" s="7">
        <f t="shared" si="52"/>
        <v>0</v>
      </c>
      <c r="S75" s="2"/>
      <c r="T75" s="6">
        <v>1223.6099999999999</v>
      </c>
      <c r="U75" s="2"/>
      <c r="V75" s="7">
        <f t="shared" si="53"/>
        <v>0</v>
      </c>
      <c r="W75" s="2"/>
      <c r="X75" s="6">
        <f t="shared" si="54"/>
        <v>-1223.6099999999999</v>
      </c>
      <c r="Y75" s="2"/>
      <c r="Z75" s="7">
        <f t="shared" si="55"/>
        <v>-1</v>
      </c>
    </row>
    <row r="76" spans="1:26" s="23" customFormat="1" hidden="1" outlineLevel="2" x14ac:dyDescent="0.25">
      <c r="A76" s="25"/>
      <c r="B76" s="10" t="str">
        <f>CONCATENATE("          ", "6235", " - ", "COVID-19 EXPENSES")</f>
        <v xml:space="preserve">          6235 - COVID-19 EXPENSES</v>
      </c>
      <c r="C76" s="10"/>
      <c r="D76" s="6"/>
      <c r="E76" s="2"/>
      <c r="F76" s="7">
        <f t="shared" si="48"/>
        <v>0</v>
      </c>
      <c r="G76" s="2"/>
      <c r="H76" s="6">
        <v>1330.84</v>
      </c>
      <c r="I76" s="2"/>
      <c r="J76" s="7">
        <f t="shared" si="49"/>
        <v>0</v>
      </c>
      <c r="K76" s="2"/>
      <c r="L76" s="6">
        <f t="shared" si="50"/>
        <v>-1330.84</v>
      </c>
      <c r="M76" s="2"/>
      <c r="N76" s="7">
        <f t="shared" si="51"/>
        <v>-1</v>
      </c>
      <c r="O76" s="10"/>
      <c r="P76" s="6">
        <v>810.3</v>
      </c>
      <c r="Q76" s="2"/>
      <c r="R76" s="7">
        <f t="shared" si="52"/>
        <v>0</v>
      </c>
      <c r="S76" s="2"/>
      <c r="T76" s="6">
        <v>6770.84</v>
      </c>
      <c r="U76" s="2"/>
      <c r="V76" s="7">
        <f t="shared" si="53"/>
        <v>0</v>
      </c>
      <c r="W76" s="2"/>
      <c r="X76" s="6">
        <f t="shared" si="54"/>
        <v>-5960.54</v>
      </c>
      <c r="Y76" s="2"/>
      <c r="Z76" s="7">
        <f t="shared" si="55"/>
        <v>-0.88032504091072894</v>
      </c>
    </row>
    <row r="77" spans="1:26" s="23" customFormat="1" hidden="1" outlineLevel="2" x14ac:dyDescent="0.25">
      <c r="A77" s="25"/>
      <c r="B77" s="10" t="str">
        <f>CONCATENATE("          ", "6241", " - ", "OFFICE EXPENSE")</f>
        <v xml:space="preserve">          6241 - OFFICE EXPENSE</v>
      </c>
      <c r="C77" s="10"/>
      <c r="D77" s="6">
        <v>1289.96</v>
      </c>
      <c r="E77" s="2"/>
      <c r="F77" s="7">
        <f t="shared" si="48"/>
        <v>0</v>
      </c>
      <c r="G77" s="2"/>
      <c r="H77" s="6">
        <v>1260.93</v>
      </c>
      <c r="I77" s="2"/>
      <c r="J77" s="7">
        <f t="shared" si="49"/>
        <v>0</v>
      </c>
      <c r="K77" s="2"/>
      <c r="L77" s="6">
        <f t="shared" si="50"/>
        <v>29.029999999999973</v>
      </c>
      <c r="M77" s="2"/>
      <c r="N77" s="7">
        <f t="shared" si="51"/>
        <v>2.3022689602119048E-2</v>
      </c>
      <c r="O77" s="10"/>
      <c r="P77" s="6">
        <v>9197.2099999999991</v>
      </c>
      <c r="Q77" s="2"/>
      <c r="R77" s="7">
        <f t="shared" si="52"/>
        <v>0</v>
      </c>
      <c r="S77" s="2"/>
      <c r="T77" s="6">
        <v>52152.87</v>
      </c>
      <c r="U77" s="2"/>
      <c r="V77" s="7">
        <f t="shared" si="53"/>
        <v>0</v>
      </c>
      <c r="W77" s="2"/>
      <c r="X77" s="6">
        <f t="shared" si="54"/>
        <v>-42955.66</v>
      </c>
      <c r="Y77" s="2"/>
      <c r="Z77" s="7">
        <f t="shared" si="55"/>
        <v>-0.82364901490560349</v>
      </c>
    </row>
    <row r="78" spans="1:26" s="23" customFormat="1" hidden="1" outlineLevel="2" x14ac:dyDescent="0.25">
      <c r="A78" s="25"/>
      <c r="B78" s="10" t="str">
        <f>CONCATENATE("          ", "6244", " - ", "SAFETY SUPPLY EXPENSE")</f>
        <v xml:space="preserve">          6244 - SAFETY SUPPLY EXPENSE</v>
      </c>
      <c r="C78" s="10"/>
      <c r="D78" s="6">
        <v>125</v>
      </c>
      <c r="E78" s="2"/>
      <c r="F78" s="7">
        <f t="shared" si="48"/>
        <v>0</v>
      </c>
      <c r="G78" s="2"/>
      <c r="H78" s="6"/>
      <c r="I78" s="2"/>
      <c r="J78" s="7">
        <f t="shared" si="49"/>
        <v>0</v>
      </c>
      <c r="K78" s="2"/>
      <c r="L78" s="6">
        <f t="shared" si="50"/>
        <v>125</v>
      </c>
      <c r="M78" s="2"/>
      <c r="N78" s="7">
        <f t="shared" si="51"/>
        <v>0</v>
      </c>
      <c r="O78" s="10"/>
      <c r="P78" s="6">
        <v>347.71</v>
      </c>
      <c r="Q78" s="2"/>
      <c r="R78" s="7">
        <f t="shared" si="52"/>
        <v>0</v>
      </c>
      <c r="S78" s="2"/>
      <c r="T78" s="6">
        <v>2034.69</v>
      </c>
      <c r="U78" s="2"/>
      <c r="V78" s="7">
        <f t="shared" si="53"/>
        <v>0</v>
      </c>
      <c r="W78" s="2"/>
      <c r="X78" s="6">
        <f t="shared" si="54"/>
        <v>-1686.98</v>
      </c>
      <c r="Y78" s="2"/>
      <c r="Z78" s="7">
        <f t="shared" si="55"/>
        <v>-0.82910910261514037</v>
      </c>
    </row>
    <row r="79" spans="1:26" s="23" customFormat="1" hidden="1" outlineLevel="2" x14ac:dyDescent="0.25">
      <c r="A79" s="25"/>
      <c r="B79" s="10" t="str">
        <f>CONCATENATE("          ", "6245", " - ", "PRINTING")</f>
        <v xml:space="preserve">          6245 - PRINTING</v>
      </c>
      <c r="C79" s="10"/>
      <c r="D79" s="6"/>
      <c r="E79" s="2"/>
      <c r="F79" s="7">
        <f t="shared" si="48"/>
        <v>0</v>
      </c>
      <c r="G79" s="2"/>
      <c r="H79" s="6"/>
      <c r="I79" s="2"/>
      <c r="J79" s="7">
        <f t="shared" si="49"/>
        <v>0</v>
      </c>
      <c r="K79" s="2"/>
      <c r="L79" s="6">
        <f t="shared" si="50"/>
        <v>0</v>
      </c>
      <c r="M79" s="2"/>
      <c r="N79" s="7">
        <f t="shared" si="51"/>
        <v>0</v>
      </c>
      <c r="O79" s="10"/>
      <c r="P79" s="6"/>
      <c r="Q79" s="2"/>
      <c r="R79" s="7">
        <f t="shared" si="52"/>
        <v>0</v>
      </c>
      <c r="S79" s="2"/>
      <c r="T79" s="6">
        <v>3244.85</v>
      </c>
      <c r="U79" s="2"/>
      <c r="V79" s="7">
        <f t="shared" si="53"/>
        <v>0</v>
      </c>
      <c r="W79" s="2"/>
      <c r="X79" s="6">
        <f t="shared" si="54"/>
        <v>-3244.85</v>
      </c>
      <c r="Y79" s="2"/>
      <c r="Z79" s="7">
        <f t="shared" si="55"/>
        <v>-1</v>
      </c>
    </row>
    <row r="80" spans="1:26" s="23" customFormat="1" hidden="1" outlineLevel="2" x14ac:dyDescent="0.25">
      <c r="A80" s="25"/>
      <c r="B80" s="10" t="str">
        <f>CONCATENATE("          ", "6248", " - ", "UNIFORMS")</f>
        <v xml:space="preserve">          6248 - UNIFORMS</v>
      </c>
      <c r="C80" s="10"/>
      <c r="D80" s="6">
        <v>16417</v>
      </c>
      <c r="E80" s="2"/>
      <c r="F80" s="7">
        <f t="shared" si="48"/>
        <v>0</v>
      </c>
      <c r="G80" s="2"/>
      <c r="H80" s="6"/>
      <c r="I80" s="2"/>
      <c r="J80" s="7">
        <f t="shared" si="49"/>
        <v>0</v>
      </c>
      <c r="K80" s="2"/>
      <c r="L80" s="6">
        <f t="shared" si="50"/>
        <v>16417</v>
      </c>
      <c r="M80" s="2"/>
      <c r="N80" s="7">
        <f t="shared" si="51"/>
        <v>0</v>
      </c>
      <c r="O80" s="10"/>
      <c r="P80" s="6">
        <v>16417</v>
      </c>
      <c r="Q80" s="2"/>
      <c r="R80" s="7">
        <f t="shared" si="52"/>
        <v>0</v>
      </c>
      <c r="S80" s="2"/>
      <c r="T80" s="6"/>
      <c r="U80" s="2"/>
      <c r="V80" s="7">
        <f t="shared" si="53"/>
        <v>0</v>
      </c>
      <c r="W80" s="2"/>
      <c r="X80" s="6">
        <f t="shared" si="54"/>
        <v>16417</v>
      </c>
      <c r="Y80" s="2"/>
      <c r="Z80" s="7">
        <f t="shared" si="55"/>
        <v>0</v>
      </c>
    </row>
    <row r="81" spans="1:26" s="27" customFormat="1" outlineLevel="1" collapsed="1" x14ac:dyDescent="0.25">
      <c r="A81" s="26"/>
      <c r="B81" s="12" t="str">
        <f>CONCATENATE("     ","Telephone/Data Lines                              ")</f>
        <v xml:space="preserve">     Telephone/Data Lines                              </v>
      </c>
      <c r="C81" s="12"/>
      <c r="D81" s="1">
        <f>SUM(OSRRefD22_17x_0)</f>
        <v>2945.9399999999996</v>
      </c>
      <c r="E81" s="1"/>
      <c r="F81" s="5">
        <f t="shared" ref="F81:F83" si="56">IF(D$12=0,0,D81/D$12)</f>
        <v>0</v>
      </c>
      <c r="G81" s="1"/>
      <c r="H81" s="1">
        <f>SUM(OSRRefH22_17x_0)</f>
        <v>1856.84</v>
      </c>
      <c r="I81" s="1"/>
      <c r="J81" s="5">
        <f t="shared" ref="J81:J83" si="57">IF(H$12=0,0,H81/H$12)</f>
        <v>0</v>
      </c>
      <c r="K81" s="1"/>
      <c r="L81" s="1">
        <f t="shared" ref="L81:L83" si="58">+D81-H81</f>
        <v>1089.0999999999997</v>
      </c>
      <c r="M81" s="1"/>
      <c r="N81" s="5">
        <f t="shared" ref="N81:N83" si="59">IF(H81=0,0,L81/H81)</f>
        <v>0.5865341117166798</v>
      </c>
      <c r="O81" s="12"/>
      <c r="P81" s="1">
        <f>SUM(OSRRefP22_17x_0)</f>
        <v>25128.5</v>
      </c>
      <c r="Q81" s="1"/>
      <c r="R81" s="5">
        <f t="shared" ref="R81:R83" si="60">IF(P$12=0,0,P81/P$12)</f>
        <v>0</v>
      </c>
      <c r="S81" s="1"/>
      <c r="T81" s="1">
        <f>SUM(OSRRefT22_17x_0)</f>
        <v>28842.639999999999</v>
      </c>
      <c r="U81" s="1"/>
      <c r="V81" s="5">
        <f t="shared" ref="V81:V83" si="61">IF(T$12=0,0,T81/T$12)</f>
        <v>0</v>
      </c>
      <c r="W81" s="1"/>
      <c r="X81" s="1">
        <f t="shared" ref="X81:X83" si="62">+P81-T81</f>
        <v>-3714.1399999999994</v>
      </c>
      <c r="Y81" s="1"/>
      <c r="Z81" s="5">
        <f t="shared" ref="Z81:Z83" si="63">IF(T81=0,0,X81/T81)</f>
        <v>-0.12877253954561715</v>
      </c>
    </row>
    <row r="82" spans="1:26" s="23" customFormat="1" hidden="1" outlineLevel="2" x14ac:dyDescent="0.25">
      <c r="A82" s="25"/>
      <c r="B82" s="10" t="str">
        <f>CONCATENATE("          ", "6303", " - ", "DATA PHONE LINES")</f>
        <v xml:space="preserve">          6303 - DATA PHONE LINES</v>
      </c>
      <c r="C82" s="10"/>
      <c r="D82" s="6">
        <v>241.97</v>
      </c>
      <c r="E82" s="2"/>
      <c r="F82" s="7">
        <f t="shared" si="56"/>
        <v>0</v>
      </c>
      <c r="G82" s="2"/>
      <c r="H82" s="6">
        <v>208.97</v>
      </c>
      <c r="I82" s="2"/>
      <c r="J82" s="7">
        <f t="shared" si="57"/>
        <v>0</v>
      </c>
      <c r="K82" s="2"/>
      <c r="L82" s="6">
        <f t="shared" si="58"/>
        <v>33</v>
      </c>
      <c r="M82" s="2"/>
      <c r="N82" s="7">
        <f t="shared" si="59"/>
        <v>0.15791740441211657</v>
      </c>
      <c r="O82" s="10"/>
      <c r="P82" s="6">
        <v>1727.78</v>
      </c>
      <c r="Q82" s="2"/>
      <c r="R82" s="7">
        <f t="shared" si="60"/>
        <v>0</v>
      </c>
      <c r="S82" s="2"/>
      <c r="T82" s="6">
        <v>1889.95</v>
      </c>
      <c r="U82" s="2"/>
      <c r="V82" s="7">
        <f t="shared" si="61"/>
        <v>0</v>
      </c>
      <c r="W82" s="2"/>
      <c r="X82" s="6">
        <f t="shared" si="62"/>
        <v>-162.17000000000007</v>
      </c>
      <c r="Y82" s="2"/>
      <c r="Z82" s="7">
        <f t="shared" si="63"/>
        <v>-8.5806502817534894E-2</v>
      </c>
    </row>
    <row r="83" spans="1:26" s="23" customFormat="1" hidden="1" outlineLevel="2" x14ac:dyDescent="0.25">
      <c r="A83" s="25"/>
      <c r="B83" s="10" t="str">
        <f>CONCATENATE("          ", "6309", " - ", "TELEPHONE")</f>
        <v xml:space="preserve">          6309 - TELEPHONE</v>
      </c>
      <c r="C83" s="10"/>
      <c r="D83" s="6">
        <v>2703.97</v>
      </c>
      <c r="E83" s="2"/>
      <c r="F83" s="7">
        <f t="shared" si="56"/>
        <v>0</v>
      </c>
      <c r="G83" s="2"/>
      <c r="H83" s="6">
        <v>1647.87</v>
      </c>
      <c r="I83" s="2"/>
      <c r="J83" s="7">
        <f t="shared" si="57"/>
        <v>0</v>
      </c>
      <c r="K83" s="2"/>
      <c r="L83" s="6">
        <f t="shared" si="58"/>
        <v>1056.0999999999999</v>
      </c>
      <c r="M83" s="2"/>
      <c r="N83" s="7">
        <f t="shared" si="59"/>
        <v>0.64088793412101686</v>
      </c>
      <c r="O83" s="10"/>
      <c r="P83" s="6">
        <v>23400.720000000001</v>
      </c>
      <c r="Q83" s="2"/>
      <c r="R83" s="7">
        <f t="shared" si="60"/>
        <v>0</v>
      </c>
      <c r="S83" s="2"/>
      <c r="T83" s="6">
        <v>26952.69</v>
      </c>
      <c r="U83" s="2"/>
      <c r="V83" s="7">
        <f t="shared" si="61"/>
        <v>0</v>
      </c>
      <c r="W83" s="2"/>
      <c r="X83" s="6">
        <f t="shared" si="62"/>
        <v>-3551.9699999999975</v>
      </c>
      <c r="Y83" s="2"/>
      <c r="Z83" s="7">
        <f t="shared" si="63"/>
        <v>-0.13178536168375021</v>
      </c>
    </row>
    <row r="84" spans="1:26" s="27" customFormat="1" outlineLevel="1" collapsed="1" x14ac:dyDescent="0.25">
      <c r="A84" s="26"/>
      <c r="B84" s="12" t="str">
        <f>CONCATENATE("     ","Training                                          ")</f>
        <v xml:space="preserve">     Training                                          </v>
      </c>
      <c r="C84" s="12"/>
      <c r="D84" s="1">
        <f>SUM(OSRRefD22_18x_0)</f>
        <v>0</v>
      </c>
      <c r="E84" s="1"/>
      <c r="F84" s="5">
        <f t="shared" ref="F84:F88" si="64">IF(D$12=0,0,D84/D$12)</f>
        <v>0</v>
      </c>
      <c r="G84" s="1"/>
      <c r="H84" s="1">
        <f>SUM(OSRRefH22_18x_0)</f>
        <v>-1353.17</v>
      </c>
      <c r="I84" s="1"/>
      <c r="J84" s="5">
        <f t="shared" ref="J84:J88" si="65">IF(H$12=0,0,H84/H$12)</f>
        <v>0</v>
      </c>
      <c r="K84" s="1"/>
      <c r="L84" s="1">
        <f t="shared" ref="L84:L88" si="66">+D84-H84</f>
        <v>1353.17</v>
      </c>
      <c r="M84" s="1"/>
      <c r="N84" s="5">
        <f t="shared" ref="N84:N88" si="67">IF(H84=0,0,L84/H84)</f>
        <v>-1</v>
      </c>
      <c r="O84" s="12"/>
      <c r="P84" s="1">
        <f>SUM(OSRRefP22_18x_0)</f>
        <v>5225.5</v>
      </c>
      <c r="Q84" s="1"/>
      <c r="R84" s="5">
        <f t="shared" ref="R84:R88" si="68">IF(P$12=0,0,P84/P$12)</f>
        <v>0</v>
      </c>
      <c r="S84" s="1"/>
      <c r="T84" s="1">
        <f>SUM(OSRRefT22_18x_0)</f>
        <v>20640.37</v>
      </c>
      <c r="U84" s="1"/>
      <c r="V84" s="5">
        <f t="shared" ref="V84:V88" si="69">IF(T$12=0,0,T84/T$12)</f>
        <v>0</v>
      </c>
      <c r="W84" s="1"/>
      <c r="X84" s="1">
        <f t="shared" ref="X84:X88" si="70">+P84-T84</f>
        <v>-15414.869999999999</v>
      </c>
      <c r="Y84" s="1"/>
      <c r="Z84" s="5">
        <f t="shared" ref="Z84:Z88" si="71">IF(T84=0,0,X84/T84)</f>
        <v>-0.74683108878377669</v>
      </c>
    </row>
    <row r="85" spans="1:26" s="23" customFormat="1" hidden="1" outlineLevel="2" x14ac:dyDescent="0.25">
      <c r="A85" s="25"/>
      <c r="B85" s="10" t="str">
        <f>CONCATENATE("          ", "6376", " - ", "TRAINING")</f>
        <v xml:space="preserve">          6376 - TRAINING</v>
      </c>
      <c r="C85" s="10"/>
      <c r="D85" s="6"/>
      <c r="E85" s="2"/>
      <c r="F85" s="7">
        <f t="shared" si="64"/>
        <v>0</v>
      </c>
      <c r="G85" s="2"/>
      <c r="H85" s="6">
        <v>-1353.17</v>
      </c>
      <c r="I85" s="2"/>
      <c r="J85" s="7">
        <f t="shared" si="65"/>
        <v>0</v>
      </c>
      <c r="K85" s="2"/>
      <c r="L85" s="6">
        <f t="shared" si="66"/>
        <v>1353.17</v>
      </c>
      <c r="M85" s="2"/>
      <c r="N85" s="7">
        <f t="shared" si="67"/>
        <v>-1</v>
      </c>
      <c r="O85" s="10"/>
      <c r="P85" s="6">
        <v>5225.5</v>
      </c>
      <c r="Q85" s="2"/>
      <c r="R85" s="7">
        <f t="shared" si="68"/>
        <v>0</v>
      </c>
      <c r="S85" s="2"/>
      <c r="T85" s="6">
        <v>20640.37</v>
      </c>
      <c r="U85" s="2"/>
      <c r="V85" s="7">
        <f t="shared" si="69"/>
        <v>0</v>
      </c>
      <c r="W85" s="2"/>
      <c r="X85" s="6">
        <f t="shared" si="70"/>
        <v>-15414.869999999999</v>
      </c>
      <c r="Y85" s="2"/>
      <c r="Z85" s="7">
        <f t="shared" si="71"/>
        <v>-0.74683108878377669</v>
      </c>
    </row>
    <row r="86" spans="1:26" s="27" customFormat="1" outlineLevel="1" collapsed="1" x14ac:dyDescent="0.25">
      <c r="A86" s="26"/>
      <c r="B86" s="12" t="str">
        <f>CONCATENATE("     ","Travel                                            ")</f>
        <v xml:space="preserve">     Travel                                            </v>
      </c>
      <c r="C86" s="12"/>
      <c r="D86" s="1">
        <f>SUM(OSRRefD22_19x_0)</f>
        <v>0</v>
      </c>
      <c r="E86" s="1"/>
      <c r="F86" s="5">
        <f t="shared" si="64"/>
        <v>0</v>
      </c>
      <c r="G86" s="1"/>
      <c r="H86" s="1">
        <f>SUM(OSRRefH22_19x_0)</f>
        <v>0</v>
      </c>
      <c r="I86" s="1"/>
      <c r="J86" s="5">
        <f t="shared" si="65"/>
        <v>0</v>
      </c>
      <c r="K86" s="1"/>
      <c r="L86" s="1">
        <f t="shared" si="66"/>
        <v>0</v>
      </c>
      <c r="M86" s="1"/>
      <c r="N86" s="5">
        <f t="shared" si="67"/>
        <v>0</v>
      </c>
      <c r="O86" s="12"/>
      <c r="P86" s="1">
        <f>SUM(OSRRefP22_19x_0)</f>
        <v>808.72</v>
      </c>
      <c r="Q86" s="1"/>
      <c r="R86" s="5">
        <f t="shared" si="68"/>
        <v>0</v>
      </c>
      <c r="S86" s="1"/>
      <c r="T86" s="1">
        <f>SUM(OSRRefT22_19x_0)</f>
        <v>12860.449999999999</v>
      </c>
      <c r="U86" s="1"/>
      <c r="V86" s="5">
        <f t="shared" si="69"/>
        <v>0</v>
      </c>
      <c r="W86" s="1"/>
      <c r="X86" s="1">
        <f t="shared" si="70"/>
        <v>-12051.73</v>
      </c>
      <c r="Y86" s="1"/>
      <c r="Z86" s="5">
        <f t="shared" si="71"/>
        <v>-0.93711573078702537</v>
      </c>
    </row>
    <row r="87" spans="1:26" s="23" customFormat="1" hidden="1" outlineLevel="2" x14ac:dyDescent="0.25">
      <c r="A87" s="25"/>
      <c r="B87" s="10" t="str">
        <f>CONCATENATE("          ", "6292", " - ", "TRAVEL/CONFERENCE")</f>
        <v xml:space="preserve">          6292 - TRAVEL/CONFERENCE</v>
      </c>
      <c r="C87" s="10"/>
      <c r="D87" s="6"/>
      <c r="E87" s="2"/>
      <c r="F87" s="7">
        <f t="shared" si="64"/>
        <v>0</v>
      </c>
      <c r="G87" s="2"/>
      <c r="H87" s="6"/>
      <c r="I87" s="2"/>
      <c r="J87" s="7">
        <f t="shared" si="65"/>
        <v>0</v>
      </c>
      <c r="K87" s="2"/>
      <c r="L87" s="6">
        <f t="shared" si="66"/>
        <v>0</v>
      </c>
      <c r="M87" s="2"/>
      <c r="N87" s="7">
        <f t="shared" si="67"/>
        <v>0</v>
      </c>
      <c r="O87" s="10"/>
      <c r="P87" s="6">
        <v>720</v>
      </c>
      <c r="Q87" s="2"/>
      <c r="R87" s="7">
        <f t="shared" si="68"/>
        <v>0</v>
      </c>
      <c r="S87" s="2"/>
      <c r="T87" s="6">
        <v>12836.55</v>
      </c>
      <c r="U87" s="2"/>
      <c r="V87" s="7">
        <f t="shared" si="69"/>
        <v>0</v>
      </c>
      <c r="W87" s="2"/>
      <c r="X87" s="6">
        <f t="shared" si="70"/>
        <v>-12116.55</v>
      </c>
      <c r="Y87" s="2"/>
      <c r="Z87" s="7">
        <f t="shared" si="71"/>
        <v>-0.94391016277738182</v>
      </c>
    </row>
    <row r="88" spans="1:26" s="23" customFormat="1" hidden="1" outlineLevel="2" x14ac:dyDescent="0.25">
      <c r="A88" s="25"/>
      <c r="B88" s="10" t="str">
        <f>CONCATENATE("          ", "6294", " - ", "TRAVEL OPERATIONAL")</f>
        <v xml:space="preserve">          6294 - TRAVEL OPERATIONAL</v>
      </c>
      <c r="C88" s="10"/>
      <c r="D88" s="6"/>
      <c r="E88" s="2"/>
      <c r="F88" s="7">
        <f t="shared" si="64"/>
        <v>0</v>
      </c>
      <c r="G88" s="2"/>
      <c r="H88" s="6"/>
      <c r="I88" s="2"/>
      <c r="J88" s="7">
        <f t="shared" si="65"/>
        <v>0</v>
      </c>
      <c r="K88" s="2"/>
      <c r="L88" s="6">
        <f t="shared" si="66"/>
        <v>0</v>
      </c>
      <c r="M88" s="2"/>
      <c r="N88" s="7">
        <f t="shared" si="67"/>
        <v>0</v>
      </c>
      <c r="O88" s="10"/>
      <c r="P88" s="6">
        <v>88.72</v>
      </c>
      <c r="Q88" s="2"/>
      <c r="R88" s="7">
        <f t="shared" si="68"/>
        <v>0</v>
      </c>
      <c r="S88" s="2"/>
      <c r="T88" s="6">
        <v>23.9</v>
      </c>
      <c r="U88" s="2"/>
      <c r="V88" s="7">
        <f t="shared" si="69"/>
        <v>0</v>
      </c>
      <c r="W88" s="2"/>
      <c r="X88" s="6">
        <f t="shared" si="70"/>
        <v>64.819999999999993</v>
      </c>
      <c r="Y88" s="2"/>
      <c r="Z88" s="7">
        <f t="shared" si="71"/>
        <v>2.712133891213389</v>
      </c>
    </row>
    <row r="89" spans="1:26" s="52" customFormat="1" x14ac:dyDescent="0.25">
      <c r="A89" s="37"/>
      <c r="B89" s="37"/>
      <c r="C89" s="37"/>
      <c r="D89" s="1"/>
      <c r="E89" s="1"/>
      <c r="F89" s="5"/>
      <c r="G89" s="1"/>
      <c r="H89" s="1"/>
      <c r="I89" s="1"/>
      <c r="J89" s="5"/>
      <c r="K89" s="1"/>
      <c r="L89" s="1"/>
      <c r="M89" s="1"/>
      <c r="N89" s="5"/>
      <c r="O89" s="37"/>
      <c r="P89" s="1"/>
      <c r="Q89" s="1"/>
      <c r="R89" s="5"/>
      <c r="S89" s="1"/>
      <c r="T89" s="1"/>
      <c r="U89" s="1"/>
      <c r="V89" s="5"/>
      <c r="W89" s="1"/>
      <c r="X89" s="1"/>
      <c r="Y89" s="1"/>
      <c r="Z89" s="5"/>
    </row>
    <row r="90" spans="1:26" s="24" customFormat="1" x14ac:dyDescent="0.25">
      <c r="A90" s="11"/>
      <c r="B90" s="29" t="s">
        <v>292</v>
      </c>
      <c r="C90" s="11"/>
      <c r="D90" s="4">
        <f>SUM(0)</f>
        <v>0</v>
      </c>
      <c r="E90" s="4"/>
      <c r="F90" s="13">
        <f>IF(D$12=0,0,D90/D$12)</f>
        <v>0</v>
      </c>
      <c r="G90" s="4"/>
      <c r="H90" s="4">
        <f>SUM(0)</f>
        <v>0</v>
      </c>
      <c r="I90" s="4"/>
      <c r="J90" s="13">
        <f>IF(H$12=0,0,H90/H$12)</f>
        <v>0</v>
      </c>
      <c r="K90" s="4"/>
      <c r="L90" s="4">
        <f>+D90-H90</f>
        <v>0</v>
      </c>
      <c r="M90" s="4"/>
      <c r="N90" s="13">
        <f>IF(H90=0,0,L90/H90)</f>
        <v>0</v>
      </c>
      <c r="O90" s="11"/>
      <c r="P90" s="4">
        <f>SUM(0)</f>
        <v>0</v>
      </c>
      <c r="Q90" s="4"/>
      <c r="R90" s="13">
        <f>IF(P$12=0,0,P90/P$12)</f>
        <v>0</v>
      </c>
      <c r="S90" s="4"/>
      <c r="T90" s="4">
        <f>SUM(0)</f>
        <v>0</v>
      </c>
      <c r="U90" s="4"/>
      <c r="V90" s="13">
        <f>IF(T$12=0,0,T90/T$12)</f>
        <v>0</v>
      </c>
      <c r="W90" s="4"/>
      <c r="X90" s="4">
        <f>+P90-T90</f>
        <v>0</v>
      </c>
      <c r="Y90" s="4"/>
      <c r="Z90" s="13">
        <f>IF(T90=0,0,X90/T90)</f>
        <v>0</v>
      </c>
    </row>
    <row r="91" spans="1:26" x14ac:dyDescent="0.25">
      <c r="A91" s="9"/>
      <c r="B91" s="11"/>
      <c r="C91" s="11"/>
      <c r="D91" s="3"/>
      <c r="E91" s="3"/>
      <c r="F91" s="8"/>
      <c r="G91" s="3"/>
      <c r="H91" s="3"/>
      <c r="I91" s="3"/>
      <c r="J91" s="8"/>
      <c r="K91" s="3"/>
      <c r="L91" s="3"/>
      <c r="M91" s="3"/>
      <c r="N91" s="8"/>
      <c r="O91" s="11"/>
      <c r="P91" s="3"/>
      <c r="Q91" s="3"/>
      <c r="R91" s="8"/>
      <c r="S91" s="3"/>
      <c r="T91" s="3"/>
      <c r="U91" s="3"/>
      <c r="V91" s="8"/>
      <c r="W91" s="3"/>
      <c r="X91" s="3"/>
      <c r="Y91" s="3"/>
      <c r="Z91" s="8"/>
    </row>
    <row r="92" spans="1:26" s="24" customFormat="1" x14ac:dyDescent="0.25">
      <c r="A92" s="11"/>
      <c r="B92" s="28" t="s">
        <v>276</v>
      </c>
      <c r="C92" s="28"/>
      <c r="D92" s="21">
        <f>+D16-D18+D90</f>
        <v>-744030.65999999992</v>
      </c>
      <c r="E92" s="14"/>
      <c r="F92" s="22">
        <f>IF(D$12=0,0,D92/D$12)</f>
        <v>0</v>
      </c>
      <c r="G92" s="14"/>
      <c r="H92" s="21">
        <f>+H16-H18+H90</f>
        <v>-1014635.2799999998</v>
      </c>
      <c r="I92" s="14"/>
      <c r="J92" s="22">
        <f>IF(H$12=0,0,H92/H$12)</f>
        <v>0</v>
      </c>
      <c r="K92" s="15"/>
      <c r="L92" s="21">
        <f>+D92-H92</f>
        <v>270604.61999999988</v>
      </c>
      <c r="M92" s="15"/>
      <c r="N92" s="22">
        <f>IF(H92=0,0,L92/H92)</f>
        <v>-0.26670137076250683</v>
      </c>
      <c r="O92" s="29"/>
      <c r="P92" s="21">
        <f>+P16-P18+P90</f>
        <v>-2840823.7500000005</v>
      </c>
      <c r="Q92" s="14"/>
      <c r="R92" s="22">
        <f>IF(P$12=0,0,P92/P$12)</f>
        <v>0</v>
      </c>
      <c r="S92" s="14"/>
      <c r="T92" s="21">
        <f>+T16-T18+T90</f>
        <v>-4336174.9600000009</v>
      </c>
      <c r="U92" s="14"/>
      <c r="V92" s="22">
        <f>IF(T$12=0,0,T92/T$12)</f>
        <v>0</v>
      </c>
      <c r="W92" s="15"/>
      <c r="X92" s="21">
        <f>+P92-T92</f>
        <v>1495351.2100000004</v>
      </c>
      <c r="Y92" s="15"/>
      <c r="Z92" s="22">
        <f>IF(T92=0,0,X92/T92)</f>
        <v>-0.34485490640811228</v>
      </c>
    </row>
    <row r="93" spans="1:26" x14ac:dyDescent="0.25">
      <c r="A93" s="9"/>
      <c r="B93" s="11"/>
      <c r="C93" s="9"/>
      <c r="D93" s="3"/>
      <c r="E93" s="3"/>
      <c r="F93" s="8"/>
      <c r="G93" s="3"/>
      <c r="H93" s="3"/>
      <c r="I93" s="3"/>
      <c r="J93" s="8"/>
      <c r="K93" s="3"/>
      <c r="L93" s="3"/>
      <c r="M93" s="3"/>
      <c r="N93" s="8"/>
      <c r="P93" s="3"/>
      <c r="Q93" s="3"/>
      <c r="R93" s="8"/>
      <c r="S93" s="3"/>
      <c r="T93" s="3"/>
      <c r="U93" s="3"/>
      <c r="V93" s="8"/>
      <c r="W93" s="3"/>
      <c r="X93" s="3"/>
      <c r="Y93" s="3"/>
      <c r="Z93" s="8"/>
    </row>
    <row r="94" spans="1:26" s="24" customFormat="1" x14ac:dyDescent="0.25">
      <c r="A94" s="51"/>
      <c r="B94" s="11" t="s">
        <v>127</v>
      </c>
      <c r="C94" s="11"/>
      <c r="D94" s="4"/>
      <c r="E94" s="4"/>
      <c r="F94" s="13">
        <f>IF(D$12=0,0,D94/D$12)</f>
        <v>0</v>
      </c>
      <c r="G94" s="4"/>
      <c r="H94" s="4"/>
      <c r="I94" s="4"/>
      <c r="J94" s="13">
        <f>IF(H$12=0,0,H94/H$12)</f>
        <v>0</v>
      </c>
      <c r="K94" s="4"/>
      <c r="L94" s="4">
        <f>+D94-H94</f>
        <v>0</v>
      </c>
      <c r="M94" s="4"/>
      <c r="N94" s="13">
        <f>IF(H94=0,0,L94/H94)</f>
        <v>0</v>
      </c>
      <c r="O94" s="11"/>
      <c r="P94" s="4"/>
      <c r="Q94" s="4"/>
      <c r="R94" s="13">
        <f>IF(P$12=0,0,P94/P$12)</f>
        <v>0</v>
      </c>
      <c r="S94" s="4"/>
      <c r="T94" s="4"/>
      <c r="U94" s="4"/>
      <c r="V94" s="13">
        <f>IF(T$12=0,0,T94/T$12)</f>
        <v>0</v>
      </c>
      <c r="W94" s="4"/>
      <c r="X94" s="4">
        <f>+P94-T94</f>
        <v>0</v>
      </c>
      <c r="Y94" s="4"/>
      <c r="Z94" s="13">
        <f>IF(T94=0,0,X94/T94)</f>
        <v>0</v>
      </c>
    </row>
    <row r="95" spans="1:26" x14ac:dyDescent="0.25">
      <c r="A95" s="9"/>
      <c r="B95" s="11"/>
      <c r="C95" s="11"/>
      <c r="D95" s="3"/>
      <c r="E95" s="3"/>
      <c r="F95" s="8"/>
      <c r="G95" s="3"/>
      <c r="H95" s="3"/>
      <c r="I95" s="3"/>
      <c r="J95" s="8"/>
      <c r="K95" s="3"/>
      <c r="L95" s="3"/>
      <c r="M95" s="3"/>
      <c r="N95" s="8"/>
      <c r="O95" s="11"/>
      <c r="P95" s="3"/>
      <c r="Q95" s="3"/>
      <c r="R95" s="8"/>
      <c r="S95" s="3"/>
      <c r="T95" s="3"/>
      <c r="U95" s="3"/>
      <c r="V95" s="8"/>
      <c r="W95" s="3"/>
      <c r="X95" s="3"/>
      <c r="Y95" s="3"/>
      <c r="Z95" s="8"/>
    </row>
    <row r="96" spans="1:26" s="24" customFormat="1" ht="15.75" thickBot="1" x14ac:dyDescent="0.3">
      <c r="A96" s="11"/>
      <c r="B96" s="28" t="s">
        <v>125</v>
      </c>
      <c r="C96" s="28"/>
      <c r="D96" s="34">
        <f>+D92-D94</f>
        <v>-744030.65999999992</v>
      </c>
      <c r="E96" s="14"/>
      <c r="F96" s="31">
        <f>IF(D$12=0,0,D96/D$12)</f>
        <v>0</v>
      </c>
      <c r="G96" s="14"/>
      <c r="H96" s="34">
        <f>+H92-H94</f>
        <v>-1014635.2799999998</v>
      </c>
      <c r="I96" s="14"/>
      <c r="J96" s="31">
        <f>IF(H$12=0,0,H96/H$12)</f>
        <v>0</v>
      </c>
      <c r="K96" s="15"/>
      <c r="L96" s="34">
        <f>D96-H96</f>
        <v>270604.61999999988</v>
      </c>
      <c r="M96" s="15"/>
      <c r="N96" s="31">
        <f>IF(H96=0,0,L96/H96)</f>
        <v>-0.26670137076250683</v>
      </c>
      <c r="O96" s="29"/>
      <c r="P96" s="34">
        <f>+P92-P94</f>
        <v>-2840823.7500000005</v>
      </c>
      <c r="Q96" s="14"/>
      <c r="R96" s="31">
        <f>IF(P$12=0,0,P96/P$12)</f>
        <v>0</v>
      </c>
      <c r="S96" s="14"/>
      <c r="T96" s="34">
        <f>+T92-T94</f>
        <v>-4336174.9600000009</v>
      </c>
      <c r="U96" s="14"/>
      <c r="V96" s="31">
        <f>IF(T$12=0,0,T96/T$12)</f>
        <v>0</v>
      </c>
      <c r="W96" s="15"/>
      <c r="X96" s="34">
        <f>P96-T96</f>
        <v>1495351.2100000004</v>
      </c>
      <c r="Y96" s="15"/>
      <c r="Z96" s="31">
        <f>IF(T96=0,0,X96/T96)</f>
        <v>-0.34485490640811228</v>
      </c>
    </row>
    <row r="97" spans="1:26" ht="15.75" thickTop="1" x14ac:dyDescent="0.25">
      <c r="A97" s="9"/>
      <c r="B97" s="9"/>
      <c r="C97" s="9"/>
      <c r="D97" s="3"/>
      <c r="E97" s="3"/>
      <c r="F97" s="8"/>
      <c r="G97" s="3"/>
      <c r="H97" s="3"/>
      <c r="I97" s="3"/>
      <c r="J97" s="8"/>
      <c r="K97" s="3"/>
      <c r="L97" s="3"/>
      <c r="M97" s="3"/>
      <c r="N97" s="8"/>
      <c r="P97" s="3"/>
      <c r="Q97" s="3"/>
      <c r="R97" s="8"/>
      <c r="S97" s="3"/>
      <c r="T97" s="3"/>
      <c r="U97" s="3"/>
      <c r="V97" s="8"/>
      <c r="W97" s="3"/>
      <c r="X97" s="3"/>
      <c r="Y97" s="3"/>
      <c r="Z97" s="8"/>
    </row>
    <row r="98" spans="1:26" x14ac:dyDescent="0.25">
      <c r="A98" s="9"/>
      <c r="B98" s="9"/>
      <c r="C98" s="9"/>
      <c r="D98" s="3"/>
      <c r="E98" s="3"/>
      <c r="F98" s="8"/>
      <c r="G98" s="3"/>
      <c r="H98" s="3"/>
      <c r="I98" s="3"/>
      <c r="J98" s="8"/>
      <c r="K98" s="3"/>
      <c r="L98" s="3"/>
      <c r="M98" s="3"/>
      <c r="N98" s="8"/>
      <c r="P98" s="3"/>
      <c r="Q98" s="3"/>
      <c r="R98" s="8"/>
      <c r="S98" s="3"/>
      <c r="T98" s="3"/>
      <c r="U98" s="3"/>
      <c r="V98" s="8"/>
      <c r="W98" s="3"/>
      <c r="X98" s="3"/>
      <c r="Y98" s="3"/>
      <c r="Z98" s="8"/>
    </row>
    <row r="99" spans="1:26" s="24" customFormat="1" ht="15.75" thickBot="1" x14ac:dyDescent="0.3">
      <c r="A99" s="11"/>
      <c r="B99" s="28" t="s">
        <v>293</v>
      </c>
      <c r="C99" s="28"/>
      <c r="D99" s="33">
        <f>SUM(D96:D98)</f>
        <v>-744030.65999999992</v>
      </c>
      <c r="E99" s="14"/>
      <c r="F99" s="35">
        <f>IF(D$12=0,0,D99/D$12)</f>
        <v>0</v>
      </c>
      <c r="G99" s="14"/>
      <c r="H99" s="33">
        <f>SUM(H96:H98)</f>
        <v>-1014635.2799999998</v>
      </c>
      <c r="I99" s="14"/>
      <c r="J99" s="35">
        <f>IF(H$12=0,0,H99/H$12)</f>
        <v>0</v>
      </c>
      <c r="K99" s="15"/>
      <c r="L99" s="33">
        <f>+D99-H99</f>
        <v>270604.61999999988</v>
      </c>
      <c r="M99" s="15"/>
      <c r="N99" s="35">
        <f>IF(H99=0,0,L99/H99)</f>
        <v>-0.26670137076250683</v>
      </c>
      <c r="O99" s="29"/>
      <c r="P99" s="33">
        <f>SUM(P96:P98)</f>
        <v>-2840823.7500000005</v>
      </c>
      <c r="Q99" s="14"/>
      <c r="R99" s="35">
        <f>IF(P$12=0,0,P99/P$12)</f>
        <v>0</v>
      </c>
      <c r="S99" s="14"/>
      <c r="T99" s="33">
        <f>SUM(T96:T98)</f>
        <v>-4336174.9600000009</v>
      </c>
      <c r="U99" s="14"/>
      <c r="V99" s="35">
        <f>IF(T$12=0,0,T99/T$12)</f>
        <v>0</v>
      </c>
      <c r="W99" s="15"/>
      <c r="X99" s="33">
        <f>+P99-T99</f>
        <v>1495351.2100000004</v>
      </c>
      <c r="Y99" s="15"/>
      <c r="Z99" s="35">
        <f>IF(T99=0,0,X99/T99)</f>
        <v>-0.34485490640811228</v>
      </c>
    </row>
    <row r="100" spans="1:26" ht="15.75" thickTop="1" x14ac:dyDescent="0.25">
      <c r="A100" s="9"/>
      <c r="C100" s="9"/>
      <c r="D100" s="18"/>
      <c r="E100" s="18"/>
      <c r="G100" s="18"/>
      <c r="H100" s="18"/>
      <c r="I100" s="18"/>
      <c r="J100" s="43"/>
      <c r="K100" s="18"/>
      <c r="L100" s="18"/>
      <c r="M100" s="18"/>
      <c r="P100" s="18"/>
      <c r="Q100" s="18"/>
      <c r="R100" s="43"/>
      <c r="S100" s="18"/>
      <c r="T100" s="18"/>
      <c r="U100" s="18"/>
      <c r="V100" s="43"/>
      <c r="W100" s="18"/>
      <c r="X100" s="18"/>
    </row>
    <row r="101" spans="1:26" x14ac:dyDescent="0.25">
      <c r="A101" s="9"/>
      <c r="B101" s="56">
        <v>44454.698474652774</v>
      </c>
      <c r="D101" s="18"/>
      <c r="E101" s="18"/>
      <c r="G101" s="18"/>
      <c r="H101" s="18"/>
      <c r="I101" s="18"/>
      <c r="J101" s="43"/>
      <c r="K101" s="18"/>
      <c r="L101" s="18"/>
      <c r="M101" s="18"/>
      <c r="P101" s="18"/>
      <c r="Q101" s="18"/>
      <c r="R101" s="43"/>
      <c r="S101" s="18"/>
      <c r="T101" s="18"/>
      <c r="U101" s="18"/>
      <c r="V101" s="43"/>
      <c r="W101" s="18"/>
      <c r="X101" s="18"/>
    </row>
    <row r="102" spans="1:26" x14ac:dyDescent="0.25">
      <c r="A102" s="9"/>
      <c r="B102" s="55" t="s">
        <v>56</v>
      </c>
      <c r="D102" s="18"/>
      <c r="E102" s="18"/>
      <c r="G102" s="18"/>
      <c r="H102" s="18"/>
      <c r="I102" s="18"/>
      <c r="J102" s="43"/>
      <c r="K102" s="18"/>
      <c r="L102" s="18"/>
      <c r="M102" s="18"/>
      <c r="P102" s="18"/>
      <c r="Q102" s="18"/>
      <c r="R102" s="43"/>
      <c r="S102" s="18"/>
      <c r="T102" s="18"/>
      <c r="U102" s="18"/>
      <c r="V102" s="43"/>
      <c r="W102" s="18"/>
      <c r="X102" s="18"/>
    </row>
    <row r="103" spans="1:26" x14ac:dyDescent="0.25">
      <c r="A103" s="9"/>
      <c r="B103" s="60"/>
      <c r="D103" s="18"/>
      <c r="E103" s="18"/>
      <c r="G103" s="18"/>
      <c r="H103" s="18"/>
      <c r="I103" s="18"/>
      <c r="J103" s="43"/>
      <c r="K103" s="18"/>
      <c r="L103" s="18"/>
      <c r="M103" s="18"/>
      <c r="P103" s="18"/>
      <c r="Q103" s="18"/>
      <c r="R103" s="43"/>
      <c r="S103" s="18"/>
      <c r="T103" s="18"/>
      <c r="U103" s="18"/>
      <c r="V103" s="43"/>
      <c r="W103" s="18"/>
      <c r="X103" s="18"/>
    </row>
    <row r="104" spans="1:26" x14ac:dyDescent="0.25">
      <c r="D104" s="18"/>
      <c r="E104" s="18"/>
      <c r="G104" s="18"/>
      <c r="H104" s="18"/>
      <c r="I104" s="18"/>
      <c r="J104" s="43"/>
      <c r="K104" s="18"/>
      <c r="L104" s="18"/>
      <c r="M104" s="18"/>
      <c r="P104" s="18"/>
      <c r="Q104" s="18"/>
      <c r="R104" s="43"/>
      <c r="S104" s="18"/>
      <c r="T104" s="18"/>
      <c r="U104" s="18"/>
      <c r="V104" s="43"/>
      <c r="W104" s="18"/>
      <c r="X104" s="18"/>
    </row>
  </sheetData>
  <pageMargins left="0.25" right="0.25" top="0.75" bottom="0.75" header="0.3" footer="0.3"/>
  <pageSetup scale="55" fitToWidth="2" orientation="landscape"/>
  <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>
    <tabColor rgb="FF92D050"/>
    <outlinePr summaryBelow="0" summaryRight="0"/>
  </sheetPr>
  <dimension ref="A2:Z46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62" t="s">
        <v>23</v>
      </c>
    </row>
    <row r="3" spans="1:26" x14ac:dyDescent="0.25">
      <c r="D3" s="62" t="s">
        <v>236</v>
      </c>
      <c r="E3" s="17"/>
      <c r="F3" s="46"/>
      <c r="G3" s="17"/>
      <c r="H3" s="17"/>
      <c r="I3" s="17"/>
      <c r="J3" s="38"/>
      <c r="K3" s="17"/>
      <c r="L3" s="17"/>
      <c r="M3" s="17"/>
      <c r="N3" s="46"/>
      <c r="O3" s="53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2" t="str">
        <f>CONCATENATE("Period ",RIGHT(202112,2),", ",2021)</f>
        <v>Period 12, 2021</v>
      </c>
      <c r="E4" s="17"/>
      <c r="F4" s="46"/>
      <c r="G4" s="17"/>
      <c r="H4" s="17"/>
      <c r="I4" s="17"/>
      <c r="J4" s="38"/>
      <c r="K4" s="17"/>
      <c r="L4" s="17"/>
      <c r="M4" s="17"/>
      <c r="N4" s="46"/>
      <c r="O4" s="53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4"/>
      <c r="D5" s="63">
        <v>44377</v>
      </c>
      <c r="E5" s="17"/>
      <c r="F5" s="46"/>
      <c r="G5" s="17"/>
      <c r="H5" s="17"/>
      <c r="I5" s="17"/>
      <c r="J5" s="38"/>
      <c r="K5" s="17"/>
      <c r="L5" s="17"/>
      <c r="M5" s="17"/>
      <c r="N5" s="46"/>
      <c r="O5" s="53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4"/>
      <c r="B6" s="48"/>
      <c r="C6" s="48"/>
      <c r="D6" s="24" t="str">
        <f>CONCATENATE("Department ","200", " - ", "Corporate Expense")</f>
        <v>Department 200 - Corporate Expense</v>
      </c>
      <c r="E6" s="17"/>
      <c r="F6" s="46"/>
      <c r="G6" s="17"/>
      <c r="H6" s="17"/>
      <c r="I6" s="17"/>
      <c r="J6" s="38"/>
      <c r="K6" s="17"/>
      <c r="L6" s="17"/>
      <c r="M6" s="17"/>
      <c r="N6" s="46"/>
      <c r="O6" s="54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9"/>
    </row>
    <row r="8" spans="1:26" x14ac:dyDescent="0.25">
      <c r="B8" s="59"/>
    </row>
    <row r="9" spans="1:26" x14ac:dyDescent="0.25">
      <c r="B9" s="9"/>
      <c r="C9" s="9"/>
      <c r="D9" s="16" t="s">
        <v>291</v>
      </c>
      <c r="E9" s="16"/>
      <c r="F9" s="39"/>
      <c r="G9" s="16"/>
      <c r="H9" s="16"/>
      <c r="I9" s="16"/>
      <c r="J9" s="49"/>
      <c r="K9" s="16"/>
      <c r="L9" s="16"/>
      <c r="M9" s="16"/>
      <c r="N9" s="39"/>
      <c r="P9" s="16" t="s">
        <v>39</v>
      </c>
      <c r="Q9" s="16"/>
      <c r="R9" s="39"/>
      <c r="S9" s="16"/>
      <c r="T9" s="16"/>
      <c r="U9" s="16"/>
      <c r="V9" s="49"/>
      <c r="W9" s="16"/>
      <c r="X9" s="16"/>
      <c r="Y9" s="16"/>
      <c r="Z9" s="39"/>
    </row>
    <row r="10" spans="1:26" x14ac:dyDescent="0.25">
      <c r="A10" s="11"/>
      <c r="B10" s="58"/>
      <c r="C10" s="11"/>
      <c r="D10" s="42" t="s">
        <v>57</v>
      </c>
      <c r="E10" s="36"/>
      <c r="F10" s="30" t="s">
        <v>40</v>
      </c>
      <c r="G10" s="36"/>
      <c r="H10" s="50" t="s">
        <v>237</v>
      </c>
      <c r="I10" s="36"/>
      <c r="J10" s="30" t="s">
        <v>40</v>
      </c>
      <c r="K10" s="11"/>
      <c r="L10" s="42" t="s">
        <v>126</v>
      </c>
      <c r="M10" s="11"/>
      <c r="N10" s="30" t="s">
        <v>257</v>
      </c>
      <c r="O10" s="11"/>
      <c r="P10" s="61" t="s">
        <v>57</v>
      </c>
      <c r="Q10" s="36"/>
      <c r="R10" s="30" t="s">
        <v>40</v>
      </c>
      <c r="S10" s="36"/>
      <c r="T10" s="50" t="s">
        <v>237</v>
      </c>
      <c r="U10" s="36"/>
      <c r="V10" s="30" t="s">
        <v>40</v>
      </c>
      <c r="W10" s="11"/>
      <c r="X10" s="42" t="s">
        <v>126</v>
      </c>
      <c r="Y10" s="11"/>
      <c r="Z10" s="30" t="s">
        <v>257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4" customFormat="1" x14ac:dyDescent="0.25">
      <c r="A12" s="11"/>
      <c r="B12" s="29" t="s">
        <v>139</v>
      </c>
      <c r="C12" s="11"/>
      <c r="D12" s="4">
        <f>SUM(0)</f>
        <v>0</v>
      </c>
      <c r="E12" s="4"/>
      <c r="F12" s="13"/>
      <c r="G12" s="4"/>
      <c r="H12" s="4">
        <f>SUM(0)</f>
        <v>0</v>
      </c>
      <c r="I12" s="4"/>
      <c r="J12" s="13"/>
      <c r="K12" s="4"/>
      <c r="L12" s="4">
        <f>+D12-H12</f>
        <v>0</v>
      </c>
      <c r="M12" s="4"/>
      <c r="N12" s="13">
        <f>IF(H12=0,0,L12/H12)</f>
        <v>0</v>
      </c>
      <c r="O12" s="11"/>
      <c r="P12" s="4">
        <f>SUM(0)</f>
        <v>0</v>
      </c>
      <c r="Q12" s="4"/>
      <c r="R12" s="13"/>
      <c r="S12" s="4"/>
      <c r="T12" s="4">
        <f>SUM(0)</f>
        <v>0</v>
      </c>
      <c r="U12" s="4"/>
      <c r="V12" s="13"/>
      <c r="W12" s="4"/>
      <c r="X12" s="4">
        <f>+P12-T12</f>
        <v>0</v>
      </c>
      <c r="Y12" s="4"/>
      <c r="Z12" s="13">
        <f>IF(T12=0,0,X12/T12)</f>
        <v>0</v>
      </c>
    </row>
    <row r="13" spans="1:26" x14ac:dyDescent="0.25">
      <c r="A13" s="9"/>
      <c r="B13" s="11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4" customFormat="1" x14ac:dyDescent="0.25">
      <c r="A14" s="11"/>
      <c r="B14" s="29" t="s">
        <v>256</v>
      </c>
      <c r="C14" s="11"/>
      <c r="D14" s="4">
        <f>SUM(0)</f>
        <v>0</v>
      </c>
      <c r="E14" s="4"/>
      <c r="F14" s="13">
        <f>IF(D$12=0,0,D14/D$12)</f>
        <v>0</v>
      </c>
      <c r="G14" s="4"/>
      <c r="H14" s="4">
        <f>SUM(0)</f>
        <v>0</v>
      </c>
      <c r="I14" s="4"/>
      <c r="J14" s="13">
        <f>IF(H$12=0,0,H14/H$12)</f>
        <v>0</v>
      </c>
      <c r="K14" s="4"/>
      <c r="L14" s="4">
        <f>+D14-H14</f>
        <v>0</v>
      </c>
      <c r="M14" s="4"/>
      <c r="N14" s="13">
        <f>IF(H14=0,0,L14/H14)</f>
        <v>0</v>
      </c>
      <c r="O14" s="11"/>
      <c r="P14" s="4">
        <f>SUM(0)</f>
        <v>0</v>
      </c>
      <c r="Q14" s="4"/>
      <c r="R14" s="13">
        <f>IF(P$12=0,0,P14/P$12)</f>
        <v>0</v>
      </c>
      <c r="S14" s="4"/>
      <c r="T14" s="4">
        <f>SUM(0)</f>
        <v>0</v>
      </c>
      <c r="U14" s="4"/>
      <c r="V14" s="13">
        <f>IF(T$12=0,0,T14/T$12)</f>
        <v>0</v>
      </c>
      <c r="W14" s="4"/>
      <c r="X14" s="4">
        <f>+P14-T14</f>
        <v>0</v>
      </c>
      <c r="Y14" s="4"/>
      <c r="Z14" s="13">
        <f>IF(T14=0,0,X14/T14)</f>
        <v>0</v>
      </c>
    </row>
    <row r="15" spans="1:26" x14ac:dyDescent="0.25">
      <c r="A15" s="9"/>
      <c r="B15" s="11"/>
      <c r="C15" s="11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1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4" customFormat="1" x14ac:dyDescent="0.25">
      <c r="A16" s="11"/>
      <c r="B16" s="28" t="s">
        <v>107</v>
      </c>
      <c r="C16" s="28"/>
      <c r="D16" s="21">
        <f>D12-D14</f>
        <v>0</v>
      </c>
      <c r="E16" s="14"/>
      <c r="F16" s="22">
        <f>IF(D$12=0,0,D16/D$12)</f>
        <v>0</v>
      </c>
      <c r="G16" s="14"/>
      <c r="H16" s="21">
        <f>H12-H14</f>
        <v>0</v>
      </c>
      <c r="I16" s="14"/>
      <c r="J16" s="22">
        <f>IF(H$12=0,0,H16/H$12)</f>
        <v>0</v>
      </c>
      <c r="K16" s="15"/>
      <c r="L16" s="21">
        <f>+D16-H16</f>
        <v>0</v>
      </c>
      <c r="M16" s="15"/>
      <c r="N16" s="22">
        <f>IF(H16=0,0,L16/H16)</f>
        <v>0</v>
      </c>
      <c r="O16" s="29"/>
      <c r="P16" s="21">
        <f>P12-P14</f>
        <v>0</v>
      </c>
      <c r="Q16" s="14"/>
      <c r="R16" s="22">
        <f>IF(P$12=0,0,P16/P$12)</f>
        <v>0</v>
      </c>
      <c r="S16" s="14"/>
      <c r="T16" s="21">
        <f>T12-T14</f>
        <v>0</v>
      </c>
      <c r="U16" s="14"/>
      <c r="V16" s="22">
        <f>IF(T$12=0,0,T16/T$12)</f>
        <v>0</v>
      </c>
      <c r="W16" s="15"/>
      <c r="X16" s="21">
        <f>+P16-T16</f>
        <v>0</v>
      </c>
      <c r="Y16" s="15"/>
      <c r="Z16" s="22">
        <f>IF(T16=0,0,X16/T16)</f>
        <v>0</v>
      </c>
    </row>
    <row r="17" spans="1:26" x14ac:dyDescent="0.25">
      <c r="A17" s="9"/>
      <c r="B17" s="11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4" customFormat="1" x14ac:dyDescent="0.25">
      <c r="A18" s="11"/>
      <c r="B18" s="29" t="s">
        <v>294</v>
      </c>
      <c r="C18" s="11"/>
      <c r="D18" s="20">
        <f>SUM(OSRRefD22x_0)</f>
        <v>9658.2599999999584</v>
      </c>
      <c r="E18" s="20"/>
      <c r="F18" s="32">
        <f t="shared" ref="F18:F21" si="0">IF(D$12=0,0,D18/D$12)</f>
        <v>0</v>
      </c>
      <c r="G18" s="20"/>
      <c r="H18" s="20">
        <f>SUM(OSRRefH22x_0)</f>
        <v>656214.15999999992</v>
      </c>
      <c r="I18" s="20"/>
      <c r="J18" s="32">
        <f t="shared" ref="J18:J21" si="1">IF(H$12=0,0,H18/H$12)</f>
        <v>0</v>
      </c>
      <c r="K18" s="4"/>
      <c r="L18" s="20">
        <f t="shared" ref="L18:L21" si="2">+D18-H18</f>
        <v>-646555.89999999991</v>
      </c>
      <c r="M18" s="4"/>
      <c r="N18" s="32">
        <f t="shared" ref="N18:N21" si="3">IF(H18=0,0,L18/H18)</f>
        <v>-0.98528184762120952</v>
      </c>
      <c r="O18" s="11"/>
      <c r="P18" s="20">
        <f>SUM(OSRRefP22x_0)</f>
        <v>726.46999999995023</v>
      </c>
      <c r="Q18" s="20"/>
      <c r="R18" s="32">
        <f t="shared" ref="R18:R21" si="4">IF(P$12=0,0,P18/P$12)</f>
        <v>0</v>
      </c>
      <c r="S18" s="20"/>
      <c r="T18" s="20">
        <f>SUM(OSRRefT22x_0)</f>
        <v>1233508.1099999999</v>
      </c>
      <c r="U18" s="20"/>
      <c r="V18" s="32">
        <f t="shared" ref="V18:V21" si="5">IF(T$12=0,0,T18/T$12)</f>
        <v>0</v>
      </c>
      <c r="W18" s="4"/>
      <c r="X18" s="20">
        <f t="shared" ref="X18:X21" si="6">+P18-T18</f>
        <v>-1232781.6399999999</v>
      </c>
      <c r="Y18" s="4"/>
      <c r="Z18" s="32">
        <f t="shared" ref="Z18:Z21" si="7">IF(T18=0,0,X18/T18)</f>
        <v>-0.99941105373032368</v>
      </c>
    </row>
    <row r="19" spans="1:26" s="27" customFormat="1" outlineLevel="1" collapsed="1" x14ac:dyDescent="0.25">
      <c r="A19" s="26"/>
      <c r="B19" s="12" t="str">
        <f>CONCATENATE("     ","*Benefits                                         ")</f>
        <v xml:space="preserve">     *Benefits                                         </v>
      </c>
      <c r="C19" s="12"/>
      <c r="D19" s="1">
        <f>SUM(OSRRefD22_0x_0)</f>
        <v>8607.0799999999581</v>
      </c>
      <c r="E19" s="1"/>
      <c r="F19" s="5">
        <f t="shared" si="0"/>
        <v>0</v>
      </c>
      <c r="G19" s="1"/>
      <c r="H19" s="1">
        <f>SUM(OSRRefH22_0x_0)</f>
        <v>654750.22</v>
      </c>
      <c r="I19" s="1"/>
      <c r="J19" s="5">
        <f t="shared" si="1"/>
        <v>0</v>
      </c>
      <c r="K19" s="1"/>
      <c r="L19" s="1">
        <f t="shared" si="2"/>
        <v>-646143.14</v>
      </c>
      <c r="M19" s="1"/>
      <c r="N19" s="5">
        <f t="shared" si="3"/>
        <v>-0.98685440686068049</v>
      </c>
      <c r="O19" s="12"/>
      <c r="P19" s="1">
        <f>SUM(OSRRefP22_0x_0)</f>
        <v>-68086.800000000047</v>
      </c>
      <c r="Q19" s="1"/>
      <c r="R19" s="5">
        <f t="shared" si="4"/>
        <v>0</v>
      </c>
      <c r="S19" s="1"/>
      <c r="T19" s="1">
        <f>SUM(OSRRefT22_0x_0)</f>
        <v>972746.03</v>
      </c>
      <c r="U19" s="1"/>
      <c r="V19" s="5">
        <f t="shared" si="5"/>
        <v>0</v>
      </c>
      <c r="W19" s="1"/>
      <c r="X19" s="1">
        <f t="shared" si="6"/>
        <v>-1040832.8300000001</v>
      </c>
      <c r="Y19" s="1"/>
      <c r="Z19" s="5">
        <f t="shared" si="7"/>
        <v>-1.0699944259859895</v>
      </c>
    </row>
    <row r="20" spans="1:26" s="23" customFormat="1" hidden="1" outlineLevel="2" x14ac:dyDescent="0.25">
      <c r="A20" s="25"/>
      <c r="B20" s="10" t="str">
        <f>CONCATENATE("          ", "6115", " - ", "P.E.R.S.")</f>
        <v xml:space="preserve">          6115 - P.E.R.S.</v>
      </c>
      <c r="C20" s="10"/>
      <c r="D20" s="6">
        <v>1024129</v>
      </c>
      <c r="E20" s="2"/>
      <c r="F20" s="7">
        <f t="shared" si="0"/>
        <v>0</v>
      </c>
      <c r="G20" s="2"/>
      <c r="H20" s="6">
        <v>823761</v>
      </c>
      <c r="I20" s="2"/>
      <c r="J20" s="7">
        <f t="shared" si="1"/>
        <v>0</v>
      </c>
      <c r="K20" s="2"/>
      <c r="L20" s="6">
        <f t="shared" si="2"/>
        <v>200368</v>
      </c>
      <c r="M20" s="2"/>
      <c r="N20" s="7">
        <f t="shared" si="3"/>
        <v>0.24323559867485836</v>
      </c>
      <c r="O20" s="10"/>
      <c r="P20" s="6">
        <v>1024129</v>
      </c>
      <c r="Q20" s="2"/>
      <c r="R20" s="7">
        <f t="shared" si="4"/>
        <v>0</v>
      </c>
      <c r="S20" s="2"/>
      <c r="T20" s="6">
        <v>823761</v>
      </c>
      <c r="U20" s="2"/>
      <c r="V20" s="7">
        <f t="shared" si="5"/>
        <v>0</v>
      </c>
      <c r="W20" s="2"/>
      <c r="X20" s="6">
        <f t="shared" si="6"/>
        <v>200368</v>
      </c>
      <c r="Y20" s="2"/>
      <c r="Z20" s="7">
        <f t="shared" si="7"/>
        <v>0.24323559867485836</v>
      </c>
    </row>
    <row r="21" spans="1:26" s="23" customFormat="1" hidden="1" outlineLevel="2" x14ac:dyDescent="0.25">
      <c r="A21" s="25"/>
      <c r="B21" s="10" t="str">
        <f>CONCATENATE("          ", "6120", " - ", "RETIREES HEALTH INSURANCE")</f>
        <v xml:space="preserve">          6120 - RETIREES HEALTH INSURANCE</v>
      </c>
      <c r="C21" s="10"/>
      <c r="D21" s="6">
        <v>-1015521.92</v>
      </c>
      <c r="E21" s="2"/>
      <c r="F21" s="7">
        <f t="shared" si="0"/>
        <v>0</v>
      </c>
      <c r="G21" s="2"/>
      <c r="H21" s="6">
        <v>-169010.78</v>
      </c>
      <c r="I21" s="2"/>
      <c r="J21" s="7">
        <f t="shared" si="1"/>
        <v>0</v>
      </c>
      <c r="K21" s="2"/>
      <c r="L21" s="6">
        <f t="shared" si="2"/>
        <v>-846511.14</v>
      </c>
      <c r="M21" s="2"/>
      <c r="N21" s="7">
        <f t="shared" si="3"/>
        <v>5.0086221719111643</v>
      </c>
      <c r="O21" s="10"/>
      <c r="P21" s="6">
        <v>-1092215.8</v>
      </c>
      <c r="Q21" s="2"/>
      <c r="R21" s="7">
        <f t="shared" si="4"/>
        <v>0</v>
      </c>
      <c r="S21" s="2"/>
      <c r="T21" s="6">
        <v>148985.03</v>
      </c>
      <c r="U21" s="2"/>
      <c r="V21" s="7">
        <f t="shared" si="5"/>
        <v>0</v>
      </c>
      <c r="W21" s="2"/>
      <c r="X21" s="6">
        <f t="shared" si="6"/>
        <v>-1241200.83</v>
      </c>
      <c r="Y21" s="2"/>
      <c r="Z21" s="7">
        <f t="shared" si="7"/>
        <v>-8.3310439310580406</v>
      </c>
    </row>
    <row r="22" spans="1:26" s="27" customFormat="1" outlineLevel="1" collapsed="1" x14ac:dyDescent="0.25">
      <c r="A22" s="26"/>
      <c r="B22" s="12" t="str">
        <f>CONCATENATE("     ","Bank/card Fees                                    ")</f>
        <v xml:space="preserve">     Bank/card Fees                                    </v>
      </c>
      <c r="C22" s="12"/>
      <c r="D22" s="1">
        <f>SUM(OSRRefD22_1x_0)</f>
        <v>3.07</v>
      </c>
      <c r="E22" s="1"/>
      <c r="F22" s="5">
        <f t="shared" ref="F22:F30" si="8">IF(D$12=0,0,D22/D$12)</f>
        <v>0</v>
      </c>
      <c r="G22" s="1"/>
      <c r="H22" s="1">
        <f>SUM(OSRRefH22_1x_0)</f>
        <v>11.34</v>
      </c>
      <c r="I22" s="1"/>
      <c r="J22" s="5">
        <f t="shared" ref="J22:J30" si="9">IF(H$12=0,0,H22/H$12)</f>
        <v>0</v>
      </c>
      <c r="K22" s="1"/>
      <c r="L22" s="1">
        <f t="shared" ref="L22:L30" si="10">+D22-H22</f>
        <v>-8.27</v>
      </c>
      <c r="M22" s="1"/>
      <c r="N22" s="5">
        <f t="shared" ref="N22:N30" si="11">IF(H22=0,0,L22/H22)</f>
        <v>-0.7292768959435626</v>
      </c>
      <c r="O22" s="12"/>
      <c r="P22" s="1">
        <f>SUM(OSRRefP22_1x_0)</f>
        <v>6999.14</v>
      </c>
      <c r="Q22" s="1"/>
      <c r="R22" s="5">
        <f t="shared" ref="R22:R30" si="12">IF(P$12=0,0,P22/P$12)</f>
        <v>0</v>
      </c>
      <c r="S22" s="1"/>
      <c r="T22" s="1">
        <f>SUM(OSRRefT22_1x_0)</f>
        <v>53963.34</v>
      </c>
      <c r="U22" s="1"/>
      <c r="V22" s="5">
        <f t="shared" ref="V22:V30" si="13">IF(T$12=0,0,T22/T$12)</f>
        <v>0</v>
      </c>
      <c r="W22" s="1"/>
      <c r="X22" s="1">
        <f t="shared" ref="X22:X30" si="14">+P22-T22</f>
        <v>-46964.2</v>
      </c>
      <c r="Y22" s="1"/>
      <c r="Z22" s="5">
        <f t="shared" ref="Z22:Z30" si="15">IF(T22=0,0,X22/T22)</f>
        <v>-0.87029824321474547</v>
      </c>
    </row>
    <row r="23" spans="1:26" s="23" customFormat="1" hidden="1" outlineLevel="2" x14ac:dyDescent="0.25">
      <c r="A23" s="25"/>
      <c r="B23" s="10" t="str">
        <f>CONCATENATE("          ", "6381", " - ", "BANK/CREDIT CARD FEES")</f>
        <v xml:space="preserve">          6381 - BANK/CREDIT CARD FEES</v>
      </c>
      <c r="C23" s="10"/>
      <c r="D23" s="6">
        <v>3.07</v>
      </c>
      <c r="E23" s="2"/>
      <c r="F23" s="7">
        <f t="shared" si="8"/>
        <v>0</v>
      </c>
      <c r="G23" s="2"/>
      <c r="H23" s="6">
        <v>11.34</v>
      </c>
      <c r="I23" s="2"/>
      <c r="J23" s="7">
        <f t="shared" si="9"/>
        <v>0</v>
      </c>
      <c r="K23" s="2"/>
      <c r="L23" s="6">
        <f t="shared" si="10"/>
        <v>-8.27</v>
      </c>
      <c r="M23" s="2"/>
      <c r="N23" s="7">
        <f t="shared" si="11"/>
        <v>-0.7292768959435626</v>
      </c>
      <c r="O23" s="10"/>
      <c r="P23" s="6">
        <v>6999.14</v>
      </c>
      <c r="Q23" s="2"/>
      <c r="R23" s="7">
        <f t="shared" si="12"/>
        <v>0</v>
      </c>
      <c r="S23" s="2"/>
      <c r="T23" s="6">
        <v>53963.34</v>
      </c>
      <c r="U23" s="2"/>
      <c r="V23" s="7">
        <f t="shared" si="13"/>
        <v>0</v>
      </c>
      <c r="W23" s="2"/>
      <c r="X23" s="6">
        <f t="shared" si="14"/>
        <v>-46964.2</v>
      </c>
      <c r="Y23" s="2"/>
      <c r="Z23" s="7">
        <f t="shared" si="15"/>
        <v>-0.87029824321474547</v>
      </c>
    </row>
    <row r="24" spans="1:26" s="27" customFormat="1" outlineLevel="1" collapsed="1" x14ac:dyDescent="0.25">
      <c r="A24" s="26"/>
      <c r="B24" s="12" t="str">
        <f>CONCATENATE("     ","Board                                             ")</f>
        <v xml:space="preserve">     Board                                             </v>
      </c>
      <c r="C24" s="12"/>
      <c r="D24" s="1">
        <f>SUM(OSRRefD22_2x_0)</f>
        <v>1048.1099999999999</v>
      </c>
      <c r="E24" s="1"/>
      <c r="F24" s="5">
        <f t="shared" si="8"/>
        <v>0</v>
      </c>
      <c r="G24" s="1"/>
      <c r="H24" s="1">
        <f>SUM(OSRRefH22_2x_0)</f>
        <v>1452.6</v>
      </c>
      <c r="I24" s="1"/>
      <c r="J24" s="5">
        <f t="shared" si="9"/>
        <v>0</v>
      </c>
      <c r="K24" s="1"/>
      <c r="L24" s="1">
        <f t="shared" si="10"/>
        <v>-404.49</v>
      </c>
      <c r="M24" s="1"/>
      <c r="N24" s="5">
        <f t="shared" si="11"/>
        <v>-0.27845931433292032</v>
      </c>
      <c r="O24" s="12"/>
      <c r="P24" s="1">
        <f>SUM(OSRRefP22_2x_0)</f>
        <v>15246.13</v>
      </c>
      <c r="Q24" s="1"/>
      <c r="R24" s="5">
        <f t="shared" si="12"/>
        <v>0</v>
      </c>
      <c r="S24" s="1"/>
      <c r="T24" s="1">
        <f>SUM(OSRRefT22_2x_0)</f>
        <v>42435.31</v>
      </c>
      <c r="U24" s="1"/>
      <c r="V24" s="5">
        <f t="shared" si="13"/>
        <v>0</v>
      </c>
      <c r="W24" s="1"/>
      <c r="X24" s="1">
        <f t="shared" si="14"/>
        <v>-27189.18</v>
      </c>
      <c r="Y24" s="1"/>
      <c r="Z24" s="5">
        <f t="shared" si="15"/>
        <v>-0.6407206639942068</v>
      </c>
    </row>
    <row r="25" spans="1:26" s="23" customFormat="1" hidden="1" outlineLevel="2" x14ac:dyDescent="0.25">
      <c r="A25" s="25"/>
      <c r="B25" s="10" t="str">
        <f>CONCATENATE("          ", "6397", " - ", "BOARD EXPENSES")</f>
        <v xml:space="preserve">          6397 - BOARD EXPENSES</v>
      </c>
      <c r="C25" s="10"/>
      <c r="D25" s="6">
        <v>1048.1099999999999</v>
      </c>
      <c r="E25" s="2"/>
      <c r="F25" s="7">
        <f t="shared" si="8"/>
        <v>0</v>
      </c>
      <c r="G25" s="2"/>
      <c r="H25" s="6">
        <v>1452.6</v>
      </c>
      <c r="I25" s="2"/>
      <c r="J25" s="7">
        <f t="shared" si="9"/>
        <v>0</v>
      </c>
      <c r="K25" s="2"/>
      <c r="L25" s="6">
        <f t="shared" si="10"/>
        <v>-404.49</v>
      </c>
      <c r="M25" s="2"/>
      <c r="N25" s="7">
        <f t="shared" si="11"/>
        <v>-0.27845931433292032</v>
      </c>
      <c r="O25" s="10"/>
      <c r="P25" s="6">
        <v>15246.13</v>
      </c>
      <c r="Q25" s="2"/>
      <c r="R25" s="7">
        <f t="shared" si="12"/>
        <v>0</v>
      </c>
      <c r="S25" s="2"/>
      <c r="T25" s="6">
        <v>42435.31</v>
      </c>
      <c r="U25" s="2"/>
      <c r="V25" s="7">
        <f t="shared" si="13"/>
        <v>0</v>
      </c>
      <c r="W25" s="2"/>
      <c r="X25" s="6">
        <f t="shared" si="14"/>
        <v>-27189.18</v>
      </c>
      <c r="Y25" s="2"/>
      <c r="Z25" s="7">
        <f t="shared" si="15"/>
        <v>-0.6407206639942068</v>
      </c>
    </row>
    <row r="26" spans="1:26" s="27" customFormat="1" outlineLevel="1" collapsed="1" x14ac:dyDescent="0.25">
      <c r="A26" s="26"/>
      <c r="B26" s="12" t="str">
        <f>CONCATENATE("     ","Donations                                         ")</f>
        <v xml:space="preserve">     Donations                                         </v>
      </c>
      <c r="C26" s="12"/>
      <c r="D26" s="1">
        <f>SUM(OSRRefD22_3x_0)</f>
        <v>0</v>
      </c>
      <c r="E26" s="1"/>
      <c r="F26" s="5">
        <f t="shared" si="8"/>
        <v>0</v>
      </c>
      <c r="G26" s="1"/>
      <c r="H26" s="1">
        <f>SUM(OSRRefH22_3x_0)</f>
        <v>0</v>
      </c>
      <c r="I26" s="1"/>
      <c r="J26" s="5">
        <f t="shared" si="9"/>
        <v>0</v>
      </c>
      <c r="K26" s="1"/>
      <c r="L26" s="1">
        <f t="shared" si="10"/>
        <v>0</v>
      </c>
      <c r="M26" s="1"/>
      <c r="N26" s="5">
        <f t="shared" si="11"/>
        <v>0</v>
      </c>
      <c r="O26" s="12"/>
      <c r="P26" s="1">
        <f>SUM(OSRRefP22_3x_0)</f>
        <v>0</v>
      </c>
      <c r="Q26" s="1"/>
      <c r="R26" s="5">
        <f t="shared" si="12"/>
        <v>0</v>
      </c>
      <c r="S26" s="1"/>
      <c r="T26" s="1">
        <f>SUM(OSRRefT22_3x_0)</f>
        <v>103128.19</v>
      </c>
      <c r="U26" s="1"/>
      <c r="V26" s="5">
        <f t="shared" si="13"/>
        <v>0</v>
      </c>
      <c r="W26" s="1"/>
      <c r="X26" s="1">
        <f t="shared" si="14"/>
        <v>-103128.19</v>
      </c>
      <c r="Y26" s="1"/>
      <c r="Z26" s="5">
        <f t="shared" si="15"/>
        <v>-1</v>
      </c>
    </row>
    <row r="27" spans="1:26" s="23" customFormat="1" hidden="1" outlineLevel="2" x14ac:dyDescent="0.25">
      <c r="A27" s="25"/>
      <c r="B27" s="10" t="str">
        <f>CONCATENATE("          ", "6399", " - ", "DONATION-ON CAMPUS")</f>
        <v xml:space="preserve">          6399 - DONATION-ON CAMPUS</v>
      </c>
      <c r="C27" s="10"/>
      <c r="D27" s="6"/>
      <c r="E27" s="2"/>
      <c r="F27" s="7">
        <f t="shared" si="8"/>
        <v>0</v>
      </c>
      <c r="G27" s="2"/>
      <c r="H27" s="6"/>
      <c r="I27" s="2"/>
      <c r="J27" s="7">
        <f t="shared" si="9"/>
        <v>0</v>
      </c>
      <c r="K27" s="2"/>
      <c r="L27" s="6">
        <f t="shared" si="10"/>
        <v>0</v>
      </c>
      <c r="M27" s="2"/>
      <c r="N27" s="7">
        <f t="shared" si="11"/>
        <v>0</v>
      </c>
      <c r="O27" s="10"/>
      <c r="P27" s="6"/>
      <c r="Q27" s="2"/>
      <c r="R27" s="7">
        <f t="shared" si="12"/>
        <v>0</v>
      </c>
      <c r="S27" s="2"/>
      <c r="T27" s="6">
        <v>103128.19</v>
      </c>
      <c r="U27" s="2"/>
      <c r="V27" s="7">
        <f t="shared" si="13"/>
        <v>0</v>
      </c>
      <c r="W27" s="2"/>
      <c r="X27" s="6">
        <f t="shared" si="14"/>
        <v>-103128.19</v>
      </c>
      <c r="Y27" s="2"/>
      <c r="Z27" s="7">
        <f t="shared" si="15"/>
        <v>-1</v>
      </c>
    </row>
    <row r="28" spans="1:26" s="27" customFormat="1" outlineLevel="1" collapsed="1" x14ac:dyDescent="0.25">
      <c r="A28" s="26"/>
      <c r="B28" s="12" t="str">
        <f>CONCATENATE("     ","Professional Services                             ")</f>
        <v xml:space="preserve">     Professional Services                             </v>
      </c>
      <c r="C28" s="12"/>
      <c r="D28" s="1">
        <f>SUM(OSRRefD22_4x_0)</f>
        <v>0</v>
      </c>
      <c r="E28" s="1"/>
      <c r="F28" s="5">
        <f t="shared" si="8"/>
        <v>0</v>
      </c>
      <c r="G28" s="1"/>
      <c r="H28" s="1">
        <f>SUM(OSRRefH22_4x_0)</f>
        <v>0</v>
      </c>
      <c r="I28" s="1"/>
      <c r="J28" s="5">
        <f t="shared" si="9"/>
        <v>0</v>
      </c>
      <c r="K28" s="1"/>
      <c r="L28" s="1">
        <f t="shared" si="10"/>
        <v>0</v>
      </c>
      <c r="M28" s="1"/>
      <c r="N28" s="5">
        <f t="shared" si="11"/>
        <v>0</v>
      </c>
      <c r="O28" s="12"/>
      <c r="P28" s="1">
        <f>SUM(OSRRefP22_4x_0)</f>
        <v>46568</v>
      </c>
      <c r="Q28" s="1"/>
      <c r="R28" s="5">
        <f t="shared" si="12"/>
        <v>0</v>
      </c>
      <c r="S28" s="1"/>
      <c r="T28" s="1">
        <f>SUM(OSRRefT22_4x_0)</f>
        <v>61235.24</v>
      </c>
      <c r="U28" s="1"/>
      <c r="V28" s="5">
        <f t="shared" si="13"/>
        <v>0</v>
      </c>
      <c r="W28" s="1"/>
      <c r="X28" s="1">
        <f t="shared" si="14"/>
        <v>-14667.239999999998</v>
      </c>
      <c r="Y28" s="1"/>
      <c r="Z28" s="5">
        <f t="shared" si="15"/>
        <v>-0.23952286297889905</v>
      </c>
    </row>
    <row r="29" spans="1:26" s="23" customFormat="1" hidden="1" outlineLevel="2" x14ac:dyDescent="0.25">
      <c r="A29" s="25"/>
      <c r="B29" s="10" t="str">
        <f>CONCATENATE("          ", "6331", " - ", "INDIRECT COSTS-AUXILIARY ORGAN")</f>
        <v xml:space="preserve">          6331 - INDIRECT COSTS-AUXILIARY ORGAN</v>
      </c>
      <c r="C29" s="10"/>
      <c r="D29" s="6"/>
      <c r="E29" s="2"/>
      <c r="F29" s="7">
        <f t="shared" si="8"/>
        <v>0</v>
      </c>
      <c r="G29" s="2"/>
      <c r="H29" s="6"/>
      <c r="I29" s="2"/>
      <c r="J29" s="7">
        <f t="shared" si="9"/>
        <v>0</v>
      </c>
      <c r="K29" s="2"/>
      <c r="L29" s="6">
        <f t="shared" si="10"/>
        <v>0</v>
      </c>
      <c r="M29" s="2"/>
      <c r="N29" s="7">
        <f t="shared" si="11"/>
        <v>0</v>
      </c>
      <c r="O29" s="10"/>
      <c r="P29" s="6">
        <v>46568</v>
      </c>
      <c r="Q29" s="2"/>
      <c r="R29" s="7">
        <f t="shared" si="12"/>
        <v>0</v>
      </c>
      <c r="S29" s="2"/>
      <c r="T29" s="6">
        <v>46173</v>
      </c>
      <c r="U29" s="2"/>
      <c r="V29" s="7">
        <f t="shared" si="13"/>
        <v>0</v>
      </c>
      <c r="W29" s="2"/>
      <c r="X29" s="6">
        <f t="shared" si="14"/>
        <v>395</v>
      </c>
      <c r="Y29" s="2"/>
      <c r="Z29" s="7">
        <f t="shared" si="15"/>
        <v>8.5547830983475192E-3</v>
      </c>
    </row>
    <row r="30" spans="1:26" s="23" customFormat="1" hidden="1" outlineLevel="2" x14ac:dyDescent="0.25">
      <c r="A30" s="25"/>
      <c r="B30" s="10" t="str">
        <f>CONCATENATE("          ", "6332", " - ", "CONSULTANT FEES")</f>
        <v xml:space="preserve">          6332 - CONSULTANT FEES</v>
      </c>
      <c r="C30" s="10"/>
      <c r="D30" s="6"/>
      <c r="E30" s="2"/>
      <c r="F30" s="7">
        <f t="shared" si="8"/>
        <v>0</v>
      </c>
      <c r="G30" s="2"/>
      <c r="H30" s="6"/>
      <c r="I30" s="2"/>
      <c r="J30" s="7">
        <f t="shared" si="9"/>
        <v>0</v>
      </c>
      <c r="K30" s="2"/>
      <c r="L30" s="6">
        <f t="shared" si="10"/>
        <v>0</v>
      </c>
      <c r="M30" s="2"/>
      <c r="N30" s="7">
        <f t="shared" si="11"/>
        <v>0</v>
      </c>
      <c r="O30" s="10"/>
      <c r="P30" s="6"/>
      <c r="Q30" s="2"/>
      <c r="R30" s="7">
        <f t="shared" si="12"/>
        <v>0</v>
      </c>
      <c r="S30" s="2"/>
      <c r="T30" s="6">
        <v>15062.24</v>
      </c>
      <c r="U30" s="2"/>
      <c r="V30" s="7">
        <f t="shared" si="13"/>
        <v>0</v>
      </c>
      <c r="W30" s="2"/>
      <c r="X30" s="6">
        <f t="shared" si="14"/>
        <v>-15062.24</v>
      </c>
      <c r="Y30" s="2"/>
      <c r="Z30" s="7">
        <f t="shared" si="15"/>
        <v>-1</v>
      </c>
    </row>
    <row r="31" spans="1:26" s="52" customFormat="1" x14ac:dyDescent="0.25">
      <c r="A31" s="37"/>
      <c r="B31" s="37"/>
      <c r="C31" s="37"/>
      <c r="D31" s="1"/>
      <c r="E31" s="1"/>
      <c r="F31" s="5"/>
      <c r="G31" s="1"/>
      <c r="H31" s="1"/>
      <c r="I31" s="1"/>
      <c r="J31" s="5"/>
      <c r="K31" s="1"/>
      <c r="L31" s="1"/>
      <c r="M31" s="1"/>
      <c r="N31" s="5"/>
      <c r="O31" s="37"/>
      <c r="P31" s="1"/>
      <c r="Q31" s="1"/>
      <c r="R31" s="5"/>
      <c r="S31" s="1"/>
      <c r="T31" s="1"/>
      <c r="U31" s="1"/>
      <c r="V31" s="5"/>
      <c r="W31" s="1"/>
      <c r="X31" s="1"/>
      <c r="Y31" s="1"/>
      <c r="Z31" s="5"/>
    </row>
    <row r="32" spans="1:26" s="24" customFormat="1" x14ac:dyDescent="0.25">
      <c r="A32" s="11"/>
      <c r="B32" s="29" t="s">
        <v>292</v>
      </c>
      <c r="C32" s="11"/>
      <c r="D32" s="4">
        <f>SUM(0)</f>
        <v>0</v>
      </c>
      <c r="E32" s="4"/>
      <c r="F32" s="13">
        <f>IF(D$12=0,0,D32/D$12)</f>
        <v>0</v>
      </c>
      <c r="G32" s="4"/>
      <c r="H32" s="4">
        <f>SUM(0)</f>
        <v>0</v>
      </c>
      <c r="I32" s="4"/>
      <c r="J32" s="13">
        <f>IF(H$12=0,0,H32/H$12)</f>
        <v>0</v>
      </c>
      <c r="K32" s="4"/>
      <c r="L32" s="4">
        <f>+D32-H32</f>
        <v>0</v>
      </c>
      <c r="M32" s="4"/>
      <c r="N32" s="13">
        <f>IF(H32=0,0,L32/H32)</f>
        <v>0</v>
      </c>
      <c r="O32" s="11"/>
      <c r="P32" s="4">
        <f>SUM(0)</f>
        <v>0</v>
      </c>
      <c r="Q32" s="4"/>
      <c r="R32" s="13">
        <f>IF(P$12=0,0,P32/P$12)</f>
        <v>0</v>
      </c>
      <c r="S32" s="4"/>
      <c r="T32" s="4">
        <f>SUM(0)</f>
        <v>0</v>
      </c>
      <c r="U32" s="4"/>
      <c r="V32" s="13">
        <f>IF(T$12=0,0,T32/T$12)</f>
        <v>0</v>
      </c>
      <c r="W32" s="4"/>
      <c r="X32" s="4">
        <f>+P32-T32</f>
        <v>0</v>
      </c>
      <c r="Y32" s="4"/>
      <c r="Z32" s="13">
        <f>IF(T32=0,0,X32/T32)</f>
        <v>0</v>
      </c>
    </row>
    <row r="33" spans="1:26" x14ac:dyDescent="0.25">
      <c r="A33" s="9"/>
      <c r="B33" s="11"/>
      <c r="C33" s="11"/>
      <c r="D33" s="3"/>
      <c r="E33" s="3"/>
      <c r="F33" s="8"/>
      <c r="G33" s="3"/>
      <c r="H33" s="3"/>
      <c r="I33" s="3"/>
      <c r="J33" s="8"/>
      <c r="K33" s="3"/>
      <c r="L33" s="3"/>
      <c r="M33" s="3"/>
      <c r="N33" s="8"/>
      <c r="O33" s="11"/>
      <c r="P33" s="3"/>
      <c r="Q33" s="3"/>
      <c r="R33" s="8"/>
      <c r="S33" s="3"/>
      <c r="T33" s="3"/>
      <c r="U33" s="3"/>
      <c r="V33" s="8"/>
      <c r="W33" s="3"/>
      <c r="X33" s="3"/>
      <c r="Y33" s="3"/>
      <c r="Z33" s="8"/>
    </row>
    <row r="34" spans="1:26" s="24" customFormat="1" x14ac:dyDescent="0.25">
      <c r="A34" s="11"/>
      <c r="B34" s="28" t="s">
        <v>276</v>
      </c>
      <c r="C34" s="28"/>
      <c r="D34" s="21">
        <f>+D16-D18+D32</f>
        <v>-9658.2599999999584</v>
      </c>
      <c r="E34" s="14"/>
      <c r="F34" s="22">
        <f>IF(D$12=0,0,D34/D$12)</f>
        <v>0</v>
      </c>
      <c r="G34" s="14"/>
      <c r="H34" s="21">
        <f>+H16-H18+H32</f>
        <v>-656214.15999999992</v>
      </c>
      <c r="I34" s="14"/>
      <c r="J34" s="22">
        <f>IF(H$12=0,0,H34/H$12)</f>
        <v>0</v>
      </c>
      <c r="K34" s="15"/>
      <c r="L34" s="21">
        <f>+D34-H34</f>
        <v>646555.89999999991</v>
      </c>
      <c r="M34" s="15"/>
      <c r="N34" s="22">
        <f>IF(H34=0,0,L34/H34)</f>
        <v>-0.98528184762120952</v>
      </c>
      <c r="O34" s="29"/>
      <c r="P34" s="21">
        <f>+P16-P18+P32</f>
        <v>-726.46999999995023</v>
      </c>
      <c r="Q34" s="14"/>
      <c r="R34" s="22">
        <f>IF(P$12=0,0,P34/P$12)</f>
        <v>0</v>
      </c>
      <c r="S34" s="14"/>
      <c r="T34" s="21">
        <f>+T16-T18+T32</f>
        <v>-1233508.1099999999</v>
      </c>
      <c r="U34" s="14"/>
      <c r="V34" s="22">
        <f>IF(T$12=0,0,T34/T$12)</f>
        <v>0</v>
      </c>
      <c r="W34" s="15"/>
      <c r="X34" s="21">
        <f>+P34-T34</f>
        <v>1232781.6399999999</v>
      </c>
      <c r="Y34" s="15"/>
      <c r="Z34" s="22">
        <f>IF(T34=0,0,X34/T34)</f>
        <v>-0.99941105373032368</v>
      </c>
    </row>
    <row r="35" spans="1:26" x14ac:dyDescent="0.25">
      <c r="A35" s="9"/>
      <c r="B35" s="11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4" customFormat="1" x14ac:dyDescent="0.25">
      <c r="A36" s="51"/>
      <c r="B36" s="11" t="s">
        <v>127</v>
      </c>
      <c r="C36" s="11"/>
      <c r="D36" s="4"/>
      <c r="E36" s="4"/>
      <c r="F36" s="13">
        <f>IF(D$12=0,0,D36/D$12)</f>
        <v>0</v>
      </c>
      <c r="G36" s="4"/>
      <c r="H36" s="4"/>
      <c r="I36" s="4"/>
      <c r="J36" s="13">
        <f>IF(H$12=0,0,H36/H$12)</f>
        <v>0</v>
      </c>
      <c r="K36" s="4"/>
      <c r="L36" s="4">
        <f>+D36-H36</f>
        <v>0</v>
      </c>
      <c r="M36" s="4"/>
      <c r="N36" s="13">
        <f>IF(H36=0,0,L36/H36)</f>
        <v>0</v>
      </c>
      <c r="O36" s="11"/>
      <c r="P36" s="4"/>
      <c r="Q36" s="4"/>
      <c r="R36" s="13">
        <f>IF(P$12=0,0,P36/P$12)</f>
        <v>0</v>
      </c>
      <c r="S36" s="4"/>
      <c r="T36" s="4"/>
      <c r="U36" s="4"/>
      <c r="V36" s="13">
        <f>IF(T$12=0,0,T36/T$12)</f>
        <v>0</v>
      </c>
      <c r="W36" s="4"/>
      <c r="X36" s="4">
        <f>+P36-T36</f>
        <v>0</v>
      </c>
      <c r="Y36" s="4"/>
      <c r="Z36" s="13">
        <f>IF(T36=0,0,X36/T36)</f>
        <v>0</v>
      </c>
    </row>
    <row r="37" spans="1:26" x14ac:dyDescent="0.25">
      <c r="A37" s="9"/>
      <c r="B37" s="11"/>
      <c r="C37" s="11"/>
      <c r="D37" s="3"/>
      <c r="E37" s="3"/>
      <c r="F37" s="8"/>
      <c r="G37" s="3"/>
      <c r="H37" s="3"/>
      <c r="I37" s="3"/>
      <c r="J37" s="8"/>
      <c r="K37" s="3"/>
      <c r="L37" s="3"/>
      <c r="M37" s="3"/>
      <c r="N37" s="8"/>
      <c r="O37" s="11"/>
      <c r="P37" s="3"/>
      <c r="Q37" s="3"/>
      <c r="R37" s="8"/>
      <c r="S37" s="3"/>
      <c r="T37" s="3"/>
      <c r="U37" s="3"/>
      <c r="V37" s="8"/>
      <c r="W37" s="3"/>
      <c r="X37" s="3"/>
      <c r="Y37" s="3"/>
      <c r="Z37" s="8"/>
    </row>
    <row r="38" spans="1:26" s="24" customFormat="1" ht="15.75" thickBot="1" x14ac:dyDescent="0.3">
      <c r="A38" s="11"/>
      <c r="B38" s="28" t="s">
        <v>125</v>
      </c>
      <c r="C38" s="28"/>
      <c r="D38" s="34">
        <f>+D34-D36</f>
        <v>-9658.2599999999584</v>
      </c>
      <c r="E38" s="14"/>
      <c r="F38" s="31">
        <f>IF(D$12=0,0,D38/D$12)</f>
        <v>0</v>
      </c>
      <c r="G38" s="14"/>
      <c r="H38" s="34">
        <f>+H34-H36</f>
        <v>-656214.15999999992</v>
      </c>
      <c r="I38" s="14"/>
      <c r="J38" s="31">
        <f>IF(H$12=0,0,H38/H$12)</f>
        <v>0</v>
      </c>
      <c r="K38" s="15"/>
      <c r="L38" s="34">
        <f>D38-H38</f>
        <v>646555.89999999991</v>
      </c>
      <c r="M38" s="15"/>
      <c r="N38" s="31">
        <f>IF(H38=0,0,L38/H38)</f>
        <v>-0.98528184762120952</v>
      </c>
      <c r="O38" s="29"/>
      <c r="P38" s="34">
        <f>+P34-P36</f>
        <v>-726.46999999995023</v>
      </c>
      <c r="Q38" s="14"/>
      <c r="R38" s="31">
        <f>IF(P$12=0,0,P38/P$12)</f>
        <v>0</v>
      </c>
      <c r="S38" s="14"/>
      <c r="T38" s="34">
        <f>+T34-T36</f>
        <v>-1233508.1099999999</v>
      </c>
      <c r="U38" s="14"/>
      <c r="V38" s="31">
        <f>IF(T$12=0,0,T38/T$12)</f>
        <v>0</v>
      </c>
      <c r="W38" s="15"/>
      <c r="X38" s="34">
        <f>P38-T38</f>
        <v>1232781.6399999999</v>
      </c>
      <c r="Y38" s="15"/>
      <c r="Z38" s="31">
        <f>IF(T38=0,0,X38/T38)</f>
        <v>-0.99941105373032368</v>
      </c>
    </row>
    <row r="39" spans="1:26" ht="15.75" thickTop="1" x14ac:dyDescent="0.25">
      <c r="A39" s="9"/>
      <c r="B39" s="9"/>
      <c r="C39" s="9"/>
      <c r="D39" s="3"/>
      <c r="E39" s="3"/>
      <c r="F39" s="8"/>
      <c r="G39" s="3"/>
      <c r="H39" s="3"/>
      <c r="I39" s="3"/>
      <c r="J39" s="8"/>
      <c r="K39" s="3"/>
      <c r="L39" s="3"/>
      <c r="M39" s="3"/>
      <c r="N39" s="8"/>
      <c r="P39" s="3"/>
      <c r="Q39" s="3"/>
      <c r="R39" s="8"/>
      <c r="S39" s="3"/>
      <c r="T39" s="3"/>
      <c r="U39" s="3"/>
      <c r="V39" s="8"/>
      <c r="W39" s="3"/>
      <c r="X39" s="3"/>
      <c r="Y39" s="3"/>
      <c r="Z39" s="8"/>
    </row>
    <row r="40" spans="1:26" x14ac:dyDescent="0.25">
      <c r="A40" s="9"/>
      <c r="B40" s="9"/>
      <c r="C40" s="9"/>
      <c r="D40" s="3"/>
      <c r="E40" s="3"/>
      <c r="F40" s="8"/>
      <c r="G40" s="3"/>
      <c r="H40" s="3"/>
      <c r="I40" s="3"/>
      <c r="J40" s="8"/>
      <c r="K40" s="3"/>
      <c r="L40" s="3"/>
      <c r="M40" s="3"/>
      <c r="N40" s="8"/>
      <c r="P40" s="3"/>
      <c r="Q40" s="3"/>
      <c r="R40" s="8"/>
      <c r="S40" s="3"/>
      <c r="T40" s="3"/>
      <c r="U40" s="3"/>
      <c r="V40" s="8"/>
      <c r="W40" s="3"/>
      <c r="X40" s="3"/>
      <c r="Y40" s="3"/>
      <c r="Z40" s="8"/>
    </row>
    <row r="41" spans="1:26" s="24" customFormat="1" ht="15.75" thickBot="1" x14ac:dyDescent="0.3">
      <c r="A41" s="11"/>
      <c r="B41" s="28" t="s">
        <v>293</v>
      </c>
      <c r="C41" s="28"/>
      <c r="D41" s="33">
        <f>SUM(D38:D40)</f>
        <v>-9658.2599999999584</v>
      </c>
      <c r="E41" s="14"/>
      <c r="F41" s="35">
        <f>IF(D$12=0,0,D41/D$12)</f>
        <v>0</v>
      </c>
      <c r="G41" s="14"/>
      <c r="H41" s="33">
        <f>SUM(H38:H40)</f>
        <v>-656214.15999999992</v>
      </c>
      <c r="I41" s="14"/>
      <c r="J41" s="35">
        <f>IF(H$12=0,0,H41/H$12)</f>
        <v>0</v>
      </c>
      <c r="K41" s="15"/>
      <c r="L41" s="33">
        <f>+D41-H41</f>
        <v>646555.89999999991</v>
      </c>
      <c r="M41" s="15"/>
      <c r="N41" s="35">
        <f>IF(H41=0,0,L41/H41)</f>
        <v>-0.98528184762120952</v>
      </c>
      <c r="O41" s="29"/>
      <c r="P41" s="33">
        <f>SUM(P38:P40)</f>
        <v>-726.46999999995023</v>
      </c>
      <c r="Q41" s="14"/>
      <c r="R41" s="35">
        <f>IF(P$12=0,0,P41/P$12)</f>
        <v>0</v>
      </c>
      <c r="S41" s="14"/>
      <c r="T41" s="33">
        <f>SUM(T38:T40)</f>
        <v>-1233508.1099999999</v>
      </c>
      <c r="U41" s="14"/>
      <c r="V41" s="35">
        <f>IF(T$12=0,0,T41/T$12)</f>
        <v>0</v>
      </c>
      <c r="W41" s="15"/>
      <c r="X41" s="33">
        <f>+P41-T41</f>
        <v>1232781.6399999999</v>
      </c>
      <c r="Y41" s="15"/>
      <c r="Z41" s="35">
        <f>IF(T41=0,0,X41/T41)</f>
        <v>-0.99941105373032368</v>
      </c>
    </row>
    <row r="42" spans="1:26" ht="15.75" thickTop="1" x14ac:dyDescent="0.25">
      <c r="A42" s="9"/>
      <c r="C42" s="9"/>
      <c r="D42" s="18"/>
      <c r="E42" s="18"/>
      <c r="G42" s="18"/>
      <c r="H42" s="18"/>
      <c r="I42" s="18"/>
      <c r="J42" s="43"/>
      <c r="K42" s="18"/>
      <c r="L42" s="18"/>
      <c r="M42" s="18"/>
      <c r="P42" s="18"/>
      <c r="Q42" s="18"/>
      <c r="R42" s="43"/>
      <c r="S42" s="18"/>
      <c r="T42" s="18"/>
      <c r="U42" s="18"/>
      <c r="V42" s="43"/>
      <c r="W42" s="18"/>
      <c r="X42" s="18"/>
    </row>
    <row r="43" spans="1:26" x14ac:dyDescent="0.25">
      <c r="A43" s="9"/>
      <c r="B43" s="56">
        <v>44454.698585613427</v>
      </c>
      <c r="D43" s="18"/>
      <c r="E43" s="18"/>
      <c r="G43" s="18"/>
      <c r="H43" s="18"/>
      <c r="I43" s="18"/>
      <c r="J43" s="43"/>
      <c r="K43" s="18"/>
      <c r="L43" s="18"/>
      <c r="M43" s="18"/>
      <c r="P43" s="18"/>
      <c r="Q43" s="18"/>
      <c r="R43" s="43"/>
      <c r="S43" s="18"/>
      <c r="T43" s="18"/>
      <c r="U43" s="18"/>
      <c r="V43" s="43"/>
      <c r="W43" s="18"/>
      <c r="X43" s="18"/>
    </row>
    <row r="44" spans="1:26" x14ac:dyDescent="0.25">
      <c r="A44" s="9"/>
      <c r="B44" s="55" t="s">
        <v>56</v>
      </c>
      <c r="D44" s="18"/>
      <c r="E44" s="18"/>
      <c r="G44" s="18"/>
      <c r="H44" s="18"/>
      <c r="I44" s="18"/>
      <c r="J44" s="43"/>
      <c r="K44" s="18"/>
      <c r="L44" s="18"/>
      <c r="M44" s="18"/>
      <c r="P44" s="18"/>
      <c r="Q44" s="18"/>
      <c r="R44" s="43"/>
      <c r="S44" s="18"/>
      <c r="T44" s="18"/>
      <c r="U44" s="18"/>
      <c r="V44" s="43"/>
      <c r="W44" s="18"/>
      <c r="X44" s="18"/>
    </row>
    <row r="45" spans="1:26" x14ac:dyDescent="0.25">
      <c r="A45" s="9"/>
      <c r="B45" s="60"/>
      <c r="D45" s="18"/>
      <c r="E45" s="18"/>
      <c r="G45" s="18"/>
      <c r="H45" s="18"/>
      <c r="I45" s="18"/>
      <c r="J45" s="43"/>
      <c r="K45" s="18"/>
      <c r="L45" s="18"/>
      <c r="M45" s="18"/>
      <c r="P45" s="18"/>
      <c r="Q45" s="18"/>
      <c r="R45" s="43"/>
      <c r="S45" s="18"/>
      <c r="T45" s="18"/>
      <c r="U45" s="18"/>
      <c r="V45" s="43"/>
      <c r="W45" s="18"/>
      <c r="X45" s="18"/>
    </row>
    <row r="46" spans="1:26" x14ac:dyDescent="0.25">
      <c r="D46" s="18"/>
      <c r="E46" s="18"/>
      <c r="G46" s="18"/>
      <c r="H46" s="18"/>
      <c r="I46" s="18"/>
      <c r="J46" s="43"/>
      <c r="K46" s="18"/>
      <c r="L46" s="18"/>
      <c r="M46" s="18"/>
      <c r="P46" s="18"/>
      <c r="Q46" s="18"/>
      <c r="R46" s="43"/>
      <c r="S46" s="18"/>
      <c r="T46" s="18"/>
      <c r="U46" s="18"/>
      <c r="V46" s="43"/>
      <c r="W46" s="18"/>
      <c r="X46" s="18"/>
    </row>
  </sheetData>
  <pageMargins left="0.25" right="0.25" top="0.75" bottom="0.75" header="0.3" footer="0.3"/>
  <pageSetup scale="55" fitToWidth="2" orientation="landscape"/>
  <drawing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>
    <tabColor rgb="FF92D050"/>
    <outlinePr summaryBelow="0" summaryRight="0"/>
  </sheetPr>
  <dimension ref="A2:Z82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62" t="s">
        <v>23</v>
      </c>
    </row>
    <row r="3" spans="1:26" x14ac:dyDescent="0.25">
      <c r="D3" s="62" t="s">
        <v>236</v>
      </c>
      <c r="E3" s="17"/>
      <c r="F3" s="46"/>
      <c r="G3" s="17"/>
      <c r="H3" s="17"/>
      <c r="I3" s="17"/>
      <c r="J3" s="38"/>
      <c r="K3" s="17"/>
      <c r="L3" s="17"/>
      <c r="M3" s="17"/>
      <c r="N3" s="46"/>
      <c r="O3" s="53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2" t="str">
        <f>CONCATENATE("Period ",RIGHT(202112,2),", ",2021)</f>
        <v>Period 12, 2021</v>
      </c>
      <c r="E4" s="17"/>
      <c r="F4" s="46"/>
      <c r="G4" s="17"/>
      <c r="H4" s="17"/>
      <c r="I4" s="17"/>
      <c r="J4" s="38"/>
      <c r="K4" s="17"/>
      <c r="L4" s="17"/>
      <c r="M4" s="17"/>
      <c r="N4" s="46"/>
      <c r="O4" s="53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4"/>
      <c r="D5" s="63">
        <v>44377</v>
      </c>
      <c r="E5" s="17"/>
      <c r="F5" s="46"/>
      <c r="G5" s="17"/>
      <c r="H5" s="17"/>
      <c r="I5" s="17"/>
      <c r="J5" s="38"/>
      <c r="K5" s="17"/>
      <c r="L5" s="17"/>
      <c r="M5" s="17"/>
      <c r="N5" s="46"/>
      <c r="O5" s="53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4"/>
      <c r="B6" s="48"/>
      <c r="C6" s="48"/>
      <c r="D6" s="24" t="str">
        <f>CONCATENATE("Department ","201", " - ", "General Manager")</f>
        <v>Department 201 - General Manager</v>
      </c>
      <c r="E6" s="17"/>
      <c r="F6" s="46"/>
      <c r="G6" s="17"/>
      <c r="H6" s="17"/>
      <c r="I6" s="17"/>
      <c r="J6" s="38"/>
      <c r="K6" s="17"/>
      <c r="L6" s="17"/>
      <c r="M6" s="17"/>
      <c r="N6" s="46"/>
      <c r="O6" s="54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9"/>
    </row>
    <row r="8" spans="1:26" x14ac:dyDescent="0.25">
      <c r="B8" s="59"/>
    </row>
    <row r="9" spans="1:26" x14ac:dyDescent="0.25">
      <c r="B9" s="9"/>
      <c r="C9" s="9"/>
      <c r="D9" s="16" t="s">
        <v>291</v>
      </c>
      <c r="E9" s="16"/>
      <c r="F9" s="39"/>
      <c r="G9" s="16"/>
      <c r="H9" s="16"/>
      <c r="I9" s="16"/>
      <c r="J9" s="49"/>
      <c r="K9" s="16"/>
      <c r="L9" s="16"/>
      <c r="M9" s="16"/>
      <c r="N9" s="39"/>
      <c r="P9" s="16" t="s">
        <v>39</v>
      </c>
      <c r="Q9" s="16"/>
      <c r="R9" s="39"/>
      <c r="S9" s="16"/>
      <c r="T9" s="16"/>
      <c r="U9" s="16"/>
      <c r="V9" s="49"/>
      <c r="W9" s="16"/>
      <c r="X9" s="16"/>
      <c r="Y9" s="16"/>
      <c r="Z9" s="39"/>
    </row>
    <row r="10" spans="1:26" x14ac:dyDescent="0.25">
      <c r="A10" s="11"/>
      <c r="B10" s="58"/>
      <c r="C10" s="11"/>
      <c r="D10" s="42" t="s">
        <v>57</v>
      </c>
      <c r="E10" s="36"/>
      <c r="F10" s="30" t="s">
        <v>40</v>
      </c>
      <c r="G10" s="36"/>
      <c r="H10" s="50" t="s">
        <v>237</v>
      </c>
      <c r="I10" s="36"/>
      <c r="J10" s="30" t="s">
        <v>40</v>
      </c>
      <c r="K10" s="11"/>
      <c r="L10" s="42" t="s">
        <v>126</v>
      </c>
      <c r="M10" s="11"/>
      <c r="N10" s="30" t="s">
        <v>257</v>
      </c>
      <c r="O10" s="11"/>
      <c r="P10" s="61" t="s">
        <v>57</v>
      </c>
      <c r="Q10" s="36"/>
      <c r="R10" s="30" t="s">
        <v>40</v>
      </c>
      <c r="S10" s="36"/>
      <c r="T10" s="50" t="s">
        <v>237</v>
      </c>
      <c r="U10" s="36"/>
      <c r="V10" s="30" t="s">
        <v>40</v>
      </c>
      <c r="W10" s="11"/>
      <c r="X10" s="42" t="s">
        <v>126</v>
      </c>
      <c r="Y10" s="11"/>
      <c r="Z10" s="30" t="s">
        <v>257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4" customFormat="1" x14ac:dyDescent="0.25">
      <c r="A12" s="11"/>
      <c r="B12" s="29" t="s">
        <v>139</v>
      </c>
      <c r="C12" s="11"/>
      <c r="D12" s="4">
        <f>SUM(0)</f>
        <v>0</v>
      </c>
      <c r="E12" s="4"/>
      <c r="F12" s="13"/>
      <c r="G12" s="4"/>
      <c r="H12" s="4">
        <f>SUM(0)</f>
        <v>0</v>
      </c>
      <c r="I12" s="4"/>
      <c r="J12" s="13"/>
      <c r="K12" s="4"/>
      <c r="L12" s="4">
        <f>+D12-H12</f>
        <v>0</v>
      </c>
      <c r="M12" s="4"/>
      <c r="N12" s="13">
        <f>IF(H12=0,0,L12/H12)</f>
        <v>0</v>
      </c>
      <c r="O12" s="11"/>
      <c r="P12" s="4">
        <f>SUM(0)</f>
        <v>0</v>
      </c>
      <c r="Q12" s="4"/>
      <c r="R12" s="13"/>
      <c r="S12" s="4"/>
      <c r="T12" s="4">
        <f>SUM(0)</f>
        <v>0</v>
      </c>
      <c r="U12" s="4"/>
      <c r="V12" s="13"/>
      <c r="W12" s="4"/>
      <c r="X12" s="4">
        <f>+P12-T12</f>
        <v>0</v>
      </c>
      <c r="Y12" s="4"/>
      <c r="Z12" s="13">
        <f>IF(T12=0,0,X12/T12)</f>
        <v>0</v>
      </c>
    </row>
    <row r="13" spans="1:26" x14ac:dyDescent="0.25">
      <c r="A13" s="9"/>
      <c r="B13" s="11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4" customFormat="1" x14ac:dyDescent="0.25">
      <c r="A14" s="11"/>
      <c r="B14" s="29" t="s">
        <v>256</v>
      </c>
      <c r="C14" s="11"/>
      <c r="D14" s="4">
        <f>SUM(0)</f>
        <v>0</v>
      </c>
      <c r="E14" s="4"/>
      <c r="F14" s="13">
        <f>IF(D$12=0,0,D14/D$12)</f>
        <v>0</v>
      </c>
      <c r="G14" s="4"/>
      <c r="H14" s="4">
        <f>SUM(0)</f>
        <v>0</v>
      </c>
      <c r="I14" s="4"/>
      <c r="J14" s="13">
        <f>IF(H$12=0,0,H14/H$12)</f>
        <v>0</v>
      </c>
      <c r="K14" s="4"/>
      <c r="L14" s="4">
        <f>+D14-H14</f>
        <v>0</v>
      </c>
      <c r="M14" s="4"/>
      <c r="N14" s="13">
        <f>IF(H14=0,0,L14/H14)</f>
        <v>0</v>
      </c>
      <c r="O14" s="11"/>
      <c r="P14" s="4">
        <f>SUM(0)</f>
        <v>0</v>
      </c>
      <c r="Q14" s="4"/>
      <c r="R14" s="13">
        <f>IF(P$12=0,0,P14/P$12)</f>
        <v>0</v>
      </c>
      <c r="S14" s="4"/>
      <c r="T14" s="4">
        <f>SUM(0)</f>
        <v>0</v>
      </c>
      <c r="U14" s="4"/>
      <c r="V14" s="13">
        <f>IF(T$12=0,0,T14/T$12)</f>
        <v>0</v>
      </c>
      <c r="W14" s="4"/>
      <c r="X14" s="4">
        <f>+P14-T14</f>
        <v>0</v>
      </c>
      <c r="Y14" s="4"/>
      <c r="Z14" s="13">
        <f>IF(T14=0,0,X14/T14)</f>
        <v>0</v>
      </c>
    </row>
    <row r="15" spans="1:26" x14ac:dyDescent="0.25">
      <c r="A15" s="9"/>
      <c r="B15" s="11"/>
      <c r="C15" s="11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1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4" customFormat="1" x14ac:dyDescent="0.25">
      <c r="A16" s="11"/>
      <c r="B16" s="28" t="s">
        <v>107</v>
      </c>
      <c r="C16" s="28"/>
      <c r="D16" s="21">
        <f>D12-D14</f>
        <v>0</v>
      </c>
      <c r="E16" s="14"/>
      <c r="F16" s="22">
        <f>IF(D$12=0,0,D16/D$12)</f>
        <v>0</v>
      </c>
      <c r="G16" s="14"/>
      <c r="H16" s="21">
        <f>H12-H14</f>
        <v>0</v>
      </c>
      <c r="I16" s="14"/>
      <c r="J16" s="22">
        <f>IF(H$12=0,0,H16/H$12)</f>
        <v>0</v>
      </c>
      <c r="K16" s="15"/>
      <c r="L16" s="21">
        <f>+D16-H16</f>
        <v>0</v>
      </c>
      <c r="M16" s="15"/>
      <c r="N16" s="22">
        <f>IF(H16=0,0,L16/H16)</f>
        <v>0</v>
      </c>
      <c r="O16" s="29"/>
      <c r="P16" s="21">
        <f>P12-P14</f>
        <v>0</v>
      </c>
      <c r="Q16" s="14"/>
      <c r="R16" s="22">
        <f>IF(P$12=0,0,P16/P$12)</f>
        <v>0</v>
      </c>
      <c r="S16" s="14"/>
      <c r="T16" s="21">
        <f>T12-T14</f>
        <v>0</v>
      </c>
      <c r="U16" s="14"/>
      <c r="V16" s="22">
        <f>IF(T$12=0,0,T16/T$12)</f>
        <v>0</v>
      </c>
      <c r="W16" s="15"/>
      <c r="X16" s="21">
        <f>+P16-T16</f>
        <v>0</v>
      </c>
      <c r="Y16" s="15"/>
      <c r="Z16" s="22">
        <f>IF(T16=0,0,X16/T16)</f>
        <v>0</v>
      </c>
    </row>
    <row r="17" spans="1:26" x14ac:dyDescent="0.25">
      <c r="A17" s="9"/>
      <c r="B17" s="11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4" customFormat="1" x14ac:dyDescent="0.25">
      <c r="A18" s="11"/>
      <c r="B18" s="29" t="s">
        <v>294</v>
      </c>
      <c r="C18" s="11"/>
      <c r="D18" s="20">
        <f>SUM(OSRRefD22x_0)</f>
        <v>62958.810000000005</v>
      </c>
      <c r="E18" s="20"/>
      <c r="F18" s="32">
        <f t="shared" ref="F18:F27" si="0">IF(D$12=0,0,D18/D$12)</f>
        <v>0</v>
      </c>
      <c r="G18" s="20"/>
      <c r="H18" s="20">
        <f>SUM(OSRRefH22x_0)</f>
        <v>224540.49000000002</v>
      </c>
      <c r="I18" s="20"/>
      <c r="J18" s="32">
        <f t="shared" ref="J18:J27" si="1">IF(H$12=0,0,H18/H$12)</f>
        <v>0</v>
      </c>
      <c r="K18" s="4"/>
      <c r="L18" s="20">
        <f t="shared" ref="L18:L27" si="2">+D18-H18</f>
        <v>-161581.68000000002</v>
      </c>
      <c r="M18" s="4"/>
      <c r="N18" s="32">
        <f t="shared" ref="N18:N27" si="3">IF(H18=0,0,L18/H18)</f>
        <v>-0.71961043640726008</v>
      </c>
      <c r="O18" s="11"/>
      <c r="P18" s="20">
        <f>SUM(OSRRefP22x_0)</f>
        <v>476464.99000000005</v>
      </c>
      <c r="Q18" s="20"/>
      <c r="R18" s="32">
        <f t="shared" ref="R18:R27" si="4">IF(P$12=0,0,P18/P$12)</f>
        <v>0</v>
      </c>
      <c r="S18" s="20"/>
      <c r="T18" s="20">
        <f>SUM(OSRRefT22x_0)</f>
        <v>854503.02</v>
      </c>
      <c r="U18" s="20"/>
      <c r="V18" s="32">
        <f t="shared" ref="V18:V27" si="5">IF(T$12=0,0,T18/T$12)</f>
        <v>0</v>
      </c>
      <c r="W18" s="4"/>
      <c r="X18" s="20">
        <f t="shared" ref="X18:X27" si="6">+P18-T18</f>
        <v>-378038.02999999997</v>
      </c>
      <c r="Y18" s="4"/>
      <c r="Z18" s="32">
        <f t="shared" ref="Z18:Z27" si="7">IF(T18=0,0,X18/T18)</f>
        <v>-0.44240689752038553</v>
      </c>
    </row>
    <row r="19" spans="1:26" s="27" customFormat="1" outlineLevel="1" collapsed="1" x14ac:dyDescent="0.25">
      <c r="A19" s="26"/>
      <c r="B19" s="12" t="str">
        <f>CONCATENATE("     ","*Benefits                                         ")</f>
        <v xml:space="preserve">     *Benefits                                         </v>
      </c>
      <c r="C19" s="12"/>
      <c r="D19" s="1">
        <f>SUM(OSRRefD22_0x_0)</f>
        <v>11134.529999999999</v>
      </c>
      <c r="E19" s="1"/>
      <c r="F19" s="5">
        <f t="shared" si="0"/>
        <v>0</v>
      </c>
      <c r="G19" s="1"/>
      <c r="H19" s="1">
        <f>SUM(OSRRefH22_0x_0)</f>
        <v>8791.73</v>
      </c>
      <c r="I19" s="1"/>
      <c r="J19" s="5">
        <f t="shared" si="1"/>
        <v>0</v>
      </c>
      <c r="K19" s="1"/>
      <c r="L19" s="1">
        <f t="shared" si="2"/>
        <v>2342.7999999999993</v>
      </c>
      <c r="M19" s="1"/>
      <c r="N19" s="5">
        <f t="shared" si="3"/>
        <v>0.26647770120328984</v>
      </c>
      <c r="O19" s="12"/>
      <c r="P19" s="1">
        <f>SUM(OSRRefP22_0x_0)</f>
        <v>129722.24999999999</v>
      </c>
      <c r="Q19" s="1"/>
      <c r="R19" s="5">
        <f t="shared" si="4"/>
        <v>0</v>
      </c>
      <c r="S19" s="1"/>
      <c r="T19" s="1">
        <f>SUM(OSRRefT22_0x_0)</f>
        <v>160261.31</v>
      </c>
      <c r="U19" s="1"/>
      <c r="V19" s="5">
        <f t="shared" si="5"/>
        <v>0</v>
      </c>
      <c r="W19" s="1"/>
      <c r="X19" s="1">
        <f t="shared" si="6"/>
        <v>-30539.060000000012</v>
      </c>
      <c r="Y19" s="1"/>
      <c r="Z19" s="5">
        <f t="shared" si="7"/>
        <v>-0.19055790820629143</v>
      </c>
    </row>
    <row r="20" spans="1:26" s="23" customFormat="1" hidden="1" outlineLevel="2" x14ac:dyDescent="0.25">
      <c r="A20" s="25"/>
      <c r="B20" s="10" t="str">
        <f>CONCATENATE("          ", "6111", " - ", "F.I.C.A.")</f>
        <v xml:space="preserve">          6111 - F.I.C.A.</v>
      </c>
      <c r="C20" s="10"/>
      <c r="D20" s="6">
        <v>1454.4</v>
      </c>
      <c r="E20" s="2"/>
      <c r="F20" s="7">
        <f t="shared" si="0"/>
        <v>0</v>
      </c>
      <c r="G20" s="2"/>
      <c r="H20" s="6">
        <v>1447.18</v>
      </c>
      <c r="I20" s="2"/>
      <c r="J20" s="7">
        <f t="shared" si="1"/>
        <v>0</v>
      </c>
      <c r="K20" s="2"/>
      <c r="L20" s="6">
        <f t="shared" si="2"/>
        <v>7.2200000000000273</v>
      </c>
      <c r="M20" s="2"/>
      <c r="N20" s="7">
        <f t="shared" si="3"/>
        <v>4.9890131151619195E-3</v>
      </c>
      <c r="O20" s="10"/>
      <c r="P20" s="6">
        <v>16290.18</v>
      </c>
      <c r="Q20" s="2"/>
      <c r="R20" s="7">
        <f t="shared" si="4"/>
        <v>0</v>
      </c>
      <c r="S20" s="2"/>
      <c r="T20" s="6">
        <v>22345.24</v>
      </c>
      <c r="U20" s="2"/>
      <c r="V20" s="7">
        <f t="shared" si="5"/>
        <v>0</v>
      </c>
      <c r="W20" s="2"/>
      <c r="X20" s="6">
        <f t="shared" si="6"/>
        <v>-6055.0600000000013</v>
      </c>
      <c r="Y20" s="2"/>
      <c r="Z20" s="7">
        <f t="shared" si="7"/>
        <v>-0.27097762207969128</v>
      </c>
    </row>
    <row r="21" spans="1:26" s="23" customFormat="1" hidden="1" outlineLevel="2" x14ac:dyDescent="0.25">
      <c r="A21" s="25"/>
      <c r="B21" s="10" t="str">
        <f>CONCATENATE("          ", "6112", " - ", "COMPENSATION INSURANCE")</f>
        <v xml:space="preserve">          6112 - COMPENSATION INSURANCE</v>
      </c>
      <c r="C21" s="10"/>
      <c r="D21" s="6">
        <v>62.74</v>
      </c>
      <c r="E21" s="2"/>
      <c r="F21" s="7">
        <f t="shared" si="0"/>
        <v>0</v>
      </c>
      <c r="G21" s="2"/>
      <c r="H21" s="6">
        <v>64.319999999999993</v>
      </c>
      <c r="I21" s="2"/>
      <c r="J21" s="7">
        <f t="shared" si="1"/>
        <v>0</v>
      </c>
      <c r="K21" s="2"/>
      <c r="L21" s="6">
        <f t="shared" si="2"/>
        <v>-1.5799999999999912</v>
      </c>
      <c r="M21" s="2"/>
      <c r="N21" s="7">
        <f t="shared" si="3"/>
        <v>-2.4564676616915287E-2</v>
      </c>
      <c r="O21" s="10"/>
      <c r="P21" s="6">
        <v>913.78</v>
      </c>
      <c r="Q21" s="2"/>
      <c r="R21" s="7">
        <f t="shared" si="4"/>
        <v>0</v>
      </c>
      <c r="S21" s="2"/>
      <c r="T21" s="6">
        <v>1283.3499999999999</v>
      </c>
      <c r="U21" s="2"/>
      <c r="V21" s="7">
        <f t="shared" si="5"/>
        <v>0</v>
      </c>
      <c r="W21" s="2"/>
      <c r="X21" s="6">
        <f t="shared" si="6"/>
        <v>-369.56999999999994</v>
      </c>
      <c r="Y21" s="2"/>
      <c r="Z21" s="7">
        <f t="shared" si="7"/>
        <v>-0.28797288346904582</v>
      </c>
    </row>
    <row r="22" spans="1:26" s="23" customFormat="1" hidden="1" outlineLevel="2" x14ac:dyDescent="0.25">
      <c r="A22" s="25"/>
      <c r="B22" s="10" t="str">
        <f>CONCATENATE("          ", "6113", " - ", "GROUP INSURANCE")</f>
        <v xml:space="preserve">          6113 - GROUP INSURANCE</v>
      </c>
      <c r="C22" s="10"/>
      <c r="D22" s="6">
        <v>3917.15</v>
      </c>
      <c r="E22" s="2"/>
      <c r="F22" s="7">
        <f t="shared" si="0"/>
        <v>0</v>
      </c>
      <c r="G22" s="2"/>
      <c r="H22" s="6">
        <v>3965.44</v>
      </c>
      <c r="I22" s="2"/>
      <c r="J22" s="7">
        <f t="shared" si="1"/>
        <v>0</v>
      </c>
      <c r="K22" s="2"/>
      <c r="L22" s="6">
        <f t="shared" si="2"/>
        <v>-48.289999999999964</v>
      </c>
      <c r="M22" s="2"/>
      <c r="N22" s="7">
        <f t="shared" si="3"/>
        <v>-1.2177715461588112E-2</v>
      </c>
      <c r="O22" s="10"/>
      <c r="P22" s="6">
        <v>47716.82</v>
      </c>
      <c r="Q22" s="2"/>
      <c r="R22" s="7">
        <f t="shared" si="4"/>
        <v>0</v>
      </c>
      <c r="S22" s="2"/>
      <c r="T22" s="6">
        <v>48932.5</v>
      </c>
      <c r="U22" s="2"/>
      <c r="V22" s="7">
        <f t="shared" si="5"/>
        <v>0</v>
      </c>
      <c r="W22" s="2"/>
      <c r="X22" s="6">
        <f t="shared" si="6"/>
        <v>-1215.6800000000003</v>
      </c>
      <c r="Y22" s="2"/>
      <c r="Z22" s="7">
        <f t="shared" si="7"/>
        <v>-2.4844019823225878E-2</v>
      </c>
    </row>
    <row r="23" spans="1:26" s="23" customFormat="1" hidden="1" outlineLevel="2" x14ac:dyDescent="0.25">
      <c r="A23" s="25"/>
      <c r="B23" s="10" t="str">
        <f>CONCATENATE("          ", "6114", " - ", "STATE UNEMPLOYMENT INSURANCE")</f>
        <v xml:space="preserve">          6114 - STATE UNEMPLOYMENT INSURANCE</v>
      </c>
      <c r="C23" s="10"/>
      <c r="D23" s="6">
        <v>49.43</v>
      </c>
      <c r="E23" s="2"/>
      <c r="F23" s="7">
        <f t="shared" si="0"/>
        <v>0</v>
      </c>
      <c r="G23" s="2"/>
      <c r="H23" s="6">
        <v>-1088.8900000000001</v>
      </c>
      <c r="I23" s="2"/>
      <c r="J23" s="7">
        <f t="shared" si="1"/>
        <v>0</v>
      </c>
      <c r="K23" s="2"/>
      <c r="L23" s="6">
        <f t="shared" si="2"/>
        <v>1138.3200000000002</v>
      </c>
      <c r="M23" s="2"/>
      <c r="N23" s="7">
        <f t="shared" si="3"/>
        <v>-1.0453948516379066</v>
      </c>
      <c r="O23" s="10"/>
      <c r="P23" s="6">
        <v>719.95</v>
      </c>
      <c r="Q23" s="2"/>
      <c r="R23" s="7">
        <f t="shared" si="4"/>
        <v>0</v>
      </c>
      <c r="S23" s="2"/>
      <c r="T23" s="6">
        <v>0</v>
      </c>
      <c r="U23" s="2"/>
      <c r="V23" s="7">
        <f t="shared" si="5"/>
        <v>0</v>
      </c>
      <c r="W23" s="2"/>
      <c r="X23" s="6">
        <f t="shared" si="6"/>
        <v>719.95</v>
      </c>
      <c r="Y23" s="2"/>
      <c r="Z23" s="7">
        <f t="shared" si="7"/>
        <v>0</v>
      </c>
    </row>
    <row r="24" spans="1:26" s="23" customFormat="1" hidden="1" outlineLevel="2" x14ac:dyDescent="0.25">
      <c r="A24" s="25"/>
      <c r="B24" s="10" t="str">
        <f>CONCATENATE("          ", "6115", " - ", "P.E.R.S.")</f>
        <v xml:space="preserve">          6115 - P.E.R.S.</v>
      </c>
      <c r="C24" s="10"/>
      <c r="D24" s="6">
        <v>3073.55</v>
      </c>
      <c r="E24" s="2"/>
      <c r="F24" s="7">
        <f t="shared" si="0"/>
        <v>0</v>
      </c>
      <c r="G24" s="2"/>
      <c r="H24" s="6">
        <v>1898.57</v>
      </c>
      <c r="I24" s="2"/>
      <c r="J24" s="7">
        <f t="shared" si="1"/>
        <v>0</v>
      </c>
      <c r="K24" s="2"/>
      <c r="L24" s="6">
        <f t="shared" si="2"/>
        <v>1174.9800000000002</v>
      </c>
      <c r="M24" s="2"/>
      <c r="N24" s="7">
        <f t="shared" si="3"/>
        <v>0.61887631217179262</v>
      </c>
      <c r="O24" s="10"/>
      <c r="P24" s="6">
        <v>30837.23</v>
      </c>
      <c r="Q24" s="2"/>
      <c r="R24" s="7">
        <f t="shared" si="4"/>
        <v>0</v>
      </c>
      <c r="S24" s="2"/>
      <c r="T24" s="6">
        <v>32049.279999999999</v>
      </c>
      <c r="U24" s="2"/>
      <c r="V24" s="7">
        <f t="shared" si="5"/>
        <v>0</v>
      </c>
      <c r="W24" s="2"/>
      <c r="X24" s="6">
        <f t="shared" si="6"/>
        <v>-1212.0499999999993</v>
      </c>
      <c r="Y24" s="2"/>
      <c r="Z24" s="7">
        <f t="shared" si="7"/>
        <v>-3.7818322283683106E-2</v>
      </c>
    </row>
    <row r="25" spans="1:26" s="23" customFormat="1" hidden="1" outlineLevel="2" x14ac:dyDescent="0.25">
      <c r="A25" s="25"/>
      <c r="B25" s="10" t="str">
        <f>CONCATENATE("          ", "6118", " - ", "VACATION")</f>
        <v xml:space="preserve">          6118 - VACATION</v>
      </c>
      <c r="C25" s="10"/>
      <c r="D25" s="6">
        <v>1658.98</v>
      </c>
      <c r="E25" s="2"/>
      <c r="F25" s="7">
        <f t="shared" si="0"/>
        <v>0</v>
      </c>
      <c r="G25" s="2"/>
      <c r="H25" s="6">
        <v>1640.31</v>
      </c>
      <c r="I25" s="2"/>
      <c r="J25" s="7">
        <f t="shared" si="1"/>
        <v>0</v>
      </c>
      <c r="K25" s="2"/>
      <c r="L25" s="6">
        <f t="shared" si="2"/>
        <v>18.670000000000073</v>
      </c>
      <c r="M25" s="2"/>
      <c r="N25" s="7">
        <f t="shared" si="3"/>
        <v>1.1381994866823999E-2</v>
      </c>
      <c r="O25" s="10"/>
      <c r="P25" s="6">
        <v>21566.74</v>
      </c>
      <c r="Q25" s="2"/>
      <c r="R25" s="7">
        <f t="shared" si="4"/>
        <v>0</v>
      </c>
      <c r="S25" s="2"/>
      <c r="T25" s="6">
        <v>27068.51</v>
      </c>
      <c r="U25" s="2"/>
      <c r="V25" s="7">
        <f t="shared" si="5"/>
        <v>0</v>
      </c>
      <c r="W25" s="2"/>
      <c r="X25" s="6">
        <f t="shared" si="6"/>
        <v>-5501.7699999999968</v>
      </c>
      <c r="Y25" s="2"/>
      <c r="Z25" s="7">
        <f t="shared" si="7"/>
        <v>-0.20325352226627905</v>
      </c>
    </row>
    <row r="26" spans="1:26" s="23" customFormat="1" hidden="1" outlineLevel="2" x14ac:dyDescent="0.25">
      <c r="A26" s="25"/>
      <c r="B26" s="10" t="str">
        <f>CONCATENATE("          ", "6119", " - ", "SICK LEAVE")</f>
        <v xml:space="preserve">          6119 - SICK LEAVE</v>
      </c>
      <c r="C26" s="10"/>
      <c r="D26" s="6">
        <v>856.8</v>
      </c>
      <c r="E26" s="2"/>
      <c r="F26" s="7">
        <f t="shared" si="0"/>
        <v>0</v>
      </c>
      <c r="G26" s="2"/>
      <c r="H26" s="6">
        <v>856.8</v>
      </c>
      <c r="I26" s="2"/>
      <c r="J26" s="7">
        <f t="shared" si="1"/>
        <v>0</v>
      </c>
      <c r="K26" s="2"/>
      <c r="L26" s="6">
        <f t="shared" si="2"/>
        <v>0</v>
      </c>
      <c r="M26" s="2"/>
      <c r="N26" s="7">
        <f t="shared" si="3"/>
        <v>0</v>
      </c>
      <c r="O26" s="10"/>
      <c r="P26" s="6">
        <v>11138.4</v>
      </c>
      <c r="Q26" s="2"/>
      <c r="R26" s="7">
        <f t="shared" si="4"/>
        <v>0</v>
      </c>
      <c r="S26" s="2"/>
      <c r="T26" s="6">
        <v>25968.799999999999</v>
      </c>
      <c r="U26" s="2"/>
      <c r="V26" s="7">
        <f t="shared" si="5"/>
        <v>0</v>
      </c>
      <c r="W26" s="2"/>
      <c r="X26" s="6">
        <f t="shared" si="6"/>
        <v>-14830.4</v>
      </c>
      <c r="Y26" s="2"/>
      <c r="Z26" s="7">
        <f t="shared" si="7"/>
        <v>-0.57108530236283539</v>
      </c>
    </row>
    <row r="27" spans="1:26" s="23" customFormat="1" hidden="1" outlineLevel="2" x14ac:dyDescent="0.25">
      <c r="A27" s="25"/>
      <c r="B27" s="10" t="str">
        <f>CONCATENATE("          ", "6156", " - ", "EMPLOYEE MEALS")</f>
        <v xml:space="preserve">          6156 - EMPLOYEE MEALS</v>
      </c>
      <c r="C27" s="10"/>
      <c r="D27" s="6">
        <v>61.48</v>
      </c>
      <c r="E27" s="2"/>
      <c r="F27" s="7">
        <f t="shared" si="0"/>
        <v>0</v>
      </c>
      <c r="G27" s="2"/>
      <c r="H27" s="6">
        <v>8</v>
      </c>
      <c r="I27" s="2"/>
      <c r="J27" s="7">
        <f t="shared" si="1"/>
        <v>0</v>
      </c>
      <c r="K27" s="2"/>
      <c r="L27" s="6">
        <f t="shared" si="2"/>
        <v>53.48</v>
      </c>
      <c r="M27" s="2"/>
      <c r="N27" s="7">
        <f t="shared" si="3"/>
        <v>6.6849999999999996</v>
      </c>
      <c r="O27" s="10"/>
      <c r="P27" s="6">
        <v>539.15</v>
      </c>
      <c r="Q27" s="2"/>
      <c r="R27" s="7">
        <f t="shared" si="4"/>
        <v>0</v>
      </c>
      <c r="S27" s="2"/>
      <c r="T27" s="6">
        <v>2613.63</v>
      </c>
      <c r="U27" s="2"/>
      <c r="V27" s="7">
        <f t="shared" si="5"/>
        <v>0</v>
      </c>
      <c r="W27" s="2"/>
      <c r="X27" s="6">
        <f t="shared" si="6"/>
        <v>-2074.48</v>
      </c>
      <c r="Y27" s="2"/>
      <c r="Z27" s="7">
        <f t="shared" si="7"/>
        <v>-0.79371601948248216</v>
      </c>
    </row>
    <row r="28" spans="1:26" s="27" customFormat="1" outlineLevel="1" collapsed="1" x14ac:dyDescent="0.25">
      <c r="A28" s="26"/>
      <c r="B28" s="12" t="str">
        <f>CONCATENATE("     ","*Payroll                                          ")</f>
        <v xml:space="preserve">     *Payroll                                          </v>
      </c>
      <c r="C28" s="12"/>
      <c r="D28" s="1">
        <f>SUM(OSRRefD22_1x_0)</f>
        <v>48079.460000000006</v>
      </c>
      <c r="E28" s="1"/>
      <c r="F28" s="5">
        <f t="shared" ref="F28:F31" si="8">IF(D$12=0,0,D28/D$12)</f>
        <v>0</v>
      </c>
      <c r="G28" s="1"/>
      <c r="H28" s="1">
        <f>SUM(OSRRefH22_1x_0)</f>
        <v>216588.52</v>
      </c>
      <c r="I28" s="1"/>
      <c r="J28" s="5">
        <f t="shared" ref="J28:J31" si="9">IF(H$12=0,0,H28/H$12)</f>
        <v>0</v>
      </c>
      <c r="K28" s="1"/>
      <c r="L28" s="1">
        <f t="shared" ref="L28:L31" si="10">+D28-H28</f>
        <v>-168509.06</v>
      </c>
      <c r="M28" s="1"/>
      <c r="N28" s="5">
        <f t="shared" ref="N28:N31" si="11">IF(H28=0,0,L28/H28)</f>
        <v>-0.77801473503766505</v>
      </c>
      <c r="O28" s="12"/>
      <c r="P28" s="1">
        <f>SUM(OSRRefP22_1x_0)</f>
        <v>217400.77</v>
      </c>
      <c r="Q28" s="1"/>
      <c r="R28" s="5">
        <f t="shared" ref="R28:R31" si="12">IF(P$12=0,0,P28/P$12)</f>
        <v>0</v>
      </c>
      <c r="S28" s="1"/>
      <c r="T28" s="1">
        <f>SUM(OSRRefT22_1x_0)</f>
        <v>398955.14</v>
      </c>
      <c r="U28" s="1"/>
      <c r="V28" s="5">
        <f t="shared" ref="V28:V31" si="13">IF(T$12=0,0,T28/T$12)</f>
        <v>0</v>
      </c>
      <c r="W28" s="1"/>
      <c r="X28" s="1">
        <f t="shared" ref="X28:X31" si="14">+P28-T28</f>
        <v>-181554.37000000002</v>
      </c>
      <c r="Y28" s="1"/>
      <c r="Z28" s="5">
        <f t="shared" ref="Z28:Z31" si="15">IF(T28=0,0,X28/T28)</f>
        <v>-0.45507464824240645</v>
      </c>
    </row>
    <row r="29" spans="1:26" s="23" customFormat="1" hidden="1" outlineLevel="2" x14ac:dyDescent="0.25">
      <c r="A29" s="25"/>
      <c r="B29" s="10" t="str">
        <f>CONCATENATE("          ", "6001", " - ", "ADMINISTRATIVE SALARIES")</f>
        <v xml:space="preserve">          6001 - ADMINISTRATIVE SALARIES</v>
      </c>
      <c r="C29" s="10"/>
      <c r="D29" s="6">
        <v>43182.98</v>
      </c>
      <c r="E29" s="2"/>
      <c r="F29" s="7">
        <f t="shared" si="8"/>
        <v>0</v>
      </c>
      <c r="G29" s="2"/>
      <c r="H29" s="6">
        <v>14140.28</v>
      </c>
      <c r="I29" s="2"/>
      <c r="J29" s="7">
        <f t="shared" si="9"/>
        <v>0</v>
      </c>
      <c r="K29" s="2"/>
      <c r="L29" s="6">
        <f t="shared" si="10"/>
        <v>29042.700000000004</v>
      </c>
      <c r="M29" s="2"/>
      <c r="N29" s="7">
        <f t="shared" si="11"/>
        <v>2.0538985083746577</v>
      </c>
      <c r="O29" s="10"/>
      <c r="P29" s="6">
        <v>206935.89</v>
      </c>
      <c r="Q29" s="2"/>
      <c r="R29" s="7">
        <f t="shared" si="12"/>
        <v>0</v>
      </c>
      <c r="S29" s="2"/>
      <c r="T29" s="6">
        <v>186501.08</v>
      </c>
      <c r="U29" s="2"/>
      <c r="V29" s="7">
        <f t="shared" si="13"/>
        <v>0</v>
      </c>
      <c r="W29" s="2"/>
      <c r="X29" s="6">
        <f t="shared" si="14"/>
        <v>20434.810000000027</v>
      </c>
      <c r="Y29" s="2"/>
      <c r="Z29" s="7">
        <f t="shared" si="15"/>
        <v>0.1095693923059321</v>
      </c>
    </row>
    <row r="30" spans="1:26" s="23" customFormat="1" hidden="1" outlineLevel="2" x14ac:dyDescent="0.25">
      <c r="A30" s="25"/>
      <c r="B30" s="10" t="str">
        <f>CONCATENATE("          ", "6002", " - ", "STAFF SALARIES")</f>
        <v xml:space="preserve">          6002 - STAFF SALARIES</v>
      </c>
      <c r="C30" s="10"/>
      <c r="D30" s="6">
        <v>4896.4799999999996</v>
      </c>
      <c r="E30" s="2"/>
      <c r="F30" s="7">
        <f t="shared" si="8"/>
        <v>0</v>
      </c>
      <c r="G30" s="2"/>
      <c r="H30" s="6">
        <v>2448.2399999999998</v>
      </c>
      <c r="I30" s="2"/>
      <c r="J30" s="7">
        <f t="shared" si="9"/>
        <v>0</v>
      </c>
      <c r="K30" s="2"/>
      <c r="L30" s="6">
        <f t="shared" si="10"/>
        <v>2448.2399999999998</v>
      </c>
      <c r="M30" s="2"/>
      <c r="N30" s="7">
        <f t="shared" si="11"/>
        <v>1</v>
      </c>
      <c r="O30" s="10"/>
      <c r="P30" s="6">
        <v>55422.17</v>
      </c>
      <c r="Q30" s="2"/>
      <c r="R30" s="7">
        <f t="shared" si="12"/>
        <v>0</v>
      </c>
      <c r="S30" s="2"/>
      <c r="T30" s="6">
        <v>50433.78</v>
      </c>
      <c r="U30" s="2"/>
      <c r="V30" s="7">
        <f t="shared" si="13"/>
        <v>0</v>
      </c>
      <c r="W30" s="2"/>
      <c r="X30" s="6">
        <f t="shared" si="14"/>
        <v>4988.3899999999994</v>
      </c>
      <c r="Y30" s="2"/>
      <c r="Z30" s="7">
        <f t="shared" si="15"/>
        <v>9.8909699015223521E-2</v>
      </c>
    </row>
    <row r="31" spans="1:26" s="23" customFormat="1" hidden="1" outlineLevel="2" x14ac:dyDescent="0.25">
      <c r="A31" s="25"/>
      <c r="B31" s="10" t="str">
        <f>CONCATENATE("          ", "6007", " - ", "STUDENT HOURLY")</f>
        <v xml:space="preserve">          6007 - STUDENT HOURLY</v>
      </c>
      <c r="C31" s="10"/>
      <c r="D31" s="6"/>
      <c r="E31" s="2"/>
      <c r="F31" s="7">
        <f t="shared" si="8"/>
        <v>0</v>
      </c>
      <c r="G31" s="2"/>
      <c r="H31" s="6">
        <v>200000</v>
      </c>
      <c r="I31" s="2"/>
      <c r="J31" s="7">
        <f t="shared" si="9"/>
        <v>0</v>
      </c>
      <c r="K31" s="2"/>
      <c r="L31" s="6">
        <f t="shared" si="10"/>
        <v>-200000</v>
      </c>
      <c r="M31" s="2"/>
      <c r="N31" s="7">
        <f t="shared" si="11"/>
        <v>-1</v>
      </c>
      <c r="O31" s="10"/>
      <c r="P31" s="6">
        <v>-44957.29</v>
      </c>
      <c r="Q31" s="2"/>
      <c r="R31" s="7">
        <f t="shared" si="12"/>
        <v>0</v>
      </c>
      <c r="S31" s="2"/>
      <c r="T31" s="6">
        <v>162020.28</v>
      </c>
      <c r="U31" s="2"/>
      <c r="V31" s="7">
        <f t="shared" si="13"/>
        <v>0</v>
      </c>
      <c r="W31" s="2"/>
      <c r="X31" s="6">
        <f t="shared" si="14"/>
        <v>-206977.57</v>
      </c>
      <c r="Y31" s="2"/>
      <c r="Z31" s="7">
        <f t="shared" si="15"/>
        <v>-1.2774793994924587</v>
      </c>
    </row>
    <row r="32" spans="1:26" s="27" customFormat="1" outlineLevel="1" collapsed="1" x14ac:dyDescent="0.25">
      <c r="A32" s="26"/>
      <c r="B32" s="12" t="str">
        <f>CONCATENATE("     ","Advertising/Promo                                 ")</f>
        <v xml:space="preserve">     Advertising/Promo                                 </v>
      </c>
      <c r="C32" s="12"/>
      <c r="D32" s="1">
        <f>SUM(OSRRefD22_2x_0)</f>
        <v>0</v>
      </c>
      <c r="E32" s="1"/>
      <c r="F32" s="5">
        <f t="shared" ref="F32:F49" si="16">IF(D$12=0,0,D32/D$12)</f>
        <v>0</v>
      </c>
      <c r="G32" s="1"/>
      <c r="H32" s="1">
        <f>SUM(OSRRefH22_2x_0)</f>
        <v>0</v>
      </c>
      <c r="I32" s="1"/>
      <c r="J32" s="5">
        <f t="shared" ref="J32:J49" si="17">IF(H$12=0,0,H32/H$12)</f>
        <v>0</v>
      </c>
      <c r="K32" s="1"/>
      <c r="L32" s="1">
        <f t="shared" ref="L32:L49" si="18">+D32-H32</f>
        <v>0</v>
      </c>
      <c r="M32" s="1"/>
      <c r="N32" s="5">
        <f t="shared" ref="N32:N49" si="19">IF(H32=0,0,L32/H32)</f>
        <v>0</v>
      </c>
      <c r="O32" s="12"/>
      <c r="P32" s="1">
        <f>SUM(OSRRefP22_2x_0)</f>
        <v>245.07</v>
      </c>
      <c r="Q32" s="1"/>
      <c r="R32" s="5">
        <f t="shared" ref="R32:R49" si="20">IF(P$12=0,0,P32/P$12)</f>
        <v>0</v>
      </c>
      <c r="S32" s="1"/>
      <c r="T32" s="1">
        <f>SUM(OSRRefT22_2x_0)</f>
        <v>12880.83</v>
      </c>
      <c r="U32" s="1"/>
      <c r="V32" s="5">
        <f t="shared" ref="V32:V49" si="21">IF(T$12=0,0,T32/T$12)</f>
        <v>0</v>
      </c>
      <c r="W32" s="1"/>
      <c r="X32" s="1">
        <f t="shared" ref="X32:X49" si="22">+P32-T32</f>
        <v>-12635.76</v>
      </c>
      <c r="Y32" s="1"/>
      <c r="Z32" s="5">
        <f t="shared" ref="Z32:Z49" si="23">IF(T32=0,0,X32/T32)</f>
        <v>-0.98097405213794453</v>
      </c>
    </row>
    <row r="33" spans="1:26" s="23" customFormat="1" hidden="1" outlineLevel="2" x14ac:dyDescent="0.25">
      <c r="A33" s="25"/>
      <c r="B33" s="10" t="str">
        <f>CONCATENATE("          ", "6362", " - ", "ADVERTISING EXPENSE")</f>
        <v xml:space="preserve">          6362 - ADVERTISING EXPENSE</v>
      </c>
      <c r="C33" s="10"/>
      <c r="D33" s="6"/>
      <c r="E33" s="2"/>
      <c r="F33" s="7">
        <f t="shared" si="16"/>
        <v>0</v>
      </c>
      <c r="G33" s="2"/>
      <c r="H33" s="6"/>
      <c r="I33" s="2"/>
      <c r="J33" s="7">
        <f t="shared" si="17"/>
        <v>0</v>
      </c>
      <c r="K33" s="2"/>
      <c r="L33" s="6">
        <f t="shared" si="18"/>
        <v>0</v>
      </c>
      <c r="M33" s="2"/>
      <c r="N33" s="7">
        <f t="shared" si="19"/>
        <v>0</v>
      </c>
      <c r="O33" s="10"/>
      <c r="P33" s="6">
        <v>245.07</v>
      </c>
      <c r="Q33" s="2"/>
      <c r="R33" s="7">
        <f t="shared" si="20"/>
        <v>0</v>
      </c>
      <c r="S33" s="2"/>
      <c r="T33" s="6">
        <v>12880.83</v>
      </c>
      <c r="U33" s="2"/>
      <c r="V33" s="7">
        <f t="shared" si="21"/>
        <v>0</v>
      </c>
      <c r="W33" s="2"/>
      <c r="X33" s="6">
        <f t="shared" si="22"/>
        <v>-12635.76</v>
      </c>
      <c r="Y33" s="2"/>
      <c r="Z33" s="7">
        <f t="shared" si="23"/>
        <v>-0.98097405213794453</v>
      </c>
    </row>
    <row r="34" spans="1:26" s="27" customFormat="1" outlineLevel="1" collapsed="1" x14ac:dyDescent="0.25">
      <c r="A34" s="26"/>
      <c r="B34" s="12" t="str">
        <f>CONCATENATE("     ","Depreciation                                      ")</f>
        <v xml:space="preserve">     Depreciation                                      </v>
      </c>
      <c r="C34" s="12"/>
      <c r="D34" s="1">
        <f>SUM(OSRRefD22_3x_0)</f>
        <v>314.81</v>
      </c>
      <c r="E34" s="1"/>
      <c r="F34" s="5">
        <f t="shared" si="16"/>
        <v>0</v>
      </c>
      <c r="G34" s="1"/>
      <c r="H34" s="1">
        <f>SUM(OSRRefH22_3x_0)</f>
        <v>314.81</v>
      </c>
      <c r="I34" s="1"/>
      <c r="J34" s="5">
        <f t="shared" si="17"/>
        <v>0</v>
      </c>
      <c r="K34" s="1"/>
      <c r="L34" s="1">
        <f t="shared" si="18"/>
        <v>0</v>
      </c>
      <c r="M34" s="1"/>
      <c r="N34" s="5">
        <f t="shared" si="19"/>
        <v>0</v>
      </c>
      <c r="O34" s="12"/>
      <c r="P34" s="1">
        <f>SUM(OSRRefP22_3x_0)</f>
        <v>3778.38</v>
      </c>
      <c r="Q34" s="1"/>
      <c r="R34" s="5">
        <f t="shared" si="20"/>
        <v>0</v>
      </c>
      <c r="S34" s="1"/>
      <c r="T34" s="1">
        <f>SUM(OSRRefT22_3x_0)</f>
        <v>4051.65</v>
      </c>
      <c r="U34" s="1"/>
      <c r="V34" s="5">
        <f t="shared" si="21"/>
        <v>0</v>
      </c>
      <c r="W34" s="1"/>
      <c r="X34" s="1">
        <f t="shared" si="22"/>
        <v>-273.27</v>
      </c>
      <c r="Y34" s="1"/>
      <c r="Z34" s="5">
        <f t="shared" si="23"/>
        <v>-6.7446595831327977E-2</v>
      </c>
    </row>
    <row r="35" spans="1:26" s="23" customFormat="1" hidden="1" outlineLevel="2" x14ac:dyDescent="0.25">
      <c r="A35" s="25"/>
      <c r="B35" s="10" t="str">
        <f>CONCATENATE("          ", "6322", " - ", "EQUIPMENT DEPRECIATION EXPENSE")</f>
        <v xml:space="preserve">          6322 - EQUIPMENT DEPRECIATION EXPENSE</v>
      </c>
      <c r="C35" s="10"/>
      <c r="D35" s="6">
        <v>314.81</v>
      </c>
      <c r="E35" s="2"/>
      <c r="F35" s="7">
        <f t="shared" si="16"/>
        <v>0</v>
      </c>
      <c r="G35" s="2"/>
      <c r="H35" s="6">
        <v>314.81</v>
      </c>
      <c r="I35" s="2"/>
      <c r="J35" s="7">
        <f t="shared" si="17"/>
        <v>0</v>
      </c>
      <c r="K35" s="2"/>
      <c r="L35" s="6">
        <f t="shared" si="18"/>
        <v>0</v>
      </c>
      <c r="M35" s="2"/>
      <c r="N35" s="7">
        <f t="shared" si="19"/>
        <v>0</v>
      </c>
      <c r="O35" s="10"/>
      <c r="P35" s="6">
        <v>3778.38</v>
      </c>
      <c r="Q35" s="2"/>
      <c r="R35" s="7">
        <f t="shared" si="20"/>
        <v>0</v>
      </c>
      <c r="S35" s="2"/>
      <c r="T35" s="6">
        <v>4051.65</v>
      </c>
      <c r="U35" s="2"/>
      <c r="V35" s="7">
        <f t="shared" si="21"/>
        <v>0</v>
      </c>
      <c r="W35" s="2"/>
      <c r="X35" s="6">
        <f t="shared" si="22"/>
        <v>-273.27</v>
      </c>
      <c r="Y35" s="2"/>
      <c r="Z35" s="7">
        <f t="shared" si="23"/>
        <v>-6.7446595831327977E-2</v>
      </c>
    </row>
    <row r="36" spans="1:26" s="27" customFormat="1" outlineLevel="1" collapsed="1" x14ac:dyDescent="0.25">
      <c r="A36" s="26"/>
      <c r="B36" s="12" t="str">
        <f>CONCATENATE("     ","Donations                                         ")</f>
        <v xml:space="preserve">     Donations                                         </v>
      </c>
      <c r="C36" s="12"/>
      <c r="D36" s="1">
        <f>SUM(OSRRefD22_4x_0)</f>
        <v>263.25</v>
      </c>
      <c r="E36" s="1"/>
      <c r="F36" s="5">
        <f t="shared" si="16"/>
        <v>0</v>
      </c>
      <c r="G36" s="1"/>
      <c r="H36" s="1">
        <f>SUM(OSRRefH22_4x_0)</f>
        <v>-787</v>
      </c>
      <c r="I36" s="1"/>
      <c r="J36" s="5">
        <f t="shared" si="17"/>
        <v>0</v>
      </c>
      <c r="K36" s="1"/>
      <c r="L36" s="1">
        <f t="shared" si="18"/>
        <v>1050.25</v>
      </c>
      <c r="M36" s="1"/>
      <c r="N36" s="5">
        <f t="shared" si="19"/>
        <v>-1.3344980940279543</v>
      </c>
      <c r="O36" s="12"/>
      <c r="P36" s="1">
        <f>SUM(OSRRefP22_4x_0)</f>
        <v>26763.25</v>
      </c>
      <c r="Q36" s="1"/>
      <c r="R36" s="5">
        <f t="shared" si="20"/>
        <v>0</v>
      </c>
      <c r="S36" s="1"/>
      <c r="T36" s="1">
        <f>SUM(OSRRefT22_4x_0)</f>
        <v>144858</v>
      </c>
      <c r="U36" s="1"/>
      <c r="V36" s="5">
        <f t="shared" si="21"/>
        <v>0</v>
      </c>
      <c r="W36" s="1"/>
      <c r="X36" s="1">
        <f t="shared" si="22"/>
        <v>-118094.75</v>
      </c>
      <c r="Y36" s="1"/>
      <c r="Z36" s="5">
        <f t="shared" si="23"/>
        <v>-0.8152449295171823</v>
      </c>
    </row>
    <row r="37" spans="1:26" s="23" customFormat="1" hidden="1" outlineLevel="2" x14ac:dyDescent="0.25">
      <c r="A37" s="25"/>
      <c r="B37" s="10" t="str">
        <f>CONCATENATE("          ", "6399", " - ", "DONATION-ON CAMPUS")</f>
        <v xml:space="preserve">          6399 - DONATION-ON CAMPUS</v>
      </c>
      <c r="C37" s="10"/>
      <c r="D37" s="6">
        <v>263.25</v>
      </c>
      <c r="E37" s="2"/>
      <c r="F37" s="7">
        <f t="shared" si="16"/>
        <v>0</v>
      </c>
      <c r="G37" s="2"/>
      <c r="H37" s="6">
        <v>-787</v>
      </c>
      <c r="I37" s="2"/>
      <c r="J37" s="7">
        <f t="shared" si="17"/>
        <v>0</v>
      </c>
      <c r="K37" s="2"/>
      <c r="L37" s="6">
        <f t="shared" si="18"/>
        <v>1050.25</v>
      </c>
      <c r="M37" s="2"/>
      <c r="N37" s="7">
        <f t="shared" si="19"/>
        <v>-1.3344980940279543</v>
      </c>
      <c r="O37" s="10"/>
      <c r="P37" s="6">
        <v>26763.25</v>
      </c>
      <c r="Q37" s="2"/>
      <c r="R37" s="7">
        <f t="shared" si="20"/>
        <v>0</v>
      </c>
      <c r="S37" s="2"/>
      <c r="T37" s="6">
        <v>144858</v>
      </c>
      <c r="U37" s="2"/>
      <c r="V37" s="7">
        <f t="shared" si="21"/>
        <v>0</v>
      </c>
      <c r="W37" s="2"/>
      <c r="X37" s="6">
        <f t="shared" si="22"/>
        <v>-118094.75</v>
      </c>
      <c r="Y37" s="2"/>
      <c r="Z37" s="7">
        <f t="shared" si="23"/>
        <v>-0.8152449295171823</v>
      </c>
    </row>
    <row r="38" spans="1:26" s="27" customFormat="1" outlineLevel="1" collapsed="1" x14ac:dyDescent="0.25">
      <c r="A38" s="26"/>
      <c r="B38" s="12" t="str">
        <f>CONCATENATE("     ","Equipment Rental                                  ")</f>
        <v xml:space="preserve">     Equipment Rental                                  </v>
      </c>
      <c r="C38" s="12"/>
      <c r="D38" s="1">
        <f>SUM(OSRRefD22_5x_0)</f>
        <v>117.71</v>
      </c>
      <c r="E38" s="1"/>
      <c r="F38" s="5">
        <f t="shared" si="16"/>
        <v>0</v>
      </c>
      <c r="G38" s="1"/>
      <c r="H38" s="1">
        <f>SUM(OSRRefH22_5x_0)</f>
        <v>117.72</v>
      </c>
      <c r="I38" s="1"/>
      <c r="J38" s="5">
        <f t="shared" si="17"/>
        <v>0</v>
      </c>
      <c r="K38" s="1"/>
      <c r="L38" s="1">
        <f t="shared" si="18"/>
        <v>-1.0000000000005116E-2</v>
      </c>
      <c r="M38" s="1"/>
      <c r="N38" s="5">
        <f t="shared" si="19"/>
        <v>-8.4947332653798128E-5</v>
      </c>
      <c r="O38" s="12"/>
      <c r="P38" s="1">
        <f>SUM(OSRRefP22_5x_0)</f>
        <v>1503.78</v>
      </c>
      <c r="Q38" s="1"/>
      <c r="R38" s="5">
        <f t="shared" si="20"/>
        <v>0</v>
      </c>
      <c r="S38" s="1"/>
      <c r="T38" s="1">
        <f>SUM(OSRRefT22_5x_0)</f>
        <v>1412.64</v>
      </c>
      <c r="U38" s="1"/>
      <c r="V38" s="5">
        <f t="shared" si="21"/>
        <v>0</v>
      </c>
      <c r="W38" s="1"/>
      <c r="X38" s="1">
        <f t="shared" si="22"/>
        <v>91.139999999999873</v>
      </c>
      <c r="Y38" s="1"/>
      <c r="Z38" s="5">
        <f t="shared" si="23"/>
        <v>6.4517499150526583E-2</v>
      </c>
    </row>
    <row r="39" spans="1:26" s="23" customFormat="1" hidden="1" outlineLevel="2" x14ac:dyDescent="0.25">
      <c r="A39" s="25"/>
      <c r="B39" s="10" t="str">
        <f>CONCATENATE("          ", "6351", " - ", "EQUIPMENT RENTAL")</f>
        <v xml:space="preserve">          6351 - EQUIPMENT RENTAL</v>
      </c>
      <c r="C39" s="10"/>
      <c r="D39" s="6">
        <v>117.71</v>
      </c>
      <c r="E39" s="2"/>
      <c r="F39" s="7">
        <f t="shared" si="16"/>
        <v>0</v>
      </c>
      <c r="G39" s="2"/>
      <c r="H39" s="6">
        <v>117.72</v>
      </c>
      <c r="I39" s="2"/>
      <c r="J39" s="7">
        <f t="shared" si="17"/>
        <v>0</v>
      </c>
      <c r="K39" s="2"/>
      <c r="L39" s="6">
        <f t="shared" si="18"/>
        <v>-1.0000000000005116E-2</v>
      </c>
      <c r="M39" s="2"/>
      <c r="N39" s="7">
        <f t="shared" si="19"/>
        <v>-8.4947332653798128E-5</v>
      </c>
      <c r="O39" s="10"/>
      <c r="P39" s="6">
        <v>1503.78</v>
      </c>
      <c r="Q39" s="2"/>
      <c r="R39" s="7">
        <f t="shared" si="20"/>
        <v>0</v>
      </c>
      <c r="S39" s="2"/>
      <c r="T39" s="6">
        <v>1412.64</v>
      </c>
      <c r="U39" s="2"/>
      <c r="V39" s="7">
        <f t="shared" si="21"/>
        <v>0</v>
      </c>
      <c r="W39" s="2"/>
      <c r="X39" s="6">
        <f t="shared" si="22"/>
        <v>91.139999999999873</v>
      </c>
      <c r="Y39" s="2"/>
      <c r="Z39" s="7">
        <f t="shared" si="23"/>
        <v>6.4517499150526583E-2</v>
      </c>
    </row>
    <row r="40" spans="1:26" s="27" customFormat="1" outlineLevel="1" collapsed="1" x14ac:dyDescent="0.25">
      <c r="A40" s="26"/>
      <c r="B40" s="12" t="str">
        <f>CONCATENATE("     ","Freight out/Postage                               ")</f>
        <v xml:space="preserve">     Freight out/Postage                               </v>
      </c>
      <c r="C40" s="12"/>
      <c r="D40" s="1">
        <f>SUM(OSRRefD22_6x_0)</f>
        <v>0</v>
      </c>
      <c r="E40" s="1"/>
      <c r="F40" s="5">
        <f t="shared" si="16"/>
        <v>0</v>
      </c>
      <c r="G40" s="1"/>
      <c r="H40" s="1">
        <f>SUM(OSRRefH22_6x_0)</f>
        <v>0</v>
      </c>
      <c r="I40" s="1"/>
      <c r="J40" s="5">
        <f t="shared" si="17"/>
        <v>0</v>
      </c>
      <c r="K40" s="1"/>
      <c r="L40" s="1">
        <f t="shared" si="18"/>
        <v>0</v>
      </c>
      <c r="M40" s="1"/>
      <c r="N40" s="5">
        <f t="shared" si="19"/>
        <v>0</v>
      </c>
      <c r="O40" s="12"/>
      <c r="P40" s="1">
        <f>SUM(OSRRefP22_6x_0)</f>
        <v>70.680000000000007</v>
      </c>
      <c r="Q40" s="1"/>
      <c r="R40" s="5">
        <f t="shared" si="20"/>
        <v>0</v>
      </c>
      <c r="S40" s="1"/>
      <c r="T40" s="1">
        <f>SUM(OSRRefT22_6x_0)</f>
        <v>171.76</v>
      </c>
      <c r="U40" s="1"/>
      <c r="V40" s="5">
        <f t="shared" si="21"/>
        <v>0</v>
      </c>
      <c r="W40" s="1"/>
      <c r="X40" s="1">
        <f t="shared" si="22"/>
        <v>-101.07999999999998</v>
      </c>
      <c r="Y40" s="1"/>
      <c r="Z40" s="5">
        <f t="shared" si="23"/>
        <v>-0.58849557522123885</v>
      </c>
    </row>
    <row r="41" spans="1:26" s="23" customFormat="1" hidden="1" outlineLevel="2" x14ac:dyDescent="0.25">
      <c r="A41" s="25"/>
      <c r="B41" s="10" t="str">
        <f>CONCATENATE("          ", "6307", " - ", "POSTAGE")</f>
        <v xml:space="preserve">          6307 - POSTAGE</v>
      </c>
      <c r="C41" s="10"/>
      <c r="D41" s="6"/>
      <c r="E41" s="2"/>
      <c r="F41" s="7">
        <f t="shared" si="16"/>
        <v>0</v>
      </c>
      <c r="G41" s="2"/>
      <c r="H41" s="6"/>
      <c r="I41" s="2"/>
      <c r="J41" s="7">
        <f t="shared" si="17"/>
        <v>0</v>
      </c>
      <c r="K41" s="2"/>
      <c r="L41" s="6">
        <f t="shared" si="18"/>
        <v>0</v>
      </c>
      <c r="M41" s="2"/>
      <c r="N41" s="7">
        <f t="shared" si="19"/>
        <v>0</v>
      </c>
      <c r="O41" s="10"/>
      <c r="P41" s="6">
        <v>70.680000000000007</v>
      </c>
      <c r="Q41" s="2"/>
      <c r="R41" s="7">
        <f t="shared" si="20"/>
        <v>0</v>
      </c>
      <c r="S41" s="2"/>
      <c r="T41" s="6">
        <v>171.76</v>
      </c>
      <c r="U41" s="2"/>
      <c r="V41" s="7">
        <f t="shared" si="21"/>
        <v>0</v>
      </c>
      <c r="W41" s="2"/>
      <c r="X41" s="6">
        <f t="shared" si="22"/>
        <v>-101.07999999999998</v>
      </c>
      <c r="Y41" s="2"/>
      <c r="Z41" s="7">
        <f t="shared" si="23"/>
        <v>-0.58849557522123885</v>
      </c>
    </row>
    <row r="42" spans="1:26" s="27" customFormat="1" outlineLevel="1" collapsed="1" x14ac:dyDescent="0.25">
      <c r="A42" s="26"/>
      <c r="B42" s="12" t="str">
        <f>CONCATENATE("     ","General                                           ")</f>
        <v xml:space="preserve">     General                                           </v>
      </c>
      <c r="C42" s="12"/>
      <c r="D42" s="1">
        <f>SUM(OSRRefD22_7x_0)</f>
        <v>0</v>
      </c>
      <c r="E42" s="1"/>
      <c r="F42" s="5">
        <f t="shared" si="16"/>
        <v>0</v>
      </c>
      <c r="G42" s="1"/>
      <c r="H42" s="1">
        <f>SUM(OSRRefH22_7x_0)</f>
        <v>0</v>
      </c>
      <c r="I42" s="1"/>
      <c r="J42" s="5">
        <f t="shared" si="17"/>
        <v>0</v>
      </c>
      <c r="K42" s="1"/>
      <c r="L42" s="1">
        <f t="shared" si="18"/>
        <v>0</v>
      </c>
      <c r="M42" s="1"/>
      <c r="N42" s="5">
        <f t="shared" si="19"/>
        <v>0</v>
      </c>
      <c r="O42" s="12"/>
      <c r="P42" s="1">
        <f>SUM(OSRRefP22_7x_0)</f>
        <v>0</v>
      </c>
      <c r="Q42" s="1"/>
      <c r="R42" s="5">
        <f t="shared" si="20"/>
        <v>0</v>
      </c>
      <c r="S42" s="1"/>
      <c r="T42" s="1">
        <f>SUM(OSRRefT22_7x_0)</f>
        <v>13430.41</v>
      </c>
      <c r="U42" s="1"/>
      <c r="V42" s="5">
        <f t="shared" si="21"/>
        <v>0</v>
      </c>
      <c r="W42" s="1"/>
      <c r="X42" s="1">
        <f t="shared" si="22"/>
        <v>-13430.41</v>
      </c>
      <c r="Y42" s="1"/>
      <c r="Z42" s="5">
        <f t="shared" si="23"/>
        <v>-1</v>
      </c>
    </row>
    <row r="43" spans="1:26" s="23" customFormat="1" hidden="1" outlineLevel="2" x14ac:dyDescent="0.25">
      <c r="A43" s="25"/>
      <c r="B43" s="10" t="str">
        <f>CONCATENATE("          ", "6279", " - ", "GENERAL EXPENSE")</f>
        <v xml:space="preserve">          6279 - GENERAL EXPENSE</v>
      </c>
      <c r="C43" s="10"/>
      <c r="D43" s="6"/>
      <c r="E43" s="2"/>
      <c r="F43" s="7">
        <f t="shared" si="16"/>
        <v>0</v>
      </c>
      <c r="G43" s="2"/>
      <c r="H43" s="6"/>
      <c r="I43" s="2"/>
      <c r="J43" s="7">
        <f t="shared" si="17"/>
        <v>0</v>
      </c>
      <c r="K43" s="2"/>
      <c r="L43" s="6">
        <f t="shared" si="18"/>
        <v>0</v>
      </c>
      <c r="M43" s="2"/>
      <c r="N43" s="7">
        <f t="shared" si="19"/>
        <v>0</v>
      </c>
      <c r="O43" s="10"/>
      <c r="P43" s="6"/>
      <c r="Q43" s="2"/>
      <c r="R43" s="7">
        <f t="shared" si="20"/>
        <v>0</v>
      </c>
      <c r="S43" s="2"/>
      <c r="T43" s="6">
        <v>13430.41</v>
      </c>
      <c r="U43" s="2"/>
      <c r="V43" s="7">
        <f t="shared" si="21"/>
        <v>0</v>
      </c>
      <c r="W43" s="2"/>
      <c r="X43" s="6">
        <f t="shared" si="22"/>
        <v>-13430.41</v>
      </c>
      <c r="Y43" s="2"/>
      <c r="Z43" s="7">
        <f t="shared" si="23"/>
        <v>-1</v>
      </c>
    </row>
    <row r="44" spans="1:26" s="27" customFormat="1" outlineLevel="1" collapsed="1" x14ac:dyDescent="0.25">
      <c r="A44" s="26"/>
      <c r="B44" s="12" t="str">
        <f>CONCATENATE("     ","Insurance                                         ")</f>
        <v xml:space="preserve">     Insurance                                         </v>
      </c>
      <c r="C44" s="12"/>
      <c r="D44" s="1">
        <f>SUM(OSRRefD22_8x_0)</f>
        <v>247.17</v>
      </c>
      <c r="E44" s="1"/>
      <c r="F44" s="5">
        <f t="shared" si="16"/>
        <v>0</v>
      </c>
      <c r="G44" s="1"/>
      <c r="H44" s="1">
        <f>SUM(OSRRefH22_8x_0)</f>
        <v>115.13</v>
      </c>
      <c r="I44" s="1"/>
      <c r="J44" s="5">
        <f t="shared" si="17"/>
        <v>0</v>
      </c>
      <c r="K44" s="1"/>
      <c r="L44" s="1">
        <f t="shared" si="18"/>
        <v>132.04</v>
      </c>
      <c r="M44" s="1"/>
      <c r="N44" s="5">
        <f t="shared" si="19"/>
        <v>1.1468774428906454</v>
      </c>
      <c r="O44" s="12"/>
      <c r="P44" s="1">
        <f>SUM(OSRRefP22_8x_0)</f>
        <v>1513.6</v>
      </c>
      <c r="Q44" s="1"/>
      <c r="R44" s="5">
        <f t="shared" si="20"/>
        <v>0</v>
      </c>
      <c r="S44" s="1"/>
      <c r="T44" s="1">
        <f>SUM(OSRRefT22_8x_0)</f>
        <v>1735.56</v>
      </c>
      <c r="U44" s="1"/>
      <c r="V44" s="5">
        <f t="shared" si="21"/>
        <v>0</v>
      </c>
      <c r="W44" s="1"/>
      <c r="X44" s="1">
        <f t="shared" si="22"/>
        <v>-221.96000000000004</v>
      </c>
      <c r="Y44" s="1"/>
      <c r="Z44" s="5">
        <f t="shared" si="23"/>
        <v>-0.12788955726105697</v>
      </c>
    </row>
    <row r="45" spans="1:26" s="23" customFormat="1" hidden="1" outlineLevel="2" x14ac:dyDescent="0.25">
      <c r="A45" s="25"/>
      <c r="B45" s="10" t="str">
        <f>CONCATENATE("          ", "6314", " - ", "LIABILITY INSURANCE")</f>
        <v xml:space="preserve">          6314 - LIABILITY INSURANCE</v>
      </c>
      <c r="C45" s="10"/>
      <c r="D45" s="6">
        <v>247.17</v>
      </c>
      <c r="E45" s="2"/>
      <c r="F45" s="7">
        <f t="shared" si="16"/>
        <v>0</v>
      </c>
      <c r="G45" s="2"/>
      <c r="H45" s="6">
        <v>115.13</v>
      </c>
      <c r="I45" s="2"/>
      <c r="J45" s="7">
        <f t="shared" si="17"/>
        <v>0</v>
      </c>
      <c r="K45" s="2"/>
      <c r="L45" s="6">
        <f t="shared" si="18"/>
        <v>132.04</v>
      </c>
      <c r="M45" s="2"/>
      <c r="N45" s="7">
        <f t="shared" si="19"/>
        <v>1.1468774428906454</v>
      </c>
      <c r="O45" s="10"/>
      <c r="P45" s="6">
        <v>1513.6</v>
      </c>
      <c r="Q45" s="2"/>
      <c r="R45" s="7">
        <f t="shared" si="20"/>
        <v>0</v>
      </c>
      <c r="S45" s="2"/>
      <c r="T45" s="6">
        <v>1735.56</v>
      </c>
      <c r="U45" s="2"/>
      <c r="V45" s="7">
        <f t="shared" si="21"/>
        <v>0</v>
      </c>
      <c r="W45" s="2"/>
      <c r="X45" s="6">
        <f t="shared" si="22"/>
        <v>-221.96000000000004</v>
      </c>
      <c r="Y45" s="2"/>
      <c r="Z45" s="7">
        <f t="shared" si="23"/>
        <v>-0.12788955726105697</v>
      </c>
    </row>
    <row r="46" spans="1:26" s="27" customFormat="1" outlineLevel="1" collapsed="1" x14ac:dyDescent="0.25">
      <c r="A46" s="26"/>
      <c r="B46" s="12" t="str">
        <f>CONCATENATE("     ","Professional Services                             ")</f>
        <v xml:space="preserve">     Professional Services                             </v>
      </c>
      <c r="C46" s="12"/>
      <c r="D46" s="1">
        <f>SUM(OSRRefD22_9x_0)</f>
        <v>0</v>
      </c>
      <c r="E46" s="1"/>
      <c r="F46" s="5">
        <f t="shared" si="16"/>
        <v>0</v>
      </c>
      <c r="G46" s="1"/>
      <c r="H46" s="1">
        <f>SUM(OSRRefH22_9x_0)</f>
        <v>0</v>
      </c>
      <c r="I46" s="1"/>
      <c r="J46" s="5">
        <f t="shared" si="17"/>
        <v>0</v>
      </c>
      <c r="K46" s="1"/>
      <c r="L46" s="1">
        <f t="shared" si="18"/>
        <v>0</v>
      </c>
      <c r="M46" s="1"/>
      <c r="N46" s="5">
        <f t="shared" si="19"/>
        <v>0</v>
      </c>
      <c r="O46" s="12"/>
      <c r="P46" s="1">
        <f>SUM(OSRRefP22_9x_0)</f>
        <v>50379.24</v>
      </c>
      <c r="Q46" s="1"/>
      <c r="R46" s="5">
        <f t="shared" si="20"/>
        <v>0</v>
      </c>
      <c r="S46" s="1"/>
      <c r="T46" s="1">
        <f>SUM(OSRRefT22_9x_0)</f>
        <v>51735</v>
      </c>
      <c r="U46" s="1"/>
      <c r="V46" s="5">
        <f t="shared" si="21"/>
        <v>0</v>
      </c>
      <c r="W46" s="1"/>
      <c r="X46" s="1">
        <f t="shared" si="22"/>
        <v>-1355.760000000002</v>
      </c>
      <c r="Y46" s="1"/>
      <c r="Z46" s="5">
        <f t="shared" si="23"/>
        <v>-2.6205856770078324E-2</v>
      </c>
    </row>
    <row r="47" spans="1:26" s="23" customFormat="1" hidden="1" outlineLevel="2" x14ac:dyDescent="0.25">
      <c r="A47" s="25"/>
      <c r="B47" s="10" t="str">
        <f>CONCATENATE("          ", "6331", " - ", "INDIRECT COSTS-AUXILIARY ORGAN")</f>
        <v xml:space="preserve">          6331 - INDIRECT COSTS-AUXILIARY ORGAN</v>
      </c>
      <c r="C47" s="10"/>
      <c r="D47" s="6"/>
      <c r="E47" s="2"/>
      <c r="F47" s="7">
        <f t="shared" si="16"/>
        <v>0</v>
      </c>
      <c r="G47" s="2"/>
      <c r="H47" s="6"/>
      <c r="I47" s="2"/>
      <c r="J47" s="7">
        <f t="shared" si="17"/>
        <v>0</v>
      </c>
      <c r="K47" s="2"/>
      <c r="L47" s="6">
        <f t="shared" si="18"/>
        <v>0</v>
      </c>
      <c r="M47" s="2"/>
      <c r="N47" s="7">
        <f t="shared" si="19"/>
        <v>0</v>
      </c>
      <c r="O47" s="10"/>
      <c r="P47" s="6">
        <v>45850</v>
      </c>
      <c r="Q47" s="2"/>
      <c r="R47" s="7">
        <f t="shared" si="20"/>
        <v>0</v>
      </c>
      <c r="S47" s="2"/>
      <c r="T47" s="6">
        <v>45550</v>
      </c>
      <c r="U47" s="2"/>
      <c r="V47" s="7">
        <f t="shared" si="21"/>
        <v>0</v>
      </c>
      <c r="W47" s="2"/>
      <c r="X47" s="6">
        <f t="shared" si="22"/>
        <v>300</v>
      </c>
      <c r="Y47" s="2"/>
      <c r="Z47" s="7">
        <f t="shared" si="23"/>
        <v>6.5861690450054883E-3</v>
      </c>
    </row>
    <row r="48" spans="1:26" s="23" customFormat="1" hidden="1" outlineLevel="2" x14ac:dyDescent="0.25">
      <c r="A48" s="25"/>
      <c r="B48" s="10" t="str">
        <f>CONCATENATE("          ", "6334", " - ", "LEGAL COUNCIL EXPENSE")</f>
        <v xml:space="preserve">          6334 - LEGAL COUNCIL EXPENSE</v>
      </c>
      <c r="C48" s="10"/>
      <c r="D48" s="6"/>
      <c r="E48" s="2"/>
      <c r="F48" s="7">
        <f t="shared" si="16"/>
        <v>0</v>
      </c>
      <c r="G48" s="2"/>
      <c r="H48" s="6"/>
      <c r="I48" s="2"/>
      <c r="J48" s="7">
        <f t="shared" si="17"/>
        <v>0</v>
      </c>
      <c r="K48" s="2"/>
      <c r="L48" s="6">
        <f t="shared" si="18"/>
        <v>0</v>
      </c>
      <c r="M48" s="2"/>
      <c r="N48" s="7">
        <f t="shared" si="19"/>
        <v>0</v>
      </c>
      <c r="O48" s="10"/>
      <c r="P48" s="6">
        <v>4529.24</v>
      </c>
      <c r="Q48" s="2"/>
      <c r="R48" s="7">
        <f t="shared" si="20"/>
        <v>0</v>
      </c>
      <c r="S48" s="2"/>
      <c r="T48" s="6">
        <v>1165</v>
      </c>
      <c r="U48" s="2"/>
      <c r="V48" s="7">
        <f t="shared" si="21"/>
        <v>0</v>
      </c>
      <c r="W48" s="2"/>
      <c r="X48" s="6">
        <f t="shared" si="22"/>
        <v>3364.24</v>
      </c>
      <c r="Y48" s="2"/>
      <c r="Z48" s="7">
        <f t="shared" si="23"/>
        <v>2.8877596566523605</v>
      </c>
    </row>
    <row r="49" spans="1:26" s="23" customFormat="1" hidden="1" outlineLevel="2" x14ac:dyDescent="0.25">
      <c r="A49" s="25"/>
      <c r="B49" s="10" t="str">
        <f>CONCATENATE("          ", "6336", " - ", "PROFESSIONAL SERVICES")</f>
        <v xml:space="preserve">          6336 - PROFESSIONAL SERVICES</v>
      </c>
      <c r="C49" s="10"/>
      <c r="D49" s="6"/>
      <c r="E49" s="2"/>
      <c r="F49" s="7">
        <f t="shared" si="16"/>
        <v>0</v>
      </c>
      <c r="G49" s="2"/>
      <c r="H49" s="6"/>
      <c r="I49" s="2"/>
      <c r="J49" s="7">
        <f t="shared" si="17"/>
        <v>0</v>
      </c>
      <c r="K49" s="2"/>
      <c r="L49" s="6">
        <f t="shared" si="18"/>
        <v>0</v>
      </c>
      <c r="M49" s="2"/>
      <c r="N49" s="7">
        <f t="shared" si="19"/>
        <v>0</v>
      </c>
      <c r="O49" s="10"/>
      <c r="P49" s="6"/>
      <c r="Q49" s="2"/>
      <c r="R49" s="7">
        <f t="shared" si="20"/>
        <v>0</v>
      </c>
      <c r="S49" s="2"/>
      <c r="T49" s="6">
        <v>5020</v>
      </c>
      <c r="U49" s="2"/>
      <c r="V49" s="7">
        <f t="shared" si="21"/>
        <v>0</v>
      </c>
      <c r="W49" s="2"/>
      <c r="X49" s="6">
        <f t="shared" si="22"/>
        <v>-5020</v>
      </c>
      <c r="Y49" s="2"/>
      <c r="Z49" s="7">
        <f t="shared" si="23"/>
        <v>-1</v>
      </c>
    </row>
    <row r="50" spans="1:26" s="27" customFormat="1" outlineLevel="1" collapsed="1" x14ac:dyDescent="0.25">
      <c r="A50" s="26"/>
      <c r="B50" s="12" t="str">
        <f>CONCATENATE("     ","Repair and Maintenance                            ")</f>
        <v xml:space="preserve">     Repair and Maintenance                            </v>
      </c>
      <c r="C50" s="12"/>
      <c r="D50" s="1">
        <f>SUM(OSRRefD22_10x_0)</f>
        <v>2219.7199999999998</v>
      </c>
      <c r="E50" s="1"/>
      <c r="F50" s="5">
        <f t="shared" ref="F50:F53" si="24">IF(D$12=0,0,D50/D$12)</f>
        <v>0</v>
      </c>
      <c r="G50" s="1"/>
      <c r="H50" s="1">
        <f>SUM(OSRRefH22_10x_0)</f>
        <v>17.89</v>
      </c>
      <c r="I50" s="1"/>
      <c r="J50" s="5">
        <f t="shared" ref="J50:J53" si="25">IF(H$12=0,0,H50/H$12)</f>
        <v>0</v>
      </c>
      <c r="K50" s="1"/>
      <c r="L50" s="1">
        <f t="shared" ref="L50:L53" si="26">+D50-H50</f>
        <v>2201.83</v>
      </c>
      <c r="M50" s="1"/>
      <c r="N50" s="5">
        <f t="shared" ref="N50:N53" si="27">IF(H50=0,0,L50/H50)</f>
        <v>123.07602012297372</v>
      </c>
      <c r="O50" s="12"/>
      <c r="P50" s="1">
        <f>SUM(OSRRefP22_10x_0)</f>
        <v>26559</v>
      </c>
      <c r="Q50" s="1"/>
      <c r="R50" s="5">
        <f t="shared" ref="R50:R53" si="28">IF(P$12=0,0,P50/P$12)</f>
        <v>0</v>
      </c>
      <c r="S50" s="1"/>
      <c r="T50" s="1">
        <f>SUM(OSRRefT22_10x_0)</f>
        <v>33455.47</v>
      </c>
      <c r="U50" s="1"/>
      <c r="V50" s="5">
        <f t="shared" ref="V50:V53" si="29">IF(T$12=0,0,T50/T$12)</f>
        <v>0</v>
      </c>
      <c r="W50" s="1"/>
      <c r="X50" s="1">
        <f t="shared" ref="X50:X53" si="30">+P50-T50</f>
        <v>-6896.4700000000012</v>
      </c>
      <c r="Y50" s="1"/>
      <c r="Z50" s="5">
        <f t="shared" ref="Z50:Z53" si="31">IF(T50=0,0,X50/T50)</f>
        <v>-0.20613878687102591</v>
      </c>
    </row>
    <row r="51" spans="1:26" s="23" customFormat="1" hidden="1" outlineLevel="2" x14ac:dyDescent="0.25">
      <c r="A51" s="25"/>
      <c r="B51" s="10" t="str">
        <f>CONCATENATE("          ", "6371", " - ", "COMPUTER SOFTWARE MAINTENANCE")</f>
        <v xml:space="preserve">          6371 - COMPUTER SOFTWARE MAINTENANCE</v>
      </c>
      <c r="C51" s="10"/>
      <c r="D51" s="6"/>
      <c r="E51" s="2"/>
      <c r="F51" s="7">
        <f t="shared" si="24"/>
        <v>0</v>
      </c>
      <c r="G51" s="2"/>
      <c r="H51" s="6"/>
      <c r="I51" s="2"/>
      <c r="J51" s="7">
        <f t="shared" si="25"/>
        <v>0</v>
      </c>
      <c r="K51" s="2"/>
      <c r="L51" s="6">
        <f t="shared" si="26"/>
        <v>0</v>
      </c>
      <c r="M51" s="2"/>
      <c r="N51" s="7">
        <f t="shared" si="27"/>
        <v>0</v>
      </c>
      <c r="O51" s="10"/>
      <c r="P51" s="6">
        <v>1980</v>
      </c>
      <c r="Q51" s="2"/>
      <c r="R51" s="7">
        <f t="shared" si="28"/>
        <v>0</v>
      </c>
      <c r="S51" s="2"/>
      <c r="T51" s="6">
        <v>31.58</v>
      </c>
      <c r="U51" s="2"/>
      <c r="V51" s="7">
        <f t="shared" si="29"/>
        <v>0</v>
      </c>
      <c r="W51" s="2"/>
      <c r="X51" s="6">
        <f t="shared" si="30"/>
        <v>1948.42</v>
      </c>
      <c r="Y51" s="2"/>
      <c r="Z51" s="7">
        <f t="shared" si="31"/>
        <v>61.697910069664353</v>
      </c>
    </row>
    <row r="52" spans="1:26" s="23" customFormat="1" hidden="1" outlineLevel="2" x14ac:dyDescent="0.25">
      <c r="A52" s="25"/>
      <c r="B52" s="10" t="str">
        <f>CONCATENATE("          ", "6373", " - ", "MAINTENANCE CONTRACTS")</f>
        <v xml:space="preserve">          6373 - MAINTENANCE CONTRACTS</v>
      </c>
      <c r="C52" s="10"/>
      <c r="D52" s="6">
        <v>2219.7199999999998</v>
      </c>
      <c r="E52" s="2"/>
      <c r="F52" s="7">
        <f t="shared" si="24"/>
        <v>0</v>
      </c>
      <c r="G52" s="2"/>
      <c r="H52" s="6">
        <v>17.89</v>
      </c>
      <c r="I52" s="2"/>
      <c r="J52" s="7">
        <f t="shared" si="25"/>
        <v>0</v>
      </c>
      <c r="K52" s="2"/>
      <c r="L52" s="6">
        <f t="shared" si="26"/>
        <v>2201.83</v>
      </c>
      <c r="M52" s="2"/>
      <c r="N52" s="7">
        <f t="shared" si="27"/>
        <v>123.07602012297372</v>
      </c>
      <c r="O52" s="10"/>
      <c r="P52" s="6">
        <v>24579</v>
      </c>
      <c r="Q52" s="2"/>
      <c r="R52" s="7">
        <f t="shared" si="28"/>
        <v>0</v>
      </c>
      <c r="S52" s="2"/>
      <c r="T52" s="6">
        <v>32898.9</v>
      </c>
      <c r="U52" s="2"/>
      <c r="V52" s="7">
        <f t="shared" si="29"/>
        <v>0</v>
      </c>
      <c r="W52" s="2"/>
      <c r="X52" s="6">
        <f t="shared" si="30"/>
        <v>-8319.9000000000015</v>
      </c>
      <c r="Y52" s="2"/>
      <c r="Z52" s="7">
        <f t="shared" si="31"/>
        <v>-0.25289295386775851</v>
      </c>
    </row>
    <row r="53" spans="1:26" s="23" customFormat="1" hidden="1" outlineLevel="2" x14ac:dyDescent="0.25">
      <c r="A53" s="25"/>
      <c r="B53" s="10" t="str">
        <f>CONCATENATE("          ", "6375", " - ", "OUTSIDE REPAIRS &amp; MAINTENANCE")</f>
        <v xml:space="preserve">          6375 - OUTSIDE REPAIRS &amp; MAINTENANCE</v>
      </c>
      <c r="C53" s="10"/>
      <c r="D53" s="6"/>
      <c r="E53" s="2"/>
      <c r="F53" s="7">
        <f t="shared" si="24"/>
        <v>0</v>
      </c>
      <c r="G53" s="2"/>
      <c r="H53" s="6"/>
      <c r="I53" s="2"/>
      <c r="J53" s="7">
        <f t="shared" si="25"/>
        <v>0</v>
      </c>
      <c r="K53" s="2"/>
      <c r="L53" s="6">
        <f t="shared" si="26"/>
        <v>0</v>
      </c>
      <c r="M53" s="2"/>
      <c r="N53" s="7">
        <f t="shared" si="27"/>
        <v>0</v>
      </c>
      <c r="O53" s="10"/>
      <c r="P53" s="6"/>
      <c r="Q53" s="2"/>
      <c r="R53" s="7">
        <f t="shared" si="28"/>
        <v>0</v>
      </c>
      <c r="S53" s="2"/>
      <c r="T53" s="6">
        <v>524.99</v>
      </c>
      <c r="U53" s="2"/>
      <c r="V53" s="7">
        <f t="shared" si="29"/>
        <v>0</v>
      </c>
      <c r="W53" s="2"/>
      <c r="X53" s="6">
        <f t="shared" si="30"/>
        <v>-524.99</v>
      </c>
      <c r="Y53" s="2"/>
      <c r="Z53" s="7">
        <f t="shared" si="31"/>
        <v>-1</v>
      </c>
    </row>
    <row r="54" spans="1:26" s="27" customFormat="1" outlineLevel="1" collapsed="1" x14ac:dyDescent="0.25">
      <c r="A54" s="26"/>
      <c r="B54" s="12" t="str">
        <f>CONCATENATE("     ","Subscriptions &amp; Dues                              ")</f>
        <v xml:space="preserve">     Subscriptions &amp; Dues                              </v>
      </c>
      <c r="C54" s="12"/>
      <c r="D54" s="1">
        <f>SUM(OSRRefD22_11x_0)</f>
        <v>0</v>
      </c>
      <c r="E54" s="1"/>
      <c r="F54" s="5">
        <f t="shared" ref="F54:F60" si="32">IF(D$12=0,0,D54/D$12)</f>
        <v>0</v>
      </c>
      <c r="G54" s="1"/>
      <c r="H54" s="1">
        <f>SUM(OSRRefH22_11x_0)</f>
        <v>-775</v>
      </c>
      <c r="I54" s="1"/>
      <c r="J54" s="5">
        <f t="shared" ref="J54:J60" si="33">IF(H$12=0,0,H54/H$12)</f>
        <v>0</v>
      </c>
      <c r="K54" s="1"/>
      <c r="L54" s="1">
        <f t="shared" ref="L54:L60" si="34">+D54-H54</f>
        <v>775</v>
      </c>
      <c r="M54" s="1"/>
      <c r="N54" s="5">
        <f t="shared" ref="N54:N60" si="35">IF(H54=0,0,L54/H54)</f>
        <v>-1</v>
      </c>
      <c r="O54" s="12"/>
      <c r="P54" s="1">
        <f>SUM(OSRRefP22_11x_0)</f>
        <v>8793</v>
      </c>
      <c r="Q54" s="1"/>
      <c r="R54" s="5">
        <f t="shared" ref="R54:R60" si="36">IF(P$12=0,0,P54/P$12)</f>
        <v>0</v>
      </c>
      <c r="S54" s="1"/>
      <c r="T54" s="1">
        <f>SUM(OSRRefT22_11x_0)</f>
        <v>7238</v>
      </c>
      <c r="U54" s="1"/>
      <c r="V54" s="5">
        <f t="shared" ref="V54:V60" si="37">IF(T$12=0,0,T54/T$12)</f>
        <v>0</v>
      </c>
      <c r="W54" s="1"/>
      <c r="X54" s="1">
        <f t="shared" ref="X54:X60" si="38">+P54-T54</f>
        <v>1555</v>
      </c>
      <c r="Y54" s="1"/>
      <c r="Z54" s="5">
        <f t="shared" ref="Z54:Z60" si="39">IF(T54=0,0,X54/T54)</f>
        <v>0.21483835313622549</v>
      </c>
    </row>
    <row r="55" spans="1:26" s="23" customFormat="1" hidden="1" outlineLevel="2" x14ac:dyDescent="0.25">
      <c r="A55" s="25"/>
      <c r="B55" s="10" t="str">
        <f>CONCATENATE("          ", "6258", " - ", "MEMBERSHIP DUES")</f>
        <v xml:space="preserve">          6258 - MEMBERSHIP DUES</v>
      </c>
      <c r="C55" s="10"/>
      <c r="D55" s="6"/>
      <c r="E55" s="2"/>
      <c r="F55" s="7">
        <f t="shared" si="32"/>
        <v>0</v>
      </c>
      <c r="G55" s="2"/>
      <c r="H55" s="6">
        <v>-775</v>
      </c>
      <c r="I55" s="2"/>
      <c r="J55" s="7">
        <f t="shared" si="33"/>
        <v>0</v>
      </c>
      <c r="K55" s="2"/>
      <c r="L55" s="6">
        <f t="shared" si="34"/>
        <v>775</v>
      </c>
      <c r="M55" s="2"/>
      <c r="N55" s="7">
        <f t="shared" si="35"/>
        <v>-1</v>
      </c>
      <c r="O55" s="10"/>
      <c r="P55" s="6">
        <v>8793</v>
      </c>
      <c r="Q55" s="2"/>
      <c r="R55" s="7">
        <f t="shared" si="36"/>
        <v>0</v>
      </c>
      <c r="S55" s="2"/>
      <c r="T55" s="6">
        <v>7238</v>
      </c>
      <c r="U55" s="2"/>
      <c r="V55" s="7">
        <f t="shared" si="37"/>
        <v>0</v>
      </c>
      <c r="W55" s="2"/>
      <c r="X55" s="6">
        <f t="shared" si="38"/>
        <v>1555</v>
      </c>
      <c r="Y55" s="2"/>
      <c r="Z55" s="7">
        <f t="shared" si="39"/>
        <v>0.21483835313622549</v>
      </c>
    </row>
    <row r="56" spans="1:26" s="27" customFormat="1" outlineLevel="1" collapsed="1" x14ac:dyDescent="0.25">
      <c r="A56" s="26"/>
      <c r="B56" s="12" t="str">
        <f>CONCATENATE("     ","Supplies                                          ")</f>
        <v xml:space="preserve">     Supplies                                          </v>
      </c>
      <c r="C56" s="12"/>
      <c r="D56" s="1">
        <f>SUM(OSRRefD22_12x_0)</f>
        <v>39.69</v>
      </c>
      <c r="E56" s="1"/>
      <c r="F56" s="5">
        <f t="shared" si="32"/>
        <v>0</v>
      </c>
      <c r="G56" s="1"/>
      <c r="H56" s="1">
        <f>SUM(OSRRefH22_12x_0)</f>
        <v>8.25</v>
      </c>
      <c r="I56" s="1"/>
      <c r="J56" s="5">
        <f t="shared" si="33"/>
        <v>0</v>
      </c>
      <c r="K56" s="1"/>
      <c r="L56" s="1">
        <f t="shared" si="34"/>
        <v>31.439999999999998</v>
      </c>
      <c r="M56" s="1"/>
      <c r="N56" s="5">
        <f t="shared" si="35"/>
        <v>3.8109090909090906</v>
      </c>
      <c r="O56" s="12"/>
      <c r="P56" s="1">
        <f>SUM(OSRRefP22_12x_0)</f>
        <v>683.38000000000011</v>
      </c>
      <c r="Q56" s="1"/>
      <c r="R56" s="5">
        <f t="shared" si="36"/>
        <v>0</v>
      </c>
      <c r="S56" s="1"/>
      <c r="T56" s="1">
        <f>SUM(OSRRefT22_12x_0)</f>
        <v>9650.0800000000017</v>
      </c>
      <c r="U56" s="1"/>
      <c r="V56" s="5">
        <f t="shared" si="37"/>
        <v>0</v>
      </c>
      <c r="W56" s="1"/>
      <c r="X56" s="1">
        <f t="shared" si="38"/>
        <v>-8966.7000000000007</v>
      </c>
      <c r="Y56" s="1"/>
      <c r="Z56" s="5">
        <f t="shared" si="39"/>
        <v>-0.92918400676471069</v>
      </c>
    </row>
    <row r="57" spans="1:26" s="23" customFormat="1" hidden="1" outlineLevel="2" x14ac:dyDescent="0.25">
      <c r="A57" s="25"/>
      <c r="B57" s="10" t="str">
        <f>CONCATENATE("          ", "6234", " - ", "EXPENDABLE SUPPLIES &amp; EQUIPMEN")</f>
        <v xml:space="preserve">          6234 - EXPENDABLE SUPPLIES &amp; EQUIPMEN</v>
      </c>
      <c r="C57" s="10"/>
      <c r="D57" s="6"/>
      <c r="E57" s="2"/>
      <c r="F57" s="7">
        <f t="shared" si="32"/>
        <v>0</v>
      </c>
      <c r="G57" s="2"/>
      <c r="H57" s="6"/>
      <c r="I57" s="2"/>
      <c r="J57" s="7">
        <f t="shared" si="33"/>
        <v>0</v>
      </c>
      <c r="K57" s="2"/>
      <c r="L57" s="6">
        <f t="shared" si="34"/>
        <v>0</v>
      </c>
      <c r="M57" s="2"/>
      <c r="N57" s="7">
        <f t="shared" si="35"/>
        <v>0</v>
      </c>
      <c r="O57" s="10"/>
      <c r="P57" s="6"/>
      <c r="Q57" s="2"/>
      <c r="R57" s="7">
        <f t="shared" si="36"/>
        <v>0</v>
      </c>
      <c r="S57" s="2"/>
      <c r="T57" s="6">
        <v>217.02</v>
      </c>
      <c r="U57" s="2"/>
      <c r="V57" s="7">
        <f t="shared" si="37"/>
        <v>0</v>
      </c>
      <c r="W57" s="2"/>
      <c r="X57" s="6">
        <f t="shared" si="38"/>
        <v>-217.02</v>
      </c>
      <c r="Y57" s="2"/>
      <c r="Z57" s="7">
        <f t="shared" si="39"/>
        <v>-1</v>
      </c>
    </row>
    <row r="58" spans="1:26" s="23" customFormat="1" hidden="1" outlineLevel="2" x14ac:dyDescent="0.25">
      <c r="A58" s="25"/>
      <c r="B58" s="10" t="str">
        <f>CONCATENATE("          ", "6235", " - ", "COVID-19 EXPENSES")</f>
        <v xml:space="preserve">          6235 - COVID-19 EXPENSES</v>
      </c>
      <c r="C58" s="10"/>
      <c r="D58" s="6"/>
      <c r="E58" s="2"/>
      <c r="F58" s="7">
        <f t="shared" si="32"/>
        <v>0</v>
      </c>
      <c r="G58" s="2"/>
      <c r="H58" s="6"/>
      <c r="I58" s="2"/>
      <c r="J58" s="7">
        <f t="shared" si="33"/>
        <v>0</v>
      </c>
      <c r="K58" s="2"/>
      <c r="L58" s="6">
        <f t="shared" si="34"/>
        <v>0</v>
      </c>
      <c r="M58" s="2"/>
      <c r="N58" s="7">
        <f t="shared" si="35"/>
        <v>0</v>
      </c>
      <c r="O58" s="10"/>
      <c r="P58" s="6">
        <v>106.94</v>
      </c>
      <c r="Q58" s="2"/>
      <c r="R58" s="7">
        <f t="shared" si="36"/>
        <v>0</v>
      </c>
      <c r="S58" s="2"/>
      <c r="T58" s="6">
        <v>5440</v>
      </c>
      <c r="U58" s="2"/>
      <c r="V58" s="7">
        <f t="shared" si="37"/>
        <v>0</v>
      </c>
      <c r="W58" s="2"/>
      <c r="X58" s="6">
        <f t="shared" si="38"/>
        <v>-5333.06</v>
      </c>
      <c r="Y58" s="2"/>
      <c r="Z58" s="7">
        <f t="shared" si="39"/>
        <v>-0.98034191176470598</v>
      </c>
    </row>
    <row r="59" spans="1:26" s="23" customFormat="1" hidden="1" outlineLevel="2" x14ac:dyDescent="0.25">
      <c r="A59" s="25"/>
      <c r="B59" s="10" t="str">
        <f>CONCATENATE("          ", "6241", " - ", "OFFICE EXPENSE")</f>
        <v xml:space="preserve">          6241 - OFFICE EXPENSE</v>
      </c>
      <c r="C59" s="10"/>
      <c r="D59" s="6">
        <v>39.69</v>
      </c>
      <c r="E59" s="2"/>
      <c r="F59" s="7">
        <f t="shared" si="32"/>
        <v>0</v>
      </c>
      <c r="G59" s="2"/>
      <c r="H59" s="6">
        <v>8.25</v>
      </c>
      <c r="I59" s="2"/>
      <c r="J59" s="7">
        <f t="shared" si="33"/>
        <v>0</v>
      </c>
      <c r="K59" s="2"/>
      <c r="L59" s="6">
        <f t="shared" si="34"/>
        <v>31.439999999999998</v>
      </c>
      <c r="M59" s="2"/>
      <c r="N59" s="7">
        <f t="shared" si="35"/>
        <v>3.8109090909090906</v>
      </c>
      <c r="O59" s="10"/>
      <c r="P59" s="6">
        <v>576.44000000000005</v>
      </c>
      <c r="Q59" s="2"/>
      <c r="R59" s="7">
        <f t="shared" si="36"/>
        <v>0</v>
      </c>
      <c r="S59" s="2"/>
      <c r="T59" s="6">
        <v>3961.2</v>
      </c>
      <c r="U59" s="2"/>
      <c r="V59" s="7">
        <f t="shared" si="37"/>
        <v>0</v>
      </c>
      <c r="W59" s="2"/>
      <c r="X59" s="6">
        <f t="shared" si="38"/>
        <v>-3384.7599999999998</v>
      </c>
      <c r="Y59" s="2"/>
      <c r="Z59" s="7">
        <f t="shared" si="39"/>
        <v>-0.85447844087650204</v>
      </c>
    </row>
    <row r="60" spans="1:26" s="23" customFormat="1" hidden="1" outlineLevel="2" x14ac:dyDescent="0.25">
      <c r="A60" s="25"/>
      <c r="B60" s="10" t="str">
        <f>CONCATENATE("          ", "6245", " - ", "PRINTING")</f>
        <v xml:space="preserve">          6245 - PRINTING</v>
      </c>
      <c r="C60" s="10"/>
      <c r="D60" s="6"/>
      <c r="E60" s="2"/>
      <c r="F60" s="7">
        <f t="shared" si="32"/>
        <v>0</v>
      </c>
      <c r="G60" s="2"/>
      <c r="H60" s="6"/>
      <c r="I60" s="2"/>
      <c r="J60" s="7">
        <f t="shared" si="33"/>
        <v>0</v>
      </c>
      <c r="K60" s="2"/>
      <c r="L60" s="6">
        <f t="shared" si="34"/>
        <v>0</v>
      </c>
      <c r="M60" s="2"/>
      <c r="N60" s="7">
        <f t="shared" si="35"/>
        <v>0</v>
      </c>
      <c r="O60" s="10"/>
      <c r="P60" s="6"/>
      <c r="Q60" s="2"/>
      <c r="R60" s="7">
        <f t="shared" si="36"/>
        <v>0</v>
      </c>
      <c r="S60" s="2"/>
      <c r="T60" s="6">
        <v>31.86</v>
      </c>
      <c r="U60" s="2"/>
      <c r="V60" s="7">
        <f t="shared" si="37"/>
        <v>0</v>
      </c>
      <c r="W60" s="2"/>
      <c r="X60" s="6">
        <f t="shared" si="38"/>
        <v>-31.86</v>
      </c>
      <c r="Y60" s="2"/>
      <c r="Z60" s="7">
        <f t="shared" si="39"/>
        <v>-1</v>
      </c>
    </row>
    <row r="61" spans="1:26" s="27" customFormat="1" outlineLevel="1" collapsed="1" x14ac:dyDescent="0.25">
      <c r="A61" s="26"/>
      <c r="B61" s="12" t="str">
        <f>CONCATENATE("     ","Telephone/Data Lines                              ")</f>
        <v xml:space="preserve">     Telephone/Data Lines                              </v>
      </c>
      <c r="C61" s="12"/>
      <c r="D61" s="1">
        <f>SUM(OSRRefD22_13x_0)</f>
        <v>542.47</v>
      </c>
      <c r="E61" s="1"/>
      <c r="F61" s="5">
        <f t="shared" ref="F61:F66" si="40">IF(D$12=0,0,D61/D$12)</f>
        <v>0</v>
      </c>
      <c r="G61" s="1"/>
      <c r="H61" s="1">
        <f>SUM(OSRRefH22_13x_0)</f>
        <v>148.44</v>
      </c>
      <c r="I61" s="1"/>
      <c r="J61" s="5">
        <f t="shared" ref="J61:J66" si="41">IF(H$12=0,0,H61/H$12)</f>
        <v>0</v>
      </c>
      <c r="K61" s="1"/>
      <c r="L61" s="1">
        <f t="shared" ref="L61:L66" si="42">+D61-H61</f>
        <v>394.03000000000003</v>
      </c>
      <c r="M61" s="1"/>
      <c r="N61" s="5">
        <f t="shared" ref="N61:N66" si="43">IF(H61=0,0,L61/H61)</f>
        <v>2.654473187819995</v>
      </c>
      <c r="O61" s="12"/>
      <c r="P61" s="1">
        <f>SUM(OSRRefP22_13x_0)</f>
        <v>4776.09</v>
      </c>
      <c r="Q61" s="1"/>
      <c r="R61" s="5">
        <f t="shared" ref="R61:R66" si="44">IF(P$12=0,0,P61/P$12)</f>
        <v>0</v>
      </c>
      <c r="S61" s="1"/>
      <c r="T61" s="1">
        <f>SUM(OSRRefT22_13x_0)</f>
        <v>4232.47</v>
      </c>
      <c r="U61" s="1"/>
      <c r="V61" s="5">
        <f t="shared" ref="V61:V66" si="45">IF(T$12=0,0,T61/T$12)</f>
        <v>0</v>
      </c>
      <c r="W61" s="1"/>
      <c r="X61" s="1">
        <f t="shared" ref="X61:X66" si="46">+P61-T61</f>
        <v>543.61999999999989</v>
      </c>
      <c r="Y61" s="1"/>
      <c r="Z61" s="5">
        <f t="shared" ref="Z61:Z66" si="47">IF(T61=0,0,X61/T61)</f>
        <v>0.12844036697247704</v>
      </c>
    </row>
    <row r="62" spans="1:26" s="23" customFormat="1" hidden="1" outlineLevel="2" x14ac:dyDescent="0.25">
      <c r="A62" s="25"/>
      <c r="B62" s="10" t="str">
        <f>CONCATENATE("          ", "6309", " - ", "TELEPHONE")</f>
        <v xml:space="preserve">          6309 - TELEPHONE</v>
      </c>
      <c r="C62" s="10"/>
      <c r="D62" s="6">
        <v>542.47</v>
      </c>
      <c r="E62" s="2"/>
      <c r="F62" s="7">
        <f t="shared" si="40"/>
        <v>0</v>
      </c>
      <c r="G62" s="2"/>
      <c r="H62" s="6">
        <v>148.44</v>
      </c>
      <c r="I62" s="2"/>
      <c r="J62" s="7">
        <f t="shared" si="41"/>
        <v>0</v>
      </c>
      <c r="K62" s="2"/>
      <c r="L62" s="6">
        <f t="shared" si="42"/>
        <v>394.03000000000003</v>
      </c>
      <c r="M62" s="2"/>
      <c r="N62" s="7">
        <f t="shared" si="43"/>
        <v>2.654473187819995</v>
      </c>
      <c r="O62" s="10"/>
      <c r="P62" s="6">
        <v>4776.09</v>
      </c>
      <c r="Q62" s="2"/>
      <c r="R62" s="7">
        <f t="shared" si="44"/>
        <v>0</v>
      </c>
      <c r="S62" s="2"/>
      <c r="T62" s="6">
        <v>4232.47</v>
      </c>
      <c r="U62" s="2"/>
      <c r="V62" s="7">
        <f t="shared" si="45"/>
        <v>0</v>
      </c>
      <c r="W62" s="2"/>
      <c r="X62" s="6">
        <f t="shared" si="46"/>
        <v>543.61999999999989</v>
      </c>
      <c r="Y62" s="2"/>
      <c r="Z62" s="7">
        <f t="shared" si="47"/>
        <v>0.12844036697247704</v>
      </c>
    </row>
    <row r="63" spans="1:26" s="27" customFormat="1" outlineLevel="1" collapsed="1" x14ac:dyDescent="0.25">
      <c r="A63" s="26"/>
      <c r="B63" s="12" t="str">
        <f>CONCATENATE("     ","Training                                          ")</f>
        <v xml:space="preserve">     Training                                          </v>
      </c>
      <c r="C63" s="12"/>
      <c r="D63" s="1">
        <f>SUM(OSRRefD22_14x_0)</f>
        <v>0</v>
      </c>
      <c r="E63" s="1"/>
      <c r="F63" s="5">
        <f t="shared" si="40"/>
        <v>0</v>
      </c>
      <c r="G63" s="1"/>
      <c r="H63" s="1">
        <f>SUM(OSRRefH22_14x_0)</f>
        <v>0</v>
      </c>
      <c r="I63" s="1"/>
      <c r="J63" s="5">
        <f t="shared" si="41"/>
        <v>0</v>
      </c>
      <c r="K63" s="1"/>
      <c r="L63" s="1">
        <f t="shared" si="42"/>
        <v>0</v>
      </c>
      <c r="M63" s="1"/>
      <c r="N63" s="5">
        <f t="shared" si="43"/>
        <v>0</v>
      </c>
      <c r="O63" s="12"/>
      <c r="P63" s="1">
        <f>SUM(OSRRefP22_14x_0)</f>
        <v>4276.5</v>
      </c>
      <c r="Q63" s="1"/>
      <c r="R63" s="5">
        <f t="shared" si="44"/>
        <v>0</v>
      </c>
      <c r="S63" s="1"/>
      <c r="T63" s="1">
        <f>SUM(OSRRefT22_14x_0)</f>
        <v>6622.71</v>
      </c>
      <c r="U63" s="1"/>
      <c r="V63" s="5">
        <f t="shared" si="45"/>
        <v>0</v>
      </c>
      <c r="W63" s="1"/>
      <c r="X63" s="1">
        <f t="shared" si="46"/>
        <v>-2346.21</v>
      </c>
      <c r="Y63" s="1"/>
      <c r="Z63" s="5">
        <f t="shared" si="47"/>
        <v>-0.35426736185036034</v>
      </c>
    </row>
    <row r="64" spans="1:26" s="23" customFormat="1" hidden="1" outlineLevel="2" x14ac:dyDescent="0.25">
      <c r="A64" s="25"/>
      <c r="B64" s="10" t="str">
        <f>CONCATENATE("          ", "6376", " - ", "TRAINING")</f>
        <v xml:space="preserve">          6376 - TRAINING</v>
      </c>
      <c r="C64" s="10"/>
      <c r="D64" s="6"/>
      <c r="E64" s="2"/>
      <c r="F64" s="7">
        <f t="shared" si="40"/>
        <v>0</v>
      </c>
      <c r="G64" s="2"/>
      <c r="H64" s="6"/>
      <c r="I64" s="2"/>
      <c r="J64" s="7">
        <f t="shared" si="41"/>
        <v>0</v>
      </c>
      <c r="K64" s="2"/>
      <c r="L64" s="6">
        <f t="shared" si="42"/>
        <v>0</v>
      </c>
      <c r="M64" s="2"/>
      <c r="N64" s="7">
        <f t="shared" si="43"/>
        <v>0</v>
      </c>
      <c r="O64" s="10"/>
      <c r="P64" s="6">
        <v>4276.5</v>
      </c>
      <c r="Q64" s="2"/>
      <c r="R64" s="7">
        <f t="shared" si="44"/>
        <v>0</v>
      </c>
      <c r="S64" s="2"/>
      <c r="T64" s="6">
        <v>6622.71</v>
      </c>
      <c r="U64" s="2"/>
      <c r="V64" s="7">
        <f t="shared" si="45"/>
        <v>0</v>
      </c>
      <c r="W64" s="2"/>
      <c r="X64" s="6">
        <f t="shared" si="46"/>
        <v>-2346.21</v>
      </c>
      <c r="Y64" s="2"/>
      <c r="Z64" s="7">
        <f t="shared" si="47"/>
        <v>-0.35426736185036034</v>
      </c>
    </row>
    <row r="65" spans="1:26" s="27" customFormat="1" outlineLevel="1" collapsed="1" x14ac:dyDescent="0.25">
      <c r="A65" s="26"/>
      <c r="B65" s="12" t="str">
        <f>CONCATENATE("     ","Travel                                            ")</f>
        <v xml:space="preserve">     Travel                                            </v>
      </c>
      <c r="C65" s="12"/>
      <c r="D65" s="1">
        <f>SUM(OSRRefD22_15x_0)</f>
        <v>0</v>
      </c>
      <c r="E65" s="1"/>
      <c r="F65" s="5">
        <f t="shared" si="40"/>
        <v>0</v>
      </c>
      <c r="G65" s="1"/>
      <c r="H65" s="1">
        <f>SUM(OSRRefH22_15x_0)</f>
        <v>0</v>
      </c>
      <c r="I65" s="1"/>
      <c r="J65" s="5">
        <f t="shared" si="41"/>
        <v>0</v>
      </c>
      <c r="K65" s="1"/>
      <c r="L65" s="1">
        <f t="shared" si="42"/>
        <v>0</v>
      </c>
      <c r="M65" s="1"/>
      <c r="N65" s="5">
        <f t="shared" si="43"/>
        <v>0</v>
      </c>
      <c r="O65" s="12"/>
      <c r="P65" s="1">
        <f>SUM(OSRRefP22_15x_0)</f>
        <v>0</v>
      </c>
      <c r="Q65" s="1"/>
      <c r="R65" s="5">
        <f t="shared" si="44"/>
        <v>0</v>
      </c>
      <c r="S65" s="1"/>
      <c r="T65" s="1">
        <f>SUM(OSRRefT22_15x_0)</f>
        <v>3811.99</v>
      </c>
      <c r="U65" s="1"/>
      <c r="V65" s="5">
        <f t="shared" si="45"/>
        <v>0</v>
      </c>
      <c r="W65" s="1"/>
      <c r="X65" s="1">
        <f t="shared" si="46"/>
        <v>-3811.99</v>
      </c>
      <c r="Y65" s="1"/>
      <c r="Z65" s="5">
        <f t="shared" si="47"/>
        <v>-1</v>
      </c>
    </row>
    <row r="66" spans="1:26" s="23" customFormat="1" hidden="1" outlineLevel="2" x14ac:dyDescent="0.25">
      <c r="A66" s="25"/>
      <c r="B66" s="10" t="str">
        <f>CONCATENATE("          ", "6292", " - ", "TRAVEL/CONFERENCE")</f>
        <v xml:space="preserve">          6292 - TRAVEL/CONFERENCE</v>
      </c>
      <c r="C66" s="10"/>
      <c r="D66" s="6"/>
      <c r="E66" s="2"/>
      <c r="F66" s="7">
        <f t="shared" si="40"/>
        <v>0</v>
      </c>
      <c r="G66" s="2"/>
      <c r="H66" s="6"/>
      <c r="I66" s="2"/>
      <c r="J66" s="7">
        <f t="shared" si="41"/>
        <v>0</v>
      </c>
      <c r="K66" s="2"/>
      <c r="L66" s="6">
        <f t="shared" si="42"/>
        <v>0</v>
      </c>
      <c r="M66" s="2"/>
      <c r="N66" s="7">
        <f t="shared" si="43"/>
        <v>0</v>
      </c>
      <c r="O66" s="10"/>
      <c r="P66" s="6"/>
      <c r="Q66" s="2"/>
      <c r="R66" s="7">
        <f t="shared" si="44"/>
        <v>0</v>
      </c>
      <c r="S66" s="2"/>
      <c r="T66" s="6">
        <v>3811.99</v>
      </c>
      <c r="U66" s="2"/>
      <c r="V66" s="7">
        <f t="shared" si="45"/>
        <v>0</v>
      </c>
      <c r="W66" s="2"/>
      <c r="X66" s="6">
        <f t="shared" si="46"/>
        <v>-3811.99</v>
      </c>
      <c r="Y66" s="2"/>
      <c r="Z66" s="7">
        <f t="shared" si="47"/>
        <v>-1</v>
      </c>
    </row>
    <row r="67" spans="1:26" s="52" customFormat="1" x14ac:dyDescent="0.25">
      <c r="A67" s="37"/>
      <c r="B67" s="37"/>
      <c r="C67" s="37"/>
      <c r="D67" s="1"/>
      <c r="E67" s="1"/>
      <c r="F67" s="5"/>
      <c r="G67" s="1"/>
      <c r="H67" s="1"/>
      <c r="I67" s="1"/>
      <c r="J67" s="5"/>
      <c r="K67" s="1"/>
      <c r="L67" s="1"/>
      <c r="M67" s="1"/>
      <c r="N67" s="5"/>
      <c r="O67" s="37"/>
      <c r="P67" s="1"/>
      <c r="Q67" s="1"/>
      <c r="R67" s="5"/>
      <c r="S67" s="1"/>
      <c r="T67" s="1"/>
      <c r="U67" s="1"/>
      <c r="V67" s="5"/>
      <c r="W67" s="1"/>
      <c r="X67" s="1"/>
      <c r="Y67" s="1"/>
      <c r="Z67" s="5"/>
    </row>
    <row r="68" spans="1:26" s="24" customFormat="1" x14ac:dyDescent="0.25">
      <c r="A68" s="11"/>
      <c r="B68" s="29" t="s">
        <v>292</v>
      </c>
      <c r="C68" s="11"/>
      <c r="D68" s="4">
        <f>SUM(0)</f>
        <v>0</v>
      </c>
      <c r="E68" s="4"/>
      <c r="F68" s="13">
        <f>IF(D$12=0,0,D68/D$12)</f>
        <v>0</v>
      </c>
      <c r="G68" s="4"/>
      <c r="H68" s="4">
        <f>SUM(0)</f>
        <v>0</v>
      </c>
      <c r="I68" s="4"/>
      <c r="J68" s="13">
        <f>IF(H$12=0,0,H68/H$12)</f>
        <v>0</v>
      </c>
      <c r="K68" s="4"/>
      <c r="L68" s="4">
        <f>+D68-H68</f>
        <v>0</v>
      </c>
      <c r="M68" s="4"/>
      <c r="N68" s="13">
        <f>IF(H68=0,0,L68/H68)</f>
        <v>0</v>
      </c>
      <c r="O68" s="11"/>
      <c r="P68" s="4">
        <f>SUM(0)</f>
        <v>0</v>
      </c>
      <c r="Q68" s="4"/>
      <c r="R68" s="13">
        <f>IF(P$12=0,0,P68/P$12)</f>
        <v>0</v>
      </c>
      <c r="S68" s="4"/>
      <c r="T68" s="4">
        <f>SUM(0)</f>
        <v>0</v>
      </c>
      <c r="U68" s="4"/>
      <c r="V68" s="13">
        <f>IF(T$12=0,0,T68/T$12)</f>
        <v>0</v>
      </c>
      <c r="W68" s="4"/>
      <c r="X68" s="4">
        <f>+P68-T68</f>
        <v>0</v>
      </c>
      <c r="Y68" s="4"/>
      <c r="Z68" s="13">
        <f>IF(T68=0,0,X68/T68)</f>
        <v>0</v>
      </c>
    </row>
    <row r="69" spans="1:26" x14ac:dyDescent="0.25">
      <c r="A69" s="9"/>
      <c r="B69" s="11"/>
      <c r="C69" s="11"/>
      <c r="D69" s="3"/>
      <c r="E69" s="3"/>
      <c r="F69" s="8"/>
      <c r="G69" s="3"/>
      <c r="H69" s="3"/>
      <c r="I69" s="3"/>
      <c r="J69" s="8"/>
      <c r="K69" s="3"/>
      <c r="L69" s="3"/>
      <c r="M69" s="3"/>
      <c r="N69" s="8"/>
      <c r="O69" s="11"/>
      <c r="P69" s="3"/>
      <c r="Q69" s="3"/>
      <c r="R69" s="8"/>
      <c r="S69" s="3"/>
      <c r="T69" s="3"/>
      <c r="U69" s="3"/>
      <c r="V69" s="8"/>
      <c r="W69" s="3"/>
      <c r="X69" s="3"/>
      <c r="Y69" s="3"/>
      <c r="Z69" s="8"/>
    </row>
    <row r="70" spans="1:26" s="24" customFormat="1" x14ac:dyDescent="0.25">
      <c r="A70" s="11"/>
      <c r="B70" s="28" t="s">
        <v>276</v>
      </c>
      <c r="C70" s="28"/>
      <c r="D70" s="21">
        <f>+D16-D18+D68</f>
        <v>-62958.810000000005</v>
      </c>
      <c r="E70" s="14"/>
      <c r="F70" s="22">
        <f>IF(D$12=0,0,D70/D$12)</f>
        <v>0</v>
      </c>
      <c r="G70" s="14"/>
      <c r="H70" s="21">
        <f>+H16-H18+H68</f>
        <v>-224540.49000000002</v>
      </c>
      <c r="I70" s="14"/>
      <c r="J70" s="22">
        <f>IF(H$12=0,0,H70/H$12)</f>
        <v>0</v>
      </c>
      <c r="K70" s="15"/>
      <c r="L70" s="21">
        <f>+D70-H70</f>
        <v>161581.68000000002</v>
      </c>
      <c r="M70" s="15"/>
      <c r="N70" s="22">
        <f>IF(H70=0,0,L70/H70)</f>
        <v>-0.71961043640726008</v>
      </c>
      <c r="O70" s="29"/>
      <c r="P70" s="21">
        <f>+P16-P18+P68</f>
        <v>-476464.99000000005</v>
      </c>
      <c r="Q70" s="14"/>
      <c r="R70" s="22">
        <f>IF(P$12=0,0,P70/P$12)</f>
        <v>0</v>
      </c>
      <c r="S70" s="14"/>
      <c r="T70" s="21">
        <f>+T16-T18+T68</f>
        <v>-854503.02</v>
      </c>
      <c r="U70" s="14"/>
      <c r="V70" s="22">
        <f>IF(T$12=0,0,T70/T$12)</f>
        <v>0</v>
      </c>
      <c r="W70" s="15"/>
      <c r="X70" s="21">
        <f>+P70-T70</f>
        <v>378038.02999999997</v>
      </c>
      <c r="Y70" s="15"/>
      <c r="Z70" s="22">
        <f>IF(T70=0,0,X70/T70)</f>
        <v>-0.44240689752038553</v>
      </c>
    </row>
    <row r="71" spans="1:26" x14ac:dyDescent="0.25">
      <c r="A71" s="9"/>
      <c r="B71" s="11"/>
      <c r="C71" s="9"/>
      <c r="D71" s="3"/>
      <c r="E71" s="3"/>
      <c r="F71" s="8"/>
      <c r="G71" s="3"/>
      <c r="H71" s="3"/>
      <c r="I71" s="3"/>
      <c r="J71" s="8"/>
      <c r="K71" s="3"/>
      <c r="L71" s="3"/>
      <c r="M71" s="3"/>
      <c r="N71" s="8"/>
      <c r="P71" s="3"/>
      <c r="Q71" s="3"/>
      <c r="R71" s="8"/>
      <c r="S71" s="3"/>
      <c r="T71" s="3"/>
      <c r="U71" s="3"/>
      <c r="V71" s="8"/>
      <c r="W71" s="3"/>
      <c r="X71" s="3"/>
      <c r="Y71" s="3"/>
      <c r="Z71" s="8"/>
    </row>
    <row r="72" spans="1:26" s="24" customFormat="1" x14ac:dyDescent="0.25">
      <c r="A72" s="51"/>
      <c r="B72" s="11" t="s">
        <v>127</v>
      </c>
      <c r="C72" s="11"/>
      <c r="D72" s="4"/>
      <c r="E72" s="4"/>
      <c r="F72" s="13">
        <f>IF(D$12=0,0,D72/D$12)</f>
        <v>0</v>
      </c>
      <c r="G72" s="4"/>
      <c r="H72" s="4"/>
      <c r="I72" s="4"/>
      <c r="J72" s="13">
        <f>IF(H$12=0,0,H72/H$12)</f>
        <v>0</v>
      </c>
      <c r="K72" s="4"/>
      <c r="L72" s="4">
        <f>+D72-H72</f>
        <v>0</v>
      </c>
      <c r="M72" s="4"/>
      <c r="N72" s="13">
        <f>IF(H72=0,0,L72/H72)</f>
        <v>0</v>
      </c>
      <c r="O72" s="11"/>
      <c r="P72" s="4"/>
      <c r="Q72" s="4"/>
      <c r="R72" s="13">
        <f>IF(P$12=0,0,P72/P$12)</f>
        <v>0</v>
      </c>
      <c r="S72" s="4"/>
      <c r="T72" s="4"/>
      <c r="U72" s="4"/>
      <c r="V72" s="13">
        <f>IF(T$12=0,0,T72/T$12)</f>
        <v>0</v>
      </c>
      <c r="W72" s="4"/>
      <c r="X72" s="4">
        <f>+P72-T72</f>
        <v>0</v>
      </c>
      <c r="Y72" s="4"/>
      <c r="Z72" s="13">
        <f>IF(T72=0,0,X72/T72)</f>
        <v>0</v>
      </c>
    </row>
    <row r="73" spans="1:26" x14ac:dyDescent="0.25">
      <c r="A73" s="9"/>
      <c r="B73" s="11"/>
      <c r="C73" s="11"/>
      <c r="D73" s="3"/>
      <c r="E73" s="3"/>
      <c r="F73" s="8"/>
      <c r="G73" s="3"/>
      <c r="H73" s="3"/>
      <c r="I73" s="3"/>
      <c r="J73" s="8"/>
      <c r="K73" s="3"/>
      <c r="L73" s="3"/>
      <c r="M73" s="3"/>
      <c r="N73" s="8"/>
      <c r="O73" s="11"/>
      <c r="P73" s="3"/>
      <c r="Q73" s="3"/>
      <c r="R73" s="8"/>
      <c r="S73" s="3"/>
      <c r="T73" s="3"/>
      <c r="U73" s="3"/>
      <c r="V73" s="8"/>
      <c r="W73" s="3"/>
      <c r="X73" s="3"/>
      <c r="Y73" s="3"/>
      <c r="Z73" s="8"/>
    </row>
    <row r="74" spans="1:26" s="24" customFormat="1" ht="15.75" thickBot="1" x14ac:dyDescent="0.3">
      <c r="A74" s="11"/>
      <c r="B74" s="28" t="s">
        <v>125</v>
      </c>
      <c r="C74" s="28"/>
      <c r="D74" s="34">
        <f>+D70-D72</f>
        <v>-62958.810000000005</v>
      </c>
      <c r="E74" s="14"/>
      <c r="F74" s="31">
        <f>IF(D$12=0,0,D74/D$12)</f>
        <v>0</v>
      </c>
      <c r="G74" s="14"/>
      <c r="H74" s="34">
        <f>+H70-H72</f>
        <v>-224540.49000000002</v>
      </c>
      <c r="I74" s="14"/>
      <c r="J74" s="31">
        <f>IF(H$12=0,0,H74/H$12)</f>
        <v>0</v>
      </c>
      <c r="K74" s="15"/>
      <c r="L74" s="34">
        <f>D74-H74</f>
        <v>161581.68000000002</v>
      </c>
      <c r="M74" s="15"/>
      <c r="N74" s="31">
        <f>IF(H74=0,0,L74/H74)</f>
        <v>-0.71961043640726008</v>
      </c>
      <c r="O74" s="29"/>
      <c r="P74" s="34">
        <f>+P70-P72</f>
        <v>-476464.99000000005</v>
      </c>
      <c r="Q74" s="14"/>
      <c r="R74" s="31">
        <f>IF(P$12=0,0,P74/P$12)</f>
        <v>0</v>
      </c>
      <c r="S74" s="14"/>
      <c r="T74" s="34">
        <f>+T70-T72</f>
        <v>-854503.02</v>
      </c>
      <c r="U74" s="14"/>
      <c r="V74" s="31">
        <f>IF(T$12=0,0,T74/T$12)</f>
        <v>0</v>
      </c>
      <c r="W74" s="15"/>
      <c r="X74" s="34">
        <f>P74-T74</f>
        <v>378038.02999999997</v>
      </c>
      <c r="Y74" s="15"/>
      <c r="Z74" s="31">
        <f>IF(T74=0,0,X74/T74)</f>
        <v>-0.44240689752038553</v>
      </c>
    </row>
    <row r="75" spans="1:26" ht="15.75" thickTop="1" x14ac:dyDescent="0.25">
      <c r="A75" s="9"/>
      <c r="B75" s="9"/>
      <c r="C75" s="9"/>
      <c r="D75" s="3"/>
      <c r="E75" s="3"/>
      <c r="F75" s="8"/>
      <c r="G75" s="3"/>
      <c r="H75" s="3"/>
      <c r="I75" s="3"/>
      <c r="J75" s="8"/>
      <c r="K75" s="3"/>
      <c r="L75" s="3"/>
      <c r="M75" s="3"/>
      <c r="N75" s="8"/>
      <c r="P75" s="3"/>
      <c r="Q75" s="3"/>
      <c r="R75" s="8"/>
      <c r="S75" s="3"/>
      <c r="T75" s="3"/>
      <c r="U75" s="3"/>
      <c r="V75" s="8"/>
      <c r="W75" s="3"/>
      <c r="X75" s="3"/>
      <c r="Y75" s="3"/>
      <c r="Z75" s="8"/>
    </row>
    <row r="76" spans="1:26" x14ac:dyDescent="0.25">
      <c r="A76" s="9"/>
      <c r="B76" s="9"/>
      <c r="C76" s="9"/>
      <c r="D76" s="3"/>
      <c r="E76" s="3"/>
      <c r="F76" s="8"/>
      <c r="G76" s="3"/>
      <c r="H76" s="3"/>
      <c r="I76" s="3"/>
      <c r="J76" s="8"/>
      <c r="K76" s="3"/>
      <c r="L76" s="3"/>
      <c r="M76" s="3"/>
      <c r="N76" s="8"/>
      <c r="P76" s="3"/>
      <c r="Q76" s="3"/>
      <c r="R76" s="8"/>
      <c r="S76" s="3"/>
      <c r="T76" s="3"/>
      <c r="U76" s="3"/>
      <c r="V76" s="8"/>
      <c r="W76" s="3"/>
      <c r="X76" s="3"/>
      <c r="Y76" s="3"/>
      <c r="Z76" s="8"/>
    </row>
    <row r="77" spans="1:26" s="24" customFormat="1" ht="15.75" thickBot="1" x14ac:dyDescent="0.3">
      <c r="A77" s="11"/>
      <c r="B77" s="28" t="s">
        <v>293</v>
      </c>
      <c r="C77" s="28"/>
      <c r="D77" s="33">
        <f>SUM(D74:D76)</f>
        <v>-62958.810000000005</v>
      </c>
      <c r="E77" s="14"/>
      <c r="F77" s="35">
        <f>IF(D$12=0,0,D77/D$12)</f>
        <v>0</v>
      </c>
      <c r="G77" s="14"/>
      <c r="H77" s="33">
        <f>SUM(H74:H76)</f>
        <v>-224540.49000000002</v>
      </c>
      <c r="I77" s="14"/>
      <c r="J77" s="35">
        <f>IF(H$12=0,0,H77/H$12)</f>
        <v>0</v>
      </c>
      <c r="K77" s="15"/>
      <c r="L77" s="33">
        <f>+D77-H77</f>
        <v>161581.68000000002</v>
      </c>
      <c r="M77" s="15"/>
      <c r="N77" s="35">
        <f>IF(H77=0,0,L77/H77)</f>
        <v>-0.71961043640726008</v>
      </c>
      <c r="O77" s="29"/>
      <c r="P77" s="33">
        <f>SUM(P74:P76)</f>
        <v>-476464.99000000005</v>
      </c>
      <c r="Q77" s="14"/>
      <c r="R77" s="35">
        <f>IF(P$12=0,0,P77/P$12)</f>
        <v>0</v>
      </c>
      <c r="S77" s="14"/>
      <c r="T77" s="33">
        <f>SUM(T74:T76)</f>
        <v>-854503.02</v>
      </c>
      <c r="U77" s="14"/>
      <c r="V77" s="35">
        <f>IF(T$12=0,0,T77/T$12)</f>
        <v>0</v>
      </c>
      <c r="W77" s="15"/>
      <c r="X77" s="33">
        <f>+P77-T77</f>
        <v>378038.02999999997</v>
      </c>
      <c r="Y77" s="15"/>
      <c r="Z77" s="35">
        <f>IF(T77=0,0,X77/T77)</f>
        <v>-0.44240689752038553</v>
      </c>
    </row>
    <row r="78" spans="1:26" ht="15.75" thickTop="1" x14ac:dyDescent="0.25">
      <c r="A78" s="9"/>
      <c r="C78" s="9"/>
      <c r="D78" s="18"/>
      <c r="E78" s="18"/>
      <c r="G78" s="18"/>
      <c r="H78" s="18"/>
      <c r="I78" s="18"/>
      <c r="J78" s="43"/>
      <c r="K78" s="18"/>
      <c r="L78" s="18"/>
      <c r="M78" s="18"/>
      <c r="P78" s="18"/>
      <c r="Q78" s="18"/>
      <c r="R78" s="43"/>
      <c r="S78" s="18"/>
      <c r="T78" s="18"/>
      <c r="U78" s="18"/>
      <c r="V78" s="43"/>
      <c r="W78" s="18"/>
      <c r="X78" s="18"/>
    </row>
    <row r="79" spans="1:26" x14ac:dyDescent="0.25">
      <c r="A79" s="9"/>
      <c r="B79" s="56">
        <v>44454.698585613427</v>
      </c>
      <c r="D79" s="18"/>
      <c r="E79" s="18"/>
      <c r="G79" s="18"/>
      <c r="H79" s="18"/>
      <c r="I79" s="18"/>
      <c r="J79" s="43"/>
      <c r="K79" s="18"/>
      <c r="L79" s="18"/>
      <c r="M79" s="18"/>
      <c r="P79" s="18"/>
      <c r="Q79" s="18"/>
      <c r="R79" s="43"/>
      <c r="S79" s="18"/>
      <c r="T79" s="18"/>
      <c r="U79" s="18"/>
      <c r="V79" s="43"/>
      <c r="W79" s="18"/>
      <c r="X79" s="18"/>
    </row>
    <row r="80" spans="1:26" x14ac:dyDescent="0.25">
      <c r="A80" s="9"/>
      <c r="B80" s="55" t="s">
        <v>56</v>
      </c>
      <c r="D80" s="18"/>
      <c r="E80" s="18"/>
      <c r="G80" s="18"/>
      <c r="H80" s="18"/>
      <c r="I80" s="18"/>
      <c r="J80" s="43"/>
      <c r="K80" s="18"/>
      <c r="L80" s="18"/>
      <c r="M80" s="18"/>
      <c r="P80" s="18"/>
      <c r="Q80" s="18"/>
      <c r="R80" s="43"/>
      <c r="S80" s="18"/>
      <c r="T80" s="18"/>
      <c r="U80" s="18"/>
      <c r="V80" s="43"/>
      <c r="W80" s="18"/>
      <c r="X80" s="18"/>
    </row>
    <row r="81" spans="1:24" x14ac:dyDescent="0.25">
      <c r="A81" s="9"/>
      <c r="B81" s="60"/>
      <c r="D81" s="18"/>
      <c r="E81" s="18"/>
      <c r="G81" s="18"/>
      <c r="H81" s="18"/>
      <c r="I81" s="18"/>
      <c r="J81" s="43"/>
      <c r="K81" s="18"/>
      <c r="L81" s="18"/>
      <c r="M81" s="18"/>
      <c r="P81" s="18"/>
      <c r="Q81" s="18"/>
      <c r="R81" s="43"/>
      <c r="S81" s="18"/>
      <c r="T81" s="18"/>
      <c r="U81" s="18"/>
      <c r="V81" s="43"/>
      <c r="W81" s="18"/>
      <c r="X81" s="18"/>
    </row>
    <row r="82" spans="1:24" x14ac:dyDescent="0.25">
      <c r="D82" s="18"/>
      <c r="E82" s="18"/>
      <c r="G82" s="18"/>
      <c r="H82" s="18"/>
      <c r="I82" s="18"/>
      <c r="J82" s="43"/>
      <c r="K82" s="18"/>
      <c r="L82" s="18"/>
      <c r="M82" s="18"/>
      <c r="P82" s="18"/>
      <c r="Q82" s="18"/>
      <c r="R82" s="43"/>
      <c r="S82" s="18"/>
      <c r="T82" s="18"/>
      <c r="U82" s="18"/>
      <c r="V82" s="43"/>
      <c r="W82" s="18"/>
      <c r="X82" s="18"/>
    </row>
  </sheetData>
  <pageMargins left="0.25" right="0.25" top="0.75" bottom="0.75" header="0.3" footer="0.3"/>
  <pageSetup scale="55" fitToWidth="2" orientation="landscape"/>
  <drawing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>
    <tabColor rgb="FF92D050"/>
    <outlinePr summaryBelow="0" summaryRight="0"/>
  </sheetPr>
  <dimension ref="A2:Z82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62" t="s">
        <v>23</v>
      </c>
    </row>
    <row r="3" spans="1:26" x14ac:dyDescent="0.25">
      <c r="D3" s="62" t="s">
        <v>236</v>
      </c>
      <c r="E3" s="17"/>
      <c r="F3" s="46"/>
      <c r="G3" s="17"/>
      <c r="H3" s="17"/>
      <c r="I3" s="17"/>
      <c r="J3" s="38"/>
      <c r="K3" s="17"/>
      <c r="L3" s="17"/>
      <c r="M3" s="17"/>
      <c r="N3" s="46"/>
      <c r="O3" s="53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2" t="str">
        <f>CONCATENATE("Period ",RIGHT(202112,2),", ",2021)</f>
        <v>Period 12, 2021</v>
      </c>
      <c r="E4" s="17"/>
      <c r="F4" s="46"/>
      <c r="G4" s="17"/>
      <c r="H4" s="17"/>
      <c r="I4" s="17"/>
      <c r="J4" s="38"/>
      <c r="K4" s="17"/>
      <c r="L4" s="17"/>
      <c r="M4" s="17"/>
      <c r="N4" s="46"/>
      <c r="O4" s="53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4"/>
      <c r="D5" s="63">
        <v>44377</v>
      </c>
      <c r="E5" s="17"/>
      <c r="F5" s="46"/>
      <c r="G5" s="17"/>
      <c r="H5" s="17"/>
      <c r="I5" s="17"/>
      <c r="J5" s="38"/>
      <c r="K5" s="17"/>
      <c r="L5" s="17"/>
      <c r="M5" s="17"/>
      <c r="N5" s="46"/>
      <c r="O5" s="53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4"/>
      <c r="B6" s="48"/>
      <c r="C6" s="48"/>
      <c r="D6" s="24" t="str">
        <f>CONCATENATE("Department ","202", " - ", "Accounting")</f>
        <v>Department 202 - Accounting</v>
      </c>
      <c r="E6" s="17"/>
      <c r="F6" s="46"/>
      <c r="G6" s="17"/>
      <c r="H6" s="17"/>
      <c r="I6" s="17"/>
      <c r="J6" s="38"/>
      <c r="K6" s="17"/>
      <c r="L6" s="17"/>
      <c r="M6" s="17"/>
      <c r="N6" s="46"/>
      <c r="O6" s="54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9"/>
    </row>
    <row r="8" spans="1:26" x14ac:dyDescent="0.25">
      <c r="B8" s="59"/>
    </row>
    <row r="9" spans="1:26" x14ac:dyDescent="0.25">
      <c r="B9" s="9"/>
      <c r="C9" s="9"/>
      <c r="D9" s="16" t="s">
        <v>291</v>
      </c>
      <c r="E9" s="16"/>
      <c r="F9" s="39"/>
      <c r="G9" s="16"/>
      <c r="H9" s="16"/>
      <c r="I9" s="16"/>
      <c r="J9" s="49"/>
      <c r="K9" s="16"/>
      <c r="L9" s="16"/>
      <c r="M9" s="16"/>
      <c r="N9" s="39"/>
      <c r="P9" s="16" t="s">
        <v>39</v>
      </c>
      <c r="Q9" s="16"/>
      <c r="R9" s="39"/>
      <c r="S9" s="16"/>
      <c r="T9" s="16"/>
      <c r="U9" s="16"/>
      <c r="V9" s="49"/>
      <c r="W9" s="16"/>
      <c r="X9" s="16"/>
      <c r="Y9" s="16"/>
      <c r="Z9" s="39"/>
    </row>
    <row r="10" spans="1:26" x14ac:dyDescent="0.25">
      <c r="A10" s="11"/>
      <c r="B10" s="58"/>
      <c r="C10" s="11"/>
      <c r="D10" s="42" t="s">
        <v>57</v>
      </c>
      <c r="E10" s="36"/>
      <c r="F10" s="30" t="s">
        <v>40</v>
      </c>
      <c r="G10" s="36"/>
      <c r="H10" s="50" t="s">
        <v>237</v>
      </c>
      <c r="I10" s="36"/>
      <c r="J10" s="30" t="s">
        <v>40</v>
      </c>
      <c r="K10" s="11"/>
      <c r="L10" s="42" t="s">
        <v>126</v>
      </c>
      <c r="M10" s="11"/>
      <c r="N10" s="30" t="s">
        <v>257</v>
      </c>
      <c r="O10" s="11"/>
      <c r="P10" s="61" t="s">
        <v>57</v>
      </c>
      <c r="Q10" s="36"/>
      <c r="R10" s="30" t="s">
        <v>40</v>
      </c>
      <c r="S10" s="36"/>
      <c r="T10" s="50" t="s">
        <v>237</v>
      </c>
      <c r="U10" s="36"/>
      <c r="V10" s="30" t="s">
        <v>40</v>
      </c>
      <c r="W10" s="11"/>
      <c r="X10" s="42" t="s">
        <v>126</v>
      </c>
      <c r="Y10" s="11"/>
      <c r="Z10" s="30" t="s">
        <v>257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4" customFormat="1" x14ac:dyDescent="0.25">
      <c r="A12" s="11"/>
      <c r="B12" s="29" t="s">
        <v>139</v>
      </c>
      <c r="C12" s="11"/>
      <c r="D12" s="4">
        <f>SUM(0)</f>
        <v>0</v>
      </c>
      <c r="E12" s="4"/>
      <c r="F12" s="13"/>
      <c r="G12" s="4"/>
      <c r="H12" s="4">
        <f>SUM(0)</f>
        <v>0</v>
      </c>
      <c r="I12" s="4"/>
      <c r="J12" s="13"/>
      <c r="K12" s="4"/>
      <c r="L12" s="4">
        <f>+D12-H12</f>
        <v>0</v>
      </c>
      <c r="M12" s="4"/>
      <c r="N12" s="13">
        <f>IF(H12=0,0,L12/H12)</f>
        <v>0</v>
      </c>
      <c r="O12" s="11"/>
      <c r="P12" s="4">
        <f>SUM(0)</f>
        <v>0</v>
      </c>
      <c r="Q12" s="4"/>
      <c r="R12" s="13"/>
      <c r="S12" s="4"/>
      <c r="T12" s="4">
        <f>SUM(0)</f>
        <v>0</v>
      </c>
      <c r="U12" s="4"/>
      <c r="V12" s="13"/>
      <c r="W12" s="4"/>
      <c r="X12" s="4">
        <f>+P12-T12</f>
        <v>0</v>
      </c>
      <c r="Y12" s="4"/>
      <c r="Z12" s="13">
        <f>IF(T12=0,0,X12/T12)</f>
        <v>0</v>
      </c>
    </row>
    <row r="13" spans="1:26" x14ac:dyDescent="0.25">
      <c r="A13" s="9"/>
      <c r="B13" s="11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4" customFormat="1" x14ac:dyDescent="0.25">
      <c r="A14" s="11"/>
      <c r="B14" s="29" t="s">
        <v>256</v>
      </c>
      <c r="C14" s="11"/>
      <c r="D14" s="4">
        <f>SUM(0)</f>
        <v>0</v>
      </c>
      <c r="E14" s="4"/>
      <c r="F14" s="13">
        <f>IF(D$12=0,0,D14/D$12)</f>
        <v>0</v>
      </c>
      <c r="G14" s="4"/>
      <c r="H14" s="4">
        <f>SUM(0)</f>
        <v>0</v>
      </c>
      <c r="I14" s="4"/>
      <c r="J14" s="13">
        <f>IF(H$12=0,0,H14/H$12)</f>
        <v>0</v>
      </c>
      <c r="K14" s="4"/>
      <c r="L14" s="4">
        <f>+D14-H14</f>
        <v>0</v>
      </c>
      <c r="M14" s="4"/>
      <c r="N14" s="13">
        <f>IF(H14=0,0,L14/H14)</f>
        <v>0</v>
      </c>
      <c r="O14" s="11"/>
      <c r="P14" s="4">
        <f>SUM(0)</f>
        <v>0</v>
      </c>
      <c r="Q14" s="4"/>
      <c r="R14" s="13">
        <f>IF(P$12=0,0,P14/P$12)</f>
        <v>0</v>
      </c>
      <c r="S14" s="4"/>
      <c r="T14" s="4">
        <f>SUM(0)</f>
        <v>0</v>
      </c>
      <c r="U14" s="4"/>
      <c r="V14" s="13">
        <f>IF(T$12=0,0,T14/T$12)</f>
        <v>0</v>
      </c>
      <c r="W14" s="4"/>
      <c r="X14" s="4">
        <f>+P14-T14</f>
        <v>0</v>
      </c>
      <c r="Y14" s="4"/>
      <c r="Z14" s="13">
        <f>IF(T14=0,0,X14/T14)</f>
        <v>0</v>
      </c>
    </row>
    <row r="15" spans="1:26" x14ac:dyDescent="0.25">
      <c r="A15" s="9"/>
      <c r="B15" s="11"/>
      <c r="C15" s="11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1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4" customFormat="1" x14ac:dyDescent="0.25">
      <c r="A16" s="11"/>
      <c r="B16" s="28" t="s">
        <v>107</v>
      </c>
      <c r="C16" s="28"/>
      <c r="D16" s="21">
        <f>D12-D14</f>
        <v>0</v>
      </c>
      <c r="E16" s="14"/>
      <c r="F16" s="22">
        <f>IF(D$12=0,0,D16/D$12)</f>
        <v>0</v>
      </c>
      <c r="G16" s="14"/>
      <c r="H16" s="21">
        <f>H12-H14</f>
        <v>0</v>
      </c>
      <c r="I16" s="14"/>
      <c r="J16" s="22">
        <f>IF(H$12=0,0,H16/H$12)</f>
        <v>0</v>
      </c>
      <c r="K16" s="15"/>
      <c r="L16" s="21">
        <f>+D16-H16</f>
        <v>0</v>
      </c>
      <c r="M16" s="15"/>
      <c r="N16" s="22">
        <f>IF(H16=0,0,L16/H16)</f>
        <v>0</v>
      </c>
      <c r="O16" s="29"/>
      <c r="P16" s="21">
        <f>P12-P14</f>
        <v>0</v>
      </c>
      <c r="Q16" s="14"/>
      <c r="R16" s="22">
        <f>IF(P$12=0,0,P16/P$12)</f>
        <v>0</v>
      </c>
      <c r="S16" s="14"/>
      <c r="T16" s="21">
        <f>T12-T14</f>
        <v>0</v>
      </c>
      <c r="U16" s="14"/>
      <c r="V16" s="22">
        <f>IF(T$12=0,0,T16/T$12)</f>
        <v>0</v>
      </c>
      <c r="W16" s="15"/>
      <c r="X16" s="21">
        <f>+P16-T16</f>
        <v>0</v>
      </c>
      <c r="Y16" s="15"/>
      <c r="Z16" s="22">
        <f>IF(T16=0,0,X16/T16)</f>
        <v>0</v>
      </c>
    </row>
    <row r="17" spans="1:26" x14ac:dyDescent="0.25">
      <c r="A17" s="9"/>
      <c r="B17" s="11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4" customFormat="1" x14ac:dyDescent="0.25">
      <c r="A18" s="11"/>
      <c r="B18" s="29" t="s">
        <v>294</v>
      </c>
      <c r="C18" s="11"/>
      <c r="D18" s="20">
        <f>SUM(OSRRefD22x_0)</f>
        <v>37925.810000000005</v>
      </c>
      <c r="E18" s="20"/>
      <c r="F18" s="32">
        <f t="shared" ref="F18:F27" si="0">IF(D$12=0,0,D18/D$12)</f>
        <v>0</v>
      </c>
      <c r="G18" s="20"/>
      <c r="H18" s="20">
        <f>SUM(OSRRefH22x_0)</f>
        <v>28987.14</v>
      </c>
      <c r="I18" s="20"/>
      <c r="J18" s="32">
        <f t="shared" ref="J18:J27" si="1">IF(H$12=0,0,H18/H$12)</f>
        <v>0</v>
      </c>
      <c r="K18" s="4"/>
      <c r="L18" s="20">
        <f t="shared" ref="L18:L27" si="2">+D18-H18</f>
        <v>8938.6700000000055</v>
      </c>
      <c r="M18" s="4"/>
      <c r="N18" s="32">
        <f t="shared" ref="N18:N27" si="3">IF(H18=0,0,L18/H18)</f>
        <v>0.30836674470127118</v>
      </c>
      <c r="O18" s="11"/>
      <c r="P18" s="20">
        <f>SUM(OSRRefP22x_0)</f>
        <v>491918.74999999994</v>
      </c>
      <c r="Q18" s="20"/>
      <c r="R18" s="32">
        <f t="shared" ref="R18:R27" si="4">IF(P$12=0,0,P18/P$12)</f>
        <v>0</v>
      </c>
      <c r="S18" s="20"/>
      <c r="T18" s="20">
        <f>SUM(OSRRefT22x_0)</f>
        <v>565424.47</v>
      </c>
      <c r="U18" s="20"/>
      <c r="V18" s="32">
        <f t="shared" ref="V18:V27" si="5">IF(T$12=0,0,T18/T$12)</f>
        <v>0</v>
      </c>
      <c r="W18" s="4"/>
      <c r="X18" s="20">
        <f t="shared" ref="X18:X27" si="6">+P18-T18</f>
        <v>-73505.72000000003</v>
      </c>
      <c r="Y18" s="4"/>
      <c r="Z18" s="32">
        <f t="shared" ref="Z18:Z27" si="7">IF(T18=0,0,X18/T18)</f>
        <v>-0.13000095308927828</v>
      </c>
    </row>
    <row r="19" spans="1:26" s="27" customFormat="1" outlineLevel="1" collapsed="1" x14ac:dyDescent="0.25">
      <c r="A19" s="26"/>
      <c r="B19" s="12" t="str">
        <f>CONCATENATE("     ","*Benefits                                         ")</f>
        <v xml:space="preserve">     *Benefits                                         </v>
      </c>
      <c r="C19" s="12"/>
      <c r="D19" s="1">
        <f>SUM(OSRRefD22_0x_0)</f>
        <v>13913</v>
      </c>
      <c r="E19" s="1"/>
      <c r="F19" s="5">
        <f t="shared" si="0"/>
        <v>0</v>
      </c>
      <c r="G19" s="1"/>
      <c r="H19" s="1">
        <f>SUM(OSRRefH22_0x_0)</f>
        <v>10429.210000000001</v>
      </c>
      <c r="I19" s="1"/>
      <c r="J19" s="5">
        <f t="shared" si="1"/>
        <v>0</v>
      </c>
      <c r="K19" s="1"/>
      <c r="L19" s="1">
        <f t="shared" si="2"/>
        <v>3483.7899999999991</v>
      </c>
      <c r="M19" s="1"/>
      <c r="N19" s="5">
        <f t="shared" si="3"/>
        <v>0.33404160046638226</v>
      </c>
      <c r="O19" s="12"/>
      <c r="P19" s="1">
        <f>SUM(OSRRefP22_0x_0)</f>
        <v>160928.85</v>
      </c>
      <c r="Q19" s="1"/>
      <c r="R19" s="5">
        <f t="shared" si="4"/>
        <v>0</v>
      </c>
      <c r="S19" s="1"/>
      <c r="T19" s="1">
        <f>SUM(OSRRefT22_0x_0)</f>
        <v>144837.63999999998</v>
      </c>
      <c r="U19" s="1"/>
      <c r="V19" s="5">
        <f t="shared" si="5"/>
        <v>0</v>
      </c>
      <c r="W19" s="1"/>
      <c r="X19" s="1">
        <f t="shared" si="6"/>
        <v>16091.210000000021</v>
      </c>
      <c r="Y19" s="1"/>
      <c r="Z19" s="5">
        <f t="shared" si="7"/>
        <v>0.11109826147402031</v>
      </c>
    </row>
    <row r="20" spans="1:26" s="23" customFormat="1" hidden="1" outlineLevel="2" x14ac:dyDescent="0.25">
      <c r="A20" s="25"/>
      <c r="B20" s="10" t="str">
        <f>CONCATENATE("          ", "6111", " - ", "F.I.C.A.")</f>
        <v xml:space="preserve">          6111 - F.I.C.A.</v>
      </c>
      <c r="C20" s="10"/>
      <c r="D20" s="6">
        <v>1630.09</v>
      </c>
      <c r="E20" s="2"/>
      <c r="F20" s="7">
        <f t="shared" si="0"/>
        <v>0</v>
      </c>
      <c r="G20" s="2"/>
      <c r="H20" s="6">
        <v>1297.97</v>
      </c>
      <c r="I20" s="2"/>
      <c r="J20" s="7">
        <f t="shared" si="1"/>
        <v>0</v>
      </c>
      <c r="K20" s="2"/>
      <c r="L20" s="6">
        <f t="shared" si="2"/>
        <v>332.11999999999989</v>
      </c>
      <c r="M20" s="2"/>
      <c r="N20" s="7">
        <f t="shared" si="3"/>
        <v>0.25587648404816743</v>
      </c>
      <c r="O20" s="10"/>
      <c r="P20" s="6">
        <v>22399.99</v>
      </c>
      <c r="Q20" s="2"/>
      <c r="R20" s="7">
        <f t="shared" si="4"/>
        <v>0</v>
      </c>
      <c r="S20" s="2"/>
      <c r="T20" s="6">
        <v>29415.53</v>
      </c>
      <c r="U20" s="2"/>
      <c r="V20" s="7">
        <f t="shared" si="5"/>
        <v>0</v>
      </c>
      <c r="W20" s="2"/>
      <c r="X20" s="6">
        <f t="shared" si="6"/>
        <v>-7015.5399999999972</v>
      </c>
      <c r="Y20" s="2"/>
      <c r="Z20" s="7">
        <f t="shared" si="7"/>
        <v>-0.23849782750812232</v>
      </c>
    </row>
    <row r="21" spans="1:26" s="23" customFormat="1" hidden="1" outlineLevel="2" x14ac:dyDescent="0.25">
      <c r="A21" s="25"/>
      <c r="B21" s="10" t="str">
        <f>CONCATENATE("          ", "6112", " - ", "COMPENSATION INSURANCE")</f>
        <v xml:space="preserve">          6112 - COMPENSATION INSURANCE</v>
      </c>
      <c r="C21" s="10"/>
      <c r="D21" s="6">
        <v>70.319999999999993</v>
      </c>
      <c r="E21" s="2"/>
      <c r="F21" s="7">
        <f t="shared" si="0"/>
        <v>0</v>
      </c>
      <c r="G21" s="2"/>
      <c r="H21" s="6">
        <v>72.11</v>
      </c>
      <c r="I21" s="2"/>
      <c r="J21" s="7">
        <f t="shared" si="1"/>
        <v>0</v>
      </c>
      <c r="K21" s="2"/>
      <c r="L21" s="6">
        <f t="shared" si="2"/>
        <v>-1.7900000000000063</v>
      </c>
      <c r="M21" s="2"/>
      <c r="N21" s="7">
        <f t="shared" si="3"/>
        <v>-2.4823186797947667E-2</v>
      </c>
      <c r="O21" s="10"/>
      <c r="P21" s="6">
        <v>964.45</v>
      </c>
      <c r="Q21" s="2"/>
      <c r="R21" s="7">
        <f t="shared" si="4"/>
        <v>0</v>
      </c>
      <c r="S21" s="2"/>
      <c r="T21" s="6">
        <v>1266.3399999999999</v>
      </c>
      <c r="U21" s="2"/>
      <c r="V21" s="7">
        <f t="shared" si="5"/>
        <v>0</v>
      </c>
      <c r="W21" s="2"/>
      <c r="X21" s="6">
        <f t="shared" si="6"/>
        <v>-301.88999999999987</v>
      </c>
      <c r="Y21" s="2"/>
      <c r="Z21" s="7">
        <f t="shared" si="7"/>
        <v>-0.23839569152044465</v>
      </c>
    </row>
    <row r="22" spans="1:26" s="23" customFormat="1" hidden="1" outlineLevel="2" x14ac:dyDescent="0.25">
      <c r="A22" s="25"/>
      <c r="B22" s="10" t="str">
        <f>CONCATENATE("          ", "6113", " - ", "GROUP INSURANCE")</f>
        <v xml:space="preserve">          6113 - GROUP INSURANCE</v>
      </c>
      <c r="C22" s="10"/>
      <c r="D22" s="6">
        <v>6236.66</v>
      </c>
      <c r="E22" s="2"/>
      <c r="F22" s="7">
        <f t="shared" si="0"/>
        <v>0</v>
      </c>
      <c r="G22" s="2"/>
      <c r="H22" s="6">
        <v>5567.04</v>
      </c>
      <c r="I22" s="2"/>
      <c r="J22" s="7">
        <f t="shared" si="1"/>
        <v>0</v>
      </c>
      <c r="K22" s="2"/>
      <c r="L22" s="6">
        <f t="shared" si="2"/>
        <v>669.61999999999989</v>
      </c>
      <c r="M22" s="2"/>
      <c r="N22" s="7">
        <f t="shared" si="3"/>
        <v>0.12028295108352013</v>
      </c>
      <c r="O22" s="10"/>
      <c r="P22" s="6">
        <v>72861.240000000005</v>
      </c>
      <c r="Q22" s="2"/>
      <c r="R22" s="7">
        <f t="shared" si="4"/>
        <v>0</v>
      </c>
      <c r="S22" s="2"/>
      <c r="T22" s="6">
        <v>71876.789999999994</v>
      </c>
      <c r="U22" s="2"/>
      <c r="V22" s="7">
        <f t="shared" si="5"/>
        <v>0</v>
      </c>
      <c r="W22" s="2"/>
      <c r="X22" s="6">
        <f t="shared" si="6"/>
        <v>984.45000000001164</v>
      </c>
      <c r="Y22" s="2"/>
      <c r="Z22" s="7">
        <f t="shared" si="7"/>
        <v>1.369635455339633E-2</v>
      </c>
    </row>
    <row r="23" spans="1:26" s="23" customFormat="1" hidden="1" outlineLevel="2" x14ac:dyDescent="0.25">
      <c r="A23" s="25"/>
      <c r="B23" s="10" t="str">
        <f>CONCATENATE("          ", "6114", " - ", "STATE UNEMPLOYMENT INSURANCE")</f>
        <v xml:space="preserve">          6114 - STATE UNEMPLOYMENT INSURANCE</v>
      </c>
      <c r="C23" s="10"/>
      <c r="D23" s="6">
        <v>55.4</v>
      </c>
      <c r="E23" s="2"/>
      <c r="F23" s="7">
        <f t="shared" si="0"/>
        <v>0</v>
      </c>
      <c r="G23" s="2"/>
      <c r="H23" s="6">
        <v>-1053.99</v>
      </c>
      <c r="I23" s="2"/>
      <c r="J23" s="7">
        <f t="shared" si="1"/>
        <v>0</v>
      </c>
      <c r="K23" s="2"/>
      <c r="L23" s="6">
        <f t="shared" si="2"/>
        <v>1109.3900000000001</v>
      </c>
      <c r="M23" s="2"/>
      <c r="N23" s="7">
        <f t="shared" si="3"/>
        <v>-1.052562168521523</v>
      </c>
      <c r="O23" s="10"/>
      <c r="P23" s="6">
        <v>759.83</v>
      </c>
      <c r="Q23" s="2"/>
      <c r="R23" s="7">
        <f t="shared" si="4"/>
        <v>0</v>
      </c>
      <c r="S23" s="2"/>
      <c r="T23" s="6">
        <v>0</v>
      </c>
      <c r="U23" s="2"/>
      <c r="V23" s="7">
        <f t="shared" si="5"/>
        <v>0</v>
      </c>
      <c r="W23" s="2"/>
      <c r="X23" s="6">
        <f t="shared" si="6"/>
        <v>759.83</v>
      </c>
      <c r="Y23" s="2"/>
      <c r="Z23" s="7">
        <f t="shared" si="7"/>
        <v>0</v>
      </c>
    </row>
    <row r="24" spans="1:26" s="23" customFormat="1" hidden="1" outlineLevel="2" x14ac:dyDescent="0.25">
      <c r="A24" s="25"/>
      <c r="B24" s="10" t="str">
        <f>CONCATENATE("          ", "6115", " - ", "P.E.R.S.")</f>
        <v xml:space="preserve">          6115 - P.E.R.S.</v>
      </c>
      <c r="C24" s="10"/>
      <c r="D24" s="6">
        <v>2968.15</v>
      </c>
      <c r="E24" s="2"/>
      <c r="F24" s="7">
        <f t="shared" si="0"/>
        <v>0</v>
      </c>
      <c r="G24" s="2"/>
      <c r="H24" s="6">
        <v>1813.92</v>
      </c>
      <c r="I24" s="2"/>
      <c r="J24" s="7">
        <f t="shared" si="1"/>
        <v>0</v>
      </c>
      <c r="K24" s="2"/>
      <c r="L24" s="6">
        <f t="shared" si="2"/>
        <v>1154.23</v>
      </c>
      <c r="M24" s="2"/>
      <c r="N24" s="7">
        <f t="shared" si="3"/>
        <v>0.63631802946105676</v>
      </c>
      <c r="O24" s="10"/>
      <c r="P24" s="6">
        <v>27564.58</v>
      </c>
      <c r="Q24" s="2"/>
      <c r="R24" s="7">
        <f t="shared" si="4"/>
        <v>0</v>
      </c>
      <c r="S24" s="2"/>
      <c r="T24" s="6">
        <v>29534.16</v>
      </c>
      <c r="U24" s="2"/>
      <c r="V24" s="7">
        <f t="shared" si="5"/>
        <v>0</v>
      </c>
      <c r="W24" s="2"/>
      <c r="X24" s="6">
        <f t="shared" si="6"/>
        <v>-1969.5799999999981</v>
      </c>
      <c r="Y24" s="2"/>
      <c r="Z24" s="7">
        <f t="shared" si="7"/>
        <v>-6.6688201052611557E-2</v>
      </c>
    </row>
    <row r="25" spans="1:26" s="23" customFormat="1" hidden="1" outlineLevel="2" x14ac:dyDescent="0.25">
      <c r="A25" s="25"/>
      <c r="B25" s="10" t="str">
        <f>CONCATENATE("          ", "6118", " - ", "VACATION")</f>
        <v xml:space="preserve">          6118 - VACATION</v>
      </c>
      <c r="C25" s="10"/>
      <c r="D25" s="6">
        <v>1606.1</v>
      </c>
      <c r="E25" s="2"/>
      <c r="F25" s="7">
        <f t="shared" si="0"/>
        <v>0</v>
      </c>
      <c r="G25" s="2"/>
      <c r="H25" s="6">
        <v>1520.74</v>
      </c>
      <c r="I25" s="2"/>
      <c r="J25" s="7">
        <f t="shared" si="1"/>
        <v>0</v>
      </c>
      <c r="K25" s="2"/>
      <c r="L25" s="6">
        <f t="shared" si="2"/>
        <v>85.3599999999999</v>
      </c>
      <c r="M25" s="2"/>
      <c r="N25" s="7">
        <f t="shared" si="3"/>
        <v>5.6130568012941001E-2</v>
      </c>
      <c r="O25" s="10"/>
      <c r="P25" s="6">
        <v>20537.32</v>
      </c>
      <c r="Q25" s="2"/>
      <c r="R25" s="7">
        <f t="shared" si="4"/>
        <v>0</v>
      </c>
      <c r="S25" s="2"/>
      <c r="T25" s="6">
        <v>24223.88</v>
      </c>
      <c r="U25" s="2"/>
      <c r="V25" s="7">
        <f t="shared" si="5"/>
        <v>0</v>
      </c>
      <c r="W25" s="2"/>
      <c r="X25" s="6">
        <f t="shared" si="6"/>
        <v>-3686.5600000000013</v>
      </c>
      <c r="Y25" s="2"/>
      <c r="Z25" s="7">
        <f t="shared" si="7"/>
        <v>-0.15218701545747423</v>
      </c>
    </row>
    <row r="26" spans="1:26" s="23" customFormat="1" hidden="1" outlineLevel="2" x14ac:dyDescent="0.25">
      <c r="A26" s="25"/>
      <c r="B26" s="10" t="str">
        <f>CONCATENATE("          ", "6119", " - ", "SICK LEAVE")</f>
        <v xml:space="preserve">          6119 - SICK LEAVE</v>
      </c>
      <c r="C26" s="10"/>
      <c r="D26" s="6">
        <v>979.42</v>
      </c>
      <c r="E26" s="2"/>
      <c r="F26" s="7">
        <f t="shared" si="0"/>
        <v>0</v>
      </c>
      <c r="G26" s="2"/>
      <c r="H26" s="6">
        <v>979.42</v>
      </c>
      <c r="I26" s="2"/>
      <c r="J26" s="7">
        <f t="shared" si="1"/>
        <v>0</v>
      </c>
      <c r="K26" s="2"/>
      <c r="L26" s="6">
        <f t="shared" si="2"/>
        <v>0</v>
      </c>
      <c r="M26" s="2"/>
      <c r="N26" s="7">
        <f t="shared" si="3"/>
        <v>0</v>
      </c>
      <c r="O26" s="10"/>
      <c r="P26" s="6">
        <v>12732.46</v>
      </c>
      <c r="Q26" s="2"/>
      <c r="R26" s="7">
        <f t="shared" si="4"/>
        <v>0</v>
      </c>
      <c r="S26" s="2"/>
      <c r="T26" s="6">
        <v>-19352.439999999999</v>
      </c>
      <c r="U26" s="2"/>
      <c r="V26" s="7">
        <f t="shared" si="5"/>
        <v>0</v>
      </c>
      <c r="W26" s="2"/>
      <c r="X26" s="6">
        <f t="shared" si="6"/>
        <v>32084.899999999998</v>
      </c>
      <c r="Y26" s="2"/>
      <c r="Z26" s="7">
        <f t="shared" si="7"/>
        <v>-1.6579253055428669</v>
      </c>
    </row>
    <row r="27" spans="1:26" s="23" customFormat="1" hidden="1" outlineLevel="2" x14ac:dyDescent="0.25">
      <c r="A27" s="25"/>
      <c r="B27" s="10" t="str">
        <f>CONCATENATE("          ", "6156", " - ", "EMPLOYEE MEALS")</f>
        <v xml:space="preserve">          6156 - EMPLOYEE MEALS</v>
      </c>
      <c r="C27" s="10"/>
      <c r="D27" s="6">
        <v>366.86</v>
      </c>
      <c r="E27" s="2"/>
      <c r="F27" s="7">
        <f t="shared" si="0"/>
        <v>0</v>
      </c>
      <c r="G27" s="2"/>
      <c r="H27" s="6">
        <v>232</v>
      </c>
      <c r="I27" s="2"/>
      <c r="J27" s="7">
        <f t="shared" si="1"/>
        <v>0</v>
      </c>
      <c r="K27" s="2"/>
      <c r="L27" s="6">
        <f t="shared" si="2"/>
        <v>134.86000000000001</v>
      </c>
      <c r="M27" s="2"/>
      <c r="N27" s="7">
        <f t="shared" si="3"/>
        <v>0.58129310344827589</v>
      </c>
      <c r="O27" s="10"/>
      <c r="P27" s="6">
        <v>3108.98</v>
      </c>
      <c r="Q27" s="2"/>
      <c r="R27" s="7">
        <f t="shared" si="4"/>
        <v>0</v>
      </c>
      <c r="S27" s="2"/>
      <c r="T27" s="6">
        <v>7873.38</v>
      </c>
      <c r="U27" s="2"/>
      <c r="V27" s="7">
        <f t="shared" si="5"/>
        <v>0</v>
      </c>
      <c r="W27" s="2"/>
      <c r="X27" s="6">
        <f t="shared" si="6"/>
        <v>-4764.3999999999996</v>
      </c>
      <c r="Y27" s="2"/>
      <c r="Z27" s="7">
        <f t="shared" si="7"/>
        <v>-0.60512765800710744</v>
      </c>
    </row>
    <row r="28" spans="1:26" s="27" customFormat="1" outlineLevel="1" collapsed="1" x14ac:dyDescent="0.25">
      <c r="A28" s="26"/>
      <c r="B28" s="12" t="str">
        <f>CONCATENATE("     ","*Payroll                                          ")</f>
        <v xml:space="preserve">     *Payroll                                          </v>
      </c>
      <c r="C28" s="12"/>
      <c r="D28" s="1">
        <f>SUM(OSRRefD22_1x_0)</f>
        <v>19926.53</v>
      </c>
      <c r="E28" s="1"/>
      <c r="F28" s="5">
        <f t="shared" ref="F28:F33" si="8">IF(D$12=0,0,D28/D$12)</f>
        <v>0</v>
      </c>
      <c r="G28" s="1"/>
      <c r="H28" s="1">
        <f>SUM(OSRRefH22_1x_0)</f>
        <v>16606.77</v>
      </c>
      <c r="I28" s="1"/>
      <c r="J28" s="5">
        <f t="shared" ref="J28:J33" si="9">IF(H$12=0,0,H28/H$12)</f>
        <v>0</v>
      </c>
      <c r="K28" s="1"/>
      <c r="L28" s="1">
        <f t="shared" ref="L28:L33" si="10">+D28-H28</f>
        <v>3319.7599999999984</v>
      </c>
      <c r="M28" s="1"/>
      <c r="N28" s="5">
        <f t="shared" ref="N28:N33" si="11">IF(H28=0,0,L28/H28)</f>
        <v>0.19990401504928401</v>
      </c>
      <c r="O28" s="12"/>
      <c r="P28" s="1">
        <f>SUM(OSRRefP22_1x_0)</f>
        <v>254105.55000000002</v>
      </c>
      <c r="Q28" s="1"/>
      <c r="R28" s="5">
        <f t="shared" ref="R28:R33" si="12">IF(P$12=0,0,P28/P$12)</f>
        <v>0</v>
      </c>
      <c r="S28" s="1"/>
      <c r="T28" s="1">
        <f>SUM(OSRRefT22_1x_0)</f>
        <v>342140.14999999991</v>
      </c>
      <c r="U28" s="1"/>
      <c r="V28" s="5">
        <f t="shared" ref="V28:V33" si="13">IF(T$12=0,0,T28/T$12)</f>
        <v>0</v>
      </c>
      <c r="W28" s="1"/>
      <c r="X28" s="1">
        <f t="shared" ref="X28:X33" si="14">+P28-T28</f>
        <v>-88034.599999999889</v>
      </c>
      <c r="Y28" s="1"/>
      <c r="Z28" s="5">
        <f t="shared" ref="Z28:Z33" si="15">IF(T28=0,0,X28/T28)</f>
        <v>-0.25730566845194847</v>
      </c>
    </row>
    <row r="29" spans="1:26" s="23" customFormat="1" hidden="1" outlineLevel="2" x14ac:dyDescent="0.25">
      <c r="A29" s="25"/>
      <c r="B29" s="10" t="str">
        <f>CONCATENATE("          ", "6002", " - ", "STAFF SALARIES")</f>
        <v xml:space="preserve">          6002 - STAFF SALARIES</v>
      </c>
      <c r="C29" s="10"/>
      <c r="D29" s="6">
        <v>19926.53</v>
      </c>
      <c r="E29" s="2"/>
      <c r="F29" s="7">
        <f t="shared" si="8"/>
        <v>0</v>
      </c>
      <c r="G29" s="2"/>
      <c r="H29" s="6">
        <v>16606.77</v>
      </c>
      <c r="I29" s="2"/>
      <c r="J29" s="7">
        <f t="shared" si="9"/>
        <v>0</v>
      </c>
      <c r="K29" s="2"/>
      <c r="L29" s="6">
        <f t="shared" si="10"/>
        <v>3319.7599999999984</v>
      </c>
      <c r="M29" s="2"/>
      <c r="N29" s="7">
        <f t="shared" si="11"/>
        <v>0.19990401504928401</v>
      </c>
      <c r="O29" s="10"/>
      <c r="P29" s="6">
        <v>253723.79</v>
      </c>
      <c r="Q29" s="2"/>
      <c r="R29" s="7">
        <f t="shared" si="12"/>
        <v>0</v>
      </c>
      <c r="S29" s="2"/>
      <c r="T29" s="6">
        <v>292837.13</v>
      </c>
      <c r="U29" s="2"/>
      <c r="V29" s="7">
        <f t="shared" si="13"/>
        <v>0</v>
      </c>
      <c r="W29" s="2"/>
      <c r="X29" s="6">
        <f t="shared" si="14"/>
        <v>-39113.339999999997</v>
      </c>
      <c r="Y29" s="2"/>
      <c r="Z29" s="7">
        <f t="shared" si="15"/>
        <v>-0.13356687384554</v>
      </c>
    </row>
    <row r="30" spans="1:26" s="23" customFormat="1" hidden="1" outlineLevel="2" x14ac:dyDescent="0.25">
      <c r="A30" s="25"/>
      <c r="B30" s="10" t="str">
        <f>CONCATENATE("          ", "6004", " - ", "STAFF HOURLY")</f>
        <v xml:space="preserve">          6004 - STAFF HOURLY</v>
      </c>
      <c r="C30" s="10"/>
      <c r="D30" s="6"/>
      <c r="E30" s="2"/>
      <c r="F30" s="7">
        <f t="shared" si="8"/>
        <v>0</v>
      </c>
      <c r="G30" s="2"/>
      <c r="H30" s="6"/>
      <c r="I30" s="2"/>
      <c r="J30" s="7">
        <f t="shared" si="9"/>
        <v>0</v>
      </c>
      <c r="K30" s="2"/>
      <c r="L30" s="6">
        <f t="shared" si="10"/>
        <v>0</v>
      </c>
      <c r="M30" s="2"/>
      <c r="N30" s="7">
        <f t="shared" si="11"/>
        <v>0</v>
      </c>
      <c r="O30" s="10"/>
      <c r="P30" s="6"/>
      <c r="Q30" s="2"/>
      <c r="R30" s="7">
        <f t="shared" si="12"/>
        <v>0</v>
      </c>
      <c r="S30" s="2"/>
      <c r="T30" s="6">
        <v>-9381.52</v>
      </c>
      <c r="U30" s="2"/>
      <c r="V30" s="7">
        <f t="shared" si="13"/>
        <v>0</v>
      </c>
      <c r="W30" s="2"/>
      <c r="X30" s="6">
        <f t="shared" si="14"/>
        <v>9381.52</v>
      </c>
      <c r="Y30" s="2"/>
      <c r="Z30" s="7">
        <f t="shared" si="15"/>
        <v>-1</v>
      </c>
    </row>
    <row r="31" spans="1:26" s="23" customFormat="1" hidden="1" outlineLevel="2" x14ac:dyDescent="0.25">
      <c r="A31" s="25"/>
      <c r="B31" s="10" t="str">
        <f>CONCATENATE("          ", "6005", " - ", "TEMPORARY WAGES-HOURLY")</f>
        <v xml:space="preserve">          6005 - TEMPORARY WAGES-HOURLY</v>
      </c>
      <c r="C31" s="10"/>
      <c r="D31" s="6"/>
      <c r="E31" s="2"/>
      <c r="F31" s="7">
        <f t="shared" si="8"/>
        <v>0</v>
      </c>
      <c r="G31" s="2"/>
      <c r="H31" s="6"/>
      <c r="I31" s="2"/>
      <c r="J31" s="7">
        <f t="shared" si="9"/>
        <v>0</v>
      </c>
      <c r="K31" s="2"/>
      <c r="L31" s="6">
        <f t="shared" si="10"/>
        <v>0</v>
      </c>
      <c r="M31" s="2"/>
      <c r="N31" s="7">
        <f t="shared" si="11"/>
        <v>0</v>
      </c>
      <c r="O31" s="10"/>
      <c r="P31" s="6">
        <v>265.48</v>
      </c>
      <c r="Q31" s="2"/>
      <c r="R31" s="7">
        <f t="shared" si="12"/>
        <v>0</v>
      </c>
      <c r="S31" s="2"/>
      <c r="T31" s="6">
        <v>20823.22</v>
      </c>
      <c r="U31" s="2"/>
      <c r="V31" s="7">
        <f t="shared" si="13"/>
        <v>0</v>
      </c>
      <c r="W31" s="2"/>
      <c r="X31" s="6">
        <f t="shared" si="14"/>
        <v>-20557.740000000002</v>
      </c>
      <c r="Y31" s="2"/>
      <c r="Z31" s="7">
        <f t="shared" si="15"/>
        <v>-0.98725077101428116</v>
      </c>
    </row>
    <row r="32" spans="1:26" s="23" customFormat="1" hidden="1" outlineLevel="2" x14ac:dyDescent="0.25">
      <c r="A32" s="25"/>
      <c r="B32" s="10" t="str">
        <f>CONCATENATE("          ", "6007", " - ", "STUDENT HOURLY")</f>
        <v xml:space="preserve">          6007 - STUDENT HOURLY</v>
      </c>
      <c r="C32" s="10"/>
      <c r="D32" s="6"/>
      <c r="E32" s="2"/>
      <c r="F32" s="7">
        <f t="shared" si="8"/>
        <v>0</v>
      </c>
      <c r="G32" s="2"/>
      <c r="H32" s="6"/>
      <c r="I32" s="2"/>
      <c r="J32" s="7">
        <f t="shared" si="9"/>
        <v>0</v>
      </c>
      <c r="K32" s="2"/>
      <c r="L32" s="6">
        <f t="shared" si="10"/>
        <v>0</v>
      </c>
      <c r="M32" s="2"/>
      <c r="N32" s="7">
        <f t="shared" si="11"/>
        <v>0</v>
      </c>
      <c r="O32" s="10"/>
      <c r="P32" s="6">
        <v>116.28</v>
      </c>
      <c r="Q32" s="2"/>
      <c r="R32" s="7">
        <f t="shared" si="12"/>
        <v>0</v>
      </c>
      <c r="S32" s="2"/>
      <c r="T32" s="6">
        <v>32551.35</v>
      </c>
      <c r="U32" s="2"/>
      <c r="V32" s="7">
        <f t="shared" si="13"/>
        <v>0</v>
      </c>
      <c r="W32" s="2"/>
      <c r="X32" s="6">
        <f t="shared" si="14"/>
        <v>-32435.07</v>
      </c>
      <c r="Y32" s="2"/>
      <c r="Z32" s="7">
        <f t="shared" si="15"/>
        <v>-0.99642779792543168</v>
      </c>
    </row>
    <row r="33" spans="1:26" s="23" customFormat="1" hidden="1" outlineLevel="2" x14ac:dyDescent="0.25">
      <c r="A33" s="25"/>
      <c r="B33" s="10" t="str">
        <f>CONCATENATE("          ", "6008", " - ", "STUDENT HOURLY-FICA EXEMPT")</f>
        <v xml:space="preserve">          6008 - STUDENT HOURLY-FICA EXEMPT</v>
      </c>
      <c r="C33" s="10"/>
      <c r="D33" s="6"/>
      <c r="E33" s="2"/>
      <c r="F33" s="7">
        <f t="shared" si="8"/>
        <v>0</v>
      </c>
      <c r="G33" s="2"/>
      <c r="H33" s="6"/>
      <c r="I33" s="2"/>
      <c r="J33" s="7">
        <f t="shared" si="9"/>
        <v>0</v>
      </c>
      <c r="K33" s="2"/>
      <c r="L33" s="6">
        <f t="shared" si="10"/>
        <v>0</v>
      </c>
      <c r="M33" s="2"/>
      <c r="N33" s="7">
        <f t="shared" si="11"/>
        <v>0</v>
      </c>
      <c r="O33" s="10"/>
      <c r="P33" s="6"/>
      <c r="Q33" s="2"/>
      <c r="R33" s="7">
        <f t="shared" si="12"/>
        <v>0</v>
      </c>
      <c r="S33" s="2"/>
      <c r="T33" s="6">
        <v>5309.97</v>
      </c>
      <c r="U33" s="2"/>
      <c r="V33" s="7">
        <f t="shared" si="13"/>
        <v>0</v>
      </c>
      <c r="W33" s="2"/>
      <c r="X33" s="6">
        <f t="shared" si="14"/>
        <v>-5309.97</v>
      </c>
      <c r="Y33" s="2"/>
      <c r="Z33" s="7">
        <f t="shared" si="15"/>
        <v>-1</v>
      </c>
    </row>
    <row r="34" spans="1:26" s="27" customFormat="1" outlineLevel="1" collapsed="1" x14ac:dyDescent="0.25">
      <c r="A34" s="26"/>
      <c r="B34" s="12" t="str">
        <f>CONCATENATE("     ","Advertising/Promo                                 ")</f>
        <v xml:space="preserve">     Advertising/Promo                                 </v>
      </c>
      <c r="C34" s="12"/>
      <c r="D34" s="1">
        <f>SUM(OSRRefD22_2x_0)</f>
        <v>0</v>
      </c>
      <c r="E34" s="1"/>
      <c r="F34" s="5">
        <f t="shared" ref="F34:F44" si="16">IF(D$12=0,0,D34/D$12)</f>
        <v>0</v>
      </c>
      <c r="G34" s="1"/>
      <c r="H34" s="1">
        <f>SUM(OSRRefH22_2x_0)</f>
        <v>0</v>
      </c>
      <c r="I34" s="1"/>
      <c r="J34" s="5">
        <f t="shared" ref="J34:J44" si="17">IF(H$12=0,0,H34/H$12)</f>
        <v>0</v>
      </c>
      <c r="K34" s="1"/>
      <c r="L34" s="1">
        <f t="shared" ref="L34:L44" si="18">+D34-H34</f>
        <v>0</v>
      </c>
      <c r="M34" s="1"/>
      <c r="N34" s="5">
        <f t="shared" ref="N34:N44" si="19">IF(H34=0,0,L34/H34)</f>
        <v>0</v>
      </c>
      <c r="O34" s="12"/>
      <c r="P34" s="1">
        <f>SUM(OSRRefP22_2x_0)</f>
        <v>0</v>
      </c>
      <c r="Q34" s="1"/>
      <c r="R34" s="5">
        <f t="shared" ref="R34:R44" si="20">IF(P$12=0,0,P34/P$12)</f>
        <v>0</v>
      </c>
      <c r="S34" s="1"/>
      <c r="T34" s="1">
        <f>SUM(OSRRefT22_2x_0)</f>
        <v>62</v>
      </c>
      <c r="U34" s="1"/>
      <c r="V34" s="5">
        <f t="shared" ref="V34:V44" si="21">IF(T$12=0,0,T34/T$12)</f>
        <v>0</v>
      </c>
      <c r="W34" s="1"/>
      <c r="X34" s="1">
        <f t="shared" ref="X34:X44" si="22">+P34-T34</f>
        <v>-62</v>
      </c>
      <c r="Y34" s="1"/>
      <c r="Z34" s="5">
        <f t="shared" ref="Z34:Z44" si="23">IF(T34=0,0,X34/T34)</f>
        <v>-1</v>
      </c>
    </row>
    <row r="35" spans="1:26" s="23" customFormat="1" hidden="1" outlineLevel="2" x14ac:dyDescent="0.25">
      <c r="A35" s="25"/>
      <c r="B35" s="10" t="str">
        <f>CONCATENATE("          ", "6362", " - ", "ADVERTISING EXPENSE")</f>
        <v xml:space="preserve">          6362 - ADVERTISING EXPENSE</v>
      </c>
      <c r="C35" s="10"/>
      <c r="D35" s="6"/>
      <c r="E35" s="2"/>
      <c r="F35" s="7">
        <f t="shared" si="16"/>
        <v>0</v>
      </c>
      <c r="G35" s="2"/>
      <c r="H35" s="6"/>
      <c r="I35" s="2"/>
      <c r="J35" s="7">
        <f t="shared" si="17"/>
        <v>0</v>
      </c>
      <c r="K35" s="2"/>
      <c r="L35" s="6">
        <f t="shared" si="18"/>
        <v>0</v>
      </c>
      <c r="M35" s="2"/>
      <c r="N35" s="7">
        <f t="shared" si="19"/>
        <v>0</v>
      </c>
      <c r="O35" s="10"/>
      <c r="P35" s="6"/>
      <c r="Q35" s="2"/>
      <c r="R35" s="7">
        <f t="shared" si="20"/>
        <v>0</v>
      </c>
      <c r="S35" s="2"/>
      <c r="T35" s="6">
        <v>62</v>
      </c>
      <c r="U35" s="2"/>
      <c r="V35" s="7">
        <f t="shared" si="21"/>
        <v>0</v>
      </c>
      <c r="W35" s="2"/>
      <c r="X35" s="6">
        <f t="shared" si="22"/>
        <v>-62</v>
      </c>
      <c r="Y35" s="2"/>
      <c r="Z35" s="7">
        <f t="shared" si="23"/>
        <v>-1</v>
      </c>
    </row>
    <row r="36" spans="1:26" s="27" customFormat="1" outlineLevel="1" collapsed="1" x14ac:dyDescent="0.25">
      <c r="A36" s="26"/>
      <c r="B36" s="12" t="str">
        <f>CONCATENATE("     ","Depreciation                                      ")</f>
        <v xml:space="preserve">     Depreciation                                      </v>
      </c>
      <c r="C36" s="12"/>
      <c r="D36" s="1">
        <f>SUM(OSRRefD22_3x_0)</f>
        <v>1558.82</v>
      </c>
      <c r="E36" s="1"/>
      <c r="F36" s="5">
        <f t="shared" si="16"/>
        <v>0</v>
      </c>
      <c r="G36" s="1"/>
      <c r="H36" s="1">
        <f>SUM(OSRRefH22_3x_0)</f>
        <v>1558.82</v>
      </c>
      <c r="I36" s="1"/>
      <c r="J36" s="5">
        <f t="shared" si="17"/>
        <v>0</v>
      </c>
      <c r="K36" s="1"/>
      <c r="L36" s="1">
        <f t="shared" si="18"/>
        <v>0</v>
      </c>
      <c r="M36" s="1"/>
      <c r="N36" s="5">
        <f t="shared" si="19"/>
        <v>0</v>
      </c>
      <c r="O36" s="12"/>
      <c r="P36" s="1">
        <f>SUM(OSRRefP22_3x_0)</f>
        <v>18706.5</v>
      </c>
      <c r="Q36" s="1"/>
      <c r="R36" s="5">
        <f t="shared" si="20"/>
        <v>0</v>
      </c>
      <c r="S36" s="1"/>
      <c r="T36" s="1">
        <f>SUM(OSRRefT22_3x_0)</f>
        <v>18706.5</v>
      </c>
      <c r="U36" s="1"/>
      <c r="V36" s="5">
        <f t="shared" si="21"/>
        <v>0</v>
      </c>
      <c r="W36" s="1"/>
      <c r="X36" s="1">
        <f t="shared" si="22"/>
        <v>0</v>
      </c>
      <c r="Y36" s="1"/>
      <c r="Z36" s="5">
        <f t="shared" si="23"/>
        <v>0</v>
      </c>
    </row>
    <row r="37" spans="1:26" s="23" customFormat="1" hidden="1" outlineLevel="2" x14ac:dyDescent="0.25">
      <c r="A37" s="25"/>
      <c r="B37" s="10" t="str">
        <f>CONCATENATE("          ", "6322", " - ", "EQUIPMENT DEPRECIATION EXPENSE")</f>
        <v xml:space="preserve">          6322 - EQUIPMENT DEPRECIATION EXPENSE</v>
      </c>
      <c r="C37" s="10"/>
      <c r="D37" s="6">
        <v>1558.82</v>
      </c>
      <c r="E37" s="2"/>
      <c r="F37" s="7">
        <f t="shared" si="16"/>
        <v>0</v>
      </c>
      <c r="G37" s="2"/>
      <c r="H37" s="6">
        <v>1558.82</v>
      </c>
      <c r="I37" s="2"/>
      <c r="J37" s="7">
        <f t="shared" si="17"/>
        <v>0</v>
      </c>
      <c r="K37" s="2"/>
      <c r="L37" s="6">
        <f t="shared" si="18"/>
        <v>0</v>
      </c>
      <c r="M37" s="2"/>
      <c r="N37" s="7">
        <f t="shared" si="19"/>
        <v>0</v>
      </c>
      <c r="O37" s="10"/>
      <c r="P37" s="6">
        <v>18706.5</v>
      </c>
      <c r="Q37" s="2"/>
      <c r="R37" s="7">
        <f t="shared" si="20"/>
        <v>0</v>
      </c>
      <c r="S37" s="2"/>
      <c r="T37" s="6">
        <v>18706.5</v>
      </c>
      <c r="U37" s="2"/>
      <c r="V37" s="7">
        <f t="shared" si="21"/>
        <v>0</v>
      </c>
      <c r="W37" s="2"/>
      <c r="X37" s="6">
        <f t="shared" si="22"/>
        <v>0</v>
      </c>
      <c r="Y37" s="2"/>
      <c r="Z37" s="7">
        <f t="shared" si="23"/>
        <v>0</v>
      </c>
    </row>
    <row r="38" spans="1:26" s="27" customFormat="1" outlineLevel="1" collapsed="1" x14ac:dyDescent="0.25">
      <c r="A38" s="26"/>
      <c r="B38" s="12" t="str">
        <f>CONCATENATE("     ","Employees' Appreciation                           ")</f>
        <v xml:space="preserve">     Employees' Appreciation                           </v>
      </c>
      <c r="C38" s="12"/>
      <c r="D38" s="1">
        <f>SUM(OSRRefD22_4x_0)</f>
        <v>0</v>
      </c>
      <c r="E38" s="1"/>
      <c r="F38" s="5">
        <f t="shared" si="16"/>
        <v>0</v>
      </c>
      <c r="G38" s="1"/>
      <c r="H38" s="1">
        <f>SUM(OSRRefH22_4x_0)</f>
        <v>0</v>
      </c>
      <c r="I38" s="1"/>
      <c r="J38" s="5">
        <f t="shared" si="17"/>
        <v>0</v>
      </c>
      <c r="K38" s="1"/>
      <c r="L38" s="1">
        <f t="shared" si="18"/>
        <v>0</v>
      </c>
      <c r="M38" s="1"/>
      <c r="N38" s="5">
        <f t="shared" si="19"/>
        <v>0</v>
      </c>
      <c r="O38" s="12"/>
      <c r="P38" s="1">
        <f>SUM(OSRRefP22_4x_0)</f>
        <v>0</v>
      </c>
      <c r="Q38" s="1"/>
      <c r="R38" s="5">
        <f t="shared" si="20"/>
        <v>0</v>
      </c>
      <c r="S38" s="1"/>
      <c r="T38" s="1">
        <f>SUM(OSRRefT22_4x_0)</f>
        <v>3.96</v>
      </c>
      <c r="U38" s="1"/>
      <c r="V38" s="5">
        <f t="shared" si="21"/>
        <v>0</v>
      </c>
      <c r="W38" s="1"/>
      <c r="X38" s="1">
        <f t="shared" si="22"/>
        <v>-3.96</v>
      </c>
      <c r="Y38" s="1"/>
      <c r="Z38" s="5">
        <f t="shared" si="23"/>
        <v>-1</v>
      </c>
    </row>
    <row r="39" spans="1:26" s="23" customFormat="1" hidden="1" outlineLevel="2" x14ac:dyDescent="0.25">
      <c r="A39" s="25"/>
      <c r="B39" s="10" t="str">
        <f>CONCATENATE("          ", "6277", " - ", "EMPLOYEE APPRECIATION")</f>
        <v xml:space="preserve">          6277 - EMPLOYEE APPRECIATION</v>
      </c>
      <c r="C39" s="10"/>
      <c r="D39" s="6"/>
      <c r="E39" s="2"/>
      <c r="F39" s="7">
        <f t="shared" si="16"/>
        <v>0</v>
      </c>
      <c r="G39" s="2"/>
      <c r="H39" s="6"/>
      <c r="I39" s="2"/>
      <c r="J39" s="7">
        <f t="shared" si="17"/>
        <v>0</v>
      </c>
      <c r="K39" s="2"/>
      <c r="L39" s="6">
        <f t="shared" si="18"/>
        <v>0</v>
      </c>
      <c r="M39" s="2"/>
      <c r="N39" s="7">
        <f t="shared" si="19"/>
        <v>0</v>
      </c>
      <c r="O39" s="10"/>
      <c r="P39" s="6"/>
      <c r="Q39" s="2"/>
      <c r="R39" s="7">
        <f t="shared" si="20"/>
        <v>0</v>
      </c>
      <c r="S39" s="2"/>
      <c r="T39" s="6">
        <v>3.96</v>
      </c>
      <c r="U39" s="2"/>
      <c r="V39" s="7">
        <f t="shared" si="21"/>
        <v>0</v>
      </c>
      <c r="W39" s="2"/>
      <c r="X39" s="6">
        <f t="shared" si="22"/>
        <v>-3.96</v>
      </c>
      <c r="Y39" s="2"/>
      <c r="Z39" s="7">
        <f t="shared" si="23"/>
        <v>-1</v>
      </c>
    </row>
    <row r="40" spans="1:26" s="27" customFormat="1" outlineLevel="1" collapsed="1" x14ac:dyDescent="0.25">
      <c r="A40" s="26"/>
      <c r="B40" s="12" t="str">
        <f>CONCATENATE("     ","Equipment Rental                                  ")</f>
        <v xml:space="preserve">     Equipment Rental                                  </v>
      </c>
      <c r="C40" s="12"/>
      <c r="D40" s="1">
        <f>SUM(OSRRefD22_5x_0)</f>
        <v>91.26</v>
      </c>
      <c r="E40" s="1"/>
      <c r="F40" s="5">
        <f t="shared" si="16"/>
        <v>0</v>
      </c>
      <c r="G40" s="1"/>
      <c r="H40" s="1">
        <f>SUM(OSRRefH22_5x_0)</f>
        <v>91.26</v>
      </c>
      <c r="I40" s="1"/>
      <c r="J40" s="5">
        <f t="shared" si="17"/>
        <v>0</v>
      </c>
      <c r="K40" s="1"/>
      <c r="L40" s="1">
        <f t="shared" si="18"/>
        <v>0</v>
      </c>
      <c r="M40" s="1"/>
      <c r="N40" s="5">
        <f t="shared" si="19"/>
        <v>0</v>
      </c>
      <c r="O40" s="12"/>
      <c r="P40" s="1">
        <f>SUM(OSRRefP22_5x_0)</f>
        <v>1095.1199999999999</v>
      </c>
      <c r="Q40" s="1"/>
      <c r="R40" s="5">
        <f t="shared" si="20"/>
        <v>0</v>
      </c>
      <c r="S40" s="1"/>
      <c r="T40" s="1">
        <f>SUM(OSRRefT22_5x_0)</f>
        <v>1095.1199999999999</v>
      </c>
      <c r="U40" s="1"/>
      <c r="V40" s="5">
        <f t="shared" si="21"/>
        <v>0</v>
      </c>
      <c r="W40" s="1"/>
      <c r="X40" s="1">
        <f t="shared" si="22"/>
        <v>0</v>
      </c>
      <c r="Y40" s="1"/>
      <c r="Z40" s="5">
        <f t="shared" si="23"/>
        <v>0</v>
      </c>
    </row>
    <row r="41" spans="1:26" s="23" customFormat="1" hidden="1" outlineLevel="2" x14ac:dyDescent="0.25">
      <c r="A41" s="25"/>
      <c r="B41" s="10" t="str">
        <f>CONCATENATE("          ", "6351", " - ", "EQUIPMENT RENTAL")</f>
        <v xml:space="preserve">          6351 - EQUIPMENT RENTAL</v>
      </c>
      <c r="C41" s="10"/>
      <c r="D41" s="6">
        <v>91.26</v>
      </c>
      <c r="E41" s="2"/>
      <c r="F41" s="7">
        <f t="shared" si="16"/>
        <v>0</v>
      </c>
      <c r="G41" s="2"/>
      <c r="H41" s="6">
        <v>91.26</v>
      </c>
      <c r="I41" s="2"/>
      <c r="J41" s="7">
        <f t="shared" si="17"/>
        <v>0</v>
      </c>
      <c r="K41" s="2"/>
      <c r="L41" s="6">
        <f t="shared" si="18"/>
        <v>0</v>
      </c>
      <c r="M41" s="2"/>
      <c r="N41" s="7">
        <f t="shared" si="19"/>
        <v>0</v>
      </c>
      <c r="O41" s="10"/>
      <c r="P41" s="6">
        <v>1095.1199999999999</v>
      </c>
      <c r="Q41" s="2"/>
      <c r="R41" s="7">
        <f t="shared" si="20"/>
        <v>0</v>
      </c>
      <c r="S41" s="2"/>
      <c r="T41" s="6">
        <v>1095.1199999999999</v>
      </c>
      <c r="U41" s="2"/>
      <c r="V41" s="7">
        <f t="shared" si="21"/>
        <v>0</v>
      </c>
      <c r="W41" s="2"/>
      <c r="X41" s="6">
        <f t="shared" si="22"/>
        <v>0</v>
      </c>
      <c r="Y41" s="2"/>
      <c r="Z41" s="7">
        <f t="shared" si="23"/>
        <v>0</v>
      </c>
    </row>
    <row r="42" spans="1:26" s="27" customFormat="1" outlineLevel="1" collapsed="1" x14ac:dyDescent="0.25">
      <c r="A42" s="26"/>
      <c r="B42" s="12" t="str">
        <f>CONCATENATE("     ","Freight out/Postage                               ")</f>
        <v xml:space="preserve">     Freight out/Postage                               </v>
      </c>
      <c r="C42" s="12"/>
      <c r="D42" s="1">
        <f>SUM(OSRRefD22_6x_0)</f>
        <v>82.62</v>
      </c>
      <c r="E42" s="1"/>
      <c r="F42" s="5">
        <f t="shared" si="16"/>
        <v>0</v>
      </c>
      <c r="G42" s="1"/>
      <c r="H42" s="1">
        <f>SUM(OSRRefH22_6x_0)</f>
        <v>40.799999999999997</v>
      </c>
      <c r="I42" s="1"/>
      <c r="J42" s="5">
        <f t="shared" si="17"/>
        <v>0</v>
      </c>
      <c r="K42" s="1"/>
      <c r="L42" s="1">
        <f t="shared" si="18"/>
        <v>41.820000000000007</v>
      </c>
      <c r="M42" s="1"/>
      <c r="N42" s="5">
        <f t="shared" si="19"/>
        <v>1.0250000000000004</v>
      </c>
      <c r="O42" s="12"/>
      <c r="P42" s="1">
        <f>SUM(OSRRefP22_6x_0)</f>
        <v>1066.93</v>
      </c>
      <c r="Q42" s="1"/>
      <c r="R42" s="5">
        <f t="shared" si="20"/>
        <v>0</v>
      </c>
      <c r="S42" s="1"/>
      <c r="T42" s="1">
        <f>SUM(OSRRefT22_6x_0)</f>
        <v>1366.2</v>
      </c>
      <c r="U42" s="1"/>
      <c r="V42" s="5">
        <f t="shared" si="21"/>
        <v>0</v>
      </c>
      <c r="W42" s="1"/>
      <c r="X42" s="1">
        <f t="shared" si="22"/>
        <v>-299.27</v>
      </c>
      <c r="Y42" s="1"/>
      <c r="Z42" s="5">
        <f t="shared" si="23"/>
        <v>-0.21905284731371685</v>
      </c>
    </row>
    <row r="43" spans="1:26" s="23" customFormat="1" hidden="1" outlineLevel="2" x14ac:dyDescent="0.25">
      <c r="A43" s="25"/>
      <c r="B43" s="10" t="str">
        <f>CONCATENATE("          ", "6305", " - ", "FREIGHT OUT")</f>
        <v xml:space="preserve">          6305 - FREIGHT OUT</v>
      </c>
      <c r="C43" s="10"/>
      <c r="D43" s="6"/>
      <c r="E43" s="2"/>
      <c r="F43" s="7">
        <f t="shared" si="16"/>
        <v>0</v>
      </c>
      <c r="G43" s="2"/>
      <c r="H43" s="6"/>
      <c r="I43" s="2"/>
      <c r="J43" s="7">
        <f t="shared" si="17"/>
        <v>0</v>
      </c>
      <c r="K43" s="2"/>
      <c r="L43" s="6">
        <f t="shared" si="18"/>
        <v>0</v>
      </c>
      <c r="M43" s="2"/>
      <c r="N43" s="7">
        <f t="shared" si="19"/>
        <v>0</v>
      </c>
      <c r="O43" s="10"/>
      <c r="P43" s="6">
        <v>5.41</v>
      </c>
      <c r="Q43" s="2"/>
      <c r="R43" s="7">
        <f t="shared" si="20"/>
        <v>0</v>
      </c>
      <c r="S43" s="2"/>
      <c r="T43" s="6"/>
      <c r="U43" s="2"/>
      <c r="V43" s="7">
        <f t="shared" si="21"/>
        <v>0</v>
      </c>
      <c r="W43" s="2"/>
      <c r="X43" s="6">
        <f t="shared" si="22"/>
        <v>5.41</v>
      </c>
      <c r="Y43" s="2"/>
      <c r="Z43" s="7">
        <f t="shared" si="23"/>
        <v>0</v>
      </c>
    </row>
    <row r="44" spans="1:26" s="23" customFormat="1" hidden="1" outlineLevel="2" x14ac:dyDescent="0.25">
      <c r="A44" s="25"/>
      <c r="B44" s="10" t="str">
        <f>CONCATENATE("          ", "6307", " - ", "POSTAGE")</f>
        <v xml:space="preserve">          6307 - POSTAGE</v>
      </c>
      <c r="C44" s="10"/>
      <c r="D44" s="6">
        <v>82.62</v>
      </c>
      <c r="E44" s="2"/>
      <c r="F44" s="7">
        <f t="shared" si="16"/>
        <v>0</v>
      </c>
      <c r="G44" s="2"/>
      <c r="H44" s="6">
        <v>40.799999999999997</v>
      </c>
      <c r="I44" s="2"/>
      <c r="J44" s="7">
        <f t="shared" si="17"/>
        <v>0</v>
      </c>
      <c r="K44" s="2"/>
      <c r="L44" s="6">
        <f t="shared" si="18"/>
        <v>41.820000000000007</v>
      </c>
      <c r="M44" s="2"/>
      <c r="N44" s="7">
        <f t="shared" si="19"/>
        <v>1.0250000000000004</v>
      </c>
      <c r="O44" s="10"/>
      <c r="P44" s="6">
        <v>1061.52</v>
      </c>
      <c r="Q44" s="2"/>
      <c r="R44" s="7">
        <f t="shared" si="20"/>
        <v>0</v>
      </c>
      <c r="S44" s="2"/>
      <c r="T44" s="6">
        <v>1366.2</v>
      </c>
      <c r="U44" s="2"/>
      <c r="V44" s="7">
        <f t="shared" si="21"/>
        <v>0</v>
      </c>
      <c r="W44" s="2"/>
      <c r="X44" s="6">
        <f t="shared" si="22"/>
        <v>-304.68000000000006</v>
      </c>
      <c r="Y44" s="2"/>
      <c r="Z44" s="7">
        <f t="shared" si="23"/>
        <v>-0.22301273605621436</v>
      </c>
    </row>
    <row r="45" spans="1:26" s="27" customFormat="1" outlineLevel="1" collapsed="1" x14ac:dyDescent="0.25">
      <c r="A45" s="26"/>
      <c r="B45" s="12" t="str">
        <f>CONCATENATE("     ","Insurance                                         ")</f>
        <v xml:space="preserve">     Insurance                                         </v>
      </c>
      <c r="C45" s="12"/>
      <c r="D45" s="1">
        <f>SUM(OSRRefD22_7x_0)</f>
        <v>283.75</v>
      </c>
      <c r="E45" s="1"/>
      <c r="F45" s="5">
        <f t="shared" ref="F45:F52" si="24">IF(D$12=0,0,D45/D$12)</f>
        <v>0</v>
      </c>
      <c r="G45" s="1"/>
      <c r="H45" s="1">
        <f>SUM(OSRRefH22_7x_0)</f>
        <v>132.16999999999999</v>
      </c>
      <c r="I45" s="1"/>
      <c r="J45" s="5">
        <f t="shared" ref="J45:J52" si="25">IF(H$12=0,0,H45/H$12)</f>
        <v>0</v>
      </c>
      <c r="K45" s="1"/>
      <c r="L45" s="1">
        <f t="shared" ref="L45:L52" si="26">+D45-H45</f>
        <v>151.58000000000001</v>
      </c>
      <c r="M45" s="1"/>
      <c r="N45" s="5">
        <f t="shared" ref="N45:N52" si="27">IF(H45=0,0,L45/H45)</f>
        <v>1.1468563214042522</v>
      </c>
      <c r="O45" s="12"/>
      <c r="P45" s="1">
        <f>SUM(OSRRefP22_7x_0)</f>
        <v>1737.62</v>
      </c>
      <c r="Q45" s="1"/>
      <c r="R45" s="5">
        <f t="shared" ref="R45:R52" si="28">IF(P$12=0,0,P45/P$12)</f>
        <v>0</v>
      </c>
      <c r="S45" s="1"/>
      <c r="T45" s="1">
        <f>SUM(OSRRefT22_7x_0)</f>
        <v>1586.04</v>
      </c>
      <c r="U45" s="1"/>
      <c r="V45" s="5">
        <f t="shared" ref="V45:V52" si="29">IF(T$12=0,0,T45/T$12)</f>
        <v>0</v>
      </c>
      <c r="W45" s="1"/>
      <c r="X45" s="1">
        <f t="shared" ref="X45:X52" si="30">+P45-T45</f>
        <v>151.57999999999993</v>
      </c>
      <c r="Y45" s="1"/>
      <c r="Z45" s="5">
        <f t="shared" ref="Z45:Z52" si="31">IF(T45=0,0,X45/T45)</f>
        <v>9.557136011702097E-2</v>
      </c>
    </row>
    <row r="46" spans="1:26" s="23" customFormat="1" hidden="1" outlineLevel="2" x14ac:dyDescent="0.25">
      <c r="A46" s="25"/>
      <c r="B46" s="10" t="str">
        <f>CONCATENATE("          ", "6314", " - ", "LIABILITY INSURANCE")</f>
        <v xml:space="preserve">          6314 - LIABILITY INSURANCE</v>
      </c>
      <c r="C46" s="10"/>
      <c r="D46" s="6">
        <v>283.75</v>
      </c>
      <c r="E46" s="2"/>
      <c r="F46" s="7">
        <f t="shared" si="24"/>
        <v>0</v>
      </c>
      <c r="G46" s="2"/>
      <c r="H46" s="6">
        <v>132.16999999999999</v>
      </c>
      <c r="I46" s="2"/>
      <c r="J46" s="7">
        <f t="shared" si="25"/>
        <v>0</v>
      </c>
      <c r="K46" s="2"/>
      <c r="L46" s="6">
        <f t="shared" si="26"/>
        <v>151.58000000000001</v>
      </c>
      <c r="M46" s="2"/>
      <c r="N46" s="7">
        <f t="shared" si="27"/>
        <v>1.1468563214042522</v>
      </c>
      <c r="O46" s="10"/>
      <c r="P46" s="6">
        <v>1737.62</v>
      </c>
      <c r="Q46" s="2"/>
      <c r="R46" s="7">
        <f t="shared" si="28"/>
        <v>0</v>
      </c>
      <c r="S46" s="2"/>
      <c r="T46" s="6">
        <v>1586.04</v>
      </c>
      <c r="U46" s="2"/>
      <c r="V46" s="7">
        <f t="shared" si="29"/>
        <v>0</v>
      </c>
      <c r="W46" s="2"/>
      <c r="X46" s="6">
        <f t="shared" si="30"/>
        <v>151.57999999999993</v>
      </c>
      <c r="Y46" s="2"/>
      <c r="Z46" s="7">
        <f t="shared" si="31"/>
        <v>9.557136011702097E-2</v>
      </c>
    </row>
    <row r="47" spans="1:26" s="27" customFormat="1" outlineLevel="1" collapsed="1" x14ac:dyDescent="0.25">
      <c r="A47" s="26"/>
      <c r="B47" s="12" t="str">
        <f>CONCATENATE("     ","Professional Services                             ")</f>
        <v xml:space="preserve">     Professional Services                             </v>
      </c>
      <c r="C47" s="12"/>
      <c r="D47" s="1">
        <f>SUM(OSRRefD22_8x_0)</f>
        <v>0</v>
      </c>
      <c r="E47" s="1"/>
      <c r="F47" s="5">
        <f t="shared" si="24"/>
        <v>0</v>
      </c>
      <c r="G47" s="1"/>
      <c r="H47" s="1">
        <f>SUM(OSRRefH22_8x_0)</f>
        <v>0</v>
      </c>
      <c r="I47" s="1"/>
      <c r="J47" s="5">
        <f t="shared" si="25"/>
        <v>0</v>
      </c>
      <c r="K47" s="1"/>
      <c r="L47" s="1">
        <f t="shared" si="26"/>
        <v>0</v>
      </c>
      <c r="M47" s="1"/>
      <c r="N47" s="5">
        <f t="shared" si="27"/>
        <v>0</v>
      </c>
      <c r="O47" s="12"/>
      <c r="P47" s="1">
        <f>SUM(OSRRefP22_8x_0)</f>
        <v>0</v>
      </c>
      <c r="Q47" s="1"/>
      <c r="R47" s="5">
        <f t="shared" si="28"/>
        <v>0</v>
      </c>
      <c r="S47" s="1"/>
      <c r="T47" s="1">
        <f>SUM(OSRRefT22_8x_0)</f>
        <v>82.5</v>
      </c>
      <c r="U47" s="1"/>
      <c r="V47" s="5">
        <f t="shared" si="29"/>
        <v>0</v>
      </c>
      <c r="W47" s="1"/>
      <c r="X47" s="1">
        <f t="shared" si="30"/>
        <v>-82.5</v>
      </c>
      <c r="Y47" s="1"/>
      <c r="Z47" s="5">
        <f t="shared" si="31"/>
        <v>-1</v>
      </c>
    </row>
    <row r="48" spans="1:26" s="23" customFormat="1" hidden="1" outlineLevel="2" x14ac:dyDescent="0.25">
      <c r="A48" s="25"/>
      <c r="B48" s="10" t="str">
        <f>CONCATENATE("          ", "6332", " - ", "CONSULTANT FEES")</f>
        <v xml:space="preserve">          6332 - CONSULTANT FEES</v>
      </c>
      <c r="C48" s="10"/>
      <c r="D48" s="6"/>
      <c r="E48" s="2"/>
      <c r="F48" s="7">
        <f t="shared" si="24"/>
        <v>0</v>
      </c>
      <c r="G48" s="2"/>
      <c r="H48" s="6"/>
      <c r="I48" s="2"/>
      <c r="J48" s="7">
        <f t="shared" si="25"/>
        <v>0</v>
      </c>
      <c r="K48" s="2"/>
      <c r="L48" s="6">
        <f t="shared" si="26"/>
        <v>0</v>
      </c>
      <c r="M48" s="2"/>
      <c r="N48" s="7">
        <f t="shared" si="27"/>
        <v>0</v>
      </c>
      <c r="O48" s="10"/>
      <c r="P48" s="6"/>
      <c r="Q48" s="2"/>
      <c r="R48" s="7">
        <f t="shared" si="28"/>
        <v>0</v>
      </c>
      <c r="S48" s="2"/>
      <c r="T48" s="6">
        <v>82.5</v>
      </c>
      <c r="U48" s="2"/>
      <c r="V48" s="7">
        <f t="shared" si="29"/>
        <v>0</v>
      </c>
      <c r="W48" s="2"/>
      <c r="X48" s="6">
        <f t="shared" si="30"/>
        <v>-82.5</v>
      </c>
      <c r="Y48" s="2"/>
      <c r="Z48" s="7">
        <f t="shared" si="31"/>
        <v>-1</v>
      </c>
    </row>
    <row r="49" spans="1:26" s="27" customFormat="1" outlineLevel="1" collapsed="1" x14ac:dyDescent="0.25">
      <c r="A49" s="26"/>
      <c r="B49" s="12" t="str">
        <f>CONCATENATE("     ","Repair and Maintenance                            ")</f>
        <v xml:space="preserve">     Repair and Maintenance                            </v>
      </c>
      <c r="C49" s="12"/>
      <c r="D49" s="1">
        <f>SUM(OSRRefD22_9x_0)</f>
        <v>316.14</v>
      </c>
      <c r="E49" s="1"/>
      <c r="F49" s="5">
        <f t="shared" si="24"/>
        <v>0</v>
      </c>
      <c r="G49" s="1"/>
      <c r="H49" s="1">
        <f>SUM(OSRRefH22_9x_0)</f>
        <v>68.61</v>
      </c>
      <c r="I49" s="1"/>
      <c r="J49" s="5">
        <f t="shared" si="25"/>
        <v>0</v>
      </c>
      <c r="K49" s="1"/>
      <c r="L49" s="1">
        <f t="shared" si="26"/>
        <v>247.52999999999997</v>
      </c>
      <c r="M49" s="1"/>
      <c r="N49" s="5">
        <f t="shared" si="27"/>
        <v>3.6077831219938781</v>
      </c>
      <c r="O49" s="12"/>
      <c r="P49" s="1">
        <f>SUM(OSRRefP22_9x_0)</f>
        <v>38029.07</v>
      </c>
      <c r="Q49" s="1"/>
      <c r="R49" s="5">
        <f t="shared" si="28"/>
        <v>0</v>
      </c>
      <c r="S49" s="1"/>
      <c r="T49" s="1">
        <f>SUM(OSRRefT22_9x_0)</f>
        <v>32691.109999999997</v>
      </c>
      <c r="U49" s="1"/>
      <c r="V49" s="5">
        <f t="shared" si="29"/>
        <v>0</v>
      </c>
      <c r="W49" s="1"/>
      <c r="X49" s="1">
        <f t="shared" si="30"/>
        <v>5337.9600000000028</v>
      </c>
      <c r="Y49" s="1"/>
      <c r="Z49" s="5">
        <f t="shared" si="31"/>
        <v>0.16328475845573928</v>
      </c>
    </row>
    <row r="50" spans="1:26" s="23" customFormat="1" hidden="1" outlineLevel="2" x14ac:dyDescent="0.25">
      <c r="A50" s="25"/>
      <c r="B50" s="10" t="str">
        <f>CONCATENATE("          ", "6371", " - ", "COMPUTER SOFTWARE MAINTENANCE")</f>
        <v xml:space="preserve">          6371 - COMPUTER SOFTWARE MAINTENANCE</v>
      </c>
      <c r="C50" s="10"/>
      <c r="D50" s="6">
        <v>307.45</v>
      </c>
      <c r="E50" s="2"/>
      <c r="F50" s="7">
        <f t="shared" si="24"/>
        <v>0</v>
      </c>
      <c r="G50" s="2"/>
      <c r="H50" s="6">
        <v>59.95</v>
      </c>
      <c r="I50" s="2"/>
      <c r="J50" s="7">
        <f t="shared" si="25"/>
        <v>0</v>
      </c>
      <c r="K50" s="2"/>
      <c r="L50" s="6">
        <f t="shared" si="26"/>
        <v>247.5</v>
      </c>
      <c r="M50" s="2"/>
      <c r="N50" s="7">
        <f t="shared" si="27"/>
        <v>4.1284403669724767</v>
      </c>
      <c r="O50" s="10"/>
      <c r="P50" s="6">
        <v>32660.82</v>
      </c>
      <c r="Q50" s="2"/>
      <c r="R50" s="7">
        <f t="shared" si="28"/>
        <v>0</v>
      </c>
      <c r="S50" s="2"/>
      <c r="T50" s="6">
        <v>27023.78</v>
      </c>
      <c r="U50" s="2"/>
      <c r="V50" s="7">
        <f t="shared" si="29"/>
        <v>0</v>
      </c>
      <c r="W50" s="2"/>
      <c r="X50" s="6">
        <f t="shared" si="30"/>
        <v>5637.0400000000009</v>
      </c>
      <c r="Y50" s="2"/>
      <c r="Z50" s="7">
        <f t="shared" si="31"/>
        <v>0.20859554066825592</v>
      </c>
    </row>
    <row r="51" spans="1:26" s="23" customFormat="1" hidden="1" outlineLevel="2" x14ac:dyDescent="0.25">
      <c r="A51" s="25"/>
      <c r="B51" s="10" t="str">
        <f>CONCATENATE("          ", "6373", " - ", "MAINTENANCE CONTRACTS")</f>
        <v xml:space="preserve">          6373 - MAINTENANCE CONTRACTS</v>
      </c>
      <c r="C51" s="10"/>
      <c r="D51" s="6">
        <v>8.69</v>
      </c>
      <c r="E51" s="2"/>
      <c r="F51" s="7">
        <f t="shared" si="24"/>
        <v>0</v>
      </c>
      <c r="G51" s="2"/>
      <c r="H51" s="6">
        <v>8.66</v>
      </c>
      <c r="I51" s="2"/>
      <c r="J51" s="7">
        <f t="shared" si="25"/>
        <v>0</v>
      </c>
      <c r="K51" s="2"/>
      <c r="L51" s="6">
        <f t="shared" si="26"/>
        <v>2.9999999999999361E-2</v>
      </c>
      <c r="M51" s="2"/>
      <c r="N51" s="7">
        <f t="shared" si="27"/>
        <v>3.464203233256277E-3</v>
      </c>
      <c r="O51" s="10"/>
      <c r="P51" s="6">
        <v>5191.1099999999997</v>
      </c>
      <c r="Q51" s="2"/>
      <c r="R51" s="7">
        <f t="shared" si="28"/>
        <v>0</v>
      </c>
      <c r="S51" s="2"/>
      <c r="T51" s="6">
        <v>5129.3900000000003</v>
      </c>
      <c r="U51" s="2"/>
      <c r="V51" s="7">
        <f t="shared" si="29"/>
        <v>0</v>
      </c>
      <c r="W51" s="2"/>
      <c r="X51" s="6">
        <f t="shared" si="30"/>
        <v>61.719999999999345</v>
      </c>
      <c r="Y51" s="2"/>
      <c r="Z51" s="7">
        <f t="shared" si="31"/>
        <v>1.2032619863180483E-2</v>
      </c>
    </row>
    <row r="52" spans="1:26" s="23" customFormat="1" hidden="1" outlineLevel="2" x14ac:dyDescent="0.25">
      <c r="A52" s="25"/>
      <c r="B52" s="10" t="str">
        <f>CONCATENATE("          ", "6375", " - ", "OUTSIDE REPAIRS &amp; MAINTENANCE")</f>
        <v xml:space="preserve">          6375 - OUTSIDE REPAIRS &amp; MAINTENANCE</v>
      </c>
      <c r="C52" s="10"/>
      <c r="D52" s="6"/>
      <c r="E52" s="2"/>
      <c r="F52" s="7">
        <f t="shared" si="24"/>
        <v>0</v>
      </c>
      <c r="G52" s="2"/>
      <c r="H52" s="6"/>
      <c r="I52" s="2"/>
      <c r="J52" s="7">
        <f t="shared" si="25"/>
        <v>0</v>
      </c>
      <c r="K52" s="2"/>
      <c r="L52" s="6">
        <f t="shared" si="26"/>
        <v>0</v>
      </c>
      <c r="M52" s="2"/>
      <c r="N52" s="7">
        <f t="shared" si="27"/>
        <v>0</v>
      </c>
      <c r="O52" s="10"/>
      <c r="P52" s="6">
        <v>177.14</v>
      </c>
      <c r="Q52" s="2"/>
      <c r="R52" s="7">
        <f t="shared" si="28"/>
        <v>0</v>
      </c>
      <c r="S52" s="2"/>
      <c r="T52" s="6">
        <v>537.94000000000005</v>
      </c>
      <c r="U52" s="2"/>
      <c r="V52" s="7">
        <f t="shared" si="29"/>
        <v>0</v>
      </c>
      <c r="W52" s="2"/>
      <c r="X52" s="6">
        <f t="shared" si="30"/>
        <v>-360.80000000000007</v>
      </c>
      <c r="Y52" s="2"/>
      <c r="Z52" s="7">
        <f t="shared" si="31"/>
        <v>-0.67070677027177761</v>
      </c>
    </row>
    <row r="53" spans="1:26" s="27" customFormat="1" outlineLevel="1" collapsed="1" x14ac:dyDescent="0.25">
      <c r="A53" s="26"/>
      <c r="B53" s="12" t="str">
        <f>CONCATENATE("     ","Services                                          ")</f>
        <v xml:space="preserve">     Services                                          </v>
      </c>
      <c r="C53" s="12"/>
      <c r="D53" s="1">
        <f>SUM(OSRRefD22_10x_0)</f>
        <v>1242.68</v>
      </c>
      <c r="E53" s="1"/>
      <c r="F53" s="5">
        <f t="shared" ref="F53:F60" si="32">IF(D$12=0,0,D53/D$12)</f>
        <v>0</v>
      </c>
      <c r="G53" s="1"/>
      <c r="H53" s="1">
        <f>SUM(OSRRefH22_10x_0)</f>
        <v>0</v>
      </c>
      <c r="I53" s="1"/>
      <c r="J53" s="5">
        <f t="shared" ref="J53:J60" si="33">IF(H$12=0,0,H53/H$12)</f>
        <v>0</v>
      </c>
      <c r="K53" s="1"/>
      <c r="L53" s="1">
        <f t="shared" ref="L53:L60" si="34">+D53-H53</f>
        <v>1242.68</v>
      </c>
      <c r="M53" s="1"/>
      <c r="N53" s="5">
        <f t="shared" ref="N53:N60" si="35">IF(H53=0,0,L53/H53)</f>
        <v>0</v>
      </c>
      <c r="O53" s="12"/>
      <c r="P53" s="1">
        <f>SUM(OSRRefP22_10x_0)</f>
        <v>7444.36</v>
      </c>
      <c r="Q53" s="1"/>
      <c r="R53" s="5">
        <f t="shared" ref="R53:R60" si="36">IF(P$12=0,0,P53/P$12)</f>
        <v>0</v>
      </c>
      <c r="S53" s="1"/>
      <c r="T53" s="1">
        <f>SUM(OSRRefT22_10x_0)</f>
        <v>10967.41</v>
      </c>
      <c r="U53" s="1"/>
      <c r="V53" s="5">
        <f t="shared" ref="V53:V60" si="37">IF(T$12=0,0,T53/T$12)</f>
        <v>0</v>
      </c>
      <c r="W53" s="1"/>
      <c r="X53" s="1">
        <f t="shared" ref="X53:X60" si="38">+P53-T53</f>
        <v>-3523.05</v>
      </c>
      <c r="Y53" s="1"/>
      <c r="Z53" s="5">
        <f t="shared" ref="Z53:Z60" si="39">IF(T53=0,0,X53/T53)</f>
        <v>-0.32122898660668292</v>
      </c>
    </row>
    <row r="54" spans="1:26" s="23" customFormat="1" hidden="1" outlineLevel="2" x14ac:dyDescent="0.25">
      <c r="A54" s="25"/>
      <c r="B54" s="10" t="str">
        <f>CONCATENATE("          ", "6281", " - ", "STORAGE FEE")</f>
        <v xml:space="preserve">          6281 - STORAGE FEE</v>
      </c>
      <c r="C54" s="10"/>
      <c r="D54" s="6">
        <v>1242.68</v>
      </c>
      <c r="E54" s="2"/>
      <c r="F54" s="7">
        <f t="shared" si="32"/>
        <v>0</v>
      </c>
      <c r="G54" s="2"/>
      <c r="H54" s="6"/>
      <c r="I54" s="2"/>
      <c r="J54" s="7">
        <f t="shared" si="33"/>
        <v>0</v>
      </c>
      <c r="K54" s="2"/>
      <c r="L54" s="6">
        <f t="shared" si="34"/>
        <v>1242.68</v>
      </c>
      <c r="M54" s="2"/>
      <c r="N54" s="7">
        <f t="shared" si="35"/>
        <v>0</v>
      </c>
      <c r="O54" s="10"/>
      <c r="P54" s="6">
        <v>7444.36</v>
      </c>
      <c r="Q54" s="2"/>
      <c r="R54" s="7">
        <f t="shared" si="36"/>
        <v>0</v>
      </c>
      <c r="S54" s="2"/>
      <c r="T54" s="6">
        <v>10967.41</v>
      </c>
      <c r="U54" s="2"/>
      <c r="V54" s="7">
        <f t="shared" si="37"/>
        <v>0</v>
      </c>
      <c r="W54" s="2"/>
      <c r="X54" s="6">
        <f t="shared" si="38"/>
        <v>-3523.05</v>
      </c>
      <c r="Y54" s="2"/>
      <c r="Z54" s="7">
        <f t="shared" si="39"/>
        <v>-0.32122898660668292</v>
      </c>
    </row>
    <row r="55" spans="1:26" s="27" customFormat="1" outlineLevel="1" collapsed="1" x14ac:dyDescent="0.25">
      <c r="A55" s="26"/>
      <c r="B55" s="12" t="str">
        <f>CONCATENATE("     ","Subscriptions &amp; Dues                              ")</f>
        <v xml:space="preserve">     Subscriptions &amp; Dues                              </v>
      </c>
      <c r="C55" s="12"/>
      <c r="D55" s="1">
        <f>SUM(OSRRefD22_11x_0)</f>
        <v>0</v>
      </c>
      <c r="E55" s="1"/>
      <c r="F55" s="5">
        <f t="shared" si="32"/>
        <v>0</v>
      </c>
      <c r="G55" s="1"/>
      <c r="H55" s="1">
        <f>SUM(OSRRefH22_11x_0)</f>
        <v>0</v>
      </c>
      <c r="I55" s="1"/>
      <c r="J55" s="5">
        <f t="shared" si="33"/>
        <v>0</v>
      </c>
      <c r="K55" s="1"/>
      <c r="L55" s="1">
        <f t="shared" si="34"/>
        <v>0</v>
      </c>
      <c r="M55" s="1"/>
      <c r="N55" s="5">
        <f t="shared" si="35"/>
        <v>0</v>
      </c>
      <c r="O55" s="12"/>
      <c r="P55" s="1">
        <f>SUM(OSRRefP22_11x_0)</f>
        <v>0</v>
      </c>
      <c r="Q55" s="1"/>
      <c r="R55" s="5">
        <f t="shared" si="36"/>
        <v>0</v>
      </c>
      <c r="S55" s="1"/>
      <c r="T55" s="1">
        <f>SUM(OSRRefT22_11x_0)</f>
        <v>39</v>
      </c>
      <c r="U55" s="1"/>
      <c r="V55" s="5">
        <f t="shared" si="37"/>
        <v>0</v>
      </c>
      <c r="W55" s="1"/>
      <c r="X55" s="1">
        <f t="shared" si="38"/>
        <v>-39</v>
      </c>
      <c r="Y55" s="1"/>
      <c r="Z55" s="5">
        <f t="shared" si="39"/>
        <v>-1</v>
      </c>
    </row>
    <row r="56" spans="1:26" s="23" customFormat="1" hidden="1" outlineLevel="2" x14ac:dyDescent="0.25">
      <c r="A56" s="25"/>
      <c r="B56" s="10" t="str">
        <f>CONCATENATE("          ", "6258", " - ", "MEMBERSHIP DUES")</f>
        <v xml:space="preserve">          6258 - MEMBERSHIP DUES</v>
      </c>
      <c r="C56" s="10"/>
      <c r="D56" s="6"/>
      <c r="E56" s="2"/>
      <c r="F56" s="7">
        <f t="shared" si="32"/>
        <v>0</v>
      </c>
      <c r="G56" s="2"/>
      <c r="H56" s="6"/>
      <c r="I56" s="2"/>
      <c r="J56" s="7">
        <f t="shared" si="33"/>
        <v>0</v>
      </c>
      <c r="K56" s="2"/>
      <c r="L56" s="6">
        <f t="shared" si="34"/>
        <v>0</v>
      </c>
      <c r="M56" s="2"/>
      <c r="N56" s="7">
        <f t="shared" si="35"/>
        <v>0</v>
      </c>
      <c r="O56" s="10"/>
      <c r="P56" s="6"/>
      <c r="Q56" s="2"/>
      <c r="R56" s="7">
        <f t="shared" si="36"/>
        <v>0</v>
      </c>
      <c r="S56" s="2"/>
      <c r="T56" s="6">
        <v>39</v>
      </c>
      <c r="U56" s="2"/>
      <c r="V56" s="7">
        <f t="shared" si="37"/>
        <v>0</v>
      </c>
      <c r="W56" s="2"/>
      <c r="X56" s="6">
        <f t="shared" si="38"/>
        <v>-39</v>
      </c>
      <c r="Y56" s="2"/>
      <c r="Z56" s="7">
        <f t="shared" si="39"/>
        <v>-1</v>
      </c>
    </row>
    <row r="57" spans="1:26" s="27" customFormat="1" outlineLevel="1" collapsed="1" x14ac:dyDescent="0.25">
      <c r="A57" s="26"/>
      <c r="B57" s="12" t="str">
        <f>CONCATENATE("     ","Supplies                                          ")</f>
        <v xml:space="preserve">     Supplies                                          </v>
      </c>
      <c r="C57" s="12"/>
      <c r="D57" s="1">
        <f>SUM(OSRRefD22_12x_0)</f>
        <v>15.41</v>
      </c>
      <c r="E57" s="1"/>
      <c r="F57" s="5">
        <f t="shared" si="32"/>
        <v>0</v>
      </c>
      <c r="G57" s="1"/>
      <c r="H57" s="1">
        <f>SUM(OSRRefH22_12x_0)</f>
        <v>0</v>
      </c>
      <c r="I57" s="1"/>
      <c r="J57" s="5">
        <f t="shared" si="33"/>
        <v>0</v>
      </c>
      <c r="K57" s="1"/>
      <c r="L57" s="1">
        <f t="shared" si="34"/>
        <v>15.41</v>
      </c>
      <c r="M57" s="1"/>
      <c r="N57" s="5">
        <f t="shared" si="35"/>
        <v>0</v>
      </c>
      <c r="O57" s="12"/>
      <c r="P57" s="1">
        <f>SUM(OSRRefP22_12x_0)</f>
        <v>2099.1</v>
      </c>
      <c r="Q57" s="1"/>
      <c r="R57" s="5">
        <f t="shared" si="36"/>
        <v>0</v>
      </c>
      <c r="S57" s="1"/>
      <c r="T57" s="1">
        <f>SUM(OSRRefT22_12x_0)</f>
        <v>6840.7699999999995</v>
      </c>
      <c r="U57" s="1"/>
      <c r="V57" s="5">
        <f t="shared" si="37"/>
        <v>0</v>
      </c>
      <c r="W57" s="1"/>
      <c r="X57" s="1">
        <f t="shared" si="38"/>
        <v>-4741.67</v>
      </c>
      <c r="Y57" s="1"/>
      <c r="Z57" s="5">
        <f t="shared" si="39"/>
        <v>-0.69314857830331966</v>
      </c>
    </row>
    <row r="58" spans="1:26" s="23" customFormat="1" hidden="1" outlineLevel="2" x14ac:dyDescent="0.25">
      <c r="A58" s="25"/>
      <c r="B58" s="10" t="str">
        <f>CONCATENATE("          ", "6235", " - ", "COVID-19 EXPENSES")</f>
        <v xml:space="preserve">          6235 - COVID-19 EXPENSES</v>
      </c>
      <c r="C58" s="10"/>
      <c r="D58" s="6"/>
      <c r="E58" s="2"/>
      <c r="F58" s="7">
        <f t="shared" si="32"/>
        <v>0</v>
      </c>
      <c r="G58" s="2"/>
      <c r="H58" s="6"/>
      <c r="I58" s="2"/>
      <c r="J58" s="7">
        <f t="shared" si="33"/>
        <v>0</v>
      </c>
      <c r="K58" s="2"/>
      <c r="L58" s="6">
        <f t="shared" si="34"/>
        <v>0</v>
      </c>
      <c r="M58" s="2"/>
      <c r="N58" s="7">
        <f t="shared" si="35"/>
        <v>0</v>
      </c>
      <c r="O58" s="10"/>
      <c r="P58" s="6">
        <v>426.66</v>
      </c>
      <c r="Q58" s="2"/>
      <c r="R58" s="7">
        <f t="shared" si="36"/>
        <v>0</v>
      </c>
      <c r="S58" s="2"/>
      <c r="T58" s="6"/>
      <c r="U58" s="2"/>
      <c r="V58" s="7">
        <f t="shared" si="37"/>
        <v>0</v>
      </c>
      <c r="W58" s="2"/>
      <c r="X58" s="6">
        <f t="shared" si="38"/>
        <v>426.66</v>
      </c>
      <c r="Y58" s="2"/>
      <c r="Z58" s="7">
        <f t="shared" si="39"/>
        <v>0</v>
      </c>
    </row>
    <row r="59" spans="1:26" s="23" customFormat="1" hidden="1" outlineLevel="2" x14ac:dyDescent="0.25">
      <c r="A59" s="25"/>
      <c r="B59" s="10" t="str">
        <f>CONCATENATE("          ", "6241", " - ", "OFFICE EXPENSE")</f>
        <v xml:space="preserve">          6241 - OFFICE EXPENSE</v>
      </c>
      <c r="C59" s="10"/>
      <c r="D59" s="6">
        <v>15.41</v>
      </c>
      <c r="E59" s="2"/>
      <c r="F59" s="7">
        <f t="shared" si="32"/>
        <v>0</v>
      </c>
      <c r="G59" s="2"/>
      <c r="H59" s="6"/>
      <c r="I59" s="2"/>
      <c r="J59" s="7">
        <f t="shared" si="33"/>
        <v>0</v>
      </c>
      <c r="K59" s="2"/>
      <c r="L59" s="6">
        <f t="shared" si="34"/>
        <v>15.41</v>
      </c>
      <c r="M59" s="2"/>
      <c r="N59" s="7">
        <f t="shared" si="35"/>
        <v>0</v>
      </c>
      <c r="O59" s="10"/>
      <c r="P59" s="6">
        <v>1672.44</v>
      </c>
      <c r="Q59" s="2"/>
      <c r="R59" s="7">
        <f t="shared" si="36"/>
        <v>0</v>
      </c>
      <c r="S59" s="2"/>
      <c r="T59" s="6">
        <v>6177.86</v>
      </c>
      <c r="U59" s="2"/>
      <c r="V59" s="7">
        <f t="shared" si="37"/>
        <v>0</v>
      </c>
      <c r="W59" s="2"/>
      <c r="X59" s="6">
        <f t="shared" si="38"/>
        <v>-4505.42</v>
      </c>
      <c r="Y59" s="2"/>
      <c r="Z59" s="7">
        <f t="shared" si="39"/>
        <v>-0.72928489800675322</v>
      </c>
    </row>
    <row r="60" spans="1:26" s="23" customFormat="1" hidden="1" outlineLevel="2" x14ac:dyDescent="0.25">
      <c r="A60" s="25"/>
      <c r="B60" s="10" t="str">
        <f>CONCATENATE("          ", "6245", " - ", "PRINTING")</f>
        <v xml:space="preserve">          6245 - PRINTING</v>
      </c>
      <c r="C60" s="10"/>
      <c r="D60" s="6"/>
      <c r="E60" s="2"/>
      <c r="F60" s="7">
        <f t="shared" si="32"/>
        <v>0</v>
      </c>
      <c r="G60" s="2"/>
      <c r="H60" s="6"/>
      <c r="I60" s="2"/>
      <c r="J60" s="7">
        <f t="shared" si="33"/>
        <v>0</v>
      </c>
      <c r="K60" s="2"/>
      <c r="L60" s="6">
        <f t="shared" si="34"/>
        <v>0</v>
      </c>
      <c r="M60" s="2"/>
      <c r="N60" s="7">
        <f t="shared" si="35"/>
        <v>0</v>
      </c>
      <c r="O60" s="10"/>
      <c r="P60" s="6"/>
      <c r="Q60" s="2"/>
      <c r="R60" s="7">
        <f t="shared" si="36"/>
        <v>0</v>
      </c>
      <c r="S60" s="2"/>
      <c r="T60" s="6">
        <v>662.91</v>
      </c>
      <c r="U60" s="2"/>
      <c r="V60" s="7">
        <f t="shared" si="37"/>
        <v>0</v>
      </c>
      <c r="W60" s="2"/>
      <c r="X60" s="6">
        <f t="shared" si="38"/>
        <v>-662.91</v>
      </c>
      <c r="Y60" s="2"/>
      <c r="Z60" s="7">
        <f t="shared" si="39"/>
        <v>-1</v>
      </c>
    </row>
    <row r="61" spans="1:26" s="27" customFormat="1" outlineLevel="1" collapsed="1" x14ac:dyDescent="0.25">
      <c r="A61" s="26"/>
      <c r="B61" s="12" t="str">
        <f>CONCATENATE("     ","Telephone/Data Lines                              ")</f>
        <v xml:space="preserve">     Telephone/Data Lines                              </v>
      </c>
      <c r="C61" s="12"/>
      <c r="D61" s="1">
        <f>SUM(OSRRefD22_13x_0)</f>
        <v>495.6</v>
      </c>
      <c r="E61" s="1"/>
      <c r="F61" s="5">
        <f t="shared" ref="F61:F66" si="40">IF(D$12=0,0,D61/D$12)</f>
        <v>0</v>
      </c>
      <c r="G61" s="1"/>
      <c r="H61" s="1">
        <f>SUM(OSRRefH22_13x_0)</f>
        <v>59.5</v>
      </c>
      <c r="I61" s="1"/>
      <c r="J61" s="5">
        <f t="shared" ref="J61:J66" si="41">IF(H$12=0,0,H61/H$12)</f>
        <v>0</v>
      </c>
      <c r="K61" s="1"/>
      <c r="L61" s="1">
        <f t="shared" ref="L61:L66" si="42">+D61-H61</f>
        <v>436.1</v>
      </c>
      <c r="M61" s="1"/>
      <c r="N61" s="5">
        <f t="shared" ref="N61:N66" si="43">IF(H61=0,0,L61/H61)</f>
        <v>7.329411764705883</v>
      </c>
      <c r="O61" s="12"/>
      <c r="P61" s="1">
        <f>SUM(OSRRefP22_13x_0)</f>
        <v>6068.93</v>
      </c>
      <c r="Q61" s="1"/>
      <c r="R61" s="5">
        <f t="shared" ref="R61:R66" si="44">IF(P$12=0,0,P61/P$12)</f>
        <v>0</v>
      </c>
      <c r="S61" s="1"/>
      <c r="T61" s="1">
        <f>SUM(OSRRefT22_13x_0)</f>
        <v>4605.8900000000003</v>
      </c>
      <c r="U61" s="1"/>
      <c r="V61" s="5">
        <f t="shared" ref="V61:V66" si="45">IF(T$12=0,0,T61/T$12)</f>
        <v>0</v>
      </c>
      <c r="W61" s="1"/>
      <c r="X61" s="1">
        <f t="shared" ref="X61:X66" si="46">+P61-T61</f>
        <v>1463.04</v>
      </c>
      <c r="Y61" s="1"/>
      <c r="Z61" s="5">
        <f t="shared" ref="Z61:Z66" si="47">IF(T61=0,0,X61/T61)</f>
        <v>0.31764544963079877</v>
      </c>
    </row>
    <row r="62" spans="1:26" s="23" customFormat="1" hidden="1" outlineLevel="2" x14ac:dyDescent="0.25">
      <c r="A62" s="25"/>
      <c r="B62" s="10" t="str">
        <f>CONCATENATE("          ", "6309", " - ", "TELEPHONE")</f>
        <v xml:space="preserve">          6309 - TELEPHONE</v>
      </c>
      <c r="C62" s="10"/>
      <c r="D62" s="6">
        <v>495.6</v>
      </c>
      <c r="E62" s="2"/>
      <c r="F62" s="7">
        <f t="shared" si="40"/>
        <v>0</v>
      </c>
      <c r="G62" s="2"/>
      <c r="H62" s="6">
        <v>59.5</v>
      </c>
      <c r="I62" s="2"/>
      <c r="J62" s="7">
        <f t="shared" si="41"/>
        <v>0</v>
      </c>
      <c r="K62" s="2"/>
      <c r="L62" s="6">
        <f t="shared" si="42"/>
        <v>436.1</v>
      </c>
      <c r="M62" s="2"/>
      <c r="N62" s="7">
        <f t="shared" si="43"/>
        <v>7.329411764705883</v>
      </c>
      <c r="O62" s="10"/>
      <c r="P62" s="6">
        <v>6068.93</v>
      </c>
      <c r="Q62" s="2"/>
      <c r="R62" s="7">
        <f t="shared" si="44"/>
        <v>0</v>
      </c>
      <c r="S62" s="2"/>
      <c r="T62" s="6">
        <v>4605.8900000000003</v>
      </c>
      <c r="U62" s="2"/>
      <c r="V62" s="7">
        <f t="shared" si="45"/>
        <v>0</v>
      </c>
      <c r="W62" s="2"/>
      <c r="X62" s="6">
        <f t="shared" si="46"/>
        <v>1463.04</v>
      </c>
      <c r="Y62" s="2"/>
      <c r="Z62" s="7">
        <f t="shared" si="47"/>
        <v>0.31764544963079877</v>
      </c>
    </row>
    <row r="63" spans="1:26" s="27" customFormat="1" outlineLevel="1" collapsed="1" x14ac:dyDescent="0.25">
      <c r="A63" s="26"/>
      <c r="B63" s="12" t="str">
        <f>CONCATENATE("     ","Training                                          ")</f>
        <v xml:space="preserve">     Training                                          </v>
      </c>
      <c r="C63" s="12"/>
      <c r="D63" s="1">
        <f>SUM(OSRRefD22_14x_0)</f>
        <v>0</v>
      </c>
      <c r="E63" s="1"/>
      <c r="F63" s="5">
        <f t="shared" si="40"/>
        <v>0</v>
      </c>
      <c r="G63" s="1"/>
      <c r="H63" s="1">
        <f>SUM(OSRRefH22_14x_0)</f>
        <v>0</v>
      </c>
      <c r="I63" s="1"/>
      <c r="J63" s="5">
        <f t="shared" si="41"/>
        <v>0</v>
      </c>
      <c r="K63" s="1"/>
      <c r="L63" s="1">
        <f t="shared" si="42"/>
        <v>0</v>
      </c>
      <c r="M63" s="1"/>
      <c r="N63" s="5">
        <f t="shared" si="43"/>
        <v>0</v>
      </c>
      <c r="O63" s="12"/>
      <c r="P63" s="1">
        <f>SUM(OSRRefP22_14x_0)</f>
        <v>548</v>
      </c>
      <c r="Q63" s="1"/>
      <c r="R63" s="5">
        <f t="shared" si="44"/>
        <v>0</v>
      </c>
      <c r="S63" s="1"/>
      <c r="T63" s="1">
        <f>SUM(OSRRefT22_14x_0)</f>
        <v>400.18</v>
      </c>
      <c r="U63" s="1"/>
      <c r="V63" s="5">
        <f t="shared" si="45"/>
        <v>0</v>
      </c>
      <c r="W63" s="1"/>
      <c r="X63" s="1">
        <f t="shared" si="46"/>
        <v>147.82</v>
      </c>
      <c r="Y63" s="1"/>
      <c r="Z63" s="5">
        <f t="shared" si="47"/>
        <v>0.36938377730021488</v>
      </c>
    </row>
    <row r="64" spans="1:26" s="23" customFormat="1" hidden="1" outlineLevel="2" x14ac:dyDescent="0.25">
      <c r="A64" s="25"/>
      <c r="B64" s="10" t="str">
        <f>CONCATENATE("          ", "6376", " - ", "TRAINING")</f>
        <v xml:space="preserve">          6376 - TRAINING</v>
      </c>
      <c r="C64" s="10"/>
      <c r="D64" s="6"/>
      <c r="E64" s="2"/>
      <c r="F64" s="7">
        <f t="shared" si="40"/>
        <v>0</v>
      </c>
      <c r="G64" s="2"/>
      <c r="H64" s="6"/>
      <c r="I64" s="2"/>
      <c r="J64" s="7">
        <f t="shared" si="41"/>
        <v>0</v>
      </c>
      <c r="K64" s="2"/>
      <c r="L64" s="6">
        <f t="shared" si="42"/>
        <v>0</v>
      </c>
      <c r="M64" s="2"/>
      <c r="N64" s="7">
        <f t="shared" si="43"/>
        <v>0</v>
      </c>
      <c r="O64" s="10"/>
      <c r="P64" s="6">
        <v>548</v>
      </c>
      <c r="Q64" s="2"/>
      <c r="R64" s="7">
        <f t="shared" si="44"/>
        <v>0</v>
      </c>
      <c r="S64" s="2"/>
      <c r="T64" s="6">
        <v>400.18</v>
      </c>
      <c r="U64" s="2"/>
      <c r="V64" s="7">
        <f t="shared" si="45"/>
        <v>0</v>
      </c>
      <c r="W64" s="2"/>
      <c r="X64" s="6">
        <f t="shared" si="46"/>
        <v>147.82</v>
      </c>
      <c r="Y64" s="2"/>
      <c r="Z64" s="7">
        <f t="shared" si="47"/>
        <v>0.36938377730021488</v>
      </c>
    </row>
    <row r="65" spans="1:26" s="27" customFormat="1" outlineLevel="1" collapsed="1" x14ac:dyDescent="0.25">
      <c r="A65" s="26"/>
      <c r="B65" s="12" t="str">
        <f>CONCATENATE("     ","Travel                                            ")</f>
        <v xml:space="preserve">     Travel                                            </v>
      </c>
      <c r="C65" s="12"/>
      <c r="D65" s="1">
        <f>SUM(OSRRefD22_15x_0)</f>
        <v>0</v>
      </c>
      <c r="E65" s="1"/>
      <c r="F65" s="5">
        <f t="shared" si="40"/>
        <v>0</v>
      </c>
      <c r="G65" s="1"/>
      <c r="H65" s="1">
        <f>SUM(OSRRefH22_15x_0)</f>
        <v>0</v>
      </c>
      <c r="I65" s="1"/>
      <c r="J65" s="5">
        <f t="shared" si="41"/>
        <v>0</v>
      </c>
      <c r="K65" s="1"/>
      <c r="L65" s="1">
        <f t="shared" si="42"/>
        <v>0</v>
      </c>
      <c r="M65" s="1"/>
      <c r="N65" s="5">
        <f t="shared" si="43"/>
        <v>0</v>
      </c>
      <c r="O65" s="12"/>
      <c r="P65" s="1">
        <f>SUM(OSRRefP22_15x_0)</f>
        <v>88.72</v>
      </c>
      <c r="Q65" s="1"/>
      <c r="R65" s="5">
        <f t="shared" si="44"/>
        <v>0</v>
      </c>
      <c r="S65" s="1"/>
      <c r="T65" s="1">
        <f>SUM(OSRRefT22_15x_0)</f>
        <v>0</v>
      </c>
      <c r="U65" s="1"/>
      <c r="V65" s="5">
        <f t="shared" si="45"/>
        <v>0</v>
      </c>
      <c r="W65" s="1"/>
      <c r="X65" s="1">
        <f t="shared" si="46"/>
        <v>88.72</v>
      </c>
      <c r="Y65" s="1"/>
      <c r="Z65" s="5">
        <f t="shared" si="47"/>
        <v>0</v>
      </c>
    </row>
    <row r="66" spans="1:26" s="23" customFormat="1" hidden="1" outlineLevel="2" x14ac:dyDescent="0.25">
      <c r="A66" s="25"/>
      <c r="B66" s="10" t="str">
        <f>CONCATENATE("          ", "6294", " - ", "TRAVEL OPERATIONAL")</f>
        <v xml:space="preserve">          6294 - TRAVEL OPERATIONAL</v>
      </c>
      <c r="C66" s="10"/>
      <c r="D66" s="6"/>
      <c r="E66" s="2"/>
      <c r="F66" s="7">
        <f t="shared" si="40"/>
        <v>0</v>
      </c>
      <c r="G66" s="2"/>
      <c r="H66" s="6"/>
      <c r="I66" s="2"/>
      <c r="J66" s="7">
        <f t="shared" si="41"/>
        <v>0</v>
      </c>
      <c r="K66" s="2"/>
      <c r="L66" s="6">
        <f t="shared" si="42"/>
        <v>0</v>
      </c>
      <c r="M66" s="2"/>
      <c r="N66" s="7">
        <f t="shared" si="43"/>
        <v>0</v>
      </c>
      <c r="O66" s="10"/>
      <c r="P66" s="6">
        <v>88.72</v>
      </c>
      <c r="Q66" s="2"/>
      <c r="R66" s="7">
        <f t="shared" si="44"/>
        <v>0</v>
      </c>
      <c r="S66" s="2"/>
      <c r="T66" s="6"/>
      <c r="U66" s="2"/>
      <c r="V66" s="7">
        <f t="shared" si="45"/>
        <v>0</v>
      </c>
      <c r="W66" s="2"/>
      <c r="X66" s="6">
        <f t="shared" si="46"/>
        <v>88.72</v>
      </c>
      <c r="Y66" s="2"/>
      <c r="Z66" s="7">
        <f t="shared" si="47"/>
        <v>0</v>
      </c>
    </row>
    <row r="67" spans="1:26" s="52" customFormat="1" x14ac:dyDescent="0.25">
      <c r="A67" s="37"/>
      <c r="B67" s="37"/>
      <c r="C67" s="37"/>
      <c r="D67" s="1"/>
      <c r="E67" s="1"/>
      <c r="F67" s="5"/>
      <c r="G67" s="1"/>
      <c r="H67" s="1"/>
      <c r="I67" s="1"/>
      <c r="J67" s="5"/>
      <c r="K67" s="1"/>
      <c r="L67" s="1"/>
      <c r="M67" s="1"/>
      <c r="N67" s="5"/>
      <c r="O67" s="37"/>
      <c r="P67" s="1"/>
      <c r="Q67" s="1"/>
      <c r="R67" s="5"/>
      <c r="S67" s="1"/>
      <c r="T67" s="1"/>
      <c r="U67" s="1"/>
      <c r="V67" s="5"/>
      <c r="W67" s="1"/>
      <c r="X67" s="1"/>
      <c r="Y67" s="1"/>
      <c r="Z67" s="5"/>
    </row>
    <row r="68" spans="1:26" s="24" customFormat="1" x14ac:dyDescent="0.25">
      <c r="A68" s="11"/>
      <c r="B68" s="29" t="s">
        <v>292</v>
      </c>
      <c r="C68" s="11"/>
      <c r="D68" s="4">
        <f>SUM(0)</f>
        <v>0</v>
      </c>
      <c r="E68" s="4"/>
      <c r="F68" s="13">
        <f>IF(D$12=0,0,D68/D$12)</f>
        <v>0</v>
      </c>
      <c r="G68" s="4"/>
      <c r="H68" s="4">
        <f>SUM(0)</f>
        <v>0</v>
      </c>
      <c r="I68" s="4"/>
      <c r="J68" s="13">
        <f>IF(H$12=0,0,H68/H$12)</f>
        <v>0</v>
      </c>
      <c r="K68" s="4"/>
      <c r="L68" s="4">
        <f>+D68-H68</f>
        <v>0</v>
      </c>
      <c r="M68" s="4"/>
      <c r="N68" s="13">
        <f>IF(H68=0,0,L68/H68)</f>
        <v>0</v>
      </c>
      <c r="O68" s="11"/>
      <c r="P68" s="4">
        <f>SUM(0)</f>
        <v>0</v>
      </c>
      <c r="Q68" s="4"/>
      <c r="R68" s="13">
        <f>IF(P$12=0,0,P68/P$12)</f>
        <v>0</v>
      </c>
      <c r="S68" s="4"/>
      <c r="T68" s="4">
        <f>SUM(0)</f>
        <v>0</v>
      </c>
      <c r="U68" s="4"/>
      <c r="V68" s="13">
        <f>IF(T$12=0,0,T68/T$12)</f>
        <v>0</v>
      </c>
      <c r="W68" s="4"/>
      <c r="X68" s="4">
        <f>+P68-T68</f>
        <v>0</v>
      </c>
      <c r="Y68" s="4"/>
      <c r="Z68" s="13">
        <f>IF(T68=0,0,X68/T68)</f>
        <v>0</v>
      </c>
    </row>
    <row r="69" spans="1:26" x14ac:dyDescent="0.25">
      <c r="A69" s="9"/>
      <c r="B69" s="11"/>
      <c r="C69" s="11"/>
      <c r="D69" s="3"/>
      <c r="E69" s="3"/>
      <c r="F69" s="8"/>
      <c r="G69" s="3"/>
      <c r="H69" s="3"/>
      <c r="I69" s="3"/>
      <c r="J69" s="8"/>
      <c r="K69" s="3"/>
      <c r="L69" s="3"/>
      <c r="M69" s="3"/>
      <c r="N69" s="8"/>
      <c r="O69" s="11"/>
      <c r="P69" s="3"/>
      <c r="Q69" s="3"/>
      <c r="R69" s="8"/>
      <c r="S69" s="3"/>
      <c r="T69" s="3"/>
      <c r="U69" s="3"/>
      <c r="V69" s="8"/>
      <c r="W69" s="3"/>
      <c r="X69" s="3"/>
      <c r="Y69" s="3"/>
      <c r="Z69" s="8"/>
    </row>
    <row r="70" spans="1:26" s="24" customFormat="1" x14ac:dyDescent="0.25">
      <c r="A70" s="11"/>
      <c r="B70" s="28" t="s">
        <v>276</v>
      </c>
      <c r="C70" s="28"/>
      <c r="D70" s="21">
        <f>+D16-D18+D68</f>
        <v>-37925.810000000005</v>
      </c>
      <c r="E70" s="14"/>
      <c r="F70" s="22">
        <f>IF(D$12=0,0,D70/D$12)</f>
        <v>0</v>
      </c>
      <c r="G70" s="14"/>
      <c r="H70" s="21">
        <f>+H16-H18+H68</f>
        <v>-28987.14</v>
      </c>
      <c r="I70" s="14"/>
      <c r="J70" s="22">
        <f>IF(H$12=0,0,H70/H$12)</f>
        <v>0</v>
      </c>
      <c r="K70" s="15"/>
      <c r="L70" s="21">
        <f>+D70-H70</f>
        <v>-8938.6700000000055</v>
      </c>
      <c r="M70" s="15"/>
      <c r="N70" s="22">
        <f>IF(H70=0,0,L70/H70)</f>
        <v>0.30836674470127118</v>
      </c>
      <c r="O70" s="29"/>
      <c r="P70" s="21">
        <f>+P16-P18+P68</f>
        <v>-491918.74999999994</v>
      </c>
      <c r="Q70" s="14"/>
      <c r="R70" s="22">
        <f>IF(P$12=0,0,P70/P$12)</f>
        <v>0</v>
      </c>
      <c r="S70" s="14"/>
      <c r="T70" s="21">
        <f>+T16-T18+T68</f>
        <v>-565424.47</v>
      </c>
      <c r="U70" s="14"/>
      <c r="V70" s="22">
        <f>IF(T$12=0,0,T70/T$12)</f>
        <v>0</v>
      </c>
      <c r="W70" s="15"/>
      <c r="X70" s="21">
        <f>+P70-T70</f>
        <v>73505.72000000003</v>
      </c>
      <c r="Y70" s="15"/>
      <c r="Z70" s="22">
        <f>IF(T70=0,0,X70/T70)</f>
        <v>-0.13000095308927828</v>
      </c>
    </row>
    <row r="71" spans="1:26" x14ac:dyDescent="0.25">
      <c r="A71" s="9"/>
      <c r="B71" s="11"/>
      <c r="C71" s="9"/>
      <c r="D71" s="3"/>
      <c r="E71" s="3"/>
      <c r="F71" s="8"/>
      <c r="G71" s="3"/>
      <c r="H71" s="3"/>
      <c r="I71" s="3"/>
      <c r="J71" s="8"/>
      <c r="K71" s="3"/>
      <c r="L71" s="3"/>
      <c r="M71" s="3"/>
      <c r="N71" s="8"/>
      <c r="P71" s="3"/>
      <c r="Q71" s="3"/>
      <c r="R71" s="8"/>
      <c r="S71" s="3"/>
      <c r="T71" s="3"/>
      <c r="U71" s="3"/>
      <c r="V71" s="8"/>
      <c r="W71" s="3"/>
      <c r="X71" s="3"/>
      <c r="Y71" s="3"/>
      <c r="Z71" s="8"/>
    </row>
    <row r="72" spans="1:26" s="24" customFormat="1" x14ac:dyDescent="0.25">
      <c r="A72" s="51"/>
      <c r="B72" s="11" t="s">
        <v>127</v>
      </c>
      <c r="C72" s="11"/>
      <c r="D72" s="4"/>
      <c r="E72" s="4"/>
      <c r="F72" s="13">
        <f>IF(D$12=0,0,D72/D$12)</f>
        <v>0</v>
      </c>
      <c r="G72" s="4"/>
      <c r="H72" s="4"/>
      <c r="I72" s="4"/>
      <c r="J72" s="13">
        <f>IF(H$12=0,0,H72/H$12)</f>
        <v>0</v>
      </c>
      <c r="K72" s="4"/>
      <c r="L72" s="4">
        <f>+D72-H72</f>
        <v>0</v>
      </c>
      <c r="M72" s="4"/>
      <c r="N72" s="13">
        <f>IF(H72=0,0,L72/H72)</f>
        <v>0</v>
      </c>
      <c r="O72" s="11"/>
      <c r="P72" s="4"/>
      <c r="Q72" s="4"/>
      <c r="R72" s="13">
        <f>IF(P$12=0,0,P72/P$12)</f>
        <v>0</v>
      </c>
      <c r="S72" s="4"/>
      <c r="T72" s="4"/>
      <c r="U72" s="4"/>
      <c r="V72" s="13">
        <f>IF(T$12=0,0,T72/T$12)</f>
        <v>0</v>
      </c>
      <c r="W72" s="4"/>
      <c r="X72" s="4">
        <f>+P72-T72</f>
        <v>0</v>
      </c>
      <c r="Y72" s="4"/>
      <c r="Z72" s="13">
        <f>IF(T72=0,0,X72/T72)</f>
        <v>0</v>
      </c>
    </row>
    <row r="73" spans="1:26" x14ac:dyDescent="0.25">
      <c r="A73" s="9"/>
      <c r="B73" s="11"/>
      <c r="C73" s="11"/>
      <c r="D73" s="3"/>
      <c r="E73" s="3"/>
      <c r="F73" s="8"/>
      <c r="G73" s="3"/>
      <c r="H73" s="3"/>
      <c r="I73" s="3"/>
      <c r="J73" s="8"/>
      <c r="K73" s="3"/>
      <c r="L73" s="3"/>
      <c r="M73" s="3"/>
      <c r="N73" s="8"/>
      <c r="O73" s="11"/>
      <c r="P73" s="3"/>
      <c r="Q73" s="3"/>
      <c r="R73" s="8"/>
      <c r="S73" s="3"/>
      <c r="T73" s="3"/>
      <c r="U73" s="3"/>
      <c r="V73" s="8"/>
      <c r="W73" s="3"/>
      <c r="X73" s="3"/>
      <c r="Y73" s="3"/>
      <c r="Z73" s="8"/>
    </row>
    <row r="74" spans="1:26" s="24" customFormat="1" ht="15.75" thickBot="1" x14ac:dyDescent="0.3">
      <c r="A74" s="11"/>
      <c r="B74" s="28" t="s">
        <v>125</v>
      </c>
      <c r="C74" s="28"/>
      <c r="D74" s="34">
        <f>+D70-D72</f>
        <v>-37925.810000000005</v>
      </c>
      <c r="E74" s="14"/>
      <c r="F74" s="31">
        <f>IF(D$12=0,0,D74/D$12)</f>
        <v>0</v>
      </c>
      <c r="G74" s="14"/>
      <c r="H74" s="34">
        <f>+H70-H72</f>
        <v>-28987.14</v>
      </c>
      <c r="I74" s="14"/>
      <c r="J74" s="31">
        <f>IF(H$12=0,0,H74/H$12)</f>
        <v>0</v>
      </c>
      <c r="K74" s="15"/>
      <c r="L74" s="34">
        <f>D74-H74</f>
        <v>-8938.6700000000055</v>
      </c>
      <c r="M74" s="15"/>
      <c r="N74" s="31">
        <f>IF(H74=0,0,L74/H74)</f>
        <v>0.30836674470127118</v>
      </c>
      <c r="O74" s="29"/>
      <c r="P74" s="34">
        <f>+P70-P72</f>
        <v>-491918.74999999994</v>
      </c>
      <c r="Q74" s="14"/>
      <c r="R74" s="31">
        <f>IF(P$12=0,0,P74/P$12)</f>
        <v>0</v>
      </c>
      <c r="S74" s="14"/>
      <c r="T74" s="34">
        <f>+T70-T72</f>
        <v>-565424.47</v>
      </c>
      <c r="U74" s="14"/>
      <c r="V74" s="31">
        <f>IF(T$12=0,0,T74/T$12)</f>
        <v>0</v>
      </c>
      <c r="W74" s="15"/>
      <c r="X74" s="34">
        <f>P74-T74</f>
        <v>73505.72000000003</v>
      </c>
      <c r="Y74" s="15"/>
      <c r="Z74" s="31">
        <f>IF(T74=0,0,X74/T74)</f>
        <v>-0.13000095308927828</v>
      </c>
    </row>
    <row r="75" spans="1:26" ht="15.75" thickTop="1" x14ac:dyDescent="0.25">
      <c r="A75" s="9"/>
      <c r="B75" s="9"/>
      <c r="C75" s="9"/>
      <c r="D75" s="3"/>
      <c r="E75" s="3"/>
      <c r="F75" s="8"/>
      <c r="G75" s="3"/>
      <c r="H75" s="3"/>
      <c r="I75" s="3"/>
      <c r="J75" s="8"/>
      <c r="K75" s="3"/>
      <c r="L75" s="3"/>
      <c r="M75" s="3"/>
      <c r="N75" s="8"/>
      <c r="P75" s="3"/>
      <c r="Q75" s="3"/>
      <c r="R75" s="8"/>
      <c r="S75" s="3"/>
      <c r="T75" s="3"/>
      <c r="U75" s="3"/>
      <c r="V75" s="8"/>
      <c r="W75" s="3"/>
      <c r="X75" s="3"/>
      <c r="Y75" s="3"/>
      <c r="Z75" s="8"/>
    </row>
    <row r="76" spans="1:26" x14ac:dyDescent="0.25">
      <c r="A76" s="9"/>
      <c r="B76" s="9"/>
      <c r="C76" s="9"/>
      <c r="D76" s="3"/>
      <c r="E76" s="3"/>
      <c r="F76" s="8"/>
      <c r="G76" s="3"/>
      <c r="H76" s="3"/>
      <c r="I76" s="3"/>
      <c r="J76" s="8"/>
      <c r="K76" s="3"/>
      <c r="L76" s="3"/>
      <c r="M76" s="3"/>
      <c r="N76" s="8"/>
      <c r="P76" s="3"/>
      <c r="Q76" s="3"/>
      <c r="R76" s="8"/>
      <c r="S76" s="3"/>
      <c r="T76" s="3"/>
      <c r="U76" s="3"/>
      <c r="V76" s="8"/>
      <c r="W76" s="3"/>
      <c r="X76" s="3"/>
      <c r="Y76" s="3"/>
      <c r="Z76" s="8"/>
    </row>
    <row r="77" spans="1:26" s="24" customFormat="1" ht="15.75" thickBot="1" x14ac:dyDescent="0.3">
      <c r="A77" s="11"/>
      <c r="B77" s="28" t="s">
        <v>293</v>
      </c>
      <c r="C77" s="28"/>
      <c r="D77" s="33">
        <f>SUM(D74:D76)</f>
        <v>-37925.810000000005</v>
      </c>
      <c r="E77" s="14"/>
      <c r="F77" s="35">
        <f>IF(D$12=0,0,D77/D$12)</f>
        <v>0</v>
      </c>
      <c r="G77" s="14"/>
      <c r="H77" s="33">
        <f>SUM(H74:H76)</f>
        <v>-28987.14</v>
      </c>
      <c r="I77" s="14"/>
      <c r="J77" s="35">
        <f>IF(H$12=0,0,H77/H$12)</f>
        <v>0</v>
      </c>
      <c r="K77" s="15"/>
      <c r="L77" s="33">
        <f>+D77-H77</f>
        <v>-8938.6700000000055</v>
      </c>
      <c r="M77" s="15"/>
      <c r="N77" s="35">
        <f>IF(H77=0,0,L77/H77)</f>
        <v>0.30836674470127118</v>
      </c>
      <c r="O77" s="29"/>
      <c r="P77" s="33">
        <f>SUM(P74:P76)</f>
        <v>-491918.74999999994</v>
      </c>
      <c r="Q77" s="14"/>
      <c r="R77" s="35">
        <f>IF(P$12=0,0,P77/P$12)</f>
        <v>0</v>
      </c>
      <c r="S77" s="14"/>
      <c r="T77" s="33">
        <f>SUM(T74:T76)</f>
        <v>-565424.47</v>
      </c>
      <c r="U77" s="14"/>
      <c r="V77" s="35">
        <f>IF(T$12=0,0,T77/T$12)</f>
        <v>0</v>
      </c>
      <c r="W77" s="15"/>
      <c r="X77" s="33">
        <f>+P77-T77</f>
        <v>73505.72000000003</v>
      </c>
      <c r="Y77" s="15"/>
      <c r="Z77" s="35">
        <f>IF(T77=0,0,X77/T77)</f>
        <v>-0.13000095308927828</v>
      </c>
    </row>
    <row r="78" spans="1:26" ht="15.75" thickTop="1" x14ac:dyDescent="0.25">
      <c r="A78" s="9"/>
      <c r="C78" s="9"/>
      <c r="D78" s="18"/>
      <c r="E78" s="18"/>
      <c r="G78" s="18"/>
      <c r="H78" s="18"/>
      <c r="I78" s="18"/>
      <c r="J78" s="43"/>
      <c r="K78" s="18"/>
      <c r="L78" s="18"/>
      <c r="M78" s="18"/>
      <c r="P78" s="18"/>
      <c r="Q78" s="18"/>
      <c r="R78" s="43"/>
      <c r="S78" s="18"/>
      <c r="T78" s="18"/>
      <c r="U78" s="18"/>
      <c r="V78" s="43"/>
      <c r="W78" s="18"/>
      <c r="X78" s="18"/>
    </row>
    <row r="79" spans="1:26" x14ac:dyDescent="0.25">
      <c r="A79" s="9"/>
      <c r="B79" s="56">
        <v>44454.698585613427</v>
      </c>
      <c r="D79" s="18"/>
      <c r="E79" s="18"/>
      <c r="G79" s="18"/>
      <c r="H79" s="18"/>
      <c r="I79" s="18"/>
      <c r="J79" s="43"/>
      <c r="K79" s="18"/>
      <c r="L79" s="18"/>
      <c r="M79" s="18"/>
      <c r="P79" s="18"/>
      <c r="Q79" s="18"/>
      <c r="R79" s="43"/>
      <c r="S79" s="18"/>
      <c r="T79" s="18"/>
      <c r="U79" s="18"/>
      <c r="V79" s="43"/>
      <c r="W79" s="18"/>
      <c r="X79" s="18"/>
    </row>
    <row r="80" spans="1:26" x14ac:dyDescent="0.25">
      <c r="A80" s="9"/>
      <c r="B80" s="55" t="s">
        <v>56</v>
      </c>
      <c r="D80" s="18"/>
      <c r="E80" s="18"/>
      <c r="G80" s="18"/>
      <c r="H80" s="18"/>
      <c r="I80" s="18"/>
      <c r="J80" s="43"/>
      <c r="K80" s="18"/>
      <c r="L80" s="18"/>
      <c r="M80" s="18"/>
      <c r="P80" s="18"/>
      <c r="Q80" s="18"/>
      <c r="R80" s="43"/>
      <c r="S80" s="18"/>
      <c r="T80" s="18"/>
      <c r="U80" s="18"/>
      <c r="V80" s="43"/>
      <c r="W80" s="18"/>
      <c r="X80" s="18"/>
    </row>
    <row r="81" spans="1:24" x14ac:dyDescent="0.25">
      <c r="A81" s="9"/>
      <c r="B81" s="60"/>
      <c r="D81" s="18"/>
      <c r="E81" s="18"/>
      <c r="G81" s="18"/>
      <c r="H81" s="18"/>
      <c r="I81" s="18"/>
      <c r="J81" s="43"/>
      <c r="K81" s="18"/>
      <c r="L81" s="18"/>
      <c r="M81" s="18"/>
      <c r="P81" s="18"/>
      <c r="Q81" s="18"/>
      <c r="R81" s="43"/>
      <c r="S81" s="18"/>
      <c r="T81" s="18"/>
      <c r="U81" s="18"/>
      <c r="V81" s="43"/>
      <c r="W81" s="18"/>
      <c r="X81" s="18"/>
    </row>
    <row r="82" spans="1:24" x14ac:dyDescent="0.25">
      <c r="D82" s="18"/>
      <c r="E82" s="18"/>
      <c r="G82" s="18"/>
      <c r="H82" s="18"/>
      <c r="I82" s="18"/>
      <c r="J82" s="43"/>
      <c r="K82" s="18"/>
      <c r="L82" s="18"/>
      <c r="M82" s="18"/>
      <c r="P82" s="18"/>
      <c r="Q82" s="18"/>
      <c r="R82" s="43"/>
      <c r="S82" s="18"/>
      <c r="T82" s="18"/>
      <c r="U82" s="18"/>
      <c r="V82" s="43"/>
      <c r="W82" s="18"/>
      <c r="X82" s="18"/>
    </row>
  </sheetData>
  <pageMargins left="0.25" right="0.25" top="0.75" bottom="0.75" header="0.3" footer="0.3"/>
  <pageSetup scale="55" fitToWidth="2" orientation="landscape"/>
  <drawing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>
    <tabColor rgb="FF92D050"/>
    <outlinePr summaryBelow="0" summaryRight="0"/>
  </sheetPr>
  <dimension ref="A2:Z86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62" t="s">
        <v>23</v>
      </c>
    </row>
    <row r="3" spans="1:26" x14ac:dyDescent="0.25">
      <c r="D3" s="62" t="s">
        <v>236</v>
      </c>
      <c r="E3" s="17"/>
      <c r="F3" s="46"/>
      <c r="G3" s="17"/>
      <c r="H3" s="17"/>
      <c r="I3" s="17"/>
      <c r="J3" s="38"/>
      <c r="K3" s="17"/>
      <c r="L3" s="17"/>
      <c r="M3" s="17"/>
      <c r="N3" s="46"/>
      <c r="O3" s="53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2" t="str">
        <f>CONCATENATE("Period ",RIGHT(202112,2),", ",2021)</f>
        <v>Period 12, 2021</v>
      </c>
      <c r="E4" s="17"/>
      <c r="F4" s="46"/>
      <c r="G4" s="17"/>
      <c r="H4" s="17"/>
      <c r="I4" s="17"/>
      <c r="J4" s="38"/>
      <c r="K4" s="17"/>
      <c r="L4" s="17"/>
      <c r="M4" s="17"/>
      <c r="N4" s="46"/>
      <c r="O4" s="53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4"/>
      <c r="D5" s="63">
        <v>44377</v>
      </c>
      <c r="E5" s="17"/>
      <c r="F5" s="46"/>
      <c r="G5" s="17"/>
      <c r="H5" s="17"/>
      <c r="I5" s="17"/>
      <c r="J5" s="38"/>
      <c r="K5" s="17"/>
      <c r="L5" s="17"/>
      <c r="M5" s="17"/>
      <c r="N5" s="46"/>
      <c r="O5" s="53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4"/>
      <c r="B6" s="48"/>
      <c r="C6" s="48"/>
      <c r="D6" s="24" t="str">
        <f>CONCATENATE("Department ","203", " - ", "Human Resources")</f>
        <v>Department 203 - Human Resources</v>
      </c>
      <c r="E6" s="17"/>
      <c r="F6" s="46"/>
      <c r="G6" s="17"/>
      <c r="H6" s="17"/>
      <c r="I6" s="17"/>
      <c r="J6" s="38"/>
      <c r="K6" s="17"/>
      <c r="L6" s="17"/>
      <c r="M6" s="17"/>
      <c r="N6" s="46"/>
      <c r="O6" s="54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9"/>
    </row>
    <row r="8" spans="1:26" x14ac:dyDescent="0.25">
      <c r="B8" s="59"/>
    </row>
    <row r="9" spans="1:26" x14ac:dyDescent="0.25">
      <c r="B9" s="9"/>
      <c r="C9" s="9"/>
      <c r="D9" s="16" t="s">
        <v>291</v>
      </c>
      <c r="E9" s="16"/>
      <c r="F9" s="39"/>
      <c r="G9" s="16"/>
      <c r="H9" s="16"/>
      <c r="I9" s="16"/>
      <c r="J9" s="49"/>
      <c r="K9" s="16"/>
      <c r="L9" s="16"/>
      <c r="M9" s="16"/>
      <c r="N9" s="39"/>
      <c r="P9" s="16" t="s">
        <v>39</v>
      </c>
      <c r="Q9" s="16"/>
      <c r="R9" s="39"/>
      <c r="S9" s="16"/>
      <c r="T9" s="16"/>
      <c r="U9" s="16"/>
      <c r="V9" s="49"/>
      <c r="W9" s="16"/>
      <c r="X9" s="16"/>
      <c r="Y9" s="16"/>
      <c r="Z9" s="39"/>
    </row>
    <row r="10" spans="1:26" x14ac:dyDescent="0.25">
      <c r="A10" s="11"/>
      <c r="B10" s="58"/>
      <c r="C10" s="11"/>
      <c r="D10" s="42" t="s">
        <v>57</v>
      </c>
      <c r="E10" s="36"/>
      <c r="F10" s="30" t="s">
        <v>40</v>
      </c>
      <c r="G10" s="36"/>
      <c r="H10" s="50" t="s">
        <v>237</v>
      </c>
      <c r="I10" s="36"/>
      <c r="J10" s="30" t="s">
        <v>40</v>
      </c>
      <c r="K10" s="11"/>
      <c r="L10" s="42" t="s">
        <v>126</v>
      </c>
      <c r="M10" s="11"/>
      <c r="N10" s="30" t="s">
        <v>257</v>
      </c>
      <c r="O10" s="11"/>
      <c r="P10" s="61" t="s">
        <v>57</v>
      </c>
      <c r="Q10" s="36"/>
      <c r="R10" s="30" t="s">
        <v>40</v>
      </c>
      <c r="S10" s="36"/>
      <c r="T10" s="50" t="s">
        <v>237</v>
      </c>
      <c r="U10" s="36"/>
      <c r="V10" s="30" t="s">
        <v>40</v>
      </c>
      <c r="W10" s="11"/>
      <c r="X10" s="42" t="s">
        <v>126</v>
      </c>
      <c r="Y10" s="11"/>
      <c r="Z10" s="30" t="s">
        <v>257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4" customFormat="1" x14ac:dyDescent="0.25">
      <c r="A12" s="11"/>
      <c r="B12" s="29" t="s">
        <v>139</v>
      </c>
      <c r="C12" s="11"/>
      <c r="D12" s="4">
        <f>SUM(0)</f>
        <v>0</v>
      </c>
      <c r="E12" s="4"/>
      <c r="F12" s="13"/>
      <c r="G12" s="4"/>
      <c r="H12" s="4">
        <f>SUM(0)</f>
        <v>0</v>
      </c>
      <c r="I12" s="4"/>
      <c r="J12" s="13"/>
      <c r="K12" s="4"/>
      <c r="L12" s="4">
        <f>+D12-H12</f>
        <v>0</v>
      </c>
      <c r="M12" s="4"/>
      <c r="N12" s="13">
        <f>IF(H12=0,0,L12/H12)</f>
        <v>0</v>
      </c>
      <c r="O12" s="11"/>
      <c r="P12" s="4">
        <f>SUM(0)</f>
        <v>0</v>
      </c>
      <c r="Q12" s="4"/>
      <c r="R12" s="13"/>
      <c r="S12" s="4"/>
      <c r="T12" s="4">
        <f>SUM(0)</f>
        <v>0</v>
      </c>
      <c r="U12" s="4"/>
      <c r="V12" s="13"/>
      <c r="W12" s="4"/>
      <c r="X12" s="4">
        <f>+P12-T12</f>
        <v>0</v>
      </c>
      <c r="Y12" s="4"/>
      <c r="Z12" s="13">
        <f>IF(T12=0,0,X12/T12)</f>
        <v>0</v>
      </c>
    </row>
    <row r="13" spans="1:26" x14ac:dyDescent="0.25">
      <c r="A13" s="9"/>
      <c r="B13" s="11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4" customFormat="1" x14ac:dyDescent="0.25">
      <c r="A14" s="11"/>
      <c r="B14" s="29" t="s">
        <v>256</v>
      </c>
      <c r="C14" s="11"/>
      <c r="D14" s="4">
        <f>SUM(0)</f>
        <v>0</v>
      </c>
      <c r="E14" s="4"/>
      <c r="F14" s="13">
        <f>IF(D$12=0,0,D14/D$12)</f>
        <v>0</v>
      </c>
      <c r="G14" s="4"/>
      <c r="H14" s="4">
        <f>SUM(0)</f>
        <v>0</v>
      </c>
      <c r="I14" s="4"/>
      <c r="J14" s="13">
        <f>IF(H$12=0,0,H14/H$12)</f>
        <v>0</v>
      </c>
      <c r="K14" s="4"/>
      <c r="L14" s="4">
        <f>+D14-H14</f>
        <v>0</v>
      </c>
      <c r="M14" s="4"/>
      <c r="N14" s="13">
        <f>IF(H14=0,0,L14/H14)</f>
        <v>0</v>
      </c>
      <c r="O14" s="11"/>
      <c r="P14" s="4">
        <f>SUM(0)</f>
        <v>0</v>
      </c>
      <c r="Q14" s="4"/>
      <c r="R14" s="13">
        <f>IF(P$12=0,0,P14/P$12)</f>
        <v>0</v>
      </c>
      <c r="S14" s="4"/>
      <c r="T14" s="4">
        <f>SUM(0)</f>
        <v>0</v>
      </c>
      <c r="U14" s="4"/>
      <c r="V14" s="13">
        <f>IF(T$12=0,0,T14/T$12)</f>
        <v>0</v>
      </c>
      <c r="W14" s="4"/>
      <c r="X14" s="4">
        <f>+P14-T14</f>
        <v>0</v>
      </c>
      <c r="Y14" s="4"/>
      <c r="Z14" s="13">
        <f>IF(T14=0,0,X14/T14)</f>
        <v>0</v>
      </c>
    </row>
    <row r="15" spans="1:26" x14ac:dyDescent="0.25">
      <c r="A15" s="9"/>
      <c r="B15" s="11"/>
      <c r="C15" s="11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1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4" customFormat="1" x14ac:dyDescent="0.25">
      <c r="A16" s="11"/>
      <c r="B16" s="28" t="s">
        <v>107</v>
      </c>
      <c r="C16" s="28"/>
      <c r="D16" s="21">
        <f>D12-D14</f>
        <v>0</v>
      </c>
      <c r="E16" s="14"/>
      <c r="F16" s="22">
        <f>IF(D$12=0,0,D16/D$12)</f>
        <v>0</v>
      </c>
      <c r="G16" s="14"/>
      <c r="H16" s="21">
        <f>H12-H14</f>
        <v>0</v>
      </c>
      <c r="I16" s="14"/>
      <c r="J16" s="22">
        <f>IF(H$12=0,0,H16/H$12)</f>
        <v>0</v>
      </c>
      <c r="K16" s="15"/>
      <c r="L16" s="21">
        <f>+D16-H16</f>
        <v>0</v>
      </c>
      <c r="M16" s="15"/>
      <c r="N16" s="22">
        <f>IF(H16=0,0,L16/H16)</f>
        <v>0</v>
      </c>
      <c r="O16" s="29"/>
      <c r="P16" s="21">
        <f>P12-P14</f>
        <v>0</v>
      </c>
      <c r="Q16" s="14"/>
      <c r="R16" s="22">
        <f>IF(P$12=0,0,P16/P$12)</f>
        <v>0</v>
      </c>
      <c r="S16" s="14"/>
      <c r="T16" s="21">
        <f>T12-T14</f>
        <v>0</v>
      </c>
      <c r="U16" s="14"/>
      <c r="V16" s="22">
        <f>IF(T$12=0,0,T16/T$12)</f>
        <v>0</v>
      </c>
      <c r="W16" s="15"/>
      <c r="X16" s="21">
        <f>+P16-T16</f>
        <v>0</v>
      </c>
      <c r="Y16" s="15"/>
      <c r="Z16" s="22">
        <f>IF(T16=0,0,X16/T16)</f>
        <v>0</v>
      </c>
    </row>
    <row r="17" spans="1:26" x14ac:dyDescent="0.25">
      <c r="A17" s="9"/>
      <c r="B17" s="11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4" customFormat="1" x14ac:dyDescent="0.25">
      <c r="A18" s="11"/>
      <c r="B18" s="29" t="s">
        <v>294</v>
      </c>
      <c r="C18" s="11"/>
      <c r="D18" s="20">
        <f>SUM(OSRRefD22x_0)</f>
        <v>570303.8600000001</v>
      </c>
      <c r="E18" s="20"/>
      <c r="F18" s="32">
        <f t="shared" ref="F18:F29" si="0">IF(D$12=0,0,D18/D$12)</f>
        <v>0</v>
      </c>
      <c r="G18" s="20"/>
      <c r="H18" s="20">
        <f>SUM(OSRRefH22x_0)</f>
        <v>43972.88</v>
      </c>
      <c r="I18" s="20"/>
      <c r="J18" s="32">
        <f t="shared" ref="J18:J29" si="1">IF(H$12=0,0,H18/H$12)</f>
        <v>0</v>
      </c>
      <c r="K18" s="4"/>
      <c r="L18" s="20">
        <f t="shared" ref="L18:L29" si="2">+D18-H18</f>
        <v>526330.9800000001</v>
      </c>
      <c r="M18" s="4"/>
      <c r="N18" s="32">
        <f t="shared" ref="N18:N29" si="3">IF(H18=0,0,L18/H18)</f>
        <v>11.969445258077254</v>
      </c>
      <c r="O18" s="11"/>
      <c r="P18" s="20">
        <f>SUM(OSRRefP22x_0)</f>
        <v>1064935.8900000001</v>
      </c>
      <c r="Q18" s="20"/>
      <c r="R18" s="32">
        <f t="shared" ref="R18:R29" si="4">IF(P$12=0,0,P18/P$12)</f>
        <v>0</v>
      </c>
      <c r="S18" s="20"/>
      <c r="T18" s="20">
        <f>SUM(OSRRefT22x_0)</f>
        <v>802300.28000000014</v>
      </c>
      <c r="U18" s="20"/>
      <c r="V18" s="32">
        <f t="shared" ref="V18:V29" si="5">IF(T$12=0,0,T18/T$12)</f>
        <v>0</v>
      </c>
      <c r="W18" s="4"/>
      <c r="X18" s="20">
        <f t="shared" ref="X18:X29" si="6">+P18-T18</f>
        <v>262635.61</v>
      </c>
      <c r="Y18" s="4"/>
      <c r="Z18" s="32">
        <f t="shared" ref="Z18:Z29" si="7">IF(T18=0,0,X18/T18)</f>
        <v>0.32735325731158904</v>
      </c>
    </row>
    <row r="19" spans="1:26" s="27" customFormat="1" outlineLevel="1" collapsed="1" x14ac:dyDescent="0.25">
      <c r="A19" s="26"/>
      <c r="B19" s="12" t="str">
        <f>CONCATENATE("     ","*Benefits                                         ")</f>
        <v xml:space="preserve">     *Benefits                                         </v>
      </c>
      <c r="C19" s="12"/>
      <c r="D19" s="1">
        <f>SUM(OSRRefD22_0x_0)</f>
        <v>522547.65000000008</v>
      </c>
      <c r="E19" s="1"/>
      <c r="F19" s="5">
        <f t="shared" si="0"/>
        <v>0</v>
      </c>
      <c r="G19" s="1"/>
      <c r="H19" s="1">
        <f>SUM(OSRRefH22_0x_0)</f>
        <v>10214.569999999998</v>
      </c>
      <c r="I19" s="1"/>
      <c r="J19" s="5">
        <f t="shared" si="1"/>
        <v>0</v>
      </c>
      <c r="K19" s="1"/>
      <c r="L19" s="1">
        <f t="shared" si="2"/>
        <v>512333.08000000007</v>
      </c>
      <c r="M19" s="1"/>
      <c r="N19" s="5">
        <f t="shared" si="3"/>
        <v>50.157087376169549</v>
      </c>
      <c r="O19" s="12"/>
      <c r="P19" s="1">
        <f>SUM(OSRRefP22_0x_0)</f>
        <v>663627.30000000016</v>
      </c>
      <c r="Q19" s="1"/>
      <c r="R19" s="5">
        <f t="shared" si="4"/>
        <v>0</v>
      </c>
      <c r="S19" s="1"/>
      <c r="T19" s="1">
        <f>SUM(OSRRefT22_0x_0)</f>
        <v>165704.24</v>
      </c>
      <c r="U19" s="1"/>
      <c r="V19" s="5">
        <f t="shared" si="5"/>
        <v>0</v>
      </c>
      <c r="W19" s="1"/>
      <c r="X19" s="1">
        <f t="shared" si="6"/>
        <v>497923.06000000017</v>
      </c>
      <c r="Y19" s="1"/>
      <c r="Z19" s="5">
        <f t="shared" si="7"/>
        <v>3.0048902792107204</v>
      </c>
    </row>
    <row r="20" spans="1:26" s="23" customFormat="1" hidden="1" outlineLevel="2" x14ac:dyDescent="0.25">
      <c r="A20" s="25"/>
      <c r="B20" s="10" t="str">
        <f>CONCATENATE("          ", "6111", " - ", "F.I.C.A.")</f>
        <v xml:space="preserve">          6111 - F.I.C.A.</v>
      </c>
      <c r="C20" s="10"/>
      <c r="D20" s="6">
        <v>2092.3200000000002</v>
      </c>
      <c r="E20" s="2"/>
      <c r="F20" s="7">
        <f t="shared" si="0"/>
        <v>0</v>
      </c>
      <c r="G20" s="2"/>
      <c r="H20" s="6">
        <v>2021.53</v>
      </c>
      <c r="I20" s="2"/>
      <c r="J20" s="7">
        <f t="shared" si="1"/>
        <v>0</v>
      </c>
      <c r="K20" s="2"/>
      <c r="L20" s="6">
        <f t="shared" si="2"/>
        <v>70.790000000000191</v>
      </c>
      <c r="M20" s="2"/>
      <c r="N20" s="7">
        <f t="shared" si="3"/>
        <v>3.5018030897389696E-2</v>
      </c>
      <c r="O20" s="10"/>
      <c r="P20" s="6">
        <v>25547.94</v>
      </c>
      <c r="Q20" s="2"/>
      <c r="R20" s="7">
        <f t="shared" si="4"/>
        <v>0</v>
      </c>
      <c r="S20" s="2"/>
      <c r="T20" s="6">
        <v>26917.62</v>
      </c>
      <c r="U20" s="2"/>
      <c r="V20" s="7">
        <f t="shared" si="5"/>
        <v>0</v>
      </c>
      <c r="W20" s="2"/>
      <c r="X20" s="6">
        <f t="shared" si="6"/>
        <v>-1369.6800000000003</v>
      </c>
      <c r="Y20" s="2"/>
      <c r="Z20" s="7">
        <f t="shared" si="7"/>
        <v>-5.088414206010785E-2</v>
      </c>
    </row>
    <row r="21" spans="1:26" s="23" customFormat="1" hidden="1" outlineLevel="2" x14ac:dyDescent="0.25">
      <c r="A21" s="25"/>
      <c r="B21" s="10" t="str">
        <f>CONCATENATE("          ", "6112", " - ", "COMPENSATION INSURANCE")</f>
        <v xml:space="preserve">          6112 - COMPENSATION INSURANCE</v>
      </c>
      <c r="C21" s="10"/>
      <c r="D21" s="6">
        <v>90.13</v>
      </c>
      <c r="E21" s="2"/>
      <c r="F21" s="7">
        <f t="shared" si="0"/>
        <v>0</v>
      </c>
      <c r="G21" s="2"/>
      <c r="H21" s="6">
        <v>89.45</v>
      </c>
      <c r="I21" s="2"/>
      <c r="J21" s="7">
        <f t="shared" si="1"/>
        <v>0</v>
      </c>
      <c r="K21" s="2"/>
      <c r="L21" s="6">
        <f t="shared" si="2"/>
        <v>0.67999999999999261</v>
      </c>
      <c r="M21" s="2"/>
      <c r="N21" s="7">
        <f t="shared" si="3"/>
        <v>7.6020122973727514E-3</v>
      </c>
      <c r="O21" s="10"/>
      <c r="P21" s="6">
        <v>1108.8800000000001</v>
      </c>
      <c r="Q21" s="2"/>
      <c r="R21" s="7">
        <f t="shared" si="4"/>
        <v>0</v>
      </c>
      <c r="S21" s="2"/>
      <c r="T21" s="6">
        <v>1067.8800000000001</v>
      </c>
      <c r="U21" s="2"/>
      <c r="V21" s="7">
        <f t="shared" si="5"/>
        <v>0</v>
      </c>
      <c r="W21" s="2"/>
      <c r="X21" s="6">
        <f t="shared" si="6"/>
        <v>41</v>
      </c>
      <c r="Y21" s="2"/>
      <c r="Z21" s="7">
        <f t="shared" si="7"/>
        <v>3.8393827021762743E-2</v>
      </c>
    </row>
    <row r="22" spans="1:26" s="23" customFormat="1" hidden="1" outlineLevel="2" x14ac:dyDescent="0.25">
      <c r="A22" s="25"/>
      <c r="B22" s="10" t="str">
        <f>CONCATENATE("          ", "6113", " - ", "GROUP INSURANCE")</f>
        <v xml:space="preserve">          6113 - GROUP INSURANCE</v>
      </c>
      <c r="C22" s="10"/>
      <c r="D22" s="6">
        <v>6060.19</v>
      </c>
      <c r="E22" s="2"/>
      <c r="F22" s="7">
        <f t="shared" si="0"/>
        <v>0</v>
      </c>
      <c r="G22" s="2"/>
      <c r="H22" s="6">
        <v>6091.67</v>
      </c>
      <c r="I22" s="2"/>
      <c r="J22" s="7">
        <f t="shared" si="1"/>
        <v>0</v>
      </c>
      <c r="K22" s="2"/>
      <c r="L22" s="6">
        <f t="shared" si="2"/>
        <v>-31.480000000000473</v>
      </c>
      <c r="M22" s="2"/>
      <c r="N22" s="7">
        <f t="shared" si="3"/>
        <v>-5.1677126305266817E-3</v>
      </c>
      <c r="O22" s="10"/>
      <c r="P22" s="6">
        <v>72751.66</v>
      </c>
      <c r="Q22" s="2"/>
      <c r="R22" s="7">
        <f t="shared" si="4"/>
        <v>0</v>
      </c>
      <c r="S22" s="2"/>
      <c r="T22" s="6">
        <v>73799.08</v>
      </c>
      <c r="U22" s="2"/>
      <c r="V22" s="7">
        <f t="shared" si="5"/>
        <v>0</v>
      </c>
      <c r="W22" s="2"/>
      <c r="X22" s="6">
        <f t="shared" si="6"/>
        <v>-1047.4199999999983</v>
      </c>
      <c r="Y22" s="2"/>
      <c r="Z22" s="7">
        <f t="shared" si="7"/>
        <v>-1.4192859856789518E-2</v>
      </c>
    </row>
    <row r="23" spans="1:26" s="23" customFormat="1" hidden="1" outlineLevel="2" x14ac:dyDescent="0.25">
      <c r="A23" s="25"/>
      <c r="B23" s="10" t="str">
        <f>CONCATENATE("          ", "6114", " - ", "STATE UNEMPLOYMENT INSURANCE")</f>
        <v xml:space="preserve">          6114 - STATE UNEMPLOYMENT INSURANCE</v>
      </c>
      <c r="C23" s="10"/>
      <c r="D23" s="6">
        <v>499931.01</v>
      </c>
      <c r="E23" s="2"/>
      <c r="F23" s="7">
        <f t="shared" si="0"/>
        <v>0</v>
      </c>
      <c r="G23" s="2"/>
      <c r="H23" s="6">
        <v>-846.89</v>
      </c>
      <c r="I23" s="2"/>
      <c r="J23" s="7">
        <f t="shared" si="1"/>
        <v>0</v>
      </c>
      <c r="K23" s="2"/>
      <c r="L23" s="6">
        <f t="shared" si="2"/>
        <v>500777.9</v>
      </c>
      <c r="M23" s="2"/>
      <c r="N23" s="7">
        <f t="shared" si="3"/>
        <v>-591.31398410655459</v>
      </c>
      <c r="O23" s="10"/>
      <c r="P23" s="6">
        <v>500733.66</v>
      </c>
      <c r="Q23" s="2"/>
      <c r="R23" s="7">
        <f t="shared" si="4"/>
        <v>0</v>
      </c>
      <c r="S23" s="2"/>
      <c r="T23" s="6">
        <v>0</v>
      </c>
      <c r="U23" s="2"/>
      <c r="V23" s="7">
        <f t="shared" si="5"/>
        <v>0</v>
      </c>
      <c r="W23" s="2"/>
      <c r="X23" s="6">
        <f t="shared" si="6"/>
        <v>500733.66</v>
      </c>
      <c r="Y23" s="2"/>
      <c r="Z23" s="7">
        <f t="shared" si="7"/>
        <v>0</v>
      </c>
    </row>
    <row r="24" spans="1:26" s="23" customFormat="1" hidden="1" outlineLevel="2" x14ac:dyDescent="0.25">
      <c r="A24" s="25"/>
      <c r="B24" s="10" t="str">
        <f>CONCATENATE("          ", "6115", " - ", "P.E.R.S.")</f>
        <v xml:space="preserve">          6115 - P.E.R.S.</v>
      </c>
      <c r="C24" s="10"/>
      <c r="D24" s="6">
        <v>1800.95</v>
      </c>
      <c r="E24" s="2"/>
      <c r="F24" s="7">
        <f t="shared" si="0"/>
        <v>0</v>
      </c>
      <c r="G24" s="2"/>
      <c r="H24" s="6">
        <v>1011.34</v>
      </c>
      <c r="I24" s="2"/>
      <c r="J24" s="7">
        <f t="shared" si="1"/>
        <v>0</v>
      </c>
      <c r="K24" s="2"/>
      <c r="L24" s="6">
        <f t="shared" si="2"/>
        <v>789.61</v>
      </c>
      <c r="M24" s="2"/>
      <c r="N24" s="7">
        <f t="shared" si="3"/>
        <v>0.78075622441513237</v>
      </c>
      <c r="O24" s="10"/>
      <c r="P24" s="6">
        <v>16175.75</v>
      </c>
      <c r="Q24" s="2"/>
      <c r="R24" s="7">
        <f t="shared" si="4"/>
        <v>0</v>
      </c>
      <c r="S24" s="2"/>
      <c r="T24" s="6">
        <v>14655.15</v>
      </c>
      <c r="U24" s="2"/>
      <c r="V24" s="7">
        <f t="shared" si="5"/>
        <v>0</v>
      </c>
      <c r="W24" s="2"/>
      <c r="X24" s="6">
        <f t="shared" si="6"/>
        <v>1520.6000000000004</v>
      </c>
      <c r="Y24" s="2"/>
      <c r="Z24" s="7">
        <f t="shared" si="7"/>
        <v>0.10375874692514238</v>
      </c>
    </row>
    <row r="25" spans="1:26" s="23" customFormat="1" hidden="1" outlineLevel="2" x14ac:dyDescent="0.25">
      <c r="A25" s="25"/>
      <c r="B25" s="10" t="str">
        <f>CONCATENATE("          ", "6116", " - ", "EDUCATIONAL BENEFITS")</f>
        <v xml:space="preserve">          6116 - EDUCATIONAL BENEFITS</v>
      </c>
      <c r="C25" s="10"/>
      <c r="D25" s="6">
        <v>2636</v>
      </c>
      <c r="E25" s="2"/>
      <c r="F25" s="7">
        <f t="shared" si="0"/>
        <v>0</v>
      </c>
      <c r="G25" s="2"/>
      <c r="H25" s="6"/>
      <c r="I25" s="2"/>
      <c r="J25" s="7">
        <f t="shared" si="1"/>
        <v>0</v>
      </c>
      <c r="K25" s="2"/>
      <c r="L25" s="6">
        <f t="shared" si="2"/>
        <v>2636</v>
      </c>
      <c r="M25" s="2"/>
      <c r="N25" s="7">
        <f t="shared" si="3"/>
        <v>0</v>
      </c>
      <c r="O25" s="10"/>
      <c r="P25" s="6">
        <v>7482</v>
      </c>
      <c r="Q25" s="2"/>
      <c r="R25" s="7">
        <f t="shared" si="4"/>
        <v>0</v>
      </c>
      <c r="S25" s="2"/>
      <c r="T25" s="6">
        <v>4936.88</v>
      </c>
      <c r="U25" s="2"/>
      <c r="V25" s="7">
        <f t="shared" si="5"/>
        <v>0</v>
      </c>
      <c r="W25" s="2"/>
      <c r="X25" s="6">
        <f t="shared" si="6"/>
        <v>2545.12</v>
      </c>
      <c r="Y25" s="2"/>
      <c r="Z25" s="7">
        <f t="shared" si="7"/>
        <v>0.51553207693928149</v>
      </c>
    </row>
    <row r="26" spans="1:26" s="23" customFormat="1" hidden="1" outlineLevel="2" x14ac:dyDescent="0.25">
      <c r="A26" s="25"/>
      <c r="B26" s="10" t="str">
        <f>CONCATENATE("          ", "6117", " - ", "RETIREMENT STAFF HOURLY")</f>
        <v xml:space="preserve">          6117 - RETIREMENT STAFF HOURLY</v>
      </c>
      <c r="C26" s="10"/>
      <c r="D26" s="6">
        <v>585.27</v>
      </c>
      <c r="E26" s="2"/>
      <c r="F26" s="7">
        <f t="shared" si="0"/>
        <v>0</v>
      </c>
      <c r="G26" s="2"/>
      <c r="H26" s="6">
        <v>466.21</v>
      </c>
      <c r="I26" s="2"/>
      <c r="J26" s="7">
        <f t="shared" si="1"/>
        <v>0</v>
      </c>
      <c r="K26" s="2"/>
      <c r="L26" s="6">
        <f t="shared" si="2"/>
        <v>119.06</v>
      </c>
      <c r="M26" s="2"/>
      <c r="N26" s="7">
        <f t="shared" si="3"/>
        <v>0.25537847751013493</v>
      </c>
      <c r="O26" s="10"/>
      <c r="P26" s="6">
        <v>7251.28</v>
      </c>
      <c r="Q26" s="2"/>
      <c r="R26" s="7">
        <f t="shared" si="4"/>
        <v>0</v>
      </c>
      <c r="S26" s="2"/>
      <c r="T26" s="6">
        <v>5718.55</v>
      </c>
      <c r="U26" s="2"/>
      <c r="V26" s="7">
        <f t="shared" si="5"/>
        <v>0</v>
      </c>
      <c r="W26" s="2"/>
      <c r="X26" s="6">
        <f t="shared" si="6"/>
        <v>1532.7299999999996</v>
      </c>
      <c r="Y26" s="2"/>
      <c r="Z26" s="7">
        <f t="shared" si="7"/>
        <v>0.26802773430327609</v>
      </c>
    </row>
    <row r="27" spans="1:26" s="23" customFormat="1" hidden="1" outlineLevel="2" x14ac:dyDescent="0.25">
      <c r="A27" s="25"/>
      <c r="B27" s="10" t="str">
        <f>CONCATENATE("          ", "6118", " - ", "VACATION")</f>
        <v xml:space="preserve">          6118 - VACATION</v>
      </c>
      <c r="C27" s="10"/>
      <c r="D27" s="6">
        <v>5745.09</v>
      </c>
      <c r="E27" s="2"/>
      <c r="F27" s="7">
        <f t="shared" si="0"/>
        <v>0</v>
      </c>
      <c r="G27" s="2"/>
      <c r="H27" s="6">
        <v>472.52</v>
      </c>
      <c r="I27" s="2"/>
      <c r="J27" s="7">
        <f t="shared" si="1"/>
        <v>0</v>
      </c>
      <c r="K27" s="2"/>
      <c r="L27" s="6">
        <f t="shared" si="2"/>
        <v>5272.57</v>
      </c>
      <c r="M27" s="2"/>
      <c r="N27" s="7">
        <f t="shared" si="3"/>
        <v>11.158405993397105</v>
      </c>
      <c r="O27" s="10"/>
      <c r="P27" s="6">
        <v>17732.169999999998</v>
      </c>
      <c r="Q27" s="2"/>
      <c r="R27" s="7">
        <f t="shared" si="4"/>
        <v>0</v>
      </c>
      <c r="S27" s="2"/>
      <c r="T27" s="6">
        <v>20368.54</v>
      </c>
      <c r="U27" s="2"/>
      <c r="V27" s="7">
        <f t="shared" si="5"/>
        <v>0</v>
      </c>
      <c r="W27" s="2"/>
      <c r="X27" s="6">
        <f t="shared" si="6"/>
        <v>-2636.3700000000026</v>
      </c>
      <c r="Y27" s="2"/>
      <c r="Z27" s="7">
        <f t="shared" si="7"/>
        <v>-0.12943343018203576</v>
      </c>
    </row>
    <row r="28" spans="1:26" s="23" customFormat="1" hidden="1" outlineLevel="2" x14ac:dyDescent="0.25">
      <c r="A28" s="25"/>
      <c r="B28" s="10" t="str">
        <f>CONCATENATE("          ", "6119", " - ", "SICK LEAVE")</f>
        <v xml:space="preserve">          6119 - SICK LEAVE</v>
      </c>
      <c r="C28" s="10"/>
      <c r="D28" s="6">
        <v>3548.12</v>
      </c>
      <c r="E28" s="2"/>
      <c r="F28" s="7">
        <f t="shared" si="0"/>
        <v>0</v>
      </c>
      <c r="G28" s="2"/>
      <c r="H28" s="6">
        <v>900.74</v>
      </c>
      <c r="I28" s="2"/>
      <c r="J28" s="7">
        <f t="shared" si="1"/>
        <v>0</v>
      </c>
      <c r="K28" s="2"/>
      <c r="L28" s="6">
        <f t="shared" si="2"/>
        <v>2647.38</v>
      </c>
      <c r="M28" s="2"/>
      <c r="N28" s="7">
        <f t="shared" si="3"/>
        <v>2.9391167262473079</v>
      </c>
      <c r="O28" s="10"/>
      <c r="P28" s="6">
        <v>14445.56</v>
      </c>
      <c r="Q28" s="2"/>
      <c r="R28" s="7">
        <f t="shared" si="4"/>
        <v>0</v>
      </c>
      <c r="S28" s="2"/>
      <c r="T28" s="6">
        <v>14579.58</v>
      </c>
      <c r="U28" s="2"/>
      <c r="V28" s="7">
        <f t="shared" si="5"/>
        <v>0</v>
      </c>
      <c r="W28" s="2"/>
      <c r="X28" s="6">
        <f t="shared" si="6"/>
        <v>-134.02000000000044</v>
      </c>
      <c r="Y28" s="2"/>
      <c r="Z28" s="7">
        <f t="shared" si="7"/>
        <v>-9.1923086947635277E-3</v>
      </c>
    </row>
    <row r="29" spans="1:26" s="23" customFormat="1" hidden="1" outlineLevel="2" x14ac:dyDescent="0.25">
      <c r="A29" s="25"/>
      <c r="B29" s="10" t="str">
        <f>CONCATENATE("          ", "6156", " - ", "EMPLOYEE MEALS")</f>
        <v xml:space="preserve">          6156 - EMPLOYEE MEALS</v>
      </c>
      <c r="C29" s="10"/>
      <c r="D29" s="6">
        <v>58.57</v>
      </c>
      <c r="E29" s="2"/>
      <c r="F29" s="7">
        <f t="shared" si="0"/>
        <v>0</v>
      </c>
      <c r="G29" s="2"/>
      <c r="H29" s="6">
        <v>8</v>
      </c>
      <c r="I29" s="2"/>
      <c r="J29" s="7">
        <f t="shared" si="1"/>
        <v>0</v>
      </c>
      <c r="K29" s="2"/>
      <c r="L29" s="6">
        <f t="shared" si="2"/>
        <v>50.57</v>
      </c>
      <c r="M29" s="2"/>
      <c r="N29" s="7">
        <f t="shared" si="3"/>
        <v>6.32125</v>
      </c>
      <c r="O29" s="10"/>
      <c r="P29" s="6">
        <v>398.4</v>
      </c>
      <c r="Q29" s="2"/>
      <c r="R29" s="7">
        <f t="shared" si="4"/>
        <v>0</v>
      </c>
      <c r="S29" s="2"/>
      <c r="T29" s="6">
        <v>3660.96</v>
      </c>
      <c r="U29" s="2"/>
      <c r="V29" s="7">
        <f t="shared" si="5"/>
        <v>0</v>
      </c>
      <c r="W29" s="2"/>
      <c r="X29" s="6">
        <f t="shared" si="6"/>
        <v>-3262.56</v>
      </c>
      <c r="Y29" s="2"/>
      <c r="Z29" s="7">
        <f t="shared" si="7"/>
        <v>-0.89117608496132161</v>
      </c>
    </row>
    <row r="30" spans="1:26" s="27" customFormat="1" outlineLevel="1" collapsed="1" x14ac:dyDescent="0.25">
      <c r="A30" s="26"/>
      <c r="B30" s="12" t="str">
        <f>CONCATENATE("     ","*Payroll                                          ")</f>
        <v xml:space="preserve">     *Payroll                                          </v>
      </c>
      <c r="C30" s="12"/>
      <c r="D30" s="1">
        <f>SUM(OSRRefD22_1x_0)</f>
        <v>25253.25</v>
      </c>
      <c r="E30" s="1"/>
      <c r="F30" s="5">
        <f t="shared" ref="F30:F35" si="8">IF(D$12=0,0,D30/D$12)</f>
        <v>0</v>
      </c>
      <c r="G30" s="1"/>
      <c r="H30" s="1">
        <f>SUM(OSRRefH22_1x_0)</f>
        <v>26355.91</v>
      </c>
      <c r="I30" s="1"/>
      <c r="J30" s="5">
        <f t="shared" ref="J30:J35" si="9">IF(H$12=0,0,H30/H$12)</f>
        <v>0</v>
      </c>
      <c r="K30" s="1"/>
      <c r="L30" s="1">
        <f t="shared" ref="L30:L35" si="10">+D30-H30</f>
        <v>-1102.6599999999999</v>
      </c>
      <c r="M30" s="1"/>
      <c r="N30" s="5">
        <f t="shared" ref="N30:N35" si="11">IF(H30=0,0,L30/H30)</f>
        <v>-4.1837295695728201E-2</v>
      </c>
      <c r="O30" s="12"/>
      <c r="P30" s="1">
        <f>SUM(OSRRefP22_1x_0)</f>
        <v>307972.71999999997</v>
      </c>
      <c r="Q30" s="1"/>
      <c r="R30" s="5">
        <f t="shared" ref="R30:R35" si="12">IF(P$12=0,0,P30/P$12)</f>
        <v>0</v>
      </c>
      <c r="S30" s="1"/>
      <c r="T30" s="1">
        <f>SUM(OSRRefT22_1x_0)</f>
        <v>325084.53000000003</v>
      </c>
      <c r="U30" s="1"/>
      <c r="V30" s="5">
        <f t="shared" ref="V30:V35" si="13">IF(T$12=0,0,T30/T$12)</f>
        <v>0</v>
      </c>
      <c r="W30" s="1"/>
      <c r="X30" s="1">
        <f t="shared" ref="X30:X35" si="14">+P30-T30</f>
        <v>-17111.810000000056</v>
      </c>
      <c r="Y30" s="1"/>
      <c r="Z30" s="5">
        <f t="shared" ref="Z30:Z35" si="15">IF(T30=0,0,X30/T30)</f>
        <v>-5.2638032329622247E-2</v>
      </c>
    </row>
    <row r="31" spans="1:26" s="23" customFormat="1" hidden="1" outlineLevel="2" x14ac:dyDescent="0.25">
      <c r="A31" s="25"/>
      <c r="B31" s="10" t="str">
        <f>CONCATENATE("          ", "6001", " - ", "ADMINISTRATIVE SALARIES")</f>
        <v xml:space="preserve">          6001 - ADMINISTRATIVE SALARIES</v>
      </c>
      <c r="C31" s="10"/>
      <c r="D31" s="6">
        <v>9672.0499999999993</v>
      </c>
      <c r="E31" s="2"/>
      <c r="F31" s="7">
        <f t="shared" si="8"/>
        <v>0</v>
      </c>
      <c r="G31" s="2"/>
      <c r="H31" s="6">
        <v>9894.68</v>
      </c>
      <c r="I31" s="2"/>
      <c r="J31" s="7">
        <f t="shared" si="9"/>
        <v>0</v>
      </c>
      <c r="K31" s="2"/>
      <c r="L31" s="6">
        <f t="shared" si="10"/>
        <v>-222.63000000000102</v>
      </c>
      <c r="M31" s="2"/>
      <c r="N31" s="7">
        <f t="shared" si="11"/>
        <v>-2.2499969680676992E-2</v>
      </c>
      <c r="O31" s="10"/>
      <c r="P31" s="6">
        <v>118243.81</v>
      </c>
      <c r="Q31" s="2"/>
      <c r="R31" s="7">
        <f t="shared" si="12"/>
        <v>0</v>
      </c>
      <c r="S31" s="2"/>
      <c r="T31" s="6">
        <v>112844.3</v>
      </c>
      <c r="U31" s="2"/>
      <c r="V31" s="7">
        <f t="shared" si="13"/>
        <v>0</v>
      </c>
      <c r="W31" s="2"/>
      <c r="X31" s="6">
        <f t="shared" si="14"/>
        <v>5399.5099999999948</v>
      </c>
      <c r="Y31" s="2"/>
      <c r="Z31" s="7">
        <f t="shared" si="15"/>
        <v>4.7849204612018456E-2</v>
      </c>
    </row>
    <row r="32" spans="1:26" s="23" customFormat="1" hidden="1" outlineLevel="2" x14ac:dyDescent="0.25">
      <c r="A32" s="25"/>
      <c r="B32" s="10" t="str">
        <f>CONCATENATE("          ", "6002", " - ", "STAFF SALARIES")</f>
        <v xml:space="preserve">          6002 - STAFF SALARIES</v>
      </c>
      <c r="C32" s="10"/>
      <c r="D32" s="6"/>
      <c r="E32" s="2"/>
      <c r="F32" s="7">
        <f t="shared" si="8"/>
        <v>0</v>
      </c>
      <c r="G32" s="2"/>
      <c r="H32" s="6"/>
      <c r="I32" s="2"/>
      <c r="J32" s="7">
        <f t="shared" si="9"/>
        <v>0</v>
      </c>
      <c r="K32" s="2"/>
      <c r="L32" s="6">
        <f t="shared" si="10"/>
        <v>0</v>
      </c>
      <c r="M32" s="2"/>
      <c r="N32" s="7">
        <f t="shared" si="11"/>
        <v>0</v>
      </c>
      <c r="O32" s="10"/>
      <c r="P32" s="6"/>
      <c r="Q32" s="2"/>
      <c r="R32" s="7">
        <f t="shared" si="12"/>
        <v>0</v>
      </c>
      <c r="S32" s="2"/>
      <c r="T32" s="6">
        <v>21069.18</v>
      </c>
      <c r="U32" s="2"/>
      <c r="V32" s="7">
        <f t="shared" si="13"/>
        <v>0</v>
      </c>
      <c r="W32" s="2"/>
      <c r="X32" s="6">
        <f t="shared" si="14"/>
        <v>-21069.18</v>
      </c>
      <c r="Y32" s="2"/>
      <c r="Z32" s="7">
        <f t="shared" si="15"/>
        <v>-1</v>
      </c>
    </row>
    <row r="33" spans="1:26" s="23" customFormat="1" hidden="1" outlineLevel="2" x14ac:dyDescent="0.25">
      <c r="A33" s="25"/>
      <c r="B33" s="10" t="str">
        <f>CONCATENATE("          ", "6004", " - ", "STAFF HOURLY")</f>
        <v xml:space="preserve">          6004 - STAFF HOURLY</v>
      </c>
      <c r="C33" s="10"/>
      <c r="D33" s="6">
        <v>13596.7</v>
      </c>
      <c r="E33" s="2"/>
      <c r="F33" s="7">
        <f t="shared" si="8"/>
        <v>0</v>
      </c>
      <c r="G33" s="2"/>
      <c r="H33" s="6">
        <v>9973.52</v>
      </c>
      <c r="I33" s="2"/>
      <c r="J33" s="7">
        <f t="shared" si="9"/>
        <v>0</v>
      </c>
      <c r="K33" s="2"/>
      <c r="L33" s="6">
        <f t="shared" si="10"/>
        <v>3623.1800000000003</v>
      </c>
      <c r="M33" s="2"/>
      <c r="N33" s="7">
        <f t="shared" si="11"/>
        <v>0.36327996534824214</v>
      </c>
      <c r="O33" s="10"/>
      <c r="P33" s="6">
        <v>129805.88</v>
      </c>
      <c r="Q33" s="2"/>
      <c r="R33" s="7">
        <f t="shared" si="12"/>
        <v>0</v>
      </c>
      <c r="S33" s="2"/>
      <c r="T33" s="6">
        <v>121467.52</v>
      </c>
      <c r="U33" s="2"/>
      <c r="V33" s="7">
        <f t="shared" si="13"/>
        <v>0</v>
      </c>
      <c r="W33" s="2"/>
      <c r="X33" s="6">
        <f t="shared" si="14"/>
        <v>8338.36</v>
      </c>
      <c r="Y33" s="2"/>
      <c r="Z33" s="7">
        <f t="shared" si="15"/>
        <v>6.8646828386716055E-2</v>
      </c>
    </row>
    <row r="34" spans="1:26" s="23" customFormat="1" hidden="1" outlineLevel="2" x14ac:dyDescent="0.25">
      <c r="A34" s="25"/>
      <c r="B34" s="10" t="str">
        <f>CONCATENATE("          ", "6005", " - ", "TEMPORARY WAGES-HOURLY")</f>
        <v xml:space="preserve">          6005 - TEMPORARY WAGES-HOURLY</v>
      </c>
      <c r="C34" s="10"/>
      <c r="D34" s="6">
        <v>1984.5</v>
      </c>
      <c r="E34" s="2"/>
      <c r="F34" s="7">
        <f t="shared" si="8"/>
        <v>0</v>
      </c>
      <c r="G34" s="2"/>
      <c r="H34" s="6">
        <v>6487.71</v>
      </c>
      <c r="I34" s="2"/>
      <c r="J34" s="7">
        <f t="shared" si="9"/>
        <v>0</v>
      </c>
      <c r="K34" s="2"/>
      <c r="L34" s="6">
        <f t="shared" si="10"/>
        <v>-4503.21</v>
      </c>
      <c r="M34" s="2"/>
      <c r="N34" s="7">
        <f t="shared" si="11"/>
        <v>-0.6941139477566044</v>
      </c>
      <c r="O34" s="10"/>
      <c r="P34" s="6">
        <v>59923.03</v>
      </c>
      <c r="Q34" s="2"/>
      <c r="R34" s="7">
        <f t="shared" si="12"/>
        <v>0</v>
      </c>
      <c r="S34" s="2"/>
      <c r="T34" s="6">
        <v>69703.53</v>
      </c>
      <c r="U34" s="2"/>
      <c r="V34" s="7">
        <f t="shared" si="13"/>
        <v>0</v>
      </c>
      <c r="W34" s="2"/>
      <c r="X34" s="6">
        <f t="shared" si="14"/>
        <v>-9780.5</v>
      </c>
      <c r="Y34" s="2"/>
      <c r="Z34" s="7">
        <f t="shared" si="15"/>
        <v>-0.14031570567516452</v>
      </c>
    </row>
    <row r="35" spans="1:26" s="23" customFormat="1" hidden="1" outlineLevel="2" x14ac:dyDescent="0.25">
      <c r="A35" s="25"/>
      <c r="B35" s="10" t="str">
        <f>CONCATENATE("          ", "6007", " - ", "STUDENT HOURLY")</f>
        <v xml:space="preserve">          6007 - STUDENT HOURLY</v>
      </c>
      <c r="C35" s="10"/>
      <c r="D35" s="6"/>
      <c r="E35" s="2"/>
      <c r="F35" s="7">
        <f t="shared" si="8"/>
        <v>0</v>
      </c>
      <c r="G35" s="2"/>
      <c r="H35" s="6"/>
      <c r="I35" s="2"/>
      <c r="J35" s="7">
        <f t="shared" si="9"/>
        <v>0</v>
      </c>
      <c r="K35" s="2"/>
      <c r="L35" s="6">
        <f t="shared" si="10"/>
        <v>0</v>
      </c>
      <c r="M35" s="2"/>
      <c r="N35" s="7">
        <f t="shared" si="11"/>
        <v>0</v>
      </c>
      <c r="O35" s="10"/>
      <c r="P35" s="6">
        <v>0</v>
      </c>
      <c r="Q35" s="2"/>
      <c r="R35" s="7">
        <f t="shared" si="12"/>
        <v>0</v>
      </c>
      <c r="S35" s="2"/>
      <c r="T35" s="6">
        <v>0</v>
      </c>
      <c r="U35" s="2"/>
      <c r="V35" s="7">
        <f t="shared" si="13"/>
        <v>0</v>
      </c>
      <c r="W35" s="2"/>
      <c r="X35" s="6">
        <f t="shared" si="14"/>
        <v>0</v>
      </c>
      <c r="Y35" s="2"/>
      <c r="Z35" s="7">
        <f t="shared" si="15"/>
        <v>0</v>
      </c>
    </row>
    <row r="36" spans="1:26" s="27" customFormat="1" outlineLevel="1" collapsed="1" x14ac:dyDescent="0.25">
      <c r="A36" s="26"/>
      <c r="B36" s="12" t="str">
        <f>CONCATENATE("     ","Advertising/Promo                                 ")</f>
        <v xml:space="preserve">     Advertising/Promo                                 </v>
      </c>
      <c r="C36" s="12"/>
      <c r="D36" s="1">
        <f>SUM(OSRRefD22_2x_0)</f>
        <v>0</v>
      </c>
      <c r="E36" s="1"/>
      <c r="F36" s="5">
        <f t="shared" ref="F36:F53" si="16">IF(D$12=0,0,D36/D$12)</f>
        <v>0</v>
      </c>
      <c r="G36" s="1"/>
      <c r="H36" s="1">
        <f>SUM(OSRRefH22_2x_0)</f>
        <v>0</v>
      </c>
      <c r="I36" s="1"/>
      <c r="J36" s="5">
        <f t="shared" ref="J36:J53" si="17">IF(H$12=0,0,H36/H$12)</f>
        <v>0</v>
      </c>
      <c r="K36" s="1"/>
      <c r="L36" s="1">
        <f t="shared" ref="L36:L53" si="18">+D36-H36</f>
        <v>0</v>
      </c>
      <c r="M36" s="1"/>
      <c r="N36" s="5">
        <f t="shared" ref="N36:N53" si="19">IF(H36=0,0,L36/H36)</f>
        <v>0</v>
      </c>
      <c r="O36" s="12"/>
      <c r="P36" s="1">
        <f>SUM(OSRRefP22_2x_0)</f>
        <v>0</v>
      </c>
      <c r="Q36" s="1"/>
      <c r="R36" s="5">
        <f t="shared" ref="R36:R53" si="20">IF(P$12=0,0,P36/P$12)</f>
        <v>0</v>
      </c>
      <c r="S36" s="1"/>
      <c r="T36" s="1">
        <f>SUM(OSRRefT22_2x_0)</f>
        <v>1556.04</v>
      </c>
      <c r="U36" s="1"/>
      <c r="V36" s="5">
        <f t="shared" ref="V36:V53" si="21">IF(T$12=0,0,T36/T$12)</f>
        <v>0</v>
      </c>
      <c r="W36" s="1"/>
      <c r="X36" s="1">
        <f t="shared" ref="X36:X53" si="22">+P36-T36</f>
        <v>-1556.04</v>
      </c>
      <c r="Y36" s="1"/>
      <c r="Z36" s="5">
        <f t="shared" ref="Z36:Z53" si="23">IF(T36=0,0,X36/T36)</f>
        <v>-1</v>
      </c>
    </row>
    <row r="37" spans="1:26" s="23" customFormat="1" hidden="1" outlineLevel="2" x14ac:dyDescent="0.25">
      <c r="A37" s="25"/>
      <c r="B37" s="10" t="str">
        <f>CONCATENATE("          ", "6362", " - ", "ADVERTISING EXPENSE")</f>
        <v xml:space="preserve">          6362 - ADVERTISING EXPENSE</v>
      </c>
      <c r="C37" s="10"/>
      <c r="D37" s="6"/>
      <c r="E37" s="2"/>
      <c r="F37" s="7">
        <f t="shared" si="16"/>
        <v>0</v>
      </c>
      <c r="G37" s="2"/>
      <c r="H37" s="6"/>
      <c r="I37" s="2"/>
      <c r="J37" s="7">
        <f t="shared" si="17"/>
        <v>0</v>
      </c>
      <c r="K37" s="2"/>
      <c r="L37" s="6">
        <f t="shared" si="18"/>
        <v>0</v>
      </c>
      <c r="M37" s="2"/>
      <c r="N37" s="7">
        <f t="shared" si="19"/>
        <v>0</v>
      </c>
      <c r="O37" s="10"/>
      <c r="P37" s="6"/>
      <c r="Q37" s="2"/>
      <c r="R37" s="7">
        <f t="shared" si="20"/>
        <v>0</v>
      </c>
      <c r="S37" s="2"/>
      <c r="T37" s="6">
        <v>1556.04</v>
      </c>
      <c r="U37" s="2"/>
      <c r="V37" s="7">
        <f t="shared" si="21"/>
        <v>0</v>
      </c>
      <c r="W37" s="2"/>
      <c r="X37" s="6">
        <f t="shared" si="22"/>
        <v>-1556.04</v>
      </c>
      <c r="Y37" s="2"/>
      <c r="Z37" s="7">
        <f t="shared" si="23"/>
        <v>-1</v>
      </c>
    </row>
    <row r="38" spans="1:26" s="27" customFormat="1" outlineLevel="1" collapsed="1" x14ac:dyDescent="0.25">
      <c r="A38" s="26"/>
      <c r="B38" s="12" t="str">
        <f>CONCATENATE("     ","Depreciation                                      ")</f>
        <v xml:space="preserve">     Depreciation                                      </v>
      </c>
      <c r="C38" s="12"/>
      <c r="D38" s="1">
        <f>SUM(OSRRefD22_3x_0)</f>
        <v>0</v>
      </c>
      <c r="E38" s="1"/>
      <c r="F38" s="5">
        <f t="shared" si="16"/>
        <v>0</v>
      </c>
      <c r="G38" s="1"/>
      <c r="H38" s="1">
        <f>SUM(OSRRefH22_3x_0)</f>
        <v>0</v>
      </c>
      <c r="I38" s="1"/>
      <c r="J38" s="5">
        <f t="shared" si="17"/>
        <v>0</v>
      </c>
      <c r="K38" s="1"/>
      <c r="L38" s="1">
        <f t="shared" si="18"/>
        <v>0</v>
      </c>
      <c r="M38" s="1"/>
      <c r="N38" s="5">
        <f t="shared" si="19"/>
        <v>0</v>
      </c>
      <c r="O38" s="12"/>
      <c r="P38" s="1">
        <f>SUM(OSRRefP22_3x_0)</f>
        <v>0</v>
      </c>
      <c r="Q38" s="1"/>
      <c r="R38" s="5">
        <f t="shared" si="20"/>
        <v>0</v>
      </c>
      <c r="S38" s="1"/>
      <c r="T38" s="1">
        <f>SUM(OSRRefT22_3x_0)</f>
        <v>2017.57</v>
      </c>
      <c r="U38" s="1"/>
      <c r="V38" s="5">
        <f t="shared" si="21"/>
        <v>0</v>
      </c>
      <c r="W38" s="1"/>
      <c r="X38" s="1">
        <f t="shared" si="22"/>
        <v>-2017.57</v>
      </c>
      <c r="Y38" s="1"/>
      <c r="Z38" s="5">
        <f t="shared" si="23"/>
        <v>-1</v>
      </c>
    </row>
    <row r="39" spans="1:26" s="23" customFormat="1" hidden="1" outlineLevel="2" x14ac:dyDescent="0.25">
      <c r="A39" s="25"/>
      <c r="B39" s="10" t="str">
        <f>CONCATENATE("          ", "6322", " - ", "EQUIPMENT DEPRECIATION EXPENSE")</f>
        <v xml:space="preserve">          6322 - EQUIPMENT DEPRECIATION EXPENSE</v>
      </c>
      <c r="C39" s="10"/>
      <c r="D39" s="6"/>
      <c r="E39" s="2"/>
      <c r="F39" s="7">
        <f t="shared" si="16"/>
        <v>0</v>
      </c>
      <c r="G39" s="2"/>
      <c r="H39" s="6"/>
      <c r="I39" s="2"/>
      <c r="J39" s="7">
        <f t="shared" si="17"/>
        <v>0</v>
      </c>
      <c r="K39" s="2"/>
      <c r="L39" s="6">
        <f t="shared" si="18"/>
        <v>0</v>
      </c>
      <c r="M39" s="2"/>
      <c r="N39" s="7">
        <f t="shared" si="19"/>
        <v>0</v>
      </c>
      <c r="O39" s="10"/>
      <c r="P39" s="6"/>
      <c r="Q39" s="2"/>
      <c r="R39" s="7">
        <f t="shared" si="20"/>
        <v>0</v>
      </c>
      <c r="S39" s="2"/>
      <c r="T39" s="6">
        <v>2017.57</v>
      </c>
      <c r="U39" s="2"/>
      <c r="V39" s="7">
        <f t="shared" si="21"/>
        <v>0</v>
      </c>
      <c r="W39" s="2"/>
      <c r="X39" s="6">
        <f t="shared" si="22"/>
        <v>-2017.57</v>
      </c>
      <c r="Y39" s="2"/>
      <c r="Z39" s="7">
        <f t="shared" si="23"/>
        <v>-1</v>
      </c>
    </row>
    <row r="40" spans="1:26" s="27" customFormat="1" outlineLevel="1" collapsed="1" x14ac:dyDescent="0.25">
      <c r="A40" s="26"/>
      <c r="B40" s="12" t="str">
        <f>CONCATENATE("     ","Employees' Appreciation                           ")</f>
        <v xml:space="preserve">     Employees' Appreciation                           </v>
      </c>
      <c r="C40" s="12"/>
      <c r="D40" s="1">
        <f>SUM(OSRRefD22_4x_0)</f>
        <v>0</v>
      </c>
      <c r="E40" s="1"/>
      <c r="F40" s="5">
        <f t="shared" si="16"/>
        <v>0</v>
      </c>
      <c r="G40" s="1"/>
      <c r="H40" s="1">
        <f>SUM(OSRRefH22_4x_0)</f>
        <v>0</v>
      </c>
      <c r="I40" s="1"/>
      <c r="J40" s="5">
        <f t="shared" si="17"/>
        <v>0</v>
      </c>
      <c r="K40" s="1"/>
      <c r="L40" s="1">
        <f t="shared" si="18"/>
        <v>0</v>
      </c>
      <c r="M40" s="1"/>
      <c r="N40" s="5">
        <f t="shared" si="19"/>
        <v>0</v>
      </c>
      <c r="O40" s="12"/>
      <c r="P40" s="1">
        <f>SUM(OSRRefP22_4x_0)</f>
        <v>81.56</v>
      </c>
      <c r="Q40" s="1"/>
      <c r="R40" s="5">
        <f t="shared" si="20"/>
        <v>0</v>
      </c>
      <c r="S40" s="1"/>
      <c r="T40" s="1">
        <f>SUM(OSRRefT22_4x_0)</f>
        <v>29521.94</v>
      </c>
      <c r="U40" s="1"/>
      <c r="V40" s="5">
        <f t="shared" si="21"/>
        <v>0</v>
      </c>
      <c r="W40" s="1"/>
      <c r="X40" s="1">
        <f t="shared" si="22"/>
        <v>-29440.379999999997</v>
      </c>
      <c r="Y40" s="1"/>
      <c r="Z40" s="5">
        <f t="shared" si="23"/>
        <v>-0.99723730893023965</v>
      </c>
    </row>
    <row r="41" spans="1:26" s="23" customFormat="1" hidden="1" outlineLevel="2" x14ac:dyDescent="0.25">
      <c r="A41" s="25"/>
      <c r="B41" s="10" t="str">
        <f>CONCATENATE("          ", "6277", " - ", "EMPLOYEE APPRECIATION")</f>
        <v xml:space="preserve">          6277 - EMPLOYEE APPRECIATION</v>
      </c>
      <c r="C41" s="10"/>
      <c r="D41" s="6"/>
      <c r="E41" s="2"/>
      <c r="F41" s="7">
        <f t="shared" si="16"/>
        <v>0</v>
      </c>
      <c r="G41" s="2"/>
      <c r="H41" s="6"/>
      <c r="I41" s="2"/>
      <c r="J41" s="7">
        <f t="shared" si="17"/>
        <v>0</v>
      </c>
      <c r="K41" s="2"/>
      <c r="L41" s="6">
        <f t="shared" si="18"/>
        <v>0</v>
      </c>
      <c r="M41" s="2"/>
      <c r="N41" s="7">
        <f t="shared" si="19"/>
        <v>0</v>
      </c>
      <c r="O41" s="10"/>
      <c r="P41" s="6">
        <v>81.56</v>
      </c>
      <c r="Q41" s="2"/>
      <c r="R41" s="7">
        <f t="shared" si="20"/>
        <v>0</v>
      </c>
      <c r="S41" s="2"/>
      <c r="T41" s="6">
        <v>29521.94</v>
      </c>
      <c r="U41" s="2"/>
      <c r="V41" s="7">
        <f t="shared" si="21"/>
        <v>0</v>
      </c>
      <c r="W41" s="2"/>
      <c r="X41" s="6">
        <f t="shared" si="22"/>
        <v>-29440.379999999997</v>
      </c>
      <c r="Y41" s="2"/>
      <c r="Z41" s="7">
        <f t="shared" si="23"/>
        <v>-0.99723730893023965</v>
      </c>
    </row>
    <row r="42" spans="1:26" s="27" customFormat="1" outlineLevel="1" collapsed="1" x14ac:dyDescent="0.25">
      <c r="A42" s="26"/>
      <c r="B42" s="12" t="str">
        <f>CONCATENATE("     ","Equipment Rental                                  ")</f>
        <v xml:space="preserve">     Equipment Rental                                  </v>
      </c>
      <c r="C42" s="12"/>
      <c r="D42" s="1">
        <f>SUM(OSRRefD22_5x_0)</f>
        <v>0</v>
      </c>
      <c r="E42" s="1"/>
      <c r="F42" s="5">
        <f t="shared" si="16"/>
        <v>0</v>
      </c>
      <c r="G42" s="1"/>
      <c r="H42" s="1">
        <f>SUM(OSRRefH22_5x_0)</f>
        <v>0</v>
      </c>
      <c r="I42" s="1"/>
      <c r="J42" s="5">
        <f t="shared" si="17"/>
        <v>0</v>
      </c>
      <c r="K42" s="1"/>
      <c r="L42" s="1">
        <f t="shared" si="18"/>
        <v>0</v>
      </c>
      <c r="M42" s="1"/>
      <c r="N42" s="5">
        <f t="shared" si="19"/>
        <v>0</v>
      </c>
      <c r="O42" s="12"/>
      <c r="P42" s="1">
        <f>SUM(OSRRefP22_5x_0)</f>
        <v>0</v>
      </c>
      <c r="Q42" s="1"/>
      <c r="R42" s="5">
        <f t="shared" si="20"/>
        <v>0</v>
      </c>
      <c r="S42" s="1"/>
      <c r="T42" s="1">
        <f>SUM(OSRRefT22_5x_0)</f>
        <v>273.77999999999997</v>
      </c>
      <c r="U42" s="1"/>
      <c r="V42" s="5">
        <f t="shared" si="21"/>
        <v>0</v>
      </c>
      <c r="W42" s="1"/>
      <c r="X42" s="1">
        <f t="shared" si="22"/>
        <v>-273.77999999999997</v>
      </c>
      <c r="Y42" s="1"/>
      <c r="Z42" s="5">
        <f t="shared" si="23"/>
        <v>-1</v>
      </c>
    </row>
    <row r="43" spans="1:26" s="23" customFormat="1" hidden="1" outlineLevel="2" x14ac:dyDescent="0.25">
      <c r="A43" s="25"/>
      <c r="B43" s="10" t="str">
        <f>CONCATENATE("          ", "6351", " - ", "EQUIPMENT RENTAL")</f>
        <v xml:space="preserve">          6351 - EQUIPMENT RENTAL</v>
      </c>
      <c r="C43" s="10"/>
      <c r="D43" s="6"/>
      <c r="E43" s="2"/>
      <c r="F43" s="7">
        <f t="shared" si="16"/>
        <v>0</v>
      </c>
      <c r="G43" s="2"/>
      <c r="H43" s="6"/>
      <c r="I43" s="2"/>
      <c r="J43" s="7">
        <f t="shared" si="17"/>
        <v>0</v>
      </c>
      <c r="K43" s="2"/>
      <c r="L43" s="6">
        <f t="shared" si="18"/>
        <v>0</v>
      </c>
      <c r="M43" s="2"/>
      <c r="N43" s="7">
        <f t="shared" si="19"/>
        <v>0</v>
      </c>
      <c r="O43" s="10"/>
      <c r="P43" s="6"/>
      <c r="Q43" s="2"/>
      <c r="R43" s="7">
        <f t="shared" si="20"/>
        <v>0</v>
      </c>
      <c r="S43" s="2"/>
      <c r="T43" s="6">
        <v>273.77999999999997</v>
      </c>
      <c r="U43" s="2"/>
      <c r="V43" s="7">
        <f t="shared" si="21"/>
        <v>0</v>
      </c>
      <c r="W43" s="2"/>
      <c r="X43" s="6">
        <f t="shared" si="22"/>
        <v>-273.77999999999997</v>
      </c>
      <c r="Y43" s="2"/>
      <c r="Z43" s="7">
        <f t="shared" si="23"/>
        <v>-1</v>
      </c>
    </row>
    <row r="44" spans="1:26" s="27" customFormat="1" outlineLevel="1" collapsed="1" x14ac:dyDescent="0.25">
      <c r="A44" s="26"/>
      <c r="B44" s="12" t="str">
        <f>CONCATENATE("     ","Freight out/Postage                               ")</f>
        <v xml:space="preserve">     Freight out/Postage                               </v>
      </c>
      <c r="C44" s="12"/>
      <c r="D44" s="1">
        <f>SUM(OSRRefD22_6x_0)</f>
        <v>3.06</v>
      </c>
      <c r="E44" s="1"/>
      <c r="F44" s="5">
        <f t="shared" si="16"/>
        <v>0</v>
      </c>
      <c r="G44" s="1"/>
      <c r="H44" s="1">
        <f>SUM(OSRRefH22_6x_0)</f>
        <v>5.5</v>
      </c>
      <c r="I44" s="1"/>
      <c r="J44" s="5">
        <f t="shared" si="17"/>
        <v>0</v>
      </c>
      <c r="K44" s="1"/>
      <c r="L44" s="1">
        <f t="shared" si="18"/>
        <v>-2.44</v>
      </c>
      <c r="M44" s="1"/>
      <c r="N44" s="5">
        <f t="shared" si="19"/>
        <v>-0.44363636363636361</v>
      </c>
      <c r="O44" s="12"/>
      <c r="P44" s="1">
        <f>SUM(OSRRefP22_6x_0)</f>
        <v>122.07</v>
      </c>
      <c r="Q44" s="1"/>
      <c r="R44" s="5">
        <f t="shared" si="20"/>
        <v>0</v>
      </c>
      <c r="S44" s="1"/>
      <c r="T44" s="1">
        <f>SUM(OSRRefT22_6x_0)</f>
        <v>1121</v>
      </c>
      <c r="U44" s="1"/>
      <c r="V44" s="5">
        <f t="shared" si="21"/>
        <v>0</v>
      </c>
      <c r="W44" s="1"/>
      <c r="X44" s="1">
        <f t="shared" si="22"/>
        <v>-998.93000000000006</v>
      </c>
      <c r="Y44" s="1"/>
      <c r="Z44" s="5">
        <f t="shared" si="23"/>
        <v>-0.89110615521855496</v>
      </c>
    </row>
    <row r="45" spans="1:26" s="23" customFormat="1" hidden="1" outlineLevel="2" x14ac:dyDescent="0.25">
      <c r="A45" s="25"/>
      <c r="B45" s="10" t="str">
        <f>CONCATENATE("          ", "6307", " - ", "POSTAGE")</f>
        <v xml:space="preserve">          6307 - POSTAGE</v>
      </c>
      <c r="C45" s="10"/>
      <c r="D45" s="6">
        <v>3.06</v>
      </c>
      <c r="E45" s="2"/>
      <c r="F45" s="7">
        <f t="shared" si="16"/>
        <v>0</v>
      </c>
      <c r="G45" s="2"/>
      <c r="H45" s="6">
        <v>5.5</v>
      </c>
      <c r="I45" s="2"/>
      <c r="J45" s="7">
        <f t="shared" si="17"/>
        <v>0</v>
      </c>
      <c r="K45" s="2"/>
      <c r="L45" s="6">
        <f t="shared" si="18"/>
        <v>-2.44</v>
      </c>
      <c r="M45" s="2"/>
      <c r="N45" s="7">
        <f t="shared" si="19"/>
        <v>-0.44363636363636361</v>
      </c>
      <c r="O45" s="10"/>
      <c r="P45" s="6">
        <v>122.07</v>
      </c>
      <c r="Q45" s="2"/>
      <c r="R45" s="7">
        <f t="shared" si="20"/>
        <v>0</v>
      </c>
      <c r="S45" s="2"/>
      <c r="T45" s="6">
        <v>1121</v>
      </c>
      <c r="U45" s="2"/>
      <c r="V45" s="7">
        <f t="shared" si="21"/>
        <v>0</v>
      </c>
      <c r="W45" s="2"/>
      <c r="X45" s="6">
        <f t="shared" si="22"/>
        <v>-998.93000000000006</v>
      </c>
      <c r="Y45" s="2"/>
      <c r="Z45" s="7">
        <f t="shared" si="23"/>
        <v>-0.89110615521855496</v>
      </c>
    </row>
    <row r="46" spans="1:26" s="27" customFormat="1" outlineLevel="1" collapsed="1" x14ac:dyDescent="0.25">
      <c r="A46" s="26"/>
      <c r="B46" s="12" t="str">
        <f>CONCATENATE("     ","General                                           ")</f>
        <v xml:space="preserve">     General                                           </v>
      </c>
      <c r="C46" s="12"/>
      <c r="D46" s="1">
        <f>SUM(OSRRefD22_7x_0)</f>
        <v>197.75</v>
      </c>
      <c r="E46" s="1"/>
      <c r="F46" s="5">
        <f t="shared" si="16"/>
        <v>0</v>
      </c>
      <c r="G46" s="1"/>
      <c r="H46" s="1">
        <f>SUM(OSRRefH22_7x_0)</f>
        <v>0</v>
      </c>
      <c r="I46" s="1"/>
      <c r="J46" s="5">
        <f t="shared" si="17"/>
        <v>0</v>
      </c>
      <c r="K46" s="1"/>
      <c r="L46" s="1">
        <f t="shared" si="18"/>
        <v>197.75</v>
      </c>
      <c r="M46" s="1"/>
      <c r="N46" s="5">
        <f t="shared" si="19"/>
        <v>0</v>
      </c>
      <c r="O46" s="12"/>
      <c r="P46" s="1">
        <f>SUM(OSRRefP22_7x_0)</f>
        <v>815.89</v>
      </c>
      <c r="Q46" s="1"/>
      <c r="R46" s="5">
        <f t="shared" si="20"/>
        <v>0</v>
      </c>
      <c r="S46" s="1"/>
      <c r="T46" s="1">
        <f>SUM(OSRRefT22_7x_0)</f>
        <v>700</v>
      </c>
      <c r="U46" s="1"/>
      <c r="V46" s="5">
        <f t="shared" si="21"/>
        <v>0</v>
      </c>
      <c r="W46" s="1"/>
      <c r="X46" s="1">
        <f t="shared" si="22"/>
        <v>115.88999999999999</v>
      </c>
      <c r="Y46" s="1"/>
      <c r="Z46" s="5">
        <f t="shared" si="23"/>
        <v>0.16555714285714285</v>
      </c>
    </row>
    <row r="47" spans="1:26" s="23" customFormat="1" hidden="1" outlineLevel="2" x14ac:dyDescent="0.25">
      <c r="A47" s="25"/>
      <c r="B47" s="10" t="str">
        <f>CONCATENATE("          ", "6279", " - ", "GENERAL EXPENSE")</f>
        <v xml:space="preserve">          6279 - GENERAL EXPENSE</v>
      </c>
      <c r="C47" s="10"/>
      <c r="D47" s="6">
        <v>197.75</v>
      </c>
      <c r="E47" s="2"/>
      <c r="F47" s="7">
        <f t="shared" si="16"/>
        <v>0</v>
      </c>
      <c r="G47" s="2"/>
      <c r="H47" s="6"/>
      <c r="I47" s="2"/>
      <c r="J47" s="7">
        <f t="shared" si="17"/>
        <v>0</v>
      </c>
      <c r="K47" s="2"/>
      <c r="L47" s="6">
        <f t="shared" si="18"/>
        <v>197.75</v>
      </c>
      <c r="M47" s="2"/>
      <c r="N47" s="7">
        <f t="shared" si="19"/>
        <v>0</v>
      </c>
      <c r="O47" s="10"/>
      <c r="P47" s="6">
        <v>815.89</v>
      </c>
      <c r="Q47" s="2"/>
      <c r="R47" s="7">
        <f t="shared" si="20"/>
        <v>0</v>
      </c>
      <c r="S47" s="2"/>
      <c r="T47" s="6">
        <v>700</v>
      </c>
      <c r="U47" s="2"/>
      <c r="V47" s="7">
        <f t="shared" si="21"/>
        <v>0</v>
      </c>
      <c r="W47" s="2"/>
      <c r="X47" s="6">
        <f t="shared" si="22"/>
        <v>115.88999999999999</v>
      </c>
      <c r="Y47" s="2"/>
      <c r="Z47" s="7">
        <f t="shared" si="23"/>
        <v>0.16555714285714285</v>
      </c>
    </row>
    <row r="48" spans="1:26" s="27" customFormat="1" outlineLevel="1" collapsed="1" x14ac:dyDescent="0.25">
      <c r="A48" s="26"/>
      <c r="B48" s="12" t="str">
        <f>CONCATENATE("     ","Insurance                                         ")</f>
        <v xml:space="preserve">     Insurance                                         </v>
      </c>
      <c r="C48" s="12"/>
      <c r="D48" s="1">
        <f>SUM(OSRRefD22_8x_0)</f>
        <v>140.56</v>
      </c>
      <c r="E48" s="1"/>
      <c r="F48" s="5">
        <f t="shared" si="16"/>
        <v>0</v>
      </c>
      <c r="G48" s="1"/>
      <c r="H48" s="1">
        <f>SUM(OSRRefH22_8x_0)</f>
        <v>65.47</v>
      </c>
      <c r="I48" s="1"/>
      <c r="J48" s="5">
        <f t="shared" si="17"/>
        <v>0</v>
      </c>
      <c r="K48" s="1"/>
      <c r="L48" s="1">
        <f t="shared" si="18"/>
        <v>75.09</v>
      </c>
      <c r="M48" s="1"/>
      <c r="N48" s="5">
        <f t="shared" si="19"/>
        <v>1.1469375286390715</v>
      </c>
      <c r="O48" s="12"/>
      <c r="P48" s="1">
        <f>SUM(OSRRefP22_8x_0)</f>
        <v>860.73</v>
      </c>
      <c r="Q48" s="1"/>
      <c r="R48" s="5">
        <f t="shared" si="20"/>
        <v>0</v>
      </c>
      <c r="S48" s="1"/>
      <c r="T48" s="1">
        <f>SUM(OSRRefT22_8x_0)</f>
        <v>785.64</v>
      </c>
      <c r="U48" s="1"/>
      <c r="V48" s="5">
        <f t="shared" si="21"/>
        <v>0</v>
      </c>
      <c r="W48" s="1"/>
      <c r="X48" s="1">
        <f t="shared" si="22"/>
        <v>75.090000000000032</v>
      </c>
      <c r="Y48" s="1"/>
      <c r="Z48" s="5">
        <f t="shared" si="23"/>
        <v>9.5578127386589315E-2</v>
      </c>
    </row>
    <row r="49" spans="1:26" s="23" customFormat="1" hidden="1" outlineLevel="2" x14ac:dyDescent="0.25">
      <c r="A49" s="25"/>
      <c r="B49" s="10" t="str">
        <f>CONCATENATE("          ", "6314", " - ", "LIABILITY INSURANCE")</f>
        <v xml:space="preserve">          6314 - LIABILITY INSURANCE</v>
      </c>
      <c r="C49" s="10"/>
      <c r="D49" s="6">
        <v>140.56</v>
      </c>
      <c r="E49" s="2"/>
      <c r="F49" s="7">
        <f t="shared" si="16"/>
        <v>0</v>
      </c>
      <c r="G49" s="2"/>
      <c r="H49" s="6">
        <v>65.47</v>
      </c>
      <c r="I49" s="2"/>
      <c r="J49" s="7">
        <f t="shared" si="17"/>
        <v>0</v>
      </c>
      <c r="K49" s="2"/>
      <c r="L49" s="6">
        <f t="shared" si="18"/>
        <v>75.09</v>
      </c>
      <c r="M49" s="2"/>
      <c r="N49" s="7">
        <f t="shared" si="19"/>
        <v>1.1469375286390715</v>
      </c>
      <c r="O49" s="10"/>
      <c r="P49" s="6">
        <v>860.73</v>
      </c>
      <c r="Q49" s="2"/>
      <c r="R49" s="7">
        <f t="shared" si="20"/>
        <v>0</v>
      </c>
      <c r="S49" s="2"/>
      <c r="T49" s="6">
        <v>785.64</v>
      </c>
      <c r="U49" s="2"/>
      <c r="V49" s="7">
        <f t="shared" si="21"/>
        <v>0</v>
      </c>
      <c r="W49" s="2"/>
      <c r="X49" s="6">
        <f t="shared" si="22"/>
        <v>75.090000000000032</v>
      </c>
      <c r="Y49" s="2"/>
      <c r="Z49" s="7">
        <f t="shared" si="23"/>
        <v>9.5578127386589315E-2</v>
      </c>
    </row>
    <row r="50" spans="1:26" s="27" customFormat="1" outlineLevel="1" collapsed="1" x14ac:dyDescent="0.25">
      <c r="A50" s="26"/>
      <c r="B50" s="12" t="str">
        <f>CONCATENATE("     ","Professional Services                             ")</f>
        <v xml:space="preserve">     Professional Services                             </v>
      </c>
      <c r="C50" s="12"/>
      <c r="D50" s="1">
        <f>SUM(OSRRefD22_9x_0)</f>
        <v>643.47</v>
      </c>
      <c r="E50" s="1"/>
      <c r="F50" s="5">
        <f t="shared" si="16"/>
        <v>0</v>
      </c>
      <c r="G50" s="1"/>
      <c r="H50" s="1">
        <f>SUM(OSRRefH22_9x_0)</f>
        <v>595</v>
      </c>
      <c r="I50" s="1"/>
      <c r="J50" s="5">
        <f t="shared" si="17"/>
        <v>0</v>
      </c>
      <c r="K50" s="1"/>
      <c r="L50" s="1">
        <f t="shared" si="18"/>
        <v>48.470000000000027</v>
      </c>
      <c r="M50" s="1"/>
      <c r="N50" s="5">
        <f t="shared" si="19"/>
        <v>8.1462184873949628E-2</v>
      </c>
      <c r="O50" s="12"/>
      <c r="P50" s="1">
        <f>SUM(OSRRefP22_9x_0)</f>
        <v>11118.35</v>
      </c>
      <c r="Q50" s="1"/>
      <c r="R50" s="5">
        <f t="shared" si="20"/>
        <v>0</v>
      </c>
      <c r="S50" s="1"/>
      <c r="T50" s="1">
        <f>SUM(OSRRefT22_9x_0)</f>
        <v>89533.52</v>
      </c>
      <c r="U50" s="1"/>
      <c r="V50" s="5">
        <f t="shared" si="21"/>
        <v>0</v>
      </c>
      <c r="W50" s="1"/>
      <c r="X50" s="1">
        <f t="shared" si="22"/>
        <v>-78415.17</v>
      </c>
      <c r="Y50" s="1"/>
      <c r="Z50" s="5">
        <f t="shared" si="23"/>
        <v>-0.87581913455429872</v>
      </c>
    </row>
    <row r="51" spans="1:26" s="23" customFormat="1" hidden="1" outlineLevel="2" x14ac:dyDescent="0.25">
      <c r="A51" s="25"/>
      <c r="B51" s="10" t="str">
        <f>CONCATENATE("          ", "6332", " - ", "CONSULTANT FEES")</f>
        <v xml:space="preserve">          6332 - CONSULTANT FEES</v>
      </c>
      <c r="C51" s="10"/>
      <c r="D51" s="6"/>
      <c r="E51" s="2"/>
      <c r="F51" s="7">
        <f t="shared" si="16"/>
        <v>0</v>
      </c>
      <c r="G51" s="2"/>
      <c r="H51" s="6"/>
      <c r="I51" s="2"/>
      <c r="J51" s="7">
        <f t="shared" si="17"/>
        <v>0</v>
      </c>
      <c r="K51" s="2"/>
      <c r="L51" s="6">
        <f t="shared" si="18"/>
        <v>0</v>
      </c>
      <c r="M51" s="2"/>
      <c r="N51" s="7">
        <f t="shared" si="19"/>
        <v>0</v>
      </c>
      <c r="O51" s="10"/>
      <c r="P51" s="6"/>
      <c r="Q51" s="2"/>
      <c r="R51" s="7">
        <f t="shared" si="20"/>
        <v>0</v>
      </c>
      <c r="S51" s="2"/>
      <c r="T51" s="6">
        <v>21750</v>
      </c>
      <c r="U51" s="2"/>
      <c r="V51" s="7">
        <f t="shared" si="21"/>
        <v>0</v>
      </c>
      <c r="W51" s="2"/>
      <c r="X51" s="6">
        <f t="shared" si="22"/>
        <v>-21750</v>
      </c>
      <c r="Y51" s="2"/>
      <c r="Z51" s="7">
        <f t="shared" si="23"/>
        <v>-1</v>
      </c>
    </row>
    <row r="52" spans="1:26" s="23" customFormat="1" hidden="1" outlineLevel="2" x14ac:dyDescent="0.25">
      <c r="A52" s="25"/>
      <c r="B52" s="10" t="str">
        <f>CONCATENATE("          ", "6334", " - ", "LEGAL COUNCIL EXPENSE")</f>
        <v xml:space="preserve">          6334 - LEGAL COUNCIL EXPENSE</v>
      </c>
      <c r="C52" s="10"/>
      <c r="D52" s="6"/>
      <c r="E52" s="2"/>
      <c r="F52" s="7">
        <f t="shared" si="16"/>
        <v>0</v>
      </c>
      <c r="G52" s="2"/>
      <c r="H52" s="6">
        <v>595</v>
      </c>
      <c r="I52" s="2"/>
      <c r="J52" s="7">
        <f t="shared" si="17"/>
        <v>0</v>
      </c>
      <c r="K52" s="2"/>
      <c r="L52" s="6">
        <f t="shared" si="18"/>
        <v>-595</v>
      </c>
      <c r="M52" s="2"/>
      <c r="N52" s="7">
        <f t="shared" si="19"/>
        <v>-1</v>
      </c>
      <c r="O52" s="10"/>
      <c r="P52" s="6">
        <v>2450</v>
      </c>
      <c r="Q52" s="2"/>
      <c r="R52" s="7">
        <f t="shared" si="20"/>
        <v>0</v>
      </c>
      <c r="S52" s="2"/>
      <c r="T52" s="6">
        <v>38605</v>
      </c>
      <c r="U52" s="2"/>
      <c r="V52" s="7">
        <f t="shared" si="21"/>
        <v>0</v>
      </c>
      <c r="W52" s="2"/>
      <c r="X52" s="6">
        <f t="shared" si="22"/>
        <v>-36155</v>
      </c>
      <c r="Y52" s="2"/>
      <c r="Z52" s="7">
        <f t="shared" si="23"/>
        <v>-0.93653671804170446</v>
      </c>
    </row>
    <row r="53" spans="1:26" s="23" customFormat="1" hidden="1" outlineLevel="2" x14ac:dyDescent="0.25">
      <c r="A53" s="25"/>
      <c r="B53" s="10" t="str">
        <f>CONCATENATE("          ", "6336", " - ", "PROFESSIONAL SERVICES")</f>
        <v xml:space="preserve">          6336 - PROFESSIONAL SERVICES</v>
      </c>
      <c r="C53" s="10"/>
      <c r="D53" s="6">
        <v>643.47</v>
      </c>
      <c r="E53" s="2"/>
      <c r="F53" s="7">
        <f t="shared" si="16"/>
        <v>0</v>
      </c>
      <c r="G53" s="2"/>
      <c r="H53" s="6"/>
      <c r="I53" s="2"/>
      <c r="J53" s="7">
        <f t="shared" si="17"/>
        <v>0</v>
      </c>
      <c r="K53" s="2"/>
      <c r="L53" s="6">
        <f t="shared" si="18"/>
        <v>643.47</v>
      </c>
      <c r="M53" s="2"/>
      <c r="N53" s="7">
        <f t="shared" si="19"/>
        <v>0</v>
      </c>
      <c r="O53" s="10"/>
      <c r="P53" s="6">
        <v>8668.35</v>
      </c>
      <c r="Q53" s="2"/>
      <c r="R53" s="7">
        <f t="shared" si="20"/>
        <v>0</v>
      </c>
      <c r="S53" s="2"/>
      <c r="T53" s="6">
        <v>29178.52</v>
      </c>
      <c r="U53" s="2"/>
      <c r="V53" s="7">
        <f t="shared" si="21"/>
        <v>0</v>
      </c>
      <c r="W53" s="2"/>
      <c r="X53" s="6">
        <f t="shared" si="22"/>
        <v>-20510.169999999998</v>
      </c>
      <c r="Y53" s="2"/>
      <c r="Z53" s="7">
        <f t="shared" si="23"/>
        <v>-0.70292016181766581</v>
      </c>
    </row>
    <row r="54" spans="1:26" s="27" customFormat="1" outlineLevel="1" collapsed="1" x14ac:dyDescent="0.25">
      <c r="A54" s="26"/>
      <c r="B54" s="12" t="str">
        <f>CONCATENATE("     ","Repair and Maintenance                            ")</f>
        <v xml:space="preserve">     Repair and Maintenance                            </v>
      </c>
      <c r="C54" s="12"/>
      <c r="D54" s="1">
        <f>SUM(OSRRefD22_10x_0)</f>
        <v>4294.53</v>
      </c>
      <c r="E54" s="1"/>
      <c r="F54" s="5">
        <f t="shared" ref="F54:F56" si="24">IF(D$12=0,0,D54/D$12)</f>
        <v>0</v>
      </c>
      <c r="G54" s="1"/>
      <c r="H54" s="1">
        <f>SUM(OSRRefH22_10x_0)</f>
        <v>5005.3900000000003</v>
      </c>
      <c r="I54" s="1"/>
      <c r="J54" s="5">
        <f t="shared" ref="J54:J56" si="25">IF(H$12=0,0,H54/H$12)</f>
        <v>0</v>
      </c>
      <c r="K54" s="1"/>
      <c r="L54" s="1">
        <f t="shared" ref="L54:L56" si="26">+D54-H54</f>
        <v>-710.86000000000058</v>
      </c>
      <c r="M54" s="1"/>
      <c r="N54" s="5">
        <f t="shared" ref="N54:N56" si="27">IF(H54=0,0,L54/H54)</f>
        <v>-0.1420189036218957</v>
      </c>
      <c r="O54" s="12"/>
      <c r="P54" s="1">
        <f>SUM(OSRRefP22_10x_0)</f>
        <v>55205.07</v>
      </c>
      <c r="Q54" s="1"/>
      <c r="R54" s="5">
        <f t="shared" ref="R54:R56" si="28">IF(P$12=0,0,P54/P$12)</f>
        <v>0</v>
      </c>
      <c r="S54" s="1"/>
      <c r="T54" s="1">
        <f>SUM(OSRRefT22_10x_0)</f>
        <v>148921.76999999999</v>
      </c>
      <c r="U54" s="1"/>
      <c r="V54" s="5">
        <f t="shared" ref="V54:V56" si="29">IF(T$12=0,0,T54/T$12)</f>
        <v>0</v>
      </c>
      <c r="W54" s="1"/>
      <c r="X54" s="1">
        <f t="shared" ref="X54:X56" si="30">+P54-T54</f>
        <v>-93716.699999999983</v>
      </c>
      <c r="Y54" s="1"/>
      <c r="Z54" s="5">
        <f t="shared" ref="Z54:Z56" si="31">IF(T54=0,0,X54/T54)</f>
        <v>-0.6293015453684172</v>
      </c>
    </row>
    <row r="55" spans="1:26" s="23" customFormat="1" hidden="1" outlineLevel="2" x14ac:dyDescent="0.25">
      <c r="A55" s="25"/>
      <c r="B55" s="10" t="str">
        <f>CONCATENATE("          ", "6371", " - ", "COMPUTER SOFTWARE MAINTENANCE")</f>
        <v xml:space="preserve">          6371 - COMPUTER SOFTWARE MAINTENANCE</v>
      </c>
      <c r="C55" s="10"/>
      <c r="D55" s="6">
        <v>4294.53</v>
      </c>
      <c r="E55" s="2"/>
      <c r="F55" s="7">
        <f t="shared" si="24"/>
        <v>0</v>
      </c>
      <c r="G55" s="2"/>
      <c r="H55" s="6">
        <v>5005.3900000000003</v>
      </c>
      <c r="I55" s="2"/>
      <c r="J55" s="7">
        <f t="shared" si="25"/>
        <v>0</v>
      </c>
      <c r="K55" s="2"/>
      <c r="L55" s="6">
        <f t="shared" si="26"/>
        <v>-710.86000000000058</v>
      </c>
      <c r="M55" s="2"/>
      <c r="N55" s="7">
        <f t="shared" si="27"/>
        <v>-0.1420189036218957</v>
      </c>
      <c r="O55" s="10"/>
      <c r="P55" s="6">
        <v>55065.919999999998</v>
      </c>
      <c r="Q55" s="2"/>
      <c r="R55" s="7">
        <f t="shared" si="28"/>
        <v>0</v>
      </c>
      <c r="S55" s="2"/>
      <c r="T55" s="6">
        <v>148094.15</v>
      </c>
      <c r="U55" s="2"/>
      <c r="V55" s="7">
        <f t="shared" si="29"/>
        <v>0</v>
      </c>
      <c r="W55" s="2"/>
      <c r="X55" s="6">
        <f t="shared" si="30"/>
        <v>-93028.23</v>
      </c>
      <c r="Y55" s="2"/>
      <c r="Z55" s="7">
        <f t="shared" si="31"/>
        <v>-0.62816951243516372</v>
      </c>
    </row>
    <row r="56" spans="1:26" s="23" customFormat="1" hidden="1" outlineLevel="2" x14ac:dyDescent="0.25">
      <c r="A56" s="25"/>
      <c r="B56" s="10" t="str">
        <f>CONCATENATE("          ", "6373", " - ", "MAINTENANCE CONTRACTS")</f>
        <v xml:space="preserve">          6373 - MAINTENANCE CONTRACTS</v>
      </c>
      <c r="C56" s="10"/>
      <c r="D56" s="6"/>
      <c r="E56" s="2"/>
      <c r="F56" s="7">
        <f t="shared" si="24"/>
        <v>0</v>
      </c>
      <c r="G56" s="2"/>
      <c r="H56" s="6"/>
      <c r="I56" s="2"/>
      <c r="J56" s="7">
        <f t="shared" si="25"/>
        <v>0</v>
      </c>
      <c r="K56" s="2"/>
      <c r="L56" s="6">
        <f t="shared" si="26"/>
        <v>0</v>
      </c>
      <c r="M56" s="2"/>
      <c r="N56" s="7">
        <f t="shared" si="27"/>
        <v>0</v>
      </c>
      <c r="O56" s="10"/>
      <c r="P56" s="6">
        <v>139.15</v>
      </c>
      <c r="Q56" s="2"/>
      <c r="R56" s="7">
        <f t="shared" si="28"/>
        <v>0</v>
      </c>
      <c r="S56" s="2"/>
      <c r="T56" s="6">
        <v>827.62</v>
      </c>
      <c r="U56" s="2"/>
      <c r="V56" s="7">
        <f t="shared" si="29"/>
        <v>0</v>
      </c>
      <c r="W56" s="2"/>
      <c r="X56" s="6">
        <f t="shared" si="30"/>
        <v>-688.47</v>
      </c>
      <c r="Y56" s="2"/>
      <c r="Z56" s="7">
        <f t="shared" si="31"/>
        <v>-0.83186728208598149</v>
      </c>
    </row>
    <row r="57" spans="1:26" s="27" customFormat="1" outlineLevel="1" collapsed="1" x14ac:dyDescent="0.25">
      <c r="A57" s="26"/>
      <c r="B57" s="12" t="str">
        <f>CONCATENATE("     ","Subscriptions &amp; Dues                              ")</f>
        <v xml:space="preserve">     Subscriptions &amp; Dues                              </v>
      </c>
      <c r="C57" s="12"/>
      <c r="D57" s="1">
        <f>SUM(OSRRefD22_11x_0)</f>
        <v>0</v>
      </c>
      <c r="E57" s="1"/>
      <c r="F57" s="5">
        <f t="shared" ref="F57:F64" si="32">IF(D$12=0,0,D57/D$12)</f>
        <v>0</v>
      </c>
      <c r="G57" s="1"/>
      <c r="H57" s="1">
        <f>SUM(OSRRefH22_11x_0)</f>
        <v>0</v>
      </c>
      <c r="I57" s="1"/>
      <c r="J57" s="5">
        <f t="shared" ref="J57:J64" si="33">IF(H$12=0,0,H57/H$12)</f>
        <v>0</v>
      </c>
      <c r="K57" s="1"/>
      <c r="L57" s="1">
        <f t="shared" ref="L57:L64" si="34">+D57-H57</f>
        <v>0</v>
      </c>
      <c r="M57" s="1"/>
      <c r="N57" s="5">
        <f t="shared" ref="N57:N64" si="35">IF(H57=0,0,L57/H57)</f>
        <v>0</v>
      </c>
      <c r="O57" s="12"/>
      <c r="P57" s="1">
        <f>SUM(OSRRefP22_11x_0)</f>
        <v>1329.99</v>
      </c>
      <c r="Q57" s="1"/>
      <c r="R57" s="5">
        <f t="shared" ref="R57:R64" si="36">IF(P$12=0,0,P57/P$12)</f>
        <v>0</v>
      </c>
      <c r="S57" s="1"/>
      <c r="T57" s="1">
        <f>SUM(OSRRefT22_11x_0)</f>
        <v>587</v>
      </c>
      <c r="U57" s="1"/>
      <c r="V57" s="5">
        <f t="shared" ref="V57:V64" si="37">IF(T$12=0,0,T57/T$12)</f>
        <v>0</v>
      </c>
      <c r="W57" s="1"/>
      <c r="X57" s="1">
        <f t="shared" ref="X57:X64" si="38">+P57-T57</f>
        <v>742.99</v>
      </c>
      <c r="Y57" s="1"/>
      <c r="Z57" s="5">
        <f t="shared" ref="Z57:Z64" si="39">IF(T57=0,0,X57/T57)</f>
        <v>1.265741056218058</v>
      </c>
    </row>
    <row r="58" spans="1:26" s="23" customFormat="1" hidden="1" outlineLevel="2" x14ac:dyDescent="0.25">
      <c r="A58" s="25"/>
      <c r="B58" s="10" t="str">
        <f>CONCATENATE("          ", "6258", " - ", "MEMBERSHIP DUES")</f>
        <v xml:space="preserve">          6258 - MEMBERSHIP DUES</v>
      </c>
      <c r="C58" s="10"/>
      <c r="D58" s="6"/>
      <c r="E58" s="2"/>
      <c r="F58" s="7">
        <f t="shared" si="32"/>
        <v>0</v>
      </c>
      <c r="G58" s="2"/>
      <c r="H58" s="6"/>
      <c r="I58" s="2"/>
      <c r="J58" s="7">
        <f t="shared" si="33"/>
        <v>0</v>
      </c>
      <c r="K58" s="2"/>
      <c r="L58" s="6">
        <f t="shared" si="34"/>
        <v>0</v>
      </c>
      <c r="M58" s="2"/>
      <c r="N58" s="7">
        <f t="shared" si="35"/>
        <v>0</v>
      </c>
      <c r="O58" s="10"/>
      <c r="P58" s="6">
        <v>1329.99</v>
      </c>
      <c r="Q58" s="2"/>
      <c r="R58" s="7">
        <f t="shared" si="36"/>
        <v>0</v>
      </c>
      <c r="S58" s="2"/>
      <c r="T58" s="6">
        <v>587</v>
      </c>
      <c r="U58" s="2"/>
      <c r="V58" s="7">
        <f t="shared" si="37"/>
        <v>0</v>
      </c>
      <c r="W58" s="2"/>
      <c r="X58" s="6">
        <f t="shared" si="38"/>
        <v>742.99</v>
      </c>
      <c r="Y58" s="2"/>
      <c r="Z58" s="7">
        <f t="shared" si="39"/>
        <v>1.265741056218058</v>
      </c>
    </row>
    <row r="59" spans="1:26" s="27" customFormat="1" outlineLevel="1" collapsed="1" x14ac:dyDescent="0.25">
      <c r="A59" s="26"/>
      <c r="B59" s="12" t="str">
        <f>CONCATENATE("     ","Supplies                                          ")</f>
        <v xml:space="preserve">     Supplies                                          </v>
      </c>
      <c r="C59" s="12"/>
      <c r="D59" s="1">
        <f>SUM(OSRRefD22_12x_0)</f>
        <v>16799.439999999999</v>
      </c>
      <c r="E59" s="1"/>
      <c r="F59" s="5">
        <f t="shared" si="32"/>
        <v>0</v>
      </c>
      <c r="G59" s="1"/>
      <c r="H59" s="1">
        <f>SUM(OSRRefH22_12x_0)</f>
        <v>1426.1899999999998</v>
      </c>
      <c r="I59" s="1"/>
      <c r="J59" s="5">
        <f t="shared" si="33"/>
        <v>0</v>
      </c>
      <c r="K59" s="1"/>
      <c r="L59" s="1">
        <f t="shared" si="34"/>
        <v>15373.249999999998</v>
      </c>
      <c r="M59" s="1"/>
      <c r="N59" s="5">
        <f t="shared" si="35"/>
        <v>10.77924399974758</v>
      </c>
      <c r="O59" s="12"/>
      <c r="P59" s="1">
        <f>SUM(OSRRefP22_12x_0)</f>
        <v>19336.810000000001</v>
      </c>
      <c r="Q59" s="1"/>
      <c r="R59" s="5">
        <f t="shared" si="36"/>
        <v>0</v>
      </c>
      <c r="S59" s="1"/>
      <c r="T59" s="1">
        <f>SUM(OSRRefT22_12x_0)</f>
        <v>18337.77</v>
      </c>
      <c r="U59" s="1"/>
      <c r="V59" s="5">
        <f t="shared" si="37"/>
        <v>0</v>
      </c>
      <c r="W59" s="1"/>
      <c r="X59" s="1">
        <f t="shared" si="38"/>
        <v>999.04000000000087</v>
      </c>
      <c r="Y59" s="1"/>
      <c r="Z59" s="5">
        <f t="shared" si="39"/>
        <v>5.4479906771652216E-2</v>
      </c>
    </row>
    <row r="60" spans="1:26" s="23" customFormat="1" hidden="1" outlineLevel="2" x14ac:dyDescent="0.25">
      <c r="A60" s="25"/>
      <c r="B60" s="10" t="str">
        <f>CONCATENATE("          ", "6235", " - ", "COVID-19 EXPENSES")</f>
        <v xml:space="preserve">          6235 - COVID-19 EXPENSES</v>
      </c>
      <c r="C60" s="10"/>
      <c r="D60" s="6"/>
      <c r="E60" s="2"/>
      <c r="F60" s="7">
        <f t="shared" si="32"/>
        <v>0</v>
      </c>
      <c r="G60" s="2"/>
      <c r="H60" s="6">
        <v>1330.84</v>
      </c>
      <c r="I60" s="2"/>
      <c r="J60" s="7">
        <f t="shared" si="33"/>
        <v>0</v>
      </c>
      <c r="K60" s="2"/>
      <c r="L60" s="6">
        <f t="shared" si="34"/>
        <v>-1330.84</v>
      </c>
      <c r="M60" s="2"/>
      <c r="N60" s="7">
        <f t="shared" si="35"/>
        <v>-1</v>
      </c>
      <c r="O60" s="10"/>
      <c r="P60" s="6">
        <v>210.58</v>
      </c>
      <c r="Q60" s="2"/>
      <c r="R60" s="7">
        <f t="shared" si="36"/>
        <v>0</v>
      </c>
      <c r="S60" s="2"/>
      <c r="T60" s="6">
        <v>1330.84</v>
      </c>
      <c r="U60" s="2"/>
      <c r="V60" s="7">
        <f t="shared" si="37"/>
        <v>0</v>
      </c>
      <c r="W60" s="2"/>
      <c r="X60" s="6">
        <f t="shared" si="38"/>
        <v>-1120.26</v>
      </c>
      <c r="Y60" s="2"/>
      <c r="Z60" s="7">
        <f t="shared" si="39"/>
        <v>-0.84176910823239459</v>
      </c>
    </row>
    <row r="61" spans="1:26" s="23" customFormat="1" hidden="1" outlineLevel="2" x14ac:dyDescent="0.25">
      <c r="A61" s="25"/>
      <c r="B61" s="10" t="str">
        <f>CONCATENATE("          ", "6241", " - ", "OFFICE EXPENSE")</f>
        <v xml:space="preserve">          6241 - OFFICE EXPENSE</v>
      </c>
      <c r="C61" s="10"/>
      <c r="D61" s="6">
        <v>257.44</v>
      </c>
      <c r="E61" s="2"/>
      <c r="F61" s="7">
        <f t="shared" si="32"/>
        <v>0</v>
      </c>
      <c r="G61" s="2"/>
      <c r="H61" s="6">
        <v>95.35</v>
      </c>
      <c r="I61" s="2"/>
      <c r="J61" s="7">
        <f t="shared" si="33"/>
        <v>0</v>
      </c>
      <c r="K61" s="2"/>
      <c r="L61" s="6">
        <f t="shared" si="34"/>
        <v>162.09</v>
      </c>
      <c r="M61" s="2"/>
      <c r="N61" s="7">
        <f t="shared" si="35"/>
        <v>1.6999475616151023</v>
      </c>
      <c r="O61" s="10"/>
      <c r="P61" s="6">
        <v>2361.52</v>
      </c>
      <c r="Q61" s="2"/>
      <c r="R61" s="7">
        <f t="shared" si="36"/>
        <v>0</v>
      </c>
      <c r="S61" s="2"/>
      <c r="T61" s="6">
        <v>12768.58</v>
      </c>
      <c r="U61" s="2"/>
      <c r="V61" s="7">
        <f t="shared" si="37"/>
        <v>0</v>
      </c>
      <c r="W61" s="2"/>
      <c r="X61" s="6">
        <f t="shared" si="38"/>
        <v>-10407.06</v>
      </c>
      <c r="Y61" s="2"/>
      <c r="Z61" s="7">
        <f t="shared" si="39"/>
        <v>-0.81505226109716189</v>
      </c>
    </row>
    <row r="62" spans="1:26" s="23" customFormat="1" hidden="1" outlineLevel="2" x14ac:dyDescent="0.25">
      <c r="A62" s="25"/>
      <c r="B62" s="10" t="str">
        <f>CONCATENATE("          ", "6244", " - ", "SAFETY SUPPLY EXPENSE")</f>
        <v xml:space="preserve">          6244 - SAFETY SUPPLY EXPENSE</v>
      </c>
      <c r="C62" s="10"/>
      <c r="D62" s="6">
        <v>125</v>
      </c>
      <c r="E62" s="2"/>
      <c r="F62" s="7">
        <f t="shared" si="32"/>
        <v>0</v>
      </c>
      <c r="G62" s="2"/>
      <c r="H62" s="6"/>
      <c r="I62" s="2"/>
      <c r="J62" s="7">
        <f t="shared" si="33"/>
        <v>0</v>
      </c>
      <c r="K62" s="2"/>
      <c r="L62" s="6">
        <f t="shared" si="34"/>
        <v>125</v>
      </c>
      <c r="M62" s="2"/>
      <c r="N62" s="7">
        <f t="shared" si="35"/>
        <v>0</v>
      </c>
      <c r="O62" s="10"/>
      <c r="P62" s="6">
        <v>347.71</v>
      </c>
      <c r="Q62" s="2"/>
      <c r="R62" s="7">
        <f t="shared" si="36"/>
        <v>0</v>
      </c>
      <c r="S62" s="2"/>
      <c r="T62" s="6">
        <v>2034.69</v>
      </c>
      <c r="U62" s="2"/>
      <c r="V62" s="7">
        <f t="shared" si="37"/>
        <v>0</v>
      </c>
      <c r="W62" s="2"/>
      <c r="X62" s="6">
        <f t="shared" si="38"/>
        <v>-1686.98</v>
      </c>
      <c r="Y62" s="2"/>
      <c r="Z62" s="7">
        <f t="shared" si="39"/>
        <v>-0.82910910261514037</v>
      </c>
    </row>
    <row r="63" spans="1:26" s="23" customFormat="1" hidden="1" outlineLevel="2" x14ac:dyDescent="0.25">
      <c r="A63" s="25"/>
      <c r="B63" s="10" t="str">
        <f>CONCATENATE("          ", "6245", " - ", "PRINTING")</f>
        <v xml:space="preserve">          6245 - PRINTING</v>
      </c>
      <c r="C63" s="10"/>
      <c r="D63" s="6"/>
      <c r="E63" s="2"/>
      <c r="F63" s="7">
        <f t="shared" si="32"/>
        <v>0</v>
      </c>
      <c r="G63" s="2"/>
      <c r="H63" s="6"/>
      <c r="I63" s="2"/>
      <c r="J63" s="7">
        <f t="shared" si="33"/>
        <v>0</v>
      </c>
      <c r="K63" s="2"/>
      <c r="L63" s="6">
        <f t="shared" si="34"/>
        <v>0</v>
      </c>
      <c r="M63" s="2"/>
      <c r="N63" s="7">
        <f t="shared" si="35"/>
        <v>0</v>
      </c>
      <c r="O63" s="10"/>
      <c r="P63" s="6"/>
      <c r="Q63" s="2"/>
      <c r="R63" s="7">
        <f t="shared" si="36"/>
        <v>0</v>
      </c>
      <c r="S63" s="2"/>
      <c r="T63" s="6">
        <v>2203.66</v>
      </c>
      <c r="U63" s="2"/>
      <c r="V63" s="7">
        <f t="shared" si="37"/>
        <v>0</v>
      </c>
      <c r="W63" s="2"/>
      <c r="X63" s="6">
        <f t="shared" si="38"/>
        <v>-2203.66</v>
      </c>
      <c r="Y63" s="2"/>
      <c r="Z63" s="7">
        <f t="shared" si="39"/>
        <v>-1</v>
      </c>
    </row>
    <row r="64" spans="1:26" s="23" customFormat="1" hidden="1" outlineLevel="2" x14ac:dyDescent="0.25">
      <c r="A64" s="25"/>
      <c r="B64" s="10" t="str">
        <f>CONCATENATE("          ", "6248", " - ", "UNIFORMS")</f>
        <v xml:space="preserve">          6248 - UNIFORMS</v>
      </c>
      <c r="C64" s="10"/>
      <c r="D64" s="6">
        <v>16417</v>
      </c>
      <c r="E64" s="2"/>
      <c r="F64" s="7">
        <f t="shared" si="32"/>
        <v>0</v>
      </c>
      <c r="G64" s="2"/>
      <c r="H64" s="6"/>
      <c r="I64" s="2"/>
      <c r="J64" s="7">
        <f t="shared" si="33"/>
        <v>0</v>
      </c>
      <c r="K64" s="2"/>
      <c r="L64" s="6">
        <f t="shared" si="34"/>
        <v>16417</v>
      </c>
      <c r="M64" s="2"/>
      <c r="N64" s="7">
        <f t="shared" si="35"/>
        <v>0</v>
      </c>
      <c r="O64" s="10"/>
      <c r="P64" s="6">
        <v>16417</v>
      </c>
      <c r="Q64" s="2"/>
      <c r="R64" s="7">
        <f t="shared" si="36"/>
        <v>0</v>
      </c>
      <c r="S64" s="2"/>
      <c r="T64" s="6"/>
      <c r="U64" s="2"/>
      <c r="V64" s="7">
        <f t="shared" si="37"/>
        <v>0</v>
      </c>
      <c r="W64" s="2"/>
      <c r="X64" s="6">
        <f t="shared" si="38"/>
        <v>16417</v>
      </c>
      <c r="Y64" s="2"/>
      <c r="Z64" s="7">
        <f t="shared" si="39"/>
        <v>0</v>
      </c>
    </row>
    <row r="65" spans="1:26" s="27" customFormat="1" outlineLevel="1" collapsed="1" x14ac:dyDescent="0.25">
      <c r="A65" s="26"/>
      <c r="B65" s="12" t="str">
        <f>CONCATENATE("     ","Telephone/Data Lines                              ")</f>
        <v xml:space="preserve">     Telephone/Data Lines                              </v>
      </c>
      <c r="C65" s="12"/>
      <c r="D65" s="1">
        <f>SUM(OSRRefD22_13x_0)</f>
        <v>424.15</v>
      </c>
      <c r="E65" s="1"/>
      <c r="F65" s="5">
        <f t="shared" ref="F65:F70" si="40">IF(D$12=0,0,D65/D$12)</f>
        <v>0</v>
      </c>
      <c r="G65" s="1"/>
      <c r="H65" s="1">
        <f>SUM(OSRRefH22_13x_0)</f>
        <v>304.85000000000002</v>
      </c>
      <c r="I65" s="1"/>
      <c r="J65" s="5">
        <f t="shared" ref="J65:J70" si="41">IF(H$12=0,0,H65/H$12)</f>
        <v>0</v>
      </c>
      <c r="K65" s="1"/>
      <c r="L65" s="1">
        <f t="shared" ref="L65:L70" si="42">+D65-H65</f>
        <v>119.29999999999995</v>
      </c>
      <c r="M65" s="1"/>
      <c r="N65" s="5">
        <f t="shared" ref="N65:N70" si="43">IF(H65=0,0,L65/H65)</f>
        <v>0.39134000328030161</v>
      </c>
      <c r="O65" s="12"/>
      <c r="P65" s="1">
        <f>SUM(OSRRefP22_13x_0)</f>
        <v>3842.4</v>
      </c>
      <c r="Q65" s="1"/>
      <c r="R65" s="5">
        <f t="shared" ref="R65:R70" si="44">IF(P$12=0,0,P65/P$12)</f>
        <v>0</v>
      </c>
      <c r="S65" s="1"/>
      <c r="T65" s="1">
        <f>SUM(OSRRefT22_13x_0)</f>
        <v>4043.67</v>
      </c>
      <c r="U65" s="1"/>
      <c r="V65" s="5">
        <f t="shared" ref="V65:V70" si="45">IF(T$12=0,0,T65/T$12)</f>
        <v>0</v>
      </c>
      <c r="W65" s="1"/>
      <c r="X65" s="1">
        <f t="shared" ref="X65:X70" si="46">+P65-T65</f>
        <v>-201.26999999999998</v>
      </c>
      <c r="Y65" s="1"/>
      <c r="Z65" s="5">
        <f t="shared" ref="Z65:Z70" si="47">IF(T65=0,0,X65/T65)</f>
        <v>-4.9774091357603363E-2</v>
      </c>
    </row>
    <row r="66" spans="1:26" s="23" customFormat="1" hidden="1" outlineLevel="2" x14ac:dyDescent="0.25">
      <c r="A66" s="25"/>
      <c r="B66" s="10" t="str">
        <f>CONCATENATE("          ", "6309", " - ", "TELEPHONE")</f>
        <v xml:space="preserve">          6309 - TELEPHONE</v>
      </c>
      <c r="C66" s="10"/>
      <c r="D66" s="6">
        <v>424.15</v>
      </c>
      <c r="E66" s="2"/>
      <c r="F66" s="7">
        <f t="shared" si="40"/>
        <v>0</v>
      </c>
      <c r="G66" s="2"/>
      <c r="H66" s="6">
        <v>304.85000000000002</v>
      </c>
      <c r="I66" s="2"/>
      <c r="J66" s="7">
        <f t="shared" si="41"/>
        <v>0</v>
      </c>
      <c r="K66" s="2"/>
      <c r="L66" s="6">
        <f t="shared" si="42"/>
        <v>119.29999999999995</v>
      </c>
      <c r="M66" s="2"/>
      <c r="N66" s="7">
        <f t="shared" si="43"/>
        <v>0.39134000328030161</v>
      </c>
      <c r="O66" s="10"/>
      <c r="P66" s="6">
        <v>3842.4</v>
      </c>
      <c r="Q66" s="2"/>
      <c r="R66" s="7">
        <f t="shared" si="44"/>
        <v>0</v>
      </c>
      <c r="S66" s="2"/>
      <c r="T66" s="6">
        <v>4043.67</v>
      </c>
      <c r="U66" s="2"/>
      <c r="V66" s="7">
        <f t="shared" si="45"/>
        <v>0</v>
      </c>
      <c r="W66" s="2"/>
      <c r="X66" s="6">
        <f t="shared" si="46"/>
        <v>-201.26999999999998</v>
      </c>
      <c r="Y66" s="2"/>
      <c r="Z66" s="7">
        <f t="shared" si="47"/>
        <v>-4.9774091357603363E-2</v>
      </c>
    </row>
    <row r="67" spans="1:26" s="27" customFormat="1" outlineLevel="1" collapsed="1" x14ac:dyDescent="0.25">
      <c r="A67" s="26"/>
      <c r="B67" s="12" t="str">
        <f>CONCATENATE("     ","Training                                          ")</f>
        <v xml:space="preserve">     Training                                          </v>
      </c>
      <c r="C67" s="12"/>
      <c r="D67" s="1">
        <f>SUM(OSRRefD22_14x_0)</f>
        <v>0</v>
      </c>
      <c r="E67" s="1"/>
      <c r="F67" s="5">
        <f t="shared" si="40"/>
        <v>0</v>
      </c>
      <c r="G67" s="1"/>
      <c r="H67" s="1">
        <f>SUM(OSRRefH22_14x_0)</f>
        <v>0</v>
      </c>
      <c r="I67" s="1"/>
      <c r="J67" s="5">
        <f t="shared" si="41"/>
        <v>0</v>
      </c>
      <c r="K67" s="1"/>
      <c r="L67" s="1">
        <f t="shared" si="42"/>
        <v>0</v>
      </c>
      <c r="M67" s="1"/>
      <c r="N67" s="5">
        <f t="shared" si="43"/>
        <v>0</v>
      </c>
      <c r="O67" s="12"/>
      <c r="P67" s="1">
        <f>SUM(OSRRefP22_14x_0)</f>
        <v>-97</v>
      </c>
      <c r="Q67" s="1"/>
      <c r="R67" s="5">
        <f t="shared" si="44"/>
        <v>0</v>
      </c>
      <c r="S67" s="1"/>
      <c r="T67" s="1">
        <f>SUM(OSRRefT22_14x_0)</f>
        <v>10624.8</v>
      </c>
      <c r="U67" s="1"/>
      <c r="V67" s="5">
        <f t="shared" si="45"/>
        <v>0</v>
      </c>
      <c r="W67" s="1"/>
      <c r="X67" s="1">
        <f t="shared" si="46"/>
        <v>-10721.8</v>
      </c>
      <c r="Y67" s="1"/>
      <c r="Z67" s="5">
        <f t="shared" si="47"/>
        <v>-1.0091295836156915</v>
      </c>
    </row>
    <row r="68" spans="1:26" s="23" customFormat="1" hidden="1" outlineLevel="2" x14ac:dyDescent="0.25">
      <c r="A68" s="25"/>
      <c r="B68" s="10" t="str">
        <f>CONCATENATE("          ", "6376", " - ", "TRAINING")</f>
        <v xml:space="preserve">          6376 - TRAINING</v>
      </c>
      <c r="C68" s="10"/>
      <c r="D68" s="6"/>
      <c r="E68" s="2"/>
      <c r="F68" s="7">
        <f t="shared" si="40"/>
        <v>0</v>
      </c>
      <c r="G68" s="2"/>
      <c r="H68" s="6"/>
      <c r="I68" s="2"/>
      <c r="J68" s="7">
        <f t="shared" si="41"/>
        <v>0</v>
      </c>
      <c r="K68" s="2"/>
      <c r="L68" s="6">
        <f t="shared" si="42"/>
        <v>0</v>
      </c>
      <c r="M68" s="2"/>
      <c r="N68" s="7">
        <f t="shared" si="43"/>
        <v>0</v>
      </c>
      <c r="O68" s="10"/>
      <c r="P68" s="6">
        <v>-97</v>
      </c>
      <c r="Q68" s="2"/>
      <c r="R68" s="7">
        <f t="shared" si="44"/>
        <v>0</v>
      </c>
      <c r="S68" s="2"/>
      <c r="T68" s="6">
        <v>10624.8</v>
      </c>
      <c r="U68" s="2"/>
      <c r="V68" s="7">
        <f t="shared" si="45"/>
        <v>0</v>
      </c>
      <c r="W68" s="2"/>
      <c r="X68" s="6">
        <f t="shared" si="46"/>
        <v>-10721.8</v>
      </c>
      <c r="Y68" s="2"/>
      <c r="Z68" s="7">
        <f t="shared" si="47"/>
        <v>-1.0091295836156915</v>
      </c>
    </row>
    <row r="69" spans="1:26" s="27" customFormat="1" outlineLevel="1" collapsed="1" x14ac:dyDescent="0.25">
      <c r="A69" s="26"/>
      <c r="B69" s="12" t="str">
        <f>CONCATENATE("     ","Travel                                            ")</f>
        <v xml:space="preserve">     Travel                                            </v>
      </c>
      <c r="C69" s="12"/>
      <c r="D69" s="1">
        <f>SUM(OSRRefD22_15x_0)</f>
        <v>0</v>
      </c>
      <c r="E69" s="1"/>
      <c r="F69" s="5">
        <f t="shared" si="40"/>
        <v>0</v>
      </c>
      <c r="G69" s="1"/>
      <c r="H69" s="1">
        <f>SUM(OSRRefH22_15x_0)</f>
        <v>0</v>
      </c>
      <c r="I69" s="1"/>
      <c r="J69" s="5">
        <f t="shared" si="41"/>
        <v>0</v>
      </c>
      <c r="K69" s="1"/>
      <c r="L69" s="1">
        <f t="shared" si="42"/>
        <v>0</v>
      </c>
      <c r="M69" s="1"/>
      <c r="N69" s="5">
        <f t="shared" si="43"/>
        <v>0</v>
      </c>
      <c r="O69" s="12"/>
      <c r="P69" s="1">
        <f>SUM(OSRRefP22_15x_0)</f>
        <v>720</v>
      </c>
      <c r="Q69" s="1"/>
      <c r="R69" s="5">
        <f t="shared" si="44"/>
        <v>0</v>
      </c>
      <c r="S69" s="1"/>
      <c r="T69" s="1">
        <f>SUM(OSRRefT22_15x_0)</f>
        <v>3487.01</v>
      </c>
      <c r="U69" s="1"/>
      <c r="V69" s="5">
        <f t="shared" si="45"/>
        <v>0</v>
      </c>
      <c r="W69" s="1"/>
      <c r="X69" s="1">
        <f t="shared" si="46"/>
        <v>-2767.01</v>
      </c>
      <c r="Y69" s="1"/>
      <c r="Z69" s="5">
        <f t="shared" si="47"/>
        <v>-0.79351937619909318</v>
      </c>
    </row>
    <row r="70" spans="1:26" s="23" customFormat="1" hidden="1" outlineLevel="2" x14ac:dyDescent="0.25">
      <c r="A70" s="25"/>
      <c r="B70" s="10" t="str">
        <f>CONCATENATE("          ", "6292", " - ", "TRAVEL/CONFERENCE")</f>
        <v xml:space="preserve">          6292 - TRAVEL/CONFERENCE</v>
      </c>
      <c r="C70" s="10"/>
      <c r="D70" s="6"/>
      <c r="E70" s="2"/>
      <c r="F70" s="7">
        <f t="shared" si="40"/>
        <v>0</v>
      </c>
      <c r="G70" s="2"/>
      <c r="H70" s="6"/>
      <c r="I70" s="2"/>
      <c r="J70" s="7">
        <f t="shared" si="41"/>
        <v>0</v>
      </c>
      <c r="K70" s="2"/>
      <c r="L70" s="6">
        <f t="shared" si="42"/>
        <v>0</v>
      </c>
      <c r="M70" s="2"/>
      <c r="N70" s="7">
        <f t="shared" si="43"/>
        <v>0</v>
      </c>
      <c r="O70" s="10"/>
      <c r="P70" s="6">
        <v>720</v>
      </c>
      <c r="Q70" s="2"/>
      <c r="R70" s="7">
        <f t="shared" si="44"/>
        <v>0</v>
      </c>
      <c r="S70" s="2"/>
      <c r="T70" s="6">
        <v>3487.01</v>
      </c>
      <c r="U70" s="2"/>
      <c r="V70" s="7">
        <f t="shared" si="45"/>
        <v>0</v>
      </c>
      <c r="W70" s="2"/>
      <c r="X70" s="6">
        <f t="shared" si="46"/>
        <v>-2767.01</v>
      </c>
      <c r="Y70" s="2"/>
      <c r="Z70" s="7">
        <f t="shared" si="47"/>
        <v>-0.79351937619909318</v>
      </c>
    </row>
    <row r="71" spans="1:26" s="52" customFormat="1" x14ac:dyDescent="0.25">
      <c r="A71" s="37"/>
      <c r="B71" s="37"/>
      <c r="C71" s="37"/>
      <c r="D71" s="1"/>
      <c r="E71" s="1"/>
      <c r="F71" s="5"/>
      <c r="G71" s="1"/>
      <c r="H71" s="1"/>
      <c r="I71" s="1"/>
      <c r="J71" s="5"/>
      <c r="K71" s="1"/>
      <c r="L71" s="1"/>
      <c r="M71" s="1"/>
      <c r="N71" s="5"/>
      <c r="O71" s="37"/>
      <c r="P71" s="1"/>
      <c r="Q71" s="1"/>
      <c r="R71" s="5"/>
      <c r="S71" s="1"/>
      <c r="T71" s="1"/>
      <c r="U71" s="1"/>
      <c r="V71" s="5"/>
      <c r="W71" s="1"/>
      <c r="X71" s="1"/>
      <c r="Y71" s="1"/>
      <c r="Z71" s="5"/>
    </row>
    <row r="72" spans="1:26" s="24" customFormat="1" x14ac:dyDescent="0.25">
      <c r="A72" s="11"/>
      <c r="B72" s="29" t="s">
        <v>292</v>
      </c>
      <c r="C72" s="11"/>
      <c r="D72" s="4">
        <f>SUM(0)</f>
        <v>0</v>
      </c>
      <c r="E72" s="4"/>
      <c r="F72" s="13">
        <f>IF(D$12=0,0,D72/D$12)</f>
        <v>0</v>
      </c>
      <c r="G72" s="4"/>
      <c r="H72" s="4">
        <f>SUM(0)</f>
        <v>0</v>
      </c>
      <c r="I72" s="4"/>
      <c r="J72" s="13">
        <f>IF(H$12=0,0,H72/H$12)</f>
        <v>0</v>
      </c>
      <c r="K72" s="4"/>
      <c r="L72" s="4">
        <f>+D72-H72</f>
        <v>0</v>
      </c>
      <c r="M72" s="4"/>
      <c r="N72" s="13">
        <f>IF(H72=0,0,L72/H72)</f>
        <v>0</v>
      </c>
      <c r="O72" s="11"/>
      <c r="P72" s="4">
        <f>SUM(0)</f>
        <v>0</v>
      </c>
      <c r="Q72" s="4"/>
      <c r="R72" s="13">
        <f>IF(P$12=0,0,P72/P$12)</f>
        <v>0</v>
      </c>
      <c r="S72" s="4"/>
      <c r="T72" s="4">
        <f>SUM(0)</f>
        <v>0</v>
      </c>
      <c r="U72" s="4"/>
      <c r="V72" s="13">
        <f>IF(T$12=0,0,T72/T$12)</f>
        <v>0</v>
      </c>
      <c r="W72" s="4"/>
      <c r="X72" s="4">
        <f>+P72-T72</f>
        <v>0</v>
      </c>
      <c r="Y72" s="4"/>
      <c r="Z72" s="13">
        <f>IF(T72=0,0,X72/T72)</f>
        <v>0</v>
      </c>
    </row>
    <row r="73" spans="1:26" x14ac:dyDescent="0.25">
      <c r="A73" s="9"/>
      <c r="B73" s="11"/>
      <c r="C73" s="11"/>
      <c r="D73" s="3"/>
      <c r="E73" s="3"/>
      <c r="F73" s="8"/>
      <c r="G73" s="3"/>
      <c r="H73" s="3"/>
      <c r="I73" s="3"/>
      <c r="J73" s="8"/>
      <c r="K73" s="3"/>
      <c r="L73" s="3"/>
      <c r="M73" s="3"/>
      <c r="N73" s="8"/>
      <c r="O73" s="11"/>
      <c r="P73" s="3"/>
      <c r="Q73" s="3"/>
      <c r="R73" s="8"/>
      <c r="S73" s="3"/>
      <c r="T73" s="3"/>
      <c r="U73" s="3"/>
      <c r="V73" s="8"/>
      <c r="W73" s="3"/>
      <c r="X73" s="3"/>
      <c r="Y73" s="3"/>
      <c r="Z73" s="8"/>
    </row>
    <row r="74" spans="1:26" s="24" customFormat="1" x14ac:dyDescent="0.25">
      <c r="A74" s="11"/>
      <c r="B74" s="28" t="s">
        <v>276</v>
      </c>
      <c r="C74" s="28"/>
      <c r="D74" s="21">
        <f>+D16-D18+D72</f>
        <v>-570303.8600000001</v>
      </c>
      <c r="E74" s="14"/>
      <c r="F74" s="22">
        <f>IF(D$12=0,0,D74/D$12)</f>
        <v>0</v>
      </c>
      <c r="G74" s="14"/>
      <c r="H74" s="21">
        <f>+H16-H18+H72</f>
        <v>-43972.88</v>
      </c>
      <c r="I74" s="14"/>
      <c r="J74" s="22">
        <f>IF(H$12=0,0,H74/H$12)</f>
        <v>0</v>
      </c>
      <c r="K74" s="15"/>
      <c r="L74" s="21">
        <f>+D74-H74</f>
        <v>-526330.9800000001</v>
      </c>
      <c r="M74" s="15"/>
      <c r="N74" s="22">
        <f>IF(H74=0,0,L74/H74)</f>
        <v>11.969445258077254</v>
      </c>
      <c r="O74" s="29"/>
      <c r="P74" s="21">
        <f>+P16-P18+P72</f>
        <v>-1064935.8900000001</v>
      </c>
      <c r="Q74" s="14"/>
      <c r="R74" s="22">
        <f>IF(P$12=0,0,P74/P$12)</f>
        <v>0</v>
      </c>
      <c r="S74" s="14"/>
      <c r="T74" s="21">
        <f>+T16-T18+T72</f>
        <v>-802300.28000000014</v>
      </c>
      <c r="U74" s="14"/>
      <c r="V74" s="22">
        <f>IF(T$12=0,0,T74/T$12)</f>
        <v>0</v>
      </c>
      <c r="W74" s="15"/>
      <c r="X74" s="21">
        <f>+P74-T74</f>
        <v>-262635.61</v>
      </c>
      <c r="Y74" s="15"/>
      <c r="Z74" s="22">
        <f>IF(T74=0,0,X74/T74)</f>
        <v>0.32735325731158904</v>
      </c>
    </row>
    <row r="75" spans="1:26" x14ac:dyDescent="0.25">
      <c r="A75" s="9"/>
      <c r="B75" s="11"/>
      <c r="C75" s="9"/>
      <c r="D75" s="3"/>
      <c r="E75" s="3"/>
      <c r="F75" s="8"/>
      <c r="G75" s="3"/>
      <c r="H75" s="3"/>
      <c r="I75" s="3"/>
      <c r="J75" s="8"/>
      <c r="K75" s="3"/>
      <c r="L75" s="3"/>
      <c r="M75" s="3"/>
      <c r="N75" s="8"/>
      <c r="P75" s="3"/>
      <c r="Q75" s="3"/>
      <c r="R75" s="8"/>
      <c r="S75" s="3"/>
      <c r="T75" s="3"/>
      <c r="U75" s="3"/>
      <c r="V75" s="8"/>
      <c r="W75" s="3"/>
      <c r="X75" s="3"/>
      <c r="Y75" s="3"/>
      <c r="Z75" s="8"/>
    </row>
    <row r="76" spans="1:26" s="24" customFormat="1" x14ac:dyDescent="0.25">
      <c r="A76" s="51"/>
      <c r="B76" s="11" t="s">
        <v>127</v>
      </c>
      <c r="C76" s="11"/>
      <c r="D76" s="4"/>
      <c r="E76" s="4"/>
      <c r="F76" s="13">
        <f>IF(D$12=0,0,D76/D$12)</f>
        <v>0</v>
      </c>
      <c r="G76" s="4"/>
      <c r="H76" s="4"/>
      <c r="I76" s="4"/>
      <c r="J76" s="13">
        <f>IF(H$12=0,0,H76/H$12)</f>
        <v>0</v>
      </c>
      <c r="K76" s="4"/>
      <c r="L76" s="4">
        <f>+D76-H76</f>
        <v>0</v>
      </c>
      <c r="M76" s="4"/>
      <c r="N76" s="13">
        <f>IF(H76=0,0,L76/H76)</f>
        <v>0</v>
      </c>
      <c r="O76" s="11"/>
      <c r="P76" s="4"/>
      <c r="Q76" s="4"/>
      <c r="R76" s="13">
        <f>IF(P$12=0,0,P76/P$12)</f>
        <v>0</v>
      </c>
      <c r="S76" s="4"/>
      <c r="T76" s="4"/>
      <c r="U76" s="4"/>
      <c r="V76" s="13">
        <f>IF(T$12=0,0,T76/T$12)</f>
        <v>0</v>
      </c>
      <c r="W76" s="4"/>
      <c r="X76" s="4">
        <f>+P76-T76</f>
        <v>0</v>
      </c>
      <c r="Y76" s="4"/>
      <c r="Z76" s="13">
        <f>IF(T76=0,0,X76/T76)</f>
        <v>0</v>
      </c>
    </row>
    <row r="77" spans="1:26" x14ac:dyDescent="0.25">
      <c r="A77" s="9"/>
      <c r="B77" s="11"/>
      <c r="C77" s="11"/>
      <c r="D77" s="3"/>
      <c r="E77" s="3"/>
      <c r="F77" s="8"/>
      <c r="G77" s="3"/>
      <c r="H77" s="3"/>
      <c r="I77" s="3"/>
      <c r="J77" s="8"/>
      <c r="K77" s="3"/>
      <c r="L77" s="3"/>
      <c r="M77" s="3"/>
      <c r="N77" s="8"/>
      <c r="O77" s="11"/>
      <c r="P77" s="3"/>
      <c r="Q77" s="3"/>
      <c r="R77" s="8"/>
      <c r="S77" s="3"/>
      <c r="T77" s="3"/>
      <c r="U77" s="3"/>
      <c r="V77" s="8"/>
      <c r="W77" s="3"/>
      <c r="X77" s="3"/>
      <c r="Y77" s="3"/>
      <c r="Z77" s="8"/>
    </row>
    <row r="78" spans="1:26" s="24" customFormat="1" ht="15.75" thickBot="1" x14ac:dyDescent="0.3">
      <c r="A78" s="11"/>
      <c r="B78" s="28" t="s">
        <v>125</v>
      </c>
      <c r="C78" s="28"/>
      <c r="D78" s="34">
        <f>+D74-D76</f>
        <v>-570303.8600000001</v>
      </c>
      <c r="E78" s="14"/>
      <c r="F78" s="31">
        <f>IF(D$12=0,0,D78/D$12)</f>
        <v>0</v>
      </c>
      <c r="G78" s="14"/>
      <c r="H78" s="34">
        <f>+H74-H76</f>
        <v>-43972.88</v>
      </c>
      <c r="I78" s="14"/>
      <c r="J78" s="31">
        <f>IF(H$12=0,0,H78/H$12)</f>
        <v>0</v>
      </c>
      <c r="K78" s="15"/>
      <c r="L78" s="34">
        <f>D78-H78</f>
        <v>-526330.9800000001</v>
      </c>
      <c r="M78" s="15"/>
      <c r="N78" s="31">
        <f>IF(H78=0,0,L78/H78)</f>
        <v>11.969445258077254</v>
      </c>
      <c r="O78" s="29"/>
      <c r="P78" s="34">
        <f>+P74-P76</f>
        <v>-1064935.8900000001</v>
      </c>
      <c r="Q78" s="14"/>
      <c r="R78" s="31">
        <f>IF(P$12=0,0,P78/P$12)</f>
        <v>0</v>
      </c>
      <c r="S78" s="14"/>
      <c r="T78" s="34">
        <f>+T74-T76</f>
        <v>-802300.28000000014</v>
      </c>
      <c r="U78" s="14"/>
      <c r="V78" s="31">
        <f>IF(T$12=0,0,T78/T$12)</f>
        <v>0</v>
      </c>
      <c r="W78" s="15"/>
      <c r="X78" s="34">
        <f>P78-T78</f>
        <v>-262635.61</v>
      </c>
      <c r="Y78" s="15"/>
      <c r="Z78" s="31">
        <f>IF(T78=0,0,X78/T78)</f>
        <v>0.32735325731158904</v>
      </c>
    </row>
    <row r="79" spans="1:26" ht="15.75" thickTop="1" x14ac:dyDescent="0.25">
      <c r="A79" s="9"/>
      <c r="B79" s="9"/>
      <c r="C79" s="9"/>
      <c r="D79" s="3"/>
      <c r="E79" s="3"/>
      <c r="F79" s="8"/>
      <c r="G79" s="3"/>
      <c r="H79" s="3"/>
      <c r="I79" s="3"/>
      <c r="J79" s="8"/>
      <c r="K79" s="3"/>
      <c r="L79" s="3"/>
      <c r="M79" s="3"/>
      <c r="N79" s="8"/>
      <c r="P79" s="3"/>
      <c r="Q79" s="3"/>
      <c r="R79" s="8"/>
      <c r="S79" s="3"/>
      <c r="T79" s="3"/>
      <c r="U79" s="3"/>
      <c r="V79" s="8"/>
      <c r="W79" s="3"/>
      <c r="X79" s="3"/>
      <c r="Y79" s="3"/>
      <c r="Z79" s="8"/>
    </row>
    <row r="80" spans="1:26" x14ac:dyDescent="0.25">
      <c r="A80" s="9"/>
      <c r="B80" s="9"/>
      <c r="C80" s="9"/>
      <c r="D80" s="3"/>
      <c r="E80" s="3"/>
      <c r="F80" s="8"/>
      <c r="G80" s="3"/>
      <c r="H80" s="3"/>
      <c r="I80" s="3"/>
      <c r="J80" s="8"/>
      <c r="K80" s="3"/>
      <c r="L80" s="3"/>
      <c r="M80" s="3"/>
      <c r="N80" s="8"/>
      <c r="P80" s="3"/>
      <c r="Q80" s="3"/>
      <c r="R80" s="8"/>
      <c r="S80" s="3"/>
      <c r="T80" s="3"/>
      <c r="U80" s="3"/>
      <c r="V80" s="8"/>
      <c r="W80" s="3"/>
      <c r="X80" s="3"/>
      <c r="Y80" s="3"/>
      <c r="Z80" s="8"/>
    </row>
    <row r="81" spans="1:26" s="24" customFormat="1" ht="15.75" thickBot="1" x14ac:dyDescent="0.3">
      <c r="A81" s="11"/>
      <c r="B81" s="28" t="s">
        <v>293</v>
      </c>
      <c r="C81" s="28"/>
      <c r="D81" s="33">
        <f>SUM(D78:D80)</f>
        <v>-570303.8600000001</v>
      </c>
      <c r="E81" s="14"/>
      <c r="F81" s="35">
        <f>IF(D$12=0,0,D81/D$12)</f>
        <v>0</v>
      </c>
      <c r="G81" s="14"/>
      <c r="H81" s="33">
        <f>SUM(H78:H80)</f>
        <v>-43972.88</v>
      </c>
      <c r="I81" s="14"/>
      <c r="J81" s="35">
        <f>IF(H$12=0,0,H81/H$12)</f>
        <v>0</v>
      </c>
      <c r="K81" s="15"/>
      <c r="L81" s="33">
        <f>+D81-H81</f>
        <v>-526330.9800000001</v>
      </c>
      <c r="M81" s="15"/>
      <c r="N81" s="35">
        <f>IF(H81=0,0,L81/H81)</f>
        <v>11.969445258077254</v>
      </c>
      <c r="O81" s="29"/>
      <c r="P81" s="33">
        <f>SUM(P78:P80)</f>
        <v>-1064935.8900000001</v>
      </c>
      <c r="Q81" s="14"/>
      <c r="R81" s="35">
        <f>IF(P$12=0,0,P81/P$12)</f>
        <v>0</v>
      </c>
      <c r="S81" s="14"/>
      <c r="T81" s="33">
        <f>SUM(T78:T80)</f>
        <v>-802300.28000000014</v>
      </c>
      <c r="U81" s="14"/>
      <c r="V81" s="35">
        <f>IF(T$12=0,0,T81/T$12)</f>
        <v>0</v>
      </c>
      <c r="W81" s="15"/>
      <c r="X81" s="33">
        <f>+P81-T81</f>
        <v>-262635.61</v>
      </c>
      <c r="Y81" s="15"/>
      <c r="Z81" s="35">
        <f>IF(T81=0,0,X81/T81)</f>
        <v>0.32735325731158904</v>
      </c>
    </row>
    <row r="82" spans="1:26" ht="15.75" thickTop="1" x14ac:dyDescent="0.25">
      <c r="A82" s="9"/>
      <c r="C82" s="9"/>
      <c r="D82" s="18"/>
      <c r="E82" s="18"/>
      <c r="G82" s="18"/>
      <c r="H82" s="18"/>
      <c r="I82" s="18"/>
      <c r="J82" s="43"/>
      <c r="K82" s="18"/>
      <c r="L82" s="18"/>
      <c r="M82" s="18"/>
      <c r="P82" s="18"/>
      <c r="Q82" s="18"/>
      <c r="R82" s="43"/>
      <c r="S82" s="18"/>
      <c r="T82" s="18"/>
      <c r="U82" s="18"/>
      <c r="V82" s="43"/>
      <c r="W82" s="18"/>
      <c r="X82" s="18"/>
    </row>
    <row r="83" spans="1:26" x14ac:dyDescent="0.25">
      <c r="A83" s="9"/>
      <c r="B83" s="56">
        <v>44454.698585613427</v>
      </c>
      <c r="D83" s="18"/>
      <c r="E83" s="18"/>
      <c r="G83" s="18"/>
      <c r="H83" s="18"/>
      <c r="I83" s="18"/>
      <c r="J83" s="43"/>
      <c r="K83" s="18"/>
      <c r="L83" s="18"/>
      <c r="M83" s="18"/>
      <c r="P83" s="18"/>
      <c r="Q83" s="18"/>
      <c r="R83" s="43"/>
      <c r="S83" s="18"/>
      <c r="T83" s="18"/>
      <c r="U83" s="18"/>
      <c r="V83" s="43"/>
      <c r="W83" s="18"/>
      <c r="X83" s="18"/>
    </row>
    <row r="84" spans="1:26" x14ac:dyDescent="0.25">
      <c r="A84" s="9"/>
      <c r="B84" s="55" t="s">
        <v>56</v>
      </c>
      <c r="D84" s="18"/>
      <c r="E84" s="18"/>
      <c r="G84" s="18"/>
      <c r="H84" s="18"/>
      <c r="I84" s="18"/>
      <c r="J84" s="43"/>
      <c r="K84" s="18"/>
      <c r="L84" s="18"/>
      <c r="M84" s="18"/>
      <c r="P84" s="18"/>
      <c r="Q84" s="18"/>
      <c r="R84" s="43"/>
      <c r="S84" s="18"/>
      <c r="T84" s="18"/>
      <c r="U84" s="18"/>
      <c r="V84" s="43"/>
      <c r="W84" s="18"/>
      <c r="X84" s="18"/>
    </row>
    <row r="85" spans="1:26" x14ac:dyDescent="0.25">
      <c r="A85" s="9"/>
      <c r="B85" s="60"/>
      <c r="D85" s="18"/>
      <c r="E85" s="18"/>
      <c r="G85" s="18"/>
      <c r="H85" s="18"/>
      <c r="I85" s="18"/>
      <c r="J85" s="43"/>
      <c r="K85" s="18"/>
      <c r="L85" s="18"/>
      <c r="M85" s="18"/>
      <c r="P85" s="18"/>
      <c r="Q85" s="18"/>
      <c r="R85" s="43"/>
      <c r="S85" s="18"/>
      <c r="T85" s="18"/>
      <c r="U85" s="18"/>
      <c r="V85" s="43"/>
      <c r="W85" s="18"/>
      <c r="X85" s="18"/>
    </row>
    <row r="86" spans="1:26" x14ac:dyDescent="0.25">
      <c r="D86" s="18"/>
      <c r="E86" s="18"/>
      <c r="G86" s="18"/>
      <c r="H86" s="18"/>
      <c r="I86" s="18"/>
      <c r="J86" s="43"/>
      <c r="K86" s="18"/>
      <c r="L86" s="18"/>
      <c r="M86" s="18"/>
      <c r="P86" s="18"/>
      <c r="Q86" s="18"/>
      <c r="R86" s="43"/>
      <c r="S86" s="18"/>
      <c r="T86" s="18"/>
      <c r="U86" s="18"/>
      <c r="V86" s="43"/>
      <c r="W86" s="18"/>
      <c r="X86" s="18"/>
    </row>
  </sheetData>
  <pageMargins left="0.25" right="0.25" top="0.75" bottom="0.75" header="0.3" footer="0.3"/>
  <pageSetup scale="55" fitToWidth="2" orientation="landscape"/>
  <drawing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>
    <tabColor rgb="FF92D050"/>
    <outlinePr summaryBelow="0" summaryRight="0"/>
  </sheetPr>
  <dimension ref="A2:Z73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62" t="s">
        <v>23</v>
      </c>
    </row>
    <row r="3" spans="1:26" x14ac:dyDescent="0.25">
      <c r="D3" s="62" t="s">
        <v>236</v>
      </c>
      <c r="E3" s="17"/>
      <c r="F3" s="46"/>
      <c r="G3" s="17"/>
      <c r="H3" s="17"/>
      <c r="I3" s="17"/>
      <c r="J3" s="38"/>
      <c r="K3" s="17"/>
      <c r="L3" s="17"/>
      <c r="M3" s="17"/>
      <c r="N3" s="46"/>
      <c r="O3" s="53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2" t="str">
        <f>CONCATENATE("Period ",RIGHT(202112,2),", ",2021)</f>
        <v>Period 12, 2021</v>
      </c>
      <c r="E4" s="17"/>
      <c r="F4" s="46"/>
      <c r="G4" s="17"/>
      <c r="H4" s="17"/>
      <c r="I4" s="17"/>
      <c r="J4" s="38"/>
      <c r="K4" s="17"/>
      <c r="L4" s="17"/>
      <c r="M4" s="17"/>
      <c r="N4" s="46"/>
      <c r="O4" s="53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4"/>
      <c r="D5" s="63">
        <v>44377</v>
      </c>
      <c r="E5" s="17"/>
      <c r="F5" s="46"/>
      <c r="G5" s="17"/>
      <c r="H5" s="17"/>
      <c r="I5" s="17"/>
      <c r="J5" s="38"/>
      <c r="K5" s="17"/>
      <c r="L5" s="17"/>
      <c r="M5" s="17"/>
      <c r="N5" s="46"/>
      <c r="O5" s="53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4"/>
      <c r="B6" s="48"/>
      <c r="C6" s="48"/>
      <c r="D6" s="24" t="str">
        <f>CONCATENATE("Department ","204", " - ", "Information Technology")</f>
        <v>Department 204 - Information Technology</v>
      </c>
      <c r="E6" s="17"/>
      <c r="F6" s="46"/>
      <c r="G6" s="17"/>
      <c r="H6" s="17"/>
      <c r="I6" s="17"/>
      <c r="J6" s="38"/>
      <c r="K6" s="17"/>
      <c r="L6" s="17"/>
      <c r="M6" s="17"/>
      <c r="N6" s="46"/>
      <c r="O6" s="54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9"/>
    </row>
    <row r="8" spans="1:26" x14ac:dyDescent="0.25">
      <c r="B8" s="59"/>
    </row>
    <row r="9" spans="1:26" x14ac:dyDescent="0.25">
      <c r="B9" s="9"/>
      <c r="C9" s="9"/>
      <c r="D9" s="16" t="s">
        <v>291</v>
      </c>
      <c r="E9" s="16"/>
      <c r="F9" s="39"/>
      <c r="G9" s="16"/>
      <c r="H9" s="16"/>
      <c r="I9" s="16"/>
      <c r="J9" s="49"/>
      <c r="K9" s="16"/>
      <c r="L9" s="16"/>
      <c r="M9" s="16"/>
      <c r="N9" s="39"/>
      <c r="P9" s="16" t="s">
        <v>39</v>
      </c>
      <c r="Q9" s="16"/>
      <c r="R9" s="39"/>
      <c r="S9" s="16"/>
      <c r="T9" s="16"/>
      <c r="U9" s="16"/>
      <c r="V9" s="49"/>
      <c r="W9" s="16"/>
      <c r="X9" s="16"/>
      <c r="Y9" s="16"/>
      <c r="Z9" s="39"/>
    </row>
    <row r="10" spans="1:26" x14ac:dyDescent="0.25">
      <c r="A10" s="11"/>
      <c r="B10" s="58"/>
      <c r="C10" s="11"/>
      <c r="D10" s="42" t="s">
        <v>57</v>
      </c>
      <c r="E10" s="36"/>
      <c r="F10" s="30" t="s">
        <v>40</v>
      </c>
      <c r="G10" s="36"/>
      <c r="H10" s="50" t="s">
        <v>237</v>
      </c>
      <c r="I10" s="36"/>
      <c r="J10" s="30" t="s">
        <v>40</v>
      </c>
      <c r="K10" s="11"/>
      <c r="L10" s="42" t="s">
        <v>126</v>
      </c>
      <c r="M10" s="11"/>
      <c r="N10" s="30" t="s">
        <v>257</v>
      </c>
      <c r="O10" s="11"/>
      <c r="P10" s="61" t="s">
        <v>57</v>
      </c>
      <c r="Q10" s="36"/>
      <c r="R10" s="30" t="s">
        <v>40</v>
      </c>
      <c r="S10" s="36"/>
      <c r="T10" s="50" t="s">
        <v>237</v>
      </c>
      <c r="U10" s="36"/>
      <c r="V10" s="30" t="s">
        <v>40</v>
      </c>
      <c r="W10" s="11"/>
      <c r="X10" s="42" t="s">
        <v>126</v>
      </c>
      <c r="Y10" s="11"/>
      <c r="Z10" s="30" t="s">
        <v>257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4" customFormat="1" x14ac:dyDescent="0.25">
      <c r="A12" s="11"/>
      <c r="B12" s="29" t="s">
        <v>139</v>
      </c>
      <c r="C12" s="11"/>
      <c r="D12" s="4">
        <f>SUM(0)</f>
        <v>0</v>
      </c>
      <c r="E12" s="4"/>
      <c r="F12" s="13"/>
      <c r="G12" s="4"/>
      <c r="H12" s="4">
        <f>SUM(0)</f>
        <v>0</v>
      </c>
      <c r="I12" s="4"/>
      <c r="J12" s="13"/>
      <c r="K12" s="4"/>
      <c r="L12" s="4">
        <f>+D12-H12</f>
        <v>0</v>
      </c>
      <c r="M12" s="4"/>
      <c r="N12" s="13">
        <f>IF(H12=0,0,L12/H12)</f>
        <v>0</v>
      </c>
      <c r="O12" s="11"/>
      <c r="P12" s="4">
        <f>SUM(0)</f>
        <v>0</v>
      </c>
      <c r="Q12" s="4"/>
      <c r="R12" s="13"/>
      <c r="S12" s="4"/>
      <c r="T12" s="4">
        <f>SUM(0)</f>
        <v>0</v>
      </c>
      <c r="U12" s="4"/>
      <c r="V12" s="13"/>
      <c r="W12" s="4"/>
      <c r="X12" s="4">
        <f>+P12-T12</f>
        <v>0</v>
      </c>
      <c r="Y12" s="4"/>
      <c r="Z12" s="13">
        <f>IF(T12=0,0,X12/T12)</f>
        <v>0</v>
      </c>
    </row>
    <row r="13" spans="1:26" x14ac:dyDescent="0.25">
      <c r="A13" s="9"/>
      <c r="B13" s="11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4" customFormat="1" x14ac:dyDescent="0.25">
      <c r="A14" s="11"/>
      <c r="B14" s="29" t="s">
        <v>256</v>
      </c>
      <c r="C14" s="11"/>
      <c r="D14" s="4">
        <f>SUM(0)</f>
        <v>0</v>
      </c>
      <c r="E14" s="4"/>
      <c r="F14" s="13">
        <f>IF(D$12=0,0,D14/D$12)</f>
        <v>0</v>
      </c>
      <c r="G14" s="4"/>
      <c r="H14" s="4">
        <f>SUM(0)</f>
        <v>0</v>
      </c>
      <c r="I14" s="4"/>
      <c r="J14" s="13">
        <f>IF(H$12=0,0,H14/H$12)</f>
        <v>0</v>
      </c>
      <c r="K14" s="4"/>
      <c r="L14" s="4">
        <f>+D14-H14</f>
        <v>0</v>
      </c>
      <c r="M14" s="4"/>
      <c r="N14" s="13">
        <f>IF(H14=0,0,L14/H14)</f>
        <v>0</v>
      </c>
      <c r="O14" s="11"/>
      <c r="P14" s="4">
        <f>SUM(0)</f>
        <v>0</v>
      </c>
      <c r="Q14" s="4"/>
      <c r="R14" s="13">
        <f>IF(P$12=0,0,P14/P$12)</f>
        <v>0</v>
      </c>
      <c r="S14" s="4"/>
      <c r="T14" s="4">
        <f>SUM(0)</f>
        <v>0</v>
      </c>
      <c r="U14" s="4"/>
      <c r="V14" s="13">
        <f>IF(T$12=0,0,T14/T$12)</f>
        <v>0</v>
      </c>
      <c r="W14" s="4"/>
      <c r="X14" s="4">
        <f>+P14-T14</f>
        <v>0</v>
      </c>
      <c r="Y14" s="4"/>
      <c r="Z14" s="13">
        <f>IF(T14=0,0,X14/T14)</f>
        <v>0</v>
      </c>
    </row>
    <row r="15" spans="1:26" x14ac:dyDescent="0.25">
      <c r="A15" s="9"/>
      <c r="B15" s="11"/>
      <c r="C15" s="11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1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4" customFormat="1" x14ac:dyDescent="0.25">
      <c r="A16" s="11"/>
      <c r="B16" s="28" t="s">
        <v>107</v>
      </c>
      <c r="C16" s="28"/>
      <c r="D16" s="21">
        <f>D12-D14</f>
        <v>0</v>
      </c>
      <c r="E16" s="14"/>
      <c r="F16" s="22">
        <f>IF(D$12=0,0,D16/D$12)</f>
        <v>0</v>
      </c>
      <c r="G16" s="14"/>
      <c r="H16" s="21">
        <f>H12-H14</f>
        <v>0</v>
      </c>
      <c r="I16" s="14"/>
      <c r="J16" s="22">
        <f>IF(H$12=0,0,H16/H$12)</f>
        <v>0</v>
      </c>
      <c r="K16" s="15"/>
      <c r="L16" s="21">
        <f>+D16-H16</f>
        <v>0</v>
      </c>
      <c r="M16" s="15"/>
      <c r="N16" s="22">
        <f>IF(H16=0,0,L16/H16)</f>
        <v>0</v>
      </c>
      <c r="O16" s="29"/>
      <c r="P16" s="21">
        <f>P12-P14</f>
        <v>0</v>
      </c>
      <c r="Q16" s="14"/>
      <c r="R16" s="22">
        <f>IF(P$12=0,0,P16/P$12)</f>
        <v>0</v>
      </c>
      <c r="S16" s="14"/>
      <c r="T16" s="21">
        <f>T12-T14</f>
        <v>0</v>
      </c>
      <c r="U16" s="14"/>
      <c r="V16" s="22">
        <f>IF(T$12=0,0,T16/T$12)</f>
        <v>0</v>
      </c>
      <c r="W16" s="15"/>
      <c r="X16" s="21">
        <f>+P16-T16</f>
        <v>0</v>
      </c>
      <c r="Y16" s="15"/>
      <c r="Z16" s="22">
        <f>IF(T16=0,0,X16/T16)</f>
        <v>0</v>
      </c>
    </row>
    <row r="17" spans="1:26" x14ac:dyDescent="0.25">
      <c r="A17" s="9"/>
      <c r="B17" s="11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4" customFormat="1" x14ac:dyDescent="0.25">
      <c r="A18" s="11"/>
      <c r="B18" s="29" t="s">
        <v>294</v>
      </c>
      <c r="C18" s="11"/>
      <c r="D18" s="20">
        <f>SUM(OSRRefD22x_0)</f>
        <v>49467.11</v>
      </c>
      <c r="E18" s="20"/>
      <c r="F18" s="32">
        <f t="shared" ref="F18:F29" si="0">IF(D$12=0,0,D18/D$12)</f>
        <v>0</v>
      </c>
      <c r="G18" s="20"/>
      <c r="H18" s="20">
        <f>SUM(OSRRefH22x_0)</f>
        <v>45858.31</v>
      </c>
      <c r="I18" s="20"/>
      <c r="J18" s="32">
        <f t="shared" ref="J18:J29" si="1">IF(H$12=0,0,H18/H$12)</f>
        <v>0</v>
      </c>
      <c r="K18" s="4"/>
      <c r="L18" s="20">
        <f t="shared" ref="L18:L29" si="2">+D18-H18</f>
        <v>3608.8000000000029</v>
      </c>
      <c r="M18" s="4"/>
      <c r="N18" s="32">
        <f t="shared" ref="N18:N29" si="3">IF(H18=0,0,L18/H18)</f>
        <v>7.8694570297073815E-2</v>
      </c>
      <c r="O18" s="11"/>
      <c r="P18" s="20">
        <f>SUM(OSRRefP22x_0)</f>
        <v>605649.99</v>
      </c>
      <c r="Q18" s="20"/>
      <c r="R18" s="32">
        <f t="shared" ref="R18:R29" si="4">IF(P$12=0,0,P18/P$12)</f>
        <v>0</v>
      </c>
      <c r="S18" s="20"/>
      <c r="T18" s="20">
        <f>SUM(OSRRefT22x_0)</f>
        <v>682956.2100000002</v>
      </c>
      <c r="U18" s="20"/>
      <c r="V18" s="32">
        <f t="shared" ref="V18:V29" si="5">IF(T$12=0,0,T18/T$12)</f>
        <v>0</v>
      </c>
      <c r="W18" s="4"/>
      <c r="X18" s="20">
        <f t="shared" ref="X18:X29" si="6">+P18-T18</f>
        <v>-77306.220000000205</v>
      </c>
      <c r="Y18" s="4"/>
      <c r="Z18" s="32">
        <f t="shared" ref="Z18:Z29" si="7">IF(T18=0,0,X18/T18)</f>
        <v>-0.11319352378390436</v>
      </c>
    </row>
    <row r="19" spans="1:26" s="27" customFormat="1" outlineLevel="1" collapsed="1" x14ac:dyDescent="0.25">
      <c r="A19" s="26"/>
      <c r="B19" s="12" t="str">
        <f>CONCATENATE("     ","*Benefits                                         ")</f>
        <v xml:space="preserve">     *Benefits                                         </v>
      </c>
      <c r="C19" s="12"/>
      <c r="D19" s="1">
        <f>SUM(OSRRefD22_0x_0)</f>
        <v>11483.22</v>
      </c>
      <c r="E19" s="1"/>
      <c r="F19" s="5">
        <f t="shared" si="0"/>
        <v>0</v>
      </c>
      <c r="G19" s="1"/>
      <c r="H19" s="1">
        <f>SUM(OSRRefH22_0x_0)</f>
        <v>11709.130000000001</v>
      </c>
      <c r="I19" s="1"/>
      <c r="J19" s="5">
        <f t="shared" si="1"/>
        <v>0</v>
      </c>
      <c r="K19" s="1"/>
      <c r="L19" s="1">
        <f t="shared" si="2"/>
        <v>-225.91000000000167</v>
      </c>
      <c r="M19" s="1"/>
      <c r="N19" s="5">
        <f t="shared" si="3"/>
        <v>-1.9293491489120171E-2</v>
      </c>
      <c r="O19" s="12"/>
      <c r="P19" s="1">
        <f>SUM(OSRRefP22_0x_0)</f>
        <v>143417.23000000001</v>
      </c>
      <c r="Q19" s="1"/>
      <c r="R19" s="5">
        <f t="shared" si="4"/>
        <v>0</v>
      </c>
      <c r="S19" s="1"/>
      <c r="T19" s="1">
        <f>SUM(OSRRefT22_0x_0)</f>
        <v>153591.16999999998</v>
      </c>
      <c r="U19" s="1"/>
      <c r="V19" s="5">
        <f t="shared" si="5"/>
        <v>0</v>
      </c>
      <c r="W19" s="1"/>
      <c r="X19" s="1">
        <f t="shared" si="6"/>
        <v>-10173.939999999973</v>
      </c>
      <c r="Y19" s="1"/>
      <c r="Z19" s="5">
        <f t="shared" si="7"/>
        <v>-6.6240396501960203E-2</v>
      </c>
    </row>
    <row r="20" spans="1:26" s="23" customFormat="1" hidden="1" outlineLevel="2" x14ac:dyDescent="0.25">
      <c r="A20" s="25"/>
      <c r="B20" s="10" t="str">
        <f>CONCATENATE("          ", "6111", " - ", "F.I.C.A.")</f>
        <v xml:space="preserve">          6111 - F.I.C.A.</v>
      </c>
      <c r="C20" s="10"/>
      <c r="D20" s="6">
        <v>1417.14</v>
      </c>
      <c r="E20" s="2"/>
      <c r="F20" s="7">
        <f t="shared" si="0"/>
        <v>0</v>
      </c>
      <c r="G20" s="2"/>
      <c r="H20" s="6">
        <v>1652.7</v>
      </c>
      <c r="I20" s="2"/>
      <c r="J20" s="7">
        <f t="shared" si="1"/>
        <v>0</v>
      </c>
      <c r="K20" s="2"/>
      <c r="L20" s="6">
        <f t="shared" si="2"/>
        <v>-235.55999999999995</v>
      </c>
      <c r="M20" s="2"/>
      <c r="N20" s="7">
        <f t="shared" si="3"/>
        <v>-0.14253040479215826</v>
      </c>
      <c r="O20" s="10"/>
      <c r="P20" s="6">
        <v>20510.59</v>
      </c>
      <c r="Q20" s="2"/>
      <c r="R20" s="7">
        <f t="shared" si="4"/>
        <v>0</v>
      </c>
      <c r="S20" s="2"/>
      <c r="T20" s="6">
        <v>24563.51</v>
      </c>
      <c r="U20" s="2"/>
      <c r="V20" s="7">
        <f t="shared" si="5"/>
        <v>0</v>
      </c>
      <c r="W20" s="2"/>
      <c r="X20" s="6">
        <f t="shared" si="6"/>
        <v>-4052.9199999999983</v>
      </c>
      <c r="Y20" s="2"/>
      <c r="Z20" s="7">
        <f t="shared" si="7"/>
        <v>-0.16499759195652408</v>
      </c>
    </row>
    <row r="21" spans="1:26" s="23" customFormat="1" hidden="1" outlineLevel="2" x14ac:dyDescent="0.25">
      <c r="A21" s="25"/>
      <c r="B21" s="10" t="str">
        <f>CONCATENATE("          ", "6112", " - ", "COMPENSATION INSURANCE")</f>
        <v xml:space="preserve">          6112 - COMPENSATION INSURANCE</v>
      </c>
      <c r="C21" s="10"/>
      <c r="D21" s="6">
        <v>61.13</v>
      </c>
      <c r="E21" s="2"/>
      <c r="F21" s="7">
        <f t="shared" si="0"/>
        <v>0</v>
      </c>
      <c r="G21" s="2"/>
      <c r="H21" s="6">
        <v>73.45</v>
      </c>
      <c r="I21" s="2"/>
      <c r="J21" s="7">
        <f t="shared" si="1"/>
        <v>0</v>
      </c>
      <c r="K21" s="2"/>
      <c r="L21" s="6">
        <f t="shared" si="2"/>
        <v>-12.32</v>
      </c>
      <c r="M21" s="2"/>
      <c r="N21" s="7">
        <f t="shared" si="3"/>
        <v>-0.16773315180394827</v>
      </c>
      <c r="O21" s="10"/>
      <c r="P21" s="6">
        <v>937.18</v>
      </c>
      <c r="Q21" s="2"/>
      <c r="R21" s="7">
        <f t="shared" si="4"/>
        <v>0</v>
      </c>
      <c r="S21" s="2"/>
      <c r="T21" s="6">
        <v>995.08</v>
      </c>
      <c r="U21" s="2"/>
      <c r="V21" s="7">
        <f t="shared" si="5"/>
        <v>0</v>
      </c>
      <c r="W21" s="2"/>
      <c r="X21" s="6">
        <f t="shared" si="6"/>
        <v>-57.900000000000091</v>
      </c>
      <c r="Y21" s="2"/>
      <c r="Z21" s="7">
        <f t="shared" si="7"/>
        <v>-5.8186276480283079E-2</v>
      </c>
    </row>
    <row r="22" spans="1:26" s="23" customFormat="1" hidden="1" outlineLevel="2" x14ac:dyDescent="0.25">
      <c r="A22" s="25"/>
      <c r="B22" s="10" t="str">
        <f>CONCATENATE("          ", "6113", " - ", "GROUP INSURANCE")</f>
        <v xml:space="preserve">          6113 - GROUP INSURANCE</v>
      </c>
      <c r="C22" s="10"/>
      <c r="D22" s="6">
        <v>4844.5200000000004</v>
      </c>
      <c r="E22" s="2"/>
      <c r="F22" s="7">
        <f t="shared" si="0"/>
        <v>0</v>
      </c>
      <c r="G22" s="2"/>
      <c r="H22" s="6">
        <v>5567.87</v>
      </c>
      <c r="I22" s="2"/>
      <c r="J22" s="7">
        <f t="shared" si="1"/>
        <v>0</v>
      </c>
      <c r="K22" s="2"/>
      <c r="L22" s="6">
        <f t="shared" si="2"/>
        <v>-723.34999999999945</v>
      </c>
      <c r="M22" s="2"/>
      <c r="N22" s="7">
        <f t="shared" si="3"/>
        <v>-0.12991503034373997</v>
      </c>
      <c r="O22" s="10"/>
      <c r="P22" s="6">
        <v>62447.5</v>
      </c>
      <c r="Q22" s="2"/>
      <c r="R22" s="7">
        <f t="shared" si="4"/>
        <v>0</v>
      </c>
      <c r="S22" s="2"/>
      <c r="T22" s="6">
        <v>64383</v>
      </c>
      <c r="U22" s="2"/>
      <c r="V22" s="7">
        <f t="shared" si="5"/>
        <v>0</v>
      </c>
      <c r="W22" s="2"/>
      <c r="X22" s="6">
        <f t="shared" si="6"/>
        <v>-1935.5</v>
      </c>
      <c r="Y22" s="2"/>
      <c r="Z22" s="7">
        <f t="shared" si="7"/>
        <v>-3.0062283522047744E-2</v>
      </c>
    </row>
    <row r="23" spans="1:26" s="23" customFormat="1" hidden="1" outlineLevel="2" x14ac:dyDescent="0.25">
      <c r="A23" s="25"/>
      <c r="B23" s="10" t="str">
        <f>CONCATENATE("          ", "6114", " - ", "STATE UNEMPLOYMENT INSURANCE")</f>
        <v xml:space="preserve">          6114 - STATE UNEMPLOYMENT INSURANCE</v>
      </c>
      <c r="C23" s="10"/>
      <c r="D23" s="6">
        <v>48.16</v>
      </c>
      <c r="E23" s="2"/>
      <c r="F23" s="7">
        <f t="shared" si="0"/>
        <v>0</v>
      </c>
      <c r="G23" s="2"/>
      <c r="H23" s="6">
        <v>-830.65</v>
      </c>
      <c r="I23" s="2"/>
      <c r="J23" s="7">
        <f t="shared" si="1"/>
        <v>0</v>
      </c>
      <c r="K23" s="2"/>
      <c r="L23" s="6">
        <f t="shared" si="2"/>
        <v>878.81</v>
      </c>
      <c r="M23" s="2"/>
      <c r="N23" s="7">
        <f t="shared" si="3"/>
        <v>-1.0579786913862637</v>
      </c>
      <c r="O23" s="10"/>
      <c r="P23" s="6">
        <v>699.2</v>
      </c>
      <c r="Q23" s="2"/>
      <c r="R23" s="7">
        <f t="shared" si="4"/>
        <v>0</v>
      </c>
      <c r="S23" s="2"/>
      <c r="T23" s="6">
        <v>0</v>
      </c>
      <c r="U23" s="2"/>
      <c r="V23" s="7">
        <f t="shared" si="5"/>
        <v>0</v>
      </c>
      <c r="W23" s="2"/>
      <c r="X23" s="6">
        <f t="shared" si="6"/>
        <v>699.2</v>
      </c>
      <c r="Y23" s="2"/>
      <c r="Z23" s="7">
        <f t="shared" si="7"/>
        <v>0</v>
      </c>
    </row>
    <row r="24" spans="1:26" s="23" customFormat="1" hidden="1" outlineLevel="2" x14ac:dyDescent="0.25">
      <c r="A24" s="25"/>
      <c r="B24" s="10" t="str">
        <f>CONCATENATE("          ", "6115", " - ", "P.E.R.S.")</f>
        <v xml:space="preserve">          6115 - P.E.R.S.</v>
      </c>
      <c r="C24" s="10"/>
      <c r="D24" s="6">
        <v>2791.81</v>
      </c>
      <c r="E24" s="2"/>
      <c r="F24" s="7">
        <f t="shared" si="0"/>
        <v>0</v>
      </c>
      <c r="G24" s="2"/>
      <c r="H24" s="6">
        <v>1716.08</v>
      </c>
      <c r="I24" s="2"/>
      <c r="J24" s="7">
        <f t="shared" si="1"/>
        <v>0</v>
      </c>
      <c r="K24" s="2"/>
      <c r="L24" s="6">
        <f t="shared" si="2"/>
        <v>1075.73</v>
      </c>
      <c r="M24" s="2"/>
      <c r="N24" s="7">
        <f t="shared" si="3"/>
        <v>0.62685306046338174</v>
      </c>
      <c r="O24" s="10"/>
      <c r="P24" s="6">
        <v>26581.55</v>
      </c>
      <c r="Q24" s="2"/>
      <c r="R24" s="7">
        <f t="shared" si="4"/>
        <v>0</v>
      </c>
      <c r="S24" s="2"/>
      <c r="T24" s="6">
        <v>19719.72</v>
      </c>
      <c r="U24" s="2"/>
      <c r="V24" s="7">
        <f t="shared" si="5"/>
        <v>0</v>
      </c>
      <c r="W24" s="2"/>
      <c r="X24" s="6">
        <f t="shared" si="6"/>
        <v>6861.8299999999981</v>
      </c>
      <c r="Y24" s="2"/>
      <c r="Z24" s="7">
        <f t="shared" si="7"/>
        <v>0.3479679224654304</v>
      </c>
    </row>
    <row r="25" spans="1:26" s="23" customFormat="1" hidden="1" outlineLevel="2" x14ac:dyDescent="0.25">
      <c r="A25" s="25"/>
      <c r="B25" s="10" t="str">
        <f>CONCATENATE("          ", "6116", " - ", "EDUCATIONAL BENEFITS")</f>
        <v xml:space="preserve">          6116 - EDUCATIONAL BENEFITS</v>
      </c>
      <c r="C25" s="10"/>
      <c r="D25" s="6"/>
      <c r="E25" s="2"/>
      <c r="F25" s="7">
        <f t="shared" si="0"/>
        <v>0</v>
      </c>
      <c r="G25" s="2"/>
      <c r="H25" s="6">
        <v>744</v>
      </c>
      <c r="I25" s="2"/>
      <c r="J25" s="7">
        <f t="shared" si="1"/>
        <v>0</v>
      </c>
      <c r="K25" s="2"/>
      <c r="L25" s="6">
        <f t="shared" si="2"/>
        <v>-744</v>
      </c>
      <c r="M25" s="2"/>
      <c r="N25" s="7">
        <f t="shared" si="3"/>
        <v>-1</v>
      </c>
      <c r="O25" s="10"/>
      <c r="P25" s="6"/>
      <c r="Q25" s="2"/>
      <c r="R25" s="7">
        <f t="shared" si="4"/>
        <v>0</v>
      </c>
      <c r="S25" s="2"/>
      <c r="T25" s="6">
        <v>878</v>
      </c>
      <c r="U25" s="2"/>
      <c r="V25" s="7">
        <f t="shared" si="5"/>
        <v>0</v>
      </c>
      <c r="W25" s="2"/>
      <c r="X25" s="6">
        <f t="shared" si="6"/>
        <v>-878</v>
      </c>
      <c r="Y25" s="2"/>
      <c r="Z25" s="7">
        <f t="shared" si="7"/>
        <v>-1</v>
      </c>
    </row>
    <row r="26" spans="1:26" s="23" customFormat="1" hidden="1" outlineLevel="2" x14ac:dyDescent="0.25">
      <c r="A26" s="25"/>
      <c r="B26" s="10" t="str">
        <f>CONCATENATE("          ", "6117", " - ", "RETIREMENT STAFF HOURLY")</f>
        <v xml:space="preserve">          6117 - RETIREMENT STAFF HOURLY</v>
      </c>
      <c r="C26" s="10"/>
      <c r="D26" s="6"/>
      <c r="E26" s="2"/>
      <c r="F26" s="7">
        <f t="shared" si="0"/>
        <v>0</v>
      </c>
      <c r="G26" s="2"/>
      <c r="H26" s="6">
        <v>168</v>
      </c>
      <c r="I26" s="2"/>
      <c r="J26" s="7">
        <f t="shared" si="1"/>
        <v>0</v>
      </c>
      <c r="K26" s="2"/>
      <c r="L26" s="6">
        <f t="shared" si="2"/>
        <v>-168</v>
      </c>
      <c r="M26" s="2"/>
      <c r="N26" s="7">
        <f t="shared" si="3"/>
        <v>-1</v>
      </c>
      <c r="O26" s="10"/>
      <c r="P26" s="6">
        <v>912.28</v>
      </c>
      <c r="Q26" s="2"/>
      <c r="R26" s="7">
        <f t="shared" si="4"/>
        <v>0</v>
      </c>
      <c r="S26" s="2"/>
      <c r="T26" s="6">
        <v>4400.32</v>
      </c>
      <c r="U26" s="2"/>
      <c r="V26" s="7">
        <f t="shared" si="5"/>
        <v>0</v>
      </c>
      <c r="W26" s="2"/>
      <c r="X26" s="6">
        <f t="shared" si="6"/>
        <v>-3488.04</v>
      </c>
      <c r="Y26" s="2"/>
      <c r="Z26" s="7">
        <f t="shared" si="7"/>
        <v>-0.79267871427532544</v>
      </c>
    </row>
    <row r="27" spans="1:26" s="23" customFormat="1" hidden="1" outlineLevel="2" x14ac:dyDescent="0.25">
      <c r="A27" s="25"/>
      <c r="B27" s="10" t="str">
        <f>CONCATENATE("          ", "6118", " - ", "VACATION")</f>
        <v xml:space="preserve">          6118 - VACATION</v>
      </c>
      <c r="C27" s="10"/>
      <c r="D27" s="6">
        <v>1316.83</v>
      </c>
      <c r="E27" s="2"/>
      <c r="F27" s="7">
        <f t="shared" si="0"/>
        <v>0</v>
      </c>
      <c r="G27" s="2"/>
      <c r="H27" s="6">
        <v>1474.64</v>
      </c>
      <c r="I27" s="2"/>
      <c r="J27" s="7">
        <f t="shared" si="1"/>
        <v>0</v>
      </c>
      <c r="K27" s="2"/>
      <c r="L27" s="6">
        <f t="shared" si="2"/>
        <v>-157.81000000000017</v>
      </c>
      <c r="M27" s="2"/>
      <c r="N27" s="7">
        <f t="shared" si="3"/>
        <v>-0.10701594965550926</v>
      </c>
      <c r="O27" s="10"/>
      <c r="P27" s="6">
        <v>17751.77</v>
      </c>
      <c r="Q27" s="2"/>
      <c r="R27" s="7">
        <f t="shared" si="4"/>
        <v>0</v>
      </c>
      <c r="S27" s="2"/>
      <c r="T27" s="6">
        <v>19681.560000000001</v>
      </c>
      <c r="U27" s="2"/>
      <c r="V27" s="7">
        <f t="shared" si="5"/>
        <v>0</v>
      </c>
      <c r="W27" s="2"/>
      <c r="X27" s="6">
        <f t="shared" si="6"/>
        <v>-1929.7900000000009</v>
      </c>
      <c r="Y27" s="2"/>
      <c r="Z27" s="7">
        <f t="shared" si="7"/>
        <v>-9.8050662650724874E-2</v>
      </c>
    </row>
    <row r="28" spans="1:26" s="23" customFormat="1" hidden="1" outlineLevel="2" x14ac:dyDescent="0.25">
      <c r="A28" s="25"/>
      <c r="B28" s="10" t="str">
        <f>CONCATENATE("          ", "6119", " - ", "SICK LEAVE")</f>
        <v xml:space="preserve">          6119 - SICK LEAVE</v>
      </c>
      <c r="C28" s="10"/>
      <c r="D28" s="6">
        <v>844.06</v>
      </c>
      <c r="E28" s="2"/>
      <c r="F28" s="7">
        <f t="shared" si="0"/>
        <v>0</v>
      </c>
      <c r="G28" s="2"/>
      <c r="H28" s="6">
        <v>999.04</v>
      </c>
      <c r="I28" s="2"/>
      <c r="J28" s="7">
        <f t="shared" si="1"/>
        <v>0</v>
      </c>
      <c r="K28" s="2"/>
      <c r="L28" s="6">
        <f t="shared" si="2"/>
        <v>-154.98000000000002</v>
      </c>
      <c r="M28" s="2"/>
      <c r="N28" s="7">
        <f t="shared" si="3"/>
        <v>-0.15512892376681617</v>
      </c>
      <c r="O28" s="10"/>
      <c r="P28" s="6">
        <v>11747.68</v>
      </c>
      <c r="Q28" s="2"/>
      <c r="R28" s="7">
        <f t="shared" si="4"/>
        <v>0</v>
      </c>
      <c r="S28" s="2"/>
      <c r="T28" s="6">
        <v>13222.18</v>
      </c>
      <c r="U28" s="2"/>
      <c r="V28" s="7">
        <f t="shared" si="5"/>
        <v>0</v>
      </c>
      <c r="W28" s="2"/>
      <c r="X28" s="6">
        <f t="shared" si="6"/>
        <v>-1474.5</v>
      </c>
      <c r="Y28" s="2"/>
      <c r="Z28" s="7">
        <f t="shared" si="7"/>
        <v>-0.11151716282791491</v>
      </c>
    </row>
    <row r="29" spans="1:26" s="23" customFormat="1" hidden="1" outlineLevel="2" x14ac:dyDescent="0.25">
      <c r="A29" s="25"/>
      <c r="B29" s="10" t="str">
        <f>CONCATENATE("          ", "6156", " - ", "EMPLOYEE MEALS")</f>
        <v xml:space="preserve">          6156 - EMPLOYEE MEALS</v>
      </c>
      <c r="C29" s="10"/>
      <c r="D29" s="6">
        <v>159.57</v>
      </c>
      <c r="E29" s="2"/>
      <c r="F29" s="7">
        <f t="shared" si="0"/>
        <v>0</v>
      </c>
      <c r="G29" s="2"/>
      <c r="H29" s="6">
        <v>144</v>
      </c>
      <c r="I29" s="2"/>
      <c r="J29" s="7">
        <f t="shared" si="1"/>
        <v>0</v>
      </c>
      <c r="K29" s="2"/>
      <c r="L29" s="6">
        <f t="shared" si="2"/>
        <v>15.569999999999993</v>
      </c>
      <c r="M29" s="2"/>
      <c r="N29" s="7">
        <f t="shared" si="3"/>
        <v>0.10812499999999996</v>
      </c>
      <c r="O29" s="10"/>
      <c r="P29" s="6">
        <v>1829.48</v>
      </c>
      <c r="Q29" s="2"/>
      <c r="R29" s="7">
        <f t="shared" si="4"/>
        <v>0</v>
      </c>
      <c r="S29" s="2"/>
      <c r="T29" s="6">
        <v>5747.8</v>
      </c>
      <c r="U29" s="2"/>
      <c r="V29" s="7">
        <f t="shared" si="5"/>
        <v>0</v>
      </c>
      <c r="W29" s="2"/>
      <c r="X29" s="6">
        <f t="shared" si="6"/>
        <v>-3918.32</v>
      </c>
      <c r="Y29" s="2"/>
      <c r="Z29" s="7">
        <f t="shared" si="7"/>
        <v>-0.68170778384773301</v>
      </c>
    </row>
    <row r="30" spans="1:26" s="27" customFormat="1" outlineLevel="1" collapsed="1" x14ac:dyDescent="0.25">
      <c r="A30" s="26"/>
      <c r="B30" s="12" t="str">
        <f>CONCATENATE("     ","*Payroll                                          ")</f>
        <v xml:space="preserve">     *Payroll                                          </v>
      </c>
      <c r="C30" s="12"/>
      <c r="D30" s="1">
        <f>SUM(OSRRefD22_1x_0)</f>
        <v>16790.5</v>
      </c>
      <c r="E30" s="1"/>
      <c r="F30" s="5">
        <f t="shared" ref="F30:F35" si="8">IF(D$12=0,0,D30/D$12)</f>
        <v>0</v>
      </c>
      <c r="G30" s="1"/>
      <c r="H30" s="1">
        <f>SUM(OSRRefH22_1x_0)</f>
        <v>18409.620000000003</v>
      </c>
      <c r="I30" s="1"/>
      <c r="J30" s="5">
        <f t="shared" ref="J30:J35" si="9">IF(H$12=0,0,H30/H$12)</f>
        <v>0</v>
      </c>
      <c r="K30" s="1"/>
      <c r="L30" s="1">
        <f t="shared" ref="L30:L35" si="10">+D30-H30</f>
        <v>-1619.1200000000026</v>
      </c>
      <c r="M30" s="1"/>
      <c r="N30" s="5">
        <f t="shared" ref="N30:N35" si="11">IF(H30=0,0,L30/H30)</f>
        <v>-8.79496697922066E-2</v>
      </c>
      <c r="O30" s="12"/>
      <c r="P30" s="1">
        <f>SUM(OSRRefP22_1x_0)</f>
        <v>235761.19999999998</v>
      </c>
      <c r="Q30" s="1"/>
      <c r="R30" s="5">
        <f t="shared" ref="R30:R35" si="12">IF(P$12=0,0,P30/P$12)</f>
        <v>0</v>
      </c>
      <c r="S30" s="1"/>
      <c r="T30" s="1">
        <f>SUM(OSRRefT22_1x_0)</f>
        <v>293390.10000000003</v>
      </c>
      <c r="U30" s="1"/>
      <c r="V30" s="5">
        <f t="shared" ref="V30:V35" si="13">IF(T$12=0,0,T30/T$12)</f>
        <v>0</v>
      </c>
      <c r="W30" s="1"/>
      <c r="X30" s="1">
        <f t="shared" ref="X30:X35" si="14">+P30-T30</f>
        <v>-57628.900000000052</v>
      </c>
      <c r="Y30" s="1"/>
      <c r="Z30" s="5">
        <f t="shared" ref="Z30:Z35" si="15">IF(T30=0,0,X30/T30)</f>
        <v>-0.19642414655436582</v>
      </c>
    </row>
    <row r="31" spans="1:26" s="23" customFormat="1" hidden="1" outlineLevel="2" x14ac:dyDescent="0.25">
      <c r="A31" s="25"/>
      <c r="B31" s="10" t="str">
        <f>CONCATENATE("          ", "6002", " - ", "STAFF SALARIES")</f>
        <v xml:space="preserve">          6002 - STAFF SALARIES</v>
      </c>
      <c r="C31" s="10"/>
      <c r="D31" s="6">
        <v>16790.5</v>
      </c>
      <c r="E31" s="2"/>
      <c r="F31" s="7">
        <f t="shared" si="8"/>
        <v>0</v>
      </c>
      <c r="G31" s="2"/>
      <c r="H31" s="6">
        <v>15049.62</v>
      </c>
      <c r="I31" s="2"/>
      <c r="J31" s="7">
        <f t="shared" si="9"/>
        <v>0</v>
      </c>
      <c r="K31" s="2"/>
      <c r="L31" s="6">
        <f t="shared" si="10"/>
        <v>1740.8799999999992</v>
      </c>
      <c r="M31" s="2"/>
      <c r="N31" s="7">
        <f t="shared" si="11"/>
        <v>0.11567601042418341</v>
      </c>
      <c r="O31" s="10"/>
      <c r="P31" s="6">
        <v>221547.96</v>
      </c>
      <c r="Q31" s="2"/>
      <c r="R31" s="7">
        <f t="shared" si="12"/>
        <v>0</v>
      </c>
      <c r="S31" s="2"/>
      <c r="T31" s="6">
        <v>160206.76</v>
      </c>
      <c r="U31" s="2"/>
      <c r="V31" s="7">
        <f t="shared" si="13"/>
        <v>0</v>
      </c>
      <c r="W31" s="2"/>
      <c r="X31" s="6">
        <f t="shared" si="14"/>
        <v>61341.199999999983</v>
      </c>
      <c r="Y31" s="2"/>
      <c r="Z31" s="7">
        <f t="shared" si="15"/>
        <v>0.38288771335242022</v>
      </c>
    </row>
    <row r="32" spans="1:26" s="23" customFormat="1" hidden="1" outlineLevel="2" x14ac:dyDescent="0.25">
      <c r="A32" s="25"/>
      <c r="B32" s="10" t="str">
        <f>CONCATENATE("          ", "6004", " - ", "STAFF HOURLY")</f>
        <v xml:space="preserve">          6004 - STAFF HOURLY</v>
      </c>
      <c r="C32" s="10"/>
      <c r="D32" s="6"/>
      <c r="E32" s="2"/>
      <c r="F32" s="7">
        <f t="shared" si="8"/>
        <v>0</v>
      </c>
      <c r="G32" s="2"/>
      <c r="H32" s="6">
        <v>3360</v>
      </c>
      <c r="I32" s="2"/>
      <c r="J32" s="7">
        <f t="shared" si="9"/>
        <v>0</v>
      </c>
      <c r="K32" s="2"/>
      <c r="L32" s="6">
        <f t="shared" si="10"/>
        <v>-3360</v>
      </c>
      <c r="M32" s="2"/>
      <c r="N32" s="7">
        <f t="shared" si="11"/>
        <v>-1</v>
      </c>
      <c r="O32" s="10"/>
      <c r="P32" s="6">
        <v>14213.24</v>
      </c>
      <c r="Q32" s="2"/>
      <c r="R32" s="7">
        <f t="shared" si="12"/>
        <v>0</v>
      </c>
      <c r="S32" s="2"/>
      <c r="T32" s="6">
        <v>80619.600000000006</v>
      </c>
      <c r="U32" s="2"/>
      <c r="V32" s="7">
        <f t="shared" si="13"/>
        <v>0</v>
      </c>
      <c r="W32" s="2"/>
      <c r="X32" s="6">
        <f t="shared" si="14"/>
        <v>-66406.36</v>
      </c>
      <c r="Y32" s="2"/>
      <c r="Z32" s="7">
        <f t="shared" si="15"/>
        <v>-0.8236999439342293</v>
      </c>
    </row>
    <row r="33" spans="1:26" s="23" customFormat="1" hidden="1" outlineLevel="2" x14ac:dyDescent="0.25">
      <c r="A33" s="25"/>
      <c r="B33" s="10" t="str">
        <f>CONCATENATE("          ", "6005", " - ", "TEMPORARY WAGES-HOURLY")</f>
        <v xml:space="preserve">          6005 - TEMPORARY WAGES-HOURLY</v>
      </c>
      <c r="C33" s="10"/>
      <c r="D33" s="6"/>
      <c r="E33" s="2"/>
      <c r="F33" s="7">
        <f t="shared" si="8"/>
        <v>0</v>
      </c>
      <c r="G33" s="2"/>
      <c r="H33" s="6"/>
      <c r="I33" s="2"/>
      <c r="J33" s="7">
        <f t="shared" si="9"/>
        <v>0</v>
      </c>
      <c r="K33" s="2"/>
      <c r="L33" s="6">
        <f t="shared" si="10"/>
        <v>0</v>
      </c>
      <c r="M33" s="2"/>
      <c r="N33" s="7">
        <f t="shared" si="11"/>
        <v>0</v>
      </c>
      <c r="O33" s="10"/>
      <c r="P33" s="6"/>
      <c r="Q33" s="2"/>
      <c r="R33" s="7">
        <f t="shared" si="12"/>
        <v>0</v>
      </c>
      <c r="S33" s="2"/>
      <c r="T33" s="6">
        <v>23545.86</v>
      </c>
      <c r="U33" s="2"/>
      <c r="V33" s="7">
        <f t="shared" si="13"/>
        <v>0</v>
      </c>
      <c r="W33" s="2"/>
      <c r="X33" s="6">
        <f t="shared" si="14"/>
        <v>-23545.86</v>
      </c>
      <c r="Y33" s="2"/>
      <c r="Z33" s="7">
        <f t="shared" si="15"/>
        <v>-1</v>
      </c>
    </row>
    <row r="34" spans="1:26" s="23" customFormat="1" hidden="1" outlineLevel="2" x14ac:dyDescent="0.25">
      <c r="A34" s="25"/>
      <c r="B34" s="10" t="str">
        <f>CONCATENATE("          ", "6007", " - ", "STUDENT HOURLY")</f>
        <v xml:space="preserve">          6007 - STUDENT HOURLY</v>
      </c>
      <c r="C34" s="10"/>
      <c r="D34" s="6"/>
      <c r="E34" s="2"/>
      <c r="F34" s="7">
        <f t="shared" si="8"/>
        <v>0</v>
      </c>
      <c r="G34" s="2"/>
      <c r="H34" s="6"/>
      <c r="I34" s="2"/>
      <c r="J34" s="7">
        <f t="shared" si="9"/>
        <v>0</v>
      </c>
      <c r="K34" s="2"/>
      <c r="L34" s="6">
        <f t="shared" si="10"/>
        <v>0</v>
      </c>
      <c r="M34" s="2"/>
      <c r="N34" s="7">
        <f t="shared" si="11"/>
        <v>0</v>
      </c>
      <c r="O34" s="10"/>
      <c r="P34" s="6">
        <v>0</v>
      </c>
      <c r="Q34" s="2"/>
      <c r="R34" s="7">
        <f t="shared" si="12"/>
        <v>0</v>
      </c>
      <c r="S34" s="2"/>
      <c r="T34" s="6">
        <v>26497.88</v>
      </c>
      <c r="U34" s="2"/>
      <c r="V34" s="7">
        <f t="shared" si="13"/>
        <v>0</v>
      </c>
      <c r="W34" s="2"/>
      <c r="X34" s="6">
        <f t="shared" si="14"/>
        <v>-26497.88</v>
      </c>
      <c r="Y34" s="2"/>
      <c r="Z34" s="7">
        <f t="shared" si="15"/>
        <v>-1</v>
      </c>
    </row>
    <row r="35" spans="1:26" s="23" customFormat="1" hidden="1" outlineLevel="2" x14ac:dyDescent="0.25">
      <c r="A35" s="25"/>
      <c r="B35" s="10" t="str">
        <f>CONCATENATE("          ", "6008", " - ", "STUDENT HOURLY-FICA EXEMPT")</f>
        <v xml:space="preserve">          6008 - STUDENT HOURLY-FICA EXEMPT</v>
      </c>
      <c r="C35" s="10"/>
      <c r="D35" s="6"/>
      <c r="E35" s="2"/>
      <c r="F35" s="7">
        <f t="shared" si="8"/>
        <v>0</v>
      </c>
      <c r="G35" s="2"/>
      <c r="H35" s="6"/>
      <c r="I35" s="2"/>
      <c r="J35" s="7">
        <f t="shared" si="9"/>
        <v>0</v>
      </c>
      <c r="K35" s="2"/>
      <c r="L35" s="6">
        <f t="shared" si="10"/>
        <v>0</v>
      </c>
      <c r="M35" s="2"/>
      <c r="N35" s="7">
        <f t="shared" si="11"/>
        <v>0</v>
      </c>
      <c r="O35" s="10"/>
      <c r="P35" s="6"/>
      <c r="Q35" s="2"/>
      <c r="R35" s="7">
        <f t="shared" si="12"/>
        <v>0</v>
      </c>
      <c r="S35" s="2"/>
      <c r="T35" s="6">
        <v>2520</v>
      </c>
      <c r="U35" s="2"/>
      <c r="V35" s="7">
        <f t="shared" si="13"/>
        <v>0</v>
      </c>
      <c r="W35" s="2"/>
      <c r="X35" s="6">
        <f t="shared" si="14"/>
        <v>-2520</v>
      </c>
      <c r="Y35" s="2"/>
      <c r="Z35" s="7">
        <f t="shared" si="15"/>
        <v>-1</v>
      </c>
    </row>
    <row r="36" spans="1:26" s="27" customFormat="1" outlineLevel="1" collapsed="1" x14ac:dyDescent="0.25">
      <c r="A36" s="26"/>
      <c r="B36" s="12" t="str">
        <f>CONCATENATE("     ","Advertising/Promo                                 ")</f>
        <v xml:space="preserve">     Advertising/Promo                                 </v>
      </c>
      <c r="C36" s="12"/>
      <c r="D36" s="1">
        <f>SUM(OSRRefD22_2x_0)</f>
        <v>0</v>
      </c>
      <c r="E36" s="1"/>
      <c r="F36" s="5">
        <f t="shared" ref="F36:F47" si="16">IF(D$12=0,0,D36/D$12)</f>
        <v>0</v>
      </c>
      <c r="G36" s="1"/>
      <c r="H36" s="1">
        <f>SUM(OSRRefH22_2x_0)</f>
        <v>0</v>
      </c>
      <c r="I36" s="1"/>
      <c r="J36" s="5">
        <f t="shared" ref="J36:J47" si="17">IF(H$12=0,0,H36/H$12)</f>
        <v>0</v>
      </c>
      <c r="K36" s="1"/>
      <c r="L36" s="1">
        <f t="shared" ref="L36:L47" si="18">+D36-H36</f>
        <v>0</v>
      </c>
      <c r="M36" s="1"/>
      <c r="N36" s="5">
        <f t="shared" ref="N36:N47" si="19">IF(H36=0,0,L36/H36)</f>
        <v>0</v>
      </c>
      <c r="O36" s="12"/>
      <c r="P36" s="1">
        <f>SUM(OSRRefP22_2x_0)</f>
        <v>0</v>
      </c>
      <c r="Q36" s="1"/>
      <c r="R36" s="5">
        <f t="shared" ref="R36:R47" si="20">IF(P$12=0,0,P36/P$12)</f>
        <v>0</v>
      </c>
      <c r="S36" s="1"/>
      <c r="T36" s="1">
        <f>SUM(OSRRefT22_2x_0)</f>
        <v>9.99</v>
      </c>
      <c r="U36" s="1"/>
      <c r="V36" s="5">
        <f t="shared" ref="V36:V47" si="21">IF(T$12=0,0,T36/T$12)</f>
        <v>0</v>
      </c>
      <c r="W36" s="1"/>
      <c r="X36" s="1">
        <f t="shared" ref="X36:X47" si="22">+P36-T36</f>
        <v>-9.99</v>
      </c>
      <c r="Y36" s="1"/>
      <c r="Z36" s="5">
        <f t="shared" ref="Z36:Z47" si="23">IF(T36=0,0,X36/T36)</f>
        <v>-1</v>
      </c>
    </row>
    <row r="37" spans="1:26" s="23" customFormat="1" hidden="1" outlineLevel="2" x14ac:dyDescent="0.25">
      <c r="A37" s="25"/>
      <c r="B37" s="10" t="str">
        <f>CONCATENATE("          ", "6362", " - ", "ADVERTISING EXPENSE")</f>
        <v xml:space="preserve">          6362 - ADVERTISING EXPENSE</v>
      </c>
      <c r="C37" s="10"/>
      <c r="D37" s="6"/>
      <c r="E37" s="2"/>
      <c r="F37" s="7">
        <f t="shared" si="16"/>
        <v>0</v>
      </c>
      <c r="G37" s="2"/>
      <c r="H37" s="6"/>
      <c r="I37" s="2"/>
      <c r="J37" s="7">
        <f t="shared" si="17"/>
        <v>0</v>
      </c>
      <c r="K37" s="2"/>
      <c r="L37" s="6">
        <f t="shared" si="18"/>
        <v>0</v>
      </c>
      <c r="M37" s="2"/>
      <c r="N37" s="7">
        <f t="shared" si="19"/>
        <v>0</v>
      </c>
      <c r="O37" s="10"/>
      <c r="P37" s="6"/>
      <c r="Q37" s="2"/>
      <c r="R37" s="7">
        <f t="shared" si="20"/>
        <v>0</v>
      </c>
      <c r="S37" s="2"/>
      <c r="T37" s="6">
        <v>9.99</v>
      </c>
      <c r="U37" s="2"/>
      <c r="V37" s="7">
        <f t="shared" si="21"/>
        <v>0</v>
      </c>
      <c r="W37" s="2"/>
      <c r="X37" s="6">
        <f t="shared" si="22"/>
        <v>-9.99</v>
      </c>
      <c r="Y37" s="2"/>
      <c r="Z37" s="7">
        <f t="shared" si="23"/>
        <v>-1</v>
      </c>
    </row>
    <row r="38" spans="1:26" s="27" customFormat="1" outlineLevel="1" collapsed="1" x14ac:dyDescent="0.25">
      <c r="A38" s="26"/>
      <c r="B38" s="12" t="str">
        <f>CONCATENATE("     ","Depreciation                                      ")</f>
        <v xml:space="preserve">     Depreciation                                      </v>
      </c>
      <c r="C38" s="12"/>
      <c r="D38" s="1">
        <f>SUM(OSRRefD22_3x_0)</f>
        <v>5098.3</v>
      </c>
      <c r="E38" s="1"/>
      <c r="F38" s="5">
        <f t="shared" si="16"/>
        <v>0</v>
      </c>
      <c r="G38" s="1"/>
      <c r="H38" s="1">
        <f>SUM(OSRRefH22_3x_0)</f>
        <v>5462</v>
      </c>
      <c r="I38" s="1"/>
      <c r="J38" s="5">
        <f t="shared" si="17"/>
        <v>0</v>
      </c>
      <c r="K38" s="1"/>
      <c r="L38" s="1">
        <f t="shared" si="18"/>
        <v>-363.69999999999982</v>
      </c>
      <c r="M38" s="1"/>
      <c r="N38" s="5">
        <f t="shared" si="19"/>
        <v>-6.6587330648114215E-2</v>
      </c>
      <c r="O38" s="12"/>
      <c r="P38" s="1">
        <f>SUM(OSRRefP22_3x_0)</f>
        <v>61499.91</v>
      </c>
      <c r="Q38" s="1"/>
      <c r="R38" s="5">
        <f t="shared" si="20"/>
        <v>0</v>
      </c>
      <c r="S38" s="1"/>
      <c r="T38" s="1">
        <f>SUM(OSRRefT22_3x_0)</f>
        <v>72325.490000000005</v>
      </c>
      <c r="U38" s="1"/>
      <c r="V38" s="5">
        <f t="shared" si="21"/>
        <v>0</v>
      </c>
      <c r="W38" s="1"/>
      <c r="X38" s="1">
        <f t="shared" si="22"/>
        <v>-10825.580000000002</v>
      </c>
      <c r="Y38" s="1"/>
      <c r="Z38" s="5">
        <f t="shared" si="23"/>
        <v>-0.14967862644276592</v>
      </c>
    </row>
    <row r="39" spans="1:26" s="23" customFormat="1" hidden="1" outlineLevel="2" x14ac:dyDescent="0.25">
      <c r="A39" s="25"/>
      <c r="B39" s="10" t="str">
        <f>CONCATENATE("          ", "6322", " - ", "EQUIPMENT DEPRECIATION EXPENSE")</f>
        <v xml:space="preserve">          6322 - EQUIPMENT DEPRECIATION EXPENSE</v>
      </c>
      <c r="C39" s="10"/>
      <c r="D39" s="6">
        <v>5098.3</v>
      </c>
      <c r="E39" s="2"/>
      <c r="F39" s="7">
        <f t="shared" si="16"/>
        <v>0</v>
      </c>
      <c r="G39" s="2"/>
      <c r="H39" s="6">
        <v>5462</v>
      </c>
      <c r="I39" s="2"/>
      <c r="J39" s="7">
        <f t="shared" si="17"/>
        <v>0</v>
      </c>
      <c r="K39" s="2"/>
      <c r="L39" s="6">
        <f t="shared" si="18"/>
        <v>-363.69999999999982</v>
      </c>
      <c r="M39" s="2"/>
      <c r="N39" s="7">
        <f t="shared" si="19"/>
        <v>-6.6587330648114215E-2</v>
      </c>
      <c r="O39" s="10"/>
      <c r="P39" s="6">
        <v>61499.91</v>
      </c>
      <c r="Q39" s="2"/>
      <c r="R39" s="7">
        <f t="shared" si="20"/>
        <v>0</v>
      </c>
      <c r="S39" s="2"/>
      <c r="T39" s="6">
        <v>72325.490000000005</v>
      </c>
      <c r="U39" s="2"/>
      <c r="V39" s="7">
        <f t="shared" si="21"/>
        <v>0</v>
      </c>
      <c r="W39" s="2"/>
      <c r="X39" s="6">
        <f t="shared" si="22"/>
        <v>-10825.580000000002</v>
      </c>
      <c r="Y39" s="2"/>
      <c r="Z39" s="7">
        <f t="shared" si="23"/>
        <v>-0.14967862644276592</v>
      </c>
    </row>
    <row r="40" spans="1:26" s="27" customFormat="1" outlineLevel="1" collapsed="1" x14ac:dyDescent="0.25">
      <c r="A40" s="26"/>
      <c r="B40" s="12" t="str">
        <f>CONCATENATE("     ","Freight out/Postage                               ")</f>
        <v xml:space="preserve">     Freight out/Postage                               </v>
      </c>
      <c r="C40" s="12"/>
      <c r="D40" s="1">
        <f>SUM(OSRRefD22_4x_0)</f>
        <v>0</v>
      </c>
      <c r="E40" s="1"/>
      <c r="F40" s="5">
        <f t="shared" si="16"/>
        <v>0</v>
      </c>
      <c r="G40" s="1"/>
      <c r="H40" s="1">
        <f>SUM(OSRRefH22_4x_0)</f>
        <v>0</v>
      </c>
      <c r="I40" s="1"/>
      <c r="J40" s="5">
        <f t="shared" si="17"/>
        <v>0</v>
      </c>
      <c r="K40" s="1"/>
      <c r="L40" s="1">
        <f t="shared" si="18"/>
        <v>0</v>
      </c>
      <c r="M40" s="1"/>
      <c r="N40" s="5">
        <f t="shared" si="19"/>
        <v>0</v>
      </c>
      <c r="O40" s="12"/>
      <c r="P40" s="1">
        <f>SUM(OSRRefP22_4x_0)</f>
        <v>5.7</v>
      </c>
      <c r="Q40" s="1"/>
      <c r="R40" s="5">
        <f t="shared" si="20"/>
        <v>0</v>
      </c>
      <c r="S40" s="1"/>
      <c r="T40" s="1">
        <f>SUM(OSRRefT22_4x_0)</f>
        <v>0</v>
      </c>
      <c r="U40" s="1"/>
      <c r="V40" s="5">
        <f t="shared" si="21"/>
        <v>0</v>
      </c>
      <c r="W40" s="1"/>
      <c r="X40" s="1">
        <f t="shared" si="22"/>
        <v>5.7</v>
      </c>
      <c r="Y40" s="1"/>
      <c r="Z40" s="5">
        <f t="shared" si="23"/>
        <v>0</v>
      </c>
    </row>
    <row r="41" spans="1:26" s="23" customFormat="1" hidden="1" outlineLevel="2" x14ac:dyDescent="0.25">
      <c r="A41" s="25"/>
      <c r="B41" s="10" t="str">
        <f>CONCATENATE("          ", "6307", " - ", "POSTAGE")</f>
        <v xml:space="preserve">          6307 - POSTAGE</v>
      </c>
      <c r="C41" s="10"/>
      <c r="D41" s="6"/>
      <c r="E41" s="2"/>
      <c r="F41" s="7">
        <f t="shared" si="16"/>
        <v>0</v>
      </c>
      <c r="G41" s="2"/>
      <c r="H41" s="6"/>
      <c r="I41" s="2"/>
      <c r="J41" s="7">
        <f t="shared" si="17"/>
        <v>0</v>
      </c>
      <c r="K41" s="2"/>
      <c r="L41" s="6">
        <f t="shared" si="18"/>
        <v>0</v>
      </c>
      <c r="M41" s="2"/>
      <c r="N41" s="7">
        <f t="shared" si="19"/>
        <v>0</v>
      </c>
      <c r="O41" s="10"/>
      <c r="P41" s="6">
        <v>5.7</v>
      </c>
      <c r="Q41" s="2"/>
      <c r="R41" s="7">
        <f t="shared" si="20"/>
        <v>0</v>
      </c>
      <c r="S41" s="2"/>
      <c r="T41" s="6"/>
      <c r="U41" s="2"/>
      <c r="V41" s="7">
        <f t="shared" si="21"/>
        <v>0</v>
      </c>
      <c r="W41" s="2"/>
      <c r="X41" s="6">
        <f t="shared" si="22"/>
        <v>5.7</v>
      </c>
      <c r="Y41" s="2"/>
      <c r="Z41" s="7">
        <f t="shared" si="23"/>
        <v>0</v>
      </c>
    </row>
    <row r="42" spans="1:26" s="27" customFormat="1" outlineLevel="1" collapsed="1" x14ac:dyDescent="0.25">
      <c r="A42" s="26"/>
      <c r="B42" s="12" t="str">
        <f>CONCATENATE("     ","Insurance                                         ")</f>
        <v xml:space="preserve">     Insurance                                         </v>
      </c>
      <c r="C42" s="12"/>
      <c r="D42" s="1">
        <f>SUM(OSRRefD22_5x_0)</f>
        <v>120.95</v>
      </c>
      <c r="E42" s="1"/>
      <c r="F42" s="5">
        <f t="shared" si="16"/>
        <v>0</v>
      </c>
      <c r="G42" s="1"/>
      <c r="H42" s="1">
        <f>SUM(OSRRefH22_5x_0)</f>
        <v>56.34</v>
      </c>
      <c r="I42" s="1"/>
      <c r="J42" s="5">
        <f t="shared" si="17"/>
        <v>0</v>
      </c>
      <c r="K42" s="1"/>
      <c r="L42" s="1">
        <f t="shared" si="18"/>
        <v>64.61</v>
      </c>
      <c r="M42" s="1"/>
      <c r="N42" s="5">
        <f t="shared" si="19"/>
        <v>1.1467873624423144</v>
      </c>
      <c r="O42" s="12"/>
      <c r="P42" s="1">
        <f>SUM(OSRRefP22_5x_0)</f>
        <v>740.69</v>
      </c>
      <c r="Q42" s="1"/>
      <c r="R42" s="5">
        <f t="shared" si="20"/>
        <v>0</v>
      </c>
      <c r="S42" s="1"/>
      <c r="T42" s="1">
        <f>SUM(OSRRefT22_5x_0)</f>
        <v>676.08</v>
      </c>
      <c r="U42" s="1"/>
      <c r="V42" s="5">
        <f t="shared" si="21"/>
        <v>0</v>
      </c>
      <c r="W42" s="1"/>
      <c r="X42" s="1">
        <f t="shared" si="22"/>
        <v>64.610000000000014</v>
      </c>
      <c r="Y42" s="1"/>
      <c r="Z42" s="5">
        <f t="shared" si="23"/>
        <v>9.5565613536859564E-2</v>
      </c>
    </row>
    <row r="43" spans="1:26" s="23" customFormat="1" hidden="1" outlineLevel="2" x14ac:dyDescent="0.25">
      <c r="A43" s="25"/>
      <c r="B43" s="10" t="str">
        <f>CONCATENATE("          ", "6314", " - ", "LIABILITY INSURANCE")</f>
        <v xml:space="preserve">          6314 - LIABILITY INSURANCE</v>
      </c>
      <c r="C43" s="10"/>
      <c r="D43" s="6">
        <v>120.95</v>
      </c>
      <c r="E43" s="2"/>
      <c r="F43" s="7">
        <f t="shared" si="16"/>
        <v>0</v>
      </c>
      <c r="G43" s="2"/>
      <c r="H43" s="6">
        <v>56.34</v>
      </c>
      <c r="I43" s="2"/>
      <c r="J43" s="7">
        <f t="shared" si="17"/>
        <v>0</v>
      </c>
      <c r="K43" s="2"/>
      <c r="L43" s="6">
        <f t="shared" si="18"/>
        <v>64.61</v>
      </c>
      <c r="M43" s="2"/>
      <c r="N43" s="7">
        <f t="shared" si="19"/>
        <v>1.1467873624423144</v>
      </c>
      <c r="O43" s="10"/>
      <c r="P43" s="6">
        <v>740.69</v>
      </c>
      <c r="Q43" s="2"/>
      <c r="R43" s="7">
        <f t="shared" si="20"/>
        <v>0</v>
      </c>
      <c r="S43" s="2"/>
      <c r="T43" s="6">
        <v>676.08</v>
      </c>
      <c r="U43" s="2"/>
      <c r="V43" s="7">
        <f t="shared" si="21"/>
        <v>0</v>
      </c>
      <c r="W43" s="2"/>
      <c r="X43" s="6">
        <f t="shared" si="22"/>
        <v>64.610000000000014</v>
      </c>
      <c r="Y43" s="2"/>
      <c r="Z43" s="7">
        <f t="shared" si="23"/>
        <v>9.5565613536859564E-2</v>
      </c>
    </row>
    <row r="44" spans="1:26" s="27" customFormat="1" outlineLevel="1" collapsed="1" x14ac:dyDescent="0.25">
      <c r="A44" s="26"/>
      <c r="B44" s="12" t="str">
        <f>CONCATENATE("     ","Repair and Maintenance                            ")</f>
        <v xml:space="preserve">     Repair and Maintenance                            </v>
      </c>
      <c r="C44" s="12"/>
      <c r="D44" s="1">
        <f>SUM(OSRRefD22_6x_0)</f>
        <v>13872</v>
      </c>
      <c r="E44" s="1"/>
      <c r="F44" s="5">
        <f t="shared" si="16"/>
        <v>0</v>
      </c>
      <c r="G44" s="1"/>
      <c r="H44" s="1">
        <f>SUM(OSRRefH22_6x_0)</f>
        <v>9532</v>
      </c>
      <c r="I44" s="1"/>
      <c r="J44" s="5">
        <f t="shared" si="17"/>
        <v>0</v>
      </c>
      <c r="K44" s="1"/>
      <c r="L44" s="1">
        <f t="shared" si="18"/>
        <v>4340</v>
      </c>
      <c r="M44" s="1"/>
      <c r="N44" s="5">
        <f t="shared" si="19"/>
        <v>0.45530843474611832</v>
      </c>
      <c r="O44" s="12"/>
      <c r="P44" s="1">
        <f>SUM(OSRRefP22_6x_0)</f>
        <v>155262.98000000001</v>
      </c>
      <c r="Q44" s="1"/>
      <c r="R44" s="5">
        <f t="shared" si="20"/>
        <v>0</v>
      </c>
      <c r="S44" s="1"/>
      <c r="T44" s="1">
        <f>SUM(OSRRefT22_6x_0)</f>
        <v>117256.67</v>
      </c>
      <c r="U44" s="1"/>
      <c r="V44" s="5">
        <f t="shared" si="21"/>
        <v>0</v>
      </c>
      <c r="W44" s="1"/>
      <c r="X44" s="1">
        <f t="shared" si="22"/>
        <v>38006.310000000012</v>
      </c>
      <c r="Y44" s="1"/>
      <c r="Z44" s="5">
        <f t="shared" si="23"/>
        <v>0.32412919452684452</v>
      </c>
    </row>
    <row r="45" spans="1:26" s="23" customFormat="1" hidden="1" outlineLevel="2" x14ac:dyDescent="0.25">
      <c r="A45" s="25"/>
      <c r="B45" s="10" t="str">
        <f>CONCATENATE("          ", "6371", " - ", "COMPUTER SOFTWARE MAINTENANCE")</f>
        <v xml:space="preserve">          6371 - COMPUTER SOFTWARE MAINTENANCE</v>
      </c>
      <c r="C45" s="10"/>
      <c r="D45" s="6">
        <v>1680</v>
      </c>
      <c r="E45" s="2"/>
      <c r="F45" s="7">
        <f t="shared" si="16"/>
        <v>0</v>
      </c>
      <c r="G45" s="2"/>
      <c r="H45" s="6">
        <v>125</v>
      </c>
      <c r="I45" s="2"/>
      <c r="J45" s="7">
        <f t="shared" si="17"/>
        <v>0</v>
      </c>
      <c r="K45" s="2"/>
      <c r="L45" s="6">
        <f t="shared" si="18"/>
        <v>1555</v>
      </c>
      <c r="M45" s="2"/>
      <c r="N45" s="7">
        <f t="shared" si="19"/>
        <v>12.44</v>
      </c>
      <c r="O45" s="10"/>
      <c r="P45" s="6">
        <v>9393.98</v>
      </c>
      <c r="Q45" s="2"/>
      <c r="R45" s="7">
        <f t="shared" si="20"/>
        <v>0</v>
      </c>
      <c r="S45" s="2"/>
      <c r="T45" s="6">
        <v>3627.2</v>
      </c>
      <c r="U45" s="2"/>
      <c r="V45" s="7">
        <f t="shared" si="21"/>
        <v>0</v>
      </c>
      <c r="W45" s="2"/>
      <c r="X45" s="6">
        <f t="shared" si="22"/>
        <v>5766.78</v>
      </c>
      <c r="Y45" s="2"/>
      <c r="Z45" s="7">
        <f t="shared" si="23"/>
        <v>1.5898709748566386</v>
      </c>
    </row>
    <row r="46" spans="1:26" s="23" customFormat="1" hidden="1" outlineLevel="2" x14ac:dyDescent="0.25">
      <c r="A46" s="25"/>
      <c r="B46" s="10" t="str">
        <f>CONCATENATE("          ", "6373", " - ", "MAINTENANCE CONTRACTS")</f>
        <v xml:space="preserve">          6373 - MAINTENANCE CONTRACTS</v>
      </c>
      <c r="C46" s="10"/>
      <c r="D46" s="6">
        <v>12192</v>
      </c>
      <c r="E46" s="2"/>
      <c r="F46" s="7">
        <f t="shared" si="16"/>
        <v>0</v>
      </c>
      <c r="G46" s="2"/>
      <c r="H46" s="6">
        <v>9407</v>
      </c>
      <c r="I46" s="2"/>
      <c r="J46" s="7">
        <f t="shared" si="17"/>
        <v>0</v>
      </c>
      <c r="K46" s="2"/>
      <c r="L46" s="6">
        <f t="shared" si="18"/>
        <v>2785</v>
      </c>
      <c r="M46" s="2"/>
      <c r="N46" s="7">
        <f t="shared" si="19"/>
        <v>0.29605612841501011</v>
      </c>
      <c r="O46" s="10"/>
      <c r="P46" s="6">
        <v>145869</v>
      </c>
      <c r="Q46" s="2"/>
      <c r="R46" s="7">
        <f t="shared" si="20"/>
        <v>0</v>
      </c>
      <c r="S46" s="2"/>
      <c r="T46" s="6">
        <v>113471.07</v>
      </c>
      <c r="U46" s="2"/>
      <c r="V46" s="7">
        <f t="shared" si="21"/>
        <v>0</v>
      </c>
      <c r="W46" s="2"/>
      <c r="X46" s="6">
        <f t="shared" si="22"/>
        <v>32397.929999999993</v>
      </c>
      <c r="Y46" s="2"/>
      <c r="Z46" s="7">
        <f t="shared" si="23"/>
        <v>0.28551709259461455</v>
      </c>
    </row>
    <row r="47" spans="1:26" s="23" customFormat="1" hidden="1" outlineLevel="2" x14ac:dyDescent="0.25">
      <c r="A47" s="25"/>
      <c r="B47" s="10" t="str">
        <f>CONCATENATE("          ", "6375", " - ", "OUTSIDE REPAIRS &amp; MAINTENANCE")</f>
        <v xml:space="preserve">          6375 - OUTSIDE REPAIRS &amp; MAINTENANCE</v>
      </c>
      <c r="C47" s="10"/>
      <c r="D47" s="6"/>
      <c r="E47" s="2"/>
      <c r="F47" s="7">
        <f t="shared" si="16"/>
        <v>0</v>
      </c>
      <c r="G47" s="2"/>
      <c r="H47" s="6"/>
      <c r="I47" s="2"/>
      <c r="J47" s="7">
        <f t="shared" si="17"/>
        <v>0</v>
      </c>
      <c r="K47" s="2"/>
      <c r="L47" s="6">
        <f t="shared" si="18"/>
        <v>0</v>
      </c>
      <c r="M47" s="2"/>
      <c r="N47" s="7">
        <f t="shared" si="19"/>
        <v>0</v>
      </c>
      <c r="O47" s="10"/>
      <c r="P47" s="6"/>
      <c r="Q47" s="2"/>
      <c r="R47" s="7">
        <f t="shared" si="20"/>
        <v>0</v>
      </c>
      <c r="S47" s="2"/>
      <c r="T47" s="6">
        <v>158.4</v>
      </c>
      <c r="U47" s="2"/>
      <c r="V47" s="7">
        <f t="shared" si="21"/>
        <v>0</v>
      </c>
      <c r="W47" s="2"/>
      <c r="X47" s="6">
        <f t="shared" si="22"/>
        <v>-158.4</v>
      </c>
      <c r="Y47" s="2"/>
      <c r="Z47" s="7">
        <f t="shared" si="23"/>
        <v>-1</v>
      </c>
    </row>
    <row r="48" spans="1:26" s="27" customFormat="1" outlineLevel="1" collapsed="1" x14ac:dyDescent="0.25">
      <c r="A48" s="26"/>
      <c r="B48" s="12" t="str">
        <f>CONCATENATE("     ","Supplies                                          ")</f>
        <v xml:space="preserve">     Supplies                                          </v>
      </c>
      <c r="C48" s="12"/>
      <c r="D48" s="1">
        <f>SUM(OSRRefD22_7x_0)</f>
        <v>977.42</v>
      </c>
      <c r="E48" s="1"/>
      <c r="F48" s="5">
        <f t="shared" ref="F48:F52" si="24">IF(D$12=0,0,D48/D$12)</f>
        <v>0</v>
      </c>
      <c r="G48" s="1"/>
      <c r="H48" s="1">
        <f>SUM(OSRRefH22_7x_0)</f>
        <v>1069.1400000000001</v>
      </c>
      <c r="I48" s="1"/>
      <c r="J48" s="5">
        <f t="shared" ref="J48:J52" si="25">IF(H$12=0,0,H48/H$12)</f>
        <v>0</v>
      </c>
      <c r="K48" s="1"/>
      <c r="L48" s="1">
        <f t="shared" ref="L48:L52" si="26">+D48-H48</f>
        <v>-91.720000000000141</v>
      </c>
      <c r="M48" s="1"/>
      <c r="N48" s="5">
        <f t="shared" ref="N48:N52" si="27">IF(H48=0,0,L48/H48)</f>
        <v>-8.5788577735376223E-2</v>
      </c>
      <c r="O48" s="12"/>
      <c r="P48" s="1">
        <f>SUM(OSRRefP22_7x_0)</f>
        <v>-650.65</v>
      </c>
      <c r="Q48" s="1"/>
      <c r="R48" s="5">
        <f t="shared" ref="R48:R52" si="28">IF(P$12=0,0,P48/P$12)</f>
        <v>0</v>
      </c>
      <c r="S48" s="1"/>
      <c r="T48" s="1">
        <f>SUM(OSRRefT22_7x_0)</f>
        <v>27192.59</v>
      </c>
      <c r="U48" s="1"/>
      <c r="V48" s="5">
        <f t="shared" ref="V48:V52" si="29">IF(T$12=0,0,T48/T$12)</f>
        <v>0</v>
      </c>
      <c r="W48" s="1"/>
      <c r="X48" s="1">
        <f t="shared" ref="X48:X52" si="30">+P48-T48</f>
        <v>-27843.24</v>
      </c>
      <c r="Y48" s="1"/>
      <c r="Z48" s="5">
        <f t="shared" ref="Z48:Z52" si="31">IF(T48=0,0,X48/T48)</f>
        <v>-1.0239274743597429</v>
      </c>
    </row>
    <row r="49" spans="1:26" s="23" customFormat="1" hidden="1" outlineLevel="2" x14ac:dyDescent="0.25">
      <c r="A49" s="25"/>
      <c r="B49" s="10" t="str">
        <f>CONCATENATE("          ", "6241", " - ", "OFFICE EXPENSE")</f>
        <v xml:space="preserve">          6241 - OFFICE EXPENSE</v>
      </c>
      <c r="C49" s="10"/>
      <c r="D49" s="6">
        <v>977.42</v>
      </c>
      <c r="E49" s="2"/>
      <c r="F49" s="7">
        <f t="shared" si="24"/>
        <v>0</v>
      </c>
      <c r="G49" s="2"/>
      <c r="H49" s="6">
        <v>1069.1400000000001</v>
      </c>
      <c r="I49" s="2"/>
      <c r="J49" s="7">
        <f t="shared" si="25"/>
        <v>0</v>
      </c>
      <c r="K49" s="2"/>
      <c r="L49" s="6">
        <f t="shared" si="26"/>
        <v>-91.720000000000141</v>
      </c>
      <c r="M49" s="2"/>
      <c r="N49" s="7">
        <f t="shared" si="27"/>
        <v>-8.5788577735376223E-2</v>
      </c>
      <c r="O49" s="10"/>
      <c r="P49" s="6">
        <v>-650.65</v>
      </c>
      <c r="Q49" s="2"/>
      <c r="R49" s="7">
        <f t="shared" si="28"/>
        <v>0</v>
      </c>
      <c r="S49" s="2"/>
      <c r="T49" s="6">
        <v>27192.59</v>
      </c>
      <c r="U49" s="2"/>
      <c r="V49" s="7">
        <f t="shared" si="29"/>
        <v>0</v>
      </c>
      <c r="W49" s="2"/>
      <c r="X49" s="6">
        <f t="shared" si="30"/>
        <v>-27843.24</v>
      </c>
      <c r="Y49" s="2"/>
      <c r="Z49" s="7">
        <f t="shared" si="31"/>
        <v>-1.0239274743597429</v>
      </c>
    </row>
    <row r="50" spans="1:26" s="27" customFormat="1" outlineLevel="1" collapsed="1" x14ac:dyDescent="0.25">
      <c r="A50" s="26"/>
      <c r="B50" s="12" t="str">
        <f>CONCATENATE("     ","Telephone/Data Lines                              ")</f>
        <v xml:space="preserve">     Telephone/Data Lines                              </v>
      </c>
      <c r="C50" s="12"/>
      <c r="D50" s="1">
        <f>SUM(OSRRefD22_8x_0)</f>
        <v>1124.72</v>
      </c>
      <c r="E50" s="1"/>
      <c r="F50" s="5">
        <f t="shared" si="24"/>
        <v>0</v>
      </c>
      <c r="G50" s="1"/>
      <c r="H50" s="1">
        <f>SUM(OSRRefH22_8x_0)</f>
        <v>973.25</v>
      </c>
      <c r="I50" s="1"/>
      <c r="J50" s="5">
        <f t="shared" si="25"/>
        <v>0</v>
      </c>
      <c r="K50" s="1"/>
      <c r="L50" s="1">
        <f t="shared" si="26"/>
        <v>151.47000000000003</v>
      </c>
      <c r="M50" s="1"/>
      <c r="N50" s="5">
        <f t="shared" si="27"/>
        <v>0.15563318777292579</v>
      </c>
      <c r="O50" s="12"/>
      <c r="P50" s="1">
        <f>SUM(OSRRefP22_8x_0)</f>
        <v>9114.93</v>
      </c>
      <c r="Q50" s="1"/>
      <c r="R50" s="5">
        <f t="shared" si="28"/>
        <v>0</v>
      </c>
      <c r="S50" s="1"/>
      <c r="T50" s="1">
        <f>SUM(OSRRefT22_8x_0)</f>
        <v>14138.230000000001</v>
      </c>
      <c r="U50" s="1"/>
      <c r="V50" s="5">
        <f t="shared" si="29"/>
        <v>0</v>
      </c>
      <c r="W50" s="1"/>
      <c r="X50" s="1">
        <f t="shared" si="30"/>
        <v>-5023.3000000000011</v>
      </c>
      <c r="Y50" s="1"/>
      <c r="Z50" s="5">
        <f t="shared" si="31"/>
        <v>-0.35529907209035366</v>
      </c>
    </row>
    <row r="51" spans="1:26" s="23" customFormat="1" hidden="1" outlineLevel="2" x14ac:dyDescent="0.25">
      <c r="A51" s="25"/>
      <c r="B51" s="10" t="str">
        <f>CONCATENATE("          ", "6303", " - ", "DATA PHONE LINES")</f>
        <v xml:space="preserve">          6303 - DATA PHONE LINES</v>
      </c>
      <c r="C51" s="10"/>
      <c r="D51" s="6">
        <v>241.97</v>
      </c>
      <c r="E51" s="2"/>
      <c r="F51" s="7">
        <f t="shared" si="24"/>
        <v>0</v>
      </c>
      <c r="G51" s="2"/>
      <c r="H51" s="6">
        <v>208.97</v>
      </c>
      <c r="I51" s="2"/>
      <c r="J51" s="7">
        <f t="shared" si="25"/>
        <v>0</v>
      </c>
      <c r="K51" s="2"/>
      <c r="L51" s="6">
        <f t="shared" si="26"/>
        <v>33</v>
      </c>
      <c r="M51" s="2"/>
      <c r="N51" s="7">
        <f t="shared" si="27"/>
        <v>0.15791740441211657</v>
      </c>
      <c r="O51" s="10"/>
      <c r="P51" s="6">
        <v>1727.78</v>
      </c>
      <c r="Q51" s="2"/>
      <c r="R51" s="7">
        <f t="shared" si="28"/>
        <v>0</v>
      </c>
      <c r="S51" s="2"/>
      <c r="T51" s="6">
        <v>1889.95</v>
      </c>
      <c r="U51" s="2"/>
      <c r="V51" s="7">
        <f t="shared" si="29"/>
        <v>0</v>
      </c>
      <c r="W51" s="2"/>
      <c r="X51" s="6">
        <f t="shared" si="30"/>
        <v>-162.17000000000007</v>
      </c>
      <c r="Y51" s="2"/>
      <c r="Z51" s="7">
        <f t="shared" si="31"/>
        <v>-8.5806502817534894E-2</v>
      </c>
    </row>
    <row r="52" spans="1:26" s="23" customFormat="1" hidden="1" outlineLevel="2" x14ac:dyDescent="0.25">
      <c r="A52" s="25"/>
      <c r="B52" s="10" t="str">
        <f>CONCATENATE("          ", "6309", " - ", "TELEPHONE")</f>
        <v xml:space="preserve">          6309 - TELEPHONE</v>
      </c>
      <c r="C52" s="10"/>
      <c r="D52" s="6">
        <v>882.75</v>
      </c>
      <c r="E52" s="2"/>
      <c r="F52" s="7">
        <f t="shared" si="24"/>
        <v>0</v>
      </c>
      <c r="G52" s="2"/>
      <c r="H52" s="6">
        <v>764.28</v>
      </c>
      <c r="I52" s="2"/>
      <c r="J52" s="7">
        <f t="shared" si="25"/>
        <v>0</v>
      </c>
      <c r="K52" s="2"/>
      <c r="L52" s="6">
        <f t="shared" si="26"/>
        <v>118.47000000000003</v>
      </c>
      <c r="M52" s="2"/>
      <c r="N52" s="7">
        <f t="shared" si="27"/>
        <v>0.1550086355785838</v>
      </c>
      <c r="O52" s="10"/>
      <c r="P52" s="6">
        <v>7387.15</v>
      </c>
      <c r="Q52" s="2"/>
      <c r="R52" s="7">
        <f t="shared" si="28"/>
        <v>0</v>
      </c>
      <c r="S52" s="2"/>
      <c r="T52" s="6">
        <v>12248.28</v>
      </c>
      <c r="U52" s="2"/>
      <c r="V52" s="7">
        <f t="shared" si="29"/>
        <v>0</v>
      </c>
      <c r="W52" s="2"/>
      <c r="X52" s="6">
        <f t="shared" si="30"/>
        <v>-4861.130000000001</v>
      </c>
      <c r="Y52" s="2"/>
      <c r="Z52" s="7">
        <f t="shared" si="31"/>
        <v>-0.39688266434144231</v>
      </c>
    </row>
    <row r="53" spans="1:26" s="27" customFormat="1" outlineLevel="1" collapsed="1" x14ac:dyDescent="0.25">
      <c r="A53" s="26"/>
      <c r="B53" s="12" t="str">
        <f>CONCATENATE("     ","Training                                          ")</f>
        <v xml:space="preserve">     Training                                          </v>
      </c>
      <c r="C53" s="12"/>
      <c r="D53" s="1">
        <f>SUM(OSRRefD22_9x_0)</f>
        <v>0</v>
      </c>
      <c r="E53" s="1"/>
      <c r="F53" s="5">
        <f t="shared" ref="F53:F57" si="32">IF(D$12=0,0,D53/D$12)</f>
        <v>0</v>
      </c>
      <c r="G53" s="1"/>
      <c r="H53" s="1">
        <f>SUM(OSRRefH22_9x_0)</f>
        <v>-1353.17</v>
      </c>
      <c r="I53" s="1"/>
      <c r="J53" s="5">
        <f t="shared" ref="J53:J57" si="33">IF(H$12=0,0,H53/H$12)</f>
        <v>0</v>
      </c>
      <c r="K53" s="1"/>
      <c r="L53" s="1">
        <f t="shared" ref="L53:L57" si="34">+D53-H53</f>
        <v>1353.17</v>
      </c>
      <c r="M53" s="1"/>
      <c r="N53" s="5">
        <f t="shared" ref="N53:N57" si="35">IF(H53=0,0,L53/H53)</f>
        <v>-1</v>
      </c>
      <c r="O53" s="12"/>
      <c r="P53" s="1">
        <f>SUM(OSRRefP22_9x_0)</f>
        <v>498</v>
      </c>
      <c r="Q53" s="1"/>
      <c r="R53" s="5">
        <f t="shared" ref="R53:R57" si="36">IF(P$12=0,0,P53/P$12)</f>
        <v>0</v>
      </c>
      <c r="S53" s="1"/>
      <c r="T53" s="1">
        <f>SUM(OSRRefT22_9x_0)</f>
        <v>2992.68</v>
      </c>
      <c r="U53" s="1"/>
      <c r="V53" s="5">
        <f t="shared" ref="V53:V57" si="37">IF(T$12=0,0,T53/T$12)</f>
        <v>0</v>
      </c>
      <c r="W53" s="1"/>
      <c r="X53" s="1">
        <f t="shared" ref="X53:X57" si="38">+P53-T53</f>
        <v>-2494.6799999999998</v>
      </c>
      <c r="Y53" s="1"/>
      <c r="Z53" s="5">
        <f t="shared" ref="Z53:Z57" si="39">IF(T53=0,0,X53/T53)</f>
        <v>-0.83359396928505558</v>
      </c>
    </row>
    <row r="54" spans="1:26" s="23" customFormat="1" hidden="1" outlineLevel="2" x14ac:dyDescent="0.25">
      <c r="A54" s="25"/>
      <c r="B54" s="10" t="str">
        <f>CONCATENATE("          ", "6376", " - ", "TRAINING")</f>
        <v xml:space="preserve">          6376 - TRAINING</v>
      </c>
      <c r="C54" s="10"/>
      <c r="D54" s="6"/>
      <c r="E54" s="2"/>
      <c r="F54" s="7">
        <f t="shared" si="32"/>
        <v>0</v>
      </c>
      <c r="G54" s="2"/>
      <c r="H54" s="6">
        <v>-1353.17</v>
      </c>
      <c r="I54" s="2"/>
      <c r="J54" s="7">
        <f t="shared" si="33"/>
        <v>0</v>
      </c>
      <c r="K54" s="2"/>
      <c r="L54" s="6">
        <f t="shared" si="34"/>
        <v>1353.17</v>
      </c>
      <c r="M54" s="2"/>
      <c r="N54" s="7">
        <f t="shared" si="35"/>
        <v>-1</v>
      </c>
      <c r="O54" s="10"/>
      <c r="P54" s="6">
        <v>498</v>
      </c>
      <c r="Q54" s="2"/>
      <c r="R54" s="7">
        <f t="shared" si="36"/>
        <v>0</v>
      </c>
      <c r="S54" s="2"/>
      <c r="T54" s="6">
        <v>2992.68</v>
      </c>
      <c r="U54" s="2"/>
      <c r="V54" s="7">
        <f t="shared" si="37"/>
        <v>0</v>
      </c>
      <c r="W54" s="2"/>
      <c r="X54" s="6">
        <f t="shared" si="38"/>
        <v>-2494.6799999999998</v>
      </c>
      <c r="Y54" s="2"/>
      <c r="Z54" s="7">
        <f t="shared" si="39"/>
        <v>-0.83359396928505558</v>
      </c>
    </row>
    <row r="55" spans="1:26" s="27" customFormat="1" outlineLevel="1" collapsed="1" x14ac:dyDescent="0.25">
      <c r="A55" s="26"/>
      <c r="B55" s="12" t="str">
        <f>CONCATENATE("     ","Travel                                            ")</f>
        <v xml:space="preserve">     Travel                                            </v>
      </c>
      <c r="C55" s="12"/>
      <c r="D55" s="1">
        <f>SUM(OSRRefD22_10x_0)</f>
        <v>0</v>
      </c>
      <c r="E55" s="1"/>
      <c r="F55" s="5">
        <f t="shared" si="32"/>
        <v>0</v>
      </c>
      <c r="G55" s="1"/>
      <c r="H55" s="1">
        <f>SUM(OSRRefH22_10x_0)</f>
        <v>0</v>
      </c>
      <c r="I55" s="1"/>
      <c r="J55" s="5">
        <f t="shared" si="33"/>
        <v>0</v>
      </c>
      <c r="K55" s="1"/>
      <c r="L55" s="1">
        <f t="shared" si="34"/>
        <v>0</v>
      </c>
      <c r="M55" s="1"/>
      <c r="N55" s="5">
        <f t="shared" si="35"/>
        <v>0</v>
      </c>
      <c r="O55" s="12"/>
      <c r="P55" s="1">
        <f>SUM(OSRRefP22_10x_0)</f>
        <v>0</v>
      </c>
      <c r="Q55" s="1"/>
      <c r="R55" s="5">
        <f t="shared" si="36"/>
        <v>0</v>
      </c>
      <c r="S55" s="1"/>
      <c r="T55" s="1">
        <f>SUM(OSRRefT22_10x_0)</f>
        <v>1383.21</v>
      </c>
      <c r="U55" s="1"/>
      <c r="V55" s="5">
        <f t="shared" si="37"/>
        <v>0</v>
      </c>
      <c r="W55" s="1"/>
      <c r="X55" s="1">
        <f t="shared" si="38"/>
        <v>-1383.21</v>
      </c>
      <c r="Y55" s="1"/>
      <c r="Z55" s="5">
        <f t="shared" si="39"/>
        <v>-1</v>
      </c>
    </row>
    <row r="56" spans="1:26" s="23" customFormat="1" hidden="1" outlineLevel="2" x14ac:dyDescent="0.25">
      <c r="A56" s="25"/>
      <c r="B56" s="10" t="str">
        <f>CONCATENATE("          ", "6292", " - ", "TRAVEL/CONFERENCE")</f>
        <v xml:space="preserve">          6292 - TRAVEL/CONFERENCE</v>
      </c>
      <c r="C56" s="10"/>
      <c r="D56" s="6"/>
      <c r="E56" s="2"/>
      <c r="F56" s="7">
        <f t="shared" si="32"/>
        <v>0</v>
      </c>
      <c r="G56" s="2"/>
      <c r="H56" s="6"/>
      <c r="I56" s="2"/>
      <c r="J56" s="7">
        <f t="shared" si="33"/>
        <v>0</v>
      </c>
      <c r="K56" s="2"/>
      <c r="L56" s="6">
        <f t="shared" si="34"/>
        <v>0</v>
      </c>
      <c r="M56" s="2"/>
      <c r="N56" s="7">
        <f t="shared" si="35"/>
        <v>0</v>
      </c>
      <c r="O56" s="10"/>
      <c r="P56" s="6"/>
      <c r="Q56" s="2"/>
      <c r="R56" s="7">
        <f t="shared" si="36"/>
        <v>0</v>
      </c>
      <c r="S56" s="2"/>
      <c r="T56" s="6">
        <v>1359.31</v>
      </c>
      <c r="U56" s="2"/>
      <c r="V56" s="7">
        <f t="shared" si="37"/>
        <v>0</v>
      </c>
      <c r="W56" s="2"/>
      <c r="X56" s="6">
        <f t="shared" si="38"/>
        <v>-1359.31</v>
      </c>
      <c r="Y56" s="2"/>
      <c r="Z56" s="7">
        <f t="shared" si="39"/>
        <v>-1</v>
      </c>
    </row>
    <row r="57" spans="1:26" s="23" customFormat="1" hidden="1" outlineLevel="2" x14ac:dyDescent="0.25">
      <c r="A57" s="25"/>
      <c r="B57" s="10" t="str">
        <f>CONCATENATE("          ", "6294", " - ", "TRAVEL OPERATIONAL")</f>
        <v xml:space="preserve">          6294 - TRAVEL OPERATIONAL</v>
      </c>
      <c r="C57" s="10"/>
      <c r="D57" s="6"/>
      <c r="E57" s="2"/>
      <c r="F57" s="7">
        <f t="shared" si="32"/>
        <v>0</v>
      </c>
      <c r="G57" s="2"/>
      <c r="H57" s="6"/>
      <c r="I57" s="2"/>
      <c r="J57" s="7">
        <f t="shared" si="33"/>
        <v>0</v>
      </c>
      <c r="K57" s="2"/>
      <c r="L57" s="6">
        <f t="shared" si="34"/>
        <v>0</v>
      </c>
      <c r="M57" s="2"/>
      <c r="N57" s="7">
        <f t="shared" si="35"/>
        <v>0</v>
      </c>
      <c r="O57" s="10"/>
      <c r="P57" s="6"/>
      <c r="Q57" s="2"/>
      <c r="R57" s="7">
        <f t="shared" si="36"/>
        <v>0</v>
      </c>
      <c r="S57" s="2"/>
      <c r="T57" s="6">
        <v>23.9</v>
      </c>
      <c r="U57" s="2"/>
      <c r="V57" s="7">
        <f t="shared" si="37"/>
        <v>0</v>
      </c>
      <c r="W57" s="2"/>
      <c r="X57" s="6">
        <f t="shared" si="38"/>
        <v>-23.9</v>
      </c>
      <c r="Y57" s="2"/>
      <c r="Z57" s="7">
        <f t="shared" si="39"/>
        <v>-1</v>
      </c>
    </row>
    <row r="58" spans="1:26" s="52" customFormat="1" x14ac:dyDescent="0.25">
      <c r="A58" s="37"/>
      <c r="B58" s="37"/>
      <c r="C58" s="37"/>
      <c r="D58" s="1"/>
      <c r="E58" s="1"/>
      <c r="F58" s="5"/>
      <c r="G58" s="1"/>
      <c r="H58" s="1"/>
      <c r="I58" s="1"/>
      <c r="J58" s="5"/>
      <c r="K58" s="1"/>
      <c r="L58" s="1"/>
      <c r="M58" s="1"/>
      <c r="N58" s="5"/>
      <c r="O58" s="37"/>
      <c r="P58" s="1"/>
      <c r="Q58" s="1"/>
      <c r="R58" s="5"/>
      <c r="S58" s="1"/>
      <c r="T58" s="1"/>
      <c r="U58" s="1"/>
      <c r="V58" s="5"/>
      <c r="W58" s="1"/>
      <c r="X58" s="1"/>
      <c r="Y58" s="1"/>
      <c r="Z58" s="5"/>
    </row>
    <row r="59" spans="1:26" s="24" customFormat="1" x14ac:dyDescent="0.25">
      <c r="A59" s="11"/>
      <c r="B59" s="29" t="s">
        <v>292</v>
      </c>
      <c r="C59" s="11"/>
      <c r="D59" s="4">
        <f>SUM(0)</f>
        <v>0</v>
      </c>
      <c r="E59" s="4"/>
      <c r="F59" s="13">
        <f>IF(D$12=0,0,D59/D$12)</f>
        <v>0</v>
      </c>
      <c r="G59" s="4"/>
      <c r="H59" s="4">
        <f>SUM(0)</f>
        <v>0</v>
      </c>
      <c r="I59" s="4"/>
      <c r="J59" s="13">
        <f>IF(H$12=0,0,H59/H$12)</f>
        <v>0</v>
      </c>
      <c r="K59" s="4"/>
      <c r="L59" s="4">
        <f>+D59-H59</f>
        <v>0</v>
      </c>
      <c r="M59" s="4"/>
      <c r="N59" s="13">
        <f>IF(H59=0,0,L59/H59)</f>
        <v>0</v>
      </c>
      <c r="O59" s="11"/>
      <c r="P59" s="4">
        <f>SUM(0)</f>
        <v>0</v>
      </c>
      <c r="Q59" s="4"/>
      <c r="R59" s="13">
        <f>IF(P$12=0,0,P59/P$12)</f>
        <v>0</v>
      </c>
      <c r="S59" s="4"/>
      <c r="T59" s="4">
        <f>SUM(0)</f>
        <v>0</v>
      </c>
      <c r="U59" s="4"/>
      <c r="V59" s="13">
        <f>IF(T$12=0,0,T59/T$12)</f>
        <v>0</v>
      </c>
      <c r="W59" s="4"/>
      <c r="X59" s="4">
        <f>+P59-T59</f>
        <v>0</v>
      </c>
      <c r="Y59" s="4"/>
      <c r="Z59" s="13">
        <f>IF(T59=0,0,X59/T59)</f>
        <v>0</v>
      </c>
    </row>
    <row r="60" spans="1:26" x14ac:dyDescent="0.25">
      <c r="A60" s="9"/>
      <c r="B60" s="11"/>
      <c r="C60" s="11"/>
      <c r="D60" s="3"/>
      <c r="E60" s="3"/>
      <c r="F60" s="8"/>
      <c r="G60" s="3"/>
      <c r="H60" s="3"/>
      <c r="I60" s="3"/>
      <c r="J60" s="8"/>
      <c r="K60" s="3"/>
      <c r="L60" s="3"/>
      <c r="M60" s="3"/>
      <c r="N60" s="8"/>
      <c r="O60" s="11"/>
      <c r="P60" s="3"/>
      <c r="Q60" s="3"/>
      <c r="R60" s="8"/>
      <c r="S60" s="3"/>
      <c r="T60" s="3"/>
      <c r="U60" s="3"/>
      <c r="V60" s="8"/>
      <c r="W60" s="3"/>
      <c r="X60" s="3"/>
      <c r="Y60" s="3"/>
      <c r="Z60" s="8"/>
    </row>
    <row r="61" spans="1:26" s="24" customFormat="1" x14ac:dyDescent="0.25">
      <c r="A61" s="11"/>
      <c r="B61" s="28" t="s">
        <v>276</v>
      </c>
      <c r="C61" s="28"/>
      <c r="D61" s="21">
        <f>+D16-D18+D59</f>
        <v>-49467.11</v>
      </c>
      <c r="E61" s="14"/>
      <c r="F61" s="22">
        <f>IF(D$12=0,0,D61/D$12)</f>
        <v>0</v>
      </c>
      <c r="G61" s="14"/>
      <c r="H61" s="21">
        <f>+H16-H18+H59</f>
        <v>-45858.31</v>
      </c>
      <c r="I61" s="14"/>
      <c r="J61" s="22">
        <f>IF(H$12=0,0,H61/H$12)</f>
        <v>0</v>
      </c>
      <c r="K61" s="15"/>
      <c r="L61" s="21">
        <f>+D61-H61</f>
        <v>-3608.8000000000029</v>
      </c>
      <c r="M61" s="15"/>
      <c r="N61" s="22">
        <f>IF(H61=0,0,L61/H61)</f>
        <v>7.8694570297073815E-2</v>
      </c>
      <c r="O61" s="29"/>
      <c r="P61" s="21">
        <f>+P16-P18+P59</f>
        <v>-605649.99</v>
      </c>
      <c r="Q61" s="14"/>
      <c r="R61" s="22">
        <f>IF(P$12=0,0,P61/P$12)</f>
        <v>0</v>
      </c>
      <c r="S61" s="14"/>
      <c r="T61" s="21">
        <f>+T16-T18+T59</f>
        <v>-682956.2100000002</v>
      </c>
      <c r="U61" s="14"/>
      <c r="V61" s="22">
        <f>IF(T$12=0,0,T61/T$12)</f>
        <v>0</v>
      </c>
      <c r="W61" s="15"/>
      <c r="X61" s="21">
        <f>+P61-T61</f>
        <v>77306.220000000205</v>
      </c>
      <c r="Y61" s="15"/>
      <c r="Z61" s="22">
        <f>IF(T61=0,0,X61/T61)</f>
        <v>-0.11319352378390436</v>
      </c>
    </row>
    <row r="62" spans="1:26" x14ac:dyDescent="0.25">
      <c r="A62" s="9"/>
      <c r="B62" s="11"/>
      <c r="C62" s="9"/>
      <c r="D62" s="3"/>
      <c r="E62" s="3"/>
      <c r="F62" s="8"/>
      <c r="G62" s="3"/>
      <c r="H62" s="3"/>
      <c r="I62" s="3"/>
      <c r="J62" s="8"/>
      <c r="K62" s="3"/>
      <c r="L62" s="3"/>
      <c r="M62" s="3"/>
      <c r="N62" s="8"/>
      <c r="P62" s="3"/>
      <c r="Q62" s="3"/>
      <c r="R62" s="8"/>
      <c r="S62" s="3"/>
      <c r="T62" s="3"/>
      <c r="U62" s="3"/>
      <c r="V62" s="8"/>
      <c r="W62" s="3"/>
      <c r="X62" s="3"/>
      <c r="Y62" s="3"/>
      <c r="Z62" s="8"/>
    </row>
    <row r="63" spans="1:26" s="24" customFormat="1" x14ac:dyDescent="0.25">
      <c r="A63" s="51"/>
      <c r="B63" s="11" t="s">
        <v>127</v>
      </c>
      <c r="C63" s="11"/>
      <c r="D63" s="4"/>
      <c r="E63" s="4"/>
      <c r="F63" s="13">
        <f>IF(D$12=0,0,D63/D$12)</f>
        <v>0</v>
      </c>
      <c r="G63" s="4"/>
      <c r="H63" s="4"/>
      <c r="I63" s="4"/>
      <c r="J63" s="13">
        <f>IF(H$12=0,0,H63/H$12)</f>
        <v>0</v>
      </c>
      <c r="K63" s="4"/>
      <c r="L63" s="4">
        <f>+D63-H63</f>
        <v>0</v>
      </c>
      <c r="M63" s="4"/>
      <c r="N63" s="13">
        <f>IF(H63=0,0,L63/H63)</f>
        <v>0</v>
      </c>
      <c r="O63" s="11"/>
      <c r="P63" s="4"/>
      <c r="Q63" s="4"/>
      <c r="R63" s="13">
        <f>IF(P$12=0,0,P63/P$12)</f>
        <v>0</v>
      </c>
      <c r="S63" s="4"/>
      <c r="T63" s="4"/>
      <c r="U63" s="4"/>
      <c r="V63" s="13">
        <f>IF(T$12=0,0,T63/T$12)</f>
        <v>0</v>
      </c>
      <c r="W63" s="4"/>
      <c r="X63" s="4">
        <f>+P63-T63</f>
        <v>0</v>
      </c>
      <c r="Y63" s="4"/>
      <c r="Z63" s="13">
        <f>IF(T63=0,0,X63/T63)</f>
        <v>0</v>
      </c>
    </row>
    <row r="64" spans="1:26" x14ac:dyDescent="0.25">
      <c r="A64" s="9"/>
      <c r="B64" s="11"/>
      <c r="C64" s="11"/>
      <c r="D64" s="3"/>
      <c r="E64" s="3"/>
      <c r="F64" s="8"/>
      <c r="G64" s="3"/>
      <c r="H64" s="3"/>
      <c r="I64" s="3"/>
      <c r="J64" s="8"/>
      <c r="K64" s="3"/>
      <c r="L64" s="3"/>
      <c r="M64" s="3"/>
      <c r="N64" s="8"/>
      <c r="O64" s="11"/>
      <c r="P64" s="3"/>
      <c r="Q64" s="3"/>
      <c r="R64" s="8"/>
      <c r="S64" s="3"/>
      <c r="T64" s="3"/>
      <c r="U64" s="3"/>
      <c r="V64" s="8"/>
      <c r="W64" s="3"/>
      <c r="X64" s="3"/>
      <c r="Y64" s="3"/>
      <c r="Z64" s="8"/>
    </row>
    <row r="65" spans="1:26" s="24" customFormat="1" ht="15.75" thickBot="1" x14ac:dyDescent="0.3">
      <c r="A65" s="11"/>
      <c r="B65" s="28" t="s">
        <v>125</v>
      </c>
      <c r="C65" s="28"/>
      <c r="D65" s="34">
        <f>+D61-D63</f>
        <v>-49467.11</v>
      </c>
      <c r="E65" s="14"/>
      <c r="F65" s="31">
        <f>IF(D$12=0,0,D65/D$12)</f>
        <v>0</v>
      </c>
      <c r="G65" s="14"/>
      <c r="H65" s="34">
        <f>+H61-H63</f>
        <v>-45858.31</v>
      </c>
      <c r="I65" s="14"/>
      <c r="J65" s="31">
        <f>IF(H$12=0,0,H65/H$12)</f>
        <v>0</v>
      </c>
      <c r="K65" s="15"/>
      <c r="L65" s="34">
        <f>D65-H65</f>
        <v>-3608.8000000000029</v>
      </c>
      <c r="M65" s="15"/>
      <c r="N65" s="31">
        <f>IF(H65=0,0,L65/H65)</f>
        <v>7.8694570297073815E-2</v>
      </c>
      <c r="O65" s="29"/>
      <c r="P65" s="34">
        <f>+P61-P63</f>
        <v>-605649.99</v>
      </c>
      <c r="Q65" s="14"/>
      <c r="R65" s="31">
        <f>IF(P$12=0,0,P65/P$12)</f>
        <v>0</v>
      </c>
      <c r="S65" s="14"/>
      <c r="T65" s="34">
        <f>+T61-T63</f>
        <v>-682956.2100000002</v>
      </c>
      <c r="U65" s="14"/>
      <c r="V65" s="31">
        <f>IF(T$12=0,0,T65/T$12)</f>
        <v>0</v>
      </c>
      <c r="W65" s="15"/>
      <c r="X65" s="34">
        <f>P65-T65</f>
        <v>77306.220000000205</v>
      </c>
      <c r="Y65" s="15"/>
      <c r="Z65" s="31">
        <f>IF(T65=0,0,X65/T65)</f>
        <v>-0.11319352378390436</v>
      </c>
    </row>
    <row r="66" spans="1:26" ht="15.75" thickTop="1" x14ac:dyDescent="0.25">
      <c r="A66" s="9"/>
      <c r="B66" s="9"/>
      <c r="C66" s="9"/>
      <c r="D66" s="3"/>
      <c r="E66" s="3"/>
      <c r="F66" s="8"/>
      <c r="G66" s="3"/>
      <c r="H66" s="3"/>
      <c r="I66" s="3"/>
      <c r="J66" s="8"/>
      <c r="K66" s="3"/>
      <c r="L66" s="3"/>
      <c r="M66" s="3"/>
      <c r="N66" s="8"/>
      <c r="P66" s="3"/>
      <c r="Q66" s="3"/>
      <c r="R66" s="8"/>
      <c r="S66" s="3"/>
      <c r="T66" s="3"/>
      <c r="U66" s="3"/>
      <c r="V66" s="8"/>
      <c r="W66" s="3"/>
      <c r="X66" s="3"/>
      <c r="Y66" s="3"/>
      <c r="Z66" s="8"/>
    </row>
    <row r="67" spans="1:26" x14ac:dyDescent="0.25">
      <c r="A67" s="9"/>
      <c r="B67" s="9"/>
      <c r="C67" s="9"/>
      <c r="D67" s="3"/>
      <c r="E67" s="3"/>
      <c r="F67" s="8"/>
      <c r="G67" s="3"/>
      <c r="H67" s="3"/>
      <c r="I67" s="3"/>
      <c r="J67" s="8"/>
      <c r="K67" s="3"/>
      <c r="L67" s="3"/>
      <c r="M67" s="3"/>
      <c r="N67" s="8"/>
      <c r="P67" s="3"/>
      <c r="Q67" s="3"/>
      <c r="R67" s="8"/>
      <c r="S67" s="3"/>
      <c r="T67" s="3"/>
      <c r="U67" s="3"/>
      <c r="V67" s="8"/>
      <c r="W67" s="3"/>
      <c r="X67" s="3"/>
      <c r="Y67" s="3"/>
      <c r="Z67" s="8"/>
    </row>
    <row r="68" spans="1:26" s="24" customFormat="1" ht="15.75" thickBot="1" x14ac:dyDescent="0.3">
      <c r="A68" s="11"/>
      <c r="B68" s="28" t="s">
        <v>293</v>
      </c>
      <c r="C68" s="28"/>
      <c r="D68" s="33">
        <f>SUM(D65:D67)</f>
        <v>-49467.11</v>
      </c>
      <c r="E68" s="14"/>
      <c r="F68" s="35">
        <f>IF(D$12=0,0,D68/D$12)</f>
        <v>0</v>
      </c>
      <c r="G68" s="14"/>
      <c r="H68" s="33">
        <f>SUM(H65:H67)</f>
        <v>-45858.31</v>
      </c>
      <c r="I68" s="14"/>
      <c r="J68" s="35">
        <f>IF(H$12=0,0,H68/H$12)</f>
        <v>0</v>
      </c>
      <c r="K68" s="15"/>
      <c r="L68" s="33">
        <f>+D68-H68</f>
        <v>-3608.8000000000029</v>
      </c>
      <c r="M68" s="15"/>
      <c r="N68" s="35">
        <f>IF(H68=0,0,L68/H68)</f>
        <v>7.8694570297073815E-2</v>
      </c>
      <c r="O68" s="29"/>
      <c r="P68" s="33">
        <f>SUM(P65:P67)</f>
        <v>-605649.99</v>
      </c>
      <c r="Q68" s="14"/>
      <c r="R68" s="35">
        <f>IF(P$12=0,0,P68/P$12)</f>
        <v>0</v>
      </c>
      <c r="S68" s="14"/>
      <c r="T68" s="33">
        <f>SUM(T65:T67)</f>
        <v>-682956.2100000002</v>
      </c>
      <c r="U68" s="14"/>
      <c r="V68" s="35">
        <f>IF(T$12=0,0,T68/T$12)</f>
        <v>0</v>
      </c>
      <c r="W68" s="15"/>
      <c r="X68" s="33">
        <f>+P68-T68</f>
        <v>77306.220000000205</v>
      </c>
      <c r="Y68" s="15"/>
      <c r="Z68" s="35">
        <f>IF(T68=0,0,X68/T68)</f>
        <v>-0.11319352378390436</v>
      </c>
    </row>
    <row r="69" spans="1:26" ht="15.75" thickTop="1" x14ac:dyDescent="0.25">
      <c r="A69" s="9"/>
      <c r="C69" s="9"/>
      <c r="D69" s="18"/>
      <c r="E69" s="18"/>
      <c r="G69" s="18"/>
      <c r="H69" s="18"/>
      <c r="I69" s="18"/>
      <c r="J69" s="43"/>
      <c r="K69" s="18"/>
      <c r="L69" s="18"/>
      <c r="M69" s="18"/>
      <c r="P69" s="18"/>
      <c r="Q69" s="18"/>
      <c r="R69" s="43"/>
      <c r="S69" s="18"/>
      <c r="T69" s="18"/>
      <c r="U69" s="18"/>
      <c r="V69" s="43"/>
      <c r="W69" s="18"/>
      <c r="X69" s="18"/>
    </row>
    <row r="70" spans="1:26" x14ac:dyDescent="0.25">
      <c r="A70" s="9"/>
      <c r="B70" s="56">
        <v>44454.698585613427</v>
      </c>
      <c r="D70" s="18"/>
      <c r="E70" s="18"/>
      <c r="G70" s="18"/>
      <c r="H70" s="18"/>
      <c r="I70" s="18"/>
      <c r="J70" s="43"/>
      <c r="K70" s="18"/>
      <c r="L70" s="18"/>
      <c r="M70" s="18"/>
      <c r="P70" s="18"/>
      <c r="Q70" s="18"/>
      <c r="R70" s="43"/>
      <c r="S70" s="18"/>
      <c r="T70" s="18"/>
      <c r="U70" s="18"/>
      <c r="V70" s="43"/>
      <c r="W70" s="18"/>
      <c r="X70" s="18"/>
    </row>
    <row r="71" spans="1:26" x14ac:dyDescent="0.25">
      <c r="A71" s="9"/>
      <c r="B71" s="55" t="s">
        <v>56</v>
      </c>
      <c r="D71" s="18"/>
      <c r="E71" s="18"/>
      <c r="G71" s="18"/>
      <c r="H71" s="18"/>
      <c r="I71" s="18"/>
      <c r="J71" s="43"/>
      <c r="K71" s="18"/>
      <c r="L71" s="18"/>
      <c r="M71" s="18"/>
      <c r="P71" s="18"/>
      <c r="Q71" s="18"/>
      <c r="R71" s="43"/>
      <c r="S71" s="18"/>
      <c r="T71" s="18"/>
      <c r="U71" s="18"/>
      <c r="V71" s="43"/>
      <c r="W71" s="18"/>
      <c r="X71" s="18"/>
    </row>
    <row r="72" spans="1:26" x14ac:dyDescent="0.25">
      <c r="A72" s="9"/>
      <c r="B72" s="60"/>
      <c r="D72" s="18"/>
      <c r="E72" s="18"/>
      <c r="G72" s="18"/>
      <c r="H72" s="18"/>
      <c r="I72" s="18"/>
      <c r="J72" s="43"/>
      <c r="K72" s="18"/>
      <c r="L72" s="18"/>
      <c r="M72" s="18"/>
      <c r="P72" s="18"/>
      <c r="Q72" s="18"/>
      <c r="R72" s="43"/>
      <c r="S72" s="18"/>
      <c r="T72" s="18"/>
      <c r="U72" s="18"/>
      <c r="V72" s="43"/>
      <c r="W72" s="18"/>
      <c r="X72" s="18"/>
    </row>
    <row r="73" spans="1:26" x14ac:dyDescent="0.25">
      <c r="D73" s="18"/>
      <c r="E73" s="18"/>
      <c r="G73" s="18"/>
      <c r="H73" s="18"/>
      <c r="I73" s="18"/>
      <c r="J73" s="43"/>
      <c r="K73" s="18"/>
      <c r="L73" s="18"/>
      <c r="M73" s="18"/>
      <c r="P73" s="18"/>
      <c r="Q73" s="18"/>
      <c r="R73" s="43"/>
      <c r="S73" s="18"/>
      <c r="T73" s="18"/>
      <c r="U73" s="18"/>
      <c r="V73" s="43"/>
      <c r="W73" s="18"/>
      <c r="X73" s="18"/>
    </row>
  </sheetData>
  <pageMargins left="0.25" right="0.25" top="0.75" bottom="0.75" header="0.3" footer="0.3"/>
  <pageSetup scale="55" fitToWidth="2" orientation="landscape"/>
  <drawing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>
    <tabColor rgb="FF92D050"/>
    <outlinePr summaryBelow="0" summaryRight="0"/>
  </sheetPr>
  <dimension ref="A2:Z63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62" t="s">
        <v>23</v>
      </c>
    </row>
    <row r="3" spans="1:26" x14ac:dyDescent="0.25">
      <c r="D3" s="62" t="s">
        <v>236</v>
      </c>
      <c r="E3" s="17"/>
      <c r="F3" s="46"/>
      <c r="G3" s="17"/>
      <c r="H3" s="17"/>
      <c r="I3" s="17"/>
      <c r="J3" s="38"/>
      <c r="K3" s="17"/>
      <c r="L3" s="17"/>
      <c r="M3" s="17"/>
      <c r="N3" s="46"/>
      <c r="O3" s="53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2" t="str">
        <f>CONCATENATE("Period ",RIGHT(202112,2),", ",2021)</f>
        <v>Period 12, 2021</v>
      </c>
      <c r="E4" s="17"/>
      <c r="F4" s="46"/>
      <c r="G4" s="17"/>
      <c r="H4" s="17"/>
      <c r="I4" s="17"/>
      <c r="J4" s="38"/>
      <c r="K4" s="17"/>
      <c r="L4" s="17"/>
      <c r="M4" s="17"/>
      <c r="N4" s="46"/>
      <c r="O4" s="53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4"/>
      <c r="D5" s="63">
        <v>44377</v>
      </c>
      <c r="E5" s="17"/>
      <c r="F5" s="46"/>
      <c r="G5" s="17"/>
      <c r="H5" s="17"/>
      <c r="I5" s="17"/>
      <c r="J5" s="38"/>
      <c r="K5" s="17"/>
      <c r="L5" s="17"/>
      <c r="M5" s="17"/>
      <c r="N5" s="46"/>
      <c r="O5" s="53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4"/>
      <c r="B6" s="48"/>
      <c r="C6" s="48"/>
      <c r="D6" s="24" t="str">
        <f>CONCATENATE("Department ","205", " - ", "Maintenance")</f>
        <v>Department 205 - Maintenance</v>
      </c>
      <c r="E6" s="17"/>
      <c r="F6" s="46"/>
      <c r="G6" s="17"/>
      <c r="H6" s="17"/>
      <c r="I6" s="17"/>
      <c r="J6" s="38"/>
      <c r="K6" s="17"/>
      <c r="L6" s="17"/>
      <c r="M6" s="17"/>
      <c r="N6" s="46"/>
      <c r="O6" s="54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9"/>
    </row>
    <row r="8" spans="1:26" x14ac:dyDescent="0.25">
      <c r="B8" s="59"/>
    </row>
    <row r="9" spans="1:26" x14ac:dyDescent="0.25">
      <c r="B9" s="9"/>
      <c r="C9" s="9"/>
      <c r="D9" s="16" t="s">
        <v>291</v>
      </c>
      <c r="E9" s="16"/>
      <c r="F9" s="39"/>
      <c r="G9" s="16"/>
      <c r="H9" s="16"/>
      <c r="I9" s="16"/>
      <c r="J9" s="49"/>
      <c r="K9" s="16"/>
      <c r="L9" s="16"/>
      <c r="M9" s="16"/>
      <c r="N9" s="39"/>
      <c r="P9" s="16" t="s">
        <v>39</v>
      </c>
      <c r="Q9" s="16"/>
      <c r="R9" s="39"/>
      <c r="S9" s="16"/>
      <c r="T9" s="16"/>
      <c r="U9" s="16"/>
      <c r="V9" s="49"/>
      <c r="W9" s="16"/>
      <c r="X9" s="16"/>
      <c r="Y9" s="16"/>
      <c r="Z9" s="39"/>
    </row>
    <row r="10" spans="1:26" x14ac:dyDescent="0.25">
      <c r="A10" s="11"/>
      <c r="B10" s="58"/>
      <c r="C10" s="11"/>
      <c r="D10" s="42" t="s">
        <v>57</v>
      </c>
      <c r="E10" s="36"/>
      <c r="F10" s="30" t="s">
        <v>40</v>
      </c>
      <c r="G10" s="36"/>
      <c r="H10" s="50" t="s">
        <v>237</v>
      </c>
      <c r="I10" s="36"/>
      <c r="J10" s="30" t="s">
        <v>40</v>
      </c>
      <c r="K10" s="11"/>
      <c r="L10" s="42" t="s">
        <v>126</v>
      </c>
      <c r="M10" s="11"/>
      <c r="N10" s="30" t="s">
        <v>257</v>
      </c>
      <c r="O10" s="11"/>
      <c r="P10" s="61" t="s">
        <v>57</v>
      </c>
      <c r="Q10" s="36"/>
      <c r="R10" s="30" t="s">
        <v>40</v>
      </c>
      <c r="S10" s="36"/>
      <c r="T10" s="50" t="s">
        <v>237</v>
      </c>
      <c r="U10" s="36"/>
      <c r="V10" s="30" t="s">
        <v>40</v>
      </c>
      <c r="W10" s="11"/>
      <c r="X10" s="42" t="s">
        <v>126</v>
      </c>
      <c r="Y10" s="11"/>
      <c r="Z10" s="30" t="s">
        <v>257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4" customFormat="1" x14ac:dyDescent="0.25">
      <c r="A12" s="11"/>
      <c r="B12" s="29" t="s">
        <v>139</v>
      </c>
      <c r="C12" s="11"/>
      <c r="D12" s="4">
        <f>SUM(0)</f>
        <v>0</v>
      </c>
      <c r="E12" s="4"/>
      <c r="F12" s="13"/>
      <c r="G12" s="4"/>
      <c r="H12" s="4">
        <f>SUM(0)</f>
        <v>0</v>
      </c>
      <c r="I12" s="4"/>
      <c r="J12" s="13"/>
      <c r="K12" s="4"/>
      <c r="L12" s="4">
        <f>+D12-H12</f>
        <v>0</v>
      </c>
      <c r="M12" s="4"/>
      <c r="N12" s="13">
        <f>IF(H12=0,0,L12/H12)</f>
        <v>0</v>
      </c>
      <c r="O12" s="11"/>
      <c r="P12" s="4">
        <f>SUM(0)</f>
        <v>0</v>
      </c>
      <c r="Q12" s="4"/>
      <c r="R12" s="13"/>
      <c r="S12" s="4"/>
      <c r="T12" s="4">
        <f>SUM(0)</f>
        <v>0</v>
      </c>
      <c r="U12" s="4"/>
      <c r="V12" s="13"/>
      <c r="W12" s="4"/>
      <c r="X12" s="4">
        <f>+P12-T12</f>
        <v>0</v>
      </c>
      <c r="Y12" s="4"/>
      <c r="Z12" s="13">
        <f>IF(T12=0,0,X12/T12)</f>
        <v>0</v>
      </c>
    </row>
    <row r="13" spans="1:26" x14ac:dyDescent="0.25">
      <c r="A13" s="9"/>
      <c r="B13" s="11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4" customFormat="1" x14ac:dyDescent="0.25">
      <c r="A14" s="11"/>
      <c r="B14" s="29" t="s">
        <v>256</v>
      </c>
      <c r="C14" s="11"/>
      <c r="D14" s="4">
        <f>SUM(0)</f>
        <v>0</v>
      </c>
      <c r="E14" s="4"/>
      <c r="F14" s="13">
        <f>IF(D$12=0,0,D14/D$12)</f>
        <v>0</v>
      </c>
      <c r="G14" s="4"/>
      <c r="H14" s="4">
        <f>SUM(0)</f>
        <v>0</v>
      </c>
      <c r="I14" s="4"/>
      <c r="J14" s="13">
        <f>IF(H$12=0,0,H14/H$12)</f>
        <v>0</v>
      </c>
      <c r="K14" s="4"/>
      <c r="L14" s="4">
        <f>+D14-H14</f>
        <v>0</v>
      </c>
      <c r="M14" s="4"/>
      <c r="N14" s="13">
        <f>IF(H14=0,0,L14/H14)</f>
        <v>0</v>
      </c>
      <c r="O14" s="11"/>
      <c r="P14" s="4">
        <f>SUM(0)</f>
        <v>0</v>
      </c>
      <c r="Q14" s="4"/>
      <c r="R14" s="13">
        <f>IF(P$12=0,0,P14/P$12)</f>
        <v>0</v>
      </c>
      <c r="S14" s="4"/>
      <c r="T14" s="4">
        <f>SUM(0)</f>
        <v>0</v>
      </c>
      <c r="U14" s="4"/>
      <c r="V14" s="13">
        <f>IF(T$12=0,0,T14/T$12)</f>
        <v>0</v>
      </c>
      <c r="W14" s="4"/>
      <c r="X14" s="4">
        <f>+P14-T14</f>
        <v>0</v>
      </c>
      <c r="Y14" s="4"/>
      <c r="Z14" s="13">
        <f>IF(T14=0,0,X14/T14)</f>
        <v>0</v>
      </c>
    </row>
    <row r="15" spans="1:26" x14ac:dyDescent="0.25">
      <c r="A15" s="9"/>
      <c r="B15" s="11"/>
      <c r="C15" s="11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1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4" customFormat="1" x14ac:dyDescent="0.25">
      <c r="A16" s="11"/>
      <c r="B16" s="28" t="s">
        <v>107</v>
      </c>
      <c r="C16" s="28"/>
      <c r="D16" s="21">
        <f>D12-D14</f>
        <v>0</v>
      </c>
      <c r="E16" s="14"/>
      <c r="F16" s="22">
        <f>IF(D$12=0,0,D16/D$12)</f>
        <v>0</v>
      </c>
      <c r="G16" s="14"/>
      <c r="H16" s="21">
        <f>H12-H14</f>
        <v>0</v>
      </c>
      <c r="I16" s="14"/>
      <c r="J16" s="22">
        <f>IF(H$12=0,0,H16/H$12)</f>
        <v>0</v>
      </c>
      <c r="K16" s="15"/>
      <c r="L16" s="21">
        <f>+D16-H16</f>
        <v>0</v>
      </c>
      <c r="M16" s="15"/>
      <c r="N16" s="22">
        <f>IF(H16=0,0,L16/H16)</f>
        <v>0</v>
      </c>
      <c r="O16" s="29"/>
      <c r="P16" s="21">
        <f>P12-P14</f>
        <v>0</v>
      </c>
      <c r="Q16" s="14"/>
      <c r="R16" s="22">
        <f>IF(P$12=0,0,P16/P$12)</f>
        <v>0</v>
      </c>
      <c r="S16" s="14"/>
      <c r="T16" s="21">
        <f>T12-T14</f>
        <v>0</v>
      </c>
      <c r="U16" s="14"/>
      <c r="V16" s="22">
        <f>IF(T$12=0,0,T16/T$12)</f>
        <v>0</v>
      </c>
      <c r="W16" s="15"/>
      <c r="X16" s="21">
        <f>+P16-T16</f>
        <v>0</v>
      </c>
      <c r="Y16" s="15"/>
      <c r="Z16" s="22">
        <f>IF(T16=0,0,X16/T16)</f>
        <v>0</v>
      </c>
    </row>
    <row r="17" spans="1:26" x14ac:dyDescent="0.25">
      <c r="A17" s="9"/>
      <c r="B17" s="11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4" customFormat="1" x14ac:dyDescent="0.25">
      <c r="A18" s="11"/>
      <c r="B18" s="29" t="s">
        <v>294</v>
      </c>
      <c r="C18" s="11"/>
      <c r="D18" s="20">
        <f>SUM(OSRRefD22x_0)</f>
        <v>8329.1699999999983</v>
      </c>
      <c r="E18" s="20"/>
      <c r="F18" s="32">
        <f t="shared" ref="F18:F27" si="0">IF(D$12=0,0,D18/D$12)</f>
        <v>0</v>
      </c>
      <c r="G18" s="20"/>
      <c r="H18" s="20">
        <f>SUM(OSRRefH22x_0)</f>
        <v>6767.76</v>
      </c>
      <c r="I18" s="20"/>
      <c r="J18" s="32">
        <f t="shared" ref="J18:J27" si="1">IF(H$12=0,0,H18/H$12)</f>
        <v>0</v>
      </c>
      <c r="K18" s="4"/>
      <c r="L18" s="20">
        <f t="shared" ref="L18:L27" si="2">+D18-H18</f>
        <v>1561.409999999998</v>
      </c>
      <c r="M18" s="4"/>
      <c r="N18" s="32">
        <f t="shared" ref="N18:N27" si="3">IF(H18=0,0,L18/H18)</f>
        <v>0.23071296854498358</v>
      </c>
      <c r="O18" s="11"/>
      <c r="P18" s="20">
        <f>SUM(OSRRefP22x_0)</f>
        <v>99842.01</v>
      </c>
      <c r="Q18" s="20"/>
      <c r="R18" s="32">
        <f t="shared" ref="R18:R27" si="4">IF(P$12=0,0,P18/P$12)</f>
        <v>0</v>
      </c>
      <c r="S18" s="20"/>
      <c r="T18" s="20">
        <f>SUM(OSRRefT22x_0)</f>
        <v>90939.59</v>
      </c>
      <c r="U18" s="20"/>
      <c r="V18" s="32">
        <f t="shared" ref="V18:V27" si="5">IF(T$12=0,0,T18/T$12)</f>
        <v>0</v>
      </c>
      <c r="W18" s="4"/>
      <c r="X18" s="20">
        <f t="shared" ref="X18:X27" si="6">+P18-T18</f>
        <v>8902.4199999999983</v>
      </c>
      <c r="Y18" s="4"/>
      <c r="Z18" s="32">
        <f t="shared" ref="Z18:Z27" si="7">IF(T18=0,0,X18/T18)</f>
        <v>9.7893777616547412E-2</v>
      </c>
    </row>
    <row r="19" spans="1:26" s="27" customFormat="1" outlineLevel="1" collapsed="1" x14ac:dyDescent="0.25">
      <c r="A19" s="26"/>
      <c r="B19" s="12" t="str">
        <f>CONCATENATE("     ","*Benefits                                         ")</f>
        <v xml:space="preserve">     *Benefits                                         </v>
      </c>
      <c r="C19" s="12"/>
      <c r="D19" s="1">
        <f>SUM(OSRRefD22_0x_0)</f>
        <v>2776.72</v>
      </c>
      <c r="E19" s="1"/>
      <c r="F19" s="5">
        <f t="shared" si="0"/>
        <v>0</v>
      </c>
      <c r="G19" s="1"/>
      <c r="H19" s="1">
        <f>SUM(OSRRefH22_0x_0)</f>
        <v>2113.48</v>
      </c>
      <c r="I19" s="1"/>
      <c r="J19" s="5">
        <f t="shared" si="1"/>
        <v>0</v>
      </c>
      <c r="K19" s="1"/>
      <c r="L19" s="1">
        <f t="shared" si="2"/>
        <v>663.23999999999978</v>
      </c>
      <c r="M19" s="1"/>
      <c r="N19" s="5">
        <f t="shared" si="3"/>
        <v>0.31381418324280325</v>
      </c>
      <c r="O19" s="12"/>
      <c r="P19" s="1">
        <f>SUM(OSRRefP22_0x_0)</f>
        <v>30932.5</v>
      </c>
      <c r="Q19" s="1"/>
      <c r="R19" s="5">
        <f t="shared" si="4"/>
        <v>0</v>
      </c>
      <c r="S19" s="1"/>
      <c r="T19" s="1">
        <f>SUM(OSRRefT22_0x_0)</f>
        <v>30746.67</v>
      </c>
      <c r="U19" s="1"/>
      <c r="V19" s="5">
        <f t="shared" si="5"/>
        <v>0</v>
      </c>
      <c r="W19" s="1"/>
      <c r="X19" s="1">
        <f t="shared" si="6"/>
        <v>185.83000000000175</v>
      </c>
      <c r="Y19" s="1"/>
      <c r="Z19" s="5">
        <f t="shared" si="7"/>
        <v>6.0439065433753238E-3</v>
      </c>
    </row>
    <row r="20" spans="1:26" s="23" customFormat="1" hidden="1" outlineLevel="2" x14ac:dyDescent="0.25">
      <c r="A20" s="25"/>
      <c r="B20" s="10" t="str">
        <f>CONCATENATE("          ", "6111", " - ", "F.I.C.A.")</f>
        <v xml:space="preserve">          6111 - F.I.C.A.</v>
      </c>
      <c r="C20" s="10"/>
      <c r="D20" s="6">
        <v>322.3</v>
      </c>
      <c r="E20" s="2"/>
      <c r="F20" s="7">
        <f t="shared" si="0"/>
        <v>0</v>
      </c>
      <c r="G20" s="2"/>
      <c r="H20" s="6">
        <v>315.83999999999997</v>
      </c>
      <c r="I20" s="2"/>
      <c r="J20" s="7">
        <f t="shared" si="1"/>
        <v>0</v>
      </c>
      <c r="K20" s="2"/>
      <c r="L20" s="6">
        <f t="shared" si="2"/>
        <v>6.4600000000000364</v>
      </c>
      <c r="M20" s="2"/>
      <c r="N20" s="7">
        <f t="shared" si="3"/>
        <v>2.0453394123607006E-2</v>
      </c>
      <c r="O20" s="10"/>
      <c r="P20" s="6">
        <v>4161.8</v>
      </c>
      <c r="Q20" s="2"/>
      <c r="R20" s="7">
        <f t="shared" si="4"/>
        <v>0</v>
      </c>
      <c r="S20" s="2"/>
      <c r="T20" s="6">
        <v>4197.5600000000004</v>
      </c>
      <c r="U20" s="2"/>
      <c r="V20" s="7">
        <f t="shared" si="5"/>
        <v>0</v>
      </c>
      <c r="W20" s="2"/>
      <c r="X20" s="6">
        <f t="shared" si="6"/>
        <v>-35.760000000000218</v>
      </c>
      <c r="Y20" s="2"/>
      <c r="Z20" s="7">
        <f t="shared" si="7"/>
        <v>-8.51923498413369E-3</v>
      </c>
    </row>
    <row r="21" spans="1:26" s="23" customFormat="1" hidden="1" outlineLevel="2" x14ac:dyDescent="0.25">
      <c r="A21" s="25"/>
      <c r="B21" s="10" t="str">
        <f>CONCATENATE("          ", "6112", " - ", "COMPENSATION INSURANCE")</f>
        <v xml:space="preserve">          6112 - COMPENSATION INSURANCE</v>
      </c>
      <c r="C21" s="10"/>
      <c r="D21" s="6">
        <v>291.97000000000003</v>
      </c>
      <c r="E21" s="2"/>
      <c r="F21" s="7">
        <f t="shared" si="0"/>
        <v>0</v>
      </c>
      <c r="G21" s="2"/>
      <c r="H21" s="6">
        <v>279.52</v>
      </c>
      <c r="I21" s="2"/>
      <c r="J21" s="7">
        <f t="shared" si="1"/>
        <v>0</v>
      </c>
      <c r="K21" s="2"/>
      <c r="L21" s="6">
        <f t="shared" si="2"/>
        <v>12.450000000000045</v>
      </c>
      <c r="M21" s="2"/>
      <c r="N21" s="7">
        <f t="shared" si="3"/>
        <v>4.454064109902707E-2</v>
      </c>
      <c r="O21" s="10"/>
      <c r="P21" s="6">
        <v>3767.89</v>
      </c>
      <c r="Q21" s="2"/>
      <c r="R21" s="7">
        <f t="shared" si="4"/>
        <v>0</v>
      </c>
      <c r="S21" s="2"/>
      <c r="T21" s="6">
        <v>3350.78</v>
      </c>
      <c r="U21" s="2"/>
      <c r="V21" s="7">
        <f t="shared" si="5"/>
        <v>0</v>
      </c>
      <c r="W21" s="2"/>
      <c r="X21" s="6">
        <f t="shared" si="6"/>
        <v>417.10999999999967</v>
      </c>
      <c r="Y21" s="2"/>
      <c r="Z21" s="7">
        <f t="shared" si="7"/>
        <v>0.12448146401733318</v>
      </c>
    </row>
    <row r="22" spans="1:26" s="23" customFormat="1" hidden="1" outlineLevel="2" x14ac:dyDescent="0.25">
      <c r="A22" s="25"/>
      <c r="B22" s="10" t="str">
        <f>CONCATENATE("          ", "6113", " - ", "GROUP INSURANCE")</f>
        <v xml:space="preserve">          6113 - GROUP INSURANCE</v>
      </c>
      <c r="C22" s="10"/>
      <c r="D22" s="6">
        <v>699.91</v>
      </c>
      <c r="E22" s="2"/>
      <c r="F22" s="7">
        <f t="shared" si="0"/>
        <v>0</v>
      </c>
      <c r="G22" s="2"/>
      <c r="H22" s="6">
        <v>696.16</v>
      </c>
      <c r="I22" s="2"/>
      <c r="J22" s="7">
        <f t="shared" si="1"/>
        <v>0</v>
      </c>
      <c r="K22" s="2"/>
      <c r="L22" s="6">
        <f t="shared" si="2"/>
        <v>3.75</v>
      </c>
      <c r="M22" s="2"/>
      <c r="N22" s="7">
        <f t="shared" si="3"/>
        <v>5.3866927143185481E-3</v>
      </c>
      <c r="O22" s="10"/>
      <c r="P22" s="6">
        <v>8376.42</v>
      </c>
      <c r="Q22" s="2"/>
      <c r="R22" s="7">
        <f t="shared" si="4"/>
        <v>0</v>
      </c>
      <c r="S22" s="2"/>
      <c r="T22" s="6">
        <v>8347.7999999999993</v>
      </c>
      <c r="U22" s="2"/>
      <c r="V22" s="7">
        <f t="shared" si="5"/>
        <v>0</v>
      </c>
      <c r="W22" s="2"/>
      <c r="X22" s="6">
        <f t="shared" si="6"/>
        <v>28.6200000000008</v>
      </c>
      <c r="Y22" s="2"/>
      <c r="Z22" s="7">
        <f t="shared" si="7"/>
        <v>3.4284482139007645E-3</v>
      </c>
    </row>
    <row r="23" spans="1:26" s="23" customFormat="1" hidden="1" outlineLevel="2" x14ac:dyDescent="0.25">
      <c r="A23" s="25"/>
      <c r="B23" s="10" t="str">
        <f>CONCATENATE("          ", "6114", " - ", "STATE UNEMPLOYMENT INSURANCE")</f>
        <v xml:space="preserve">          6114 - STATE UNEMPLOYMENT INSURANCE</v>
      </c>
      <c r="C23" s="10"/>
      <c r="D23" s="6">
        <v>10.95</v>
      </c>
      <c r="E23" s="2"/>
      <c r="F23" s="7">
        <f t="shared" si="0"/>
        <v>0</v>
      </c>
      <c r="G23" s="2"/>
      <c r="H23" s="6">
        <v>-131</v>
      </c>
      <c r="I23" s="2"/>
      <c r="J23" s="7">
        <f t="shared" si="1"/>
        <v>0</v>
      </c>
      <c r="K23" s="2"/>
      <c r="L23" s="6">
        <f t="shared" si="2"/>
        <v>141.94999999999999</v>
      </c>
      <c r="M23" s="2"/>
      <c r="N23" s="7">
        <f t="shared" si="3"/>
        <v>-1.083587786259542</v>
      </c>
      <c r="O23" s="10"/>
      <c r="P23" s="6">
        <v>141.38</v>
      </c>
      <c r="Q23" s="2"/>
      <c r="R23" s="7">
        <f t="shared" si="4"/>
        <v>0</v>
      </c>
      <c r="S23" s="2"/>
      <c r="T23" s="6">
        <v>0</v>
      </c>
      <c r="U23" s="2"/>
      <c r="V23" s="7">
        <f t="shared" si="5"/>
        <v>0</v>
      </c>
      <c r="W23" s="2"/>
      <c r="X23" s="6">
        <f t="shared" si="6"/>
        <v>141.38</v>
      </c>
      <c r="Y23" s="2"/>
      <c r="Z23" s="7">
        <f t="shared" si="7"/>
        <v>0</v>
      </c>
    </row>
    <row r="24" spans="1:26" s="23" customFormat="1" hidden="1" outlineLevel="2" x14ac:dyDescent="0.25">
      <c r="A24" s="25"/>
      <c r="B24" s="10" t="str">
        <f>CONCATENATE("          ", "6115", " - ", "P.E.R.S.")</f>
        <v xml:space="preserve">          6115 - P.E.R.S.</v>
      </c>
      <c r="C24" s="10"/>
      <c r="D24" s="6">
        <v>694.91</v>
      </c>
      <c r="E24" s="2"/>
      <c r="F24" s="7">
        <f t="shared" si="0"/>
        <v>0</v>
      </c>
      <c r="G24" s="2"/>
      <c r="H24" s="6">
        <v>429.26</v>
      </c>
      <c r="I24" s="2"/>
      <c r="J24" s="7">
        <f t="shared" si="1"/>
        <v>0</v>
      </c>
      <c r="K24" s="2"/>
      <c r="L24" s="6">
        <f t="shared" si="2"/>
        <v>265.64999999999998</v>
      </c>
      <c r="M24" s="2"/>
      <c r="N24" s="7">
        <f t="shared" si="3"/>
        <v>0.61885570516703159</v>
      </c>
      <c r="O24" s="10"/>
      <c r="P24" s="6">
        <v>6254.16</v>
      </c>
      <c r="Q24" s="2"/>
      <c r="R24" s="7">
        <f t="shared" si="4"/>
        <v>0</v>
      </c>
      <c r="S24" s="2"/>
      <c r="T24" s="6">
        <v>5365.74</v>
      </c>
      <c r="U24" s="2"/>
      <c r="V24" s="7">
        <f t="shared" si="5"/>
        <v>0</v>
      </c>
      <c r="W24" s="2"/>
      <c r="X24" s="6">
        <f t="shared" si="6"/>
        <v>888.42000000000007</v>
      </c>
      <c r="Y24" s="2"/>
      <c r="Z24" s="7">
        <f t="shared" si="7"/>
        <v>0.16557268894877503</v>
      </c>
    </row>
    <row r="25" spans="1:26" s="23" customFormat="1" hidden="1" outlineLevel="2" x14ac:dyDescent="0.25">
      <c r="A25" s="25"/>
      <c r="B25" s="10" t="str">
        <f>CONCATENATE("          ", "6118", " - ", "VACATION")</f>
        <v xml:space="preserve">          6118 - VACATION</v>
      </c>
      <c r="C25" s="10"/>
      <c r="D25" s="6">
        <v>387.96</v>
      </c>
      <c r="E25" s="2"/>
      <c r="F25" s="7">
        <f t="shared" si="0"/>
        <v>0</v>
      </c>
      <c r="G25" s="2"/>
      <c r="H25" s="6">
        <v>193.98</v>
      </c>
      <c r="I25" s="2"/>
      <c r="J25" s="7">
        <f t="shared" si="1"/>
        <v>0</v>
      </c>
      <c r="K25" s="2"/>
      <c r="L25" s="6">
        <f t="shared" si="2"/>
        <v>193.98</v>
      </c>
      <c r="M25" s="2"/>
      <c r="N25" s="7">
        <f t="shared" si="3"/>
        <v>1</v>
      </c>
      <c r="O25" s="10"/>
      <c r="P25" s="6">
        <v>3943.64</v>
      </c>
      <c r="Q25" s="2"/>
      <c r="R25" s="7">
        <f t="shared" si="4"/>
        <v>0</v>
      </c>
      <c r="S25" s="2"/>
      <c r="T25" s="6">
        <v>4805.12</v>
      </c>
      <c r="U25" s="2"/>
      <c r="V25" s="7">
        <f t="shared" si="5"/>
        <v>0</v>
      </c>
      <c r="W25" s="2"/>
      <c r="X25" s="6">
        <f t="shared" si="6"/>
        <v>-861.48</v>
      </c>
      <c r="Y25" s="2"/>
      <c r="Z25" s="7">
        <f t="shared" si="7"/>
        <v>-0.17928376398508258</v>
      </c>
    </row>
    <row r="26" spans="1:26" s="23" customFormat="1" hidden="1" outlineLevel="2" x14ac:dyDescent="0.25">
      <c r="A26" s="25"/>
      <c r="B26" s="10" t="str">
        <f>CONCATENATE("          ", "6119", " - ", "SICK LEAVE")</f>
        <v xml:space="preserve">          6119 - SICK LEAVE</v>
      </c>
      <c r="C26" s="10"/>
      <c r="D26" s="6">
        <v>193.72</v>
      </c>
      <c r="E26" s="2"/>
      <c r="F26" s="7">
        <f t="shared" si="0"/>
        <v>0</v>
      </c>
      <c r="G26" s="2"/>
      <c r="H26" s="6">
        <v>193.72</v>
      </c>
      <c r="I26" s="2"/>
      <c r="J26" s="7">
        <f t="shared" si="1"/>
        <v>0</v>
      </c>
      <c r="K26" s="2"/>
      <c r="L26" s="6">
        <f t="shared" si="2"/>
        <v>0</v>
      </c>
      <c r="M26" s="2"/>
      <c r="N26" s="7">
        <f t="shared" si="3"/>
        <v>0</v>
      </c>
      <c r="O26" s="10"/>
      <c r="P26" s="6">
        <v>2518.36</v>
      </c>
      <c r="Q26" s="2"/>
      <c r="R26" s="7">
        <f t="shared" si="4"/>
        <v>0</v>
      </c>
      <c r="S26" s="2"/>
      <c r="T26" s="6">
        <v>3363.4</v>
      </c>
      <c r="U26" s="2"/>
      <c r="V26" s="7">
        <f t="shared" si="5"/>
        <v>0</v>
      </c>
      <c r="W26" s="2"/>
      <c r="X26" s="6">
        <f t="shared" si="6"/>
        <v>-845.04</v>
      </c>
      <c r="Y26" s="2"/>
      <c r="Z26" s="7">
        <f t="shared" si="7"/>
        <v>-0.25124576321579351</v>
      </c>
    </row>
    <row r="27" spans="1:26" s="23" customFormat="1" hidden="1" outlineLevel="2" x14ac:dyDescent="0.25">
      <c r="A27" s="25"/>
      <c r="B27" s="10" t="str">
        <f>CONCATENATE("          ", "6156", " - ", "EMPLOYEE MEALS")</f>
        <v xml:space="preserve">          6156 - EMPLOYEE MEALS</v>
      </c>
      <c r="C27" s="10"/>
      <c r="D27" s="6">
        <v>175</v>
      </c>
      <c r="E27" s="2"/>
      <c r="F27" s="7">
        <f t="shared" si="0"/>
        <v>0</v>
      </c>
      <c r="G27" s="2"/>
      <c r="H27" s="6">
        <v>136</v>
      </c>
      <c r="I27" s="2"/>
      <c r="J27" s="7">
        <f t="shared" si="1"/>
        <v>0</v>
      </c>
      <c r="K27" s="2"/>
      <c r="L27" s="6">
        <f t="shared" si="2"/>
        <v>39</v>
      </c>
      <c r="M27" s="2"/>
      <c r="N27" s="7">
        <f t="shared" si="3"/>
        <v>0.28676470588235292</v>
      </c>
      <c r="O27" s="10"/>
      <c r="P27" s="6">
        <v>1768.85</v>
      </c>
      <c r="Q27" s="2"/>
      <c r="R27" s="7">
        <f t="shared" si="4"/>
        <v>0</v>
      </c>
      <c r="S27" s="2"/>
      <c r="T27" s="6">
        <v>1316.27</v>
      </c>
      <c r="U27" s="2"/>
      <c r="V27" s="7">
        <f t="shared" si="5"/>
        <v>0</v>
      </c>
      <c r="W27" s="2"/>
      <c r="X27" s="6">
        <f t="shared" si="6"/>
        <v>452.57999999999993</v>
      </c>
      <c r="Y27" s="2"/>
      <c r="Z27" s="7">
        <f t="shared" si="7"/>
        <v>0.34383523137350236</v>
      </c>
    </row>
    <row r="28" spans="1:26" s="27" customFormat="1" outlineLevel="1" collapsed="1" x14ac:dyDescent="0.25">
      <c r="A28" s="26"/>
      <c r="B28" s="12" t="str">
        <f>CONCATENATE("     ","*Payroll                                          ")</f>
        <v xml:space="preserve">     *Payroll                                          </v>
      </c>
      <c r="C28" s="12"/>
      <c r="D28" s="1">
        <f>SUM(OSRRefD22_1x_0)</f>
        <v>4199.74</v>
      </c>
      <c r="E28" s="1"/>
      <c r="F28" s="5">
        <f t="shared" ref="F28:F37" si="8">IF(D$12=0,0,D28/D$12)</f>
        <v>0</v>
      </c>
      <c r="G28" s="1"/>
      <c r="H28" s="1">
        <f>SUM(OSRRefH22_1x_0)</f>
        <v>3569.77</v>
      </c>
      <c r="I28" s="1"/>
      <c r="J28" s="5">
        <f t="shared" ref="J28:J37" si="9">IF(H$12=0,0,H28/H$12)</f>
        <v>0</v>
      </c>
      <c r="K28" s="1"/>
      <c r="L28" s="1">
        <f t="shared" ref="L28:L37" si="10">+D28-H28</f>
        <v>629.9699999999998</v>
      </c>
      <c r="M28" s="1"/>
      <c r="N28" s="5">
        <f t="shared" ref="N28:N37" si="11">IF(H28=0,0,L28/H28)</f>
        <v>0.17647355431862552</v>
      </c>
      <c r="O28" s="12"/>
      <c r="P28" s="1">
        <f>SUM(OSRRefP22_1x_0)</f>
        <v>50654.67</v>
      </c>
      <c r="Q28" s="1"/>
      <c r="R28" s="5">
        <f t="shared" ref="R28:R37" si="12">IF(P$12=0,0,P28/P$12)</f>
        <v>0</v>
      </c>
      <c r="S28" s="1"/>
      <c r="T28" s="1">
        <f>SUM(OSRRefT22_1x_0)</f>
        <v>36498.43</v>
      </c>
      <c r="U28" s="1"/>
      <c r="V28" s="5">
        <f t="shared" ref="V28:V37" si="13">IF(T$12=0,0,T28/T$12)</f>
        <v>0</v>
      </c>
      <c r="W28" s="1"/>
      <c r="X28" s="1">
        <f t="shared" ref="X28:X37" si="14">+P28-T28</f>
        <v>14156.239999999998</v>
      </c>
      <c r="Y28" s="1"/>
      <c r="Z28" s="5">
        <f t="shared" ref="Z28:Z37" si="15">IF(T28=0,0,X28/T28)</f>
        <v>0.38785887502558325</v>
      </c>
    </row>
    <row r="29" spans="1:26" s="23" customFormat="1" hidden="1" outlineLevel="2" x14ac:dyDescent="0.25">
      <c r="A29" s="25"/>
      <c r="B29" s="10" t="str">
        <f>CONCATENATE("          ", "6002", " - ", "STAFF SALARIES")</f>
        <v xml:space="preserve">          6002 - STAFF SALARIES</v>
      </c>
      <c r="C29" s="10"/>
      <c r="D29" s="6">
        <v>4199.74</v>
      </c>
      <c r="E29" s="2"/>
      <c r="F29" s="7">
        <f t="shared" si="8"/>
        <v>0</v>
      </c>
      <c r="G29" s="2"/>
      <c r="H29" s="6">
        <v>3569.77</v>
      </c>
      <c r="I29" s="2"/>
      <c r="J29" s="7">
        <f t="shared" si="9"/>
        <v>0</v>
      </c>
      <c r="K29" s="2"/>
      <c r="L29" s="6">
        <f t="shared" si="10"/>
        <v>629.9699999999998</v>
      </c>
      <c r="M29" s="2"/>
      <c r="N29" s="7">
        <f t="shared" si="11"/>
        <v>0.17647355431862552</v>
      </c>
      <c r="O29" s="10"/>
      <c r="P29" s="6">
        <v>50654.67</v>
      </c>
      <c r="Q29" s="2"/>
      <c r="R29" s="7">
        <f t="shared" si="12"/>
        <v>0</v>
      </c>
      <c r="S29" s="2"/>
      <c r="T29" s="6">
        <v>36498.43</v>
      </c>
      <c r="U29" s="2"/>
      <c r="V29" s="7">
        <f t="shared" si="13"/>
        <v>0</v>
      </c>
      <c r="W29" s="2"/>
      <c r="X29" s="6">
        <f t="shared" si="14"/>
        <v>14156.239999999998</v>
      </c>
      <c r="Y29" s="2"/>
      <c r="Z29" s="7">
        <f t="shared" si="15"/>
        <v>0.38785887502558325</v>
      </c>
    </row>
    <row r="30" spans="1:26" s="27" customFormat="1" outlineLevel="1" collapsed="1" x14ac:dyDescent="0.25">
      <c r="A30" s="26"/>
      <c r="B30" s="12" t="str">
        <f>CONCATENATE("     ","General                                           ")</f>
        <v xml:space="preserve">     General                                           </v>
      </c>
      <c r="C30" s="12"/>
      <c r="D30" s="1">
        <f>SUM(OSRRefD22_2x_0)</f>
        <v>0</v>
      </c>
      <c r="E30" s="1"/>
      <c r="F30" s="5">
        <f t="shared" si="8"/>
        <v>0</v>
      </c>
      <c r="G30" s="1"/>
      <c r="H30" s="1">
        <f>SUM(OSRRefH22_2x_0)</f>
        <v>-276.68</v>
      </c>
      <c r="I30" s="1"/>
      <c r="J30" s="5">
        <f t="shared" si="9"/>
        <v>0</v>
      </c>
      <c r="K30" s="1"/>
      <c r="L30" s="1">
        <f t="shared" si="10"/>
        <v>276.68</v>
      </c>
      <c r="M30" s="1"/>
      <c r="N30" s="5">
        <f t="shared" si="11"/>
        <v>-1</v>
      </c>
      <c r="O30" s="12"/>
      <c r="P30" s="1">
        <f>SUM(OSRRefP22_2x_0)</f>
        <v>-238.8</v>
      </c>
      <c r="Q30" s="1"/>
      <c r="R30" s="5">
        <f t="shared" si="12"/>
        <v>0</v>
      </c>
      <c r="S30" s="1"/>
      <c r="T30" s="1">
        <f>SUM(OSRRefT22_2x_0)</f>
        <v>-1185.6199999999999</v>
      </c>
      <c r="U30" s="1"/>
      <c r="V30" s="5">
        <f t="shared" si="13"/>
        <v>0</v>
      </c>
      <c r="W30" s="1"/>
      <c r="X30" s="1">
        <f t="shared" si="14"/>
        <v>946.81999999999994</v>
      </c>
      <c r="Y30" s="1"/>
      <c r="Z30" s="5">
        <f t="shared" si="15"/>
        <v>-0.79858639361684181</v>
      </c>
    </row>
    <row r="31" spans="1:26" s="23" customFormat="1" hidden="1" outlineLevel="2" x14ac:dyDescent="0.25">
      <c r="A31" s="25"/>
      <c r="B31" s="10" t="str">
        <f>CONCATENATE("          ", "6279", " - ", "GENERAL EXPENSE")</f>
        <v xml:space="preserve">          6279 - GENERAL EXPENSE</v>
      </c>
      <c r="C31" s="10"/>
      <c r="D31" s="6"/>
      <c r="E31" s="2"/>
      <c r="F31" s="7">
        <f t="shared" si="8"/>
        <v>0</v>
      </c>
      <c r="G31" s="2"/>
      <c r="H31" s="6">
        <v>-276.68</v>
      </c>
      <c r="I31" s="2"/>
      <c r="J31" s="7">
        <f t="shared" si="9"/>
        <v>0</v>
      </c>
      <c r="K31" s="2"/>
      <c r="L31" s="6">
        <f t="shared" si="10"/>
        <v>276.68</v>
      </c>
      <c r="M31" s="2"/>
      <c r="N31" s="7">
        <f t="shared" si="11"/>
        <v>-1</v>
      </c>
      <c r="O31" s="10"/>
      <c r="P31" s="6">
        <v>-238.8</v>
      </c>
      <c r="Q31" s="2"/>
      <c r="R31" s="7">
        <f t="shared" si="12"/>
        <v>0</v>
      </c>
      <c r="S31" s="2"/>
      <c r="T31" s="6">
        <v>-1185.6199999999999</v>
      </c>
      <c r="U31" s="2"/>
      <c r="V31" s="7">
        <f t="shared" si="13"/>
        <v>0</v>
      </c>
      <c r="W31" s="2"/>
      <c r="X31" s="6">
        <f t="shared" si="14"/>
        <v>946.81999999999994</v>
      </c>
      <c r="Y31" s="2"/>
      <c r="Z31" s="7">
        <f t="shared" si="15"/>
        <v>-0.79858639361684181</v>
      </c>
    </row>
    <row r="32" spans="1:26" s="27" customFormat="1" outlineLevel="1" collapsed="1" x14ac:dyDescent="0.25">
      <c r="A32" s="26"/>
      <c r="B32" s="12" t="str">
        <f>CONCATENATE("     ","Insurance                                         ")</f>
        <v xml:space="preserve">     Insurance                                         </v>
      </c>
      <c r="C32" s="12"/>
      <c r="D32" s="1">
        <f>SUM(OSRRefD22_3x_0)</f>
        <v>52.73</v>
      </c>
      <c r="E32" s="1"/>
      <c r="F32" s="5">
        <f t="shared" si="8"/>
        <v>0</v>
      </c>
      <c r="G32" s="1"/>
      <c r="H32" s="1">
        <f>SUM(OSRRefH22_3x_0)</f>
        <v>24.56</v>
      </c>
      <c r="I32" s="1"/>
      <c r="J32" s="5">
        <f t="shared" si="9"/>
        <v>0</v>
      </c>
      <c r="K32" s="1"/>
      <c r="L32" s="1">
        <f t="shared" si="10"/>
        <v>28.169999999999998</v>
      </c>
      <c r="M32" s="1"/>
      <c r="N32" s="5">
        <f t="shared" si="11"/>
        <v>1.146986970684039</v>
      </c>
      <c r="O32" s="12"/>
      <c r="P32" s="1">
        <f>SUM(OSRRefP22_3x_0)</f>
        <v>322.89</v>
      </c>
      <c r="Q32" s="1"/>
      <c r="R32" s="5">
        <f t="shared" si="12"/>
        <v>0</v>
      </c>
      <c r="S32" s="1"/>
      <c r="T32" s="1">
        <f>SUM(OSRRefT22_3x_0)</f>
        <v>294.72000000000003</v>
      </c>
      <c r="U32" s="1"/>
      <c r="V32" s="5">
        <f t="shared" si="13"/>
        <v>0</v>
      </c>
      <c r="W32" s="1"/>
      <c r="X32" s="1">
        <f t="shared" si="14"/>
        <v>28.169999999999959</v>
      </c>
      <c r="Y32" s="1"/>
      <c r="Z32" s="5">
        <f t="shared" si="15"/>
        <v>9.5582247557003105E-2</v>
      </c>
    </row>
    <row r="33" spans="1:26" s="23" customFormat="1" hidden="1" outlineLevel="2" x14ac:dyDescent="0.25">
      <c r="A33" s="25"/>
      <c r="B33" s="10" t="str">
        <f>CONCATENATE("          ", "6314", " - ", "LIABILITY INSURANCE")</f>
        <v xml:space="preserve">          6314 - LIABILITY INSURANCE</v>
      </c>
      <c r="C33" s="10"/>
      <c r="D33" s="6">
        <v>52.73</v>
      </c>
      <c r="E33" s="2"/>
      <c r="F33" s="7">
        <f t="shared" si="8"/>
        <v>0</v>
      </c>
      <c r="G33" s="2"/>
      <c r="H33" s="6">
        <v>24.56</v>
      </c>
      <c r="I33" s="2"/>
      <c r="J33" s="7">
        <f t="shared" si="9"/>
        <v>0</v>
      </c>
      <c r="K33" s="2"/>
      <c r="L33" s="6">
        <f t="shared" si="10"/>
        <v>28.169999999999998</v>
      </c>
      <c r="M33" s="2"/>
      <c r="N33" s="7">
        <f t="shared" si="11"/>
        <v>1.146986970684039</v>
      </c>
      <c r="O33" s="10"/>
      <c r="P33" s="6">
        <v>322.89</v>
      </c>
      <c r="Q33" s="2"/>
      <c r="R33" s="7">
        <f t="shared" si="12"/>
        <v>0</v>
      </c>
      <c r="S33" s="2"/>
      <c r="T33" s="6">
        <v>294.72000000000003</v>
      </c>
      <c r="U33" s="2"/>
      <c r="V33" s="7">
        <f t="shared" si="13"/>
        <v>0</v>
      </c>
      <c r="W33" s="2"/>
      <c r="X33" s="6">
        <f t="shared" si="14"/>
        <v>28.169999999999959</v>
      </c>
      <c r="Y33" s="2"/>
      <c r="Z33" s="7">
        <f t="shared" si="15"/>
        <v>9.5582247557003105E-2</v>
      </c>
    </row>
    <row r="34" spans="1:26" s="27" customFormat="1" outlineLevel="1" collapsed="1" x14ac:dyDescent="0.25">
      <c r="A34" s="26"/>
      <c r="B34" s="12" t="str">
        <f>CONCATENATE("     ","Repair and Maintenance                            ")</f>
        <v xml:space="preserve">     Repair and Maintenance                            </v>
      </c>
      <c r="C34" s="12"/>
      <c r="D34" s="1">
        <f>SUM(OSRRefD22_4x_0)</f>
        <v>976.98</v>
      </c>
      <c r="E34" s="1"/>
      <c r="F34" s="5">
        <f t="shared" si="8"/>
        <v>0</v>
      </c>
      <c r="G34" s="1"/>
      <c r="H34" s="1">
        <f>SUM(OSRRefH22_4x_0)</f>
        <v>887.83</v>
      </c>
      <c r="I34" s="1"/>
      <c r="J34" s="5">
        <f t="shared" si="9"/>
        <v>0</v>
      </c>
      <c r="K34" s="1"/>
      <c r="L34" s="1">
        <f t="shared" si="10"/>
        <v>89.149999999999977</v>
      </c>
      <c r="M34" s="1"/>
      <c r="N34" s="5">
        <f t="shared" si="11"/>
        <v>0.10041336742394374</v>
      </c>
      <c r="O34" s="12"/>
      <c r="P34" s="1">
        <f>SUM(OSRRefP22_4x_0)</f>
        <v>11937.169999999998</v>
      </c>
      <c r="Q34" s="1"/>
      <c r="R34" s="5">
        <f t="shared" si="12"/>
        <v>0</v>
      </c>
      <c r="S34" s="1"/>
      <c r="T34" s="1">
        <f>SUM(OSRRefT22_4x_0)</f>
        <v>21916.65</v>
      </c>
      <c r="U34" s="1"/>
      <c r="V34" s="5">
        <f t="shared" si="13"/>
        <v>0</v>
      </c>
      <c r="W34" s="1"/>
      <c r="X34" s="1">
        <f t="shared" si="14"/>
        <v>-9979.4800000000032</v>
      </c>
      <c r="Y34" s="1"/>
      <c r="Z34" s="5">
        <f t="shared" si="15"/>
        <v>-0.45533783675881134</v>
      </c>
    </row>
    <row r="35" spans="1:26" s="23" customFormat="1" hidden="1" outlineLevel="2" x14ac:dyDescent="0.25">
      <c r="A35" s="25"/>
      <c r="B35" s="10" t="str">
        <f>CONCATENATE("          ", "6371", " - ", "COMPUTER SOFTWARE MAINTENANCE")</f>
        <v xml:space="preserve">          6371 - COMPUTER SOFTWARE MAINTENANCE</v>
      </c>
      <c r="C35" s="10"/>
      <c r="D35" s="6"/>
      <c r="E35" s="2"/>
      <c r="F35" s="7">
        <f t="shared" si="8"/>
        <v>0</v>
      </c>
      <c r="G35" s="2"/>
      <c r="H35" s="6"/>
      <c r="I35" s="2"/>
      <c r="J35" s="7">
        <f t="shared" si="9"/>
        <v>0</v>
      </c>
      <c r="K35" s="2"/>
      <c r="L35" s="6">
        <f t="shared" si="10"/>
        <v>0</v>
      </c>
      <c r="M35" s="2"/>
      <c r="N35" s="7">
        <f t="shared" si="11"/>
        <v>0</v>
      </c>
      <c r="O35" s="10"/>
      <c r="P35" s="6"/>
      <c r="Q35" s="2"/>
      <c r="R35" s="7">
        <f t="shared" si="12"/>
        <v>0</v>
      </c>
      <c r="S35" s="2"/>
      <c r="T35" s="6">
        <v>4968.9799999999996</v>
      </c>
      <c r="U35" s="2"/>
      <c r="V35" s="7">
        <f t="shared" si="13"/>
        <v>0</v>
      </c>
      <c r="W35" s="2"/>
      <c r="X35" s="6">
        <f t="shared" si="14"/>
        <v>-4968.9799999999996</v>
      </c>
      <c r="Y35" s="2"/>
      <c r="Z35" s="7">
        <f t="shared" si="15"/>
        <v>-1</v>
      </c>
    </row>
    <row r="36" spans="1:26" s="23" customFormat="1" hidden="1" outlineLevel="2" x14ac:dyDescent="0.25">
      <c r="A36" s="25"/>
      <c r="B36" s="10" t="str">
        <f>CONCATENATE("          ", "6373", " - ", "MAINTENANCE CONTRACTS")</f>
        <v xml:space="preserve">          6373 - MAINTENANCE CONTRACTS</v>
      </c>
      <c r="C36" s="10"/>
      <c r="D36" s="6">
        <v>891.98</v>
      </c>
      <c r="E36" s="2"/>
      <c r="F36" s="7">
        <f t="shared" si="8"/>
        <v>0</v>
      </c>
      <c r="G36" s="2"/>
      <c r="H36" s="6">
        <v>866</v>
      </c>
      <c r="I36" s="2"/>
      <c r="J36" s="7">
        <f t="shared" si="9"/>
        <v>0</v>
      </c>
      <c r="K36" s="2"/>
      <c r="L36" s="6">
        <f t="shared" si="10"/>
        <v>25.980000000000018</v>
      </c>
      <c r="M36" s="2"/>
      <c r="N36" s="7">
        <f t="shared" si="11"/>
        <v>3.000000000000002E-2</v>
      </c>
      <c r="O36" s="10"/>
      <c r="P36" s="6">
        <v>9681.8799999999992</v>
      </c>
      <c r="Q36" s="2"/>
      <c r="R36" s="7">
        <f t="shared" si="12"/>
        <v>0</v>
      </c>
      <c r="S36" s="2"/>
      <c r="T36" s="6">
        <v>14519.91</v>
      </c>
      <c r="U36" s="2"/>
      <c r="V36" s="7">
        <f t="shared" si="13"/>
        <v>0</v>
      </c>
      <c r="W36" s="2"/>
      <c r="X36" s="6">
        <f t="shared" si="14"/>
        <v>-4838.0300000000007</v>
      </c>
      <c r="Y36" s="2"/>
      <c r="Z36" s="7">
        <f t="shared" si="15"/>
        <v>-0.33319972368974743</v>
      </c>
    </row>
    <row r="37" spans="1:26" s="23" customFormat="1" hidden="1" outlineLevel="2" x14ac:dyDescent="0.25">
      <c r="A37" s="25"/>
      <c r="B37" s="10" t="str">
        <f>CONCATENATE("          ", "6375", " - ", "OUTSIDE REPAIRS &amp; MAINTENANCE")</f>
        <v xml:space="preserve">          6375 - OUTSIDE REPAIRS &amp; MAINTENANCE</v>
      </c>
      <c r="C37" s="10"/>
      <c r="D37" s="6">
        <v>85</v>
      </c>
      <c r="E37" s="2"/>
      <c r="F37" s="7">
        <f t="shared" si="8"/>
        <v>0</v>
      </c>
      <c r="G37" s="2"/>
      <c r="H37" s="6">
        <v>21.83</v>
      </c>
      <c r="I37" s="2"/>
      <c r="J37" s="7">
        <f t="shared" si="9"/>
        <v>0</v>
      </c>
      <c r="K37" s="2"/>
      <c r="L37" s="6">
        <f t="shared" si="10"/>
        <v>63.17</v>
      </c>
      <c r="M37" s="2"/>
      <c r="N37" s="7">
        <f t="shared" si="11"/>
        <v>2.8937242327072838</v>
      </c>
      <c r="O37" s="10"/>
      <c r="P37" s="6">
        <v>2255.29</v>
      </c>
      <c r="Q37" s="2"/>
      <c r="R37" s="7">
        <f t="shared" si="12"/>
        <v>0</v>
      </c>
      <c r="S37" s="2"/>
      <c r="T37" s="6">
        <v>2427.7600000000002</v>
      </c>
      <c r="U37" s="2"/>
      <c r="V37" s="7">
        <f t="shared" si="13"/>
        <v>0</v>
      </c>
      <c r="W37" s="2"/>
      <c r="X37" s="6">
        <f t="shared" si="14"/>
        <v>-172.47000000000025</v>
      </c>
      <c r="Y37" s="2"/>
      <c r="Z37" s="7">
        <f t="shared" si="15"/>
        <v>-7.104079480673553E-2</v>
      </c>
    </row>
    <row r="38" spans="1:26" s="27" customFormat="1" outlineLevel="1" collapsed="1" x14ac:dyDescent="0.25">
      <c r="A38" s="26"/>
      <c r="B38" s="12" t="str">
        <f>CONCATENATE("     ","Services                                          ")</f>
        <v xml:space="preserve">     Services                                          </v>
      </c>
      <c r="C38" s="12"/>
      <c r="D38" s="1">
        <f>SUM(OSRRefD22_5x_0)</f>
        <v>0</v>
      </c>
      <c r="E38" s="1"/>
      <c r="F38" s="5">
        <f t="shared" ref="F38:F43" si="16">IF(D$12=0,0,D38/D$12)</f>
        <v>0</v>
      </c>
      <c r="G38" s="1"/>
      <c r="H38" s="1">
        <f>SUM(OSRRefH22_5x_0)</f>
        <v>0</v>
      </c>
      <c r="I38" s="1"/>
      <c r="J38" s="5">
        <f t="shared" ref="J38:J43" si="17">IF(H$12=0,0,H38/H$12)</f>
        <v>0</v>
      </c>
      <c r="K38" s="1"/>
      <c r="L38" s="1">
        <f t="shared" ref="L38:L43" si="18">+D38-H38</f>
        <v>0</v>
      </c>
      <c r="M38" s="1"/>
      <c r="N38" s="5">
        <f t="shared" ref="N38:N43" si="19">IF(H38=0,0,L38/H38)</f>
        <v>0</v>
      </c>
      <c r="O38" s="12"/>
      <c r="P38" s="1">
        <f>SUM(OSRRefP22_5x_0)</f>
        <v>0</v>
      </c>
      <c r="Q38" s="1"/>
      <c r="R38" s="5">
        <f t="shared" ref="R38:R43" si="20">IF(P$12=0,0,P38/P$12)</f>
        <v>0</v>
      </c>
      <c r="S38" s="1"/>
      <c r="T38" s="1">
        <f>SUM(OSRRefT22_5x_0)</f>
        <v>83.98</v>
      </c>
      <c r="U38" s="1"/>
      <c r="V38" s="5">
        <f t="shared" ref="V38:V43" si="21">IF(T$12=0,0,T38/T$12)</f>
        <v>0</v>
      </c>
      <c r="W38" s="1"/>
      <c r="X38" s="1">
        <f t="shared" ref="X38:X43" si="22">+P38-T38</f>
        <v>-83.98</v>
      </c>
      <c r="Y38" s="1"/>
      <c r="Z38" s="5">
        <f t="shared" ref="Z38:Z43" si="23">IF(T38=0,0,X38/T38)</f>
        <v>-1</v>
      </c>
    </row>
    <row r="39" spans="1:26" s="23" customFormat="1" hidden="1" outlineLevel="2" x14ac:dyDescent="0.25">
      <c r="A39" s="25"/>
      <c r="B39" s="10" t="str">
        <f>CONCATENATE("          ", "6286", " - ", "LAUNDRY EXPENSE")</f>
        <v xml:space="preserve">          6286 - LAUNDRY EXPENSE</v>
      </c>
      <c r="C39" s="10"/>
      <c r="D39" s="6"/>
      <c r="E39" s="2"/>
      <c r="F39" s="7">
        <f t="shared" si="16"/>
        <v>0</v>
      </c>
      <c r="G39" s="2"/>
      <c r="H39" s="6"/>
      <c r="I39" s="2"/>
      <c r="J39" s="7">
        <f t="shared" si="17"/>
        <v>0</v>
      </c>
      <c r="K39" s="2"/>
      <c r="L39" s="6">
        <f t="shared" si="18"/>
        <v>0</v>
      </c>
      <c r="M39" s="2"/>
      <c r="N39" s="7">
        <f t="shared" si="19"/>
        <v>0</v>
      </c>
      <c r="O39" s="10"/>
      <c r="P39" s="6"/>
      <c r="Q39" s="2"/>
      <c r="R39" s="7">
        <f t="shared" si="20"/>
        <v>0</v>
      </c>
      <c r="S39" s="2"/>
      <c r="T39" s="6">
        <v>83.98</v>
      </c>
      <c r="U39" s="2"/>
      <c r="V39" s="7">
        <f t="shared" si="21"/>
        <v>0</v>
      </c>
      <c r="W39" s="2"/>
      <c r="X39" s="6">
        <f t="shared" si="22"/>
        <v>-83.98</v>
      </c>
      <c r="Y39" s="2"/>
      <c r="Z39" s="7">
        <f t="shared" si="23"/>
        <v>-1</v>
      </c>
    </row>
    <row r="40" spans="1:26" s="27" customFormat="1" outlineLevel="1" collapsed="1" x14ac:dyDescent="0.25">
      <c r="A40" s="26"/>
      <c r="B40" s="12" t="str">
        <f>CONCATENATE("     ","Supplies                                          ")</f>
        <v xml:space="preserve">     Supplies                                          </v>
      </c>
      <c r="C40" s="12"/>
      <c r="D40" s="1">
        <f>SUM(OSRRefD22_6x_0)</f>
        <v>0</v>
      </c>
      <c r="E40" s="1"/>
      <c r="F40" s="5">
        <f t="shared" si="16"/>
        <v>0</v>
      </c>
      <c r="G40" s="1"/>
      <c r="H40" s="1">
        <f>SUM(OSRRefH22_6x_0)</f>
        <v>0</v>
      </c>
      <c r="I40" s="1"/>
      <c r="J40" s="5">
        <f t="shared" si="17"/>
        <v>0</v>
      </c>
      <c r="K40" s="1"/>
      <c r="L40" s="1">
        <f t="shared" si="18"/>
        <v>0</v>
      </c>
      <c r="M40" s="1"/>
      <c r="N40" s="5">
        <f t="shared" si="19"/>
        <v>0</v>
      </c>
      <c r="O40" s="12"/>
      <c r="P40" s="1">
        <f>SUM(OSRRefP22_6x_0)</f>
        <v>5303.58</v>
      </c>
      <c r="Q40" s="1"/>
      <c r="R40" s="5">
        <f t="shared" si="20"/>
        <v>0</v>
      </c>
      <c r="S40" s="1"/>
      <c r="T40" s="1">
        <f>SUM(OSRRefT22_6x_0)</f>
        <v>1123.9000000000001</v>
      </c>
      <c r="U40" s="1"/>
      <c r="V40" s="5">
        <f t="shared" si="21"/>
        <v>0</v>
      </c>
      <c r="W40" s="1"/>
      <c r="X40" s="1">
        <f t="shared" si="22"/>
        <v>4179.68</v>
      </c>
      <c r="Y40" s="1"/>
      <c r="Z40" s="5">
        <f t="shared" si="23"/>
        <v>3.7189073761010767</v>
      </c>
    </row>
    <row r="41" spans="1:26" s="23" customFormat="1" hidden="1" outlineLevel="2" x14ac:dyDescent="0.25">
      <c r="A41" s="25"/>
      <c r="B41" s="10" t="str">
        <f>CONCATENATE("          ", "6234", " - ", "EXPENDABLE SUPPLIES &amp; EQUIPMEN")</f>
        <v xml:space="preserve">          6234 - EXPENDABLE SUPPLIES &amp; EQUIPMEN</v>
      </c>
      <c r="C41" s="10"/>
      <c r="D41" s="6"/>
      <c r="E41" s="2"/>
      <c r="F41" s="7">
        <f t="shared" si="16"/>
        <v>0</v>
      </c>
      <c r="G41" s="2"/>
      <c r="H41" s="6"/>
      <c r="I41" s="2"/>
      <c r="J41" s="7">
        <f t="shared" si="17"/>
        <v>0</v>
      </c>
      <c r="K41" s="2"/>
      <c r="L41" s="6">
        <f t="shared" si="18"/>
        <v>0</v>
      </c>
      <c r="M41" s="2"/>
      <c r="N41" s="7">
        <f t="shared" si="19"/>
        <v>0</v>
      </c>
      <c r="O41" s="10"/>
      <c r="P41" s="6"/>
      <c r="Q41" s="2"/>
      <c r="R41" s="7">
        <f t="shared" si="20"/>
        <v>0</v>
      </c>
      <c r="S41" s="2"/>
      <c r="T41" s="6">
        <v>1006.59</v>
      </c>
      <c r="U41" s="2"/>
      <c r="V41" s="7">
        <f t="shared" si="21"/>
        <v>0</v>
      </c>
      <c r="W41" s="2"/>
      <c r="X41" s="6">
        <f t="shared" si="22"/>
        <v>-1006.59</v>
      </c>
      <c r="Y41" s="2"/>
      <c r="Z41" s="7">
        <f t="shared" si="23"/>
        <v>-1</v>
      </c>
    </row>
    <row r="42" spans="1:26" s="23" customFormat="1" hidden="1" outlineLevel="2" x14ac:dyDescent="0.25">
      <c r="A42" s="25"/>
      <c r="B42" s="10" t="str">
        <f>CONCATENATE("          ", "6235", " - ", "COVID-19 EXPENSES")</f>
        <v xml:space="preserve">          6235 - COVID-19 EXPENSES</v>
      </c>
      <c r="C42" s="10"/>
      <c r="D42" s="6"/>
      <c r="E42" s="2"/>
      <c r="F42" s="7">
        <f t="shared" si="16"/>
        <v>0</v>
      </c>
      <c r="G42" s="2"/>
      <c r="H42" s="6"/>
      <c r="I42" s="2"/>
      <c r="J42" s="7">
        <f t="shared" si="17"/>
        <v>0</v>
      </c>
      <c r="K42" s="2"/>
      <c r="L42" s="6">
        <f t="shared" si="18"/>
        <v>0</v>
      </c>
      <c r="M42" s="2"/>
      <c r="N42" s="7">
        <f t="shared" si="19"/>
        <v>0</v>
      </c>
      <c r="O42" s="10"/>
      <c r="P42" s="6">
        <v>66.12</v>
      </c>
      <c r="Q42" s="2"/>
      <c r="R42" s="7">
        <f t="shared" si="20"/>
        <v>0</v>
      </c>
      <c r="S42" s="2"/>
      <c r="T42" s="6"/>
      <c r="U42" s="2"/>
      <c r="V42" s="7">
        <f t="shared" si="21"/>
        <v>0</v>
      </c>
      <c r="W42" s="2"/>
      <c r="X42" s="6">
        <f t="shared" si="22"/>
        <v>66.12</v>
      </c>
      <c r="Y42" s="2"/>
      <c r="Z42" s="7">
        <f t="shared" si="23"/>
        <v>0</v>
      </c>
    </row>
    <row r="43" spans="1:26" s="23" customFormat="1" hidden="1" outlineLevel="2" x14ac:dyDescent="0.25">
      <c r="A43" s="25"/>
      <c r="B43" s="10" t="str">
        <f>CONCATENATE("          ", "6241", " - ", "OFFICE EXPENSE")</f>
        <v xml:space="preserve">          6241 - OFFICE EXPENSE</v>
      </c>
      <c r="C43" s="10"/>
      <c r="D43" s="6"/>
      <c r="E43" s="2"/>
      <c r="F43" s="7">
        <f t="shared" si="16"/>
        <v>0</v>
      </c>
      <c r="G43" s="2"/>
      <c r="H43" s="6"/>
      <c r="I43" s="2"/>
      <c r="J43" s="7">
        <f t="shared" si="17"/>
        <v>0</v>
      </c>
      <c r="K43" s="2"/>
      <c r="L43" s="6">
        <f t="shared" si="18"/>
        <v>0</v>
      </c>
      <c r="M43" s="2"/>
      <c r="N43" s="7">
        <f t="shared" si="19"/>
        <v>0</v>
      </c>
      <c r="O43" s="10"/>
      <c r="P43" s="6">
        <v>5237.46</v>
      </c>
      <c r="Q43" s="2"/>
      <c r="R43" s="7">
        <f t="shared" si="20"/>
        <v>0</v>
      </c>
      <c r="S43" s="2"/>
      <c r="T43" s="6">
        <v>117.31</v>
      </c>
      <c r="U43" s="2"/>
      <c r="V43" s="7">
        <f t="shared" si="21"/>
        <v>0</v>
      </c>
      <c r="W43" s="2"/>
      <c r="X43" s="6">
        <f t="shared" si="22"/>
        <v>5120.1499999999996</v>
      </c>
      <c r="Y43" s="2"/>
      <c r="Z43" s="7">
        <f t="shared" si="23"/>
        <v>43.646321711704026</v>
      </c>
    </row>
    <row r="44" spans="1:26" s="27" customFormat="1" outlineLevel="1" collapsed="1" x14ac:dyDescent="0.25">
      <c r="A44" s="26"/>
      <c r="B44" s="12" t="str">
        <f>CONCATENATE("     ","Telephone/Data Lines                              ")</f>
        <v xml:space="preserve">     Telephone/Data Lines                              </v>
      </c>
      <c r="C44" s="12"/>
      <c r="D44" s="1">
        <f>SUM(OSRRefD22_7x_0)</f>
        <v>323</v>
      </c>
      <c r="E44" s="1"/>
      <c r="F44" s="5">
        <f t="shared" ref="F44:F47" si="24">IF(D$12=0,0,D44/D$12)</f>
        <v>0</v>
      </c>
      <c r="G44" s="1"/>
      <c r="H44" s="1">
        <f>SUM(OSRRefH22_7x_0)</f>
        <v>448.8</v>
      </c>
      <c r="I44" s="1"/>
      <c r="J44" s="5">
        <f t="shared" ref="J44:J47" si="25">IF(H$12=0,0,H44/H$12)</f>
        <v>0</v>
      </c>
      <c r="K44" s="1"/>
      <c r="L44" s="1">
        <f t="shared" ref="L44:L47" si="26">+D44-H44</f>
        <v>-125.80000000000001</v>
      </c>
      <c r="M44" s="1"/>
      <c r="N44" s="5">
        <f t="shared" ref="N44:N47" si="27">IF(H44=0,0,L44/H44)</f>
        <v>-0.28030303030303033</v>
      </c>
      <c r="O44" s="12"/>
      <c r="P44" s="1">
        <f>SUM(OSRRefP22_7x_0)</f>
        <v>930</v>
      </c>
      <c r="Q44" s="1"/>
      <c r="R44" s="5">
        <f t="shared" ref="R44:R47" si="28">IF(P$12=0,0,P44/P$12)</f>
        <v>0</v>
      </c>
      <c r="S44" s="1"/>
      <c r="T44" s="1">
        <f>SUM(OSRRefT22_7x_0)</f>
        <v>1204</v>
      </c>
      <c r="U44" s="1"/>
      <c r="V44" s="5">
        <f t="shared" ref="V44:V47" si="29">IF(T$12=0,0,T44/T$12)</f>
        <v>0</v>
      </c>
      <c r="W44" s="1"/>
      <c r="X44" s="1">
        <f t="shared" ref="X44:X47" si="30">+P44-T44</f>
        <v>-274</v>
      </c>
      <c r="Y44" s="1"/>
      <c r="Z44" s="5">
        <f t="shared" ref="Z44:Z47" si="31">IF(T44=0,0,X44/T44)</f>
        <v>-0.22757475083056478</v>
      </c>
    </row>
    <row r="45" spans="1:26" s="23" customFormat="1" hidden="1" outlineLevel="2" x14ac:dyDescent="0.25">
      <c r="A45" s="25"/>
      <c r="B45" s="10" t="str">
        <f>CONCATENATE("          ", "6309", " - ", "TELEPHONE")</f>
        <v xml:space="preserve">          6309 - TELEPHONE</v>
      </c>
      <c r="C45" s="10"/>
      <c r="D45" s="6">
        <v>323</v>
      </c>
      <c r="E45" s="2"/>
      <c r="F45" s="7">
        <f t="shared" si="24"/>
        <v>0</v>
      </c>
      <c r="G45" s="2"/>
      <c r="H45" s="6">
        <v>448.8</v>
      </c>
      <c r="I45" s="2"/>
      <c r="J45" s="7">
        <f t="shared" si="25"/>
        <v>0</v>
      </c>
      <c r="K45" s="2"/>
      <c r="L45" s="6">
        <f t="shared" si="26"/>
        <v>-125.80000000000001</v>
      </c>
      <c r="M45" s="2"/>
      <c r="N45" s="7">
        <f t="shared" si="27"/>
        <v>-0.28030303030303033</v>
      </c>
      <c r="O45" s="10"/>
      <c r="P45" s="6">
        <v>930</v>
      </c>
      <c r="Q45" s="2"/>
      <c r="R45" s="7">
        <f t="shared" si="28"/>
        <v>0</v>
      </c>
      <c r="S45" s="2"/>
      <c r="T45" s="6">
        <v>1204</v>
      </c>
      <c r="U45" s="2"/>
      <c r="V45" s="7">
        <f t="shared" si="29"/>
        <v>0</v>
      </c>
      <c r="W45" s="2"/>
      <c r="X45" s="6">
        <f t="shared" si="30"/>
        <v>-274</v>
      </c>
      <c r="Y45" s="2"/>
      <c r="Z45" s="7">
        <f t="shared" si="31"/>
        <v>-0.22757475083056478</v>
      </c>
    </row>
    <row r="46" spans="1:26" s="27" customFormat="1" outlineLevel="1" collapsed="1" x14ac:dyDescent="0.25">
      <c r="A46" s="26"/>
      <c r="B46" s="12" t="str">
        <f>CONCATENATE("     ","Travel                                            ")</f>
        <v xml:space="preserve">     Travel                                            </v>
      </c>
      <c r="C46" s="12"/>
      <c r="D46" s="1">
        <f>SUM(OSRRefD22_8x_0)</f>
        <v>0</v>
      </c>
      <c r="E46" s="1"/>
      <c r="F46" s="5">
        <f t="shared" si="24"/>
        <v>0</v>
      </c>
      <c r="G46" s="1"/>
      <c r="H46" s="1">
        <f>SUM(OSRRefH22_8x_0)</f>
        <v>0</v>
      </c>
      <c r="I46" s="1"/>
      <c r="J46" s="5">
        <f t="shared" si="25"/>
        <v>0</v>
      </c>
      <c r="K46" s="1"/>
      <c r="L46" s="1">
        <f t="shared" si="26"/>
        <v>0</v>
      </c>
      <c r="M46" s="1"/>
      <c r="N46" s="5">
        <f t="shared" si="27"/>
        <v>0</v>
      </c>
      <c r="O46" s="12"/>
      <c r="P46" s="1">
        <f>SUM(OSRRefP22_8x_0)</f>
        <v>0</v>
      </c>
      <c r="Q46" s="1"/>
      <c r="R46" s="5">
        <f t="shared" si="28"/>
        <v>0</v>
      </c>
      <c r="S46" s="1"/>
      <c r="T46" s="1">
        <f>SUM(OSRRefT22_8x_0)</f>
        <v>256.86</v>
      </c>
      <c r="U46" s="1"/>
      <c r="V46" s="5">
        <f t="shared" si="29"/>
        <v>0</v>
      </c>
      <c r="W46" s="1"/>
      <c r="X46" s="1">
        <f t="shared" si="30"/>
        <v>-256.86</v>
      </c>
      <c r="Y46" s="1"/>
      <c r="Z46" s="5">
        <f t="shared" si="31"/>
        <v>-1</v>
      </c>
    </row>
    <row r="47" spans="1:26" s="23" customFormat="1" hidden="1" outlineLevel="2" x14ac:dyDescent="0.25">
      <c r="A47" s="25"/>
      <c r="B47" s="10" t="str">
        <f>CONCATENATE("          ", "6292", " - ", "TRAVEL/CONFERENCE")</f>
        <v xml:space="preserve">          6292 - TRAVEL/CONFERENCE</v>
      </c>
      <c r="C47" s="10"/>
      <c r="D47" s="6"/>
      <c r="E47" s="2"/>
      <c r="F47" s="7">
        <f t="shared" si="24"/>
        <v>0</v>
      </c>
      <c r="G47" s="2"/>
      <c r="H47" s="6"/>
      <c r="I47" s="2"/>
      <c r="J47" s="7">
        <f t="shared" si="25"/>
        <v>0</v>
      </c>
      <c r="K47" s="2"/>
      <c r="L47" s="6">
        <f t="shared" si="26"/>
        <v>0</v>
      </c>
      <c r="M47" s="2"/>
      <c r="N47" s="7">
        <f t="shared" si="27"/>
        <v>0</v>
      </c>
      <c r="O47" s="10"/>
      <c r="P47" s="6"/>
      <c r="Q47" s="2"/>
      <c r="R47" s="7">
        <f t="shared" si="28"/>
        <v>0</v>
      </c>
      <c r="S47" s="2"/>
      <c r="T47" s="6">
        <v>256.86</v>
      </c>
      <c r="U47" s="2"/>
      <c r="V47" s="7">
        <f t="shared" si="29"/>
        <v>0</v>
      </c>
      <c r="W47" s="2"/>
      <c r="X47" s="6">
        <f t="shared" si="30"/>
        <v>-256.86</v>
      </c>
      <c r="Y47" s="2"/>
      <c r="Z47" s="7">
        <f t="shared" si="31"/>
        <v>-1</v>
      </c>
    </row>
    <row r="48" spans="1:26" s="52" customFormat="1" x14ac:dyDescent="0.25">
      <c r="A48" s="37"/>
      <c r="B48" s="37"/>
      <c r="C48" s="37"/>
      <c r="D48" s="1"/>
      <c r="E48" s="1"/>
      <c r="F48" s="5"/>
      <c r="G48" s="1"/>
      <c r="H48" s="1"/>
      <c r="I48" s="1"/>
      <c r="J48" s="5"/>
      <c r="K48" s="1"/>
      <c r="L48" s="1"/>
      <c r="M48" s="1"/>
      <c r="N48" s="5"/>
      <c r="O48" s="37"/>
      <c r="P48" s="1"/>
      <c r="Q48" s="1"/>
      <c r="R48" s="5"/>
      <c r="S48" s="1"/>
      <c r="T48" s="1"/>
      <c r="U48" s="1"/>
      <c r="V48" s="5"/>
      <c r="W48" s="1"/>
      <c r="X48" s="1"/>
      <c r="Y48" s="1"/>
      <c r="Z48" s="5"/>
    </row>
    <row r="49" spans="1:26" s="24" customFormat="1" x14ac:dyDescent="0.25">
      <c r="A49" s="11"/>
      <c r="B49" s="29" t="s">
        <v>292</v>
      </c>
      <c r="C49" s="11"/>
      <c r="D49" s="4">
        <f>SUM(0)</f>
        <v>0</v>
      </c>
      <c r="E49" s="4"/>
      <c r="F49" s="13">
        <f>IF(D$12=0,0,D49/D$12)</f>
        <v>0</v>
      </c>
      <c r="G49" s="4"/>
      <c r="H49" s="4">
        <f>SUM(0)</f>
        <v>0</v>
      </c>
      <c r="I49" s="4"/>
      <c r="J49" s="13">
        <f>IF(H$12=0,0,H49/H$12)</f>
        <v>0</v>
      </c>
      <c r="K49" s="4"/>
      <c r="L49" s="4">
        <f>+D49-H49</f>
        <v>0</v>
      </c>
      <c r="M49" s="4"/>
      <c r="N49" s="13">
        <f>IF(H49=0,0,L49/H49)</f>
        <v>0</v>
      </c>
      <c r="O49" s="11"/>
      <c r="P49" s="4">
        <f>SUM(0)</f>
        <v>0</v>
      </c>
      <c r="Q49" s="4"/>
      <c r="R49" s="13">
        <f>IF(P$12=0,0,P49/P$12)</f>
        <v>0</v>
      </c>
      <c r="S49" s="4"/>
      <c r="T49" s="4">
        <f>SUM(0)</f>
        <v>0</v>
      </c>
      <c r="U49" s="4"/>
      <c r="V49" s="13">
        <f>IF(T$12=0,0,T49/T$12)</f>
        <v>0</v>
      </c>
      <c r="W49" s="4"/>
      <c r="X49" s="4">
        <f>+P49-T49</f>
        <v>0</v>
      </c>
      <c r="Y49" s="4"/>
      <c r="Z49" s="13">
        <f>IF(T49=0,0,X49/T49)</f>
        <v>0</v>
      </c>
    </row>
    <row r="50" spans="1:26" x14ac:dyDescent="0.25">
      <c r="A50" s="9"/>
      <c r="B50" s="11"/>
      <c r="C50" s="11"/>
      <c r="D50" s="3"/>
      <c r="E50" s="3"/>
      <c r="F50" s="8"/>
      <c r="G50" s="3"/>
      <c r="H50" s="3"/>
      <c r="I50" s="3"/>
      <c r="J50" s="8"/>
      <c r="K50" s="3"/>
      <c r="L50" s="3"/>
      <c r="M50" s="3"/>
      <c r="N50" s="8"/>
      <c r="O50" s="11"/>
      <c r="P50" s="3"/>
      <c r="Q50" s="3"/>
      <c r="R50" s="8"/>
      <c r="S50" s="3"/>
      <c r="T50" s="3"/>
      <c r="U50" s="3"/>
      <c r="V50" s="8"/>
      <c r="W50" s="3"/>
      <c r="X50" s="3"/>
      <c r="Y50" s="3"/>
      <c r="Z50" s="8"/>
    </row>
    <row r="51" spans="1:26" s="24" customFormat="1" x14ac:dyDescent="0.25">
      <c r="A51" s="11"/>
      <c r="B51" s="28" t="s">
        <v>276</v>
      </c>
      <c r="C51" s="28"/>
      <c r="D51" s="21">
        <f>+D16-D18+D49</f>
        <v>-8329.1699999999983</v>
      </c>
      <c r="E51" s="14"/>
      <c r="F51" s="22">
        <f>IF(D$12=0,0,D51/D$12)</f>
        <v>0</v>
      </c>
      <c r="G51" s="14"/>
      <c r="H51" s="21">
        <f>+H16-H18+H49</f>
        <v>-6767.76</v>
      </c>
      <c r="I51" s="14"/>
      <c r="J51" s="22">
        <f>IF(H$12=0,0,H51/H$12)</f>
        <v>0</v>
      </c>
      <c r="K51" s="15"/>
      <c r="L51" s="21">
        <f>+D51-H51</f>
        <v>-1561.409999999998</v>
      </c>
      <c r="M51" s="15"/>
      <c r="N51" s="22">
        <f>IF(H51=0,0,L51/H51)</f>
        <v>0.23071296854498358</v>
      </c>
      <c r="O51" s="29"/>
      <c r="P51" s="21">
        <f>+P16-P18+P49</f>
        <v>-99842.01</v>
      </c>
      <c r="Q51" s="14"/>
      <c r="R51" s="22">
        <f>IF(P$12=0,0,P51/P$12)</f>
        <v>0</v>
      </c>
      <c r="S51" s="14"/>
      <c r="T51" s="21">
        <f>+T16-T18+T49</f>
        <v>-90939.59</v>
      </c>
      <c r="U51" s="14"/>
      <c r="V51" s="22">
        <f>IF(T$12=0,0,T51/T$12)</f>
        <v>0</v>
      </c>
      <c r="W51" s="15"/>
      <c r="X51" s="21">
        <f>+P51-T51</f>
        <v>-8902.4199999999983</v>
      </c>
      <c r="Y51" s="15"/>
      <c r="Z51" s="22">
        <f>IF(T51=0,0,X51/T51)</f>
        <v>9.7893777616547412E-2</v>
      </c>
    </row>
    <row r="52" spans="1:26" x14ac:dyDescent="0.25">
      <c r="A52" s="9"/>
      <c r="B52" s="11"/>
      <c r="C52" s="9"/>
      <c r="D52" s="3"/>
      <c r="E52" s="3"/>
      <c r="F52" s="8"/>
      <c r="G52" s="3"/>
      <c r="H52" s="3"/>
      <c r="I52" s="3"/>
      <c r="J52" s="8"/>
      <c r="K52" s="3"/>
      <c r="L52" s="3"/>
      <c r="M52" s="3"/>
      <c r="N52" s="8"/>
      <c r="P52" s="3"/>
      <c r="Q52" s="3"/>
      <c r="R52" s="8"/>
      <c r="S52" s="3"/>
      <c r="T52" s="3"/>
      <c r="U52" s="3"/>
      <c r="V52" s="8"/>
      <c r="W52" s="3"/>
      <c r="X52" s="3"/>
      <c r="Y52" s="3"/>
      <c r="Z52" s="8"/>
    </row>
    <row r="53" spans="1:26" s="24" customFormat="1" x14ac:dyDescent="0.25">
      <c r="A53" s="51"/>
      <c r="B53" s="11" t="s">
        <v>127</v>
      </c>
      <c r="C53" s="11"/>
      <c r="D53" s="4"/>
      <c r="E53" s="4"/>
      <c r="F53" s="13">
        <f>IF(D$12=0,0,D53/D$12)</f>
        <v>0</v>
      </c>
      <c r="G53" s="4"/>
      <c r="H53" s="4"/>
      <c r="I53" s="4"/>
      <c r="J53" s="13">
        <f>IF(H$12=0,0,H53/H$12)</f>
        <v>0</v>
      </c>
      <c r="K53" s="4"/>
      <c r="L53" s="4">
        <f>+D53-H53</f>
        <v>0</v>
      </c>
      <c r="M53" s="4"/>
      <c r="N53" s="13">
        <f>IF(H53=0,0,L53/H53)</f>
        <v>0</v>
      </c>
      <c r="O53" s="11"/>
      <c r="P53" s="4"/>
      <c r="Q53" s="4"/>
      <c r="R53" s="13">
        <f>IF(P$12=0,0,P53/P$12)</f>
        <v>0</v>
      </c>
      <c r="S53" s="4"/>
      <c r="T53" s="4"/>
      <c r="U53" s="4"/>
      <c r="V53" s="13">
        <f>IF(T$12=0,0,T53/T$12)</f>
        <v>0</v>
      </c>
      <c r="W53" s="4"/>
      <c r="X53" s="4">
        <f>+P53-T53</f>
        <v>0</v>
      </c>
      <c r="Y53" s="4"/>
      <c r="Z53" s="13">
        <f>IF(T53=0,0,X53/T53)</f>
        <v>0</v>
      </c>
    </row>
    <row r="54" spans="1:26" x14ac:dyDescent="0.25">
      <c r="A54" s="9"/>
      <c r="B54" s="11"/>
      <c r="C54" s="11"/>
      <c r="D54" s="3"/>
      <c r="E54" s="3"/>
      <c r="F54" s="8"/>
      <c r="G54" s="3"/>
      <c r="H54" s="3"/>
      <c r="I54" s="3"/>
      <c r="J54" s="8"/>
      <c r="K54" s="3"/>
      <c r="L54" s="3"/>
      <c r="M54" s="3"/>
      <c r="N54" s="8"/>
      <c r="O54" s="11"/>
      <c r="P54" s="3"/>
      <c r="Q54" s="3"/>
      <c r="R54" s="8"/>
      <c r="S54" s="3"/>
      <c r="T54" s="3"/>
      <c r="U54" s="3"/>
      <c r="V54" s="8"/>
      <c r="W54" s="3"/>
      <c r="X54" s="3"/>
      <c r="Y54" s="3"/>
      <c r="Z54" s="8"/>
    </row>
    <row r="55" spans="1:26" s="24" customFormat="1" ht="15.75" thickBot="1" x14ac:dyDescent="0.3">
      <c r="A55" s="11"/>
      <c r="B55" s="28" t="s">
        <v>125</v>
      </c>
      <c r="C55" s="28"/>
      <c r="D55" s="34">
        <f>+D51-D53</f>
        <v>-8329.1699999999983</v>
      </c>
      <c r="E55" s="14"/>
      <c r="F55" s="31">
        <f>IF(D$12=0,0,D55/D$12)</f>
        <v>0</v>
      </c>
      <c r="G55" s="14"/>
      <c r="H55" s="34">
        <f>+H51-H53</f>
        <v>-6767.76</v>
      </c>
      <c r="I55" s="14"/>
      <c r="J55" s="31">
        <f>IF(H$12=0,0,H55/H$12)</f>
        <v>0</v>
      </c>
      <c r="K55" s="15"/>
      <c r="L55" s="34">
        <f>D55-H55</f>
        <v>-1561.409999999998</v>
      </c>
      <c r="M55" s="15"/>
      <c r="N55" s="31">
        <f>IF(H55=0,0,L55/H55)</f>
        <v>0.23071296854498358</v>
      </c>
      <c r="O55" s="29"/>
      <c r="P55" s="34">
        <f>+P51-P53</f>
        <v>-99842.01</v>
      </c>
      <c r="Q55" s="14"/>
      <c r="R55" s="31">
        <f>IF(P$12=0,0,P55/P$12)</f>
        <v>0</v>
      </c>
      <c r="S55" s="14"/>
      <c r="T55" s="34">
        <f>+T51-T53</f>
        <v>-90939.59</v>
      </c>
      <c r="U55" s="14"/>
      <c r="V55" s="31">
        <f>IF(T$12=0,0,T55/T$12)</f>
        <v>0</v>
      </c>
      <c r="W55" s="15"/>
      <c r="X55" s="34">
        <f>P55-T55</f>
        <v>-8902.4199999999983</v>
      </c>
      <c r="Y55" s="15"/>
      <c r="Z55" s="31">
        <f>IF(T55=0,0,X55/T55)</f>
        <v>9.7893777616547412E-2</v>
      </c>
    </row>
    <row r="56" spans="1:26" ht="15.75" thickTop="1" x14ac:dyDescent="0.25">
      <c r="A56" s="9"/>
      <c r="B56" s="9"/>
      <c r="C56" s="9"/>
      <c r="D56" s="3"/>
      <c r="E56" s="3"/>
      <c r="F56" s="8"/>
      <c r="G56" s="3"/>
      <c r="H56" s="3"/>
      <c r="I56" s="3"/>
      <c r="J56" s="8"/>
      <c r="K56" s="3"/>
      <c r="L56" s="3"/>
      <c r="M56" s="3"/>
      <c r="N56" s="8"/>
      <c r="P56" s="3"/>
      <c r="Q56" s="3"/>
      <c r="R56" s="8"/>
      <c r="S56" s="3"/>
      <c r="T56" s="3"/>
      <c r="U56" s="3"/>
      <c r="V56" s="8"/>
      <c r="W56" s="3"/>
      <c r="X56" s="3"/>
      <c r="Y56" s="3"/>
      <c r="Z56" s="8"/>
    </row>
    <row r="57" spans="1:26" x14ac:dyDescent="0.25">
      <c r="A57" s="9"/>
      <c r="B57" s="9"/>
      <c r="C57" s="9"/>
      <c r="D57" s="3"/>
      <c r="E57" s="3"/>
      <c r="F57" s="8"/>
      <c r="G57" s="3"/>
      <c r="H57" s="3"/>
      <c r="I57" s="3"/>
      <c r="J57" s="8"/>
      <c r="K57" s="3"/>
      <c r="L57" s="3"/>
      <c r="M57" s="3"/>
      <c r="N57" s="8"/>
      <c r="P57" s="3"/>
      <c r="Q57" s="3"/>
      <c r="R57" s="8"/>
      <c r="S57" s="3"/>
      <c r="T57" s="3"/>
      <c r="U57" s="3"/>
      <c r="V57" s="8"/>
      <c r="W57" s="3"/>
      <c r="X57" s="3"/>
      <c r="Y57" s="3"/>
      <c r="Z57" s="8"/>
    </row>
    <row r="58" spans="1:26" s="24" customFormat="1" ht="15.75" thickBot="1" x14ac:dyDescent="0.3">
      <c r="A58" s="11"/>
      <c r="B58" s="28" t="s">
        <v>293</v>
      </c>
      <c r="C58" s="28"/>
      <c r="D58" s="33">
        <f>SUM(D55:D57)</f>
        <v>-8329.1699999999983</v>
      </c>
      <c r="E58" s="14"/>
      <c r="F58" s="35">
        <f>IF(D$12=0,0,D58/D$12)</f>
        <v>0</v>
      </c>
      <c r="G58" s="14"/>
      <c r="H58" s="33">
        <f>SUM(H55:H57)</f>
        <v>-6767.76</v>
      </c>
      <c r="I58" s="14"/>
      <c r="J58" s="35">
        <f>IF(H$12=0,0,H58/H$12)</f>
        <v>0</v>
      </c>
      <c r="K58" s="15"/>
      <c r="L58" s="33">
        <f>+D58-H58</f>
        <v>-1561.409999999998</v>
      </c>
      <c r="M58" s="15"/>
      <c r="N58" s="35">
        <f>IF(H58=0,0,L58/H58)</f>
        <v>0.23071296854498358</v>
      </c>
      <c r="O58" s="29"/>
      <c r="P58" s="33">
        <f>SUM(P55:P57)</f>
        <v>-99842.01</v>
      </c>
      <c r="Q58" s="14"/>
      <c r="R58" s="35">
        <f>IF(P$12=0,0,P58/P$12)</f>
        <v>0</v>
      </c>
      <c r="S58" s="14"/>
      <c r="T58" s="33">
        <f>SUM(T55:T57)</f>
        <v>-90939.59</v>
      </c>
      <c r="U58" s="14"/>
      <c r="V58" s="35">
        <f>IF(T$12=0,0,T58/T$12)</f>
        <v>0</v>
      </c>
      <c r="W58" s="15"/>
      <c r="X58" s="33">
        <f>+P58-T58</f>
        <v>-8902.4199999999983</v>
      </c>
      <c r="Y58" s="15"/>
      <c r="Z58" s="35">
        <f>IF(T58=0,0,X58/T58)</f>
        <v>9.7893777616547412E-2</v>
      </c>
    </row>
    <row r="59" spans="1:26" ht="15.75" thickTop="1" x14ac:dyDescent="0.25">
      <c r="A59" s="9"/>
      <c r="C59" s="9"/>
      <c r="D59" s="18"/>
      <c r="E59" s="18"/>
      <c r="G59" s="18"/>
      <c r="H59" s="18"/>
      <c r="I59" s="18"/>
      <c r="J59" s="43"/>
      <c r="K59" s="18"/>
      <c r="L59" s="18"/>
      <c r="M59" s="18"/>
      <c r="P59" s="18"/>
      <c r="Q59" s="18"/>
      <c r="R59" s="43"/>
      <c r="S59" s="18"/>
      <c r="T59" s="18"/>
      <c r="U59" s="18"/>
      <c r="V59" s="43"/>
      <c r="W59" s="18"/>
      <c r="X59" s="18"/>
    </row>
    <row r="60" spans="1:26" x14ac:dyDescent="0.25">
      <c r="A60" s="9"/>
      <c r="B60" s="56">
        <v>44454.698585613427</v>
      </c>
      <c r="D60" s="18"/>
      <c r="E60" s="18"/>
      <c r="G60" s="18"/>
      <c r="H60" s="18"/>
      <c r="I60" s="18"/>
      <c r="J60" s="43"/>
      <c r="K60" s="18"/>
      <c r="L60" s="18"/>
      <c r="M60" s="18"/>
      <c r="P60" s="18"/>
      <c r="Q60" s="18"/>
      <c r="R60" s="43"/>
      <c r="S60" s="18"/>
      <c r="T60" s="18"/>
      <c r="U60" s="18"/>
      <c r="V60" s="43"/>
      <c r="W60" s="18"/>
      <c r="X60" s="18"/>
    </row>
    <row r="61" spans="1:26" x14ac:dyDescent="0.25">
      <c r="A61" s="9"/>
      <c r="B61" s="55" t="s">
        <v>56</v>
      </c>
      <c r="D61" s="18"/>
      <c r="E61" s="18"/>
      <c r="G61" s="18"/>
      <c r="H61" s="18"/>
      <c r="I61" s="18"/>
      <c r="J61" s="43"/>
      <c r="K61" s="18"/>
      <c r="L61" s="18"/>
      <c r="M61" s="18"/>
      <c r="P61" s="18"/>
      <c r="Q61" s="18"/>
      <c r="R61" s="43"/>
      <c r="S61" s="18"/>
      <c r="T61" s="18"/>
      <c r="U61" s="18"/>
      <c r="V61" s="43"/>
      <c r="W61" s="18"/>
      <c r="X61" s="18"/>
    </row>
    <row r="62" spans="1:26" x14ac:dyDescent="0.25">
      <c r="A62" s="9"/>
      <c r="B62" s="60"/>
      <c r="D62" s="18"/>
      <c r="E62" s="18"/>
      <c r="G62" s="18"/>
      <c r="H62" s="18"/>
      <c r="I62" s="18"/>
      <c r="J62" s="43"/>
      <c r="K62" s="18"/>
      <c r="L62" s="18"/>
      <c r="M62" s="18"/>
      <c r="P62" s="18"/>
      <c r="Q62" s="18"/>
      <c r="R62" s="43"/>
      <c r="S62" s="18"/>
      <c r="T62" s="18"/>
      <c r="U62" s="18"/>
      <c r="V62" s="43"/>
      <c r="W62" s="18"/>
      <c r="X62" s="18"/>
    </row>
    <row r="63" spans="1:26" x14ac:dyDescent="0.25">
      <c r="D63" s="18"/>
      <c r="E63" s="18"/>
      <c r="G63" s="18"/>
      <c r="H63" s="18"/>
      <c r="I63" s="18"/>
      <c r="J63" s="43"/>
      <c r="K63" s="18"/>
      <c r="L63" s="18"/>
      <c r="M63" s="18"/>
      <c r="P63" s="18"/>
      <c r="Q63" s="18"/>
      <c r="R63" s="43"/>
      <c r="S63" s="18"/>
      <c r="T63" s="18"/>
      <c r="U63" s="18"/>
      <c r="V63" s="43"/>
      <c r="W63" s="18"/>
      <c r="X63" s="18"/>
    </row>
  </sheetData>
  <pageMargins left="0.25" right="0.25" top="0.75" bottom="0.75" header="0.3" footer="0.3"/>
  <pageSetup scale="55" fitToWidth="2" orientation="landscape"/>
  <drawing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>
    <tabColor rgb="FF92D050"/>
    <outlinePr summaryBelow="0" summaryRight="0"/>
  </sheetPr>
  <dimension ref="A2:Z63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62" t="s">
        <v>23</v>
      </c>
    </row>
    <row r="3" spans="1:26" x14ac:dyDescent="0.25">
      <c r="D3" s="62" t="s">
        <v>236</v>
      </c>
      <c r="E3" s="17"/>
      <c r="F3" s="46"/>
      <c r="G3" s="17"/>
      <c r="H3" s="17"/>
      <c r="I3" s="17"/>
      <c r="J3" s="38"/>
      <c r="K3" s="17"/>
      <c r="L3" s="17"/>
      <c r="M3" s="17"/>
      <c r="N3" s="46"/>
      <c r="O3" s="53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2" t="str">
        <f>CONCATENATE("Period ",RIGHT(202112,2),", ",2021)</f>
        <v>Period 12, 2021</v>
      </c>
      <c r="E4" s="17"/>
      <c r="F4" s="46"/>
      <c r="G4" s="17"/>
      <c r="H4" s="17"/>
      <c r="I4" s="17"/>
      <c r="J4" s="38"/>
      <c r="K4" s="17"/>
      <c r="L4" s="17"/>
      <c r="M4" s="17"/>
      <c r="N4" s="46"/>
      <c r="O4" s="53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4"/>
      <c r="D5" s="63">
        <v>44377</v>
      </c>
      <c r="E5" s="17"/>
      <c r="F5" s="46"/>
      <c r="G5" s="17"/>
      <c r="H5" s="17"/>
      <c r="I5" s="17"/>
      <c r="J5" s="38"/>
      <c r="K5" s="17"/>
      <c r="L5" s="17"/>
      <c r="M5" s="17"/>
      <c r="N5" s="46"/>
      <c r="O5" s="53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4"/>
      <c r="B6" s="48"/>
      <c r="C6" s="48"/>
      <c r="D6" s="24" t="str">
        <f>CONCATENATE("Department ","206", " - ", "Communications")</f>
        <v>Department 206 - Communications</v>
      </c>
      <c r="E6" s="17"/>
      <c r="F6" s="46"/>
      <c r="G6" s="17"/>
      <c r="H6" s="17"/>
      <c r="I6" s="17"/>
      <c r="J6" s="38"/>
      <c r="K6" s="17"/>
      <c r="L6" s="17"/>
      <c r="M6" s="17"/>
      <c r="N6" s="46"/>
      <c r="O6" s="54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9"/>
    </row>
    <row r="8" spans="1:26" x14ac:dyDescent="0.25">
      <c r="B8" s="59"/>
    </row>
    <row r="9" spans="1:26" x14ac:dyDescent="0.25">
      <c r="B9" s="9"/>
      <c r="C9" s="9"/>
      <c r="D9" s="16" t="s">
        <v>291</v>
      </c>
      <c r="E9" s="16"/>
      <c r="F9" s="39"/>
      <c r="G9" s="16"/>
      <c r="H9" s="16"/>
      <c r="I9" s="16"/>
      <c r="J9" s="49"/>
      <c r="K9" s="16"/>
      <c r="L9" s="16"/>
      <c r="M9" s="16"/>
      <c r="N9" s="39"/>
      <c r="P9" s="16" t="s">
        <v>39</v>
      </c>
      <c r="Q9" s="16"/>
      <c r="R9" s="39"/>
      <c r="S9" s="16"/>
      <c r="T9" s="16"/>
      <c r="U9" s="16"/>
      <c r="V9" s="49"/>
      <c r="W9" s="16"/>
      <c r="X9" s="16"/>
      <c r="Y9" s="16"/>
      <c r="Z9" s="39"/>
    </row>
    <row r="10" spans="1:26" x14ac:dyDescent="0.25">
      <c r="A10" s="11"/>
      <c r="B10" s="58"/>
      <c r="C10" s="11"/>
      <c r="D10" s="42" t="s">
        <v>57</v>
      </c>
      <c r="E10" s="36"/>
      <c r="F10" s="30" t="s">
        <v>40</v>
      </c>
      <c r="G10" s="36"/>
      <c r="H10" s="50" t="s">
        <v>237</v>
      </c>
      <c r="I10" s="36"/>
      <c r="J10" s="30" t="s">
        <v>40</v>
      </c>
      <c r="K10" s="11"/>
      <c r="L10" s="42" t="s">
        <v>126</v>
      </c>
      <c r="M10" s="11"/>
      <c r="N10" s="30" t="s">
        <v>257</v>
      </c>
      <c r="O10" s="11"/>
      <c r="P10" s="61" t="s">
        <v>57</v>
      </c>
      <c r="Q10" s="36"/>
      <c r="R10" s="30" t="s">
        <v>40</v>
      </c>
      <c r="S10" s="36"/>
      <c r="T10" s="50" t="s">
        <v>237</v>
      </c>
      <c r="U10" s="36"/>
      <c r="V10" s="30" t="s">
        <v>40</v>
      </c>
      <c r="W10" s="11"/>
      <c r="X10" s="42" t="s">
        <v>126</v>
      </c>
      <c r="Y10" s="11"/>
      <c r="Z10" s="30" t="s">
        <v>257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4" customFormat="1" x14ac:dyDescent="0.25">
      <c r="A12" s="11"/>
      <c r="B12" s="29" t="s">
        <v>139</v>
      </c>
      <c r="C12" s="11"/>
      <c r="D12" s="4">
        <f>SUM(0)</f>
        <v>0</v>
      </c>
      <c r="E12" s="4"/>
      <c r="F12" s="13"/>
      <c r="G12" s="4"/>
      <c r="H12" s="4">
        <f>SUM(0)</f>
        <v>0</v>
      </c>
      <c r="I12" s="4"/>
      <c r="J12" s="13"/>
      <c r="K12" s="4"/>
      <c r="L12" s="4">
        <f>+D12-H12</f>
        <v>0</v>
      </c>
      <c r="M12" s="4"/>
      <c r="N12" s="13">
        <f>IF(H12=0,0,L12/H12)</f>
        <v>0</v>
      </c>
      <c r="O12" s="11"/>
      <c r="P12" s="4">
        <f>SUM(0)</f>
        <v>0</v>
      </c>
      <c r="Q12" s="4"/>
      <c r="R12" s="13"/>
      <c r="S12" s="4"/>
      <c r="T12" s="4">
        <f>SUM(0)</f>
        <v>0</v>
      </c>
      <c r="U12" s="4"/>
      <c r="V12" s="13"/>
      <c r="W12" s="4"/>
      <c r="X12" s="4">
        <f>+P12-T12</f>
        <v>0</v>
      </c>
      <c r="Y12" s="4"/>
      <c r="Z12" s="13">
        <f>IF(T12=0,0,X12/T12)</f>
        <v>0</v>
      </c>
    </row>
    <row r="13" spans="1:26" x14ac:dyDescent="0.25">
      <c r="A13" s="9"/>
      <c r="B13" s="11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4" customFormat="1" x14ac:dyDescent="0.25">
      <c r="A14" s="11"/>
      <c r="B14" s="29" t="s">
        <v>256</v>
      </c>
      <c r="C14" s="11"/>
      <c r="D14" s="4">
        <f>SUM(0)</f>
        <v>0</v>
      </c>
      <c r="E14" s="4"/>
      <c r="F14" s="13">
        <f>IF(D$12=0,0,D14/D$12)</f>
        <v>0</v>
      </c>
      <c r="G14" s="4"/>
      <c r="H14" s="4">
        <f>SUM(0)</f>
        <v>0</v>
      </c>
      <c r="I14" s="4"/>
      <c r="J14" s="13">
        <f>IF(H$12=0,0,H14/H$12)</f>
        <v>0</v>
      </c>
      <c r="K14" s="4"/>
      <c r="L14" s="4">
        <f>+D14-H14</f>
        <v>0</v>
      </c>
      <c r="M14" s="4"/>
      <c r="N14" s="13">
        <f>IF(H14=0,0,L14/H14)</f>
        <v>0</v>
      </c>
      <c r="O14" s="11"/>
      <c r="P14" s="4">
        <f>SUM(0)</f>
        <v>0</v>
      </c>
      <c r="Q14" s="4"/>
      <c r="R14" s="13">
        <f>IF(P$12=0,0,P14/P$12)</f>
        <v>0</v>
      </c>
      <c r="S14" s="4"/>
      <c r="T14" s="4">
        <f>SUM(0)</f>
        <v>0</v>
      </c>
      <c r="U14" s="4"/>
      <c r="V14" s="13">
        <f>IF(T$12=0,0,T14/T$12)</f>
        <v>0</v>
      </c>
      <c r="W14" s="4"/>
      <c r="X14" s="4">
        <f>+P14-T14</f>
        <v>0</v>
      </c>
      <c r="Y14" s="4"/>
      <c r="Z14" s="13">
        <f>IF(T14=0,0,X14/T14)</f>
        <v>0</v>
      </c>
    </row>
    <row r="15" spans="1:26" x14ac:dyDescent="0.25">
      <c r="A15" s="9"/>
      <c r="B15" s="11"/>
      <c r="C15" s="11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1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4" customFormat="1" x14ac:dyDescent="0.25">
      <c r="A16" s="11"/>
      <c r="B16" s="28" t="s">
        <v>107</v>
      </c>
      <c r="C16" s="28"/>
      <c r="D16" s="21">
        <f>D12-D14</f>
        <v>0</v>
      </c>
      <c r="E16" s="14"/>
      <c r="F16" s="22">
        <f>IF(D$12=0,0,D16/D$12)</f>
        <v>0</v>
      </c>
      <c r="G16" s="14"/>
      <c r="H16" s="21">
        <f>H12-H14</f>
        <v>0</v>
      </c>
      <c r="I16" s="14"/>
      <c r="J16" s="22">
        <f>IF(H$12=0,0,H16/H$12)</f>
        <v>0</v>
      </c>
      <c r="K16" s="15"/>
      <c r="L16" s="21">
        <f>+D16-H16</f>
        <v>0</v>
      </c>
      <c r="M16" s="15"/>
      <c r="N16" s="22">
        <f>IF(H16=0,0,L16/H16)</f>
        <v>0</v>
      </c>
      <c r="O16" s="29"/>
      <c r="P16" s="21">
        <f>P12-P14</f>
        <v>0</v>
      </c>
      <c r="Q16" s="14"/>
      <c r="R16" s="22">
        <f>IF(P$12=0,0,P16/P$12)</f>
        <v>0</v>
      </c>
      <c r="S16" s="14"/>
      <c r="T16" s="21">
        <f>T12-T14</f>
        <v>0</v>
      </c>
      <c r="U16" s="14"/>
      <c r="V16" s="22">
        <f>IF(T$12=0,0,T16/T$12)</f>
        <v>0</v>
      </c>
      <c r="W16" s="15"/>
      <c r="X16" s="21">
        <f>+P16-T16</f>
        <v>0</v>
      </c>
      <c r="Y16" s="15"/>
      <c r="Z16" s="22">
        <f>IF(T16=0,0,X16/T16)</f>
        <v>0</v>
      </c>
    </row>
    <row r="17" spans="1:26" x14ac:dyDescent="0.25">
      <c r="A17" s="9"/>
      <c r="B17" s="11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4" customFormat="1" x14ac:dyDescent="0.25">
      <c r="A18" s="11"/>
      <c r="B18" s="29" t="s">
        <v>294</v>
      </c>
      <c r="C18" s="11"/>
      <c r="D18" s="20">
        <f>SUM(OSRRefD22x_0)</f>
        <v>5387.64</v>
      </c>
      <c r="E18" s="20"/>
      <c r="F18" s="32">
        <f t="shared" ref="F18:F27" si="0">IF(D$12=0,0,D18/D$12)</f>
        <v>0</v>
      </c>
      <c r="G18" s="20"/>
      <c r="H18" s="20">
        <f>SUM(OSRRefH22x_0)</f>
        <v>8294.5400000000009</v>
      </c>
      <c r="I18" s="20"/>
      <c r="J18" s="32">
        <f t="shared" ref="J18:J27" si="1">IF(H$12=0,0,H18/H$12)</f>
        <v>0</v>
      </c>
      <c r="K18" s="4"/>
      <c r="L18" s="20">
        <f t="shared" ref="L18:L27" si="2">+D18-H18</f>
        <v>-2906.9000000000005</v>
      </c>
      <c r="M18" s="4"/>
      <c r="N18" s="32">
        <f t="shared" ref="N18:N27" si="3">IF(H18=0,0,L18/H18)</f>
        <v>-0.35045945887294538</v>
      </c>
      <c r="O18" s="11"/>
      <c r="P18" s="20">
        <f>SUM(OSRRefP22x_0)</f>
        <v>101285.65</v>
      </c>
      <c r="Q18" s="20"/>
      <c r="R18" s="32">
        <f t="shared" ref="R18:R27" si="4">IF(P$12=0,0,P18/P$12)</f>
        <v>0</v>
      </c>
      <c r="S18" s="20"/>
      <c r="T18" s="20">
        <f>SUM(OSRRefT22x_0)</f>
        <v>106543.27999999998</v>
      </c>
      <c r="U18" s="20"/>
      <c r="V18" s="32">
        <f t="shared" ref="V18:V27" si="5">IF(T$12=0,0,T18/T$12)</f>
        <v>0</v>
      </c>
      <c r="W18" s="4"/>
      <c r="X18" s="20">
        <f t="shared" ref="X18:X27" si="6">+P18-T18</f>
        <v>-5257.6299999999901</v>
      </c>
      <c r="Y18" s="4"/>
      <c r="Z18" s="32">
        <f t="shared" ref="Z18:Z27" si="7">IF(T18=0,0,X18/T18)</f>
        <v>-4.9347363813090704E-2</v>
      </c>
    </row>
    <row r="19" spans="1:26" s="27" customFormat="1" outlineLevel="1" collapsed="1" x14ac:dyDescent="0.25">
      <c r="A19" s="26"/>
      <c r="B19" s="12" t="str">
        <f>CONCATENATE("     ","*Benefits                                         ")</f>
        <v xml:space="preserve">     *Benefits                                         </v>
      </c>
      <c r="C19" s="12"/>
      <c r="D19" s="1">
        <f>SUM(OSRRefD22_0x_0)</f>
        <v>-217.9100000000002</v>
      </c>
      <c r="E19" s="1"/>
      <c r="F19" s="5">
        <f t="shared" si="0"/>
        <v>0</v>
      </c>
      <c r="G19" s="1"/>
      <c r="H19" s="1">
        <f>SUM(OSRRefH22_0x_0)</f>
        <v>1211.44</v>
      </c>
      <c r="I19" s="1"/>
      <c r="J19" s="5">
        <f t="shared" si="1"/>
        <v>0</v>
      </c>
      <c r="K19" s="1"/>
      <c r="L19" s="1">
        <f t="shared" si="2"/>
        <v>-1429.3500000000004</v>
      </c>
      <c r="M19" s="1"/>
      <c r="N19" s="5">
        <f t="shared" si="3"/>
        <v>-1.179876840784521</v>
      </c>
      <c r="O19" s="12"/>
      <c r="P19" s="1">
        <f>SUM(OSRRefP22_0x_0)</f>
        <v>19874.900000000001</v>
      </c>
      <c r="Q19" s="1"/>
      <c r="R19" s="5">
        <f t="shared" si="4"/>
        <v>0</v>
      </c>
      <c r="S19" s="1"/>
      <c r="T19" s="1">
        <f>SUM(OSRRefT22_0x_0)</f>
        <v>20837.550000000003</v>
      </c>
      <c r="U19" s="1"/>
      <c r="V19" s="5">
        <f t="shared" si="5"/>
        <v>0</v>
      </c>
      <c r="W19" s="1"/>
      <c r="X19" s="1">
        <f t="shared" si="6"/>
        <v>-962.65000000000146</v>
      </c>
      <c r="Y19" s="1"/>
      <c r="Z19" s="5">
        <f t="shared" si="7"/>
        <v>-4.6197849555250081E-2</v>
      </c>
    </row>
    <row r="20" spans="1:26" s="23" customFormat="1" hidden="1" outlineLevel="2" x14ac:dyDescent="0.25">
      <c r="A20" s="25"/>
      <c r="B20" s="10" t="str">
        <f>CONCATENATE("          ", "6111", " - ", "F.I.C.A.")</f>
        <v xml:space="preserve">          6111 - F.I.C.A.</v>
      </c>
      <c r="C20" s="10"/>
      <c r="D20" s="6">
        <v>409.97</v>
      </c>
      <c r="E20" s="2"/>
      <c r="F20" s="7">
        <f t="shared" si="0"/>
        <v>0</v>
      </c>
      <c r="G20" s="2"/>
      <c r="H20" s="6">
        <v>370.37</v>
      </c>
      <c r="I20" s="2"/>
      <c r="J20" s="7">
        <f t="shared" si="1"/>
        <v>0</v>
      </c>
      <c r="K20" s="2"/>
      <c r="L20" s="6">
        <f t="shared" si="2"/>
        <v>39.600000000000023</v>
      </c>
      <c r="M20" s="2"/>
      <c r="N20" s="7">
        <f t="shared" si="3"/>
        <v>0.10692010692010698</v>
      </c>
      <c r="O20" s="10"/>
      <c r="P20" s="6">
        <v>4854.24</v>
      </c>
      <c r="Q20" s="2"/>
      <c r="R20" s="7">
        <f t="shared" si="4"/>
        <v>0</v>
      </c>
      <c r="S20" s="2"/>
      <c r="T20" s="6">
        <v>5453.03</v>
      </c>
      <c r="U20" s="2"/>
      <c r="V20" s="7">
        <f t="shared" si="5"/>
        <v>0</v>
      </c>
      <c r="W20" s="2"/>
      <c r="X20" s="6">
        <f t="shared" si="6"/>
        <v>-598.79</v>
      </c>
      <c r="Y20" s="2"/>
      <c r="Z20" s="7">
        <f t="shared" si="7"/>
        <v>-0.10980867517691999</v>
      </c>
    </row>
    <row r="21" spans="1:26" s="23" customFormat="1" hidden="1" outlineLevel="2" x14ac:dyDescent="0.25">
      <c r="A21" s="25"/>
      <c r="B21" s="10" t="str">
        <f>CONCATENATE("          ", "6112", " - ", "COMPENSATION INSURANCE")</f>
        <v xml:space="preserve">          6112 - COMPENSATION INSURANCE</v>
      </c>
      <c r="C21" s="10"/>
      <c r="D21" s="6">
        <v>20.47</v>
      </c>
      <c r="E21" s="2"/>
      <c r="F21" s="7">
        <f t="shared" si="0"/>
        <v>0</v>
      </c>
      <c r="G21" s="2"/>
      <c r="H21" s="6">
        <v>20.66</v>
      </c>
      <c r="I21" s="2"/>
      <c r="J21" s="7">
        <f t="shared" si="1"/>
        <v>0</v>
      </c>
      <c r="K21" s="2"/>
      <c r="L21" s="6">
        <f t="shared" si="2"/>
        <v>-0.19000000000000128</v>
      </c>
      <c r="M21" s="2"/>
      <c r="N21" s="7">
        <f t="shared" si="3"/>
        <v>-9.1965150048403336E-3</v>
      </c>
      <c r="O21" s="10"/>
      <c r="P21" s="6">
        <v>256.13</v>
      </c>
      <c r="Q21" s="2"/>
      <c r="R21" s="7">
        <f t="shared" si="4"/>
        <v>0</v>
      </c>
      <c r="S21" s="2"/>
      <c r="T21" s="6">
        <v>295.89999999999998</v>
      </c>
      <c r="U21" s="2"/>
      <c r="V21" s="7">
        <f t="shared" si="5"/>
        <v>0</v>
      </c>
      <c r="W21" s="2"/>
      <c r="X21" s="6">
        <f t="shared" si="6"/>
        <v>-39.769999999999982</v>
      </c>
      <c r="Y21" s="2"/>
      <c r="Z21" s="7">
        <f t="shared" si="7"/>
        <v>-0.13440351470091241</v>
      </c>
    </row>
    <row r="22" spans="1:26" s="23" customFormat="1" hidden="1" outlineLevel="2" x14ac:dyDescent="0.25">
      <c r="A22" s="25"/>
      <c r="B22" s="10" t="str">
        <f>CONCATENATE("          ", "6113", " - ", "GROUP INSURANCE")</f>
        <v xml:space="preserve">          6113 - GROUP INSURANCE</v>
      </c>
      <c r="C22" s="10"/>
      <c r="D22" s="6">
        <v>704.62</v>
      </c>
      <c r="E22" s="2"/>
      <c r="F22" s="7">
        <f t="shared" si="0"/>
        <v>0</v>
      </c>
      <c r="G22" s="2"/>
      <c r="H22" s="6">
        <v>700.87</v>
      </c>
      <c r="I22" s="2"/>
      <c r="J22" s="7">
        <f t="shared" si="1"/>
        <v>0</v>
      </c>
      <c r="K22" s="2"/>
      <c r="L22" s="6">
        <f t="shared" si="2"/>
        <v>3.75</v>
      </c>
      <c r="M22" s="2"/>
      <c r="N22" s="7">
        <f t="shared" si="3"/>
        <v>5.350492958751266E-3</v>
      </c>
      <c r="O22" s="10"/>
      <c r="P22" s="6">
        <v>8432.94</v>
      </c>
      <c r="Q22" s="2"/>
      <c r="R22" s="7">
        <f t="shared" si="4"/>
        <v>0</v>
      </c>
      <c r="S22" s="2"/>
      <c r="T22" s="6">
        <v>8410.68</v>
      </c>
      <c r="U22" s="2"/>
      <c r="V22" s="7">
        <f t="shared" si="5"/>
        <v>0</v>
      </c>
      <c r="W22" s="2"/>
      <c r="X22" s="6">
        <f t="shared" si="6"/>
        <v>22.260000000000218</v>
      </c>
      <c r="Y22" s="2"/>
      <c r="Z22" s="7">
        <f t="shared" si="7"/>
        <v>2.6466349926522253E-3</v>
      </c>
    </row>
    <row r="23" spans="1:26" s="23" customFormat="1" hidden="1" outlineLevel="2" x14ac:dyDescent="0.25">
      <c r="A23" s="25"/>
      <c r="B23" s="10" t="str">
        <f>CONCATENATE("          ", "6114", " - ", "STATE UNEMPLOYMENT INSURANCE")</f>
        <v xml:space="preserve">          6114 - STATE UNEMPLOYMENT INSURANCE</v>
      </c>
      <c r="C23" s="10"/>
      <c r="D23" s="6">
        <v>16.12</v>
      </c>
      <c r="E23" s="2"/>
      <c r="F23" s="7">
        <f t="shared" si="0"/>
        <v>0</v>
      </c>
      <c r="G23" s="2"/>
      <c r="H23" s="6">
        <v>-286.66000000000003</v>
      </c>
      <c r="I23" s="2"/>
      <c r="J23" s="7">
        <f t="shared" si="1"/>
        <v>0</v>
      </c>
      <c r="K23" s="2"/>
      <c r="L23" s="6">
        <f t="shared" si="2"/>
        <v>302.78000000000003</v>
      </c>
      <c r="M23" s="2"/>
      <c r="N23" s="7">
        <f t="shared" si="3"/>
        <v>-1.0562338659038581</v>
      </c>
      <c r="O23" s="10"/>
      <c r="P23" s="6">
        <v>201.8</v>
      </c>
      <c r="Q23" s="2"/>
      <c r="R23" s="7">
        <f t="shared" si="4"/>
        <v>0</v>
      </c>
      <c r="S23" s="2"/>
      <c r="T23" s="6">
        <v>0</v>
      </c>
      <c r="U23" s="2"/>
      <c r="V23" s="7">
        <f t="shared" si="5"/>
        <v>0</v>
      </c>
      <c r="W23" s="2"/>
      <c r="X23" s="6">
        <f t="shared" si="6"/>
        <v>201.8</v>
      </c>
      <c r="Y23" s="2"/>
      <c r="Z23" s="7">
        <f t="shared" si="7"/>
        <v>0</v>
      </c>
    </row>
    <row r="24" spans="1:26" s="23" customFormat="1" hidden="1" outlineLevel="2" x14ac:dyDescent="0.25">
      <c r="A24" s="25"/>
      <c r="B24" s="10" t="str">
        <f>CONCATENATE("          ", "6115", " - ", "P.E.R.S.")</f>
        <v xml:space="preserve">          6115 - P.E.R.S.</v>
      </c>
      <c r="C24" s="10"/>
      <c r="D24" s="6">
        <v>-1916.48</v>
      </c>
      <c r="E24" s="2"/>
      <c r="F24" s="7">
        <f t="shared" si="0"/>
        <v>0</v>
      </c>
      <c r="G24" s="2"/>
      <c r="H24" s="6"/>
      <c r="I24" s="2"/>
      <c r="J24" s="7">
        <f t="shared" si="1"/>
        <v>0</v>
      </c>
      <c r="K24" s="2"/>
      <c r="L24" s="6">
        <f t="shared" si="2"/>
        <v>-1916.48</v>
      </c>
      <c r="M24" s="2"/>
      <c r="N24" s="7">
        <f t="shared" si="3"/>
        <v>0</v>
      </c>
      <c r="O24" s="10"/>
      <c r="P24" s="6">
        <v>0</v>
      </c>
      <c r="Q24" s="2"/>
      <c r="R24" s="7">
        <f t="shared" si="4"/>
        <v>0</v>
      </c>
      <c r="S24" s="2"/>
      <c r="T24" s="6"/>
      <c r="U24" s="2"/>
      <c r="V24" s="7">
        <f t="shared" si="5"/>
        <v>0</v>
      </c>
      <c r="W24" s="2"/>
      <c r="X24" s="6">
        <f t="shared" si="6"/>
        <v>0</v>
      </c>
      <c r="Y24" s="2"/>
      <c r="Z24" s="7">
        <f t="shared" si="7"/>
        <v>0</v>
      </c>
    </row>
    <row r="25" spans="1:26" s="23" customFormat="1" hidden="1" outlineLevel="2" x14ac:dyDescent="0.25">
      <c r="A25" s="25"/>
      <c r="B25" s="10" t="str">
        <f>CONCATENATE("          ", "6118", " - ", "VACATION")</f>
        <v xml:space="preserve">          6118 - VACATION</v>
      </c>
      <c r="C25" s="10"/>
      <c r="D25" s="6">
        <v>276.60000000000002</v>
      </c>
      <c r="E25" s="2"/>
      <c r="F25" s="7">
        <f t="shared" si="0"/>
        <v>0</v>
      </c>
      <c r="G25" s="2"/>
      <c r="H25" s="6">
        <v>184.8</v>
      </c>
      <c r="I25" s="2"/>
      <c r="J25" s="7">
        <f t="shared" si="1"/>
        <v>0</v>
      </c>
      <c r="K25" s="2"/>
      <c r="L25" s="6">
        <f t="shared" si="2"/>
        <v>91.800000000000011</v>
      </c>
      <c r="M25" s="2"/>
      <c r="N25" s="7">
        <f t="shared" si="3"/>
        <v>0.49675324675324678</v>
      </c>
      <c r="O25" s="10"/>
      <c r="P25" s="6">
        <v>3091.5</v>
      </c>
      <c r="Q25" s="2"/>
      <c r="R25" s="7">
        <f t="shared" si="4"/>
        <v>0</v>
      </c>
      <c r="S25" s="2"/>
      <c r="T25" s="6">
        <v>2402.4</v>
      </c>
      <c r="U25" s="2"/>
      <c r="V25" s="7">
        <f t="shared" si="5"/>
        <v>0</v>
      </c>
      <c r="W25" s="2"/>
      <c r="X25" s="6">
        <f t="shared" si="6"/>
        <v>689.09999999999991</v>
      </c>
      <c r="Y25" s="2"/>
      <c r="Z25" s="7">
        <f t="shared" si="7"/>
        <v>0.2868381618381618</v>
      </c>
    </row>
    <row r="26" spans="1:26" s="23" customFormat="1" hidden="1" outlineLevel="2" x14ac:dyDescent="0.25">
      <c r="A26" s="25"/>
      <c r="B26" s="10" t="str">
        <f>CONCATENATE("          ", "6119", " - ", "SICK LEAVE")</f>
        <v xml:space="preserve">          6119 - SICK LEAVE</v>
      </c>
      <c r="C26" s="10"/>
      <c r="D26" s="6">
        <v>221.4</v>
      </c>
      <c r="E26" s="2"/>
      <c r="F26" s="7">
        <f t="shared" si="0"/>
        <v>0</v>
      </c>
      <c r="G26" s="2"/>
      <c r="H26" s="6">
        <v>221.4</v>
      </c>
      <c r="I26" s="2"/>
      <c r="J26" s="7">
        <f t="shared" si="1"/>
        <v>0</v>
      </c>
      <c r="K26" s="2"/>
      <c r="L26" s="6">
        <f t="shared" si="2"/>
        <v>0</v>
      </c>
      <c r="M26" s="2"/>
      <c r="N26" s="7">
        <f t="shared" si="3"/>
        <v>0</v>
      </c>
      <c r="O26" s="10"/>
      <c r="P26" s="6">
        <v>2988.9</v>
      </c>
      <c r="Q26" s="2"/>
      <c r="R26" s="7">
        <f t="shared" si="4"/>
        <v>0</v>
      </c>
      <c r="S26" s="2"/>
      <c r="T26" s="6">
        <v>2878.2</v>
      </c>
      <c r="U26" s="2"/>
      <c r="V26" s="7">
        <f t="shared" si="5"/>
        <v>0</v>
      </c>
      <c r="W26" s="2"/>
      <c r="X26" s="6">
        <f t="shared" si="6"/>
        <v>110.70000000000027</v>
      </c>
      <c r="Y26" s="2"/>
      <c r="Z26" s="7">
        <f t="shared" si="7"/>
        <v>3.8461538461538561E-2</v>
      </c>
    </row>
    <row r="27" spans="1:26" s="23" customFormat="1" hidden="1" outlineLevel="2" x14ac:dyDescent="0.25">
      <c r="A27" s="25"/>
      <c r="B27" s="10" t="str">
        <f>CONCATENATE("          ", "6156", " - ", "EMPLOYEE MEALS")</f>
        <v xml:space="preserve">          6156 - EMPLOYEE MEALS</v>
      </c>
      <c r="C27" s="10"/>
      <c r="D27" s="6">
        <v>49.39</v>
      </c>
      <c r="E27" s="2"/>
      <c r="F27" s="7">
        <f t="shared" si="0"/>
        <v>0</v>
      </c>
      <c r="G27" s="2"/>
      <c r="H27" s="6"/>
      <c r="I27" s="2"/>
      <c r="J27" s="7">
        <f t="shared" si="1"/>
        <v>0</v>
      </c>
      <c r="K27" s="2"/>
      <c r="L27" s="6">
        <f t="shared" si="2"/>
        <v>49.39</v>
      </c>
      <c r="M27" s="2"/>
      <c r="N27" s="7">
        <f t="shared" si="3"/>
        <v>0</v>
      </c>
      <c r="O27" s="10"/>
      <c r="P27" s="6">
        <v>49.39</v>
      </c>
      <c r="Q27" s="2"/>
      <c r="R27" s="7">
        <f t="shared" si="4"/>
        <v>0</v>
      </c>
      <c r="S27" s="2"/>
      <c r="T27" s="6">
        <v>1397.34</v>
      </c>
      <c r="U27" s="2"/>
      <c r="V27" s="7">
        <f t="shared" si="5"/>
        <v>0</v>
      </c>
      <c r="W27" s="2"/>
      <c r="X27" s="6">
        <f t="shared" si="6"/>
        <v>-1347.9499999999998</v>
      </c>
      <c r="Y27" s="2"/>
      <c r="Z27" s="7">
        <f t="shared" si="7"/>
        <v>-0.96465427168763496</v>
      </c>
    </row>
    <row r="28" spans="1:26" s="27" customFormat="1" outlineLevel="1" collapsed="1" x14ac:dyDescent="0.25">
      <c r="A28" s="26"/>
      <c r="B28" s="12" t="str">
        <f>CONCATENATE("     ","*Payroll                                          ")</f>
        <v xml:space="preserve">     *Payroll                                          </v>
      </c>
      <c r="C28" s="12"/>
      <c r="D28" s="1">
        <f>SUM(OSRRefD22_1x_0)</f>
        <v>5396.34</v>
      </c>
      <c r="E28" s="1"/>
      <c r="F28" s="5">
        <f t="shared" ref="F28:F32" si="8">IF(D$12=0,0,D28/D$12)</f>
        <v>0</v>
      </c>
      <c r="G28" s="1"/>
      <c r="H28" s="1">
        <f>SUM(OSRRefH22_1x_0)</f>
        <v>6455.15</v>
      </c>
      <c r="I28" s="1"/>
      <c r="J28" s="5">
        <f t="shared" ref="J28:J32" si="9">IF(H$12=0,0,H28/H$12)</f>
        <v>0</v>
      </c>
      <c r="K28" s="1"/>
      <c r="L28" s="1">
        <f t="shared" ref="L28:L32" si="10">+D28-H28</f>
        <v>-1058.8099999999995</v>
      </c>
      <c r="M28" s="1"/>
      <c r="N28" s="5">
        <f t="shared" ref="N28:N32" si="11">IF(H28=0,0,L28/H28)</f>
        <v>-0.16402562295221637</v>
      </c>
      <c r="O28" s="12"/>
      <c r="P28" s="1">
        <f>SUM(OSRRefP22_1x_0)</f>
        <v>77210.350000000006</v>
      </c>
      <c r="Q28" s="1"/>
      <c r="R28" s="5">
        <f t="shared" ref="R28:R32" si="12">IF(P$12=0,0,P28/P$12)</f>
        <v>0</v>
      </c>
      <c r="S28" s="1"/>
      <c r="T28" s="1">
        <f>SUM(OSRRefT22_1x_0)</f>
        <v>119549.47</v>
      </c>
      <c r="U28" s="1"/>
      <c r="V28" s="5">
        <f t="shared" ref="V28:V32" si="13">IF(T$12=0,0,T28/T$12)</f>
        <v>0</v>
      </c>
      <c r="W28" s="1"/>
      <c r="X28" s="1">
        <f t="shared" ref="X28:X32" si="14">+P28-T28</f>
        <v>-42339.119999999995</v>
      </c>
      <c r="Y28" s="1"/>
      <c r="Z28" s="5">
        <f t="shared" ref="Z28:Z32" si="15">IF(T28=0,0,X28/T28)</f>
        <v>-0.35415564786694576</v>
      </c>
    </row>
    <row r="29" spans="1:26" s="23" customFormat="1" hidden="1" outlineLevel="2" x14ac:dyDescent="0.25">
      <c r="A29" s="25"/>
      <c r="B29" s="10" t="str">
        <f>CONCATENATE("          ", "6004", " - ", "STAFF HOURLY")</f>
        <v xml:space="preserve">          6004 - STAFF HOURLY</v>
      </c>
      <c r="C29" s="10"/>
      <c r="D29" s="6">
        <v>3711.15</v>
      </c>
      <c r="E29" s="2"/>
      <c r="F29" s="7">
        <f t="shared" si="8"/>
        <v>0</v>
      </c>
      <c r="G29" s="2"/>
      <c r="H29" s="6">
        <v>5115</v>
      </c>
      <c r="I29" s="2"/>
      <c r="J29" s="7">
        <f t="shared" si="9"/>
        <v>0</v>
      </c>
      <c r="K29" s="2"/>
      <c r="L29" s="6">
        <f t="shared" si="10"/>
        <v>-1403.85</v>
      </c>
      <c r="M29" s="2"/>
      <c r="N29" s="7">
        <f t="shared" si="11"/>
        <v>-0.27445747800586506</v>
      </c>
      <c r="O29" s="10"/>
      <c r="P29" s="6">
        <v>60761.25</v>
      </c>
      <c r="Q29" s="2"/>
      <c r="R29" s="7">
        <f t="shared" si="12"/>
        <v>0</v>
      </c>
      <c r="S29" s="2"/>
      <c r="T29" s="6">
        <v>62899.5</v>
      </c>
      <c r="U29" s="2"/>
      <c r="V29" s="7">
        <f t="shared" si="13"/>
        <v>0</v>
      </c>
      <c r="W29" s="2"/>
      <c r="X29" s="6">
        <f t="shared" si="14"/>
        <v>-2138.25</v>
      </c>
      <c r="Y29" s="2"/>
      <c r="Z29" s="7">
        <f t="shared" si="15"/>
        <v>-3.3994705840269E-2</v>
      </c>
    </row>
    <row r="30" spans="1:26" s="23" customFormat="1" hidden="1" outlineLevel="2" x14ac:dyDescent="0.25">
      <c r="A30" s="25"/>
      <c r="B30" s="10" t="str">
        <f>CONCATENATE("          ", "6006", " - ", "TEMPORARY PART TIME")</f>
        <v xml:space="preserve">          6006 - TEMPORARY PART TIME</v>
      </c>
      <c r="C30" s="10"/>
      <c r="D30" s="6"/>
      <c r="E30" s="2"/>
      <c r="F30" s="7">
        <f t="shared" si="8"/>
        <v>0</v>
      </c>
      <c r="G30" s="2"/>
      <c r="H30" s="6"/>
      <c r="I30" s="2"/>
      <c r="J30" s="7">
        <f t="shared" si="9"/>
        <v>0</v>
      </c>
      <c r="K30" s="2"/>
      <c r="L30" s="6">
        <f t="shared" si="10"/>
        <v>0</v>
      </c>
      <c r="M30" s="2"/>
      <c r="N30" s="7">
        <f t="shared" si="11"/>
        <v>0</v>
      </c>
      <c r="O30" s="10"/>
      <c r="P30" s="6"/>
      <c r="Q30" s="2"/>
      <c r="R30" s="7">
        <f t="shared" si="12"/>
        <v>0</v>
      </c>
      <c r="S30" s="2"/>
      <c r="T30" s="6">
        <v>2361.4299999999998</v>
      </c>
      <c r="U30" s="2"/>
      <c r="V30" s="7">
        <f t="shared" si="13"/>
        <v>0</v>
      </c>
      <c r="W30" s="2"/>
      <c r="X30" s="6">
        <f t="shared" si="14"/>
        <v>-2361.4299999999998</v>
      </c>
      <c r="Y30" s="2"/>
      <c r="Z30" s="7">
        <f t="shared" si="15"/>
        <v>-1</v>
      </c>
    </row>
    <row r="31" spans="1:26" s="23" customFormat="1" hidden="1" outlineLevel="2" x14ac:dyDescent="0.25">
      <c r="A31" s="25"/>
      <c r="B31" s="10" t="str">
        <f>CONCATENATE("          ", "6007", " - ", "STUDENT HOURLY")</f>
        <v xml:space="preserve">          6007 - STUDENT HOURLY</v>
      </c>
      <c r="C31" s="10"/>
      <c r="D31" s="6"/>
      <c r="E31" s="2"/>
      <c r="F31" s="7">
        <f t="shared" si="8"/>
        <v>0</v>
      </c>
      <c r="G31" s="2"/>
      <c r="H31" s="6"/>
      <c r="I31" s="2"/>
      <c r="J31" s="7">
        <f t="shared" si="9"/>
        <v>0</v>
      </c>
      <c r="K31" s="2"/>
      <c r="L31" s="6">
        <f t="shared" si="10"/>
        <v>0</v>
      </c>
      <c r="M31" s="2"/>
      <c r="N31" s="7">
        <f t="shared" si="11"/>
        <v>0</v>
      </c>
      <c r="O31" s="10"/>
      <c r="P31" s="6">
        <v>0</v>
      </c>
      <c r="Q31" s="2"/>
      <c r="R31" s="7">
        <f t="shared" si="12"/>
        <v>0</v>
      </c>
      <c r="S31" s="2"/>
      <c r="T31" s="6">
        <v>41753.5</v>
      </c>
      <c r="U31" s="2"/>
      <c r="V31" s="7">
        <f t="shared" si="13"/>
        <v>0</v>
      </c>
      <c r="W31" s="2"/>
      <c r="X31" s="6">
        <f t="shared" si="14"/>
        <v>-41753.5</v>
      </c>
      <c r="Y31" s="2"/>
      <c r="Z31" s="7">
        <f t="shared" si="15"/>
        <v>-1</v>
      </c>
    </row>
    <row r="32" spans="1:26" s="23" customFormat="1" hidden="1" outlineLevel="2" x14ac:dyDescent="0.25">
      <c r="A32" s="25"/>
      <c r="B32" s="10" t="str">
        <f>CONCATENATE("          ", "6008", " - ", "STUDENT HOURLY-FICA EXEMPT")</f>
        <v xml:space="preserve">          6008 - STUDENT HOURLY-FICA EXEMPT</v>
      </c>
      <c r="C32" s="10"/>
      <c r="D32" s="6">
        <v>1685.19</v>
      </c>
      <c r="E32" s="2"/>
      <c r="F32" s="7">
        <f t="shared" si="8"/>
        <v>0</v>
      </c>
      <c r="G32" s="2"/>
      <c r="H32" s="6">
        <v>1340.15</v>
      </c>
      <c r="I32" s="2"/>
      <c r="J32" s="7">
        <f t="shared" si="9"/>
        <v>0</v>
      </c>
      <c r="K32" s="2"/>
      <c r="L32" s="6">
        <f t="shared" si="10"/>
        <v>345.03999999999996</v>
      </c>
      <c r="M32" s="2"/>
      <c r="N32" s="7">
        <f t="shared" si="11"/>
        <v>0.25746371674812518</v>
      </c>
      <c r="O32" s="10"/>
      <c r="P32" s="6">
        <v>16449.099999999999</v>
      </c>
      <c r="Q32" s="2"/>
      <c r="R32" s="7">
        <f t="shared" si="12"/>
        <v>0</v>
      </c>
      <c r="S32" s="2"/>
      <c r="T32" s="6">
        <v>12535.04</v>
      </c>
      <c r="U32" s="2"/>
      <c r="V32" s="7">
        <f t="shared" si="13"/>
        <v>0</v>
      </c>
      <c r="W32" s="2"/>
      <c r="X32" s="6">
        <f t="shared" si="14"/>
        <v>3914.0599999999977</v>
      </c>
      <c r="Y32" s="2"/>
      <c r="Z32" s="7">
        <f t="shared" si="15"/>
        <v>0.31224950219544551</v>
      </c>
    </row>
    <row r="33" spans="1:26" s="27" customFormat="1" outlineLevel="1" collapsed="1" x14ac:dyDescent="0.25">
      <c r="A33" s="26"/>
      <c r="B33" s="12" t="str">
        <f>CONCATENATE("     ","Advertising/Promo                                 ")</f>
        <v xml:space="preserve">     Advertising/Promo                                 </v>
      </c>
      <c r="C33" s="12"/>
      <c r="D33" s="1">
        <f>SUM(OSRRefD22_2x_0)</f>
        <v>173.21</v>
      </c>
      <c r="E33" s="1"/>
      <c r="F33" s="5">
        <f t="shared" ref="F33:F43" si="16">IF(D$12=0,0,D33/D$12)</f>
        <v>0</v>
      </c>
      <c r="G33" s="1"/>
      <c r="H33" s="1">
        <f>SUM(OSRRefH22_2x_0)</f>
        <v>346.42</v>
      </c>
      <c r="I33" s="1"/>
      <c r="J33" s="5">
        <f t="shared" ref="J33:J43" si="17">IF(H$12=0,0,H33/H$12)</f>
        <v>0</v>
      </c>
      <c r="K33" s="1"/>
      <c r="L33" s="1">
        <f t="shared" ref="L33:L43" si="18">+D33-H33</f>
        <v>-173.21</v>
      </c>
      <c r="M33" s="1"/>
      <c r="N33" s="5">
        <f t="shared" ref="N33:N43" si="19">IF(H33=0,0,L33/H33)</f>
        <v>-0.5</v>
      </c>
      <c r="O33" s="12"/>
      <c r="P33" s="1">
        <f>SUM(OSRRefP22_2x_0)</f>
        <v>1905.31</v>
      </c>
      <c r="Q33" s="1"/>
      <c r="R33" s="5">
        <f t="shared" ref="R33:R43" si="20">IF(P$12=0,0,P33/P$12)</f>
        <v>0</v>
      </c>
      <c r="S33" s="1"/>
      <c r="T33" s="1">
        <f>SUM(OSRRefT22_2x_0)</f>
        <v>-45543.57</v>
      </c>
      <c r="U33" s="1"/>
      <c r="V33" s="5">
        <f t="shared" ref="V33:V43" si="21">IF(T$12=0,0,T33/T$12)</f>
        <v>0</v>
      </c>
      <c r="W33" s="1"/>
      <c r="X33" s="1">
        <f t="shared" ref="X33:X43" si="22">+P33-T33</f>
        <v>47448.88</v>
      </c>
      <c r="Y33" s="1"/>
      <c r="Z33" s="5">
        <f t="shared" ref="Z33:Z43" si="23">IF(T33=0,0,X33/T33)</f>
        <v>-1.0418348847049099</v>
      </c>
    </row>
    <row r="34" spans="1:26" s="23" customFormat="1" hidden="1" outlineLevel="2" x14ac:dyDescent="0.25">
      <c r="A34" s="25"/>
      <c r="B34" s="10" t="str">
        <f>CONCATENATE("          ", "6362", " - ", "ADVERTISING EXPENSE")</f>
        <v xml:space="preserve">          6362 - ADVERTISING EXPENSE</v>
      </c>
      <c r="C34" s="10"/>
      <c r="D34" s="6">
        <v>173.21</v>
      </c>
      <c r="E34" s="2"/>
      <c r="F34" s="7">
        <f t="shared" si="16"/>
        <v>0</v>
      </c>
      <c r="G34" s="2"/>
      <c r="H34" s="6">
        <v>346.42</v>
      </c>
      <c r="I34" s="2"/>
      <c r="J34" s="7">
        <f t="shared" si="17"/>
        <v>0</v>
      </c>
      <c r="K34" s="2"/>
      <c r="L34" s="6">
        <f t="shared" si="18"/>
        <v>-173.21</v>
      </c>
      <c r="M34" s="2"/>
      <c r="N34" s="7">
        <f t="shared" si="19"/>
        <v>-0.5</v>
      </c>
      <c r="O34" s="10"/>
      <c r="P34" s="6">
        <v>1905.31</v>
      </c>
      <c r="Q34" s="2"/>
      <c r="R34" s="7">
        <f t="shared" si="20"/>
        <v>0</v>
      </c>
      <c r="S34" s="2"/>
      <c r="T34" s="6">
        <v>-45543.57</v>
      </c>
      <c r="U34" s="2"/>
      <c r="V34" s="7">
        <f t="shared" si="21"/>
        <v>0</v>
      </c>
      <c r="W34" s="2"/>
      <c r="X34" s="6">
        <f t="shared" si="22"/>
        <v>47448.88</v>
      </c>
      <c r="Y34" s="2"/>
      <c r="Z34" s="7">
        <f t="shared" si="23"/>
        <v>-1.0418348847049099</v>
      </c>
    </row>
    <row r="35" spans="1:26" s="27" customFormat="1" outlineLevel="1" collapsed="1" x14ac:dyDescent="0.25">
      <c r="A35" s="26"/>
      <c r="B35" s="12" t="str">
        <f>CONCATENATE("     ","Depreciation                                      ")</f>
        <v xml:space="preserve">     Depreciation                                      </v>
      </c>
      <c r="C35" s="12"/>
      <c r="D35" s="1">
        <f>SUM(OSRRefD22_3x_0)</f>
        <v>0</v>
      </c>
      <c r="E35" s="1"/>
      <c r="F35" s="5">
        <f t="shared" si="16"/>
        <v>0</v>
      </c>
      <c r="G35" s="1"/>
      <c r="H35" s="1">
        <f>SUM(OSRRefH22_3x_0)</f>
        <v>271.33999999999997</v>
      </c>
      <c r="I35" s="1"/>
      <c r="J35" s="5">
        <f t="shared" si="17"/>
        <v>0</v>
      </c>
      <c r="K35" s="1"/>
      <c r="L35" s="1">
        <f t="shared" si="18"/>
        <v>-271.33999999999997</v>
      </c>
      <c r="M35" s="1"/>
      <c r="N35" s="5">
        <f t="shared" si="19"/>
        <v>-1</v>
      </c>
      <c r="O35" s="12"/>
      <c r="P35" s="1">
        <f>SUM(OSRRefP22_3x_0)</f>
        <v>1898.94</v>
      </c>
      <c r="Q35" s="1"/>
      <c r="R35" s="5">
        <f t="shared" si="20"/>
        <v>0</v>
      </c>
      <c r="S35" s="1"/>
      <c r="T35" s="1">
        <f>SUM(OSRRefT22_3x_0)</f>
        <v>3474.95</v>
      </c>
      <c r="U35" s="1"/>
      <c r="V35" s="5">
        <f t="shared" si="21"/>
        <v>0</v>
      </c>
      <c r="W35" s="1"/>
      <c r="X35" s="1">
        <f t="shared" si="22"/>
        <v>-1576.0099999999998</v>
      </c>
      <c r="Y35" s="1"/>
      <c r="Z35" s="5">
        <f t="shared" si="23"/>
        <v>-0.45353458323141338</v>
      </c>
    </row>
    <row r="36" spans="1:26" s="23" customFormat="1" hidden="1" outlineLevel="2" x14ac:dyDescent="0.25">
      <c r="A36" s="25"/>
      <c r="B36" s="10" t="str">
        <f>CONCATENATE("          ", "6322", " - ", "EQUIPMENT DEPRECIATION EXPENSE")</f>
        <v xml:space="preserve">          6322 - EQUIPMENT DEPRECIATION EXPENSE</v>
      </c>
      <c r="C36" s="10"/>
      <c r="D36" s="6"/>
      <c r="E36" s="2"/>
      <c r="F36" s="7">
        <f t="shared" si="16"/>
        <v>0</v>
      </c>
      <c r="G36" s="2"/>
      <c r="H36" s="6">
        <v>271.33999999999997</v>
      </c>
      <c r="I36" s="2"/>
      <c r="J36" s="7">
        <f t="shared" si="17"/>
        <v>0</v>
      </c>
      <c r="K36" s="2"/>
      <c r="L36" s="6">
        <f t="shared" si="18"/>
        <v>-271.33999999999997</v>
      </c>
      <c r="M36" s="2"/>
      <c r="N36" s="7">
        <f t="shared" si="19"/>
        <v>-1</v>
      </c>
      <c r="O36" s="10"/>
      <c r="P36" s="6">
        <v>1898.94</v>
      </c>
      <c r="Q36" s="2"/>
      <c r="R36" s="7">
        <f t="shared" si="20"/>
        <v>0</v>
      </c>
      <c r="S36" s="2"/>
      <c r="T36" s="6">
        <v>3474.95</v>
      </c>
      <c r="U36" s="2"/>
      <c r="V36" s="7">
        <f t="shared" si="21"/>
        <v>0</v>
      </c>
      <c r="W36" s="2"/>
      <c r="X36" s="6">
        <f t="shared" si="22"/>
        <v>-1576.0099999999998</v>
      </c>
      <c r="Y36" s="2"/>
      <c r="Z36" s="7">
        <f t="shared" si="23"/>
        <v>-0.45353458323141338</v>
      </c>
    </row>
    <row r="37" spans="1:26" s="27" customFormat="1" outlineLevel="1" collapsed="1" x14ac:dyDescent="0.25">
      <c r="A37" s="26"/>
      <c r="B37" s="12" t="str">
        <f>CONCATENATE("     ","Employees' Appreciation                           ")</f>
        <v xml:space="preserve">     Employees' Appreciation                           </v>
      </c>
      <c r="C37" s="12"/>
      <c r="D37" s="1">
        <f>SUM(OSRRefD22_4x_0)</f>
        <v>0</v>
      </c>
      <c r="E37" s="1"/>
      <c r="F37" s="5">
        <f t="shared" si="16"/>
        <v>0</v>
      </c>
      <c r="G37" s="1"/>
      <c r="H37" s="1">
        <f>SUM(OSRRefH22_4x_0)</f>
        <v>0</v>
      </c>
      <c r="I37" s="1"/>
      <c r="J37" s="5">
        <f t="shared" si="17"/>
        <v>0</v>
      </c>
      <c r="K37" s="1"/>
      <c r="L37" s="1">
        <f t="shared" si="18"/>
        <v>0</v>
      </c>
      <c r="M37" s="1"/>
      <c r="N37" s="5">
        <f t="shared" si="19"/>
        <v>0</v>
      </c>
      <c r="O37" s="12"/>
      <c r="P37" s="1">
        <f>SUM(OSRRefP22_4x_0)</f>
        <v>0</v>
      </c>
      <c r="Q37" s="1"/>
      <c r="R37" s="5">
        <f t="shared" si="20"/>
        <v>0</v>
      </c>
      <c r="S37" s="1"/>
      <c r="T37" s="1">
        <f>SUM(OSRRefT22_4x_0)</f>
        <v>30.15</v>
      </c>
      <c r="U37" s="1"/>
      <c r="V37" s="5">
        <f t="shared" si="21"/>
        <v>0</v>
      </c>
      <c r="W37" s="1"/>
      <c r="X37" s="1">
        <f t="shared" si="22"/>
        <v>-30.15</v>
      </c>
      <c r="Y37" s="1"/>
      <c r="Z37" s="5">
        <f t="shared" si="23"/>
        <v>-1</v>
      </c>
    </row>
    <row r="38" spans="1:26" s="23" customFormat="1" hidden="1" outlineLevel="2" x14ac:dyDescent="0.25">
      <c r="A38" s="25"/>
      <c r="B38" s="10" t="str">
        <f>CONCATENATE("          ", "6277", " - ", "EMPLOYEE APPRECIATION")</f>
        <v xml:space="preserve">          6277 - EMPLOYEE APPRECIATION</v>
      </c>
      <c r="C38" s="10"/>
      <c r="D38" s="6"/>
      <c r="E38" s="2"/>
      <c r="F38" s="7">
        <f t="shared" si="16"/>
        <v>0</v>
      </c>
      <c r="G38" s="2"/>
      <c r="H38" s="6"/>
      <c r="I38" s="2"/>
      <c r="J38" s="7">
        <f t="shared" si="17"/>
        <v>0</v>
      </c>
      <c r="K38" s="2"/>
      <c r="L38" s="6">
        <f t="shared" si="18"/>
        <v>0</v>
      </c>
      <c r="M38" s="2"/>
      <c r="N38" s="7">
        <f t="shared" si="19"/>
        <v>0</v>
      </c>
      <c r="O38" s="10"/>
      <c r="P38" s="6"/>
      <c r="Q38" s="2"/>
      <c r="R38" s="7">
        <f t="shared" si="20"/>
        <v>0</v>
      </c>
      <c r="S38" s="2"/>
      <c r="T38" s="6">
        <v>30.15</v>
      </c>
      <c r="U38" s="2"/>
      <c r="V38" s="7">
        <f t="shared" si="21"/>
        <v>0</v>
      </c>
      <c r="W38" s="2"/>
      <c r="X38" s="6">
        <f t="shared" si="22"/>
        <v>-30.15</v>
      </c>
      <c r="Y38" s="2"/>
      <c r="Z38" s="7">
        <f t="shared" si="23"/>
        <v>-1</v>
      </c>
    </row>
    <row r="39" spans="1:26" s="27" customFormat="1" outlineLevel="1" collapsed="1" x14ac:dyDescent="0.25">
      <c r="A39" s="26"/>
      <c r="B39" s="12" t="str">
        <f>CONCATENATE("     ","General                                           ")</f>
        <v xml:space="preserve">     General                                           </v>
      </c>
      <c r="C39" s="12"/>
      <c r="D39" s="1">
        <f>SUM(OSRRefD22_5x_0)</f>
        <v>0</v>
      </c>
      <c r="E39" s="1"/>
      <c r="F39" s="5">
        <f t="shared" si="16"/>
        <v>0</v>
      </c>
      <c r="G39" s="1"/>
      <c r="H39" s="1">
        <f>SUM(OSRRefH22_5x_0)</f>
        <v>0</v>
      </c>
      <c r="I39" s="1"/>
      <c r="J39" s="5">
        <f t="shared" si="17"/>
        <v>0</v>
      </c>
      <c r="K39" s="1"/>
      <c r="L39" s="1">
        <f t="shared" si="18"/>
        <v>0</v>
      </c>
      <c r="M39" s="1"/>
      <c r="N39" s="5">
        <f t="shared" si="19"/>
        <v>0</v>
      </c>
      <c r="O39" s="12"/>
      <c r="P39" s="1">
        <f>SUM(OSRRefP22_5x_0)</f>
        <v>0</v>
      </c>
      <c r="Q39" s="1"/>
      <c r="R39" s="5">
        <f t="shared" si="20"/>
        <v>0</v>
      </c>
      <c r="S39" s="1"/>
      <c r="T39" s="1">
        <f>SUM(OSRRefT22_5x_0)</f>
        <v>1373.22</v>
      </c>
      <c r="U39" s="1"/>
      <c r="V39" s="5">
        <f t="shared" si="21"/>
        <v>0</v>
      </c>
      <c r="W39" s="1"/>
      <c r="X39" s="1">
        <f t="shared" si="22"/>
        <v>-1373.22</v>
      </c>
      <c r="Y39" s="1"/>
      <c r="Z39" s="5">
        <f t="shared" si="23"/>
        <v>-1</v>
      </c>
    </row>
    <row r="40" spans="1:26" s="23" customFormat="1" hidden="1" outlineLevel="2" x14ac:dyDescent="0.25">
      <c r="A40" s="25"/>
      <c r="B40" s="10" t="str">
        <f>CONCATENATE("          ", "6279", " - ", "GENERAL EXPENSE")</f>
        <v xml:space="preserve">          6279 - GENERAL EXPENSE</v>
      </c>
      <c r="C40" s="10"/>
      <c r="D40" s="6"/>
      <c r="E40" s="2"/>
      <c r="F40" s="7">
        <f t="shared" si="16"/>
        <v>0</v>
      </c>
      <c r="G40" s="2"/>
      <c r="H40" s="6"/>
      <c r="I40" s="2"/>
      <c r="J40" s="7">
        <f t="shared" si="17"/>
        <v>0</v>
      </c>
      <c r="K40" s="2"/>
      <c r="L40" s="6">
        <f t="shared" si="18"/>
        <v>0</v>
      </c>
      <c r="M40" s="2"/>
      <c r="N40" s="7">
        <f t="shared" si="19"/>
        <v>0</v>
      </c>
      <c r="O40" s="10"/>
      <c r="P40" s="6"/>
      <c r="Q40" s="2"/>
      <c r="R40" s="7">
        <f t="shared" si="20"/>
        <v>0</v>
      </c>
      <c r="S40" s="2"/>
      <c r="T40" s="6">
        <v>1373.22</v>
      </c>
      <c r="U40" s="2"/>
      <c r="V40" s="7">
        <f t="shared" si="21"/>
        <v>0</v>
      </c>
      <c r="W40" s="2"/>
      <c r="X40" s="6">
        <f t="shared" si="22"/>
        <v>-1373.22</v>
      </c>
      <c r="Y40" s="2"/>
      <c r="Z40" s="7">
        <f t="shared" si="23"/>
        <v>-1</v>
      </c>
    </row>
    <row r="41" spans="1:26" s="27" customFormat="1" outlineLevel="1" collapsed="1" x14ac:dyDescent="0.25">
      <c r="A41" s="26"/>
      <c r="B41" s="12" t="str">
        <f>CONCATENATE("     ","Supplies                                          ")</f>
        <v xml:space="preserve">     Supplies                                          </v>
      </c>
      <c r="C41" s="12"/>
      <c r="D41" s="1">
        <f>SUM(OSRRefD22_6x_0)</f>
        <v>0</v>
      </c>
      <c r="E41" s="1"/>
      <c r="F41" s="5">
        <f t="shared" si="16"/>
        <v>0</v>
      </c>
      <c r="G41" s="1"/>
      <c r="H41" s="1">
        <f>SUM(OSRRefH22_6x_0)</f>
        <v>88.19</v>
      </c>
      <c r="I41" s="1"/>
      <c r="J41" s="5">
        <f t="shared" si="17"/>
        <v>0</v>
      </c>
      <c r="K41" s="1"/>
      <c r="L41" s="1">
        <f t="shared" si="18"/>
        <v>-88.19</v>
      </c>
      <c r="M41" s="1"/>
      <c r="N41" s="5">
        <f t="shared" si="19"/>
        <v>-1</v>
      </c>
      <c r="O41" s="12"/>
      <c r="P41" s="1">
        <f>SUM(OSRRefP22_6x_0)</f>
        <v>0</v>
      </c>
      <c r="Q41" s="1"/>
      <c r="R41" s="5">
        <f t="shared" si="20"/>
        <v>0</v>
      </c>
      <c r="S41" s="1"/>
      <c r="T41" s="1">
        <f>SUM(OSRRefT22_6x_0)</f>
        <v>2281.75</v>
      </c>
      <c r="U41" s="1"/>
      <c r="V41" s="5">
        <f t="shared" si="21"/>
        <v>0</v>
      </c>
      <c r="W41" s="1"/>
      <c r="X41" s="1">
        <f t="shared" si="22"/>
        <v>-2281.75</v>
      </c>
      <c r="Y41" s="1"/>
      <c r="Z41" s="5">
        <f t="shared" si="23"/>
        <v>-1</v>
      </c>
    </row>
    <row r="42" spans="1:26" s="23" customFormat="1" hidden="1" outlineLevel="2" x14ac:dyDescent="0.25">
      <c r="A42" s="25"/>
      <c r="B42" s="10" t="str">
        <f>CONCATENATE("          ", "6241", " - ", "OFFICE EXPENSE")</f>
        <v xml:space="preserve">          6241 - OFFICE EXPENSE</v>
      </c>
      <c r="C42" s="10"/>
      <c r="D42" s="6"/>
      <c r="E42" s="2"/>
      <c r="F42" s="7">
        <f t="shared" si="16"/>
        <v>0</v>
      </c>
      <c r="G42" s="2"/>
      <c r="H42" s="6">
        <v>88.19</v>
      </c>
      <c r="I42" s="2"/>
      <c r="J42" s="7">
        <f t="shared" si="17"/>
        <v>0</v>
      </c>
      <c r="K42" s="2"/>
      <c r="L42" s="6">
        <f t="shared" si="18"/>
        <v>-88.19</v>
      </c>
      <c r="M42" s="2"/>
      <c r="N42" s="7">
        <f t="shared" si="19"/>
        <v>-1</v>
      </c>
      <c r="O42" s="10"/>
      <c r="P42" s="6"/>
      <c r="Q42" s="2"/>
      <c r="R42" s="7">
        <f t="shared" si="20"/>
        <v>0</v>
      </c>
      <c r="S42" s="2"/>
      <c r="T42" s="6">
        <v>1935.33</v>
      </c>
      <c r="U42" s="2"/>
      <c r="V42" s="7">
        <f t="shared" si="21"/>
        <v>0</v>
      </c>
      <c r="W42" s="2"/>
      <c r="X42" s="6">
        <f t="shared" si="22"/>
        <v>-1935.33</v>
      </c>
      <c r="Y42" s="2"/>
      <c r="Z42" s="7">
        <f t="shared" si="23"/>
        <v>-1</v>
      </c>
    </row>
    <row r="43" spans="1:26" s="23" customFormat="1" hidden="1" outlineLevel="2" x14ac:dyDescent="0.25">
      <c r="A43" s="25"/>
      <c r="B43" s="10" t="str">
        <f>CONCATENATE("          ", "6245", " - ", "PRINTING")</f>
        <v xml:space="preserve">          6245 - PRINTING</v>
      </c>
      <c r="C43" s="10"/>
      <c r="D43" s="6"/>
      <c r="E43" s="2"/>
      <c r="F43" s="7">
        <f t="shared" si="16"/>
        <v>0</v>
      </c>
      <c r="G43" s="2"/>
      <c r="H43" s="6"/>
      <c r="I43" s="2"/>
      <c r="J43" s="7">
        <f t="shared" si="17"/>
        <v>0</v>
      </c>
      <c r="K43" s="2"/>
      <c r="L43" s="6">
        <f t="shared" si="18"/>
        <v>0</v>
      </c>
      <c r="M43" s="2"/>
      <c r="N43" s="7">
        <f t="shared" si="19"/>
        <v>0</v>
      </c>
      <c r="O43" s="10"/>
      <c r="P43" s="6"/>
      <c r="Q43" s="2"/>
      <c r="R43" s="7">
        <f t="shared" si="20"/>
        <v>0</v>
      </c>
      <c r="S43" s="2"/>
      <c r="T43" s="6">
        <v>346.42</v>
      </c>
      <c r="U43" s="2"/>
      <c r="V43" s="7">
        <f t="shared" si="21"/>
        <v>0</v>
      </c>
      <c r="W43" s="2"/>
      <c r="X43" s="6">
        <f t="shared" si="22"/>
        <v>-346.42</v>
      </c>
      <c r="Y43" s="2"/>
      <c r="Z43" s="7">
        <f t="shared" si="23"/>
        <v>-1</v>
      </c>
    </row>
    <row r="44" spans="1:26" s="27" customFormat="1" outlineLevel="1" collapsed="1" x14ac:dyDescent="0.25">
      <c r="A44" s="26"/>
      <c r="B44" s="12" t="str">
        <f>CONCATENATE("     ","Telephone/Data Lines                              ")</f>
        <v xml:space="preserve">     Telephone/Data Lines                              </v>
      </c>
      <c r="C44" s="12"/>
      <c r="D44" s="1">
        <f>SUM(OSRRefD22_7x_0)</f>
        <v>36</v>
      </c>
      <c r="E44" s="1"/>
      <c r="F44" s="5">
        <f t="shared" ref="F44:F47" si="24">IF(D$12=0,0,D44/D$12)</f>
        <v>0</v>
      </c>
      <c r="G44" s="1"/>
      <c r="H44" s="1">
        <f>SUM(OSRRefH22_7x_0)</f>
        <v>-78</v>
      </c>
      <c r="I44" s="1"/>
      <c r="J44" s="5">
        <f t="shared" ref="J44:J47" si="25">IF(H$12=0,0,H44/H$12)</f>
        <v>0</v>
      </c>
      <c r="K44" s="1"/>
      <c r="L44" s="1">
        <f t="shared" ref="L44:L47" si="26">+D44-H44</f>
        <v>114</v>
      </c>
      <c r="M44" s="1"/>
      <c r="N44" s="5">
        <f t="shared" ref="N44:N47" si="27">IF(H44=0,0,L44/H44)</f>
        <v>-1.4615384615384615</v>
      </c>
      <c r="O44" s="12"/>
      <c r="P44" s="1">
        <f>SUM(OSRRefP22_7x_0)</f>
        <v>396.15</v>
      </c>
      <c r="Q44" s="1"/>
      <c r="R44" s="5">
        <f t="shared" ref="R44:R47" si="28">IF(P$12=0,0,P44/P$12)</f>
        <v>0</v>
      </c>
      <c r="S44" s="1"/>
      <c r="T44" s="1">
        <f>SUM(OSRRefT22_7x_0)</f>
        <v>618.38</v>
      </c>
      <c r="U44" s="1"/>
      <c r="V44" s="5">
        <f t="shared" ref="V44:V47" si="29">IF(T$12=0,0,T44/T$12)</f>
        <v>0</v>
      </c>
      <c r="W44" s="1"/>
      <c r="X44" s="1">
        <f t="shared" ref="X44:X47" si="30">+P44-T44</f>
        <v>-222.23000000000002</v>
      </c>
      <c r="Y44" s="1"/>
      <c r="Z44" s="5">
        <f t="shared" ref="Z44:Z47" si="31">IF(T44=0,0,X44/T44)</f>
        <v>-0.35937449464730425</v>
      </c>
    </row>
    <row r="45" spans="1:26" s="23" customFormat="1" hidden="1" outlineLevel="2" x14ac:dyDescent="0.25">
      <c r="A45" s="25"/>
      <c r="B45" s="10" t="str">
        <f>CONCATENATE("          ", "6309", " - ", "TELEPHONE")</f>
        <v xml:space="preserve">          6309 - TELEPHONE</v>
      </c>
      <c r="C45" s="10"/>
      <c r="D45" s="6">
        <v>36</v>
      </c>
      <c r="E45" s="2"/>
      <c r="F45" s="7">
        <f t="shared" si="24"/>
        <v>0</v>
      </c>
      <c r="G45" s="2"/>
      <c r="H45" s="6">
        <v>-78</v>
      </c>
      <c r="I45" s="2"/>
      <c r="J45" s="7">
        <f t="shared" si="25"/>
        <v>0</v>
      </c>
      <c r="K45" s="2"/>
      <c r="L45" s="6">
        <f t="shared" si="26"/>
        <v>114</v>
      </c>
      <c r="M45" s="2"/>
      <c r="N45" s="7">
        <f t="shared" si="27"/>
        <v>-1.4615384615384615</v>
      </c>
      <c r="O45" s="10"/>
      <c r="P45" s="6">
        <v>396.15</v>
      </c>
      <c r="Q45" s="2"/>
      <c r="R45" s="7">
        <f t="shared" si="28"/>
        <v>0</v>
      </c>
      <c r="S45" s="2"/>
      <c r="T45" s="6">
        <v>618.38</v>
      </c>
      <c r="U45" s="2"/>
      <c r="V45" s="7">
        <f t="shared" si="29"/>
        <v>0</v>
      </c>
      <c r="W45" s="2"/>
      <c r="X45" s="6">
        <f t="shared" si="30"/>
        <v>-222.23000000000002</v>
      </c>
      <c r="Y45" s="2"/>
      <c r="Z45" s="7">
        <f t="shared" si="31"/>
        <v>-0.35937449464730425</v>
      </c>
    </row>
    <row r="46" spans="1:26" s="27" customFormat="1" outlineLevel="1" collapsed="1" x14ac:dyDescent="0.25">
      <c r="A46" s="26"/>
      <c r="B46" s="12" t="str">
        <f>CONCATENATE("     ","Travel                                            ")</f>
        <v xml:space="preserve">     Travel                                            </v>
      </c>
      <c r="C46" s="12"/>
      <c r="D46" s="1">
        <f>SUM(OSRRefD22_8x_0)</f>
        <v>0</v>
      </c>
      <c r="E46" s="1"/>
      <c r="F46" s="5">
        <f t="shared" si="24"/>
        <v>0</v>
      </c>
      <c r="G46" s="1"/>
      <c r="H46" s="1">
        <f>SUM(OSRRefH22_8x_0)</f>
        <v>0</v>
      </c>
      <c r="I46" s="1"/>
      <c r="J46" s="5">
        <f t="shared" si="25"/>
        <v>0</v>
      </c>
      <c r="K46" s="1"/>
      <c r="L46" s="1">
        <f t="shared" si="26"/>
        <v>0</v>
      </c>
      <c r="M46" s="1"/>
      <c r="N46" s="5">
        <f t="shared" si="27"/>
        <v>0</v>
      </c>
      <c r="O46" s="12"/>
      <c r="P46" s="1">
        <f>SUM(OSRRefP22_8x_0)</f>
        <v>0</v>
      </c>
      <c r="Q46" s="1"/>
      <c r="R46" s="5">
        <f t="shared" si="28"/>
        <v>0</v>
      </c>
      <c r="S46" s="1"/>
      <c r="T46" s="1">
        <f>SUM(OSRRefT22_8x_0)</f>
        <v>3921.38</v>
      </c>
      <c r="U46" s="1"/>
      <c r="V46" s="5">
        <f t="shared" si="29"/>
        <v>0</v>
      </c>
      <c r="W46" s="1"/>
      <c r="X46" s="1">
        <f t="shared" si="30"/>
        <v>-3921.38</v>
      </c>
      <c r="Y46" s="1"/>
      <c r="Z46" s="5">
        <f t="shared" si="31"/>
        <v>-1</v>
      </c>
    </row>
    <row r="47" spans="1:26" s="23" customFormat="1" hidden="1" outlineLevel="2" x14ac:dyDescent="0.25">
      <c r="A47" s="25"/>
      <c r="B47" s="10" t="str">
        <f>CONCATENATE("          ", "6292", " - ", "TRAVEL/CONFERENCE")</f>
        <v xml:space="preserve">          6292 - TRAVEL/CONFERENCE</v>
      </c>
      <c r="C47" s="10"/>
      <c r="D47" s="6"/>
      <c r="E47" s="2"/>
      <c r="F47" s="7">
        <f t="shared" si="24"/>
        <v>0</v>
      </c>
      <c r="G47" s="2"/>
      <c r="H47" s="6"/>
      <c r="I47" s="2"/>
      <c r="J47" s="7">
        <f t="shared" si="25"/>
        <v>0</v>
      </c>
      <c r="K47" s="2"/>
      <c r="L47" s="6">
        <f t="shared" si="26"/>
        <v>0</v>
      </c>
      <c r="M47" s="2"/>
      <c r="N47" s="7">
        <f t="shared" si="27"/>
        <v>0</v>
      </c>
      <c r="O47" s="10"/>
      <c r="P47" s="6"/>
      <c r="Q47" s="2"/>
      <c r="R47" s="7">
        <f t="shared" si="28"/>
        <v>0</v>
      </c>
      <c r="S47" s="2"/>
      <c r="T47" s="6">
        <v>3921.38</v>
      </c>
      <c r="U47" s="2"/>
      <c r="V47" s="7">
        <f t="shared" si="29"/>
        <v>0</v>
      </c>
      <c r="W47" s="2"/>
      <c r="X47" s="6">
        <f t="shared" si="30"/>
        <v>-3921.38</v>
      </c>
      <c r="Y47" s="2"/>
      <c r="Z47" s="7">
        <f t="shared" si="31"/>
        <v>-1</v>
      </c>
    </row>
    <row r="48" spans="1:26" s="52" customFormat="1" x14ac:dyDescent="0.25">
      <c r="A48" s="37"/>
      <c r="B48" s="37"/>
      <c r="C48" s="37"/>
      <c r="D48" s="1"/>
      <c r="E48" s="1"/>
      <c r="F48" s="5"/>
      <c r="G48" s="1"/>
      <c r="H48" s="1"/>
      <c r="I48" s="1"/>
      <c r="J48" s="5"/>
      <c r="K48" s="1"/>
      <c r="L48" s="1"/>
      <c r="M48" s="1"/>
      <c r="N48" s="5"/>
      <c r="O48" s="37"/>
      <c r="P48" s="1"/>
      <c r="Q48" s="1"/>
      <c r="R48" s="5"/>
      <c r="S48" s="1"/>
      <c r="T48" s="1"/>
      <c r="U48" s="1"/>
      <c r="V48" s="5"/>
      <c r="W48" s="1"/>
      <c r="X48" s="1"/>
      <c r="Y48" s="1"/>
      <c r="Z48" s="5"/>
    </row>
    <row r="49" spans="1:26" s="24" customFormat="1" x14ac:dyDescent="0.25">
      <c r="A49" s="11"/>
      <c r="B49" s="29" t="s">
        <v>292</v>
      </c>
      <c r="C49" s="11"/>
      <c r="D49" s="4">
        <f>SUM(0)</f>
        <v>0</v>
      </c>
      <c r="E49" s="4"/>
      <c r="F49" s="13">
        <f>IF(D$12=0,0,D49/D$12)</f>
        <v>0</v>
      </c>
      <c r="G49" s="4"/>
      <c r="H49" s="4">
        <f>SUM(0)</f>
        <v>0</v>
      </c>
      <c r="I49" s="4"/>
      <c r="J49" s="13">
        <f>IF(H$12=0,0,H49/H$12)</f>
        <v>0</v>
      </c>
      <c r="K49" s="4"/>
      <c r="L49" s="4">
        <f>+D49-H49</f>
        <v>0</v>
      </c>
      <c r="M49" s="4"/>
      <c r="N49" s="13">
        <f>IF(H49=0,0,L49/H49)</f>
        <v>0</v>
      </c>
      <c r="O49" s="11"/>
      <c r="P49" s="4">
        <f>SUM(0)</f>
        <v>0</v>
      </c>
      <c r="Q49" s="4"/>
      <c r="R49" s="13">
        <f>IF(P$12=0,0,P49/P$12)</f>
        <v>0</v>
      </c>
      <c r="S49" s="4"/>
      <c r="T49" s="4">
        <f>SUM(0)</f>
        <v>0</v>
      </c>
      <c r="U49" s="4"/>
      <c r="V49" s="13">
        <f>IF(T$12=0,0,T49/T$12)</f>
        <v>0</v>
      </c>
      <c r="W49" s="4"/>
      <c r="X49" s="4">
        <f>+P49-T49</f>
        <v>0</v>
      </c>
      <c r="Y49" s="4"/>
      <c r="Z49" s="13">
        <f>IF(T49=0,0,X49/T49)</f>
        <v>0</v>
      </c>
    </row>
    <row r="50" spans="1:26" x14ac:dyDescent="0.25">
      <c r="A50" s="9"/>
      <c r="B50" s="11"/>
      <c r="C50" s="11"/>
      <c r="D50" s="3"/>
      <c r="E50" s="3"/>
      <c r="F50" s="8"/>
      <c r="G50" s="3"/>
      <c r="H50" s="3"/>
      <c r="I50" s="3"/>
      <c r="J50" s="8"/>
      <c r="K50" s="3"/>
      <c r="L50" s="3"/>
      <c r="M50" s="3"/>
      <c r="N50" s="8"/>
      <c r="O50" s="11"/>
      <c r="P50" s="3"/>
      <c r="Q50" s="3"/>
      <c r="R50" s="8"/>
      <c r="S50" s="3"/>
      <c r="T50" s="3"/>
      <c r="U50" s="3"/>
      <c r="V50" s="8"/>
      <c r="W50" s="3"/>
      <c r="X50" s="3"/>
      <c r="Y50" s="3"/>
      <c r="Z50" s="8"/>
    </row>
    <row r="51" spans="1:26" s="24" customFormat="1" x14ac:dyDescent="0.25">
      <c r="A51" s="11"/>
      <c r="B51" s="28" t="s">
        <v>276</v>
      </c>
      <c r="C51" s="28"/>
      <c r="D51" s="21">
        <f>+D16-D18+D49</f>
        <v>-5387.64</v>
      </c>
      <c r="E51" s="14"/>
      <c r="F51" s="22">
        <f>IF(D$12=0,0,D51/D$12)</f>
        <v>0</v>
      </c>
      <c r="G51" s="14"/>
      <c r="H51" s="21">
        <f>+H16-H18+H49</f>
        <v>-8294.5400000000009</v>
      </c>
      <c r="I51" s="14"/>
      <c r="J51" s="22">
        <f>IF(H$12=0,0,H51/H$12)</f>
        <v>0</v>
      </c>
      <c r="K51" s="15"/>
      <c r="L51" s="21">
        <f>+D51-H51</f>
        <v>2906.9000000000005</v>
      </c>
      <c r="M51" s="15"/>
      <c r="N51" s="22">
        <f>IF(H51=0,0,L51/H51)</f>
        <v>-0.35045945887294538</v>
      </c>
      <c r="O51" s="29"/>
      <c r="P51" s="21">
        <f>+P16-P18+P49</f>
        <v>-101285.65</v>
      </c>
      <c r="Q51" s="14"/>
      <c r="R51" s="22">
        <f>IF(P$12=0,0,P51/P$12)</f>
        <v>0</v>
      </c>
      <c r="S51" s="14"/>
      <c r="T51" s="21">
        <f>+T16-T18+T49</f>
        <v>-106543.27999999998</v>
      </c>
      <c r="U51" s="14"/>
      <c r="V51" s="22">
        <f>IF(T$12=0,0,T51/T$12)</f>
        <v>0</v>
      </c>
      <c r="W51" s="15"/>
      <c r="X51" s="21">
        <f>+P51-T51</f>
        <v>5257.6299999999901</v>
      </c>
      <c r="Y51" s="15"/>
      <c r="Z51" s="22">
        <f>IF(T51=0,0,X51/T51)</f>
        <v>-4.9347363813090704E-2</v>
      </c>
    </row>
    <row r="52" spans="1:26" x14ac:dyDescent="0.25">
      <c r="A52" s="9"/>
      <c r="B52" s="11"/>
      <c r="C52" s="9"/>
      <c r="D52" s="3"/>
      <c r="E52" s="3"/>
      <c r="F52" s="8"/>
      <c r="G52" s="3"/>
      <c r="H52" s="3"/>
      <c r="I52" s="3"/>
      <c r="J52" s="8"/>
      <c r="K52" s="3"/>
      <c r="L52" s="3"/>
      <c r="M52" s="3"/>
      <c r="N52" s="8"/>
      <c r="P52" s="3"/>
      <c r="Q52" s="3"/>
      <c r="R52" s="8"/>
      <c r="S52" s="3"/>
      <c r="T52" s="3"/>
      <c r="U52" s="3"/>
      <c r="V52" s="8"/>
      <c r="W52" s="3"/>
      <c r="X52" s="3"/>
      <c r="Y52" s="3"/>
      <c r="Z52" s="8"/>
    </row>
    <row r="53" spans="1:26" s="24" customFormat="1" x14ac:dyDescent="0.25">
      <c r="A53" s="51"/>
      <c r="B53" s="11" t="s">
        <v>127</v>
      </c>
      <c r="C53" s="11"/>
      <c r="D53" s="4"/>
      <c r="E53" s="4"/>
      <c r="F53" s="13">
        <f>IF(D$12=0,0,D53/D$12)</f>
        <v>0</v>
      </c>
      <c r="G53" s="4"/>
      <c r="H53" s="4"/>
      <c r="I53" s="4"/>
      <c r="J53" s="13">
        <f>IF(H$12=0,0,H53/H$12)</f>
        <v>0</v>
      </c>
      <c r="K53" s="4"/>
      <c r="L53" s="4">
        <f>+D53-H53</f>
        <v>0</v>
      </c>
      <c r="M53" s="4"/>
      <c r="N53" s="13">
        <f>IF(H53=0,0,L53/H53)</f>
        <v>0</v>
      </c>
      <c r="O53" s="11"/>
      <c r="P53" s="4"/>
      <c r="Q53" s="4"/>
      <c r="R53" s="13">
        <f>IF(P$12=0,0,P53/P$12)</f>
        <v>0</v>
      </c>
      <c r="S53" s="4"/>
      <c r="T53" s="4"/>
      <c r="U53" s="4"/>
      <c r="V53" s="13">
        <f>IF(T$12=0,0,T53/T$12)</f>
        <v>0</v>
      </c>
      <c r="W53" s="4"/>
      <c r="X53" s="4">
        <f>+P53-T53</f>
        <v>0</v>
      </c>
      <c r="Y53" s="4"/>
      <c r="Z53" s="13">
        <f>IF(T53=0,0,X53/T53)</f>
        <v>0</v>
      </c>
    </row>
    <row r="54" spans="1:26" x14ac:dyDescent="0.25">
      <c r="A54" s="9"/>
      <c r="B54" s="11"/>
      <c r="C54" s="11"/>
      <c r="D54" s="3"/>
      <c r="E54" s="3"/>
      <c r="F54" s="8"/>
      <c r="G54" s="3"/>
      <c r="H54" s="3"/>
      <c r="I54" s="3"/>
      <c r="J54" s="8"/>
      <c r="K54" s="3"/>
      <c r="L54" s="3"/>
      <c r="M54" s="3"/>
      <c r="N54" s="8"/>
      <c r="O54" s="11"/>
      <c r="P54" s="3"/>
      <c r="Q54" s="3"/>
      <c r="R54" s="8"/>
      <c r="S54" s="3"/>
      <c r="T54" s="3"/>
      <c r="U54" s="3"/>
      <c r="V54" s="8"/>
      <c r="W54" s="3"/>
      <c r="X54" s="3"/>
      <c r="Y54" s="3"/>
      <c r="Z54" s="8"/>
    </row>
    <row r="55" spans="1:26" s="24" customFormat="1" ht="15.75" thickBot="1" x14ac:dyDescent="0.3">
      <c r="A55" s="11"/>
      <c r="B55" s="28" t="s">
        <v>125</v>
      </c>
      <c r="C55" s="28"/>
      <c r="D55" s="34">
        <f>+D51-D53</f>
        <v>-5387.64</v>
      </c>
      <c r="E55" s="14"/>
      <c r="F55" s="31">
        <f>IF(D$12=0,0,D55/D$12)</f>
        <v>0</v>
      </c>
      <c r="G55" s="14"/>
      <c r="H55" s="34">
        <f>+H51-H53</f>
        <v>-8294.5400000000009</v>
      </c>
      <c r="I55" s="14"/>
      <c r="J55" s="31">
        <f>IF(H$12=0,0,H55/H$12)</f>
        <v>0</v>
      </c>
      <c r="K55" s="15"/>
      <c r="L55" s="34">
        <f>D55-H55</f>
        <v>2906.9000000000005</v>
      </c>
      <c r="M55" s="15"/>
      <c r="N55" s="31">
        <f>IF(H55=0,0,L55/H55)</f>
        <v>-0.35045945887294538</v>
      </c>
      <c r="O55" s="29"/>
      <c r="P55" s="34">
        <f>+P51-P53</f>
        <v>-101285.65</v>
      </c>
      <c r="Q55" s="14"/>
      <c r="R55" s="31">
        <f>IF(P$12=0,0,P55/P$12)</f>
        <v>0</v>
      </c>
      <c r="S55" s="14"/>
      <c r="T55" s="34">
        <f>+T51-T53</f>
        <v>-106543.27999999998</v>
      </c>
      <c r="U55" s="14"/>
      <c r="V55" s="31">
        <f>IF(T$12=0,0,T55/T$12)</f>
        <v>0</v>
      </c>
      <c r="W55" s="15"/>
      <c r="X55" s="34">
        <f>P55-T55</f>
        <v>5257.6299999999901</v>
      </c>
      <c r="Y55" s="15"/>
      <c r="Z55" s="31">
        <f>IF(T55=0,0,X55/T55)</f>
        <v>-4.9347363813090704E-2</v>
      </c>
    </row>
    <row r="56" spans="1:26" ht="15.75" thickTop="1" x14ac:dyDescent="0.25">
      <c r="A56" s="9"/>
      <c r="B56" s="9"/>
      <c r="C56" s="9"/>
      <c r="D56" s="3"/>
      <c r="E56" s="3"/>
      <c r="F56" s="8"/>
      <c r="G56" s="3"/>
      <c r="H56" s="3"/>
      <c r="I56" s="3"/>
      <c r="J56" s="8"/>
      <c r="K56" s="3"/>
      <c r="L56" s="3"/>
      <c r="M56" s="3"/>
      <c r="N56" s="8"/>
      <c r="P56" s="3"/>
      <c r="Q56" s="3"/>
      <c r="R56" s="8"/>
      <c r="S56" s="3"/>
      <c r="T56" s="3"/>
      <c r="U56" s="3"/>
      <c r="V56" s="8"/>
      <c r="W56" s="3"/>
      <c r="X56" s="3"/>
      <c r="Y56" s="3"/>
      <c r="Z56" s="8"/>
    </row>
    <row r="57" spans="1:26" x14ac:dyDescent="0.25">
      <c r="A57" s="9"/>
      <c r="B57" s="9"/>
      <c r="C57" s="9"/>
      <c r="D57" s="3"/>
      <c r="E57" s="3"/>
      <c r="F57" s="8"/>
      <c r="G57" s="3"/>
      <c r="H57" s="3"/>
      <c r="I57" s="3"/>
      <c r="J57" s="8"/>
      <c r="K57" s="3"/>
      <c r="L57" s="3"/>
      <c r="M57" s="3"/>
      <c r="N57" s="8"/>
      <c r="P57" s="3"/>
      <c r="Q57" s="3"/>
      <c r="R57" s="8"/>
      <c r="S57" s="3"/>
      <c r="T57" s="3"/>
      <c r="U57" s="3"/>
      <c r="V57" s="8"/>
      <c r="W57" s="3"/>
      <c r="X57" s="3"/>
      <c r="Y57" s="3"/>
      <c r="Z57" s="8"/>
    </row>
    <row r="58" spans="1:26" s="24" customFormat="1" ht="15.75" thickBot="1" x14ac:dyDescent="0.3">
      <c r="A58" s="11"/>
      <c r="B58" s="28" t="s">
        <v>293</v>
      </c>
      <c r="C58" s="28"/>
      <c r="D58" s="33">
        <f>SUM(D55:D57)</f>
        <v>-5387.64</v>
      </c>
      <c r="E58" s="14"/>
      <c r="F58" s="35">
        <f>IF(D$12=0,0,D58/D$12)</f>
        <v>0</v>
      </c>
      <c r="G58" s="14"/>
      <c r="H58" s="33">
        <f>SUM(H55:H57)</f>
        <v>-8294.5400000000009</v>
      </c>
      <c r="I58" s="14"/>
      <c r="J58" s="35">
        <f>IF(H$12=0,0,H58/H$12)</f>
        <v>0</v>
      </c>
      <c r="K58" s="15"/>
      <c r="L58" s="33">
        <f>+D58-H58</f>
        <v>2906.9000000000005</v>
      </c>
      <c r="M58" s="15"/>
      <c r="N58" s="35">
        <f>IF(H58=0,0,L58/H58)</f>
        <v>-0.35045945887294538</v>
      </c>
      <c r="O58" s="29"/>
      <c r="P58" s="33">
        <f>SUM(P55:P57)</f>
        <v>-101285.65</v>
      </c>
      <c r="Q58" s="14"/>
      <c r="R58" s="35">
        <f>IF(P$12=0,0,P58/P$12)</f>
        <v>0</v>
      </c>
      <c r="S58" s="14"/>
      <c r="T58" s="33">
        <f>SUM(T55:T57)</f>
        <v>-106543.27999999998</v>
      </c>
      <c r="U58" s="14"/>
      <c r="V58" s="35">
        <f>IF(T$12=0,0,T58/T$12)</f>
        <v>0</v>
      </c>
      <c r="W58" s="15"/>
      <c r="X58" s="33">
        <f>+P58-T58</f>
        <v>5257.6299999999901</v>
      </c>
      <c r="Y58" s="15"/>
      <c r="Z58" s="35">
        <f>IF(T58=0,0,X58/T58)</f>
        <v>-4.9347363813090704E-2</v>
      </c>
    </row>
    <row r="59" spans="1:26" ht="15.75" thickTop="1" x14ac:dyDescent="0.25">
      <c r="A59" s="9"/>
      <c r="C59" s="9"/>
      <c r="D59" s="18"/>
      <c r="E59" s="18"/>
      <c r="G59" s="18"/>
      <c r="H59" s="18"/>
      <c r="I59" s="18"/>
      <c r="J59" s="43"/>
      <c r="K59" s="18"/>
      <c r="L59" s="18"/>
      <c r="M59" s="18"/>
      <c r="P59" s="18"/>
      <c r="Q59" s="18"/>
      <c r="R59" s="43"/>
      <c r="S59" s="18"/>
      <c r="T59" s="18"/>
      <c r="U59" s="18"/>
      <c r="V59" s="43"/>
      <c r="W59" s="18"/>
      <c r="X59" s="18"/>
    </row>
    <row r="60" spans="1:26" x14ac:dyDescent="0.25">
      <c r="A60" s="9"/>
      <c r="B60" s="56">
        <v>44454.698585613427</v>
      </c>
      <c r="D60" s="18"/>
      <c r="E60" s="18"/>
      <c r="G60" s="18"/>
      <c r="H60" s="18"/>
      <c r="I60" s="18"/>
      <c r="J60" s="43"/>
      <c r="K60" s="18"/>
      <c r="L60" s="18"/>
      <c r="M60" s="18"/>
      <c r="P60" s="18"/>
      <c r="Q60" s="18"/>
      <c r="R60" s="43"/>
      <c r="S60" s="18"/>
      <c r="T60" s="18"/>
      <c r="U60" s="18"/>
      <c r="V60" s="43"/>
      <c r="W60" s="18"/>
      <c r="X60" s="18"/>
    </row>
    <row r="61" spans="1:26" x14ac:dyDescent="0.25">
      <c r="A61" s="9"/>
      <c r="B61" s="55" t="s">
        <v>56</v>
      </c>
      <c r="D61" s="18"/>
      <c r="E61" s="18"/>
      <c r="G61" s="18"/>
      <c r="H61" s="18"/>
      <c r="I61" s="18"/>
      <c r="J61" s="43"/>
      <c r="K61" s="18"/>
      <c r="L61" s="18"/>
      <c r="M61" s="18"/>
      <c r="P61" s="18"/>
      <c r="Q61" s="18"/>
      <c r="R61" s="43"/>
      <c r="S61" s="18"/>
      <c r="T61" s="18"/>
      <c r="U61" s="18"/>
      <c r="V61" s="43"/>
      <c r="W61" s="18"/>
      <c r="X61" s="18"/>
    </row>
    <row r="62" spans="1:26" x14ac:dyDescent="0.25">
      <c r="A62" s="9"/>
      <c r="B62" s="60"/>
      <c r="D62" s="18"/>
      <c r="E62" s="18"/>
      <c r="G62" s="18"/>
      <c r="H62" s="18"/>
      <c r="I62" s="18"/>
      <c r="J62" s="43"/>
      <c r="K62" s="18"/>
      <c r="L62" s="18"/>
      <c r="M62" s="18"/>
      <c r="P62" s="18"/>
      <c r="Q62" s="18"/>
      <c r="R62" s="43"/>
      <c r="S62" s="18"/>
      <c r="T62" s="18"/>
      <c r="U62" s="18"/>
      <c r="V62" s="43"/>
      <c r="W62" s="18"/>
      <c r="X62" s="18"/>
    </row>
    <row r="63" spans="1:26" x14ac:dyDescent="0.25">
      <c r="D63" s="18"/>
      <c r="E63" s="18"/>
      <c r="G63" s="18"/>
      <c r="H63" s="18"/>
      <c r="I63" s="18"/>
      <c r="J63" s="43"/>
      <c r="K63" s="18"/>
      <c r="L63" s="18"/>
      <c r="M63" s="18"/>
      <c r="P63" s="18"/>
      <c r="Q63" s="18"/>
      <c r="R63" s="43"/>
      <c r="S63" s="18"/>
      <c r="T63" s="18"/>
      <c r="U63" s="18"/>
      <c r="V63" s="43"/>
      <c r="W63" s="18"/>
      <c r="X63" s="18"/>
    </row>
  </sheetData>
  <pageMargins left="0.25" right="0.25" top="0.75" bottom="0.75" header="0.3" footer="0.3"/>
  <pageSetup scale="55" fitToWidth="2" orientation="landscape"/>
  <drawing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FFC000"/>
    <outlinePr summaryBelow="0" summaryRight="0"/>
  </sheetPr>
  <dimension ref="A2:Z325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62" t="s">
        <v>23</v>
      </c>
    </row>
    <row r="3" spans="1:26" x14ac:dyDescent="0.25">
      <c r="D3" s="62" t="s">
        <v>236</v>
      </c>
      <c r="E3" s="17"/>
      <c r="F3" s="46"/>
      <c r="G3" s="17"/>
      <c r="H3" s="17"/>
      <c r="I3" s="17"/>
      <c r="J3" s="38"/>
      <c r="K3" s="17"/>
      <c r="L3" s="17"/>
      <c r="M3" s="17"/>
      <c r="N3" s="46"/>
      <c r="O3" s="53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2" t="str">
        <f>CONCATENATE("Period ",RIGHT(202112,2),", ",2021)</f>
        <v>Period 12, 2021</v>
      </c>
      <c r="E4" s="17"/>
      <c r="F4" s="46"/>
      <c r="G4" s="17"/>
      <c r="H4" s="17"/>
      <c r="I4" s="17"/>
      <c r="J4" s="38"/>
      <c r="K4" s="17"/>
      <c r="L4" s="17"/>
      <c r="M4" s="17"/>
      <c r="N4" s="46"/>
      <c r="O4" s="53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4"/>
      <c r="D5" s="63">
        <v>44377</v>
      </c>
      <c r="E5" s="17"/>
      <c r="F5" s="46"/>
      <c r="G5" s="17"/>
      <c r="H5" s="17"/>
      <c r="I5" s="17"/>
      <c r="J5" s="38"/>
      <c r="K5" s="17"/>
      <c r="L5" s="17"/>
      <c r="M5" s="17"/>
      <c r="N5" s="46"/>
      <c r="O5" s="53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4"/>
      <c r="B6" s="48"/>
      <c r="C6" s="48"/>
      <c r="D6" s="24" t="s">
        <v>106</v>
      </c>
      <c r="E6" s="17"/>
      <c r="F6" s="46"/>
      <c r="G6" s="17"/>
      <c r="H6" s="17"/>
      <c r="I6" s="17"/>
      <c r="J6" s="38"/>
      <c r="K6" s="17"/>
      <c r="L6" s="17"/>
      <c r="M6" s="17"/>
      <c r="N6" s="46"/>
      <c r="O6" s="54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9"/>
    </row>
    <row r="8" spans="1:26" x14ac:dyDescent="0.25">
      <c r="B8" s="59"/>
    </row>
    <row r="9" spans="1:26" x14ac:dyDescent="0.25">
      <c r="B9" s="9"/>
      <c r="C9" s="9"/>
      <c r="D9" s="16" t="s">
        <v>291</v>
      </c>
      <c r="E9" s="16"/>
      <c r="F9" s="39"/>
      <c r="G9" s="16"/>
      <c r="H9" s="16"/>
      <c r="I9" s="16"/>
      <c r="J9" s="49"/>
      <c r="K9" s="16"/>
      <c r="L9" s="16"/>
      <c r="M9" s="16"/>
      <c r="N9" s="39"/>
      <c r="P9" s="16" t="s">
        <v>39</v>
      </c>
      <c r="Q9" s="16"/>
      <c r="R9" s="39"/>
      <c r="S9" s="16"/>
      <c r="T9" s="16"/>
      <c r="U9" s="16"/>
      <c r="V9" s="49"/>
      <c r="W9" s="16"/>
      <c r="X9" s="16"/>
      <c r="Y9" s="16"/>
      <c r="Z9" s="39"/>
    </row>
    <row r="10" spans="1:26" x14ac:dyDescent="0.25">
      <c r="A10" s="11"/>
      <c r="B10" s="58"/>
      <c r="C10" s="11"/>
      <c r="D10" s="42" t="s">
        <v>57</v>
      </c>
      <c r="E10" s="36"/>
      <c r="F10" s="30" t="s">
        <v>40</v>
      </c>
      <c r="G10" s="36"/>
      <c r="H10" s="50" t="s">
        <v>237</v>
      </c>
      <c r="I10" s="36"/>
      <c r="J10" s="30" t="s">
        <v>40</v>
      </c>
      <c r="K10" s="11"/>
      <c r="L10" s="42" t="s">
        <v>126</v>
      </c>
      <c r="M10" s="11"/>
      <c r="N10" s="30" t="s">
        <v>257</v>
      </c>
      <c r="O10" s="11"/>
      <c r="P10" s="61" t="s">
        <v>57</v>
      </c>
      <c r="Q10" s="36"/>
      <c r="R10" s="30" t="s">
        <v>40</v>
      </c>
      <c r="S10" s="36"/>
      <c r="T10" s="50" t="s">
        <v>237</v>
      </c>
      <c r="U10" s="36"/>
      <c r="V10" s="30" t="s">
        <v>40</v>
      </c>
      <c r="W10" s="11"/>
      <c r="X10" s="42" t="s">
        <v>126</v>
      </c>
      <c r="Y10" s="11"/>
      <c r="Z10" s="30" t="s">
        <v>257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4" customFormat="1" collapsed="1" x14ac:dyDescent="0.25">
      <c r="A12" s="11"/>
      <c r="B12" s="29" t="s">
        <v>139</v>
      </c>
      <c r="C12" s="11"/>
      <c r="D12" s="4">
        <f>SUM(OSRRefD13x_0)</f>
        <v>264538.22999999992</v>
      </c>
      <c r="E12" s="4"/>
      <c r="F12" s="13"/>
      <c r="G12" s="4"/>
      <c r="H12" s="4">
        <f>SUM(OSRRefH13x_0)</f>
        <v>211222.02000000005</v>
      </c>
      <c r="I12" s="4"/>
      <c r="J12" s="13"/>
      <c r="K12" s="4"/>
      <c r="L12" s="4">
        <f t="shared" ref="L12:L115" si="0">+D12-H12</f>
        <v>53316.209999999875</v>
      </c>
      <c r="M12" s="4"/>
      <c r="N12" s="13">
        <f t="shared" ref="N12:N115" si="1">IF(H12=0,0,L12/H12)</f>
        <v>0.25241785870620809</v>
      </c>
      <c r="O12" s="11"/>
      <c r="P12" s="4">
        <f>SUM(OSRRefP13x_0)</f>
        <v>5476816.9099999983</v>
      </c>
      <c r="Q12" s="4"/>
      <c r="R12" s="13"/>
      <c r="S12" s="4"/>
      <c r="T12" s="4">
        <f>SUM(OSRRefT13x_0)</f>
        <v>11602586.080000002</v>
      </c>
      <c r="U12" s="4"/>
      <c r="V12" s="13"/>
      <c r="W12" s="4"/>
      <c r="X12" s="4">
        <f t="shared" ref="X12:X115" si="2">+P12-T12</f>
        <v>-6125769.1700000037</v>
      </c>
      <c r="Y12" s="4"/>
      <c r="Z12" s="13">
        <f t="shared" ref="Z12:Z115" si="3">IF(T12=0,0,X12/T12)</f>
        <v>-0.52796584552467307</v>
      </c>
    </row>
    <row r="13" spans="1:26" s="23" customFormat="1" hidden="1" outlineLevel="1" x14ac:dyDescent="0.25">
      <c r="A13" s="44"/>
      <c r="B13" s="10" t="str">
        <f>CONCATENATE("          ", "4000", " - ", "TAXABLE SALES")</f>
        <v xml:space="preserve">          4000 - TAXABLE SALES</v>
      </c>
      <c r="C13" s="10"/>
      <c r="D13" s="2">
        <f>-6560.42</f>
        <v>-6560.42</v>
      </c>
      <c r="E13" s="2"/>
      <c r="F13" s="19"/>
      <c r="G13" s="2"/>
      <c r="H13" s="2">
        <f>0</f>
        <v>0</v>
      </c>
      <c r="I13" s="2"/>
      <c r="J13" s="19"/>
      <c r="K13" s="2"/>
      <c r="L13" s="2">
        <f t="shared" si="0"/>
        <v>-6560.42</v>
      </c>
      <c r="M13" s="2"/>
      <c r="N13" s="19">
        <f t="shared" si="1"/>
        <v>0</v>
      </c>
      <c r="O13" s="10"/>
      <c r="P13" s="2">
        <f>-151009.45</f>
        <v>-151009.45000000001</v>
      </c>
      <c r="Q13" s="2"/>
      <c r="R13" s="19"/>
      <c r="S13" s="2"/>
      <c r="T13" s="2">
        <f>0</f>
        <v>0</v>
      </c>
      <c r="U13" s="2"/>
      <c r="V13" s="19"/>
      <c r="W13" s="2"/>
      <c r="X13" s="2">
        <f t="shared" si="2"/>
        <v>-151009.45000000001</v>
      </c>
      <c r="Y13" s="2"/>
      <c r="Z13" s="19">
        <f t="shared" si="3"/>
        <v>0</v>
      </c>
    </row>
    <row r="14" spans="1:26" s="23" customFormat="1" hidden="1" outlineLevel="1" x14ac:dyDescent="0.25">
      <c r="A14" s="44"/>
      <c r="B14" s="10" t="str">
        <f>CONCATENATE("          ", "4001", " - ", "TAXABLE SALES-NEW TEXT")</f>
        <v xml:space="preserve">          4001 - TAXABLE SALES-NEW TEXT</v>
      </c>
      <c r="C14" s="10"/>
      <c r="D14" s="2">
        <f>--9691.34</f>
        <v>9691.34</v>
      </c>
      <c r="E14" s="2"/>
      <c r="F14" s="19"/>
      <c r="G14" s="2"/>
      <c r="H14" s="2">
        <f>--15904.07</f>
        <v>15904.07</v>
      </c>
      <c r="I14" s="2"/>
      <c r="J14" s="19"/>
      <c r="K14" s="2"/>
      <c r="L14" s="2">
        <f t="shared" si="0"/>
        <v>-6212.73</v>
      </c>
      <c r="M14" s="2"/>
      <c r="N14" s="19">
        <f t="shared" si="1"/>
        <v>-0.39063774241436311</v>
      </c>
      <c r="O14" s="10"/>
      <c r="P14" s="2">
        <f>--1308779.9</f>
        <v>1308779.8999999999</v>
      </c>
      <c r="Q14" s="2"/>
      <c r="R14" s="19"/>
      <c r="S14" s="2"/>
      <c r="T14" s="2">
        <f>--2451163.71</f>
        <v>2451163.71</v>
      </c>
      <c r="U14" s="2"/>
      <c r="V14" s="19"/>
      <c r="W14" s="2"/>
      <c r="X14" s="2">
        <f t="shared" si="2"/>
        <v>-1142383.81</v>
      </c>
      <c r="Y14" s="2"/>
      <c r="Z14" s="19">
        <f t="shared" si="3"/>
        <v>-0.46605773630680919</v>
      </c>
    </row>
    <row r="15" spans="1:26" s="23" customFormat="1" hidden="1" outlineLevel="1" x14ac:dyDescent="0.25">
      <c r="A15" s="44"/>
      <c r="B15" s="10" t="str">
        <f>CONCATENATE("          ", "4002", " - ", "TAXABLE SALES-USED TEXT")</f>
        <v xml:space="preserve">          4002 - TAXABLE SALES-USED TEXT</v>
      </c>
      <c r="C15" s="10"/>
      <c r="D15" s="2">
        <f>--6642.8</f>
        <v>6642.8</v>
      </c>
      <c r="E15" s="2"/>
      <c r="F15" s="19"/>
      <c r="G15" s="2"/>
      <c r="H15" s="2">
        <f>--15376.45</f>
        <v>15376.45</v>
      </c>
      <c r="I15" s="2"/>
      <c r="J15" s="19"/>
      <c r="K15" s="2"/>
      <c r="L15" s="2">
        <f t="shared" si="0"/>
        <v>-8733.6500000000015</v>
      </c>
      <c r="M15" s="2"/>
      <c r="N15" s="19">
        <f t="shared" si="1"/>
        <v>-0.56798871000783668</v>
      </c>
      <c r="O15" s="10"/>
      <c r="P15" s="2">
        <f>--596913.27</f>
        <v>596913.27</v>
      </c>
      <c r="Q15" s="2"/>
      <c r="R15" s="19"/>
      <c r="S15" s="2"/>
      <c r="T15" s="2">
        <f>--1271803.19</f>
        <v>1271803.19</v>
      </c>
      <c r="U15" s="2"/>
      <c r="V15" s="19"/>
      <c r="W15" s="2"/>
      <c r="X15" s="2">
        <f t="shared" si="2"/>
        <v>-674889.91999999993</v>
      </c>
      <c r="Y15" s="2"/>
      <c r="Z15" s="19">
        <f t="shared" si="3"/>
        <v>-0.53065594213519773</v>
      </c>
    </row>
    <row r="16" spans="1:26" s="23" customFormat="1" hidden="1" outlineLevel="1" x14ac:dyDescent="0.25">
      <c r="A16" s="44"/>
      <c r="B16" s="10" t="str">
        <f>CONCATENATE("          ", "4003", " - ", "TAXABLE SALES-RENTAL TEXT")</f>
        <v xml:space="preserve">          4003 - TAXABLE SALES-RENTAL TEXT</v>
      </c>
      <c r="C16" s="10"/>
      <c r="D16" s="2">
        <f>--1103.98</f>
        <v>1103.98</v>
      </c>
      <c r="E16" s="2"/>
      <c r="F16" s="19"/>
      <c r="G16" s="2"/>
      <c r="H16" s="2">
        <f>--895</f>
        <v>895</v>
      </c>
      <c r="I16" s="2"/>
      <c r="J16" s="19"/>
      <c r="K16" s="2"/>
      <c r="L16" s="2">
        <f t="shared" si="0"/>
        <v>208.98000000000002</v>
      </c>
      <c r="M16" s="2"/>
      <c r="N16" s="19">
        <f t="shared" si="1"/>
        <v>0.23349720670391064</v>
      </c>
      <c r="O16" s="10"/>
      <c r="P16" s="2">
        <f>--19596.82</f>
        <v>19596.82</v>
      </c>
      <c r="Q16" s="2"/>
      <c r="R16" s="19"/>
      <c r="S16" s="2"/>
      <c r="T16" s="2">
        <f>--34659.88</f>
        <v>34659.879999999997</v>
      </c>
      <c r="U16" s="2"/>
      <c r="V16" s="19"/>
      <c r="W16" s="2"/>
      <c r="X16" s="2">
        <f t="shared" si="2"/>
        <v>-15063.059999999998</v>
      </c>
      <c r="Y16" s="2"/>
      <c r="Z16" s="19">
        <f t="shared" si="3"/>
        <v>-0.43459642676200838</v>
      </c>
    </row>
    <row r="17" spans="1:26" s="23" customFormat="1" hidden="1" outlineLevel="1" x14ac:dyDescent="0.25">
      <c r="A17" s="44"/>
      <c r="B17" s="10" t="str">
        <f>CONCATENATE("          ", "4004", " - ", "TAXABLE SALES-DIGITAL TEXT")</f>
        <v xml:space="preserve">          4004 - TAXABLE SALES-DIGITAL TEXT</v>
      </c>
      <c r="C17" s="10"/>
      <c r="D17" s="2">
        <f t="shared" ref="D17:D18" si="4">0</f>
        <v>0</v>
      </c>
      <c r="E17" s="2"/>
      <c r="F17" s="19"/>
      <c r="G17" s="2"/>
      <c r="H17" s="2">
        <f t="shared" ref="H17:H18" si="5">0</f>
        <v>0</v>
      </c>
      <c r="I17" s="2"/>
      <c r="J17" s="19"/>
      <c r="K17" s="2"/>
      <c r="L17" s="2">
        <f t="shared" si="0"/>
        <v>0</v>
      </c>
      <c r="M17" s="2"/>
      <c r="N17" s="19">
        <f t="shared" si="1"/>
        <v>0</v>
      </c>
      <c r="O17" s="10"/>
      <c r="P17" s="2">
        <f>--2659.66</f>
        <v>2659.66</v>
      </c>
      <c r="Q17" s="2"/>
      <c r="R17" s="19"/>
      <c r="S17" s="2"/>
      <c r="T17" s="2">
        <f>--42195.3</f>
        <v>42195.3</v>
      </c>
      <c r="U17" s="2"/>
      <c r="V17" s="19"/>
      <c r="W17" s="2"/>
      <c r="X17" s="2">
        <f t="shared" si="2"/>
        <v>-39535.64</v>
      </c>
      <c r="Y17" s="2"/>
      <c r="Z17" s="19">
        <f t="shared" si="3"/>
        <v>-0.93696786134948673</v>
      </c>
    </row>
    <row r="18" spans="1:26" s="23" customFormat="1" hidden="1" outlineLevel="1" x14ac:dyDescent="0.25">
      <c r="A18" s="44"/>
      <c r="B18" s="10" t="str">
        <f>CONCATENATE("          ", "4011", " - ", "TAXABLE SALES-NO VALUE TEXT")</f>
        <v xml:space="preserve">          4011 - TAXABLE SALES-NO VALUE TEXT</v>
      </c>
      <c r="C18" s="10"/>
      <c r="D18" s="2">
        <f t="shared" si="4"/>
        <v>0</v>
      </c>
      <c r="E18" s="2"/>
      <c r="F18" s="19"/>
      <c r="G18" s="2"/>
      <c r="H18" s="2">
        <f t="shared" si="5"/>
        <v>0</v>
      </c>
      <c r="I18" s="2"/>
      <c r="J18" s="19"/>
      <c r="K18" s="2"/>
      <c r="L18" s="2">
        <f t="shared" si="0"/>
        <v>0</v>
      </c>
      <c r="M18" s="2"/>
      <c r="N18" s="19">
        <f t="shared" si="1"/>
        <v>0</v>
      </c>
      <c r="O18" s="10"/>
      <c r="P18" s="2">
        <f>0</f>
        <v>0</v>
      </c>
      <c r="Q18" s="2"/>
      <c r="R18" s="19"/>
      <c r="S18" s="2"/>
      <c r="T18" s="2">
        <f>--1052.48</f>
        <v>1052.48</v>
      </c>
      <c r="U18" s="2"/>
      <c r="V18" s="19"/>
      <c r="W18" s="2"/>
      <c r="X18" s="2">
        <f t="shared" si="2"/>
        <v>-1052.48</v>
      </c>
      <c r="Y18" s="2"/>
      <c r="Z18" s="19">
        <f t="shared" si="3"/>
        <v>-1</v>
      </c>
    </row>
    <row r="19" spans="1:26" s="23" customFormat="1" hidden="1" outlineLevel="1" x14ac:dyDescent="0.25">
      <c r="A19" s="44"/>
      <c r="B19" s="10" t="str">
        <f>CONCATENATE("          ", "4013", " - ", "TAXABLE SALES-TRADE BOOKS")</f>
        <v xml:space="preserve">          4013 - TAXABLE SALES-TRADE BOOKS</v>
      </c>
      <c r="C19" s="10"/>
      <c r="D19" s="2">
        <f>--92.84</f>
        <v>92.84</v>
      </c>
      <c r="E19" s="2"/>
      <c r="F19" s="19"/>
      <c r="G19" s="2"/>
      <c r="H19" s="2">
        <f>--64.99</f>
        <v>64.989999999999995</v>
      </c>
      <c r="I19" s="2"/>
      <c r="J19" s="19"/>
      <c r="K19" s="2"/>
      <c r="L19" s="2">
        <f t="shared" si="0"/>
        <v>27.850000000000009</v>
      </c>
      <c r="M19" s="2"/>
      <c r="N19" s="19">
        <f t="shared" si="1"/>
        <v>0.42852746576396383</v>
      </c>
      <c r="O19" s="10"/>
      <c r="P19" s="2">
        <f>--1418.63</f>
        <v>1418.63</v>
      </c>
      <c r="Q19" s="2"/>
      <c r="R19" s="19"/>
      <c r="S19" s="2"/>
      <c r="T19" s="2">
        <f>--2778.35</f>
        <v>2778.35</v>
      </c>
      <c r="U19" s="2"/>
      <c r="V19" s="19"/>
      <c r="W19" s="2"/>
      <c r="X19" s="2">
        <f t="shared" si="2"/>
        <v>-1359.7199999999998</v>
      </c>
      <c r="Y19" s="2"/>
      <c r="Z19" s="19">
        <f t="shared" si="3"/>
        <v>-0.48939838393290974</v>
      </c>
    </row>
    <row r="20" spans="1:26" s="23" customFormat="1" hidden="1" outlineLevel="1" x14ac:dyDescent="0.25">
      <c r="A20" s="44"/>
      <c r="B20" s="10" t="str">
        <f>CONCATENATE("          ", "4014", " - ", "TAXABLE SALES-REMAINDERS")</f>
        <v xml:space="preserve">          4014 - TAXABLE SALES-REMAINDERS</v>
      </c>
      <c r="C20" s="10"/>
      <c r="D20" s="2">
        <f>--31.84</f>
        <v>31.84</v>
      </c>
      <c r="E20" s="2"/>
      <c r="F20" s="19"/>
      <c r="G20" s="2"/>
      <c r="H20" s="2">
        <f>--13.9</f>
        <v>13.9</v>
      </c>
      <c r="I20" s="2"/>
      <c r="J20" s="19"/>
      <c r="K20" s="2"/>
      <c r="L20" s="2">
        <f t="shared" si="0"/>
        <v>17.939999999999998</v>
      </c>
      <c r="M20" s="2"/>
      <c r="N20" s="19">
        <f t="shared" si="1"/>
        <v>1.2906474820143883</v>
      </c>
      <c r="O20" s="10"/>
      <c r="P20" s="2">
        <f>--547.56</f>
        <v>547.55999999999995</v>
      </c>
      <c r="Q20" s="2"/>
      <c r="R20" s="19"/>
      <c r="S20" s="2"/>
      <c r="T20" s="2">
        <f>--1233.88</f>
        <v>1233.8800000000001</v>
      </c>
      <c r="U20" s="2"/>
      <c r="V20" s="19"/>
      <c r="W20" s="2"/>
      <c r="X20" s="2">
        <f t="shared" si="2"/>
        <v>-686.32000000000016</v>
      </c>
      <c r="Y20" s="2"/>
      <c r="Z20" s="19">
        <f t="shared" si="3"/>
        <v>-0.55622913087172177</v>
      </c>
    </row>
    <row r="21" spans="1:26" s="23" customFormat="1" hidden="1" outlineLevel="1" x14ac:dyDescent="0.25">
      <c r="A21" s="44"/>
      <c r="B21" s="10" t="str">
        <f>CONCATENATE("          ", "4017", " - ", "TAXABLE SALES-DORM/HOUSEWARES")</f>
        <v xml:space="preserve">          4017 - TAXABLE SALES-DORM/HOUSEWARES</v>
      </c>
      <c r="C21" s="10"/>
      <c r="D21" s="2">
        <f>0</f>
        <v>0</v>
      </c>
      <c r="E21" s="2"/>
      <c r="F21" s="19"/>
      <c r="G21" s="2"/>
      <c r="H21" s="2">
        <f t="shared" ref="H21:H23" si="6">0</f>
        <v>0</v>
      </c>
      <c r="I21" s="2"/>
      <c r="J21" s="19"/>
      <c r="K21" s="2"/>
      <c r="L21" s="2">
        <f t="shared" si="0"/>
        <v>0</v>
      </c>
      <c r="M21" s="2"/>
      <c r="N21" s="19">
        <f t="shared" si="1"/>
        <v>0</v>
      </c>
      <c r="O21" s="10"/>
      <c r="P21" s="2">
        <f>0</f>
        <v>0</v>
      </c>
      <c r="Q21" s="2"/>
      <c r="R21" s="19"/>
      <c r="S21" s="2"/>
      <c r="T21" s="2">
        <f>--347.52</f>
        <v>347.52</v>
      </c>
      <c r="U21" s="2"/>
      <c r="V21" s="19"/>
      <c r="W21" s="2"/>
      <c r="X21" s="2">
        <f t="shared" si="2"/>
        <v>-347.52</v>
      </c>
      <c r="Y21" s="2"/>
      <c r="Z21" s="19">
        <f t="shared" si="3"/>
        <v>-1</v>
      </c>
    </row>
    <row r="22" spans="1:26" s="23" customFormat="1" hidden="1" outlineLevel="1" x14ac:dyDescent="0.25">
      <c r="A22" s="44"/>
      <c r="B22" s="10" t="str">
        <f>CONCATENATE("          ", "4018", " - ", "TAXABLE SALES-STUDY GUIDES")</f>
        <v xml:space="preserve">          4018 - TAXABLE SALES-STUDY GUIDES</v>
      </c>
      <c r="C22" s="10"/>
      <c r="D22" s="2">
        <f>--114.01</f>
        <v>114.01</v>
      </c>
      <c r="E22" s="2"/>
      <c r="F22" s="19"/>
      <c r="G22" s="2"/>
      <c r="H22" s="2">
        <f t="shared" si="6"/>
        <v>0</v>
      </c>
      <c r="I22" s="2"/>
      <c r="J22" s="19"/>
      <c r="K22" s="2"/>
      <c r="L22" s="2">
        <f t="shared" si="0"/>
        <v>114.01</v>
      </c>
      <c r="M22" s="2"/>
      <c r="N22" s="19">
        <f t="shared" si="1"/>
        <v>0</v>
      </c>
      <c r="O22" s="10"/>
      <c r="P22" s="2">
        <f>--622.49</f>
        <v>622.49</v>
      </c>
      <c r="Q22" s="2"/>
      <c r="R22" s="19"/>
      <c r="S22" s="2"/>
      <c r="T22" s="2">
        <f>--4179.3</f>
        <v>4179.3</v>
      </c>
      <c r="U22" s="2"/>
      <c r="V22" s="19"/>
      <c r="W22" s="2"/>
      <c r="X22" s="2">
        <f t="shared" si="2"/>
        <v>-3556.8100000000004</v>
      </c>
      <c r="Y22" s="2"/>
      <c r="Z22" s="19">
        <f t="shared" si="3"/>
        <v>-0.85105400425908651</v>
      </c>
    </row>
    <row r="23" spans="1:26" s="23" customFormat="1" hidden="1" outlineLevel="1" x14ac:dyDescent="0.25">
      <c r="A23" s="44"/>
      <c r="B23" s="10" t="str">
        <f>CONCATENATE("          ", "4019", " - ", "TAXABLE SALES-BOOK RELATED")</f>
        <v xml:space="preserve">          4019 - TAXABLE SALES-BOOK RELATED</v>
      </c>
      <c r="C23" s="10"/>
      <c r="D23" s="2">
        <f t="shared" ref="D23:D24" si="7">0</f>
        <v>0</v>
      </c>
      <c r="E23" s="2"/>
      <c r="F23" s="19"/>
      <c r="G23" s="2"/>
      <c r="H23" s="2">
        <f t="shared" si="6"/>
        <v>0</v>
      </c>
      <c r="I23" s="2"/>
      <c r="J23" s="19"/>
      <c r="K23" s="2"/>
      <c r="L23" s="2">
        <f t="shared" si="0"/>
        <v>0</v>
      </c>
      <c r="M23" s="2"/>
      <c r="N23" s="19">
        <f t="shared" si="1"/>
        <v>0</v>
      </c>
      <c r="O23" s="10"/>
      <c r="P23" s="2">
        <f t="shared" ref="P23:P24" si="8">0</f>
        <v>0</v>
      </c>
      <c r="Q23" s="2"/>
      <c r="R23" s="19"/>
      <c r="S23" s="2"/>
      <c r="T23" s="2">
        <f>--42.85</f>
        <v>42.85</v>
      </c>
      <c r="U23" s="2"/>
      <c r="V23" s="19"/>
      <c r="W23" s="2"/>
      <c r="X23" s="2">
        <f t="shared" si="2"/>
        <v>-42.85</v>
      </c>
      <c r="Y23" s="2"/>
      <c r="Z23" s="19">
        <f t="shared" si="3"/>
        <v>-1</v>
      </c>
    </row>
    <row r="24" spans="1:26" s="23" customFormat="1" hidden="1" outlineLevel="1" x14ac:dyDescent="0.25">
      <c r="A24" s="44"/>
      <c r="B24" s="10" t="str">
        <f>CONCATENATE("          ", "4025", " - ", "TAXABLE SALES-TEST FORMS")</f>
        <v xml:space="preserve">          4025 - TAXABLE SALES-TEST FORMS</v>
      </c>
      <c r="C24" s="10"/>
      <c r="D24" s="2">
        <f t="shared" si="7"/>
        <v>0</v>
      </c>
      <c r="E24" s="2"/>
      <c r="F24" s="19"/>
      <c r="G24" s="2"/>
      <c r="H24" s="2">
        <f>--3099.74</f>
        <v>3099.74</v>
      </c>
      <c r="I24" s="2"/>
      <c r="J24" s="19"/>
      <c r="K24" s="2"/>
      <c r="L24" s="2">
        <f t="shared" si="0"/>
        <v>-3099.74</v>
      </c>
      <c r="M24" s="2"/>
      <c r="N24" s="19">
        <f t="shared" si="1"/>
        <v>-1</v>
      </c>
      <c r="O24" s="10"/>
      <c r="P24" s="2">
        <f t="shared" si="8"/>
        <v>0</v>
      </c>
      <c r="Q24" s="2"/>
      <c r="R24" s="19"/>
      <c r="S24" s="2"/>
      <c r="T24" s="2">
        <f>--57819.85</f>
        <v>57819.85</v>
      </c>
      <c r="U24" s="2"/>
      <c r="V24" s="19"/>
      <c r="W24" s="2"/>
      <c r="X24" s="2">
        <f t="shared" si="2"/>
        <v>-57819.85</v>
      </c>
      <c r="Y24" s="2"/>
      <c r="Z24" s="19">
        <f t="shared" si="3"/>
        <v>-1</v>
      </c>
    </row>
    <row r="25" spans="1:26" s="23" customFormat="1" hidden="1" outlineLevel="1" x14ac:dyDescent="0.25">
      <c r="A25" s="44"/>
      <c r="B25" s="10" t="str">
        <f>CONCATENATE("          ", "4026", " - ", "TAXABLE SALES-WRITING INSTRUME")</f>
        <v xml:space="preserve">          4026 - TAXABLE SALES-WRITING INSTRUME</v>
      </c>
      <c r="C25" s="10"/>
      <c r="D25" s="2">
        <f>--25.1</f>
        <v>25.1</v>
      </c>
      <c r="E25" s="2"/>
      <c r="F25" s="19"/>
      <c r="G25" s="2"/>
      <c r="H25" s="2">
        <f>--2531.99</f>
        <v>2531.9899999999998</v>
      </c>
      <c r="I25" s="2"/>
      <c r="J25" s="19"/>
      <c r="K25" s="2"/>
      <c r="L25" s="2">
        <f t="shared" si="0"/>
        <v>-2506.89</v>
      </c>
      <c r="M25" s="2"/>
      <c r="N25" s="19">
        <f t="shared" si="1"/>
        <v>-0.99008684868423658</v>
      </c>
      <c r="O25" s="10"/>
      <c r="P25" s="2">
        <f>--547.64</f>
        <v>547.64</v>
      </c>
      <c r="Q25" s="2"/>
      <c r="R25" s="19"/>
      <c r="S25" s="2"/>
      <c r="T25" s="2">
        <f>--83341.48</f>
        <v>83341.48</v>
      </c>
      <c r="U25" s="2"/>
      <c r="V25" s="19"/>
      <c r="W25" s="2"/>
      <c r="X25" s="2">
        <f t="shared" si="2"/>
        <v>-82793.84</v>
      </c>
      <c r="Y25" s="2"/>
      <c r="Z25" s="19">
        <f t="shared" si="3"/>
        <v>-0.99342896238463729</v>
      </c>
    </row>
    <row r="26" spans="1:26" s="23" customFormat="1" hidden="1" outlineLevel="1" x14ac:dyDescent="0.25">
      <c r="A26" s="44"/>
      <c r="B26" s="10" t="str">
        <f>CONCATENATE("          ", "4027", " - ", "TAXABLE SALES-SCHOOL SUPPLIES")</f>
        <v xml:space="preserve">          4027 - TAXABLE SALES-SCHOOL SUPPLIES</v>
      </c>
      <c r="C26" s="10"/>
      <c r="D26" s="2">
        <f>--3459.71</f>
        <v>3459.71</v>
      </c>
      <c r="E26" s="2"/>
      <c r="F26" s="19"/>
      <c r="G26" s="2"/>
      <c r="H26" s="2">
        <f>--4073.06</f>
        <v>4073.06</v>
      </c>
      <c r="I26" s="2"/>
      <c r="J26" s="19"/>
      <c r="K26" s="2"/>
      <c r="L26" s="2">
        <f t="shared" si="0"/>
        <v>-613.34999999999991</v>
      </c>
      <c r="M26" s="2"/>
      <c r="N26" s="19">
        <f t="shared" si="1"/>
        <v>-0.15058702793477138</v>
      </c>
      <c r="O26" s="10"/>
      <c r="P26" s="2">
        <f>--73564</f>
        <v>73564</v>
      </c>
      <c r="Q26" s="2"/>
      <c r="R26" s="19"/>
      <c r="S26" s="2"/>
      <c r="T26" s="2">
        <f>--280850.13</f>
        <v>280850.13</v>
      </c>
      <c r="U26" s="2"/>
      <c r="V26" s="19"/>
      <c r="W26" s="2"/>
      <c r="X26" s="2">
        <f t="shared" si="2"/>
        <v>-207286.13</v>
      </c>
      <c r="Y26" s="2"/>
      <c r="Z26" s="19">
        <f t="shared" si="3"/>
        <v>-0.73806670482936931</v>
      </c>
    </row>
    <row r="27" spans="1:26" s="23" customFormat="1" hidden="1" outlineLevel="1" x14ac:dyDescent="0.25">
      <c r="A27" s="44"/>
      <c r="B27" s="10" t="str">
        <f>CONCATENATE("          ", "4028", " - ", "TAXABLE SALES-ART/TECH")</f>
        <v xml:space="preserve">          4028 - TAXABLE SALES-ART/TECH</v>
      </c>
      <c r="C27" s="10"/>
      <c r="D27" s="2">
        <f>--2312.88</f>
        <v>2312.88</v>
      </c>
      <c r="E27" s="2"/>
      <c r="F27" s="19"/>
      <c r="G27" s="2"/>
      <c r="H27" s="2">
        <f>--386.59</f>
        <v>386.59</v>
      </c>
      <c r="I27" s="2"/>
      <c r="J27" s="19"/>
      <c r="K27" s="2"/>
      <c r="L27" s="2">
        <f t="shared" si="0"/>
        <v>1926.2900000000002</v>
      </c>
      <c r="M27" s="2"/>
      <c r="N27" s="19">
        <f t="shared" si="1"/>
        <v>4.9827724462608973</v>
      </c>
      <c r="O27" s="10"/>
      <c r="P27" s="2">
        <f>--50708.2</f>
        <v>50708.2</v>
      </c>
      <c r="Q27" s="2"/>
      <c r="R27" s="19"/>
      <c r="S27" s="2"/>
      <c r="T27" s="2">
        <f>--293577.64</f>
        <v>293577.64</v>
      </c>
      <c r="U27" s="2"/>
      <c r="V27" s="19"/>
      <c r="W27" s="2"/>
      <c r="X27" s="2">
        <f t="shared" si="2"/>
        <v>-242869.44</v>
      </c>
      <c r="Y27" s="2"/>
      <c r="Z27" s="19">
        <f t="shared" si="3"/>
        <v>-0.82727499274127281</v>
      </c>
    </row>
    <row r="28" spans="1:26" s="23" customFormat="1" hidden="1" outlineLevel="1" x14ac:dyDescent="0.25">
      <c r="A28" s="44"/>
      <c r="B28" s="10" t="str">
        <f>CONCATENATE("          ", "4031", " - ", "TAXABLE SALES-FOOD")</f>
        <v xml:space="preserve">          4031 - TAXABLE SALES-FOOD</v>
      </c>
      <c r="C28" s="10"/>
      <c r="D28" s="2">
        <f>--380.76</f>
        <v>380.76</v>
      </c>
      <c r="E28" s="2"/>
      <c r="F28" s="19"/>
      <c r="G28" s="2"/>
      <c r="H28" s="2">
        <f t="shared" ref="H28:H33" si="9">0</f>
        <v>0</v>
      </c>
      <c r="I28" s="2"/>
      <c r="J28" s="19"/>
      <c r="K28" s="2"/>
      <c r="L28" s="2">
        <f t="shared" si="0"/>
        <v>380.76</v>
      </c>
      <c r="M28" s="2"/>
      <c r="N28" s="19">
        <f t="shared" si="1"/>
        <v>0</v>
      </c>
      <c r="O28" s="10"/>
      <c r="P28" s="2">
        <f>--5081.47</f>
        <v>5081.47</v>
      </c>
      <c r="Q28" s="2"/>
      <c r="R28" s="19"/>
      <c r="S28" s="2"/>
      <c r="T28" s="2">
        <f>--486.34</f>
        <v>486.34</v>
      </c>
      <c r="U28" s="2"/>
      <c r="V28" s="19"/>
      <c r="W28" s="2"/>
      <c r="X28" s="2">
        <f t="shared" si="2"/>
        <v>4595.13</v>
      </c>
      <c r="Y28" s="2"/>
      <c r="Z28" s="19">
        <f t="shared" si="3"/>
        <v>9.4483900152156934</v>
      </c>
    </row>
    <row r="29" spans="1:26" s="23" customFormat="1" hidden="1" outlineLevel="1" x14ac:dyDescent="0.25">
      <c r="A29" s="44"/>
      <c r="B29" s="10" t="str">
        <f>CONCATENATE("          ", "4032", " - ", "TAXABLE SALES-JUICE")</f>
        <v xml:space="preserve">          4032 - TAXABLE SALES-JUICE</v>
      </c>
      <c r="C29" s="10"/>
      <c r="D29" s="2">
        <f t="shared" ref="D29:D33" si="10">0</f>
        <v>0</v>
      </c>
      <c r="E29" s="2"/>
      <c r="F29" s="19"/>
      <c r="G29" s="2"/>
      <c r="H29" s="2">
        <f t="shared" si="9"/>
        <v>0</v>
      </c>
      <c r="I29" s="2"/>
      <c r="J29" s="19"/>
      <c r="K29" s="2"/>
      <c r="L29" s="2">
        <f t="shared" si="0"/>
        <v>0</v>
      </c>
      <c r="M29" s="2"/>
      <c r="N29" s="19">
        <f t="shared" si="1"/>
        <v>0</v>
      </c>
      <c r="O29" s="10"/>
      <c r="P29" s="2">
        <f>--444.59</f>
        <v>444.59</v>
      </c>
      <c r="Q29" s="2"/>
      <c r="R29" s="19"/>
      <c r="S29" s="2"/>
      <c r="T29" s="2">
        <f>--277654.52</f>
        <v>277654.52</v>
      </c>
      <c r="U29" s="2"/>
      <c r="V29" s="19"/>
      <c r="W29" s="2"/>
      <c r="X29" s="2">
        <f t="shared" si="2"/>
        <v>-277209.93</v>
      </c>
      <c r="Y29" s="2"/>
      <c r="Z29" s="19">
        <f t="shared" si="3"/>
        <v>-0.99839876548741213</v>
      </c>
    </row>
    <row r="30" spans="1:26" s="23" customFormat="1" hidden="1" outlineLevel="1" x14ac:dyDescent="0.25">
      <c r="A30" s="44"/>
      <c r="B30" s="10" t="str">
        <f>CONCATENATE("          ", "4033", " - ", "TAXABLE SALES-CANDY")</f>
        <v xml:space="preserve">          4033 - TAXABLE SALES-CANDY</v>
      </c>
      <c r="C30" s="10"/>
      <c r="D30" s="2">
        <f t="shared" si="10"/>
        <v>0</v>
      </c>
      <c r="E30" s="2"/>
      <c r="F30" s="19"/>
      <c r="G30" s="2"/>
      <c r="H30" s="2">
        <f t="shared" si="9"/>
        <v>0</v>
      </c>
      <c r="I30" s="2"/>
      <c r="J30" s="19"/>
      <c r="K30" s="2"/>
      <c r="L30" s="2">
        <f t="shared" si="0"/>
        <v>0</v>
      </c>
      <c r="M30" s="2"/>
      <c r="N30" s="19">
        <f t="shared" si="1"/>
        <v>0</v>
      </c>
      <c r="O30" s="10"/>
      <c r="P30" s="2">
        <f>0</f>
        <v>0</v>
      </c>
      <c r="Q30" s="2"/>
      <c r="R30" s="19"/>
      <c r="S30" s="2"/>
      <c r="T30" s="2">
        <f>--205.53</f>
        <v>205.53</v>
      </c>
      <c r="U30" s="2"/>
      <c r="V30" s="19"/>
      <c r="W30" s="2"/>
      <c r="X30" s="2">
        <f t="shared" si="2"/>
        <v>-205.53</v>
      </c>
      <c r="Y30" s="2"/>
      <c r="Z30" s="19">
        <f t="shared" si="3"/>
        <v>-1</v>
      </c>
    </row>
    <row r="31" spans="1:26" s="23" customFormat="1" hidden="1" outlineLevel="1" x14ac:dyDescent="0.25">
      <c r="A31" s="44"/>
      <c r="B31" s="10" t="str">
        <f>CONCATENATE("          ", "4034", " - ", "TAXABLE SALES-SODA")</f>
        <v xml:space="preserve">          4034 - TAXABLE SALES-SODA</v>
      </c>
      <c r="C31" s="10"/>
      <c r="D31" s="2">
        <f t="shared" si="10"/>
        <v>0</v>
      </c>
      <c r="E31" s="2"/>
      <c r="F31" s="19"/>
      <c r="G31" s="2"/>
      <c r="H31" s="2">
        <f t="shared" si="9"/>
        <v>0</v>
      </c>
      <c r="I31" s="2"/>
      <c r="J31" s="19"/>
      <c r="K31" s="2"/>
      <c r="L31" s="2">
        <f t="shared" si="0"/>
        <v>0</v>
      </c>
      <c r="M31" s="2"/>
      <c r="N31" s="19">
        <f t="shared" si="1"/>
        <v>0</v>
      </c>
      <c r="O31" s="10"/>
      <c r="P31" s="2">
        <f>--6.78</f>
        <v>6.78</v>
      </c>
      <c r="Q31" s="2"/>
      <c r="R31" s="19"/>
      <c r="S31" s="2"/>
      <c r="T31" s="2">
        <f>--10925.46</f>
        <v>10925.46</v>
      </c>
      <c r="U31" s="2"/>
      <c r="V31" s="19"/>
      <c r="W31" s="2"/>
      <c r="X31" s="2">
        <f t="shared" si="2"/>
        <v>-10918.679999999998</v>
      </c>
      <c r="Y31" s="2"/>
      <c r="Z31" s="19">
        <f t="shared" si="3"/>
        <v>-0.999379431163539</v>
      </c>
    </row>
    <row r="32" spans="1:26" s="23" customFormat="1" hidden="1" outlineLevel="1" x14ac:dyDescent="0.25">
      <c r="A32" s="44"/>
      <c r="B32" s="10" t="str">
        <f>CONCATENATE("          ", "4035", " - ", "TAXABLE SALES-HEALTH &amp; BEAUTY")</f>
        <v xml:space="preserve">          4035 - TAXABLE SALES-HEALTH &amp; BEAUTY</v>
      </c>
      <c r="C32" s="10"/>
      <c r="D32" s="2">
        <f t="shared" si="10"/>
        <v>0</v>
      </c>
      <c r="E32" s="2"/>
      <c r="F32" s="19"/>
      <c r="G32" s="2"/>
      <c r="H32" s="2">
        <f t="shared" si="9"/>
        <v>0</v>
      </c>
      <c r="I32" s="2"/>
      <c r="J32" s="19"/>
      <c r="K32" s="2"/>
      <c r="L32" s="2">
        <f t="shared" si="0"/>
        <v>0</v>
      </c>
      <c r="M32" s="2"/>
      <c r="N32" s="19">
        <f t="shared" si="1"/>
        <v>0</v>
      </c>
      <c r="O32" s="10"/>
      <c r="P32" s="2">
        <f t="shared" ref="P32:P33" si="11">0</f>
        <v>0</v>
      </c>
      <c r="Q32" s="2"/>
      <c r="R32" s="19"/>
      <c r="S32" s="2"/>
      <c r="T32" s="2">
        <f>--1981.84</f>
        <v>1981.84</v>
      </c>
      <c r="U32" s="2"/>
      <c r="V32" s="19"/>
      <c r="W32" s="2"/>
      <c r="X32" s="2">
        <f t="shared" si="2"/>
        <v>-1981.84</v>
      </c>
      <c r="Y32" s="2"/>
      <c r="Z32" s="19">
        <f t="shared" si="3"/>
        <v>-1</v>
      </c>
    </row>
    <row r="33" spans="1:26" s="23" customFormat="1" hidden="1" outlineLevel="1" x14ac:dyDescent="0.25">
      <c r="A33" s="44"/>
      <c r="B33" s="10" t="str">
        <f>CONCATENATE("          ", "4037", " - ", "TAXABLE SALES-WATER")</f>
        <v xml:space="preserve">          4037 - TAXABLE SALES-WATER</v>
      </c>
      <c r="C33" s="10"/>
      <c r="D33" s="2">
        <f t="shared" si="10"/>
        <v>0</v>
      </c>
      <c r="E33" s="2"/>
      <c r="F33" s="19"/>
      <c r="G33" s="2"/>
      <c r="H33" s="2">
        <f t="shared" si="9"/>
        <v>0</v>
      </c>
      <c r="I33" s="2"/>
      <c r="J33" s="19"/>
      <c r="K33" s="2"/>
      <c r="L33" s="2">
        <f t="shared" si="0"/>
        <v>0</v>
      </c>
      <c r="M33" s="2"/>
      <c r="N33" s="19">
        <f t="shared" si="1"/>
        <v>0</v>
      </c>
      <c r="O33" s="10"/>
      <c r="P33" s="2">
        <f t="shared" si="11"/>
        <v>0</v>
      </c>
      <c r="Q33" s="2"/>
      <c r="R33" s="19"/>
      <c r="S33" s="2"/>
      <c r="T33" s="2">
        <f>--513.51</f>
        <v>513.51</v>
      </c>
      <c r="U33" s="2"/>
      <c r="V33" s="19"/>
      <c r="W33" s="2"/>
      <c r="X33" s="2">
        <f t="shared" si="2"/>
        <v>-513.51</v>
      </c>
      <c r="Y33" s="2"/>
      <c r="Z33" s="19">
        <f t="shared" si="3"/>
        <v>-1</v>
      </c>
    </row>
    <row r="34" spans="1:26" s="23" customFormat="1" hidden="1" outlineLevel="1" x14ac:dyDescent="0.25">
      <c r="A34" s="44"/>
      <c r="B34" s="10" t="str">
        <f>CONCATENATE("          ", "4040", " - ", "TAXABLE SALES-LOGO CLOTHING")</f>
        <v xml:space="preserve">          4040 - TAXABLE SALES-LOGO CLOTHING</v>
      </c>
      <c r="C34" s="10"/>
      <c r="D34" s="2">
        <f>--109798.76</f>
        <v>109798.76</v>
      </c>
      <c r="E34" s="2"/>
      <c r="F34" s="19"/>
      <c r="G34" s="2"/>
      <c r="H34" s="2">
        <f>--46364.3</f>
        <v>46364.3</v>
      </c>
      <c r="I34" s="2"/>
      <c r="J34" s="19"/>
      <c r="K34" s="2"/>
      <c r="L34" s="2">
        <f t="shared" si="0"/>
        <v>63434.459999999992</v>
      </c>
      <c r="M34" s="2"/>
      <c r="N34" s="19">
        <f t="shared" si="1"/>
        <v>1.3681746516177316</v>
      </c>
      <c r="O34" s="10"/>
      <c r="P34" s="2">
        <f>--1210378.91</f>
        <v>1210378.9099999999</v>
      </c>
      <c r="Q34" s="2"/>
      <c r="R34" s="19"/>
      <c r="S34" s="2"/>
      <c r="T34" s="2">
        <f>--1941274.42</f>
        <v>1941274.42</v>
      </c>
      <c r="U34" s="2"/>
      <c r="V34" s="19"/>
      <c r="W34" s="2"/>
      <c r="X34" s="2">
        <f t="shared" si="2"/>
        <v>-730895.51</v>
      </c>
      <c r="Y34" s="2"/>
      <c r="Z34" s="19">
        <f t="shared" si="3"/>
        <v>-0.37650293151238251</v>
      </c>
    </row>
    <row r="35" spans="1:26" s="23" customFormat="1" hidden="1" outlineLevel="1" x14ac:dyDescent="0.25">
      <c r="A35" s="44"/>
      <c r="B35" s="10" t="str">
        <f>CONCATENATE("          ", "4041", " - ", "TAXABLE SALES-LOGO GIFTS")</f>
        <v xml:space="preserve">          4041 - TAXABLE SALES-LOGO GIFTS</v>
      </c>
      <c r="C35" s="10"/>
      <c r="D35" s="2">
        <f>--80467.62</f>
        <v>80467.62</v>
      </c>
      <c r="E35" s="2"/>
      <c r="F35" s="19"/>
      <c r="G35" s="2"/>
      <c r="H35" s="2">
        <f>--29904.23</f>
        <v>29904.23</v>
      </c>
      <c r="I35" s="2"/>
      <c r="J35" s="19"/>
      <c r="K35" s="2"/>
      <c r="L35" s="2">
        <f t="shared" si="0"/>
        <v>50563.39</v>
      </c>
      <c r="M35" s="2"/>
      <c r="N35" s="19">
        <f t="shared" si="1"/>
        <v>1.6908440712233688</v>
      </c>
      <c r="O35" s="10"/>
      <c r="P35" s="2">
        <f>--712240.21</f>
        <v>712240.21</v>
      </c>
      <c r="Q35" s="2"/>
      <c r="R35" s="19"/>
      <c r="S35" s="2"/>
      <c r="T35" s="2">
        <f>--556536.79</f>
        <v>556536.79</v>
      </c>
      <c r="U35" s="2"/>
      <c r="V35" s="19"/>
      <c r="W35" s="2"/>
      <c r="X35" s="2">
        <f t="shared" si="2"/>
        <v>155703.41999999993</v>
      </c>
      <c r="Y35" s="2"/>
      <c r="Z35" s="19">
        <f t="shared" si="3"/>
        <v>0.27977201650945649</v>
      </c>
    </row>
    <row r="36" spans="1:26" s="23" customFormat="1" hidden="1" outlineLevel="1" x14ac:dyDescent="0.25">
      <c r="A36" s="44"/>
      <c r="B36" s="10" t="str">
        <f>CONCATENATE("          ", "4042", " - ", "TAXABLE SALES-EVERYDAY GIFTS")</f>
        <v xml:space="preserve">          4042 - TAXABLE SALES-EVERYDAY GIFTS</v>
      </c>
      <c r="C36" s="10"/>
      <c r="D36" s="2">
        <f>--7345.28</f>
        <v>7345.28</v>
      </c>
      <c r="E36" s="2"/>
      <c r="F36" s="19"/>
      <c r="G36" s="2"/>
      <c r="H36" s="2">
        <f>--2836.85</f>
        <v>2836.85</v>
      </c>
      <c r="I36" s="2"/>
      <c r="J36" s="19"/>
      <c r="K36" s="2"/>
      <c r="L36" s="2">
        <f t="shared" si="0"/>
        <v>4508.43</v>
      </c>
      <c r="M36" s="2"/>
      <c r="N36" s="19">
        <f t="shared" si="1"/>
        <v>1.5892380633449072</v>
      </c>
      <c r="O36" s="10"/>
      <c r="P36" s="2">
        <f>--116251.83</f>
        <v>116251.83</v>
      </c>
      <c r="Q36" s="2"/>
      <c r="R36" s="19"/>
      <c r="S36" s="2"/>
      <c r="T36" s="2">
        <f>--285558.05</f>
        <v>285558.05</v>
      </c>
      <c r="U36" s="2"/>
      <c r="V36" s="19"/>
      <c r="W36" s="2"/>
      <c r="X36" s="2">
        <f t="shared" si="2"/>
        <v>-169306.21999999997</v>
      </c>
      <c r="Y36" s="2"/>
      <c r="Z36" s="19">
        <f t="shared" si="3"/>
        <v>-0.59289598034445179</v>
      </c>
    </row>
    <row r="37" spans="1:26" s="23" customFormat="1" hidden="1" outlineLevel="1" x14ac:dyDescent="0.25">
      <c r="A37" s="44"/>
      <c r="B37" s="10" t="str">
        <f>CONCATENATE("          ", "4043", " - ", "TAXABLE SALES-CARDS")</f>
        <v xml:space="preserve">          4043 - TAXABLE SALES-CARDS</v>
      </c>
      <c r="C37" s="10"/>
      <c r="D37" s="2">
        <f>--2949.38</f>
        <v>2949.38</v>
      </c>
      <c r="E37" s="2"/>
      <c r="F37" s="19"/>
      <c r="G37" s="2"/>
      <c r="H37" s="2">
        <f>--54.96</f>
        <v>54.96</v>
      </c>
      <c r="I37" s="2"/>
      <c r="J37" s="19"/>
      <c r="K37" s="2"/>
      <c r="L37" s="2">
        <f t="shared" si="0"/>
        <v>2894.42</v>
      </c>
      <c r="M37" s="2"/>
      <c r="N37" s="19">
        <f t="shared" si="1"/>
        <v>52.664119359534205</v>
      </c>
      <c r="O37" s="10"/>
      <c r="P37" s="2">
        <f>--147027.05</f>
        <v>147027.04999999999</v>
      </c>
      <c r="Q37" s="2"/>
      <c r="R37" s="19"/>
      <c r="S37" s="2"/>
      <c r="T37" s="2">
        <f>--77324.14</f>
        <v>77324.14</v>
      </c>
      <c r="U37" s="2"/>
      <c r="V37" s="19"/>
      <c r="W37" s="2"/>
      <c r="X37" s="2">
        <f t="shared" si="2"/>
        <v>69702.909999999989</v>
      </c>
      <c r="Y37" s="2"/>
      <c r="Z37" s="19">
        <f t="shared" si="3"/>
        <v>0.90143789507390559</v>
      </c>
    </row>
    <row r="38" spans="1:26" s="23" customFormat="1" hidden="1" outlineLevel="1" x14ac:dyDescent="0.25">
      <c r="A38" s="44"/>
      <c r="B38" s="10" t="str">
        <f>CONCATENATE("          ", "4044", " - ", "TAXABLE SALES-ACCESSORIES")</f>
        <v xml:space="preserve">          4044 - TAXABLE SALES-ACCESSORIES</v>
      </c>
      <c r="C38" s="10"/>
      <c r="D38" s="2">
        <f>--2172.33</f>
        <v>2172.33</v>
      </c>
      <c r="E38" s="2"/>
      <c r="F38" s="19"/>
      <c r="G38" s="2"/>
      <c r="H38" s="2">
        <f>--2524.8</f>
        <v>2524.8000000000002</v>
      </c>
      <c r="I38" s="2"/>
      <c r="J38" s="19"/>
      <c r="K38" s="2"/>
      <c r="L38" s="2">
        <f t="shared" si="0"/>
        <v>-352.47000000000025</v>
      </c>
      <c r="M38" s="2"/>
      <c r="N38" s="19">
        <f t="shared" si="1"/>
        <v>-0.13960313688212936</v>
      </c>
      <c r="O38" s="10"/>
      <c r="P38" s="2">
        <f>--43288.66</f>
        <v>43288.66</v>
      </c>
      <c r="Q38" s="2"/>
      <c r="R38" s="19"/>
      <c r="S38" s="2"/>
      <c r="T38" s="2">
        <f>--73780.56</f>
        <v>73780.56</v>
      </c>
      <c r="U38" s="2"/>
      <c r="V38" s="19"/>
      <c r="W38" s="2"/>
      <c r="X38" s="2">
        <f t="shared" si="2"/>
        <v>-30491.899999999994</v>
      </c>
      <c r="Y38" s="2"/>
      <c r="Z38" s="19">
        <f t="shared" si="3"/>
        <v>-0.41327824023021775</v>
      </c>
    </row>
    <row r="39" spans="1:26" s="23" customFormat="1" hidden="1" outlineLevel="1" x14ac:dyDescent="0.25">
      <c r="A39" s="44"/>
      <c r="B39" s="10" t="str">
        <f>CONCATENATE("          ", "4045", " - ", "TAXABLE SALES-SPECIAL ORDERS")</f>
        <v xml:space="preserve">          4045 - TAXABLE SALES-SPECIAL ORDERS</v>
      </c>
      <c r="C39" s="10"/>
      <c r="D39" s="2">
        <f>--81300.55</f>
        <v>81300.55</v>
      </c>
      <c r="E39" s="2"/>
      <c r="F39" s="19"/>
      <c r="G39" s="2"/>
      <c r="H39" s="2">
        <f>--26263.53</f>
        <v>26263.53</v>
      </c>
      <c r="I39" s="2"/>
      <c r="J39" s="19"/>
      <c r="K39" s="2"/>
      <c r="L39" s="2">
        <f t="shared" si="0"/>
        <v>55037.020000000004</v>
      </c>
      <c r="M39" s="2"/>
      <c r="N39" s="19">
        <f t="shared" si="1"/>
        <v>2.0955682651951206</v>
      </c>
      <c r="O39" s="10"/>
      <c r="P39" s="2">
        <f>--314878.48</f>
        <v>314878.48</v>
      </c>
      <c r="Q39" s="2"/>
      <c r="R39" s="19"/>
      <c r="S39" s="2"/>
      <c r="T39" s="2">
        <f>--123103.09</f>
        <v>123103.09</v>
      </c>
      <c r="U39" s="2"/>
      <c r="V39" s="19"/>
      <c r="W39" s="2"/>
      <c r="X39" s="2">
        <f t="shared" si="2"/>
        <v>191775.38999999998</v>
      </c>
      <c r="Y39" s="2"/>
      <c r="Z39" s="19">
        <f t="shared" si="3"/>
        <v>1.5578438364138543</v>
      </c>
    </row>
    <row r="40" spans="1:26" s="23" customFormat="1" hidden="1" outlineLevel="1" x14ac:dyDescent="0.25">
      <c r="A40" s="44"/>
      <c r="B40" s="10" t="str">
        <f>CONCATENATE("          ", "4047", " - ", "TAXABLE SALES-MISC")</f>
        <v xml:space="preserve">          4047 - TAXABLE SALES-MISC</v>
      </c>
      <c r="C40" s="10"/>
      <c r="D40" s="2">
        <f t="shared" ref="D40:D46" si="12">0</f>
        <v>0</v>
      </c>
      <c r="E40" s="2"/>
      <c r="F40" s="19"/>
      <c r="G40" s="2"/>
      <c r="H40" s="2">
        <f t="shared" ref="H40:H45" si="13">0</f>
        <v>0</v>
      </c>
      <c r="I40" s="2"/>
      <c r="J40" s="19"/>
      <c r="K40" s="2"/>
      <c r="L40" s="2">
        <f t="shared" si="0"/>
        <v>0</v>
      </c>
      <c r="M40" s="2"/>
      <c r="N40" s="19">
        <f t="shared" si="1"/>
        <v>0</v>
      </c>
      <c r="O40" s="10"/>
      <c r="P40" s="2">
        <f t="shared" ref="P40:P41" si="14">0</f>
        <v>0</v>
      </c>
      <c r="Q40" s="2"/>
      <c r="R40" s="19"/>
      <c r="S40" s="2"/>
      <c r="T40" s="2">
        <f>--2676.14</f>
        <v>2676.14</v>
      </c>
      <c r="U40" s="2"/>
      <c r="V40" s="19"/>
      <c r="W40" s="2"/>
      <c r="X40" s="2">
        <f t="shared" si="2"/>
        <v>-2676.14</v>
      </c>
      <c r="Y40" s="2"/>
      <c r="Z40" s="19">
        <f t="shared" si="3"/>
        <v>-1</v>
      </c>
    </row>
    <row r="41" spans="1:26" s="23" customFormat="1" hidden="1" outlineLevel="1" x14ac:dyDescent="0.25">
      <c r="A41" s="44"/>
      <c r="B41" s="10" t="str">
        <f>CONCATENATE("          ", "4051", " - ", "TAXABLE SALES-FOOD")</f>
        <v xml:space="preserve">          4051 - TAXABLE SALES-FOOD</v>
      </c>
      <c r="C41" s="10"/>
      <c r="D41" s="2">
        <f t="shared" si="12"/>
        <v>0</v>
      </c>
      <c r="E41" s="2"/>
      <c r="F41" s="19"/>
      <c r="G41" s="2"/>
      <c r="H41" s="2">
        <f t="shared" si="13"/>
        <v>0</v>
      </c>
      <c r="I41" s="2"/>
      <c r="J41" s="19"/>
      <c r="K41" s="2"/>
      <c r="L41" s="2">
        <f t="shared" si="0"/>
        <v>0</v>
      </c>
      <c r="M41" s="2"/>
      <c r="N41" s="19">
        <f t="shared" si="1"/>
        <v>0</v>
      </c>
      <c r="O41" s="10"/>
      <c r="P41" s="2">
        <f t="shared" si="14"/>
        <v>0</v>
      </c>
      <c r="Q41" s="2"/>
      <c r="R41" s="19"/>
      <c r="S41" s="2"/>
      <c r="T41" s="2">
        <f>--149404.53</f>
        <v>149404.53</v>
      </c>
      <c r="U41" s="2"/>
      <c r="V41" s="19"/>
      <c r="W41" s="2"/>
      <c r="X41" s="2">
        <f t="shared" si="2"/>
        <v>-149404.53</v>
      </c>
      <c r="Y41" s="2"/>
      <c r="Z41" s="19">
        <f t="shared" si="3"/>
        <v>-1</v>
      </c>
    </row>
    <row r="42" spans="1:26" s="23" customFormat="1" hidden="1" outlineLevel="1" x14ac:dyDescent="0.25">
      <c r="A42" s="44"/>
      <c r="B42" s="10" t="str">
        <f>CONCATENATE("          ", "4081", " - ", "TAXABLE SALES-ELECTRONICS")</f>
        <v xml:space="preserve">          4081 - TAXABLE SALES-ELECTRONICS</v>
      </c>
      <c r="C42" s="10"/>
      <c r="D42" s="2">
        <f t="shared" si="12"/>
        <v>0</v>
      </c>
      <c r="E42" s="2"/>
      <c r="F42" s="19"/>
      <c r="G42" s="2"/>
      <c r="H42" s="2">
        <f t="shared" si="13"/>
        <v>0</v>
      </c>
      <c r="I42" s="2"/>
      <c r="J42" s="19"/>
      <c r="K42" s="2"/>
      <c r="L42" s="2">
        <f t="shared" si="0"/>
        <v>0</v>
      </c>
      <c r="M42" s="2"/>
      <c r="N42" s="19">
        <f t="shared" si="1"/>
        <v>0</v>
      </c>
      <c r="O42" s="10"/>
      <c r="P42" s="2">
        <f>--71.95</f>
        <v>71.95</v>
      </c>
      <c r="Q42" s="2"/>
      <c r="R42" s="19"/>
      <c r="S42" s="2"/>
      <c r="T42" s="2">
        <f>--3174.93</f>
        <v>3174.93</v>
      </c>
      <c r="U42" s="2"/>
      <c r="V42" s="19"/>
      <c r="W42" s="2"/>
      <c r="X42" s="2">
        <f t="shared" si="2"/>
        <v>-3102.98</v>
      </c>
      <c r="Y42" s="2"/>
      <c r="Z42" s="19">
        <f t="shared" si="3"/>
        <v>-0.97733808304435066</v>
      </c>
    </row>
    <row r="43" spans="1:26" s="23" customFormat="1" hidden="1" outlineLevel="1" x14ac:dyDescent="0.25">
      <c r="A43" s="44"/>
      <c r="B43" s="10" t="str">
        <f>CONCATENATE("          ", "4082", " - ", "TAXABLE SALES-COMPUTER HARDWAR")</f>
        <v xml:space="preserve">          4082 - TAXABLE SALES-COMPUTER HARDWAR</v>
      </c>
      <c r="C43" s="10"/>
      <c r="D43" s="2">
        <f t="shared" si="12"/>
        <v>0</v>
      </c>
      <c r="E43" s="2"/>
      <c r="F43" s="19"/>
      <c r="G43" s="2"/>
      <c r="H43" s="2">
        <f t="shared" si="13"/>
        <v>0</v>
      </c>
      <c r="I43" s="2"/>
      <c r="J43" s="19"/>
      <c r="K43" s="2"/>
      <c r="L43" s="2">
        <f t="shared" si="0"/>
        <v>0</v>
      </c>
      <c r="M43" s="2"/>
      <c r="N43" s="19">
        <f t="shared" si="1"/>
        <v>0</v>
      </c>
      <c r="O43" s="10"/>
      <c r="P43" s="2">
        <f>0</f>
        <v>0</v>
      </c>
      <c r="Q43" s="2"/>
      <c r="R43" s="19"/>
      <c r="S43" s="2"/>
      <c r="T43" s="2">
        <f>--363.94</f>
        <v>363.94</v>
      </c>
      <c r="U43" s="2"/>
      <c r="V43" s="19"/>
      <c r="W43" s="2"/>
      <c r="X43" s="2">
        <f t="shared" si="2"/>
        <v>-363.94</v>
      </c>
      <c r="Y43" s="2"/>
      <c r="Z43" s="19">
        <f t="shared" si="3"/>
        <v>-1</v>
      </c>
    </row>
    <row r="44" spans="1:26" s="23" customFormat="1" hidden="1" outlineLevel="1" x14ac:dyDescent="0.25">
      <c r="A44" s="44"/>
      <c r="B44" s="10" t="str">
        <f>CONCATENATE("          ", "4083", " - ", "TAXABLE SALES-COMPUTER EQUIPME")</f>
        <v xml:space="preserve">          4083 - TAXABLE SALES-COMPUTER EQUIPME</v>
      </c>
      <c r="C44" s="10"/>
      <c r="D44" s="2">
        <f t="shared" si="12"/>
        <v>0</v>
      </c>
      <c r="E44" s="2"/>
      <c r="F44" s="19"/>
      <c r="G44" s="2"/>
      <c r="H44" s="2">
        <f t="shared" si="13"/>
        <v>0</v>
      </c>
      <c r="I44" s="2"/>
      <c r="J44" s="19"/>
      <c r="K44" s="2"/>
      <c r="L44" s="2">
        <f t="shared" si="0"/>
        <v>0</v>
      </c>
      <c r="M44" s="2"/>
      <c r="N44" s="19">
        <f t="shared" si="1"/>
        <v>0</v>
      </c>
      <c r="O44" s="10"/>
      <c r="P44" s="2">
        <f>--9.99</f>
        <v>9.99</v>
      </c>
      <c r="Q44" s="2"/>
      <c r="R44" s="19"/>
      <c r="S44" s="2"/>
      <c r="T44" s="2">
        <f>--914.33</f>
        <v>914.33</v>
      </c>
      <c r="U44" s="2"/>
      <c r="V44" s="19"/>
      <c r="W44" s="2"/>
      <c r="X44" s="2">
        <f t="shared" si="2"/>
        <v>-904.34</v>
      </c>
      <c r="Y44" s="2"/>
      <c r="Z44" s="19">
        <f t="shared" si="3"/>
        <v>-0.98907396672973646</v>
      </c>
    </row>
    <row r="45" spans="1:26" s="23" customFormat="1" hidden="1" outlineLevel="1" x14ac:dyDescent="0.25">
      <c r="A45" s="44"/>
      <c r="B45" s="10" t="str">
        <f>CONCATENATE("          ", "4086", " - ", "TAXABLE SALES-COMPUTER SUPPLIE")</f>
        <v xml:space="preserve">          4086 - TAXABLE SALES-COMPUTER SUPPLIE</v>
      </c>
      <c r="C45" s="10"/>
      <c r="D45" s="2">
        <f t="shared" si="12"/>
        <v>0</v>
      </c>
      <c r="E45" s="2"/>
      <c r="F45" s="19"/>
      <c r="G45" s="2"/>
      <c r="H45" s="2">
        <f t="shared" si="13"/>
        <v>0</v>
      </c>
      <c r="I45" s="2"/>
      <c r="J45" s="19"/>
      <c r="K45" s="2"/>
      <c r="L45" s="2">
        <f t="shared" si="0"/>
        <v>0</v>
      </c>
      <c r="M45" s="2"/>
      <c r="N45" s="19">
        <f t="shared" si="1"/>
        <v>0</v>
      </c>
      <c r="O45" s="10"/>
      <c r="P45" s="2">
        <f t="shared" ref="P45:P46" si="15">0</f>
        <v>0</v>
      </c>
      <c r="Q45" s="2"/>
      <c r="R45" s="19"/>
      <c r="S45" s="2"/>
      <c r="T45" s="2">
        <f>--813.74</f>
        <v>813.74</v>
      </c>
      <c r="U45" s="2"/>
      <c r="V45" s="19"/>
      <c r="W45" s="2"/>
      <c r="X45" s="2">
        <f t="shared" si="2"/>
        <v>-813.74</v>
      </c>
      <c r="Y45" s="2"/>
      <c r="Z45" s="19">
        <f t="shared" si="3"/>
        <v>-1</v>
      </c>
    </row>
    <row r="46" spans="1:26" s="23" customFormat="1" hidden="1" outlineLevel="1" x14ac:dyDescent="0.25">
      <c r="A46" s="44"/>
      <c r="B46" s="10" t="str">
        <f>CONCATENATE("          ", "4092", " - ", "TAXABLE SALES-GRAD MERCH")</f>
        <v xml:space="preserve">          4092 - TAXABLE SALES-GRAD MERCH</v>
      </c>
      <c r="C46" s="10"/>
      <c r="D46" s="2">
        <f t="shared" si="12"/>
        <v>0</v>
      </c>
      <c r="E46" s="2"/>
      <c r="F46" s="19"/>
      <c r="G46" s="2"/>
      <c r="H46" s="2">
        <f>--6332.23</f>
        <v>6332.23</v>
      </c>
      <c r="I46" s="2"/>
      <c r="J46" s="19"/>
      <c r="K46" s="2"/>
      <c r="L46" s="2">
        <f t="shared" si="0"/>
        <v>-6332.23</v>
      </c>
      <c r="M46" s="2"/>
      <c r="N46" s="19">
        <f t="shared" si="1"/>
        <v>-1</v>
      </c>
      <c r="O46" s="10"/>
      <c r="P46" s="2">
        <f t="shared" si="15"/>
        <v>0</v>
      </c>
      <c r="Q46" s="2"/>
      <c r="R46" s="19"/>
      <c r="S46" s="2"/>
      <c r="T46" s="2">
        <f>--41685.94</f>
        <v>41685.94</v>
      </c>
      <c r="U46" s="2"/>
      <c r="V46" s="19"/>
      <c r="W46" s="2"/>
      <c r="X46" s="2">
        <f t="shared" si="2"/>
        <v>-41685.94</v>
      </c>
      <c r="Y46" s="2"/>
      <c r="Z46" s="19">
        <f t="shared" si="3"/>
        <v>-1</v>
      </c>
    </row>
    <row r="47" spans="1:26" s="23" customFormat="1" hidden="1" outlineLevel="1" x14ac:dyDescent="0.25">
      <c r="A47" s="44"/>
      <c r="B47" s="10" t="str">
        <f>CONCATENATE("          ", "4095", " - ", "TAXABLE SALES-CUSTOMER SERVICE")</f>
        <v xml:space="preserve">          4095 - TAXABLE SALES-CUSTOMER SERVICE</v>
      </c>
      <c r="C47" s="10"/>
      <c r="D47" s="2">
        <f>--1688.17</f>
        <v>1688.17</v>
      </c>
      <c r="E47" s="2"/>
      <c r="F47" s="19"/>
      <c r="G47" s="2"/>
      <c r="H47" s="2">
        <f>0</f>
        <v>0</v>
      </c>
      <c r="I47" s="2"/>
      <c r="J47" s="19"/>
      <c r="K47" s="2"/>
      <c r="L47" s="2">
        <f t="shared" si="0"/>
        <v>1688.17</v>
      </c>
      <c r="M47" s="2"/>
      <c r="N47" s="19">
        <f t="shared" si="1"/>
        <v>0</v>
      </c>
      <c r="O47" s="10"/>
      <c r="P47" s="2">
        <f>--15614</f>
        <v>15614</v>
      </c>
      <c r="Q47" s="2"/>
      <c r="R47" s="19"/>
      <c r="S47" s="2"/>
      <c r="T47" s="2">
        <f>--309.26</f>
        <v>309.26</v>
      </c>
      <c r="U47" s="2"/>
      <c r="V47" s="19"/>
      <c r="W47" s="2"/>
      <c r="X47" s="2">
        <f t="shared" si="2"/>
        <v>15304.74</v>
      </c>
      <c r="Y47" s="2"/>
      <c r="Z47" s="19">
        <f t="shared" si="3"/>
        <v>49.488262303563346</v>
      </c>
    </row>
    <row r="48" spans="1:26" s="23" customFormat="1" hidden="1" outlineLevel="1" x14ac:dyDescent="0.25">
      <c r="A48" s="44"/>
      <c r="B48" s="10" t="str">
        <f>CONCATENATE("          ", "4100", " - ", "NON-TAXABLE SALES")</f>
        <v xml:space="preserve">          4100 - NON-TAXABLE SALES</v>
      </c>
      <c r="C48" s="10"/>
      <c r="D48" s="2">
        <f>-14487.2</f>
        <v>-14487.2</v>
      </c>
      <c r="E48" s="2"/>
      <c r="F48" s="19"/>
      <c r="G48" s="2"/>
      <c r="H48" s="2">
        <f>-16200.52</f>
        <v>-16200.52</v>
      </c>
      <c r="I48" s="2"/>
      <c r="J48" s="19"/>
      <c r="K48" s="2"/>
      <c r="L48" s="2">
        <f t="shared" si="0"/>
        <v>1713.3199999999997</v>
      </c>
      <c r="M48" s="2"/>
      <c r="N48" s="19">
        <f t="shared" si="1"/>
        <v>-0.10575709915484192</v>
      </c>
      <c r="O48" s="10"/>
      <c r="P48" s="2">
        <f>--262897.78</f>
        <v>262897.78000000003</v>
      </c>
      <c r="Q48" s="2"/>
      <c r="R48" s="19"/>
      <c r="S48" s="2"/>
      <c r="T48" s="2">
        <f>--591246.5</f>
        <v>591246.5</v>
      </c>
      <c r="U48" s="2"/>
      <c r="V48" s="19"/>
      <c r="W48" s="2"/>
      <c r="X48" s="2">
        <f t="shared" si="2"/>
        <v>-328348.71999999997</v>
      </c>
      <c r="Y48" s="2"/>
      <c r="Z48" s="19">
        <f t="shared" si="3"/>
        <v>-0.55534995978834545</v>
      </c>
    </row>
    <row r="49" spans="1:26" s="23" customFormat="1" hidden="1" outlineLevel="1" x14ac:dyDescent="0.25">
      <c r="A49" s="44"/>
      <c r="B49" s="10" t="str">
        <f>CONCATENATE("          ", "4101", " - ", "NON-TAXABLE SALES-NEW TEXT")</f>
        <v xml:space="preserve">          4101 - NON-TAXABLE SALES-NEW TEXT</v>
      </c>
      <c r="C49" s="10"/>
      <c r="D49" s="2">
        <f>--1301.39</f>
        <v>1301.3900000000001</v>
      </c>
      <c r="E49" s="2"/>
      <c r="F49" s="19"/>
      <c r="G49" s="2"/>
      <c r="H49" s="2">
        <f>--2671.34</f>
        <v>2671.34</v>
      </c>
      <c r="I49" s="2"/>
      <c r="J49" s="19"/>
      <c r="K49" s="2"/>
      <c r="L49" s="2">
        <f t="shared" si="0"/>
        <v>-1369.95</v>
      </c>
      <c r="M49" s="2"/>
      <c r="N49" s="19">
        <f t="shared" si="1"/>
        <v>-0.51283251102442973</v>
      </c>
      <c r="O49" s="10"/>
      <c r="P49" s="2">
        <f>--120548.46</f>
        <v>120548.46</v>
      </c>
      <c r="Q49" s="2"/>
      <c r="R49" s="19"/>
      <c r="S49" s="2"/>
      <c r="T49" s="2">
        <f>--153953.68</f>
        <v>153953.68</v>
      </c>
      <c r="U49" s="2"/>
      <c r="V49" s="19"/>
      <c r="W49" s="2"/>
      <c r="X49" s="2">
        <f t="shared" si="2"/>
        <v>-33405.219999999987</v>
      </c>
      <c r="Y49" s="2"/>
      <c r="Z49" s="19">
        <f t="shared" si="3"/>
        <v>-0.21698227674713583</v>
      </c>
    </row>
    <row r="50" spans="1:26" s="23" customFormat="1" hidden="1" outlineLevel="1" x14ac:dyDescent="0.25">
      <c r="A50" s="44"/>
      <c r="B50" s="10" t="str">
        <f>CONCATENATE("          ", "4102", " - ", "NON-TAXABLE SALES-USED TEXT")</f>
        <v xml:space="preserve">          4102 - NON-TAXABLE SALES-USED TEXT</v>
      </c>
      <c r="C50" s="10"/>
      <c r="D50" s="2">
        <f>--540.91</f>
        <v>540.91</v>
      </c>
      <c r="E50" s="2"/>
      <c r="F50" s="19"/>
      <c r="G50" s="2"/>
      <c r="H50" s="2">
        <f>--1718.15</f>
        <v>1718.15</v>
      </c>
      <c r="I50" s="2"/>
      <c r="J50" s="19"/>
      <c r="K50" s="2"/>
      <c r="L50" s="2">
        <f t="shared" si="0"/>
        <v>-1177.2400000000002</v>
      </c>
      <c r="M50" s="2"/>
      <c r="N50" s="19">
        <f t="shared" si="1"/>
        <v>-0.68517882606291658</v>
      </c>
      <c r="O50" s="10"/>
      <c r="P50" s="2">
        <f>--51587.64</f>
        <v>51587.64</v>
      </c>
      <c r="Q50" s="2"/>
      <c r="R50" s="19"/>
      <c r="S50" s="2"/>
      <c r="T50" s="2">
        <f>--71943.61</f>
        <v>71943.61</v>
      </c>
      <c r="U50" s="2"/>
      <c r="V50" s="19"/>
      <c r="W50" s="2"/>
      <c r="X50" s="2">
        <f t="shared" si="2"/>
        <v>-20355.97</v>
      </c>
      <c r="Y50" s="2"/>
      <c r="Z50" s="19">
        <f t="shared" si="3"/>
        <v>-0.28294340525864631</v>
      </c>
    </row>
    <row r="51" spans="1:26" s="23" customFormat="1" hidden="1" outlineLevel="1" x14ac:dyDescent="0.25">
      <c r="A51" s="44"/>
      <c r="B51" s="10" t="str">
        <f>CONCATENATE("          ", "4103", " - ", "NON-TAXABLE SALES-RENTAL TEXT")</f>
        <v xml:space="preserve">          4103 - NON-TAXABLE SALES-RENTAL TEXT</v>
      </c>
      <c r="C51" s="10"/>
      <c r="D51" s="2">
        <f>0</f>
        <v>0</v>
      </c>
      <c r="E51" s="2"/>
      <c r="F51" s="19"/>
      <c r="G51" s="2"/>
      <c r="H51" s="2">
        <f>0</f>
        <v>0</v>
      </c>
      <c r="I51" s="2"/>
      <c r="J51" s="19"/>
      <c r="K51" s="2"/>
      <c r="L51" s="2">
        <f t="shared" si="0"/>
        <v>0</v>
      </c>
      <c r="M51" s="2"/>
      <c r="N51" s="19">
        <f t="shared" si="1"/>
        <v>0</v>
      </c>
      <c r="O51" s="10"/>
      <c r="P51" s="2">
        <f>--1138.95</f>
        <v>1138.95</v>
      </c>
      <c r="Q51" s="2"/>
      <c r="R51" s="19"/>
      <c r="S51" s="2"/>
      <c r="T51" s="2">
        <f>--664.97</f>
        <v>664.97</v>
      </c>
      <c r="U51" s="2"/>
      <c r="V51" s="19"/>
      <c r="W51" s="2"/>
      <c r="X51" s="2">
        <f t="shared" si="2"/>
        <v>473.98</v>
      </c>
      <c r="Y51" s="2"/>
      <c r="Z51" s="19">
        <f t="shared" si="3"/>
        <v>0.71278403537001667</v>
      </c>
    </row>
    <row r="52" spans="1:26" s="23" customFormat="1" hidden="1" outlineLevel="1" x14ac:dyDescent="0.25">
      <c r="A52" s="44"/>
      <c r="B52" s="10" t="str">
        <f>CONCATENATE("          ", "4104", " - ", "NON-TAXABLE SALES-DIGITAL TEXT")</f>
        <v xml:space="preserve">          4104 - NON-TAXABLE SALES-DIGITAL TEXT</v>
      </c>
      <c r="C52" s="10"/>
      <c r="D52" s="2">
        <f>--695.53</f>
        <v>695.53</v>
      </c>
      <c r="E52" s="2"/>
      <c r="F52" s="19"/>
      <c r="G52" s="2"/>
      <c r="H52" s="2">
        <f>--1836.93</f>
        <v>1836.93</v>
      </c>
      <c r="I52" s="2"/>
      <c r="J52" s="19"/>
      <c r="K52" s="2"/>
      <c r="L52" s="2">
        <f t="shared" si="0"/>
        <v>-1141.4000000000001</v>
      </c>
      <c r="M52" s="2"/>
      <c r="N52" s="19">
        <f t="shared" si="1"/>
        <v>-0.62136281730931497</v>
      </c>
      <c r="O52" s="10"/>
      <c r="P52" s="2">
        <f>--491583.26</f>
        <v>491583.26</v>
      </c>
      <c r="Q52" s="2"/>
      <c r="R52" s="19"/>
      <c r="S52" s="2"/>
      <c r="T52" s="2">
        <f>--533640.31</f>
        <v>533640.31000000006</v>
      </c>
      <c r="U52" s="2"/>
      <c r="V52" s="19"/>
      <c r="W52" s="2"/>
      <c r="X52" s="2">
        <f t="shared" si="2"/>
        <v>-42057.050000000047</v>
      </c>
      <c r="Y52" s="2"/>
      <c r="Z52" s="19">
        <f t="shared" si="3"/>
        <v>-7.8811606267150322E-2</v>
      </c>
    </row>
    <row r="53" spans="1:26" s="23" customFormat="1" hidden="1" outlineLevel="1" x14ac:dyDescent="0.25">
      <c r="A53" s="44"/>
      <c r="B53" s="10" t="str">
        <f>CONCATENATE("          ", "4111", " - ", "NON-TAXABLE SALES-NO VALUE TEX")</f>
        <v xml:space="preserve">          4111 - NON-TAXABLE SALES-NO VALUE TEX</v>
      </c>
      <c r="C53" s="10"/>
      <c r="D53" s="2">
        <f t="shared" ref="D53:D55" si="16">0</f>
        <v>0</v>
      </c>
      <c r="E53" s="2"/>
      <c r="F53" s="19"/>
      <c r="G53" s="2"/>
      <c r="H53" s="2">
        <f>--679.21</f>
        <v>679.21</v>
      </c>
      <c r="I53" s="2"/>
      <c r="J53" s="19"/>
      <c r="K53" s="2"/>
      <c r="L53" s="2">
        <f t="shared" si="0"/>
        <v>-679.21</v>
      </c>
      <c r="M53" s="2"/>
      <c r="N53" s="19">
        <f t="shared" si="1"/>
        <v>-1</v>
      </c>
      <c r="O53" s="10"/>
      <c r="P53" s="2">
        <f>0</f>
        <v>0</v>
      </c>
      <c r="Q53" s="2"/>
      <c r="R53" s="19"/>
      <c r="S53" s="2"/>
      <c r="T53" s="2">
        <f>--16342.67</f>
        <v>16342.67</v>
      </c>
      <c r="U53" s="2"/>
      <c r="V53" s="19"/>
      <c r="W53" s="2"/>
      <c r="X53" s="2">
        <f t="shared" si="2"/>
        <v>-16342.67</v>
      </c>
      <c r="Y53" s="2"/>
      <c r="Z53" s="19">
        <f t="shared" si="3"/>
        <v>-1</v>
      </c>
    </row>
    <row r="54" spans="1:26" s="23" customFormat="1" hidden="1" outlineLevel="1" x14ac:dyDescent="0.25">
      <c r="A54" s="44"/>
      <c r="B54" s="10" t="str">
        <f>CONCATENATE("          ", "4113", " - ", "NON-TAXABLE SALES-TRADE BOOKS")</f>
        <v xml:space="preserve">          4113 - NON-TAXABLE SALES-TRADE BOOKS</v>
      </c>
      <c r="C54" s="10"/>
      <c r="D54" s="2">
        <f t="shared" si="16"/>
        <v>0</v>
      </c>
      <c r="E54" s="2"/>
      <c r="F54" s="19"/>
      <c r="G54" s="2"/>
      <c r="H54" s="2">
        <f t="shared" ref="H54:H55" si="17">0</f>
        <v>0</v>
      </c>
      <c r="I54" s="2"/>
      <c r="J54" s="19"/>
      <c r="K54" s="2"/>
      <c r="L54" s="2">
        <f t="shared" si="0"/>
        <v>0</v>
      </c>
      <c r="M54" s="2"/>
      <c r="N54" s="19">
        <f t="shared" si="1"/>
        <v>0</v>
      </c>
      <c r="O54" s="10"/>
      <c r="P54" s="2">
        <f>--12127.25</f>
        <v>12127.25</v>
      </c>
      <c r="Q54" s="2"/>
      <c r="R54" s="19"/>
      <c r="S54" s="2"/>
      <c r="T54" s="2">
        <f>--8266.16</f>
        <v>8266.16</v>
      </c>
      <c r="U54" s="2"/>
      <c r="V54" s="19"/>
      <c r="W54" s="2"/>
      <c r="X54" s="2">
        <f t="shared" si="2"/>
        <v>3861.09</v>
      </c>
      <c r="Y54" s="2"/>
      <c r="Z54" s="19">
        <f t="shared" si="3"/>
        <v>0.46709596717218155</v>
      </c>
    </row>
    <row r="55" spans="1:26" s="23" customFormat="1" hidden="1" outlineLevel="1" x14ac:dyDescent="0.25">
      <c r="A55" s="44"/>
      <c r="B55" s="10" t="str">
        <f>CONCATENATE("          ", "4114", " - ", "NON-TAXABLE SALES-REMAINDERS")</f>
        <v xml:space="preserve">          4114 - NON-TAXABLE SALES-REMAINDERS</v>
      </c>
      <c r="C55" s="10"/>
      <c r="D55" s="2">
        <f t="shared" si="16"/>
        <v>0</v>
      </c>
      <c r="E55" s="2"/>
      <c r="F55" s="19"/>
      <c r="G55" s="2"/>
      <c r="H55" s="2">
        <f t="shared" si="17"/>
        <v>0</v>
      </c>
      <c r="I55" s="2"/>
      <c r="J55" s="19"/>
      <c r="K55" s="2"/>
      <c r="L55" s="2">
        <f t="shared" si="0"/>
        <v>0</v>
      </c>
      <c r="M55" s="2"/>
      <c r="N55" s="19">
        <f t="shared" si="1"/>
        <v>0</v>
      </c>
      <c r="O55" s="10"/>
      <c r="P55" s="2">
        <f>0</f>
        <v>0</v>
      </c>
      <c r="Q55" s="2"/>
      <c r="R55" s="19"/>
      <c r="S55" s="2"/>
      <c r="T55" s="2">
        <f>--3.19</f>
        <v>3.19</v>
      </c>
      <c r="U55" s="2"/>
      <c r="V55" s="19"/>
      <c r="W55" s="2"/>
      <c r="X55" s="2">
        <f t="shared" si="2"/>
        <v>-3.19</v>
      </c>
      <c r="Y55" s="2"/>
      <c r="Z55" s="19">
        <f t="shared" si="3"/>
        <v>-1</v>
      </c>
    </row>
    <row r="56" spans="1:26" s="23" customFormat="1" hidden="1" outlineLevel="1" x14ac:dyDescent="0.25">
      <c r="A56" s="44"/>
      <c r="B56" s="10" t="str">
        <f>CONCATENATE("          ", "4118", " - ", "NON-TAXABLE SALES-STUDY GUIDES")</f>
        <v xml:space="preserve">          4118 - NON-TAXABLE SALES-STUDY GUIDES</v>
      </c>
      <c r="C56" s="10"/>
      <c r="D56" s="2">
        <f>--594.22</f>
        <v>594.22</v>
      </c>
      <c r="E56" s="2"/>
      <c r="F56" s="19"/>
      <c r="G56" s="2"/>
      <c r="H56" s="2">
        <f>--10.09</f>
        <v>10.09</v>
      </c>
      <c r="I56" s="2"/>
      <c r="J56" s="19"/>
      <c r="K56" s="2"/>
      <c r="L56" s="2">
        <f t="shared" si="0"/>
        <v>584.13</v>
      </c>
      <c r="M56" s="2"/>
      <c r="N56" s="19">
        <f t="shared" si="1"/>
        <v>57.891972249752229</v>
      </c>
      <c r="O56" s="10"/>
      <c r="P56" s="2">
        <f>--1365.95</f>
        <v>1365.95</v>
      </c>
      <c r="Q56" s="2"/>
      <c r="R56" s="19"/>
      <c r="S56" s="2"/>
      <c r="T56" s="2">
        <f>--126.03</f>
        <v>126.03</v>
      </c>
      <c r="U56" s="2"/>
      <c r="V56" s="19"/>
      <c r="W56" s="2"/>
      <c r="X56" s="2">
        <f t="shared" si="2"/>
        <v>1239.92</v>
      </c>
      <c r="Y56" s="2"/>
      <c r="Z56" s="19">
        <f t="shared" si="3"/>
        <v>9.8382924700468148</v>
      </c>
    </row>
    <row r="57" spans="1:26" s="23" customFormat="1" hidden="1" outlineLevel="1" x14ac:dyDescent="0.25">
      <c r="A57" s="44"/>
      <c r="B57" s="10" t="str">
        <f>CONCATENATE("          ", "4125", " - ", "NON-TAXABLE SALES-TEST FORMS")</f>
        <v xml:space="preserve">          4125 - NON-TAXABLE SALES-TEST FORMS</v>
      </c>
      <c r="C57" s="10"/>
      <c r="D57" s="2">
        <f t="shared" ref="D57:D58" si="18">0</f>
        <v>0</v>
      </c>
      <c r="E57" s="2"/>
      <c r="F57" s="19"/>
      <c r="G57" s="2"/>
      <c r="H57" s="2">
        <f>--185</f>
        <v>185</v>
      </c>
      <c r="I57" s="2"/>
      <c r="J57" s="19"/>
      <c r="K57" s="2"/>
      <c r="L57" s="2">
        <f t="shared" si="0"/>
        <v>-185</v>
      </c>
      <c r="M57" s="2"/>
      <c r="N57" s="19">
        <f t="shared" si="1"/>
        <v>-1</v>
      </c>
      <c r="O57" s="10"/>
      <c r="P57" s="2">
        <f>0</f>
        <v>0</v>
      </c>
      <c r="Q57" s="2"/>
      <c r="R57" s="19"/>
      <c r="S57" s="2"/>
      <c r="T57" s="2">
        <f>--452.61</f>
        <v>452.61</v>
      </c>
      <c r="U57" s="2"/>
      <c r="V57" s="19"/>
      <c r="W57" s="2"/>
      <c r="X57" s="2">
        <f t="shared" si="2"/>
        <v>-452.61</v>
      </c>
      <c r="Y57" s="2"/>
      <c r="Z57" s="19">
        <f t="shared" si="3"/>
        <v>-1</v>
      </c>
    </row>
    <row r="58" spans="1:26" s="23" customFormat="1" hidden="1" outlineLevel="1" x14ac:dyDescent="0.25">
      <c r="A58" s="44"/>
      <c r="B58" s="10" t="str">
        <f>CONCATENATE("          ", "4126", " - ", "NON-TAXABLE SALES-WRITING INST")</f>
        <v xml:space="preserve">          4126 - NON-TAXABLE SALES-WRITING INST</v>
      </c>
      <c r="C58" s="10"/>
      <c r="D58" s="2">
        <f t="shared" si="18"/>
        <v>0</v>
      </c>
      <c r="E58" s="2"/>
      <c r="F58" s="19"/>
      <c r="G58" s="2"/>
      <c r="H58" s="2">
        <f>--168.02</f>
        <v>168.02</v>
      </c>
      <c r="I58" s="2"/>
      <c r="J58" s="19"/>
      <c r="K58" s="2"/>
      <c r="L58" s="2">
        <f t="shared" si="0"/>
        <v>-168.02</v>
      </c>
      <c r="M58" s="2"/>
      <c r="N58" s="19">
        <f t="shared" si="1"/>
        <v>-1</v>
      </c>
      <c r="O58" s="10"/>
      <c r="P58" s="2">
        <f>--52.68</f>
        <v>52.68</v>
      </c>
      <c r="Q58" s="2"/>
      <c r="R58" s="19"/>
      <c r="S58" s="2"/>
      <c r="T58" s="2">
        <f>--3301.44</f>
        <v>3301.44</v>
      </c>
      <c r="U58" s="2"/>
      <c r="V58" s="19"/>
      <c r="W58" s="2"/>
      <c r="X58" s="2">
        <f t="shared" si="2"/>
        <v>-3248.76</v>
      </c>
      <c r="Y58" s="2"/>
      <c r="Z58" s="19">
        <f t="shared" si="3"/>
        <v>-0.98404332654841531</v>
      </c>
    </row>
    <row r="59" spans="1:26" s="23" customFormat="1" hidden="1" outlineLevel="1" x14ac:dyDescent="0.25">
      <c r="A59" s="44"/>
      <c r="B59" s="10" t="str">
        <f>CONCATENATE("          ", "4127", " - ", "NON-TAXABLE SALES-SCHOOL SUPPL")</f>
        <v xml:space="preserve">          4127 - NON-TAXABLE SALES-SCHOOL SUPPL</v>
      </c>
      <c r="C59" s="10"/>
      <c r="D59" s="2">
        <f>--99.87</f>
        <v>99.87</v>
      </c>
      <c r="E59" s="2"/>
      <c r="F59" s="19"/>
      <c r="G59" s="2"/>
      <c r="H59" s="2">
        <f>--97.62</f>
        <v>97.62</v>
      </c>
      <c r="I59" s="2"/>
      <c r="J59" s="19"/>
      <c r="K59" s="2"/>
      <c r="L59" s="2">
        <f t="shared" si="0"/>
        <v>2.25</v>
      </c>
      <c r="M59" s="2"/>
      <c r="N59" s="19">
        <f t="shared" si="1"/>
        <v>2.3048555623847573E-2</v>
      </c>
      <c r="O59" s="10"/>
      <c r="P59" s="2">
        <f>--7748.6</f>
        <v>7748.6</v>
      </c>
      <c r="Q59" s="2"/>
      <c r="R59" s="19"/>
      <c r="S59" s="2"/>
      <c r="T59" s="2">
        <f>--6471.33</f>
        <v>6471.33</v>
      </c>
      <c r="U59" s="2"/>
      <c r="V59" s="19"/>
      <c r="W59" s="2"/>
      <c r="X59" s="2">
        <f t="shared" si="2"/>
        <v>1277.2700000000004</v>
      </c>
      <c r="Y59" s="2"/>
      <c r="Z59" s="19">
        <f t="shared" si="3"/>
        <v>0.19737364653015693</v>
      </c>
    </row>
    <row r="60" spans="1:26" s="23" customFormat="1" hidden="1" outlineLevel="1" x14ac:dyDescent="0.25">
      <c r="A60" s="44"/>
      <c r="B60" s="10" t="str">
        <f>CONCATENATE("          ", "4128", " - ", "NON-TAXABLE SALES-ART/TECH")</f>
        <v xml:space="preserve">          4128 - NON-TAXABLE SALES-ART/TECH</v>
      </c>
      <c r="C60" s="10"/>
      <c r="D60" s="2">
        <f>0</f>
        <v>0</v>
      </c>
      <c r="E60" s="2"/>
      <c r="F60" s="19"/>
      <c r="G60" s="2"/>
      <c r="H60" s="2">
        <f>--0.74</f>
        <v>0.74</v>
      </c>
      <c r="I60" s="2"/>
      <c r="J60" s="19"/>
      <c r="K60" s="2"/>
      <c r="L60" s="2">
        <f t="shared" si="0"/>
        <v>-0.74</v>
      </c>
      <c r="M60" s="2"/>
      <c r="N60" s="19">
        <f t="shared" si="1"/>
        <v>-1</v>
      </c>
      <c r="O60" s="10"/>
      <c r="P60" s="2">
        <f>--115.91</f>
        <v>115.91</v>
      </c>
      <c r="Q60" s="2"/>
      <c r="R60" s="19"/>
      <c r="S60" s="2"/>
      <c r="T60" s="2">
        <f>--731.36</f>
        <v>731.36</v>
      </c>
      <c r="U60" s="2"/>
      <c r="V60" s="19"/>
      <c r="W60" s="2"/>
      <c r="X60" s="2">
        <f t="shared" si="2"/>
        <v>-615.45000000000005</v>
      </c>
      <c r="Y60" s="2"/>
      <c r="Z60" s="19">
        <f t="shared" si="3"/>
        <v>-0.84151443885364252</v>
      </c>
    </row>
    <row r="61" spans="1:26" s="23" customFormat="1" hidden="1" outlineLevel="1" x14ac:dyDescent="0.25">
      <c r="A61" s="44"/>
      <c r="B61" s="10" t="str">
        <f>CONCATENATE("          ", "4131", " - ", "NON-TAXABLE SALES-FOOD")</f>
        <v xml:space="preserve">          4131 - NON-TAXABLE SALES-FOOD</v>
      </c>
      <c r="C61" s="10"/>
      <c r="D61" s="2">
        <f>--540.62</f>
        <v>540.62</v>
      </c>
      <c r="E61" s="2"/>
      <c r="F61" s="19"/>
      <c r="G61" s="2"/>
      <c r="H61" s="2">
        <f>--64.14</f>
        <v>64.14</v>
      </c>
      <c r="I61" s="2"/>
      <c r="J61" s="19"/>
      <c r="K61" s="2"/>
      <c r="L61" s="2">
        <f t="shared" si="0"/>
        <v>476.48</v>
      </c>
      <c r="M61" s="2"/>
      <c r="N61" s="19">
        <f t="shared" si="1"/>
        <v>7.4287496102276274</v>
      </c>
      <c r="O61" s="10"/>
      <c r="P61" s="2">
        <f>--12696.76</f>
        <v>12696.76</v>
      </c>
      <c r="Q61" s="2"/>
      <c r="R61" s="19"/>
      <c r="S61" s="2"/>
      <c r="T61" s="2">
        <f>--57960.32</f>
        <v>57960.32</v>
      </c>
      <c r="U61" s="2"/>
      <c r="V61" s="19"/>
      <c r="W61" s="2"/>
      <c r="X61" s="2">
        <f t="shared" si="2"/>
        <v>-45263.56</v>
      </c>
      <c r="Y61" s="2"/>
      <c r="Z61" s="19">
        <f t="shared" si="3"/>
        <v>-0.78094047789936283</v>
      </c>
    </row>
    <row r="62" spans="1:26" s="23" customFormat="1" hidden="1" outlineLevel="1" x14ac:dyDescent="0.25">
      <c r="A62" s="44"/>
      <c r="B62" s="10" t="str">
        <f>CONCATENATE("          ", "4132", " - ", "NON-TAXABLE SALES-JUICE")</f>
        <v xml:space="preserve">          4132 - NON-TAXABLE SALES-JUICE</v>
      </c>
      <c r="C62" s="10"/>
      <c r="D62" s="2">
        <f t="shared" ref="D62:D66" si="19">0</f>
        <v>0</v>
      </c>
      <c r="E62" s="2"/>
      <c r="F62" s="19"/>
      <c r="G62" s="2"/>
      <c r="H62" s="2">
        <f>--114.48</f>
        <v>114.48</v>
      </c>
      <c r="I62" s="2"/>
      <c r="J62" s="19"/>
      <c r="K62" s="2"/>
      <c r="L62" s="2">
        <f t="shared" si="0"/>
        <v>-114.48</v>
      </c>
      <c r="M62" s="2"/>
      <c r="N62" s="19">
        <f t="shared" si="1"/>
        <v>-1</v>
      </c>
      <c r="O62" s="10"/>
      <c r="P62" s="2">
        <f>--2054.37</f>
        <v>2054.37</v>
      </c>
      <c r="Q62" s="2"/>
      <c r="R62" s="19"/>
      <c r="S62" s="2"/>
      <c r="T62" s="2">
        <f>--1110092.26</f>
        <v>1110092.26</v>
      </c>
      <c r="U62" s="2"/>
      <c r="V62" s="19"/>
      <c r="W62" s="2"/>
      <c r="X62" s="2">
        <f t="shared" si="2"/>
        <v>-1108037.8899999999</v>
      </c>
      <c r="Y62" s="2"/>
      <c r="Z62" s="19">
        <f t="shared" si="3"/>
        <v>-0.99814937003524362</v>
      </c>
    </row>
    <row r="63" spans="1:26" s="23" customFormat="1" hidden="1" outlineLevel="1" x14ac:dyDescent="0.25">
      <c r="A63" s="44"/>
      <c r="B63" s="10" t="str">
        <f>CONCATENATE("          ", "4133", " - ", "NON-TAXABLE SALES-CANDY")</f>
        <v xml:space="preserve">          4133 - NON-TAXABLE SALES-CANDY</v>
      </c>
      <c r="C63" s="10"/>
      <c r="D63" s="2">
        <f t="shared" si="19"/>
        <v>0</v>
      </c>
      <c r="E63" s="2"/>
      <c r="F63" s="19"/>
      <c r="G63" s="2"/>
      <c r="H63" s="2">
        <f>--13.47</f>
        <v>13.47</v>
      </c>
      <c r="I63" s="2"/>
      <c r="J63" s="19"/>
      <c r="K63" s="2"/>
      <c r="L63" s="2">
        <f t="shared" si="0"/>
        <v>-13.47</v>
      </c>
      <c r="M63" s="2"/>
      <c r="N63" s="19">
        <f t="shared" si="1"/>
        <v>-1</v>
      </c>
      <c r="O63" s="10"/>
      <c r="P63" s="2">
        <f>--80.71</f>
        <v>80.709999999999994</v>
      </c>
      <c r="Q63" s="2"/>
      <c r="R63" s="19"/>
      <c r="S63" s="2"/>
      <c r="T63" s="2">
        <f>--18151.79</f>
        <v>18151.79</v>
      </c>
      <c r="U63" s="2"/>
      <c r="V63" s="19"/>
      <c r="W63" s="2"/>
      <c r="X63" s="2">
        <f t="shared" si="2"/>
        <v>-18071.080000000002</v>
      </c>
      <c r="Y63" s="2"/>
      <c r="Z63" s="19">
        <f t="shared" si="3"/>
        <v>-0.99555360655891245</v>
      </c>
    </row>
    <row r="64" spans="1:26" s="23" customFormat="1" hidden="1" outlineLevel="1" x14ac:dyDescent="0.25">
      <c r="A64" s="44"/>
      <c r="B64" s="10" t="str">
        <f>CONCATENATE("          ", "4134", " - ", "NON-TAXABLE SALES-SODA")</f>
        <v xml:space="preserve">          4134 - NON-TAXABLE SALES-SODA</v>
      </c>
      <c r="C64" s="10"/>
      <c r="D64" s="2">
        <f t="shared" si="19"/>
        <v>0</v>
      </c>
      <c r="E64" s="2"/>
      <c r="F64" s="19"/>
      <c r="G64" s="2"/>
      <c r="H64" s="2">
        <f>--4.99</f>
        <v>4.99</v>
      </c>
      <c r="I64" s="2"/>
      <c r="J64" s="19"/>
      <c r="K64" s="2"/>
      <c r="L64" s="2">
        <f t="shared" si="0"/>
        <v>-4.99</v>
      </c>
      <c r="M64" s="2"/>
      <c r="N64" s="19">
        <f t="shared" si="1"/>
        <v>-1</v>
      </c>
      <c r="O64" s="10"/>
      <c r="P64" s="2">
        <f>--45.53</f>
        <v>45.53</v>
      </c>
      <c r="Q64" s="2"/>
      <c r="R64" s="19"/>
      <c r="S64" s="2"/>
      <c r="T64" s="2">
        <f>--101.72</f>
        <v>101.72</v>
      </c>
      <c r="U64" s="2"/>
      <c r="V64" s="19"/>
      <c r="W64" s="2"/>
      <c r="X64" s="2">
        <f t="shared" si="2"/>
        <v>-56.19</v>
      </c>
      <c r="Y64" s="2"/>
      <c r="Z64" s="19">
        <f t="shared" si="3"/>
        <v>-0.55239874164372782</v>
      </c>
    </row>
    <row r="65" spans="1:26" s="23" customFormat="1" hidden="1" outlineLevel="1" x14ac:dyDescent="0.25">
      <c r="A65" s="44"/>
      <c r="B65" s="10" t="str">
        <f>CONCATENATE("          ", "4135", " - ", "NON-TAXABLE SALES")</f>
        <v xml:space="preserve">          4135 - NON-TAXABLE SALES</v>
      </c>
      <c r="C65" s="10"/>
      <c r="D65" s="2">
        <f t="shared" si="19"/>
        <v>0</v>
      </c>
      <c r="E65" s="2"/>
      <c r="F65" s="19"/>
      <c r="G65" s="2"/>
      <c r="H65" s="2">
        <f t="shared" ref="H65:H66" si="20">0</f>
        <v>0</v>
      </c>
      <c r="I65" s="2"/>
      <c r="J65" s="19"/>
      <c r="K65" s="2"/>
      <c r="L65" s="2">
        <f t="shared" si="0"/>
        <v>0</v>
      </c>
      <c r="M65" s="2"/>
      <c r="N65" s="19">
        <f t="shared" si="1"/>
        <v>0</v>
      </c>
      <c r="O65" s="10"/>
      <c r="P65" s="2">
        <f>0</f>
        <v>0</v>
      </c>
      <c r="Q65" s="2"/>
      <c r="R65" s="19"/>
      <c r="S65" s="2"/>
      <c r="T65" s="2">
        <f>--161.4</f>
        <v>161.4</v>
      </c>
      <c r="U65" s="2"/>
      <c r="V65" s="19"/>
      <c r="W65" s="2"/>
      <c r="X65" s="2">
        <f t="shared" si="2"/>
        <v>-161.4</v>
      </c>
      <c r="Y65" s="2"/>
      <c r="Z65" s="19">
        <f t="shared" si="3"/>
        <v>-1</v>
      </c>
    </row>
    <row r="66" spans="1:26" s="23" customFormat="1" hidden="1" outlineLevel="1" x14ac:dyDescent="0.25">
      <c r="A66" s="44"/>
      <c r="B66" s="10" t="str">
        <f>CONCATENATE("          ", "4137", " - ", "NON-TAXABLE SALES-WATER")</f>
        <v xml:space="preserve">          4137 - NON-TAXABLE SALES-WATER</v>
      </c>
      <c r="C66" s="10"/>
      <c r="D66" s="2">
        <f t="shared" si="19"/>
        <v>0</v>
      </c>
      <c r="E66" s="2"/>
      <c r="F66" s="19"/>
      <c r="G66" s="2"/>
      <c r="H66" s="2">
        <f t="shared" si="20"/>
        <v>0</v>
      </c>
      <c r="I66" s="2"/>
      <c r="J66" s="19"/>
      <c r="K66" s="2"/>
      <c r="L66" s="2">
        <f t="shared" si="0"/>
        <v>0</v>
      </c>
      <c r="M66" s="2"/>
      <c r="N66" s="19">
        <f t="shared" si="1"/>
        <v>0</v>
      </c>
      <c r="O66" s="10"/>
      <c r="P66" s="2">
        <f>--68.25</f>
        <v>68.25</v>
      </c>
      <c r="Q66" s="2"/>
      <c r="R66" s="19"/>
      <c r="S66" s="2"/>
      <c r="T66" s="2">
        <f>--10094.74</f>
        <v>10094.74</v>
      </c>
      <c r="U66" s="2"/>
      <c r="V66" s="19"/>
      <c r="W66" s="2"/>
      <c r="X66" s="2">
        <f t="shared" si="2"/>
        <v>-10026.49</v>
      </c>
      <c r="Y66" s="2"/>
      <c r="Z66" s="19">
        <f t="shared" si="3"/>
        <v>-0.99323905320988948</v>
      </c>
    </row>
    <row r="67" spans="1:26" s="23" customFormat="1" hidden="1" outlineLevel="1" x14ac:dyDescent="0.25">
      <c r="A67" s="44"/>
      <c r="B67" s="10" t="str">
        <f>CONCATENATE("          ", "4140", " - ", "NON-TAXABLE SALES-LOGO CLOTHIN")</f>
        <v xml:space="preserve">          4140 - NON-TAXABLE SALES-LOGO CLOTHIN</v>
      </c>
      <c r="C67" s="10"/>
      <c r="D67" s="2">
        <f>--9520.45</f>
        <v>9520.4500000000007</v>
      </c>
      <c r="E67" s="2"/>
      <c r="F67" s="19"/>
      <c r="G67" s="2"/>
      <c r="H67" s="2">
        <f>--40740.37</f>
        <v>40740.370000000003</v>
      </c>
      <c r="I67" s="2"/>
      <c r="J67" s="19"/>
      <c r="K67" s="2"/>
      <c r="L67" s="2">
        <f t="shared" si="0"/>
        <v>-31219.920000000002</v>
      </c>
      <c r="M67" s="2"/>
      <c r="N67" s="19">
        <f t="shared" si="1"/>
        <v>-0.76631410073104389</v>
      </c>
      <c r="O67" s="10"/>
      <c r="P67" s="2">
        <f>--181046.21</f>
        <v>181046.21</v>
      </c>
      <c r="Q67" s="2"/>
      <c r="R67" s="19"/>
      <c r="S67" s="2"/>
      <c r="T67" s="2">
        <f>--176221.13</f>
        <v>176221.13</v>
      </c>
      <c r="U67" s="2"/>
      <c r="V67" s="19"/>
      <c r="W67" s="2"/>
      <c r="X67" s="2">
        <f t="shared" si="2"/>
        <v>4825.0799999999872</v>
      </c>
      <c r="Y67" s="2"/>
      <c r="Z67" s="19">
        <f t="shared" si="3"/>
        <v>2.7380825443577551E-2</v>
      </c>
    </row>
    <row r="68" spans="1:26" s="23" customFormat="1" hidden="1" outlineLevel="1" x14ac:dyDescent="0.25">
      <c r="A68" s="44"/>
      <c r="B68" s="10" t="str">
        <f>CONCATENATE("          ", "4141", " - ", "NON-TAXABLE SALES-LOGO GIFTS")</f>
        <v xml:space="preserve">          4141 - NON-TAXABLE SALES-LOGO GIFTS</v>
      </c>
      <c r="C68" s="10"/>
      <c r="D68" s="2">
        <f>-25127.54</f>
        <v>-25127.54</v>
      </c>
      <c r="E68" s="2"/>
      <c r="F68" s="19"/>
      <c r="G68" s="2"/>
      <c r="H68" s="2">
        <f>--6641.14</f>
        <v>6641.14</v>
      </c>
      <c r="I68" s="2"/>
      <c r="J68" s="19"/>
      <c r="K68" s="2"/>
      <c r="L68" s="2">
        <f t="shared" si="0"/>
        <v>-31768.68</v>
      </c>
      <c r="M68" s="2"/>
      <c r="N68" s="19">
        <f t="shared" si="1"/>
        <v>-4.7836184751413162</v>
      </c>
      <c r="O68" s="10"/>
      <c r="P68" s="2">
        <f>--14028.49</f>
        <v>14028.49</v>
      </c>
      <c r="Q68" s="2"/>
      <c r="R68" s="19"/>
      <c r="S68" s="2"/>
      <c r="T68" s="2">
        <f>--23601.45</f>
        <v>23601.45</v>
      </c>
      <c r="U68" s="2"/>
      <c r="V68" s="19"/>
      <c r="W68" s="2"/>
      <c r="X68" s="2">
        <f t="shared" si="2"/>
        <v>-9572.9600000000009</v>
      </c>
      <c r="Y68" s="2"/>
      <c r="Z68" s="19">
        <f t="shared" si="3"/>
        <v>-0.40560897741452329</v>
      </c>
    </row>
    <row r="69" spans="1:26" s="23" customFormat="1" hidden="1" outlineLevel="1" x14ac:dyDescent="0.25">
      <c r="A69" s="44"/>
      <c r="B69" s="10" t="str">
        <f>CONCATENATE("          ", "4142", " - ", "NON-TAXABLE SALES-EVERYDAY GIF")</f>
        <v xml:space="preserve">          4142 - NON-TAXABLE SALES-EVERYDAY GIF</v>
      </c>
      <c r="C69" s="10"/>
      <c r="D69" s="2">
        <f>--54.07</f>
        <v>54.07</v>
      </c>
      <c r="E69" s="2"/>
      <c r="F69" s="19"/>
      <c r="G69" s="2"/>
      <c r="H69" s="2">
        <f>--4067.95</f>
        <v>4067.95</v>
      </c>
      <c r="I69" s="2"/>
      <c r="J69" s="19"/>
      <c r="K69" s="2"/>
      <c r="L69" s="2">
        <f t="shared" si="0"/>
        <v>-4013.8799999999997</v>
      </c>
      <c r="M69" s="2"/>
      <c r="N69" s="19">
        <f t="shared" si="1"/>
        <v>-0.98670829287478945</v>
      </c>
      <c r="O69" s="10"/>
      <c r="P69" s="2">
        <f>--2658.52</f>
        <v>2658.52</v>
      </c>
      <c r="Q69" s="2"/>
      <c r="R69" s="19"/>
      <c r="S69" s="2"/>
      <c r="T69" s="2">
        <f>--19400.17</f>
        <v>19400.169999999998</v>
      </c>
      <c r="U69" s="2"/>
      <c r="V69" s="19"/>
      <c r="W69" s="2"/>
      <c r="X69" s="2">
        <f t="shared" si="2"/>
        <v>-16741.649999999998</v>
      </c>
      <c r="Y69" s="2"/>
      <c r="Z69" s="19">
        <f t="shared" si="3"/>
        <v>-0.86296408742809982</v>
      </c>
    </row>
    <row r="70" spans="1:26" s="23" customFormat="1" hidden="1" outlineLevel="1" x14ac:dyDescent="0.25">
      <c r="A70" s="44"/>
      <c r="B70" s="10" t="str">
        <f>CONCATENATE("          ", "4143", " - ", "NON-TAXABLE SALES-CARDS")</f>
        <v xml:space="preserve">          4143 - NON-TAXABLE SALES-CARDS</v>
      </c>
      <c r="C70" s="10"/>
      <c r="D70" s="2">
        <f>--9.95</f>
        <v>9.9499999999999993</v>
      </c>
      <c r="E70" s="2"/>
      <c r="F70" s="19"/>
      <c r="G70" s="2"/>
      <c r="H70" s="2">
        <f>0</f>
        <v>0</v>
      </c>
      <c r="I70" s="2"/>
      <c r="J70" s="19"/>
      <c r="K70" s="2"/>
      <c r="L70" s="2">
        <f t="shared" si="0"/>
        <v>9.9499999999999993</v>
      </c>
      <c r="M70" s="2"/>
      <c r="N70" s="19">
        <f t="shared" si="1"/>
        <v>0</v>
      </c>
      <c r="O70" s="10"/>
      <c r="P70" s="2">
        <f>--2562.11</f>
        <v>2562.11</v>
      </c>
      <c r="Q70" s="2"/>
      <c r="R70" s="19"/>
      <c r="S70" s="2"/>
      <c r="T70" s="2">
        <f>--19.98</f>
        <v>19.98</v>
      </c>
      <c r="U70" s="2"/>
      <c r="V70" s="19"/>
      <c r="W70" s="2"/>
      <c r="X70" s="2">
        <f t="shared" si="2"/>
        <v>2542.13</v>
      </c>
      <c r="Y70" s="2"/>
      <c r="Z70" s="19">
        <f t="shared" si="3"/>
        <v>127.23373373373374</v>
      </c>
    </row>
    <row r="71" spans="1:26" s="23" customFormat="1" hidden="1" outlineLevel="1" x14ac:dyDescent="0.25">
      <c r="A71" s="44"/>
      <c r="B71" s="10" t="str">
        <f>CONCATENATE("          ", "4144", " - ", "NON-TAXABLE SALES-ACCESSORIES")</f>
        <v xml:space="preserve">          4144 - NON-TAXABLE SALES-ACCESSORIES</v>
      </c>
      <c r="C71" s="10"/>
      <c r="D71" s="2">
        <f>--129.75</f>
        <v>129.75</v>
      </c>
      <c r="E71" s="2"/>
      <c r="F71" s="19"/>
      <c r="G71" s="2"/>
      <c r="H71" s="2">
        <f>--386.9</f>
        <v>386.9</v>
      </c>
      <c r="I71" s="2"/>
      <c r="J71" s="19"/>
      <c r="K71" s="2"/>
      <c r="L71" s="2">
        <f t="shared" si="0"/>
        <v>-257.14999999999998</v>
      </c>
      <c r="M71" s="2"/>
      <c r="N71" s="19">
        <f t="shared" si="1"/>
        <v>-0.66464202636340142</v>
      </c>
      <c r="O71" s="10"/>
      <c r="P71" s="2">
        <f>--1003.55</f>
        <v>1003.55</v>
      </c>
      <c r="Q71" s="2"/>
      <c r="R71" s="19"/>
      <c r="S71" s="2"/>
      <c r="T71" s="2">
        <f>--3710.92</f>
        <v>3710.92</v>
      </c>
      <c r="U71" s="2"/>
      <c r="V71" s="19"/>
      <c r="W71" s="2"/>
      <c r="X71" s="2">
        <f t="shared" si="2"/>
        <v>-2707.37</v>
      </c>
      <c r="Y71" s="2"/>
      <c r="Z71" s="19">
        <f t="shared" si="3"/>
        <v>-0.72956840891207564</v>
      </c>
    </row>
    <row r="72" spans="1:26" s="23" customFormat="1" hidden="1" outlineLevel="1" x14ac:dyDescent="0.25">
      <c r="A72" s="44"/>
      <c r="B72" s="10" t="str">
        <f>CONCATENATE("          ", "4145", " - ", "NON-TAXABLE SALES-SPECIAL ORDE")</f>
        <v xml:space="preserve">          4145 - NON-TAXABLE SALES-SPECIAL ORDE</v>
      </c>
      <c r="C72" s="10"/>
      <c r="D72" s="2">
        <f>--30</f>
        <v>30</v>
      </c>
      <c r="E72" s="2"/>
      <c r="F72" s="19"/>
      <c r="G72" s="2"/>
      <c r="H72" s="2">
        <f>--19379.5</f>
        <v>19379.5</v>
      </c>
      <c r="I72" s="2"/>
      <c r="J72" s="19"/>
      <c r="K72" s="2"/>
      <c r="L72" s="2">
        <f t="shared" si="0"/>
        <v>-19349.5</v>
      </c>
      <c r="M72" s="2"/>
      <c r="N72" s="19">
        <f t="shared" si="1"/>
        <v>-0.99845197244510953</v>
      </c>
      <c r="O72" s="10"/>
      <c r="P72" s="2">
        <f>--74096.89</f>
        <v>74096.89</v>
      </c>
      <c r="Q72" s="2"/>
      <c r="R72" s="19"/>
      <c r="S72" s="2"/>
      <c r="T72" s="2">
        <f>--27208.18</f>
        <v>27208.18</v>
      </c>
      <c r="U72" s="2"/>
      <c r="V72" s="19"/>
      <c r="W72" s="2"/>
      <c r="X72" s="2">
        <f t="shared" si="2"/>
        <v>46888.71</v>
      </c>
      <c r="Y72" s="2"/>
      <c r="Z72" s="19">
        <f t="shared" si="3"/>
        <v>1.7233313657877887</v>
      </c>
    </row>
    <row r="73" spans="1:26" s="23" customFormat="1" hidden="1" outlineLevel="1" x14ac:dyDescent="0.25">
      <c r="A73" s="44"/>
      <c r="B73" s="10" t="str">
        <f>CONCATENATE("          ", "4146", " - ", "NON-TAXABLE SALES-COIN OP MACH")</f>
        <v xml:space="preserve">          4146 - NON-TAXABLE SALES-COIN OP MACH</v>
      </c>
      <c r="C73" s="10"/>
      <c r="D73" s="2">
        <f>--282.2</f>
        <v>282.2</v>
      </c>
      <c r="E73" s="2"/>
      <c r="F73" s="19"/>
      <c r="G73" s="2"/>
      <c r="H73" s="2">
        <f t="shared" ref="H73:H79" si="21">0</f>
        <v>0</v>
      </c>
      <c r="I73" s="2"/>
      <c r="J73" s="19"/>
      <c r="K73" s="2"/>
      <c r="L73" s="2">
        <f t="shared" si="0"/>
        <v>282.2</v>
      </c>
      <c r="M73" s="2"/>
      <c r="N73" s="19">
        <f t="shared" si="1"/>
        <v>0</v>
      </c>
      <c r="O73" s="10"/>
      <c r="P73" s="2">
        <f>--668.1</f>
        <v>668.1</v>
      </c>
      <c r="Q73" s="2"/>
      <c r="R73" s="19"/>
      <c r="S73" s="2"/>
      <c r="T73" s="2">
        <f>--205908.65</f>
        <v>205908.65</v>
      </c>
      <c r="U73" s="2"/>
      <c r="V73" s="19"/>
      <c r="W73" s="2"/>
      <c r="X73" s="2">
        <f t="shared" si="2"/>
        <v>-205240.55</v>
      </c>
      <c r="Y73" s="2"/>
      <c r="Z73" s="19">
        <f t="shared" si="3"/>
        <v>-0.99675535729072084</v>
      </c>
    </row>
    <row r="74" spans="1:26" s="23" customFormat="1" hidden="1" outlineLevel="1" x14ac:dyDescent="0.25">
      <c r="A74" s="44"/>
      <c r="B74" s="10" t="str">
        <f>CONCATENATE("          ", "4147", " - ", "NON-TAXABLE SALES-MISC")</f>
        <v xml:space="preserve">          4147 - NON-TAXABLE SALES-MISC</v>
      </c>
      <c r="C74" s="10"/>
      <c r="D74" s="2">
        <f>--4</f>
        <v>4</v>
      </c>
      <c r="E74" s="2"/>
      <c r="F74" s="19"/>
      <c r="G74" s="2"/>
      <c r="H74" s="2">
        <f t="shared" si="21"/>
        <v>0</v>
      </c>
      <c r="I74" s="2"/>
      <c r="J74" s="19"/>
      <c r="K74" s="2"/>
      <c r="L74" s="2">
        <f t="shared" si="0"/>
        <v>4</v>
      </c>
      <c r="M74" s="2"/>
      <c r="N74" s="19">
        <f t="shared" si="1"/>
        <v>0</v>
      </c>
      <c r="O74" s="10"/>
      <c r="P74" s="2">
        <f>--172</f>
        <v>172</v>
      </c>
      <c r="Q74" s="2"/>
      <c r="R74" s="19"/>
      <c r="S74" s="2"/>
      <c r="T74" s="2">
        <f>--3446.37</f>
        <v>3446.37</v>
      </c>
      <c r="U74" s="2"/>
      <c r="V74" s="19"/>
      <c r="W74" s="2"/>
      <c r="X74" s="2">
        <f t="shared" si="2"/>
        <v>-3274.37</v>
      </c>
      <c r="Y74" s="2"/>
      <c r="Z74" s="19">
        <f t="shared" si="3"/>
        <v>-0.95009241607836648</v>
      </c>
    </row>
    <row r="75" spans="1:26" s="23" customFormat="1" hidden="1" outlineLevel="1" x14ac:dyDescent="0.25">
      <c r="A75" s="44"/>
      <c r="B75" s="10" t="str">
        <f>CONCATENATE("          ", "4151", " - ", "NON-TAXABLE SALES-FOOD")</f>
        <v xml:space="preserve">          4151 - NON-TAXABLE SALES-FOOD</v>
      </c>
      <c r="C75" s="10"/>
      <c r="D75" s="2">
        <f>0</f>
        <v>0</v>
      </c>
      <c r="E75" s="2"/>
      <c r="F75" s="19"/>
      <c r="G75" s="2"/>
      <c r="H75" s="2">
        <f t="shared" si="21"/>
        <v>0</v>
      </c>
      <c r="I75" s="2"/>
      <c r="J75" s="19"/>
      <c r="K75" s="2"/>
      <c r="L75" s="2">
        <f t="shared" si="0"/>
        <v>0</v>
      </c>
      <c r="M75" s="2"/>
      <c r="N75" s="19">
        <f t="shared" si="1"/>
        <v>0</v>
      </c>
      <c r="O75" s="10"/>
      <c r="P75" s="2">
        <f>0</f>
        <v>0</v>
      </c>
      <c r="Q75" s="2"/>
      <c r="R75" s="19"/>
      <c r="S75" s="2"/>
      <c r="T75" s="2">
        <f>--828068.07</f>
        <v>828068.07</v>
      </c>
      <c r="U75" s="2"/>
      <c r="V75" s="19"/>
      <c r="W75" s="2"/>
      <c r="X75" s="2">
        <f t="shared" si="2"/>
        <v>-828068.07</v>
      </c>
      <c r="Y75" s="2"/>
      <c r="Z75" s="19">
        <f t="shared" si="3"/>
        <v>-1</v>
      </c>
    </row>
    <row r="76" spans="1:26" s="23" customFormat="1" hidden="1" outlineLevel="1" x14ac:dyDescent="0.25">
      <c r="A76" s="44"/>
      <c r="B76" s="10" t="str">
        <f>CONCATENATE("          ", "4153", " - ", "NON-TAXABLE SALES-FOOD")</f>
        <v xml:space="preserve">          4153 - NON-TAXABLE SALES-FOOD</v>
      </c>
      <c r="C76" s="10"/>
      <c r="D76" s="2">
        <f>--34.05</f>
        <v>34.049999999999997</v>
      </c>
      <c r="E76" s="2"/>
      <c r="F76" s="19"/>
      <c r="G76" s="2"/>
      <c r="H76" s="2">
        <f t="shared" si="21"/>
        <v>0</v>
      </c>
      <c r="I76" s="2"/>
      <c r="J76" s="19"/>
      <c r="K76" s="2"/>
      <c r="L76" s="2">
        <f t="shared" si="0"/>
        <v>34.049999999999997</v>
      </c>
      <c r="M76" s="2"/>
      <c r="N76" s="19">
        <f t="shared" si="1"/>
        <v>0</v>
      </c>
      <c r="O76" s="10"/>
      <c r="P76" s="2">
        <f>--434.5</f>
        <v>434.5</v>
      </c>
      <c r="Q76" s="2"/>
      <c r="R76" s="19"/>
      <c r="S76" s="2"/>
      <c r="T76" s="2">
        <f>--12812.5</f>
        <v>12812.5</v>
      </c>
      <c r="U76" s="2"/>
      <c r="V76" s="19"/>
      <c r="W76" s="2"/>
      <c r="X76" s="2">
        <f t="shared" si="2"/>
        <v>-12378</v>
      </c>
      <c r="Y76" s="2"/>
      <c r="Z76" s="19">
        <f t="shared" si="3"/>
        <v>-0.96608780487804879</v>
      </c>
    </row>
    <row r="77" spans="1:26" s="23" customFormat="1" hidden="1" outlineLevel="1" x14ac:dyDescent="0.25">
      <c r="A77" s="44"/>
      <c r="B77" s="10" t="str">
        <f>CONCATENATE("          ", "4186", " - ", "NON-TAXABLE SALES-COMPUTER SUP")</f>
        <v xml:space="preserve">          4186 - NON-TAXABLE SALES-COMPUTER SUP</v>
      </c>
      <c r="C77" s="10"/>
      <c r="D77" s="2">
        <f t="shared" ref="D77:D78" si="22">0</f>
        <v>0</v>
      </c>
      <c r="E77" s="2"/>
      <c r="F77" s="19"/>
      <c r="G77" s="2"/>
      <c r="H77" s="2">
        <f t="shared" si="21"/>
        <v>0</v>
      </c>
      <c r="I77" s="2"/>
      <c r="J77" s="19"/>
      <c r="K77" s="2"/>
      <c r="L77" s="2">
        <f t="shared" si="0"/>
        <v>0</v>
      </c>
      <c r="M77" s="2"/>
      <c r="N77" s="19">
        <f t="shared" si="1"/>
        <v>0</v>
      </c>
      <c r="O77" s="10"/>
      <c r="P77" s="2">
        <f t="shared" ref="P77:P78" si="23">0</f>
        <v>0</v>
      </c>
      <c r="Q77" s="2"/>
      <c r="R77" s="19"/>
      <c r="S77" s="2"/>
      <c r="T77" s="2">
        <f>-30.97</f>
        <v>-30.97</v>
      </c>
      <c r="U77" s="2"/>
      <c r="V77" s="19"/>
      <c r="W77" s="2"/>
      <c r="X77" s="2">
        <f t="shared" si="2"/>
        <v>30.97</v>
      </c>
      <c r="Y77" s="2"/>
      <c r="Z77" s="19">
        <f t="shared" si="3"/>
        <v>-1</v>
      </c>
    </row>
    <row r="78" spans="1:26" s="23" customFormat="1" hidden="1" outlineLevel="1" x14ac:dyDescent="0.25">
      <c r="A78" s="44"/>
      <c r="B78" s="10" t="str">
        <f>CONCATENATE("          ", "4192", " - ", "NON-TAXABLE SALES-GRAD MERCH")</f>
        <v xml:space="preserve">          4192 - NON-TAXABLE SALES-GRAD MERCH</v>
      </c>
      <c r="C78" s="10"/>
      <c r="D78" s="2">
        <f t="shared" si="22"/>
        <v>0</v>
      </c>
      <c r="E78" s="2"/>
      <c r="F78" s="19"/>
      <c r="G78" s="2"/>
      <c r="H78" s="2">
        <f t="shared" si="21"/>
        <v>0</v>
      </c>
      <c r="I78" s="2"/>
      <c r="J78" s="19"/>
      <c r="K78" s="2"/>
      <c r="L78" s="2">
        <f t="shared" si="0"/>
        <v>0</v>
      </c>
      <c r="M78" s="2"/>
      <c r="N78" s="19">
        <f t="shared" si="1"/>
        <v>0</v>
      </c>
      <c r="O78" s="10"/>
      <c r="P78" s="2">
        <f t="shared" si="23"/>
        <v>0</v>
      </c>
      <c r="Q78" s="2"/>
      <c r="R78" s="19"/>
      <c r="S78" s="2"/>
      <c r="T78" s="2">
        <f>--119.4</f>
        <v>119.4</v>
      </c>
      <c r="U78" s="2"/>
      <c r="V78" s="19"/>
      <c r="W78" s="2"/>
      <c r="X78" s="2">
        <f t="shared" si="2"/>
        <v>-119.4</v>
      </c>
      <c r="Y78" s="2"/>
      <c r="Z78" s="19">
        <f t="shared" si="3"/>
        <v>-1</v>
      </c>
    </row>
    <row r="79" spans="1:26" s="23" customFormat="1" hidden="1" outlineLevel="1" x14ac:dyDescent="0.25">
      <c r="A79" s="44"/>
      <c r="B79" s="10" t="str">
        <f>CONCATENATE("          ", "4201", " - ", "SALES RETURN TAXABLE-NEW TEXT")</f>
        <v xml:space="preserve">          4201 - SALES RETURN TAXABLE-NEW TEXT</v>
      </c>
      <c r="C79" s="10"/>
      <c r="D79" s="2">
        <f>-1101.25</f>
        <v>-1101.25</v>
      </c>
      <c r="E79" s="2"/>
      <c r="F79" s="19"/>
      <c r="G79" s="2"/>
      <c r="H79" s="2">
        <f t="shared" si="21"/>
        <v>0</v>
      </c>
      <c r="I79" s="2"/>
      <c r="J79" s="19"/>
      <c r="K79" s="2"/>
      <c r="L79" s="2">
        <f t="shared" si="0"/>
        <v>-1101.25</v>
      </c>
      <c r="M79" s="2"/>
      <c r="N79" s="19">
        <f t="shared" si="1"/>
        <v>0</v>
      </c>
      <c r="O79" s="10"/>
      <c r="P79" s="2">
        <f>-53397.67</f>
        <v>-53397.67</v>
      </c>
      <c r="Q79" s="2"/>
      <c r="R79" s="19"/>
      <c r="S79" s="2"/>
      <c r="T79" s="2">
        <f>-121451.61</f>
        <v>-121451.61</v>
      </c>
      <c r="U79" s="2"/>
      <c r="V79" s="19"/>
      <c r="W79" s="2"/>
      <c r="X79" s="2">
        <f t="shared" si="2"/>
        <v>68053.94</v>
      </c>
      <c r="Y79" s="2"/>
      <c r="Z79" s="19">
        <f t="shared" si="3"/>
        <v>-0.56033789918470411</v>
      </c>
    </row>
    <row r="80" spans="1:26" s="23" customFormat="1" hidden="1" outlineLevel="1" x14ac:dyDescent="0.25">
      <c r="A80" s="44"/>
      <c r="B80" s="10" t="str">
        <f>CONCATENATE("          ", "4202", " - ", "SALES RETURN TAXABLE-USED TEXT")</f>
        <v xml:space="preserve">          4202 - SALES RETURN TAXABLE-USED TEXT</v>
      </c>
      <c r="C80" s="10"/>
      <c r="D80" s="2">
        <f>-433.75</f>
        <v>-433.75</v>
      </c>
      <c r="E80" s="2"/>
      <c r="F80" s="19"/>
      <c r="G80" s="2"/>
      <c r="H80" s="2">
        <f>-186.35</f>
        <v>-186.35</v>
      </c>
      <c r="I80" s="2"/>
      <c r="J80" s="19"/>
      <c r="K80" s="2"/>
      <c r="L80" s="2">
        <f t="shared" si="0"/>
        <v>-247.4</v>
      </c>
      <c r="M80" s="2"/>
      <c r="N80" s="19">
        <f t="shared" si="1"/>
        <v>1.3276093372685807</v>
      </c>
      <c r="O80" s="10"/>
      <c r="P80" s="2">
        <f>-20889.41</f>
        <v>-20889.41</v>
      </c>
      <c r="Q80" s="2"/>
      <c r="R80" s="19"/>
      <c r="S80" s="2"/>
      <c r="T80" s="2">
        <f>-45799.46</f>
        <v>-45799.46</v>
      </c>
      <c r="U80" s="2"/>
      <c r="V80" s="19"/>
      <c r="W80" s="2"/>
      <c r="X80" s="2">
        <f t="shared" si="2"/>
        <v>24910.05</v>
      </c>
      <c r="Y80" s="2"/>
      <c r="Z80" s="19">
        <f t="shared" si="3"/>
        <v>-0.54389396730878481</v>
      </c>
    </row>
    <row r="81" spans="1:26" s="23" customFormat="1" hidden="1" outlineLevel="1" x14ac:dyDescent="0.25">
      <c r="A81" s="44"/>
      <c r="B81" s="10" t="str">
        <f>CONCATENATE("          ", "4203", " - ", "SALES RETURN TAXABLE-RENTAL TE")</f>
        <v xml:space="preserve">          4203 - SALES RETURN TAXABLE-RENTAL TE</v>
      </c>
      <c r="C81" s="10"/>
      <c r="D81" s="2">
        <f t="shared" ref="D81:D82" si="24">0</f>
        <v>0</v>
      </c>
      <c r="E81" s="2"/>
      <c r="F81" s="19"/>
      <c r="G81" s="2"/>
      <c r="H81" s="2">
        <f t="shared" ref="H81:H82" si="25">0</f>
        <v>0</v>
      </c>
      <c r="I81" s="2"/>
      <c r="J81" s="19"/>
      <c r="K81" s="2"/>
      <c r="L81" s="2">
        <f t="shared" si="0"/>
        <v>0</v>
      </c>
      <c r="M81" s="2"/>
      <c r="N81" s="19">
        <f t="shared" si="1"/>
        <v>0</v>
      </c>
      <c r="O81" s="10"/>
      <c r="P81" s="2">
        <f>0</f>
        <v>0</v>
      </c>
      <c r="Q81" s="2"/>
      <c r="R81" s="19"/>
      <c r="S81" s="2"/>
      <c r="T81" s="2">
        <f>-144.99</f>
        <v>-144.99</v>
      </c>
      <c r="U81" s="2"/>
      <c r="V81" s="19"/>
      <c r="W81" s="2"/>
      <c r="X81" s="2">
        <f t="shared" si="2"/>
        <v>144.99</v>
      </c>
      <c r="Y81" s="2"/>
      <c r="Z81" s="19">
        <f t="shared" si="3"/>
        <v>-1</v>
      </c>
    </row>
    <row r="82" spans="1:26" s="23" customFormat="1" hidden="1" outlineLevel="1" x14ac:dyDescent="0.25">
      <c r="A82" s="44"/>
      <c r="B82" s="10" t="str">
        <f>CONCATENATE("          ", "4204", " - ", "SALES RETURN TAXABLE-DIGITAL T")</f>
        <v xml:space="preserve">          4204 - SALES RETURN TAXABLE-DIGITAL T</v>
      </c>
      <c r="C82" s="10"/>
      <c r="D82" s="2">
        <f t="shared" si="24"/>
        <v>0</v>
      </c>
      <c r="E82" s="2"/>
      <c r="F82" s="19"/>
      <c r="G82" s="2"/>
      <c r="H82" s="2">
        <f t="shared" si="25"/>
        <v>0</v>
      </c>
      <c r="I82" s="2"/>
      <c r="J82" s="19"/>
      <c r="K82" s="2"/>
      <c r="L82" s="2">
        <f t="shared" si="0"/>
        <v>0</v>
      </c>
      <c r="M82" s="2"/>
      <c r="N82" s="19">
        <f t="shared" si="1"/>
        <v>0</v>
      </c>
      <c r="O82" s="10"/>
      <c r="P82" s="2">
        <f>-1763.1</f>
        <v>-1763.1</v>
      </c>
      <c r="Q82" s="2"/>
      <c r="R82" s="19"/>
      <c r="S82" s="2"/>
      <c r="T82" s="2">
        <f>-17255.33</f>
        <v>-17255.330000000002</v>
      </c>
      <c r="U82" s="2"/>
      <c r="V82" s="19"/>
      <c r="W82" s="2"/>
      <c r="X82" s="2">
        <f t="shared" si="2"/>
        <v>15492.230000000001</v>
      </c>
      <c r="Y82" s="2"/>
      <c r="Z82" s="19">
        <f t="shared" si="3"/>
        <v>-0.89782287559843832</v>
      </c>
    </row>
    <row r="83" spans="1:26" s="23" customFormat="1" hidden="1" outlineLevel="1" x14ac:dyDescent="0.25">
      <c r="A83" s="44"/>
      <c r="B83" s="10" t="str">
        <f>CONCATENATE("          ", "4213", " - ", "NON-TAXABLE SALES-TRADE BOOKS")</f>
        <v xml:space="preserve">          4213 - NON-TAXABLE SALES-TRADE BOOKS</v>
      </c>
      <c r="C83" s="10"/>
      <c r="D83" s="2">
        <f>-25</f>
        <v>-25</v>
      </c>
      <c r="E83" s="2"/>
      <c r="F83" s="19"/>
      <c r="G83" s="2"/>
      <c r="H83" s="2">
        <f>-100.7</f>
        <v>-100.7</v>
      </c>
      <c r="I83" s="2"/>
      <c r="J83" s="19"/>
      <c r="K83" s="2"/>
      <c r="L83" s="2">
        <f t="shared" si="0"/>
        <v>75.7</v>
      </c>
      <c r="M83" s="2"/>
      <c r="N83" s="19">
        <f t="shared" si="1"/>
        <v>-0.75173783515392256</v>
      </c>
      <c r="O83" s="10"/>
      <c r="P83" s="2">
        <f>-103.92</f>
        <v>-103.92</v>
      </c>
      <c r="Q83" s="2"/>
      <c r="R83" s="19"/>
      <c r="S83" s="2"/>
      <c r="T83" s="2">
        <f>-2869.37</f>
        <v>-2869.37</v>
      </c>
      <c r="U83" s="2"/>
      <c r="V83" s="19"/>
      <c r="W83" s="2"/>
      <c r="X83" s="2">
        <f t="shared" si="2"/>
        <v>2765.45</v>
      </c>
      <c r="Y83" s="2"/>
      <c r="Z83" s="19">
        <f t="shared" si="3"/>
        <v>-0.96378299069133644</v>
      </c>
    </row>
    <row r="84" spans="1:26" s="23" customFormat="1" hidden="1" outlineLevel="1" x14ac:dyDescent="0.25">
      <c r="A84" s="44"/>
      <c r="B84" s="10" t="str">
        <f>CONCATENATE("          ", "4214", " - ", "SALES RETURN TAXABLE-REMAINDER")</f>
        <v xml:space="preserve">          4214 - SALES RETURN TAXABLE-REMAINDER</v>
      </c>
      <c r="C84" s="10"/>
      <c r="D84" s="2">
        <f t="shared" ref="D84:D85" si="26">0</f>
        <v>0</v>
      </c>
      <c r="E84" s="2"/>
      <c r="F84" s="19"/>
      <c r="G84" s="2"/>
      <c r="H84" s="2">
        <f t="shared" ref="H84:H88" si="27">0</f>
        <v>0</v>
      </c>
      <c r="I84" s="2"/>
      <c r="J84" s="19"/>
      <c r="K84" s="2"/>
      <c r="L84" s="2">
        <f t="shared" si="0"/>
        <v>0</v>
      </c>
      <c r="M84" s="2"/>
      <c r="N84" s="19">
        <f t="shared" si="1"/>
        <v>0</v>
      </c>
      <c r="O84" s="10"/>
      <c r="P84" s="2">
        <f t="shared" ref="P84:P85" si="28">0</f>
        <v>0</v>
      </c>
      <c r="Q84" s="2"/>
      <c r="R84" s="19"/>
      <c r="S84" s="2"/>
      <c r="T84" s="2">
        <f>-11.94</f>
        <v>-11.94</v>
      </c>
      <c r="U84" s="2"/>
      <c r="V84" s="19"/>
      <c r="W84" s="2"/>
      <c r="X84" s="2">
        <f t="shared" si="2"/>
        <v>11.94</v>
      </c>
      <c r="Y84" s="2"/>
      <c r="Z84" s="19">
        <f t="shared" si="3"/>
        <v>-1</v>
      </c>
    </row>
    <row r="85" spans="1:26" s="23" customFormat="1" hidden="1" outlineLevel="1" x14ac:dyDescent="0.25">
      <c r="A85" s="44"/>
      <c r="B85" s="10" t="str">
        <f>CONCATENATE("          ", "4217", " - ", "NON-TAXABLE SALES-DORM/HOUSEWA")</f>
        <v xml:space="preserve">          4217 - NON-TAXABLE SALES-DORM/HOUSEWA</v>
      </c>
      <c r="C85" s="10"/>
      <c r="D85" s="2">
        <f t="shared" si="26"/>
        <v>0</v>
      </c>
      <c r="E85" s="2"/>
      <c r="F85" s="19"/>
      <c r="G85" s="2"/>
      <c r="H85" s="2">
        <f t="shared" si="27"/>
        <v>0</v>
      </c>
      <c r="I85" s="2"/>
      <c r="J85" s="19"/>
      <c r="K85" s="2"/>
      <c r="L85" s="2">
        <f t="shared" si="0"/>
        <v>0</v>
      </c>
      <c r="M85" s="2"/>
      <c r="N85" s="19">
        <f t="shared" si="1"/>
        <v>0</v>
      </c>
      <c r="O85" s="10"/>
      <c r="P85" s="2">
        <f t="shared" si="28"/>
        <v>0</v>
      </c>
      <c r="Q85" s="2"/>
      <c r="R85" s="19"/>
      <c r="S85" s="2"/>
      <c r="T85" s="2">
        <f>-2.98</f>
        <v>-2.98</v>
      </c>
      <c r="U85" s="2"/>
      <c r="V85" s="19"/>
      <c r="W85" s="2"/>
      <c r="X85" s="2">
        <f t="shared" si="2"/>
        <v>2.98</v>
      </c>
      <c r="Y85" s="2"/>
      <c r="Z85" s="19">
        <f t="shared" si="3"/>
        <v>-1</v>
      </c>
    </row>
    <row r="86" spans="1:26" s="23" customFormat="1" hidden="1" outlineLevel="1" x14ac:dyDescent="0.25">
      <c r="A86" s="44"/>
      <c r="B86" s="10" t="str">
        <f>CONCATENATE("          ", "4218", " - ", "SALES RETURN TAXABLE-STUDY GUI")</f>
        <v xml:space="preserve">          4218 - SALES RETURN TAXABLE-STUDY GUI</v>
      </c>
      <c r="C86" s="10"/>
      <c r="D86" s="2">
        <f>-23.44</f>
        <v>-23.44</v>
      </c>
      <c r="E86" s="2"/>
      <c r="F86" s="19"/>
      <c r="G86" s="2"/>
      <c r="H86" s="2">
        <f t="shared" si="27"/>
        <v>0</v>
      </c>
      <c r="I86" s="2"/>
      <c r="J86" s="19"/>
      <c r="K86" s="2"/>
      <c r="L86" s="2">
        <f t="shared" si="0"/>
        <v>-23.44</v>
      </c>
      <c r="M86" s="2"/>
      <c r="N86" s="19">
        <f t="shared" si="1"/>
        <v>0</v>
      </c>
      <c r="O86" s="10"/>
      <c r="P86" s="2">
        <f>-28.65</f>
        <v>-28.65</v>
      </c>
      <c r="Q86" s="2"/>
      <c r="R86" s="19"/>
      <c r="S86" s="2"/>
      <c r="T86" s="2">
        <f>-39.25</f>
        <v>-39.25</v>
      </c>
      <c r="U86" s="2"/>
      <c r="V86" s="19"/>
      <c r="W86" s="2"/>
      <c r="X86" s="2">
        <f t="shared" si="2"/>
        <v>10.600000000000001</v>
      </c>
      <c r="Y86" s="2"/>
      <c r="Z86" s="19">
        <f t="shared" si="3"/>
        <v>-0.27006369426751597</v>
      </c>
    </row>
    <row r="87" spans="1:26" s="23" customFormat="1" hidden="1" outlineLevel="1" x14ac:dyDescent="0.25">
      <c r="A87" s="44"/>
      <c r="B87" s="10" t="str">
        <f>CONCATENATE("          ", "4225", " - ", "SALES RETURN TAXABLE-TEST FORM")</f>
        <v xml:space="preserve">          4225 - SALES RETURN TAXABLE-TEST FORM</v>
      </c>
      <c r="C87" s="10"/>
      <c r="D87" s="2">
        <f t="shared" ref="D87:D88" si="29">0</f>
        <v>0</v>
      </c>
      <c r="E87" s="2"/>
      <c r="F87" s="19"/>
      <c r="G87" s="2"/>
      <c r="H87" s="2">
        <f t="shared" si="27"/>
        <v>0</v>
      </c>
      <c r="I87" s="2"/>
      <c r="J87" s="19"/>
      <c r="K87" s="2"/>
      <c r="L87" s="2">
        <f t="shared" si="0"/>
        <v>0</v>
      </c>
      <c r="M87" s="2"/>
      <c r="N87" s="19">
        <f t="shared" si="1"/>
        <v>0</v>
      </c>
      <c r="O87" s="10"/>
      <c r="P87" s="2">
        <f>0</f>
        <v>0</v>
      </c>
      <c r="Q87" s="2"/>
      <c r="R87" s="19"/>
      <c r="S87" s="2"/>
      <c r="T87" s="2">
        <f>-205.91</f>
        <v>-205.91</v>
      </c>
      <c r="U87" s="2"/>
      <c r="V87" s="19"/>
      <c r="W87" s="2"/>
      <c r="X87" s="2">
        <f t="shared" si="2"/>
        <v>205.91</v>
      </c>
      <c r="Y87" s="2"/>
      <c r="Z87" s="19">
        <f t="shared" si="3"/>
        <v>-1</v>
      </c>
    </row>
    <row r="88" spans="1:26" s="23" customFormat="1" hidden="1" outlineLevel="1" x14ac:dyDescent="0.25">
      <c r="A88" s="44"/>
      <c r="B88" s="10" t="str">
        <f>CONCATENATE("          ", "4226", " - ", "SALES RETURN TAXABLE-WRITING I")</f>
        <v xml:space="preserve">          4226 - SALES RETURN TAXABLE-WRITING I</v>
      </c>
      <c r="C88" s="10"/>
      <c r="D88" s="2">
        <f t="shared" si="29"/>
        <v>0</v>
      </c>
      <c r="E88" s="2"/>
      <c r="F88" s="19"/>
      <c r="G88" s="2"/>
      <c r="H88" s="2">
        <f t="shared" si="27"/>
        <v>0</v>
      </c>
      <c r="I88" s="2"/>
      <c r="J88" s="19"/>
      <c r="K88" s="2"/>
      <c r="L88" s="2">
        <f t="shared" si="0"/>
        <v>0</v>
      </c>
      <c r="M88" s="2"/>
      <c r="N88" s="19">
        <f t="shared" si="1"/>
        <v>0</v>
      </c>
      <c r="O88" s="10"/>
      <c r="P88" s="2">
        <f>-35.02</f>
        <v>-35.020000000000003</v>
      </c>
      <c r="Q88" s="2"/>
      <c r="R88" s="19"/>
      <c r="S88" s="2"/>
      <c r="T88" s="2">
        <f>-924.44</f>
        <v>-924.44</v>
      </c>
      <c r="U88" s="2"/>
      <c r="V88" s="19"/>
      <c r="W88" s="2"/>
      <c r="X88" s="2">
        <f t="shared" si="2"/>
        <v>889.42000000000007</v>
      </c>
      <c r="Y88" s="2"/>
      <c r="Z88" s="19">
        <f t="shared" si="3"/>
        <v>-0.96211760633464583</v>
      </c>
    </row>
    <row r="89" spans="1:26" s="23" customFormat="1" hidden="1" outlineLevel="1" x14ac:dyDescent="0.25">
      <c r="A89" s="44"/>
      <c r="B89" s="10" t="str">
        <f>CONCATENATE("          ", "4227", " - ", "SALES RETURN TAXABLE-SCHOOL SU")</f>
        <v xml:space="preserve">          4227 - SALES RETURN TAXABLE-SCHOOL SU</v>
      </c>
      <c r="C89" s="10"/>
      <c r="D89" s="2">
        <f>-80.63</f>
        <v>-80.63</v>
      </c>
      <c r="E89" s="2"/>
      <c r="F89" s="19"/>
      <c r="G89" s="2"/>
      <c r="H89" s="2">
        <f>-81.87</f>
        <v>-81.87</v>
      </c>
      <c r="I89" s="2"/>
      <c r="J89" s="19"/>
      <c r="K89" s="2"/>
      <c r="L89" s="2">
        <f t="shared" si="0"/>
        <v>1.2400000000000091</v>
      </c>
      <c r="M89" s="2"/>
      <c r="N89" s="19">
        <f t="shared" si="1"/>
        <v>-1.514596311225124E-2</v>
      </c>
      <c r="O89" s="10"/>
      <c r="P89" s="2">
        <f>-1565.11</f>
        <v>-1565.11</v>
      </c>
      <c r="Q89" s="2"/>
      <c r="R89" s="19"/>
      <c r="S89" s="2"/>
      <c r="T89" s="2">
        <f>-8728.9</f>
        <v>-8728.9</v>
      </c>
      <c r="U89" s="2"/>
      <c r="V89" s="19"/>
      <c r="W89" s="2"/>
      <c r="X89" s="2">
        <f t="shared" si="2"/>
        <v>7163.79</v>
      </c>
      <c r="Y89" s="2"/>
      <c r="Z89" s="19">
        <f t="shared" si="3"/>
        <v>-0.82069791153524507</v>
      </c>
    </row>
    <row r="90" spans="1:26" s="23" customFormat="1" hidden="1" outlineLevel="1" x14ac:dyDescent="0.25">
      <c r="A90" s="44"/>
      <c r="B90" s="10" t="str">
        <f>CONCATENATE("          ", "4228", " - ", "SALES RETURN TAXABLE-ART/TECH")</f>
        <v xml:space="preserve">          4228 - SALES RETURN TAXABLE-ART/TECH</v>
      </c>
      <c r="C90" s="10"/>
      <c r="D90" s="2">
        <f>-105.6</f>
        <v>-105.6</v>
      </c>
      <c r="E90" s="2"/>
      <c r="F90" s="19"/>
      <c r="G90" s="2"/>
      <c r="H90" s="2">
        <f t="shared" ref="H90:H91" si="30">0</f>
        <v>0</v>
      </c>
      <c r="I90" s="2"/>
      <c r="J90" s="19"/>
      <c r="K90" s="2"/>
      <c r="L90" s="2">
        <f t="shared" si="0"/>
        <v>-105.6</v>
      </c>
      <c r="M90" s="2"/>
      <c r="N90" s="19">
        <f t="shared" si="1"/>
        <v>0</v>
      </c>
      <c r="O90" s="10"/>
      <c r="P90" s="2">
        <f>-13079.33</f>
        <v>-13079.33</v>
      </c>
      <c r="Q90" s="2"/>
      <c r="R90" s="19"/>
      <c r="S90" s="2"/>
      <c r="T90" s="2">
        <f>-4739.1</f>
        <v>-4739.1000000000004</v>
      </c>
      <c r="U90" s="2"/>
      <c r="V90" s="19"/>
      <c r="W90" s="2"/>
      <c r="X90" s="2">
        <f t="shared" si="2"/>
        <v>-8340.23</v>
      </c>
      <c r="Y90" s="2"/>
      <c r="Z90" s="19">
        <f t="shared" si="3"/>
        <v>1.7598763478297565</v>
      </c>
    </row>
    <row r="91" spans="1:26" s="23" customFormat="1" hidden="1" outlineLevel="1" x14ac:dyDescent="0.25">
      <c r="A91" s="44"/>
      <c r="B91" s="10" t="str">
        <f>CONCATENATE("          ", "4233", " - ", "SALES RETURN TAXABLE-CANDY")</f>
        <v xml:space="preserve">          4233 - SALES RETURN TAXABLE-CANDY</v>
      </c>
      <c r="C91" s="10"/>
      <c r="D91" s="2">
        <f>0</f>
        <v>0</v>
      </c>
      <c r="E91" s="2"/>
      <c r="F91" s="19"/>
      <c r="G91" s="2"/>
      <c r="H91" s="2">
        <f t="shared" si="30"/>
        <v>0</v>
      </c>
      <c r="I91" s="2"/>
      <c r="J91" s="19"/>
      <c r="K91" s="2"/>
      <c r="L91" s="2">
        <f t="shared" si="0"/>
        <v>0</v>
      </c>
      <c r="M91" s="2"/>
      <c r="N91" s="19">
        <f t="shared" si="1"/>
        <v>0</v>
      </c>
      <c r="O91" s="10"/>
      <c r="P91" s="2">
        <f>0</f>
        <v>0</v>
      </c>
      <c r="Q91" s="2"/>
      <c r="R91" s="19"/>
      <c r="S91" s="2"/>
      <c r="T91" s="2">
        <f>-8.25</f>
        <v>-8.25</v>
      </c>
      <c r="U91" s="2"/>
      <c r="V91" s="19"/>
      <c r="W91" s="2"/>
      <c r="X91" s="2">
        <f t="shared" si="2"/>
        <v>8.25</v>
      </c>
      <c r="Y91" s="2"/>
      <c r="Z91" s="19">
        <f t="shared" si="3"/>
        <v>-1</v>
      </c>
    </row>
    <row r="92" spans="1:26" s="23" customFormat="1" hidden="1" outlineLevel="1" x14ac:dyDescent="0.25">
      <c r="A92" s="44"/>
      <c r="B92" s="10" t="str">
        <f>CONCATENATE("          ", "4240", " - ", "SALES RETURN TAXABLE-LOGO CLOT")</f>
        <v xml:space="preserve">          4240 - SALES RETURN TAXABLE-LOGO CLOT</v>
      </c>
      <c r="C92" s="10"/>
      <c r="D92" s="2">
        <f>-4795.71</f>
        <v>-4795.71</v>
      </c>
      <c r="E92" s="2"/>
      <c r="F92" s="19"/>
      <c r="G92" s="2"/>
      <c r="H92" s="2">
        <f>-2702.34</f>
        <v>-2702.34</v>
      </c>
      <c r="I92" s="2"/>
      <c r="J92" s="19"/>
      <c r="K92" s="2"/>
      <c r="L92" s="2">
        <f t="shared" si="0"/>
        <v>-2093.37</v>
      </c>
      <c r="M92" s="2"/>
      <c r="N92" s="19">
        <f t="shared" si="1"/>
        <v>0.77465085814516299</v>
      </c>
      <c r="O92" s="10"/>
      <c r="P92" s="2">
        <f>-51889.15</f>
        <v>-51889.15</v>
      </c>
      <c r="Q92" s="2"/>
      <c r="R92" s="19"/>
      <c r="S92" s="2"/>
      <c r="T92" s="2">
        <f>-80387.11</f>
        <v>-80387.11</v>
      </c>
      <c r="U92" s="2"/>
      <c r="V92" s="19"/>
      <c r="W92" s="2"/>
      <c r="X92" s="2">
        <f t="shared" si="2"/>
        <v>28497.96</v>
      </c>
      <c r="Y92" s="2"/>
      <c r="Z92" s="19">
        <f t="shared" si="3"/>
        <v>-0.35450907490019234</v>
      </c>
    </row>
    <row r="93" spans="1:26" s="23" customFormat="1" hidden="1" outlineLevel="1" x14ac:dyDescent="0.25">
      <c r="A93" s="44"/>
      <c r="B93" s="10" t="str">
        <f>CONCATENATE("          ", "4241", " - ", "SALES RETURN TAXABLE-LOGO GIFT")</f>
        <v xml:space="preserve">          4241 - SALES RETURN TAXABLE-LOGO GIFT</v>
      </c>
      <c r="C93" s="10"/>
      <c r="D93" s="2">
        <f>-1907.39</f>
        <v>-1907.39</v>
      </c>
      <c r="E93" s="2"/>
      <c r="F93" s="19"/>
      <c r="G93" s="2"/>
      <c r="H93" s="2">
        <f>-525.51</f>
        <v>-525.51</v>
      </c>
      <c r="I93" s="2"/>
      <c r="J93" s="19"/>
      <c r="K93" s="2"/>
      <c r="L93" s="2">
        <f t="shared" si="0"/>
        <v>-1381.88</v>
      </c>
      <c r="M93" s="2"/>
      <c r="N93" s="19">
        <f t="shared" si="1"/>
        <v>2.6295979144069572</v>
      </c>
      <c r="O93" s="10"/>
      <c r="P93" s="2">
        <f>-18587.93</f>
        <v>-18587.93</v>
      </c>
      <c r="Q93" s="2"/>
      <c r="R93" s="19"/>
      <c r="S93" s="2"/>
      <c r="T93" s="2">
        <f>-7990.78</f>
        <v>-7990.78</v>
      </c>
      <c r="U93" s="2"/>
      <c r="V93" s="19"/>
      <c r="W93" s="2"/>
      <c r="X93" s="2">
        <f t="shared" si="2"/>
        <v>-10597.150000000001</v>
      </c>
      <c r="Y93" s="2"/>
      <c r="Z93" s="19">
        <f t="shared" si="3"/>
        <v>1.3261721634183399</v>
      </c>
    </row>
    <row r="94" spans="1:26" s="23" customFormat="1" hidden="1" outlineLevel="1" x14ac:dyDescent="0.25">
      <c r="A94" s="44"/>
      <c r="B94" s="10" t="str">
        <f>CONCATENATE("          ", "4242", " - ", "SALES RETURN TAXABLE-EVERYDAY")</f>
        <v xml:space="preserve">          4242 - SALES RETURN TAXABLE-EVERYDAY</v>
      </c>
      <c r="C94" s="10"/>
      <c r="D94" s="2">
        <f>-131.98</f>
        <v>-131.97999999999999</v>
      </c>
      <c r="E94" s="2"/>
      <c r="F94" s="19"/>
      <c r="G94" s="2"/>
      <c r="H94" s="2">
        <f>-51.44</f>
        <v>-51.44</v>
      </c>
      <c r="I94" s="2"/>
      <c r="J94" s="19"/>
      <c r="K94" s="2"/>
      <c r="L94" s="2">
        <f t="shared" si="0"/>
        <v>-80.539999999999992</v>
      </c>
      <c r="M94" s="2"/>
      <c r="N94" s="19">
        <f t="shared" si="1"/>
        <v>1.5657076205287712</v>
      </c>
      <c r="O94" s="10"/>
      <c r="P94" s="2">
        <f>-2875.07</f>
        <v>-2875.07</v>
      </c>
      <c r="Q94" s="2"/>
      <c r="R94" s="19"/>
      <c r="S94" s="2"/>
      <c r="T94" s="2">
        <f>-4232.85</f>
        <v>-4232.8500000000004</v>
      </c>
      <c r="U94" s="2"/>
      <c r="V94" s="19"/>
      <c r="W94" s="2"/>
      <c r="X94" s="2">
        <f t="shared" si="2"/>
        <v>1357.7800000000002</v>
      </c>
      <c r="Y94" s="2"/>
      <c r="Z94" s="19">
        <f t="shared" si="3"/>
        <v>-0.32077205665213748</v>
      </c>
    </row>
    <row r="95" spans="1:26" s="23" customFormat="1" hidden="1" outlineLevel="1" x14ac:dyDescent="0.25">
      <c r="A95" s="44"/>
      <c r="B95" s="10" t="str">
        <f>CONCATENATE("          ", "4243", " - ", "SALES RETURN TAXABLE-CARDS")</f>
        <v xml:space="preserve">          4243 - SALES RETURN TAXABLE-CARDS</v>
      </c>
      <c r="C95" s="10"/>
      <c r="D95" s="2">
        <f>-9.99</f>
        <v>-9.99</v>
      </c>
      <c r="E95" s="2"/>
      <c r="F95" s="19"/>
      <c r="G95" s="2"/>
      <c r="H95" s="2">
        <f>-19.99</f>
        <v>-19.989999999999998</v>
      </c>
      <c r="I95" s="2"/>
      <c r="J95" s="19"/>
      <c r="K95" s="2"/>
      <c r="L95" s="2">
        <f t="shared" si="0"/>
        <v>9.9999999999999982</v>
      </c>
      <c r="M95" s="2"/>
      <c r="N95" s="19">
        <f t="shared" si="1"/>
        <v>-0.50025012506253119</v>
      </c>
      <c r="O95" s="10"/>
      <c r="P95" s="2">
        <f>-6228.98</f>
        <v>-6228.98</v>
      </c>
      <c r="Q95" s="2"/>
      <c r="R95" s="19"/>
      <c r="S95" s="2"/>
      <c r="T95" s="2">
        <f>-3026.3</f>
        <v>-3026.3</v>
      </c>
      <c r="U95" s="2"/>
      <c r="V95" s="19"/>
      <c r="W95" s="2"/>
      <c r="X95" s="2">
        <f t="shared" si="2"/>
        <v>-3202.6799999999994</v>
      </c>
      <c r="Y95" s="2"/>
      <c r="Z95" s="19">
        <f t="shared" si="3"/>
        <v>1.0582823910385617</v>
      </c>
    </row>
    <row r="96" spans="1:26" s="23" customFormat="1" hidden="1" outlineLevel="1" x14ac:dyDescent="0.25">
      <c r="A96" s="44"/>
      <c r="B96" s="10" t="str">
        <f>CONCATENATE("          ", "4244", " - ", "SALES RETURN TAXABLE-ACCESSORI")</f>
        <v xml:space="preserve">          4244 - SALES RETURN TAXABLE-ACCESSORI</v>
      </c>
      <c r="C96" s="10"/>
      <c r="D96" s="2">
        <f>-34.84</f>
        <v>-34.840000000000003</v>
      </c>
      <c r="E96" s="2"/>
      <c r="F96" s="19"/>
      <c r="G96" s="2"/>
      <c r="H96" s="2">
        <f>0</f>
        <v>0</v>
      </c>
      <c r="I96" s="2"/>
      <c r="J96" s="19"/>
      <c r="K96" s="2"/>
      <c r="L96" s="2">
        <f t="shared" si="0"/>
        <v>-34.840000000000003</v>
      </c>
      <c r="M96" s="2"/>
      <c r="N96" s="19">
        <f t="shared" si="1"/>
        <v>0</v>
      </c>
      <c r="O96" s="10"/>
      <c r="P96" s="2">
        <f>-1302.75</f>
        <v>-1302.75</v>
      </c>
      <c r="Q96" s="2"/>
      <c r="R96" s="19"/>
      <c r="S96" s="2"/>
      <c r="T96" s="2">
        <f>-2726.41</f>
        <v>-2726.41</v>
      </c>
      <c r="U96" s="2"/>
      <c r="V96" s="19"/>
      <c r="W96" s="2"/>
      <c r="X96" s="2">
        <f t="shared" si="2"/>
        <v>1423.6599999999999</v>
      </c>
      <c r="Y96" s="2"/>
      <c r="Z96" s="19">
        <f t="shared" si="3"/>
        <v>-0.52217384766047659</v>
      </c>
    </row>
    <row r="97" spans="1:26" s="23" customFormat="1" hidden="1" outlineLevel="1" x14ac:dyDescent="0.25">
      <c r="A97" s="44"/>
      <c r="B97" s="10" t="str">
        <f>CONCATENATE("          ", "4245", " - ", "SALES RETURN TAXABLE-SPECIAL O")</f>
        <v xml:space="preserve">          4245 - SALES RETURN TAXABLE-SPECIAL O</v>
      </c>
      <c r="C97" s="10"/>
      <c r="D97" s="2">
        <f>-3318.4</f>
        <v>-3318.4</v>
      </c>
      <c r="E97" s="2"/>
      <c r="F97" s="19"/>
      <c r="G97" s="2"/>
      <c r="H97" s="2">
        <f>-2187.5</f>
        <v>-2187.5</v>
      </c>
      <c r="I97" s="2"/>
      <c r="J97" s="19"/>
      <c r="K97" s="2"/>
      <c r="L97" s="2">
        <f t="shared" si="0"/>
        <v>-1130.9000000000001</v>
      </c>
      <c r="M97" s="2"/>
      <c r="N97" s="19">
        <f t="shared" si="1"/>
        <v>0.51698285714285719</v>
      </c>
      <c r="O97" s="10"/>
      <c r="P97" s="2">
        <f>-18779.13</f>
        <v>-18779.13</v>
      </c>
      <c r="Q97" s="2"/>
      <c r="R97" s="19"/>
      <c r="S97" s="2"/>
      <c r="T97" s="2">
        <f>-4097.53</f>
        <v>-4097.53</v>
      </c>
      <c r="U97" s="2"/>
      <c r="V97" s="19"/>
      <c r="W97" s="2"/>
      <c r="X97" s="2">
        <f t="shared" si="2"/>
        <v>-14681.600000000002</v>
      </c>
      <c r="Y97" s="2"/>
      <c r="Z97" s="19">
        <f t="shared" si="3"/>
        <v>3.5830366098600872</v>
      </c>
    </row>
    <row r="98" spans="1:26" s="23" customFormat="1" hidden="1" outlineLevel="1" x14ac:dyDescent="0.25">
      <c r="A98" s="44"/>
      <c r="B98" s="10" t="str">
        <f>CONCATENATE("          ", "4281", " - ", "SALES RETURN TAXABLE-ELECTRONI")</f>
        <v xml:space="preserve">          4281 - SALES RETURN TAXABLE-ELECTRONI</v>
      </c>
      <c r="C98" s="10"/>
      <c r="D98" s="2">
        <f t="shared" ref="D98:D100" si="31">0</f>
        <v>0</v>
      </c>
      <c r="E98" s="2"/>
      <c r="F98" s="19"/>
      <c r="G98" s="2"/>
      <c r="H98" s="2">
        <f>0</f>
        <v>0</v>
      </c>
      <c r="I98" s="2"/>
      <c r="J98" s="19"/>
      <c r="K98" s="2"/>
      <c r="L98" s="2">
        <f t="shared" si="0"/>
        <v>0</v>
      </c>
      <c r="M98" s="2"/>
      <c r="N98" s="19">
        <f t="shared" si="1"/>
        <v>0</v>
      </c>
      <c r="O98" s="10"/>
      <c r="P98" s="2">
        <f t="shared" ref="P98:P100" si="32">0</f>
        <v>0</v>
      </c>
      <c r="Q98" s="2"/>
      <c r="R98" s="19"/>
      <c r="S98" s="2"/>
      <c r="T98" s="2">
        <f>-54.97</f>
        <v>-54.97</v>
      </c>
      <c r="U98" s="2"/>
      <c r="V98" s="19"/>
      <c r="W98" s="2"/>
      <c r="X98" s="2">
        <f t="shared" si="2"/>
        <v>54.97</v>
      </c>
      <c r="Y98" s="2"/>
      <c r="Z98" s="19">
        <f t="shared" si="3"/>
        <v>-1</v>
      </c>
    </row>
    <row r="99" spans="1:26" s="23" customFormat="1" hidden="1" outlineLevel="1" x14ac:dyDescent="0.25">
      <c r="A99" s="44"/>
      <c r="B99" s="10" t="str">
        <f>CONCATENATE("          ", "4292", " - ", "SALES RETURN TAXABLE-GRAD MERC")</f>
        <v xml:space="preserve">          4292 - SALES RETURN TAXABLE-GRAD MERC</v>
      </c>
      <c r="C99" s="10"/>
      <c r="D99" s="2">
        <f t="shared" si="31"/>
        <v>0</v>
      </c>
      <c r="E99" s="2"/>
      <c r="F99" s="19"/>
      <c r="G99" s="2"/>
      <c r="H99" s="2">
        <f>-214.68</f>
        <v>-214.68</v>
      </c>
      <c r="I99" s="2"/>
      <c r="J99" s="19"/>
      <c r="K99" s="2"/>
      <c r="L99" s="2">
        <f t="shared" si="0"/>
        <v>214.68</v>
      </c>
      <c r="M99" s="2"/>
      <c r="N99" s="19">
        <f t="shared" si="1"/>
        <v>-1</v>
      </c>
      <c r="O99" s="10"/>
      <c r="P99" s="2">
        <f t="shared" si="32"/>
        <v>0</v>
      </c>
      <c r="Q99" s="2"/>
      <c r="R99" s="19"/>
      <c r="S99" s="2"/>
      <c r="T99" s="2">
        <f>-793.52</f>
        <v>-793.52</v>
      </c>
      <c r="U99" s="2"/>
      <c r="V99" s="19"/>
      <c r="W99" s="2"/>
      <c r="X99" s="2">
        <f t="shared" si="2"/>
        <v>793.52</v>
      </c>
      <c r="Y99" s="2"/>
      <c r="Z99" s="19">
        <f t="shared" si="3"/>
        <v>-1</v>
      </c>
    </row>
    <row r="100" spans="1:26" s="23" customFormat="1" hidden="1" outlineLevel="1" x14ac:dyDescent="0.25">
      <c r="A100" s="44"/>
      <c r="B100" s="10" t="str">
        <f>CONCATENATE("          ", "4295", " - ", "SALES RETURN TAXABLE-CUSTOMER")</f>
        <v xml:space="preserve">          4295 - SALES RETURN TAXABLE-CUSTOMER</v>
      </c>
      <c r="C100" s="10"/>
      <c r="D100" s="2">
        <f t="shared" si="31"/>
        <v>0</v>
      </c>
      <c r="E100" s="2"/>
      <c r="F100" s="19"/>
      <c r="G100" s="2"/>
      <c r="H100" s="2">
        <f>0</f>
        <v>0</v>
      </c>
      <c r="I100" s="2"/>
      <c r="J100" s="19"/>
      <c r="K100" s="2"/>
      <c r="L100" s="2">
        <f t="shared" si="0"/>
        <v>0</v>
      </c>
      <c r="M100" s="2"/>
      <c r="N100" s="19">
        <f t="shared" si="1"/>
        <v>0</v>
      </c>
      <c r="O100" s="10"/>
      <c r="P100" s="2">
        <f t="shared" si="32"/>
        <v>0</v>
      </c>
      <c r="Q100" s="2"/>
      <c r="R100" s="19"/>
      <c r="S100" s="2"/>
      <c r="T100" s="2">
        <f>--0.99</f>
        <v>0.99</v>
      </c>
      <c r="U100" s="2"/>
      <c r="V100" s="19"/>
      <c r="W100" s="2"/>
      <c r="X100" s="2">
        <f t="shared" si="2"/>
        <v>-0.99</v>
      </c>
      <c r="Y100" s="2"/>
      <c r="Z100" s="19">
        <f t="shared" si="3"/>
        <v>-1</v>
      </c>
    </row>
    <row r="101" spans="1:26" s="23" customFormat="1" hidden="1" outlineLevel="1" x14ac:dyDescent="0.25">
      <c r="A101" s="44"/>
      <c r="B101" s="10" t="str">
        <f>CONCATENATE("          ", "4301", " - ", "SALES RETURN NON TAXABLE-NEW T")</f>
        <v xml:space="preserve">          4301 - SALES RETURN NON TAXABLE-NEW T</v>
      </c>
      <c r="C101" s="10"/>
      <c r="D101" s="2">
        <f>-169.32</f>
        <v>-169.32</v>
      </c>
      <c r="E101" s="2"/>
      <c r="F101" s="19"/>
      <c r="G101" s="2"/>
      <c r="H101" s="2">
        <f>-253.49</f>
        <v>-253.49</v>
      </c>
      <c r="I101" s="2"/>
      <c r="J101" s="19"/>
      <c r="K101" s="2"/>
      <c r="L101" s="2">
        <f t="shared" si="0"/>
        <v>84.170000000000016</v>
      </c>
      <c r="M101" s="2"/>
      <c r="N101" s="19">
        <f t="shared" si="1"/>
        <v>-0.33204465659394855</v>
      </c>
      <c r="O101" s="10"/>
      <c r="P101" s="2">
        <f>-4965.68</f>
        <v>-4965.68</v>
      </c>
      <c r="Q101" s="2"/>
      <c r="R101" s="19"/>
      <c r="S101" s="2"/>
      <c r="T101" s="2">
        <f>-21543.36</f>
        <v>-21543.360000000001</v>
      </c>
      <c r="U101" s="2"/>
      <c r="V101" s="19"/>
      <c r="W101" s="2"/>
      <c r="X101" s="2">
        <f t="shared" si="2"/>
        <v>16577.68</v>
      </c>
      <c r="Y101" s="2"/>
      <c r="Z101" s="19">
        <f t="shared" si="3"/>
        <v>-0.76950299303358438</v>
      </c>
    </row>
    <row r="102" spans="1:26" s="23" customFormat="1" hidden="1" outlineLevel="1" x14ac:dyDescent="0.25">
      <c r="A102" s="44"/>
      <c r="B102" s="10" t="str">
        <f>CONCATENATE("          ", "4302", " - ", "SALES RETURN NON TAXABLE-TEXT")</f>
        <v xml:space="preserve">          4302 - SALES RETURN NON TAXABLE-TEXT</v>
      </c>
      <c r="C102" s="10"/>
      <c r="D102" s="2">
        <f>-111.43</f>
        <v>-111.43</v>
      </c>
      <c r="E102" s="2"/>
      <c r="F102" s="19"/>
      <c r="G102" s="2"/>
      <c r="H102" s="2">
        <f>-95.75</f>
        <v>-95.75</v>
      </c>
      <c r="I102" s="2"/>
      <c r="J102" s="19"/>
      <c r="K102" s="2"/>
      <c r="L102" s="2">
        <f t="shared" si="0"/>
        <v>-15.680000000000007</v>
      </c>
      <c r="M102" s="2"/>
      <c r="N102" s="19">
        <f t="shared" si="1"/>
        <v>0.16375979112271546</v>
      </c>
      <c r="O102" s="10"/>
      <c r="P102" s="2">
        <f>-2688.97</f>
        <v>-2688.97</v>
      </c>
      <c r="Q102" s="2"/>
      <c r="R102" s="19"/>
      <c r="S102" s="2"/>
      <c r="T102" s="2">
        <f>-1475.62</f>
        <v>-1475.62</v>
      </c>
      <c r="U102" s="2"/>
      <c r="V102" s="19"/>
      <c r="W102" s="2"/>
      <c r="X102" s="2">
        <f t="shared" si="2"/>
        <v>-1213.3499999999999</v>
      </c>
      <c r="Y102" s="2"/>
      <c r="Z102" s="19">
        <f t="shared" si="3"/>
        <v>0.82226453965112967</v>
      </c>
    </row>
    <row r="103" spans="1:26" s="23" customFormat="1" hidden="1" outlineLevel="1" x14ac:dyDescent="0.25">
      <c r="A103" s="44"/>
      <c r="B103" s="10" t="str">
        <f>CONCATENATE("          ", "4303", " - ", "SALES RETURN NON-TAXABLE-RENTA")</f>
        <v xml:space="preserve">          4303 - SALES RETURN NON-TAXABLE-RENTA</v>
      </c>
      <c r="C103" s="10"/>
      <c r="D103" s="2">
        <f>0</f>
        <v>0</v>
      </c>
      <c r="E103" s="2"/>
      <c r="F103" s="19"/>
      <c r="G103" s="2"/>
      <c r="H103" s="2">
        <f>0</f>
        <v>0</v>
      </c>
      <c r="I103" s="2"/>
      <c r="J103" s="19"/>
      <c r="K103" s="2"/>
      <c r="L103" s="2">
        <f t="shared" si="0"/>
        <v>0</v>
      </c>
      <c r="M103" s="2"/>
      <c r="N103" s="19">
        <f t="shared" si="1"/>
        <v>0</v>
      </c>
      <c r="O103" s="10"/>
      <c r="P103" s="2">
        <f>0</f>
        <v>0</v>
      </c>
      <c r="Q103" s="2"/>
      <c r="R103" s="19"/>
      <c r="S103" s="2"/>
      <c r="T103" s="2">
        <f>-184.99</f>
        <v>-184.99</v>
      </c>
      <c r="U103" s="2"/>
      <c r="V103" s="19"/>
      <c r="W103" s="2"/>
      <c r="X103" s="2">
        <f t="shared" si="2"/>
        <v>184.99</v>
      </c>
      <c r="Y103" s="2"/>
      <c r="Z103" s="19">
        <f t="shared" si="3"/>
        <v>-1</v>
      </c>
    </row>
    <row r="104" spans="1:26" s="23" customFormat="1" hidden="1" outlineLevel="1" x14ac:dyDescent="0.25">
      <c r="A104" s="44"/>
      <c r="B104" s="10" t="str">
        <f>CONCATENATE("          ", "4304", " - ", "SALES RETURN NON TAXABLE-DIGIT")</f>
        <v xml:space="preserve">          4304 - SALES RETURN NON TAXABLE-DIGIT</v>
      </c>
      <c r="C104" s="10"/>
      <c r="D104" s="2">
        <f>-144.89</f>
        <v>-144.88999999999999</v>
      </c>
      <c r="E104" s="2"/>
      <c r="F104" s="19"/>
      <c r="G104" s="2"/>
      <c r="H104" s="2">
        <f>-398.87</f>
        <v>-398.87</v>
      </c>
      <c r="I104" s="2"/>
      <c r="J104" s="19"/>
      <c r="K104" s="2"/>
      <c r="L104" s="2">
        <f t="shared" si="0"/>
        <v>253.98000000000002</v>
      </c>
      <c r="M104" s="2"/>
      <c r="N104" s="19">
        <f t="shared" si="1"/>
        <v>-0.63674881540351502</v>
      </c>
      <c r="O104" s="10"/>
      <c r="P104" s="2">
        <f>-31026.87</f>
        <v>-31026.87</v>
      </c>
      <c r="Q104" s="2"/>
      <c r="R104" s="19"/>
      <c r="S104" s="2"/>
      <c r="T104" s="2">
        <f>-19873.2</f>
        <v>-19873.2</v>
      </c>
      <c r="U104" s="2"/>
      <c r="V104" s="19"/>
      <c r="W104" s="2"/>
      <c r="X104" s="2">
        <f t="shared" si="2"/>
        <v>-11153.669999999998</v>
      </c>
      <c r="Y104" s="2"/>
      <c r="Z104" s="19">
        <f t="shared" si="3"/>
        <v>0.56124177283980425</v>
      </c>
    </row>
    <row r="105" spans="1:26" s="23" customFormat="1" hidden="1" outlineLevel="1" x14ac:dyDescent="0.25">
      <c r="A105" s="44"/>
      <c r="B105" s="10" t="str">
        <f>CONCATENATE("          ", "4311", " - ", "SALES RETURN NON TAXABLE-NO VA")</f>
        <v xml:space="preserve">          4311 - SALES RETURN NON TAXABLE-NO VA</v>
      </c>
      <c r="C105" s="10"/>
      <c r="D105" s="2">
        <f t="shared" ref="D105:D110" si="33">0</f>
        <v>0</v>
      </c>
      <c r="E105" s="2"/>
      <c r="F105" s="19"/>
      <c r="G105" s="2"/>
      <c r="H105" s="2">
        <f>-70.37</f>
        <v>-70.37</v>
      </c>
      <c r="I105" s="2"/>
      <c r="J105" s="19"/>
      <c r="K105" s="2"/>
      <c r="L105" s="2">
        <f t="shared" si="0"/>
        <v>70.37</v>
      </c>
      <c r="M105" s="2"/>
      <c r="N105" s="19">
        <f t="shared" si="1"/>
        <v>-1</v>
      </c>
      <c r="O105" s="10"/>
      <c r="P105" s="2">
        <f t="shared" ref="P105:P107" si="34">0</f>
        <v>0</v>
      </c>
      <c r="Q105" s="2"/>
      <c r="R105" s="19"/>
      <c r="S105" s="2"/>
      <c r="T105" s="2">
        <f>-1011.65</f>
        <v>-1011.65</v>
      </c>
      <c r="U105" s="2"/>
      <c r="V105" s="19"/>
      <c r="W105" s="2"/>
      <c r="X105" s="2">
        <f t="shared" si="2"/>
        <v>1011.65</v>
      </c>
      <c r="Y105" s="2"/>
      <c r="Z105" s="19">
        <f t="shared" si="3"/>
        <v>-1</v>
      </c>
    </row>
    <row r="106" spans="1:26" s="23" customFormat="1" hidden="1" outlineLevel="1" x14ac:dyDescent="0.25">
      <c r="A106" s="44"/>
      <c r="B106" s="10" t="str">
        <f>CONCATENATE("          ", "4313", " - ", "SALES RETURN NON TAXABLE-TRADE")</f>
        <v xml:space="preserve">          4313 - SALES RETURN NON TAXABLE-TRADE</v>
      </c>
      <c r="C106" s="10"/>
      <c r="D106" s="2">
        <f t="shared" si="33"/>
        <v>0</v>
      </c>
      <c r="E106" s="2"/>
      <c r="F106" s="19"/>
      <c r="G106" s="2"/>
      <c r="H106" s="2">
        <f>0</f>
        <v>0</v>
      </c>
      <c r="I106" s="2"/>
      <c r="J106" s="19"/>
      <c r="K106" s="2"/>
      <c r="L106" s="2">
        <f t="shared" si="0"/>
        <v>0</v>
      </c>
      <c r="M106" s="2"/>
      <c r="N106" s="19">
        <f t="shared" si="1"/>
        <v>0</v>
      </c>
      <c r="O106" s="10"/>
      <c r="P106" s="2">
        <f t="shared" si="34"/>
        <v>0</v>
      </c>
      <c r="Q106" s="2"/>
      <c r="R106" s="19"/>
      <c r="S106" s="2"/>
      <c r="T106" s="2">
        <f>-2481.44</f>
        <v>-2481.44</v>
      </c>
      <c r="U106" s="2"/>
      <c r="V106" s="19"/>
      <c r="W106" s="2"/>
      <c r="X106" s="2">
        <f t="shared" si="2"/>
        <v>2481.44</v>
      </c>
      <c r="Y106" s="2"/>
      <c r="Z106" s="19">
        <f t="shared" si="3"/>
        <v>-1</v>
      </c>
    </row>
    <row r="107" spans="1:26" s="23" customFormat="1" hidden="1" outlineLevel="1" x14ac:dyDescent="0.25">
      <c r="A107" s="44"/>
      <c r="B107" s="10" t="str">
        <f>CONCATENATE("          ", "4326", " - ", "SALES RETURN NON TAXABLE-WRITI")</f>
        <v xml:space="preserve">          4326 - SALES RETURN NON TAXABLE-WRITI</v>
      </c>
      <c r="C107" s="10"/>
      <c r="D107" s="2">
        <f t="shared" si="33"/>
        <v>0</v>
      </c>
      <c r="E107" s="2"/>
      <c r="F107" s="19"/>
      <c r="G107" s="2"/>
      <c r="H107" s="2">
        <f>-2.98</f>
        <v>-2.98</v>
      </c>
      <c r="I107" s="2"/>
      <c r="J107" s="19"/>
      <c r="K107" s="2"/>
      <c r="L107" s="2">
        <f t="shared" si="0"/>
        <v>2.98</v>
      </c>
      <c r="M107" s="2"/>
      <c r="N107" s="19">
        <f t="shared" si="1"/>
        <v>-1</v>
      </c>
      <c r="O107" s="10"/>
      <c r="P107" s="2">
        <f t="shared" si="34"/>
        <v>0</v>
      </c>
      <c r="Q107" s="2"/>
      <c r="R107" s="19"/>
      <c r="S107" s="2"/>
      <c r="T107" s="2">
        <f>-2.98</f>
        <v>-2.98</v>
      </c>
      <c r="U107" s="2"/>
      <c r="V107" s="19"/>
      <c r="W107" s="2"/>
      <c r="X107" s="2">
        <f t="shared" si="2"/>
        <v>2.98</v>
      </c>
      <c r="Y107" s="2"/>
      <c r="Z107" s="19">
        <f t="shared" si="3"/>
        <v>-1</v>
      </c>
    </row>
    <row r="108" spans="1:26" s="23" customFormat="1" hidden="1" outlineLevel="1" x14ac:dyDescent="0.25">
      <c r="A108" s="44"/>
      <c r="B108" s="10" t="str">
        <f>CONCATENATE("          ", "4327", " - ", "SALES RETURN NON TAXABLE-SCHOO")</f>
        <v xml:space="preserve">          4327 - SALES RETURN NON TAXABLE-SCHOO</v>
      </c>
      <c r="C108" s="10"/>
      <c r="D108" s="2">
        <f t="shared" si="33"/>
        <v>0</v>
      </c>
      <c r="E108" s="2"/>
      <c r="F108" s="19"/>
      <c r="G108" s="2"/>
      <c r="H108" s="2">
        <f t="shared" ref="H108:H110" si="35">0</f>
        <v>0</v>
      </c>
      <c r="I108" s="2"/>
      <c r="J108" s="19"/>
      <c r="K108" s="2"/>
      <c r="L108" s="2">
        <f t="shared" si="0"/>
        <v>0</v>
      </c>
      <c r="M108" s="2"/>
      <c r="N108" s="19">
        <f t="shared" si="1"/>
        <v>0</v>
      </c>
      <c r="O108" s="10"/>
      <c r="P108" s="2">
        <f>-17.41</f>
        <v>-17.41</v>
      </c>
      <c r="Q108" s="2"/>
      <c r="R108" s="19"/>
      <c r="S108" s="2"/>
      <c r="T108" s="2">
        <f>-21.87</f>
        <v>-21.87</v>
      </c>
      <c r="U108" s="2"/>
      <c r="V108" s="19"/>
      <c r="W108" s="2"/>
      <c r="X108" s="2">
        <f t="shared" si="2"/>
        <v>4.4600000000000009</v>
      </c>
      <c r="Y108" s="2"/>
      <c r="Z108" s="19">
        <f t="shared" si="3"/>
        <v>-0.20393232738911754</v>
      </c>
    </row>
    <row r="109" spans="1:26" s="23" customFormat="1" hidden="1" outlineLevel="1" x14ac:dyDescent="0.25">
      <c r="A109" s="44"/>
      <c r="B109" s="10" t="str">
        <f>CONCATENATE("          ", "4331", " - ", "SALES RETURN NON TAXABLE-FOOD")</f>
        <v xml:space="preserve">          4331 - SALES RETURN NON TAXABLE-FOOD</v>
      </c>
      <c r="C109" s="10"/>
      <c r="D109" s="2">
        <f t="shared" si="33"/>
        <v>0</v>
      </c>
      <c r="E109" s="2"/>
      <c r="F109" s="19"/>
      <c r="G109" s="2"/>
      <c r="H109" s="2">
        <f t="shared" si="35"/>
        <v>0</v>
      </c>
      <c r="I109" s="2"/>
      <c r="J109" s="19"/>
      <c r="K109" s="2"/>
      <c r="L109" s="2">
        <f t="shared" si="0"/>
        <v>0</v>
      </c>
      <c r="M109" s="2"/>
      <c r="N109" s="19">
        <f t="shared" si="1"/>
        <v>0</v>
      </c>
      <c r="O109" s="10"/>
      <c r="P109" s="2">
        <f t="shared" ref="P109:P110" si="36">0</f>
        <v>0</v>
      </c>
      <c r="Q109" s="2"/>
      <c r="R109" s="19"/>
      <c r="S109" s="2"/>
      <c r="T109" s="2">
        <f>-12.57</f>
        <v>-12.57</v>
      </c>
      <c r="U109" s="2"/>
      <c r="V109" s="19"/>
      <c r="W109" s="2"/>
      <c r="X109" s="2">
        <f t="shared" si="2"/>
        <v>12.57</v>
      </c>
      <c r="Y109" s="2"/>
      <c r="Z109" s="19">
        <f t="shared" si="3"/>
        <v>-1</v>
      </c>
    </row>
    <row r="110" spans="1:26" s="23" customFormat="1" hidden="1" outlineLevel="1" x14ac:dyDescent="0.25">
      <c r="A110" s="44"/>
      <c r="B110" s="10" t="str">
        <f>CONCATENATE("          ", "4332", " - ", "SALES RETURN NON TAXABLE-JUICE")</f>
        <v xml:space="preserve">          4332 - SALES RETURN NON TAXABLE-JUICE</v>
      </c>
      <c r="C110" s="10"/>
      <c r="D110" s="2">
        <f t="shared" si="33"/>
        <v>0</v>
      </c>
      <c r="E110" s="2"/>
      <c r="F110" s="19"/>
      <c r="G110" s="2"/>
      <c r="H110" s="2">
        <f t="shared" si="35"/>
        <v>0</v>
      </c>
      <c r="I110" s="2"/>
      <c r="J110" s="19"/>
      <c r="K110" s="2"/>
      <c r="L110" s="2">
        <f t="shared" si="0"/>
        <v>0</v>
      </c>
      <c r="M110" s="2"/>
      <c r="N110" s="19">
        <f t="shared" si="1"/>
        <v>0</v>
      </c>
      <c r="O110" s="10"/>
      <c r="P110" s="2">
        <f t="shared" si="36"/>
        <v>0</v>
      </c>
      <c r="Q110" s="2"/>
      <c r="R110" s="19"/>
      <c r="S110" s="2"/>
      <c r="T110" s="2">
        <f>-2.79</f>
        <v>-2.79</v>
      </c>
      <c r="U110" s="2"/>
      <c r="V110" s="19"/>
      <c r="W110" s="2"/>
      <c r="X110" s="2">
        <f t="shared" si="2"/>
        <v>2.79</v>
      </c>
      <c r="Y110" s="2"/>
      <c r="Z110" s="19">
        <f t="shared" si="3"/>
        <v>-1</v>
      </c>
    </row>
    <row r="111" spans="1:26" s="23" customFormat="1" hidden="1" outlineLevel="1" x14ac:dyDescent="0.25">
      <c r="A111" s="44"/>
      <c r="B111" s="10" t="str">
        <f>CONCATENATE("          ", "4340", " - ", "SALES RETURN NON TAXABLE-LOGO")</f>
        <v xml:space="preserve">          4340 - SALES RETURN NON TAXABLE-LOGO</v>
      </c>
      <c r="C111" s="10"/>
      <c r="D111" s="2">
        <f>-286.5</f>
        <v>-286.5</v>
      </c>
      <c r="E111" s="2"/>
      <c r="F111" s="19"/>
      <c r="G111" s="2"/>
      <c r="H111" s="2">
        <f>-1045.65</f>
        <v>-1045.6500000000001</v>
      </c>
      <c r="I111" s="2"/>
      <c r="J111" s="19"/>
      <c r="K111" s="2"/>
      <c r="L111" s="2">
        <f t="shared" si="0"/>
        <v>759.15000000000009</v>
      </c>
      <c r="M111" s="2"/>
      <c r="N111" s="19">
        <f t="shared" si="1"/>
        <v>-0.72600774637785115</v>
      </c>
      <c r="O111" s="10"/>
      <c r="P111" s="2">
        <f>-3737.76</f>
        <v>-3737.76</v>
      </c>
      <c r="Q111" s="2"/>
      <c r="R111" s="19"/>
      <c r="S111" s="2"/>
      <c r="T111" s="2">
        <f>-2664.48</f>
        <v>-2664.48</v>
      </c>
      <c r="U111" s="2"/>
      <c r="V111" s="19"/>
      <c r="W111" s="2"/>
      <c r="X111" s="2">
        <f t="shared" si="2"/>
        <v>-1073.2800000000002</v>
      </c>
      <c r="Y111" s="2"/>
      <c r="Z111" s="19">
        <f t="shared" si="3"/>
        <v>0.40281030444964877</v>
      </c>
    </row>
    <row r="112" spans="1:26" s="23" customFormat="1" hidden="1" outlineLevel="1" x14ac:dyDescent="0.25">
      <c r="A112" s="44"/>
      <c r="B112" s="10" t="str">
        <f>CONCATENATE("          ", "4341", " - ", "SALES RETURN NON TAXABLE-LOGO")</f>
        <v xml:space="preserve">          4341 - SALES RETURN NON TAXABLE-LOGO</v>
      </c>
      <c r="C112" s="10"/>
      <c r="D112" s="2">
        <f>-20.85</f>
        <v>-20.85</v>
      </c>
      <c r="E112" s="2"/>
      <c r="F112" s="19"/>
      <c r="G112" s="2"/>
      <c r="H112" s="2">
        <f>-9.9</f>
        <v>-9.9</v>
      </c>
      <c r="I112" s="2"/>
      <c r="J112" s="19"/>
      <c r="K112" s="2"/>
      <c r="L112" s="2">
        <f t="shared" si="0"/>
        <v>-10.950000000000001</v>
      </c>
      <c r="M112" s="2"/>
      <c r="N112" s="19">
        <f t="shared" si="1"/>
        <v>1.1060606060606062</v>
      </c>
      <c r="O112" s="10"/>
      <c r="P112" s="2">
        <f>-527.59</f>
        <v>-527.59</v>
      </c>
      <c r="Q112" s="2"/>
      <c r="R112" s="19"/>
      <c r="S112" s="2"/>
      <c r="T112" s="2">
        <f>-295.35</f>
        <v>-295.35000000000002</v>
      </c>
      <c r="U112" s="2"/>
      <c r="V112" s="19"/>
      <c r="W112" s="2"/>
      <c r="X112" s="2">
        <f t="shared" si="2"/>
        <v>-232.24</v>
      </c>
      <c r="Y112" s="2"/>
      <c r="Z112" s="19">
        <f t="shared" si="3"/>
        <v>0.78632131369561531</v>
      </c>
    </row>
    <row r="113" spans="1:26" s="23" customFormat="1" hidden="1" outlineLevel="1" x14ac:dyDescent="0.25">
      <c r="A113" s="44"/>
      <c r="B113" s="10" t="str">
        <f>CONCATENATE("          ", "4342", " - ", "SALES RETURN NON TAXABLE-EVERY")</f>
        <v xml:space="preserve">          4342 - SALES RETURN NON TAXABLE-EVERY</v>
      </c>
      <c r="C113" s="10"/>
      <c r="D113" s="2">
        <f t="shared" ref="D113:D115" si="37">0</f>
        <v>0</v>
      </c>
      <c r="E113" s="2"/>
      <c r="F113" s="19"/>
      <c r="G113" s="2"/>
      <c r="H113" s="2">
        <f>-36.8</f>
        <v>-36.799999999999997</v>
      </c>
      <c r="I113" s="2"/>
      <c r="J113" s="19"/>
      <c r="K113" s="2"/>
      <c r="L113" s="2">
        <f t="shared" si="0"/>
        <v>36.799999999999997</v>
      </c>
      <c r="M113" s="2"/>
      <c r="N113" s="19">
        <f t="shared" si="1"/>
        <v>-1</v>
      </c>
      <c r="O113" s="10"/>
      <c r="P113" s="2">
        <f>-118.7</f>
        <v>-118.7</v>
      </c>
      <c r="Q113" s="2"/>
      <c r="R113" s="19"/>
      <c r="S113" s="2"/>
      <c r="T113" s="2">
        <f>-186.02</f>
        <v>-186.02</v>
      </c>
      <c r="U113" s="2"/>
      <c r="V113" s="19"/>
      <c r="W113" s="2"/>
      <c r="X113" s="2">
        <f t="shared" si="2"/>
        <v>67.320000000000007</v>
      </c>
      <c r="Y113" s="2"/>
      <c r="Z113" s="19">
        <f t="shared" si="3"/>
        <v>-0.36189657026126226</v>
      </c>
    </row>
    <row r="114" spans="1:26" s="23" customFormat="1" hidden="1" outlineLevel="1" x14ac:dyDescent="0.25">
      <c r="A114" s="44"/>
      <c r="B114" s="10" t="str">
        <f>CONCATENATE("          ", "4346", " - ", "SALES RETURN NON TAXABLE-COIN-")</f>
        <v xml:space="preserve">          4346 - SALES RETURN NON TAXABLE-COIN-</v>
      </c>
      <c r="C114" s="10"/>
      <c r="D114" s="2">
        <f t="shared" si="37"/>
        <v>0</v>
      </c>
      <c r="E114" s="2"/>
      <c r="F114" s="19"/>
      <c r="G114" s="2"/>
      <c r="H114" s="2">
        <f t="shared" ref="H114:H115" si="38">0</f>
        <v>0</v>
      </c>
      <c r="I114" s="2"/>
      <c r="J114" s="19"/>
      <c r="K114" s="2"/>
      <c r="L114" s="2">
        <f t="shared" si="0"/>
        <v>0</v>
      </c>
      <c r="M114" s="2"/>
      <c r="N114" s="19">
        <f t="shared" si="1"/>
        <v>0</v>
      </c>
      <c r="O114" s="10"/>
      <c r="P114" s="2">
        <f t="shared" ref="P114:P115" si="39">0</f>
        <v>0</v>
      </c>
      <c r="Q114" s="2"/>
      <c r="R114" s="19"/>
      <c r="S114" s="2"/>
      <c r="T114" s="2">
        <f>-8.15</f>
        <v>-8.15</v>
      </c>
      <c r="U114" s="2"/>
      <c r="V114" s="19"/>
      <c r="W114" s="2"/>
      <c r="X114" s="2">
        <f t="shared" si="2"/>
        <v>8.15</v>
      </c>
      <c r="Y114" s="2"/>
      <c r="Z114" s="19">
        <f t="shared" si="3"/>
        <v>-1</v>
      </c>
    </row>
    <row r="115" spans="1:26" s="23" customFormat="1" hidden="1" outlineLevel="1" x14ac:dyDescent="0.25">
      <c r="A115" s="44"/>
      <c r="B115" s="10" t="str">
        <f>CONCATENATE("          ", "4347", " - ", "SALES RETURN NON TAXABLE-MISC")</f>
        <v xml:space="preserve">          4347 - SALES RETURN NON TAXABLE-MISC</v>
      </c>
      <c r="C115" s="10"/>
      <c r="D115" s="2">
        <f t="shared" si="37"/>
        <v>0</v>
      </c>
      <c r="E115" s="2"/>
      <c r="F115" s="19"/>
      <c r="G115" s="2"/>
      <c r="H115" s="2">
        <f t="shared" si="38"/>
        <v>0</v>
      </c>
      <c r="I115" s="2"/>
      <c r="J115" s="19"/>
      <c r="K115" s="2"/>
      <c r="L115" s="2">
        <f t="shared" si="0"/>
        <v>0</v>
      </c>
      <c r="M115" s="2"/>
      <c r="N115" s="19">
        <f t="shared" si="1"/>
        <v>0</v>
      </c>
      <c r="O115" s="10"/>
      <c r="P115" s="2">
        <f t="shared" si="39"/>
        <v>0</v>
      </c>
      <c r="Q115" s="2"/>
      <c r="R115" s="19"/>
      <c r="S115" s="2"/>
      <c r="T115" s="2">
        <f>-84</f>
        <v>-84</v>
      </c>
      <c r="U115" s="2"/>
      <c r="V115" s="19"/>
      <c r="W115" s="2"/>
      <c r="X115" s="2">
        <f t="shared" si="2"/>
        <v>84</v>
      </c>
      <c r="Y115" s="2"/>
      <c r="Z115" s="19">
        <f t="shared" si="3"/>
        <v>-1</v>
      </c>
    </row>
    <row r="116" spans="1:26" x14ac:dyDescent="0.25">
      <c r="A116" s="9"/>
      <c r="B116" s="11"/>
      <c r="C116" s="9"/>
      <c r="D116" s="3"/>
      <c r="E116" s="3"/>
      <c r="F116" s="8"/>
      <c r="G116" s="3"/>
      <c r="H116" s="3"/>
      <c r="I116" s="3"/>
      <c r="J116" s="8"/>
      <c r="K116" s="3"/>
      <c r="L116" s="3"/>
      <c r="M116" s="3"/>
      <c r="N116" s="8"/>
      <c r="P116" s="3"/>
      <c r="Q116" s="3"/>
      <c r="R116" s="8"/>
      <c r="S116" s="3"/>
      <c r="T116" s="3"/>
      <c r="U116" s="3"/>
      <c r="V116" s="8"/>
      <c r="W116" s="3"/>
      <c r="X116" s="3"/>
      <c r="Y116" s="3"/>
      <c r="Z116" s="8"/>
    </row>
    <row r="117" spans="1:26" s="24" customFormat="1" collapsed="1" x14ac:dyDescent="0.25">
      <c r="A117" s="11"/>
      <c r="B117" s="29" t="s">
        <v>256</v>
      </c>
      <c r="C117" s="11"/>
      <c r="D117" s="4">
        <f>SUM(OSRRefD16x_0)</f>
        <v>267244.33999999985</v>
      </c>
      <c r="E117" s="4"/>
      <c r="F117" s="13">
        <f t="shared" ref="F117:F170" si="40">IF(D$12=0,0,D117/D$12)</f>
        <v>1.0102295611488741</v>
      </c>
      <c r="G117" s="4"/>
      <c r="H117" s="4">
        <f>SUM(OSRRefH16x_0)</f>
        <v>267671.95</v>
      </c>
      <c r="I117" s="4"/>
      <c r="J117" s="13">
        <f t="shared" ref="J117:J170" si="41">IF(H$12=0,0,H117/H$12)</f>
        <v>1.2672540012636937</v>
      </c>
      <c r="K117" s="4"/>
      <c r="L117" s="4">
        <f t="shared" ref="L117:L170" si="42">+D117-H117</f>
        <v>-427.61000000016065</v>
      </c>
      <c r="M117" s="4"/>
      <c r="N117" s="13">
        <f t="shared" ref="N117:N170" si="43">IF(H117=0,0,L117/H117)</f>
        <v>-1.5975151673537726E-3</v>
      </c>
      <c r="O117" s="11"/>
      <c r="P117" s="4">
        <f>SUM(OSRRefP16x_0)</f>
        <v>3488416.0000000005</v>
      </c>
      <c r="Q117" s="4"/>
      <c r="R117" s="13">
        <f t="shared" ref="R117:R170" si="44">IF(P$12=0,0,P117/P$12)</f>
        <v>0.63694223438993902</v>
      </c>
      <c r="S117" s="4"/>
      <c r="T117" s="4">
        <f>SUM(OSRRefT16x_0)</f>
        <v>6748711.3300000001</v>
      </c>
      <c r="U117" s="4"/>
      <c r="V117" s="13">
        <f t="shared" ref="V117:V170" si="45">IF(T$12=0,0,T117/T$12)</f>
        <v>0.58165578634517645</v>
      </c>
      <c r="W117" s="4"/>
      <c r="X117" s="4">
        <f t="shared" ref="X117:X170" si="46">+P117-T117</f>
        <v>-3260295.3299999996</v>
      </c>
      <c r="Y117" s="4"/>
      <c r="Z117" s="13">
        <f t="shared" ref="Z117:Z170" si="47">IF(T117=0,0,X117/T117)</f>
        <v>-0.48309894594350644</v>
      </c>
    </row>
    <row r="118" spans="1:26" s="23" customFormat="1" hidden="1" outlineLevel="1" x14ac:dyDescent="0.25">
      <c r="A118" s="44"/>
      <c r="B118" s="10" t="str">
        <f>CONCATENATE("          ", "5000", " - ", "PURCHASES @ COST")</f>
        <v xml:space="preserve">          5000 - PURCHASES @ COST</v>
      </c>
      <c r="C118" s="10"/>
      <c r="D118" s="2"/>
      <c r="E118" s="2"/>
      <c r="F118" s="19">
        <f t="shared" si="40"/>
        <v>0</v>
      </c>
      <c r="G118" s="2"/>
      <c r="H118" s="2">
        <v>0</v>
      </c>
      <c r="I118" s="2"/>
      <c r="J118" s="19">
        <f t="shared" si="41"/>
        <v>0</v>
      </c>
      <c r="K118" s="2"/>
      <c r="L118" s="2">
        <f t="shared" si="42"/>
        <v>0</v>
      </c>
      <c r="M118" s="2"/>
      <c r="N118" s="19">
        <f t="shared" si="43"/>
        <v>0</v>
      </c>
      <c r="O118" s="10"/>
      <c r="P118" s="2">
        <v>0</v>
      </c>
      <c r="Q118" s="2"/>
      <c r="R118" s="19">
        <f t="shared" si="44"/>
        <v>0</v>
      </c>
      <c r="S118" s="2"/>
      <c r="T118" s="2">
        <v>0</v>
      </c>
      <c r="U118" s="2"/>
      <c r="V118" s="19">
        <f t="shared" si="45"/>
        <v>0</v>
      </c>
      <c r="W118" s="2"/>
      <c r="X118" s="2">
        <f t="shared" si="46"/>
        <v>0</v>
      </c>
      <c r="Y118" s="2"/>
      <c r="Z118" s="19">
        <f t="shared" si="47"/>
        <v>0</v>
      </c>
    </row>
    <row r="119" spans="1:26" s="23" customFormat="1" hidden="1" outlineLevel="1" x14ac:dyDescent="0.25">
      <c r="A119" s="44"/>
      <c r="B119" s="10" t="str">
        <f>CONCATENATE("          ", "5001", " - ", "PURCHASES @ COST-NEW TEXT")</f>
        <v xml:space="preserve">          5001 - PURCHASES @ COST-NEW TEXT</v>
      </c>
      <c r="C119" s="10"/>
      <c r="D119" s="2">
        <v>142777.26</v>
      </c>
      <c r="E119" s="2"/>
      <c r="F119" s="19">
        <f t="shared" si="40"/>
        <v>0.53972259510468501</v>
      </c>
      <c r="G119" s="2"/>
      <c r="H119" s="2">
        <v>21388.81</v>
      </c>
      <c r="I119" s="2"/>
      <c r="J119" s="19">
        <f t="shared" si="41"/>
        <v>0.10126221688439489</v>
      </c>
      <c r="K119" s="2"/>
      <c r="L119" s="2">
        <f t="shared" si="42"/>
        <v>121388.45000000001</v>
      </c>
      <c r="M119" s="2"/>
      <c r="N119" s="19">
        <f t="shared" si="43"/>
        <v>5.6753250882120136</v>
      </c>
      <c r="O119" s="10"/>
      <c r="P119" s="2">
        <v>1214343.74</v>
      </c>
      <c r="Q119" s="2"/>
      <c r="R119" s="19">
        <f t="shared" si="44"/>
        <v>0.22172436288362254</v>
      </c>
      <c r="S119" s="2"/>
      <c r="T119" s="2">
        <v>1662669.27</v>
      </c>
      <c r="U119" s="2"/>
      <c r="V119" s="19">
        <f t="shared" si="45"/>
        <v>0.14330161039408551</v>
      </c>
      <c r="W119" s="2"/>
      <c r="X119" s="2">
        <f t="shared" si="46"/>
        <v>-448325.53</v>
      </c>
      <c r="Y119" s="2"/>
      <c r="Z119" s="19">
        <f t="shared" si="47"/>
        <v>-0.26964203770964024</v>
      </c>
    </row>
    <row r="120" spans="1:26" s="23" customFormat="1" hidden="1" outlineLevel="1" x14ac:dyDescent="0.25">
      <c r="A120" s="44"/>
      <c r="B120" s="10" t="str">
        <f>CONCATENATE("          ", "5002", " - ", "PURCHASES @ COST-USED TEXT")</f>
        <v xml:space="preserve">          5002 - PURCHASES @ COST-USED TEXT</v>
      </c>
      <c r="C120" s="10"/>
      <c r="D120" s="2">
        <v>-17366.759999999998</v>
      </c>
      <c r="E120" s="2"/>
      <c r="F120" s="19">
        <f t="shared" si="40"/>
        <v>-6.5649339227831088E-2</v>
      </c>
      <c r="G120" s="2"/>
      <c r="H120" s="2">
        <v>121021.81</v>
      </c>
      <c r="I120" s="2"/>
      <c r="J120" s="19">
        <f t="shared" si="41"/>
        <v>0.57296019610076621</v>
      </c>
      <c r="K120" s="2"/>
      <c r="L120" s="2">
        <f t="shared" si="42"/>
        <v>-138388.57</v>
      </c>
      <c r="M120" s="2"/>
      <c r="N120" s="19">
        <f t="shared" si="43"/>
        <v>-1.1435010763762334</v>
      </c>
      <c r="O120" s="10"/>
      <c r="P120" s="2">
        <v>262546.52</v>
      </c>
      <c r="Q120" s="2"/>
      <c r="R120" s="19">
        <f t="shared" si="44"/>
        <v>4.7937793852597513E-2</v>
      </c>
      <c r="S120" s="2"/>
      <c r="T120" s="2">
        <v>731343.19</v>
      </c>
      <c r="U120" s="2"/>
      <c r="V120" s="19">
        <f t="shared" si="45"/>
        <v>6.3032774327841906E-2</v>
      </c>
      <c r="W120" s="2"/>
      <c r="X120" s="2">
        <f t="shared" si="46"/>
        <v>-468796.66999999993</v>
      </c>
      <c r="Y120" s="2"/>
      <c r="Z120" s="19">
        <f t="shared" si="47"/>
        <v>-0.64100777365548445</v>
      </c>
    </row>
    <row r="121" spans="1:26" s="23" customFormat="1" hidden="1" outlineLevel="1" x14ac:dyDescent="0.25">
      <c r="A121" s="44"/>
      <c r="B121" s="10" t="str">
        <f>CONCATENATE("          ", "5003", " - ", "PURCHASES @ COST-RENTAL TEXT")</f>
        <v xml:space="preserve">          5003 - PURCHASES @ COST-RENTAL TEXT</v>
      </c>
      <c r="C121" s="10"/>
      <c r="D121" s="2">
        <v>6024.36</v>
      </c>
      <c r="E121" s="2"/>
      <c r="F121" s="19">
        <f t="shared" si="40"/>
        <v>2.2773116762745411E-2</v>
      </c>
      <c r="G121" s="2"/>
      <c r="H121" s="2">
        <v>24656.6</v>
      </c>
      <c r="I121" s="2"/>
      <c r="J121" s="19">
        <f t="shared" si="41"/>
        <v>0.11673309439991149</v>
      </c>
      <c r="K121" s="2"/>
      <c r="L121" s="2">
        <f t="shared" si="42"/>
        <v>-18632.239999999998</v>
      </c>
      <c r="M121" s="2"/>
      <c r="N121" s="19">
        <f t="shared" si="43"/>
        <v>-0.75566947592125433</v>
      </c>
      <c r="O121" s="10"/>
      <c r="P121" s="2">
        <v>13236.44</v>
      </c>
      <c r="Q121" s="2"/>
      <c r="R121" s="19">
        <f t="shared" si="44"/>
        <v>2.4168125788232723E-3</v>
      </c>
      <c r="S121" s="2"/>
      <c r="T121" s="2">
        <v>24578.2</v>
      </c>
      <c r="U121" s="2"/>
      <c r="V121" s="19">
        <f t="shared" si="45"/>
        <v>2.1183380869172572E-3</v>
      </c>
      <c r="W121" s="2"/>
      <c r="X121" s="2">
        <f t="shared" si="46"/>
        <v>-11341.76</v>
      </c>
      <c r="Y121" s="2"/>
      <c r="Z121" s="19">
        <f t="shared" si="47"/>
        <v>-0.46145608710157782</v>
      </c>
    </row>
    <row r="122" spans="1:26" s="23" customFormat="1" hidden="1" outlineLevel="1" x14ac:dyDescent="0.25">
      <c r="A122" s="44"/>
      <c r="B122" s="10" t="str">
        <f>CONCATENATE("          ", "5004", " - ", "PURCHASES @ COST-DIGITAL TEXT")</f>
        <v xml:space="preserve">          5004 - PURCHASES @ COST-DIGITAL TEXT</v>
      </c>
      <c r="C122" s="10"/>
      <c r="D122" s="2">
        <v>178285.37</v>
      </c>
      <c r="E122" s="2"/>
      <c r="F122" s="19">
        <f t="shared" si="40"/>
        <v>0.67394935696061797</v>
      </c>
      <c r="G122" s="2"/>
      <c r="H122" s="2">
        <v>5038.95</v>
      </c>
      <c r="I122" s="2"/>
      <c r="J122" s="19">
        <f t="shared" si="41"/>
        <v>2.3856177495130474E-2</v>
      </c>
      <c r="K122" s="2"/>
      <c r="L122" s="2">
        <f t="shared" si="42"/>
        <v>173246.41999999998</v>
      </c>
      <c r="M122" s="2"/>
      <c r="N122" s="19">
        <f t="shared" si="43"/>
        <v>34.381452485140748</v>
      </c>
      <c r="O122" s="10"/>
      <c r="P122" s="2">
        <v>377891.8</v>
      </c>
      <c r="Q122" s="2"/>
      <c r="R122" s="19">
        <f t="shared" si="44"/>
        <v>6.8998435808583586E-2</v>
      </c>
      <c r="S122" s="2"/>
      <c r="T122" s="2">
        <v>451308.6</v>
      </c>
      <c r="U122" s="2"/>
      <c r="V122" s="19">
        <f t="shared" si="45"/>
        <v>3.8897242122421717E-2</v>
      </c>
      <c r="W122" s="2"/>
      <c r="X122" s="2">
        <f t="shared" si="46"/>
        <v>-73416.799999999988</v>
      </c>
      <c r="Y122" s="2"/>
      <c r="Z122" s="19">
        <f t="shared" si="47"/>
        <v>-0.16267538442653207</v>
      </c>
    </row>
    <row r="123" spans="1:26" s="23" customFormat="1" hidden="1" outlineLevel="1" x14ac:dyDescent="0.25">
      <c r="A123" s="44"/>
      <c r="B123" s="10" t="str">
        <f>CONCATENATE("          ", "5011", " - ", "PURCHASES @ COST-NO VALUE TEXT")</f>
        <v xml:space="preserve">          5011 - PURCHASES @ COST-NO VALUE TEXT</v>
      </c>
      <c r="C123" s="10"/>
      <c r="D123" s="2">
        <v>63.17</v>
      </c>
      <c r="E123" s="2"/>
      <c r="F123" s="19">
        <f t="shared" si="40"/>
        <v>2.3879346285790156E-4</v>
      </c>
      <c r="G123" s="2"/>
      <c r="H123" s="2">
        <v>99</v>
      </c>
      <c r="I123" s="2"/>
      <c r="J123" s="19">
        <f t="shared" si="41"/>
        <v>4.6870113258077912E-4</v>
      </c>
      <c r="K123" s="2"/>
      <c r="L123" s="2">
        <f t="shared" si="42"/>
        <v>-35.83</v>
      </c>
      <c r="M123" s="2"/>
      <c r="N123" s="19">
        <f t="shared" si="43"/>
        <v>-0.36191919191919192</v>
      </c>
      <c r="O123" s="10"/>
      <c r="P123" s="2">
        <v>130.34</v>
      </c>
      <c r="Q123" s="2"/>
      <c r="R123" s="19">
        <f t="shared" si="44"/>
        <v>2.379849502765285E-5</v>
      </c>
      <c r="S123" s="2"/>
      <c r="T123" s="2">
        <v>6462</v>
      </c>
      <c r="U123" s="2"/>
      <c r="V123" s="19">
        <f t="shared" si="45"/>
        <v>5.5694480139551774E-4</v>
      </c>
      <c r="W123" s="2"/>
      <c r="X123" s="2">
        <f t="shared" si="46"/>
        <v>-6331.66</v>
      </c>
      <c r="Y123" s="2"/>
      <c r="Z123" s="19">
        <f t="shared" si="47"/>
        <v>-0.97982977406375737</v>
      </c>
    </row>
    <row r="124" spans="1:26" s="23" customFormat="1" hidden="1" outlineLevel="1" x14ac:dyDescent="0.25">
      <c r="A124" s="44"/>
      <c r="B124" s="10" t="str">
        <f>CONCATENATE("          ", "5013", " - ", "PURCHASES @ COST-TRADE BOOKS")</f>
        <v xml:space="preserve">          5013 - PURCHASES @ COST-TRADE BOOKS</v>
      </c>
      <c r="C124" s="10"/>
      <c r="D124" s="2">
        <v>1964.92</v>
      </c>
      <c r="E124" s="2"/>
      <c r="F124" s="19">
        <f t="shared" si="40"/>
        <v>7.4277354921441817E-3</v>
      </c>
      <c r="G124" s="2"/>
      <c r="H124" s="2">
        <v>-420.76</v>
      </c>
      <c r="I124" s="2"/>
      <c r="J124" s="19">
        <f t="shared" si="41"/>
        <v>-1.9920271570170569E-3</v>
      </c>
      <c r="K124" s="2"/>
      <c r="L124" s="2">
        <f t="shared" si="42"/>
        <v>2385.6800000000003</v>
      </c>
      <c r="M124" s="2"/>
      <c r="N124" s="19">
        <f t="shared" si="43"/>
        <v>-5.6699306017682298</v>
      </c>
      <c r="O124" s="10"/>
      <c r="P124" s="2">
        <v>11634.94</v>
      </c>
      <c r="Q124" s="2"/>
      <c r="R124" s="19">
        <f t="shared" si="44"/>
        <v>2.1243982026779135E-3</v>
      </c>
      <c r="S124" s="2"/>
      <c r="T124" s="2">
        <v>2777.09</v>
      </c>
      <c r="U124" s="2"/>
      <c r="V124" s="19">
        <f t="shared" si="45"/>
        <v>2.3935094993925697E-4</v>
      </c>
      <c r="W124" s="2"/>
      <c r="X124" s="2">
        <f t="shared" si="46"/>
        <v>8857.85</v>
      </c>
      <c r="Y124" s="2"/>
      <c r="Z124" s="19">
        <f t="shared" si="47"/>
        <v>3.1896157488594175</v>
      </c>
    </row>
    <row r="125" spans="1:26" s="23" customFormat="1" hidden="1" outlineLevel="1" x14ac:dyDescent="0.25">
      <c r="A125" s="44"/>
      <c r="B125" s="10" t="str">
        <f>CONCATENATE("          ", "5014", " - ", "PURCHASES @ COST-REMAINDERS")</f>
        <v xml:space="preserve">          5014 - PURCHASES @ COST-REMAINDERS</v>
      </c>
      <c r="C125" s="10"/>
      <c r="D125" s="2">
        <v>-161.43</v>
      </c>
      <c r="E125" s="2"/>
      <c r="F125" s="19">
        <f t="shared" si="40"/>
        <v>-6.1023315987258268E-4</v>
      </c>
      <c r="G125" s="2"/>
      <c r="H125" s="2">
        <v>132</v>
      </c>
      <c r="I125" s="2"/>
      <c r="J125" s="19">
        <f t="shared" si="41"/>
        <v>6.2493484344103886E-4</v>
      </c>
      <c r="K125" s="2"/>
      <c r="L125" s="2">
        <f t="shared" si="42"/>
        <v>-293.43</v>
      </c>
      <c r="M125" s="2"/>
      <c r="N125" s="19">
        <f t="shared" si="43"/>
        <v>-2.2229545454545456</v>
      </c>
      <c r="O125" s="10"/>
      <c r="P125" s="2">
        <v>-49.86</v>
      </c>
      <c r="Q125" s="2"/>
      <c r="R125" s="19">
        <f t="shared" si="44"/>
        <v>-9.1038281577318622E-6</v>
      </c>
      <c r="S125" s="2"/>
      <c r="T125" s="2">
        <v>747.07</v>
      </c>
      <c r="U125" s="2"/>
      <c r="V125" s="19">
        <f t="shared" si="45"/>
        <v>6.4388231627754487E-5</v>
      </c>
      <c r="W125" s="2"/>
      <c r="X125" s="2">
        <f t="shared" si="46"/>
        <v>-796.93000000000006</v>
      </c>
      <c r="Y125" s="2"/>
      <c r="Z125" s="19">
        <f t="shared" si="47"/>
        <v>-1.0667407338000454</v>
      </c>
    </row>
    <row r="126" spans="1:26" s="23" customFormat="1" hidden="1" outlineLevel="1" x14ac:dyDescent="0.25">
      <c r="A126" s="44"/>
      <c r="B126" s="10" t="str">
        <f>CONCATENATE("          ", "5017", " - ", "PURCHASES @ COST-DORM/HOUSEWAR")</f>
        <v xml:space="preserve">          5017 - PURCHASES @ COST-DORM/HOUSEWAR</v>
      </c>
      <c r="C126" s="10"/>
      <c r="D126" s="2"/>
      <c r="E126" s="2"/>
      <c r="F126" s="19">
        <f t="shared" si="40"/>
        <v>0</v>
      </c>
      <c r="G126" s="2"/>
      <c r="H126" s="2"/>
      <c r="I126" s="2"/>
      <c r="J126" s="19">
        <f t="shared" si="41"/>
        <v>0</v>
      </c>
      <c r="K126" s="2"/>
      <c r="L126" s="2">
        <f t="shared" si="42"/>
        <v>0</v>
      </c>
      <c r="M126" s="2"/>
      <c r="N126" s="19">
        <f t="shared" si="43"/>
        <v>0</v>
      </c>
      <c r="O126" s="10"/>
      <c r="P126" s="2"/>
      <c r="Q126" s="2"/>
      <c r="R126" s="19">
        <f t="shared" si="44"/>
        <v>0</v>
      </c>
      <c r="S126" s="2"/>
      <c r="T126" s="2">
        <v>14.46</v>
      </c>
      <c r="U126" s="2"/>
      <c r="V126" s="19">
        <f t="shared" si="45"/>
        <v>1.2462738824170826E-6</v>
      </c>
      <c r="W126" s="2"/>
      <c r="X126" s="2">
        <f t="shared" si="46"/>
        <v>-14.46</v>
      </c>
      <c r="Y126" s="2"/>
      <c r="Z126" s="19">
        <f t="shared" si="47"/>
        <v>-1</v>
      </c>
    </row>
    <row r="127" spans="1:26" s="23" customFormat="1" hidden="1" outlineLevel="1" x14ac:dyDescent="0.25">
      <c r="A127" s="44"/>
      <c r="B127" s="10" t="str">
        <f>CONCATENATE("          ", "5018", " - ", "PURCHASES @ COST-STUDY GUIDES")</f>
        <v xml:space="preserve">          5018 - PURCHASES @ COST-STUDY GUIDES</v>
      </c>
      <c r="C127" s="10"/>
      <c r="D127" s="2">
        <v>476.17</v>
      </c>
      <c r="E127" s="2"/>
      <c r="F127" s="19">
        <f t="shared" si="40"/>
        <v>1.8000044832839478E-3</v>
      </c>
      <c r="G127" s="2"/>
      <c r="H127" s="2">
        <v>-249.38</v>
      </c>
      <c r="I127" s="2"/>
      <c r="J127" s="19">
        <f t="shared" si="41"/>
        <v>-1.180653418616108E-3</v>
      </c>
      <c r="K127" s="2"/>
      <c r="L127" s="2">
        <f t="shared" si="42"/>
        <v>725.55</v>
      </c>
      <c r="M127" s="2"/>
      <c r="N127" s="19">
        <f t="shared" si="43"/>
        <v>-2.9094153500681688</v>
      </c>
      <c r="O127" s="10"/>
      <c r="P127" s="2">
        <v>1443.38</v>
      </c>
      <c r="Q127" s="2"/>
      <c r="R127" s="19">
        <f t="shared" si="44"/>
        <v>2.6354359178313311E-4</v>
      </c>
      <c r="S127" s="2"/>
      <c r="T127" s="2">
        <v>-454.52</v>
      </c>
      <c r="U127" s="2"/>
      <c r="V127" s="19">
        <f t="shared" si="45"/>
        <v>-3.9174025244551337E-5</v>
      </c>
      <c r="W127" s="2"/>
      <c r="X127" s="2">
        <f t="shared" si="46"/>
        <v>1897.9</v>
      </c>
      <c r="Y127" s="2"/>
      <c r="Z127" s="19">
        <f t="shared" si="47"/>
        <v>-4.1756138343747251</v>
      </c>
    </row>
    <row r="128" spans="1:26" s="23" customFormat="1" hidden="1" outlineLevel="1" x14ac:dyDescent="0.25">
      <c r="A128" s="44"/>
      <c r="B128" s="10" t="str">
        <f>CONCATENATE("          ", "5025", " - ", "PURCHASES @ COST-TEST FORMS")</f>
        <v xml:space="preserve">          5025 - PURCHASES @ COST-TEST FORMS</v>
      </c>
      <c r="C128" s="10"/>
      <c r="D128" s="2">
        <v>161</v>
      </c>
      <c r="E128" s="2"/>
      <c r="F128" s="19">
        <f t="shared" si="40"/>
        <v>6.0860768592879764E-4</v>
      </c>
      <c r="G128" s="2"/>
      <c r="H128" s="2"/>
      <c r="I128" s="2"/>
      <c r="J128" s="19">
        <f t="shared" si="41"/>
        <v>0</v>
      </c>
      <c r="K128" s="2"/>
      <c r="L128" s="2">
        <f t="shared" si="42"/>
        <v>161</v>
      </c>
      <c r="M128" s="2"/>
      <c r="N128" s="19">
        <f t="shared" si="43"/>
        <v>0</v>
      </c>
      <c r="O128" s="10"/>
      <c r="P128" s="2">
        <v>760.29</v>
      </c>
      <c r="Q128" s="2"/>
      <c r="R128" s="19">
        <f t="shared" si="44"/>
        <v>1.3881968531973441E-4</v>
      </c>
      <c r="S128" s="2"/>
      <c r="T128" s="2">
        <v>26400.39</v>
      </c>
      <c r="U128" s="2"/>
      <c r="V128" s="19">
        <f t="shared" si="45"/>
        <v>2.2753884192686803E-3</v>
      </c>
      <c r="W128" s="2"/>
      <c r="X128" s="2">
        <f t="shared" si="46"/>
        <v>-25640.1</v>
      </c>
      <c r="Y128" s="2"/>
      <c r="Z128" s="19">
        <f t="shared" si="47"/>
        <v>-0.97120156179510986</v>
      </c>
    </row>
    <row r="129" spans="1:26" s="23" customFormat="1" hidden="1" outlineLevel="1" x14ac:dyDescent="0.25">
      <c r="A129" s="44"/>
      <c r="B129" s="10" t="str">
        <f>CONCATENATE("          ", "5026", " - ", "PURCHASES @ COST-WRITING INSTR")</f>
        <v xml:space="preserve">          5026 - PURCHASES @ COST-WRITING INSTR</v>
      </c>
      <c r="C129" s="10"/>
      <c r="D129" s="2">
        <v>1361.75</v>
      </c>
      <c r="E129" s="2"/>
      <c r="F129" s="19">
        <f t="shared" si="40"/>
        <v>5.1476491696493187E-3</v>
      </c>
      <c r="G129" s="2"/>
      <c r="H129" s="2"/>
      <c r="I129" s="2"/>
      <c r="J129" s="19">
        <f t="shared" si="41"/>
        <v>0</v>
      </c>
      <c r="K129" s="2"/>
      <c r="L129" s="2">
        <f t="shared" si="42"/>
        <v>1361.75</v>
      </c>
      <c r="M129" s="2"/>
      <c r="N129" s="19">
        <f t="shared" si="43"/>
        <v>0</v>
      </c>
      <c r="O129" s="10"/>
      <c r="P129" s="2">
        <v>1944.25</v>
      </c>
      <c r="Q129" s="2"/>
      <c r="R129" s="19">
        <f t="shared" si="44"/>
        <v>3.5499634768692688E-4</v>
      </c>
      <c r="S129" s="2"/>
      <c r="T129" s="2">
        <v>44186.57</v>
      </c>
      <c r="U129" s="2"/>
      <c r="V129" s="19">
        <f t="shared" si="45"/>
        <v>3.8083380459608702E-3</v>
      </c>
      <c r="W129" s="2"/>
      <c r="X129" s="2">
        <f t="shared" si="46"/>
        <v>-42242.32</v>
      </c>
      <c r="Y129" s="2"/>
      <c r="Z129" s="19">
        <f t="shared" si="47"/>
        <v>-0.95599907392676098</v>
      </c>
    </row>
    <row r="130" spans="1:26" s="23" customFormat="1" hidden="1" outlineLevel="1" x14ac:dyDescent="0.25">
      <c r="A130" s="44"/>
      <c r="B130" s="10" t="str">
        <f>CONCATENATE("          ", "5027", " - ", "PURCHASES @ COST-SCHOOL SUPPLI")</f>
        <v xml:space="preserve">          5027 - PURCHASES @ COST-SCHOOL SUPPLI</v>
      </c>
      <c r="C130" s="10"/>
      <c r="D130" s="2">
        <v>-23546.66</v>
      </c>
      <c r="E130" s="2"/>
      <c r="F130" s="19">
        <f t="shared" si="40"/>
        <v>-8.9010423937591204E-2</v>
      </c>
      <c r="G130" s="2"/>
      <c r="H130" s="2">
        <v>11947.58</v>
      </c>
      <c r="I130" s="2"/>
      <c r="J130" s="19">
        <f t="shared" si="41"/>
        <v>5.6564083612115804E-2</v>
      </c>
      <c r="K130" s="2"/>
      <c r="L130" s="2">
        <f t="shared" si="42"/>
        <v>-35494.239999999998</v>
      </c>
      <c r="M130" s="2"/>
      <c r="N130" s="19">
        <f t="shared" si="43"/>
        <v>-2.9708309130384563</v>
      </c>
      <c r="O130" s="10"/>
      <c r="P130" s="2">
        <v>188.33</v>
      </c>
      <c r="Q130" s="2"/>
      <c r="R130" s="19">
        <f t="shared" si="44"/>
        <v>3.4386762072716447E-5</v>
      </c>
      <c r="S130" s="2"/>
      <c r="T130" s="2">
        <v>153162.12</v>
      </c>
      <c r="U130" s="2"/>
      <c r="V130" s="19">
        <f t="shared" si="45"/>
        <v>1.3200688100389423E-2</v>
      </c>
      <c r="W130" s="2"/>
      <c r="X130" s="2">
        <f t="shared" si="46"/>
        <v>-152973.79</v>
      </c>
      <c r="Y130" s="2"/>
      <c r="Z130" s="19">
        <f t="shared" si="47"/>
        <v>-0.9987703878739731</v>
      </c>
    </row>
    <row r="131" spans="1:26" s="23" customFormat="1" hidden="1" outlineLevel="1" x14ac:dyDescent="0.25">
      <c r="A131" s="44"/>
      <c r="B131" s="10" t="str">
        <f>CONCATENATE("          ", "5028", " - ", "PURCHASES @ COST-ART/TECH")</f>
        <v xml:space="preserve">          5028 - PURCHASES @ COST-ART/TECH</v>
      </c>
      <c r="C131" s="10"/>
      <c r="D131" s="2">
        <v>4965.34</v>
      </c>
      <c r="E131" s="2"/>
      <c r="F131" s="19">
        <f t="shared" si="40"/>
        <v>1.8769839051240349E-2</v>
      </c>
      <c r="G131" s="2"/>
      <c r="H131" s="2">
        <v>-1073.3800000000001</v>
      </c>
      <c r="I131" s="2"/>
      <c r="J131" s="19">
        <f t="shared" si="41"/>
        <v>-5.0817618352480476E-3</v>
      </c>
      <c r="K131" s="2"/>
      <c r="L131" s="2">
        <f t="shared" si="42"/>
        <v>6038.72</v>
      </c>
      <c r="M131" s="2"/>
      <c r="N131" s="19">
        <f t="shared" si="43"/>
        <v>-5.625892041960908</v>
      </c>
      <c r="O131" s="10"/>
      <c r="P131" s="2">
        <v>52646.080000000002</v>
      </c>
      <c r="Q131" s="2"/>
      <c r="R131" s="19">
        <f t="shared" si="44"/>
        <v>9.612532400686007E-3</v>
      </c>
      <c r="S131" s="2"/>
      <c r="T131" s="2">
        <v>158554.31</v>
      </c>
      <c r="U131" s="2"/>
      <c r="V131" s="19">
        <f t="shared" si="45"/>
        <v>1.3665428457652949E-2</v>
      </c>
      <c r="W131" s="2"/>
      <c r="X131" s="2">
        <f t="shared" si="46"/>
        <v>-105908.23</v>
      </c>
      <c r="Y131" s="2"/>
      <c r="Z131" s="19">
        <f t="shared" si="47"/>
        <v>-0.6679618485300084</v>
      </c>
    </row>
    <row r="132" spans="1:26" s="23" customFormat="1" hidden="1" outlineLevel="1" x14ac:dyDescent="0.25">
      <c r="A132" s="44"/>
      <c r="B132" s="10" t="str">
        <f>CONCATENATE("          ", "5031", " - ", "PURCHASES @ COST-FOOD")</f>
        <v xml:space="preserve">          5031 - PURCHASES @ COST-FOOD</v>
      </c>
      <c r="C132" s="10"/>
      <c r="D132" s="2">
        <v>75599.55</v>
      </c>
      <c r="E132" s="2"/>
      <c r="F132" s="19">
        <f t="shared" si="40"/>
        <v>0.28577929927179152</v>
      </c>
      <c r="G132" s="2"/>
      <c r="H132" s="2"/>
      <c r="I132" s="2"/>
      <c r="J132" s="19">
        <f t="shared" si="41"/>
        <v>0</v>
      </c>
      <c r="K132" s="2"/>
      <c r="L132" s="2">
        <f t="shared" si="42"/>
        <v>75599.55</v>
      </c>
      <c r="M132" s="2"/>
      <c r="N132" s="19">
        <f t="shared" si="43"/>
        <v>0</v>
      </c>
      <c r="O132" s="10"/>
      <c r="P132" s="2">
        <v>83665.64</v>
      </c>
      <c r="Q132" s="2"/>
      <c r="R132" s="19">
        <f t="shared" si="44"/>
        <v>1.5276325897847118E-2</v>
      </c>
      <c r="S132" s="2"/>
      <c r="T132" s="2">
        <v>33239.879999999997</v>
      </c>
      <c r="U132" s="2"/>
      <c r="V132" s="19">
        <f t="shared" si="45"/>
        <v>2.8648682087605757E-3</v>
      </c>
      <c r="W132" s="2"/>
      <c r="X132" s="2">
        <f t="shared" si="46"/>
        <v>50425.760000000002</v>
      </c>
      <c r="Y132" s="2"/>
      <c r="Z132" s="19">
        <f t="shared" si="47"/>
        <v>1.5170259339083054</v>
      </c>
    </row>
    <row r="133" spans="1:26" s="23" customFormat="1" hidden="1" outlineLevel="1" x14ac:dyDescent="0.25">
      <c r="A133" s="44"/>
      <c r="B133" s="10" t="str">
        <f>CONCATENATE("          ", "5032", " - ", "PURCHASES @ COST-JUICE")</f>
        <v xml:space="preserve">          5032 - PURCHASES @ COST-JUICE</v>
      </c>
      <c r="C133" s="10"/>
      <c r="D133" s="2">
        <v>291</v>
      </c>
      <c r="E133" s="2"/>
      <c r="F133" s="19">
        <f t="shared" si="40"/>
        <v>1.1000300410265846E-3</v>
      </c>
      <c r="G133" s="2"/>
      <c r="H133" s="2"/>
      <c r="I133" s="2"/>
      <c r="J133" s="19">
        <f t="shared" si="41"/>
        <v>0</v>
      </c>
      <c r="K133" s="2"/>
      <c r="L133" s="2">
        <f t="shared" si="42"/>
        <v>291</v>
      </c>
      <c r="M133" s="2"/>
      <c r="N133" s="19">
        <f t="shared" si="43"/>
        <v>0</v>
      </c>
      <c r="O133" s="10"/>
      <c r="P133" s="2">
        <v>291</v>
      </c>
      <c r="Q133" s="2"/>
      <c r="R133" s="19">
        <f t="shared" si="44"/>
        <v>5.3133052424788856E-5</v>
      </c>
      <c r="S133" s="2"/>
      <c r="T133" s="2">
        <v>7802.45</v>
      </c>
      <c r="U133" s="2"/>
      <c r="V133" s="19">
        <f t="shared" si="45"/>
        <v>6.7247507979703764E-4</v>
      </c>
      <c r="W133" s="2"/>
      <c r="X133" s="2">
        <f t="shared" si="46"/>
        <v>-7511.45</v>
      </c>
      <c r="Y133" s="2"/>
      <c r="Z133" s="19">
        <f t="shared" si="47"/>
        <v>-0.9627040224544855</v>
      </c>
    </row>
    <row r="134" spans="1:26" s="23" customFormat="1" hidden="1" outlineLevel="1" x14ac:dyDescent="0.25">
      <c r="A134" s="44"/>
      <c r="B134" s="10" t="str">
        <f>CONCATENATE("          ", "5033", " - ", "PURCHASES @ COST-CANDY")</f>
        <v xml:space="preserve">          5033 - PURCHASES @ COST-CANDY</v>
      </c>
      <c r="C134" s="10"/>
      <c r="D134" s="2">
        <v>1266</v>
      </c>
      <c r="E134" s="2"/>
      <c r="F134" s="19">
        <f t="shared" si="40"/>
        <v>4.7856977042599865E-3</v>
      </c>
      <c r="G134" s="2"/>
      <c r="H134" s="2"/>
      <c r="I134" s="2"/>
      <c r="J134" s="19">
        <f t="shared" si="41"/>
        <v>0</v>
      </c>
      <c r="K134" s="2"/>
      <c r="L134" s="2">
        <f t="shared" si="42"/>
        <v>1266</v>
      </c>
      <c r="M134" s="2"/>
      <c r="N134" s="19">
        <f t="shared" si="43"/>
        <v>0</v>
      </c>
      <c r="O134" s="10"/>
      <c r="P134" s="2">
        <v>1266</v>
      </c>
      <c r="Q134" s="2"/>
      <c r="R134" s="19">
        <f t="shared" si="44"/>
        <v>2.3115616621918449E-4</v>
      </c>
      <c r="S134" s="2"/>
      <c r="T134" s="2">
        <v>9998.41</v>
      </c>
      <c r="U134" s="2"/>
      <c r="V134" s="19">
        <f t="shared" si="45"/>
        <v>8.6173978206761969E-4</v>
      </c>
      <c r="W134" s="2"/>
      <c r="X134" s="2">
        <f t="shared" si="46"/>
        <v>-8732.41</v>
      </c>
      <c r="Y134" s="2"/>
      <c r="Z134" s="19">
        <f t="shared" si="47"/>
        <v>-0.87337986739891638</v>
      </c>
    </row>
    <row r="135" spans="1:26" s="23" customFormat="1" hidden="1" outlineLevel="1" x14ac:dyDescent="0.25">
      <c r="A135" s="44"/>
      <c r="B135" s="10" t="str">
        <f>CONCATENATE("          ", "5034", " - ", "PURCHASES @ COST-SODA")</f>
        <v xml:space="preserve">          5034 - PURCHASES @ COST-SODA</v>
      </c>
      <c r="C135" s="10"/>
      <c r="D135" s="2">
        <v>567</v>
      </c>
      <c r="E135" s="2"/>
      <c r="F135" s="19">
        <f t="shared" si="40"/>
        <v>2.1433575026188092E-3</v>
      </c>
      <c r="G135" s="2"/>
      <c r="H135" s="2"/>
      <c r="I135" s="2"/>
      <c r="J135" s="19">
        <f t="shared" si="41"/>
        <v>0</v>
      </c>
      <c r="K135" s="2"/>
      <c r="L135" s="2">
        <f t="shared" si="42"/>
        <v>567</v>
      </c>
      <c r="M135" s="2"/>
      <c r="N135" s="19">
        <f t="shared" si="43"/>
        <v>0</v>
      </c>
      <c r="O135" s="10"/>
      <c r="P135" s="2">
        <v>567</v>
      </c>
      <c r="Q135" s="2"/>
      <c r="R135" s="19">
        <f t="shared" si="44"/>
        <v>1.0352728771427931E-4</v>
      </c>
      <c r="S135" s="2"/>
      <c r="T135" s="2">
        <v>4033.88</v>
      </c>
      <c r="U135" s="2"/>
      <c r="V135" s="19">
        <f t="shared" si="45"/>
        <v>3.4767076686062384E-4</v>
      </c>
      <c r="W135" s="2"/>
      <c r="X135" s="2">
        <f t="shared" si="46"/>
        <v>-3466.88</v>
      </c>
      <c r="Y135" s="2"/>
      <c r="Z135" s="19">
        <f t="shared" si="47"/>
        <v>-0.85944053863773839</v>
      </c>
    </row>
    <row r="136" spans="1:26" s="23" customFormat="1" hidden="1" outlineLevel="1" x14ac:dyDescent="0.25">
      <c r="A136" s="44"/>
      <c r="B136" s="10" t="str">
        <f>CONCATENATE("          ", "5035", " - ", "PURCHASES @ COST-HEALTH &amp; BEAU")</f>
        <v xml:space="preserve">          5035 - PURCHASES @ COST-HEALTH &amp; BEAU</v>
      </c>
      <c r="C136" s="10"/>
      <c r="D136" s="2">
        <v>339</v>
      </c>
      <c r="E136" s="2"/>
      <c r="F136" s="19">
        <f t="shared" si="40"/>
        <v>1.2814782952165367E-3</v>
      </c>
      <c r="G136" s="2"/>
      <c r="H136" s="2"/>
      <c r="I136" s="2"/>
      <c r="J136" s="19">
        <f t="shared" si="41"/>
        <v>0</v>
      </c>
      <c r="K136" s="2"/>
      <c r="L136" s="2">
        <f t="shared" si="42"/>
        <v>339</v>
      </c>
      <c r="M136" s="2"/>
      <c r="N136" s="19">
        <f t="shared" si="43"/>
        <v>0</v>
      </c>
      <c r="O136" s="10"/>
      <c r="P136" s="2">
        <v>339</v>
      </c>
      <c r="Q136" s="2"/>
      <c r="R136" s="19">
        <f t="shared" si="44"/>
        <v>6.1897267257743721E-5</v>
      </c>
      <c r="S136" s="2"/>
      <c r="T136" s="2">
        <v>1117.6500000000001</v>
      </c>
      <c r="U136" s="2"/>
      <c r="V136" s="19">
        <f t="shared" si="45"/>
        <v>9.6327662841179271E-5</v>
      </c>
      <c r="W136" s="2"/>
      <c r="X136" s="2">
        <f t="shared" si="46"/>
        <v>-778.65000000000009</v>
      </c>
      <c r="Y136" s="2"/>
      <c r="Z136" s="19">
        <f t="shared" si="47"/>
        <v>-0.69668500872366124</v>
      </c>
    </row>
    <row r="137" spans="1:26" s="23" customFormat="1" hidden="1" outlineLevel="1" x14ac:dyDescent="0.25">
      <c r="A137" s="44"/>
      <c r="B137" s="10" t="str">
        <f>CONCATENATE("          ", "5037", " - ", "PURCHASES @ COST-WATER")</f>
        <v xml:space="preserve">          5037 - PURCHASES @ COST-WATER</v>
      </c>
      <c r="C137" s="10"/>
      <c r="D137" s="2">
        <v>190.95</v>
      </c>
      <c r="E137" s="2"/>
      <c r="F137" s="19">
        <f t="shared" si="40"/>
        <v>7.2182383619940314E-4</v>
      </c>
      <c r="G137" s="2"/>
      <c r="H137" s="2"/>
      <c r="I137" s="2"/>
      <c r="J137" s="19">
        <f t="shared" si="41"/>
        <v>0</v>
      </c>
      <c r="K137" s="2"/>
      <c r="L137" s="2">
        <f t="shared" si="42"/>
        <v>190.95</v>
      </c>
      <c r="M137" s="2"/>
      <c r="N137" s="19">
        <f t="shared" si="43"/>
        <v>0</v>
      </c>
      <c r="O137" s="10"/>
      <c r="P137" s="2">
        <v>190.95</v>
      </c>
      <c r="Q137" s="2"/>
      <c r="R137" s="19">
        <f t="shared" si="44"/>
        <v>3.486514213234856E-5</v>
      </c>
      <c r="S137" s="2"/>
      <c r="T137" s="2">
        <v>5693.57</v>
      </c>
      <c r="U137" s="2"/>
      <c r="V137" s="19">
        <f t="shared" si="45"/>
        <v>4.9071560087921354E-4</v>
      </c>
      <c r="W137" s="2"/>
      <c r="X137" s="2">
        <f t="shared" si="46"/>
        <v>-5502.62</v>
      </c>
      <c r="Y137" s="2"/>
      <c r="Z137" s="19">
        <f t="shared" si="47"/>
        <v>-0.966462166970811</v>
      </c>
    </row>
    <row r="138" spans="1:26" s="23" customFormat="1" hidden="1" outlineLevel="1" x14ac:dyDescent="0.25">
      <c r="A138" s="44"/>
      <c r="B138" s="10" t="str">
        <f>CONCATENATE("          ", "5040", " - ", "PURCHASES @ COST-LOGO CLOTHING")</f>
        <v xml:space="preserve">          5040 - PURCHASES @ COST-LOGO CLOTHING</v>
      </c>
      <c r="C138" s="10"/>
      <c r="D138" s="2">
        <v>65486.18</v>
      </c>
      <c r="E138" s="2"/>
      <c r="F138" s="19">
        <f t="shared" si="40"/>
        <v>0.24754902155351996</v>
      </c>
      <c r="G138" s="2"/>
      <c r="H138" s="2">
        <v>6472.18</v>
      </c>
      <c r="I138" s="2"/>
      <c r="J138" s="19">
        <f t="shared" si="41"/>
        <v>3.0641596931986537E-2</v>
      </c>
      <c r="K138" s="2"/>
      <c r="L138" s="2">
        <f t="shared" si="42"/>
        <v>59014</v>
      </c>
      <c r="M138" s="2"/>
      <c r="N138" s="19">
        <f t="shared" si="43"/>
        <v>9.1181024013547205</v>
      </c>
      <c r="O138" s="10"/>
      <c r="P138" s="2">
        <v>392865.16</v>
      </c>
      <c r="Q138" s="2"/>
      <c r="R138" s="19">
        <f t="shared" si="44"/>
        <v>7.1732388804649688E-2</v>
      </c>
      <c r="S138" s="2"/>
      <c r="T138" s="2">
        <v>982941.51</v>
      </c>
      <c r="U138" s="2"/>
      <c r="V138" s="19">
        <f t="shared" si="45"/>
        <v>8.4717450335865113E-2</v>
      </c>
      <c r="W138" s="2"/>
      <c r="X138" s="2">
        <f t="shared" si="46"/>
        <v>-590076.35000000009</v>
      </c>
      <c r="Y138" s="2"/>
      <c r="Z138" s="19">
        <f t="shared" si="47"/>
        <v>-0.60031684896489934</v>
      </c>
    </row>
    <row r="139" spans="1:26" s="23" customFormat="1" hidden="1" outlineLevel="1" x14ac:dyDescent="0.25">
      <c r="A139" s="44"/>
      <c r="B139" s="10" t="str">
        <f>CONCATENATE("          ", "5041", " - ", "PURCHASES @ COST-LOGO GIFTS")</f>
        <v xml:space="preserve">          5041 - PURCHASES @ COST-LOGO GIFTS</v>
      </c>
      <c r="C139" s="10"/>
      <c r="D139" s="2">
        <v>115476.79</v>
      </c>
      <c r="E139" s="2"/>
      <c r="F139" s="19">
        <f t="shared" si="40"/>
        <v>0.43652212385332745</v>
      </c>
      <c r="G139" s="2"/>
      <c r="H139" s="2">
        <v>13093.79</v>
      </c>
      <c r="I139" s="2"/>
      <c r="J139" s="19">
        <f t="shared" si="41"/>
        <v>6.1990648512877576E-2</v>
      </c>
      <c r="K139" s="2"/>
      <c r="L139" s="2">
        <f t="shared" si="42"/>
        <v>102383</v>
      </c>
      <c r="M139" s="2"/>
      <c r="N139" s="19">
        <f t="shared" si="43"/>
        <v>7.8192028434853462</v>
      </c>
      <c r="O139" s="10"/>
      <c r="P139" s="2">
        <v>221875.64</v>
      </c>
      <c r="Q139" s="2"/>
      <c r="R139" s="19">
        <f t="shared" si="44"/>
        <v>4.0511786982486524E-2</v>
      </c>
      <c r="S139" s="2"/>
      <c r="T139" s="2">
        <v>162844.63</v>
      </c>
      <c r="U139" s="2"/>
      <c r="V139" s="19">
        <f t="shared" si="45"/>
        <v>1.4035201193698015E-2</v>
      </c>
      <c r="W139" s="2"/>
      <c r="X139" s="2">
        <f t="shared" si="46"/>
        <v>59031.010000000009</v>
      </c>
      <c r="Y139" s="2"/>
      <c r="Z139" s="19">
        <f t="shared" si="47"/>
        <v>0.36249896603897841</v>
      </c>
    </row>
    <row r="140" spans="1:26" s="23" customFormat="1" hidden="1" outlineLevel="1" x14ac:dyDescent="0.25">
      <c r="A140" s="44"/>
      <c r="B140" s="10" t="str">
        <f>CONCATENATE("          ", "5042", " - ", "PURCHASES @ COST-EVERYDAY GIFT")</f>
        <v xml:space="preserve">          5042 - PURCHASES @ COST-EVERYDAY GIFT</v>
      </c>
      <c r="C140" s="10"/>
      <c r="D140" s="2">
        <v>-39.200000000000003</v>
      </c>
      <c r="E140" s="2"/>
      <c r="F140" s="19">
        <f t="shared" si="40"/>
        <v>-1.4818274092179423E-4</v>
      </c>
      <c r="G140" s="2"/>
      <c r="H140" s="2">
        <v>-836.65</v>
      </c>
      <c r="I140" s="2"/>
      <c r="J140" s="19">
        <f t="shared" si="41"/>
        <v>-3.9609980057950384E-3</v>
      </c>
      <c r="K140" s="2"/>
      <c r="L140" s="2">
        <f t="shared" si="42"/>
        <v>797.44999999999993</v>
      </c>
      <c r="M140" s="2"/>
      <c r="N140" s="19">
        <f t="shared" si="43"/>
        <v>-0.95314647702145461</v>
      </c>
      <c r="O140" s="10"/>
      <c r="P140" s="2">
        <v>18708.87</v>
      </c>
      <c r="Q140" s="2"/>
      <c r="R140" s="19">
        <f t="shared" si="44"/>
        <v>3.4160115825380049E-3</v>
      </c>
      <c r="S140" s="2"/>
      <c r="T140" s="2">
        <v>125778.55</v>
      </c>
      <c r="U140" s="2"/>
      <c r="V140" s="19">
        <f t="shared" si="45"/>
        <v>1.0840561675884586E-2</v>
      </c>
      <c r="W140" s="2"/>
      <c r="X140" s="2">
        <f t="shared" si="46"/>
        <v>-107069.68000000001</v>
      </c>
      <c r="Y140" s="2"/>
      <c r="Z140" s="19">
        <f t="shared" si="47"/>
        <v>-0.85125548036608789</v>
      </c>
    </row>
    <row r="141" spans="1:26" s="23" customFormat="1" hidden="1" outlineLevel="1" x14ac:dyDescent="0.25">
      <c r="A141" s="44"/>
      <c r="B141" s="10" t="str">
        <f>CONCATENATE("          ", "5043", " - ", "PURCHASES @ COST-CARDS")</f>
        <v xml:space="preserve">          5043 - PURCHASES @ COST-CARDS</v>
      </c>
      <c r="C141" s="10"/>
      <c r="D141" s="2">
        <v>-4615.6499999999996</v>
      </c>
      <c r="E141" s="2"/>
      <c r="F141" s="19">
        <f t="shared" si="40"/>
        <v>-1.7447950717746925E-2</v>
      </c>
      <c r="G141" s="2"/>
      <c r="H141" s="2">
        <v>0</v>
      </c>
      <c r="I141" s="2"/>
      <c r="J141" s="19">
        <f t="shared" si="41"/>
        <v>0</v>
      </c>
      <c r="K141" s="2"/>
      <c r="L141" s="2">
        <f t="shared" si="42"/>
        <v>-4615.6499999999996</v>
      </c>
      <c r="M141" s="2"/>
      <c r="N141" s="19">
        <f t="shared" si="43"/>
        <v>0</v>
      </c>
      <c r="O141" s="10"/>
      <c r="P141" s="2">
        <v>50967.68</v>
      </c>
      <c r="Q141" s="2"/>
      <c r="R141" s="19">
        <f t="shared" si="44"/>
        <v>9.3060770220270185E-3</v>
      </c>
      <c r="S141" s="2"/>
      <c r="T141" s="2">
        <v>30914.66</v>
      </c>
      <c r="U141" s="2"/>
      <c r="V141" s="19">
        <f t="shared" si="45"/>
        <v>2.6644628867084426E-3</v>
      </c>
      <c r="W141" s="2"/>
      <c r="X141" s="2">
        <f t="shared" si="46"/>
        <v>20053.02</v>
      </c>
      <c r="Y141" s="2"/>
      <c r="Z141" s="19">
        <f t="shared" si="47"/>
        <v>0.6486573036869886</v>
      </c>
    </row>
    <row r="142" spans="1:26" s="23" customFormat="1" hidden="1" outlineLevel="1" x14ac:dyDescent="0.25">
      <c r="A142" s="44"/>
      <c r="B142" s="10" t="str">
        <f>CONCATENATE("          ", "5044", " - ", "PURCHASES @ COST-ACCESSORIES")</f>
        <v xml:space="preserve">          5044 - PURCHASES @ COST-ACCESSORIES</v>
      </c>
      <c r="C142" s="10"/>
      <c r="D142" s="2">
        <v>4371.2</v>
      </c>
      <c r="E142" s="2"/>
      <c r="F142" s="19">
        <f t="shared" si="40"/>
        <v>1.6523887681564972E-2</v>
      </c>
      <c r="G142" s="2"/>
      <c r="H142" s="2">
        <v>0</v>
      </c>
      <c r="I142" s="2"/>
      <c r="J142" s="19">
        <f t="shared" si="41"/>
        <v>0</v>
      </c>
      <c r="K142" s="2"/>
      <c r="L142" s="2">
        <f t="shared" si="42"/>
        <v>4371.2</v>
      </c>
      <c r="M142" s="2"/>
      <c r="N142" s="19">
        <f t="shared" si="43"/>
        <v>0</v>
      </c>
      <c r="O142" s="10"/>
      <c r="P142" s="2">
        <v>6926.91</v>
      </c>
      <c r="Q142" s="2"/>
      <c r="R142" s="19">
        <f t="shared" si="44"/>
        <v>1.2647693201779868E-3</v>
      </c>
      <c r="S142" s="2"/>
      <c r="T142" s="2">
        <v>37869.03</v>
      </c>
      <c r="U142" s="2"/>
      <c r="V142" s="19">
        <f t="shared" si="45"/>
        <v>3.2638439171140364E-3</v>
      </c>
      <c r="W142" s="2"/>
      <c r="X142" s="2">
        <f t="shared" si="46"/>
        <v>-30942.12</v>
      </c>
      <c r="Y142" s="2"/>
      <c r="Z142" s="19">
        <f t="shared" si="47"/>
        <v>-0.81708245497706178</v>
      </c>
    </row>
    <row r="143" spans="1:26" s="23" customFormat="1" hidden="1" outlineLevel="1" x14ac:dyDescent="0.25">
      <c r="A143" s="44"/>
      <c r="B143" s="10" t="str">
        <f>CONCATENATE("          ", "5045", " - ", "PURCHASES @ COST-SPECIAL ORDER")</f>
        <v xml:space="preserve">          5045 - PURCHASES @ COST-SPECIAL ORDER</v>
      </c>
      <c r="C143" s="10"/>
      <c r="D143" s="2">
        <v>33785.81</v>
      </c>
      <c r="E143" s="2"/>
      <c r="F143" s="19">
        <f t="shared" si="40"/>
        <v>0.12771617168527968</v>
      </c>
      <c r="G143" s="2"/>
      <c r="H143" s="2">
        <v>52772.41</v>
      </c>
      <c r="I143" s="2"/>
      <c r="J143" s="19">
        <f t="shared" si="41"/>
        <v>0.24984331652542663</v>
      </c>
      <c r="K143" s="2"/>
      <c r="L143" s="2">
        <f t="shared" si="42"/>
        <v>-18986.600000000006</v>
      </c>
      <c r="M143" s="2"/>
      <c r="N143" s="19">
        <f t="shared" si="43"/>
        <v>-0.3597826970570418</v>
      </c>
      <c r="O143" s="10"/>
      <c r="P143" s="2">
        <v>172925.05</v>
      </c>
      <c r="Q143" s="2"/>
      <c r="R143" s="19">
        <f t="shared" si="44"/>
        <v>3.1574006004155442E-2</v>
      </c>
      <c r="S143" s="2"/>
      <c r="T143" s="2">
        <v>131614.81</v>
      </c>
      <c r="U143" s="2"/>
      <c r="V143" s="19">
        <f t="shared" si="45"/>
        <v>1.1343575397115259E-2</v>
      </c>
      <c r="W143" s="2"/>
      <c r="X143" s="2">
        <f t="shared" si="46"/>
        <v>41310.239999999991</v>
      </c>
      <c r="Y143" s="2"/>
      <c r="Z143" s="19">
        <f t="shared" si="47"/>
        <v>0.31387227622788039</v>
      </c>
    </row>
    <row r="144" spans="1:26" s="23" customFormat="1" hidden="1" outlineLevel="1" x14ac:dyDescent="0.25">
      <c r="A144" s="44"/>
      <c r="B144" s="10" t="str">
        <f>CONCATENATE("          ", "5053", " - ", "PURCHASES @ COST-FOOD")</f>
        <v xml:space="preserve">          5053 - PURCHASES @ COST-FOOD</v>
      </c>
      <c r="C144" s="10"/>
      <c r="D144" s="2">
        <v>1487.52</v>
      </c>
      <c r="E144" s="2"/>
      <c r="F144" s="19">
        <f t="shared" si="40"/>
        <v>5.6230813973466159E-3</v>
      </c>
      <c r="G144" s="2"/>
      <c r="H144" s="2">
        <v>-2889.94</v>
      </c>
      <c r="I144" s="2"/>
      <c r="J144" s="19">
        <f t="shared" si="41"/>
        <v>-1.3682001526166634E-2</v>
      </c>
      <c r="K144" s="2"/>
      <c r="L144" s="2">
        <f t="shared" si="42"/>
        <v>4377.46</v>
      </c>
      <c r="M144" s="2"/>
      <c r="N144" s="19">
        <f t="shared" si="43"/>
        <v>-1.5147234890689771</v>
      </c>
      <c r="O144" s="10"/>
      <c r="P144" s="2">
        <v>-1011.63</v>
      </c>
      <c r="Q144" s="2"/>
      <c r="R144" s="19">
        <f t="shared" si="44"/>
        <v>-1.8471130523879431E-4</v>
      </c>
      <c r="S144" s="2"/>
      <c r="T144" s="2">
        <v>1155614.1000000001</v>
      </c>
      <c r="U144" s="2"/>
      <c r="V144" s="19">
        <f t="shared" si="45"/>
        <v>9.959970062122564E-2</v>
      </c>
      <c r="W144" s="2"/>
      <c r="X144" s="2">
        <f t="shared" si="46"/>
        <v>-1156625.73</v>
      </c>
      <c r="Y144" s="2"/>
      <c r="Z144" s="19">
        <f t="shared" si="47"/>
        <v>-1.0008754046874297</v>
      </c>
    </row>
    <row r="145" spans="1:26" s="23" customFormat="1" hidden="1" outlineLevel="1" x14ac:dyDescent="0.25">
      <c r="A145" s="44"/>
      <c r="B145" s="10" t="str">
        <f>CONCATENATE("          ", "5059", " - ", "PURCHASES @ COST-FOOD")</f>
        <v xml:space="preserve">          5059 - PURCHASES @ COST-FOOD</v>
      </c>
      <c r="C145" s="10"/>
      <c r="D145" s="2">
        <v>2462</v>
      </c>
      <c r="E145" s="2"/>
      <c r="F145" s="19">
        <f t="shared" si="40"/>
        <v>9.3067833711596264E-3</v>
      </c>
      <c r="G145" s="2"/>
      <c r="H145" s="2">
        <v>6479</v>
      </c>
      <c r="I145" s="2"/>
      <c r="J145" s="19">
        <f t="shared" si="41"/>
        <v>3.0673885232230989E-2</v>
      </c>
      <c r="K145" s="2"/>
      <c r="L145" s="2">
        <f t="shared" si="42"/>
        <v>-4017</v>
      </c>
      <c r="M145" s="2"/>
      <c r="N145" s="19">
        <f t="shared" si="43"/>
        <v>-0.62000308689612593</v>
      </c>
      <c r="O145" s="10"/>
      <c r="P145" s="2">
        <v>33351.99</v>
      </c>
      <c r="Q145" s="2"/>
      <c r="R145" s="19">
        <f t="shared" si="44"/>
        <v>6.0896667805533794E-3</v>
      </c>
      <c r="S145" s="2"/>
      <c r="T145" s="2">
        <v>80305.8</v>
      </c>
      <c r="U145" s="2"/>
      <c r="V145" s="19">
        <f t="shared" si="45"/>
        <v>6.9213707570269529E-3</v>
      </c>
      <c r="W145" s="2"/>
      <c r="X145" s="2">
        <f t="shared" si="46"/>
        <v>-46953.810000000005</v>
      </c>
      <c r="Y145" s="2"/>
      <c r="Z145" s="19">
        <f t="shared" si="47"/>
        <v>-0.5846876564332838</v>
      </c>
    </row>
    <row r="146" spans="1:26" s="23" customFormat="1" hidden="1" outlineLevel="1" x14ac:dyDescent="0.25">
      <c r="A146" s="44"/>
      <c r="B146" s="10" t="str">
        <f>CONCATENATE("          ", "5081", " - ", "PURCHASES @ COST-ELECTRONICS")</f>
        <v xml:space="preserve">          5081 - PURCHASES @ COST-ELECTRONICS</v>
      </c>
      <c r="C146" s="10"/>
      <c r="D146" s="2">
        <v>227</v>
      </c>
      <c r="E146" s="2"/>
      <c r="F146" s="19">
        <f t="shared" si="40"/>
        <v>8.5809903543998187E-4</v>
      </c>
      <c r="G146" s="2"/>
      <c r="H146" s="2"/>
      <c r="I146" s="2"/>
      <c r="J146" s="19">
        <f t="shared" si="41"/>
        <v>0</v>
      </c>
      <c r="K146" s="2"/>
      <c r="L146" s="2">
        <f t="shared" si="42"/>
        <v>227</v>
      </c>
      <c r="M146" s="2"/>
      <c r="N146" s="19">
        <f t="shared" si="43"/>
        <v>0</v>
      </c>
      <c r="O146" s="10"/>
      <c r="P146" s="2">
        <v>227</v>
      </c>
      <c r="Q146" s="2"/>
      <c r="R146" s="19">
        <f t="shared" si="44"/>
        <v>4.1447432647515705E-5</v>
      </c>
      <c r="S146" s="2"/>
      <c r="T146" s="2">
        <v>2008.03</v>
      </c>
      <c r="U146" s="2"/>
      <c r="V146" s="19">
        <f t="shared" si="45"/>
        <v>1.7306745118326238E-4</v>
      </c>
      <c r="W146" s="2"/>
      <c r="X146" s="2">
        <f t="shared" si="46"/>
        <v>-1781.03</v>
      </c>
      <c r="Y146" s="2"/>
      <c r="Z146" s="19">
        <f t="shared" si="47"/>
        <v>-0.88695388017111298</v>
      </c>
    </row>
    <row r="147" spans="1:26" s="23" customFormat="1" hidden="1" outlineLevel="1" x14ac:dyDescent="0.25">
      <c r="A147" s="44"/>
      <c r="B147" s="10" t="str">
        <f>CONCATENATE("          ", "5082", " - ", "PURCHASES @ COST-COMPUTER HARD")</f>
        <v xml:space="preserve">          5082 - PURCHASES @ COST-COMPUTER HARD</v>
      </c>
      <c r="C147" s="10"/>
      <c r="D147" s="2">
        <v>972</v>
      </c>
      <c r="E147" s="2"/>
      <c r="F147" s="19">
        <f t="shared" si="40"/>
        <v>3.6743271473465302E-3</v>
      </c>
      <c r="G147" s="2"/>
      <c r="H147" s="2"/>
      <c r="I147" s="2"/>
      <c r="J147" s="19">
        <f t="shared" si="41"/>
        <v>0</v>
      </c>
      <c r="K147" s="2"/>
      <c r="L147" s="2">
        <f t="shared" si="42"/>
        <v>972</v>
      </c>
      <c r="M147" s="2"/>
      <c r="N147" s="19">
        <f t="shared" si="43"/>
        <v>0</v>
      </c>
      <c r="O147" s="10"/>
      <c r="P147" s="2">
        <v>972</v>
      </c>
      <c r="Q147" s="2"/>
      <c r="R147" s="19">
        <f t="shared" si="44"/>
        <v>1.7747535036733596E-4</v>
      </c>
      <c r="S147" s="2"/>
      <c r="T147" s="2">
        <v>349.6</v>
      </c>
      <c r="U147" s="2"/>
      <c r="V147" s="19">
        <f t="shared" si="45"/>
        <v>3.0131213644053393E-5</v>
      </c>
      <c r="W147" s="2"/>
      <c r="X147" s="2">
        <f t="shared" si="46"/>
        <v>622.4</v>
      </c>
      <c r="Y147" s="2"/>
      <c r="Z147" s="19">
        <f t="shared" si="47"/>
        <v>1.7803203661327229</v>
      </c>
    </row>
    <row r="148" spans="1:26" s="23" customFormat="1" hidden="1" outlineLevel="1" x14ac:dyDescent="0.25">
      <c r="A148" s="44"/>
      <c r="B148" s="10" t="str">
        <f>CONCATENATE("          ", "5083", " - ", "PURCHASES @ COST-COMPUTER EQUI")</f>
        <v xml:space="preserve">          5083 - PURCHASES @ COST-COMPUTER EQUI</v>
      </c>
      <c r="C148" s="10"/>
      <c r="D148" s="2">
        <v>170</v>
      </c>
      <c r="E148" s="2"/>
      <c r="F148" s="19">
        <f t="shared" si="40"/>
        <v>6.4262923358941368E-4</v>
      </c>
      <c r="G148" s="2"/>
      <c r="H148" s="2"/>
      <c r="I148" s="2"/>
      <c r="J148" s="19">
        <f t="shared" si="41"/>
        <v>0</v>
      </c>
      <c r="K148" s="2"/>
      <c r="L148" s="2">
        <f t="shared" si="42"/>
        <v>170</v>
      </c>
      <c r="M148" s="2"/>
      <c r="N148" s="19">
        <f t="shared" si="43"/>
        <v>0</v>
      </c>
      <c r="O148" s="10"/>
      <c r="P148" s="2">
        <v>170</v>
      </c>
      <c r="Q148" s="2"/>
      <c r="R148" s="19">
        <f t="shared" si="44"/>
        <v>3.1039927533381805E-5</v>
      </c>
      <c r="S148" s="2"/>
      <c r="T148" s="2">
        <v>395.06</v>
      </c>
      <c r="U148" s="2"/>
      <c r="V148" s="19">
        <f t="shared" si="45"/>
        <v>3.4049305669964911E-5</v>
      </c>
      <c r="W148" s="2"/>
      <c r="X148" s="2">
        <f t="shared" si="46"/>
        <v>-225.06</v>
      </c>
      <c r="Y148" s="2"/>
      <c r="Z148" s="19">
        <f t="shared" si="47"/>
        <v>-0.56968561737457601</v>
      </c>
    </row>
    <row r="149" spans="1:26" s="23" customFormat="1" hidden="1" outlineLevel="1" x14ac:dyDescent="0.25">
      <c r="A149" s="44"/>
      <c r="B149" s="10" t="str">
        <f>CONCATENATE("          ", "5086", " - ", "PURCHASES @ COST-COMPUTER SUPP")</f>
        <v xml:space="preserve">          5086 - PURCHASES @ COST-COMPUTER SUPP</v>
      </c>
      <c r="C149" s="10"/>
      <c r="D149" s="2">
        <v>156.21</v>
      </c>
      <c r="E149" s="2"/>
      <c r="F149" s="19">
        <f t="shared" si="40"/>
        <v>5.9050066222942536E-4</v>
      </c>
      <c r="G149" s="2"/>
      <c r="H149" s="2"/>
      <c r="I149" s="2"/>
      <c r="J149" s="19">
        <f t="shared" si="41"/>
        <v>0</v>
      </c>
      <c r="K149" s="2"/>
      <c r="L149" s="2">
        <f t="shared" si="42"/>
        <v>156.21</v>
      </c>
      <c r="M149" s="2"/>
      <c r="N149" s="19">
        <f t="shared" si="43"/>
        <v>0</v>
      </c>
      <c r="O149" s="10"/>
      <c r="P149" s="2">
        <v>169.42</v>
      </c>
      <c r="Q149" s="2"/>
      <c r="R149" s="19">
        <f t="shared" si="44"/>
        <v>3.0934026604150265E-5</v>
      </c>
      <c r="S149" s="2"/>
      <c r="T149" s="2">
        <v>426.22</v>
      </c>
      <c r="U149" s="2"/>
      <c r="V149" s="19">
        <f t="shared" si="45"/>
        <v>3.6734913842587063E-5</v>
      </c>
      <c r="W149" s="2"/>
      <c r="X149" s="2">
        <f t="shared" si="46"/>
        <v>-256.80000000000007</v>
      </c>
      <c r="Y149" s="2"/>
      <c r="Z149" s="19">
        <f t="shared" si="47"/>
        <v>-0.60250574820515235</v>
      </c>
    </row>
    <row r="150" spans="1:26" s="23" customFormat="1" hidden="1" outlineLevel="1" x14ac:dyDescent="0.25">
      <c r="A150" s="44"/>
      <c r="B150" s="10" t="str">
        <f>CONCATENATE("          ", "5092", " - ", "PURCHASES @ COST-GRAD MERCH")</f>
        <v xml:space="preserve">          5092 - PURCHASES @ COST-GRAD MERCH</v>
      </c>
      <c r="C150" s="10"/>
      <c r="D150" s="2"/>
      <c r="E150" s="2"/>
      <c r="F150" s="19">
        <f t="shared" si="40"/>
        <v>0</v>
      </c>
      <c r="G150" s="2"/>
      <c r="H150" s="2">
        <v>9354.1</v>
      </c>
      <c r="I150" s="2"/>
      <c r="J150" s="19">
        <f t="shared" si="41"/>
        <v>4.4285628932059257E-2</v>
      </c>
      <c r="K150" s="2"/>
      <c r="L150" s="2">
        <f t="shared" si="42"/>
        <v>-9354.1</v>
      </c>
      <c r="M150" s="2"/>
      <c r="N150" s="19">
        <f t="shared" si="43"/>
        <v>-1</v>
      </c>
      <c r="O150" s="10"/>
      <c r="P150" s="2">
        <v>0</v>
      </c>
      <c r="Q150" s="2"/>
      <c r="R150" s="19">
        <f t="shared" si="44"/>
        <v>0</v>
      </c>
      <c r="S150" s="2"/>
      <c r="T150" s="2">
        <v>13839.98</v>
      </c>
      <c r="U150" s="2"/>
      <c r="V150" s="19">
        <f t="shared" si="45"/>
        <v>1.1928357957935527E-3</v>
      </c>
      <c r="W150" s="2"/>
      <c r="X150" s="2">
        <f t="shared" si="46"/>
        <v>-13839.98</v>
      </c>
      <c r="Y150" s="2"/>
      <c r="Z150" s="19">
        <f t="shared" si="47"/>
        <v>-1</v>
      </c>
    </row>
    <row r="151" spans="1:26" s="23" customFormat="1" hidden="1" outlineLevel="1" x14ac:dyDescent="0.25">
      <c r="A151" s="44"/>
      <c r="B151" s="10" t="str">
        <f>CONCATENATE("          ", "5095", " - ", "PURCHASES @ COST-CUSTOMER SERV")</f>
        <v xml:space="preserve">          5095 - PURCHASES @ COST-CUSTOMER SERV</v>
      </c>
      <c r="C151" s="10"/>
      <c r="D151" s="2"/>
      <c r="E151" s="2"/>
      <c r="F151" s="19">
        <f t="shared" si="40"/>
        <v>0</v>
      </c>
      <c r="G151" s="2"/>
      <c r="H151" s="2">
        <v>0</v>
      </c>
      <c r="I151" s="2"/>
      <c r="J151" s="19">
        <f t="shared" si="41"/>
        <v>0</v>
      </c>
      <c r="K151" s="2"/>
      <c r="L151" s="2">
        <f t="shared" si="42"/>
        <v>0</v>
      </c>
      <c r="M151" s="2"/>
      <c r="N151" s="19">
        <f t="shared" si="43"/>
        <v>0</v>
      </c>
      <c r="O151" s="10"/>
      <c r="P151" s="2"/>
      <c r="Q151" s="2"/>
      <c r="R151" s="19">
        <f t="shared" si="44"/>
        <v>0</v>
      </c>
      <c r="S151" s="2"/>
      <c r="T151" s="2">
        <v>0</v>
      </c>
      <c r="U151" s="2"/>
      <c r="V151" s="19">
        <f t="shared" si="45"/>
        <v>0</v>
      </c>
      <c r="W151" s="2"/>
      <c r="X151" s="2">
        <f t="shared" si="46"/>
        <v>0</v>
      </c>
      <c r="Y151" s="2"/>
      <c r="Z151" s="19">
        <f t="shared" si="47"/>
        <v>0</v>
      </c>
    </row>
    <row r="152" spans="1:26" s="23" customFormat="1" hidden="1" outlineLevel="1" x14ac:dyDescent="0.25">
      <c r="A152" s="44"/>
      <c r="B152" s="10" t="str">
        <f>CONCATENATE("          ", "5200", " - ", "PURCHASES OFFSET")</f>
        <v xml:space="preserve">          5200 - PURCHASES OFFSET</v>
      </c>
      <c r="C152" s="10"/>
      <c r="D152" s="2">
        <v>-486860.31</v>
      </c>
      <c r="E152" s="2"/>
      <c r="F152" s="19">
        <f t="shared" si="40"/>
        <v>-1.8404156934141433</v>
      </c>
      <c r="G152" s="2"/>
      <c r="H152" s="2">
        <v>-303919</v>
      </c>
      <c r="I152" s="2"/>
      <c r="J152" s="19">
        <f t="shared" si="41"/>
        <v>-1.4388603991193718</v>
      </c>
      <c r="K152" s="2"/>
      <c r="L152" s="2">
        <f t="shared" si="42"/>
        <v>-182941.31</v>
      </c>
      <c r="M152" s="2"/>
      <c r="N152" s="19">
        <f t="shared" si="43"/>
        <v>0.60194101059821858</v>
      </c>
      <c r="O152" s="10"/>
      <c r="P152" s="2">
        <v>-2334827.4700000002</v>
      </c>
      <c r="Q152" s="2"/>
      <c r="R152" s="19">
        <f t="shared" si="44"/>
        <v>-0.42631103218675992</v>
      </c>
      <c r="S152" s="2"/>
      <c r="T152" s="2">
        <v>-3777245</v>
      </c>
      <c r="U152" s="2"/>
      <c r="V152" s="19">
        <f t="shared" si="45"/>
        <v>-0.32555199107818206</v>
      </c>
      <c r="W152" s="2"/>
      <c r="X152" s="2">
        <f t="shared" si="46"/>
        <v>1442417.5299999998</v>
      </c>
      <c r="Y152" s="2"/>
      <c r="Z152" s="19">
        <f t="shared" si="47"/>
        <v>-0.38187025993812945</v>
      </c>
    </row>
    <row r="153" spans="1:26" s="23" customFormat="1" hidden="1" outlineLevel="1" x14ac:dyDescent="0.25">
      <c r="A153" s="44"/>
      <c r="B153" s="10" t="str">
        <f>CONCATENATE("          ", "5300", " - ", "COG$ OFFSET")</f>
        <v xml:space="preserve">          5300 - COG$ OFFSET</v>
      </c>
      <c r="C153" s="10"/>
      <c r="D153" s="2">
        <v>155831</v>
      </c>
      <c r="E153" s="2"/>
      <c r="F153" s="19">
        <f t="shared" si="40"/>
        <v>0.58906797705571723</v>
      </c>
      <c r="G153" s="2"/>
      <c r="H153" s="2">
        <v>300761.53000000003</v>
      </c>
      <c r="I153" s="2"/>
      <c r="J153" s="19">
        <f t="shared" si="41"/>
        <v>1.4239118156336161</v>
      </c>
      <c r="K153" s="2"/>
      <c r="L153" s="2">
        <f t="shared" si="42"/>
        <v>-144930.53000000003</v>
      </c>
      <c r="M153" s="2"/>
      <c r="N153" s="19">
        <f t="shared" si="43"/>
        <v>-0.48187855009249358</v>
      </c>
      <c r="O153" s="10"/>
      <c r="P153" s="2">
        <v>2797463</v>
      </c>
      <c r="Q153" s="2"/>
      <c r="R153" s="19">
        <f t="shared" si="44"/>
        <v>0.5107826399842168</v>
      </c>
      <c r="S153" s="2"/>
      <c r="T153" s="2">
        <v>4336696</v>
      </c>
      <c r="U153" s="2"/>
      <c r="V153" s="19">
        <f t="shared" si="45"/>
        <v>0.37376977598773387</v>
      </c>
      <c r="W153" s="2"/>
      <c r="X153" s="2">
        <f t="shared" si="46"/>
        <v>-1539233</v>
      </c>
      <c r="Y153" s="2"/>
      <c r="Z153" s="19">
        <f t="shared" si="47"/>
        <v>-0.35493218800672216</v>
      </c>
    </row>
    <row r="154" spans="1:26" s="23" customFormat="1" hidden="1" outlineLevel="1" x14ac:dyDescent="0.25">
      <c r="A154" s="44"/>
      <c r="B154" s="10" t="str">
        <f>CONCATENATE("          ", "5500", " - ", "FREIGHT-IN")</f>
        <v xml:space="preserve">          5500 - FREIGHT-IN</v>
      </c>
      <c r="C154" s="10"/>
      <c r="D154" s="2">
        <v>65</v>
      </c>
      <c r="E154" s="2"/>
      <c r="F154" s="19">
        <f t="shared" si="40"/>
        <v>2.4571117754889347E-4</v>
      </c>
      <c r="G154" s="2"/>
      <c r="H154" s="2">
        <v>83.13</v>
      </c>
      <c r="I154" s="2"/>
      <c r="J154" s="19">
        <f t="shared" si="41"/>
        <v>3.9356692072161785E-4</v>
      </c>
      <c r="K154" s="2"/>
      <c r="L154" s="2">
        <f t="shared" si="42"/>
        <v>-18.129999999999995</v>
      </c>
      <c r="M154" s="2"/>
      <c r="N154" s="19">
        <f t="shared" si="43"/>
        <v>-0.21809214483339343</v>
      </c>
      <c r="O154" s="10"/>
      <c r="P154" s="2">
        <v>65</v>
      </c>
      <c r="Q154" s="2"/>
      <c r="R154" s="19">
        <f t="shared" si="44"/>
        <v>1.1868207586293043E-5</v>
      </c>
      <c r="S154" s="2"/>
      <c r="T154" s="2">
        <v>239.61</v>
      </c>
      <c r="U154" s="2"/>
      <c r="V154" s="19">
        <f t="shared" si="45"/>
        <v>2.0651430495571034E-5</v>
      </c>
      <c r="W154" s="2"/>
      <c r="X154" s="2">
        <f t="shared" si="46"/>
        <v>-174.61</v>
      </c>
      <c r="Y154" s="2"/>
      <c r="Z154" s="19">
        <f t="shared" si="47"/>
        <v>-0.72872584616668756</v>
      </c>
    </row>
    <row r="155" spans="1:26" s="23" customFormat="1" hidden="1" outlineLevel="1" x14ac:dyDescent="0.25">
      <c r="A155" s="44"/>
      <c r="B155" s="10" t="str">
        <f>CONCATENATE("          ", "5501", " - ", "FREIGHT-IN-NEW TEXT")</f>
        <v xml:space="preserve">          5501 - FREIGHT-IN-NEW TEXT</v>
      </c>
      <c r="C155" s="10"/>
      <c r="D155" s="2">
        <v>1565.85</v>
      </c>
      <c r="E155" s="2"/>
      <c r="F155" s="19">
        <f t="shared" si="40"/>
        <v>5.9191822671528435E-3</v>
      </c>
      <c r="G155" s="2"/>
      <c r="H155" s="2">
        <v>2483.06</v>
      </c>
      <c r="I155" s="2"/>
      <c r="J155" s="19">
        <f t="shared" si="41"/>
        <v>1.1755687214808377E-2</v>
      </c>
      <c r="K155" s="2"/>
      <c r="L155" s="2">
        <f t="shared" si="42"/>
        <v>-917.21</v>
      </c>
      <c r="M155" s="2"/>
      <c r="N155" s="19">
        <f t="shared" si="43"/>
        <v>-0.36938696608217281</v>
      </c>
      <c r="O155" s="10"/>
      <c r="P155" s="2">
        <v>53401.99</v>
      </c>
      <c r="Q155" s="2"/>
      <c r="R155" s="19">
        <f t="shared" si="44"/>
        <v>9.7505523514022328E-3</v>
      </c>
      <c r="S155" s="2"/>
      <c r="T155" s="2">
        <v>72230.789999999994</v>
      </c>
      <c r="U155" s="2"/>
      <c r="V155" s="19">
        <f t="shared" si="45"/>
        <v>6.2254043626108549E-3</v>
      </c>
      <c r="W155" s="2"/>
      <c r="X155" s="2">
        <f t="shared" si="46"/>
        <v>-18828.799999999996</v>
      </c>
      <c r="Y155" s="2"/>
      <c r="Z155" s="19">
        <f t="shared" si="47"/>
        <v>-0.26067553739894023</v>
      </c>
    </row>
    <row r="156" spans="1:26" s="23" customFormat="1" hidden="1" outlineLevel="1" x14ac:dyDescent="0.25">
      <c r="A156" s="44"/>
      <c r="B156" s="10" t="str">
        <f>CONCATENATE("          ", "5502", " - ", "FREIGHT-IN-USED TEXT")</f>
        <v xml:space="preserve">          5502 - FREIGHT-IN-USED TEXT</v>
      </c>
      <c r="C156" s="10"/>
      <c r="D156" s="2">
        <v>149.80000000000001</v>
      </c>
      <c r="E156" s="2"/>
      <c r="F156" s="19">
        <f t="shared" si="40"/>
        <v>5.6626975995114227E-4</v>
      </c>
      <c r="G156" s="2"/>
      <c r="H156" s="2">
        <v>519.36</v>
      </c>
      <c r="I156" s="2"/>
      <c r="J156" s="19">
        <f t="shared" si="41"/>
        <v>2.4588345476480146E-3</v>
      </c>
      <c r="K156" s="2"/>
      <c r="L156" s="2">
        <f t="shared" si="42"/>
        <v>-369.56</v>
      </c>
      <c r="M156" s="2"/>
      <c r="N156" s="19">
        <f t="shared" si="43"/>
        <v>-0.71156808379544056</v>
      </c>
      <c r="O156" s="10"/>
      <c r="P156" s="2">
        <v>18142.669999999998</v>
      </c>
      <c r="Q156" s="2"/>
      <c r="R156" s="19">
        <f t="shared" si="44"/>
        <v>3.3126303650709414E-3</v>
      </c>
      <c r="S156" s="2"/>
      <c r="T156" s="2">
        <v>16200.12</v>
      </c>
      <c r="U156" s="2"/>
      <c r="V156" s="19">
        <f t="shared" si="45"/>
        <v>1.3962507917028096E-3</v>
      </c>
      <c r="W156" s="2"/>
      <c r="X156" s="2">
        <f t="shared" si="46"/>
        <v>1942.5499999999975</v>
      </c>
      <c r="Y156" s="2"/>
      <c r="Z156" s="19">
        <f t="shared" si="47"/>
        <v>0.11990960560785953</v>
      </c>
    </row>
    <row r="157" spans="1:26" s="23" customFormat="1" hidden="1" outlineLevel="1" x14ac:dyDescent="0.25">
      <c r="A157" s="44"/>
      <c r="B157" s="10" t="str">
        <f>CONCATENATE("          ", "5504", " - ", "FREIGHT-IN-DIGITAL TEXT")</f>
        <v xml:space="preserve">          5504 - FREIGHT-IN-DIGITAL TEXT</v>
      </c>
      <c r="C157" s="10"/>
      <c r="D157" s="2">
        <v>4.28</v>
      </c>
      <c r="E157" s="2"/>
      <c r="F157" s="19">
        <f t="shared" si="40"/>
        <v>1.6179135998604063E-5</v>
      </c>
      <c r="G157" s="2"/>
      <c r="H157" s="2"/>
      <c r="I157" s="2"/>
      <c r="J157" s="19">
        <f t="shared" si="41"/>
        <v>0</v>
      </c>
      <c r="K157" s="2"/>
      <c r="L157" s="2">
        <f t="shared" si="42"/>
        <v>4.28</v>
      </c>
      <c r="M157" s="2"/>
      <c r="N157" s="19">
        <f t="shared" si="43"/>
        <v>0</v>
      </c>
      <c r="O157" s="10"/>
      <c r="P157" s="2">
        <v>33.200000000000003</v>
      </c>
      <c r="Q157" s="2"/>
      <c r="R157" s="19">
        <f t="shared" si="44"/>
        <v>6.061915259460447E-6</v>
      </c>
      <c r="S157" s="2"/>
      <c r="T157" s="2">
        <v>118.75</v>
      </c>
      <c r="U157" s="2"/>
      <c r="V157" s="19">
        <f t="shared" si="45"/>
        <v>1.0234787243224657E-5</v>
      </c>
      <c r="W157" s="2"/>
      <c r="X157" s="2">
        <f t="shared" si="46"/>
        <v>-85.55</v>
      </c>
      <c r="Y157" s="2"/>
      <c r="Z157" s="19">
        <f t="shared" si="47"/>
        <v>-0.72042105263157896</v>
      </c>
    </row>
    <row r="158" spans="1:26" s="23" customFormat="1" hidden="1" outlineLevel="1" x14ac:dyDescent="0.25">
      <c r="A158" s="44"/>
      <c r="B158" s="10" t="str">
        <f>CONCATENATE("          ", "5513", " - ", "FREIGHT-IN-TRADE BOOKS")</f>
        <v xml:space="preserve">          5513 - FREIGHT-IN-TRADE BOOKS</v>
      </c>
      <c r="C158" s="10"/>
      <c r="D158" s="2"/>
      <c r="E158" s="2"/>
      <c r="F158" s="19">
        <f t="shared" si="40"/>
        <v>0</v>
      </c>
      <c r="G158" s="2"/>
      <c r="H158" s="2"/>
      <c r="I158" s="2"/>
      <c r="J158" s="19">
        <f t="shared" si="41"/>
        <v>0</v>
      </c>
      <c r="K158" s="2"/>
      <c r="L158" s="2">
        <f t="shared" si="42"/>
        <v>0</v>
      </c>
      <c r="M158" s="2"/>
      <c r="N158" s="19">
        <f t="shared" si="43"/>
        <v>0</v>
      </c>
      <c r="O158" s="10"/>
      <c r="P158" s="2">
        <v>85.28</v>
      </c>
      <c r="Q158" s="2"/>
      <c r="R158" s="19">
        <f t="shared" si="44"/>
        <v>1.5571088353216471E-5</v>
      </c>
      <c r="S158" s="2"/>
      <c r="T158" s="2">
        <v>30.24</v>
      </c>
      <c r="U158" s="2"/>
      <c r="V158" s="19">
        <f t="shared" si="45"/>
        <v>2.6063155051377989E-6</v>
      </c>
      <c r="W158" s="2"/>
      <c r="X158" s="2">
        <f t="shared" si="46"/>
        <v>55.040000000000006</v>
      </c>
      <c r="Y158" s="2"/>
      <c r="Z158" s="19">
        <f t="shared" si="47"/>
        <v>1.8201058201058204</v>
      </c>
    </row>
    <row r="159" spans="1:26" s="23" customFormat="1" hidden="1" outlineLevel="1" x14ac:dyDescent="0.25">
      <c r="A159" s="44"/>
      <c r="B159" s="10" t="str">
        <f>CONCATENATE("          ", "5518", " - ", "FREIGHT-IN-STUDY GUIDES")</f>
        <v xml:space="preserve">          5518 - FREIGHT-IN-STUDY GUIDES</v>
      </c>
      <c r="C159" s="10"/>
      <c r="D159" s="2"/>
      <c r="E159" s="2"/>
      <c r="F159" s="19">
        <f t="shared" si="40"/>
        <v>0</v>
      </c>
      <c r="G159" s="2"/>
      <c r="H159" s="2"/>
      <c r="I159" s="2"/>
      <c r="J159" s="19">
        <f t="shared" si="41"/>
        <v>0</v>
      </c>
      <c r="K159" s="2"/>
      <c r="L159" s="2">
        <f t="shared" si="42"/>
        <v>0</v>
      </c>
      <c r="M159" s="2"/>
      <c r="N159" s="19">
        <f t="shared" si="43"/>
        <v>0</v>
      </c>
      <c r="O159" s="10"/>
      <c r="P159" s="2"/>
      <c r="Q159" s="2"/>
      <c r="R159" s="19">
        <f t="shared" si="44"/>
        <v>0</v>
      </c>
      <c r="S159" s="2"/>
      <c r="T159" s="2">
        <v>21.13</v>
      </c>
      <c r="U159" s="2"/>
      <c r="V159" s="19">
        <f t="shared" si="45"/>
        <v>1.8211457216786273E-6</v>
      </c>
      <c r="W159" s="2"/>
      <c r="X159" s="2">
        <f t="shared" si="46"/>
        <v>-21.13</v>
      </c>
      <c r="Y159" s="2"/>
      <c r="Z159" s="19">
        <f t="shared" si="47"/>
        <v>-1</v>
      </c>
    </row>
    <row r="160" spans="1:26" s="23" customFormat="1" hidden="1" outlineLevel="1" x14ac:dyDescent="0.25">
      <c r="A160" s="44"/>
      <c r="B160" s="10" t="str">
        <f>CONCATENATE("          ", "5525", " - ", "FREIGHT-IN-TEST FORMS")</f>
        <v xml:space="preserve">          5525 - FREIGHT-IN-TEST FORMS</v>
      </c>
      <c r="C160" s="10"/>
      <c r="D160" s="2"/>
      <c r="E160" s="2"/>
      <c r="F160" s="19">
        <f t="shared" si="40"/>
        <v>0</v>
      </c>
      <c r="G160" s="2"/>
      <c r="H160" s="2"/>
      <c r="I160" s="2"/>
      <c r="J160" s="19">
        <f t="shared" si="41"/>
        <v>0</v>
      </c>
      <c r="K160" s="2"/>
      <c r="L160" s="2">
        <f t="shared" si="42"/>
        <v>0</v>
      </c>
      <c r="M160" s="2"/>
      <c r="N160" s="19">
        <f t="shared" si="43"/>
        <v>0</v>
      </c>
      <c r="O160" s="10"/>
      <c r="P160" s="2">
        <v>48.14</v>
      </c>
      <c r="Q160" s="2"/>
      <c r="R160" s="19">
        <f t="shared" si="44"/>
        <v>8.7897771262176472E-6</v>
      </c>
      <c r="S160" s="2"/>
      <c r="T160" s="2">
        <v>1614.32</v>
      </c>
      <c r="U160" s="2"/>
      <c r="V160" s="19">
        <f t="shared" si="45"/>
        <v>1.3913449888406255E-4</v>
      </c>
      <c r="W160" s="2"/>
      <c r="X160" s="2">
        <f t="shared" si="46"/>
        <v>-1566.1799999999998</v>
      </c>
      <c r="Y160" s="2"/>
      <c r="Z160" s="19">
        <f t="shared" si="47"/>
        <v>-0.9701793944199415</v>
      </c>
    </row>
    <row r="161" spans="1:26" s="23" customFormat="1" hidden="1" outlineLevel="1" x14ac:dyDescent="0.25">
      <c r="A161" s="44"/>
      <c r="B161" s="10" t="str">
        <f>CONCATENATE("          ", "5526", " - ", "FREIGHT-IN-WRITING INSTRUMENTS")</f>
        <v xml:space="preserve">          5526 - FREIGHT-IN-WRITING INSTRUMENTS</v>
      </c>
      <c r="C161" s="10"/>
      <c r="D161" s="2"/>
      <c r="E161" s="2"/>
      <c r="F161" s="19">
        <f t="shared" si="40"/>
        <v>0</v>
      </c>
      <c r="G161" s="2"/>
      <c r="H161" s="2"/>
      <c r="I161" s="2"/>
      <c r="J161" s="19">
        <f t="shared" si="41"/>
        <v>0</v>
      </c>
      <c r="K161" s="2"/>
      <c r="L161" s="2">
        <f t="shared" si="42"/>
        <v>0</v>
      </c>
      <c r="M161" s="2"/>
      <c r="N161" s="19">
        <f t="shared" si="43"/>
        <v>0</v>
      </c>
      <c r="O161" s="10"/>
      <c r="P161" s="2">
        <v>0</v>
      </c>
      <c r="Q161" s="2"/>
      <c r="R161" s="19">
        <f t="shared" si="44"/>
        <v>0</v>
      </c>
      <c r="S161" s="2"/>
      <c r="T161" s="2">
        <v>274.5</v>
      </c>
      <c r="U161" s="2"/>
      <c r="V161" s="19">
        <f t="shared" si="45"/>
        <v>2.3658518722232996E-5</v>
      </c>
      <c r="W161" s="2"/>
      <c r="X161" s="2">
        <f t="shared" si="46"/>
        <v>-274.5</v>
      </c>
      <c r="Y161" s="2"/>
      <c r="Z161" s="19">
        <f t="shared" si="47"/>
        <v>-1</v>
      </c>
    </row>
    <row r="162" spans="1:26" s="23" customFormat="1" hidden="1" outlineLevel="1" x14ac:dyDescent="0.25">
      <c r="A162" s="44"/>
      <c r="B162" s="10" t="str">
        <f>CONCATENATE("          ", "5527", " - ", "FREIGHT-IN-SCHOOL SUPPLIES")</f>
        <v xml:space="preserve">          5527 - FREIGHT-IN-SCHOOL SUPPLIES</v>
      </c>
      <c r="C162" s="10"/>
      <c r="D162" s="2">
        <v>58.29</v>
      </c>
      <c r="E162" s="2"/>
      <c r="F162" s="19">
        <f t="shared" si="40"/>
        <v>2.2034622368192309E-4</v>
      </c>
      <c r="G162" s="2"/>
      <c r="H162" s="2"/>
      <c r="I162" s="2"/>
      <c r="J162" s="19">
        <f t="shared" si="41"/>
        <v>0</v>
      </c>
      <c r="K162" s="2"/>
      <c r="L162" s="2">
        <f t="shared" si="42"/>
        <v>58.29</v>
      </c>
      <c r="M162" s="2"/>
      <c r="N162" s="19">
        <f t="shared" si="43"/>
        <v>0</v>
      </c>
      <c r="O162" s="10"/>
      <c r="P162" s="2">
        <v>276.91000000000003</v>
      </c>
      <c r="Q162" s="2"/>
      <c r="R162" s="19">
        <f t="shared" si="44"/>
        <v>5.0560390195698564E-5</v>
      </c>
      <c r="S162" s="2"/>
      <c r="T162" s="2">
        <v>1808</v>
      </c>
      <c r="U162" s="2"/>
      <c r="V162" s="19">
        <f t="shared" si="45"/>
        <v>1.5582732914315941E-4</v>
      </c>
      <c r="W162" s="2"/>
      <c r="X162" s="2">
        <f t="shared" si="46"/>
        <v>-1531.09</v>
      </c>
      <c r="Y162" s="2"/>
      <c r="Z162" s="19">
        <f t="shared" si="47"/>
        <v>-0.84684181415929194</v>
      </c>
    </row>
    <row r="163" spans="1:26" s="23" customFormat="1" hidden="1" outlineLevel="1" x14ac:dyDescent="0.25">
      <c r="A163" s="44"/>
      <c r="B163" s="10" t="str">
        <f>CONCATENATE("          ", "5528", " - ", "FREIGHT-IN-ART/TECH")</f>
        <v xml:space="preserve">          5528 - FREIGHT-IN-ART/TECH</v>
      </c>
      <c r="C163" s="10"/>
      <c r="D163" s="2">
        <v>102.68</v>
      </c>
      <c r="E163" s="2"/>
      <c r="F163" s="19">
        <f t="shared" si="40"/>
        <v>3.8814805708800592E-4</v>
      </c>
      <c r="G163" s="2"/>
      <c r="H163" s="2">
        <v>13.33</v>
      </c>
      <c r="I163" s="2"/>
      <c r="J163" s="19">
        <f t="shared" si="41"/>
        <v>6.3108950477795814E-5</v>
      </c>
      <c r="K163" s="2"/>
      <c r="L163" s="2">
        <f t="shared" si="42"/>
        <v>89.350000000000009</v>
      </c>
      <c r="M163" s="2"/>
      <c r="N163" s="19">
        <f t="shared" si="43"/>
        <v>6.7029257314328587</v>
      </c>
      <c r="O163" s="10"/>
      <c r="P163" s="2">
        <v>675.64</v>
      </c>
      <c r="Q163" s="2"/>
      <c r="R163" s="19">
        <f t="shared" si="44"/>
        <v>1.2336362728620047E-4</v>
      </c>
      <c r="S163" s="2"/>
      <c r="T163" s="2">
        <v>2837.7</v>
      </c>
      <c r="U163" s="2"/>
      <c r="V163" s="19">
        <f t="shared" si="45"/>
        <v>2.4457478534819881E-4</v>
      </c>
      <c r="W163" s="2"/>
      <c r="X163" s="2">
        <f t="shared" si="46"/>
        <v>-2162.06</v>
      </c>
      <c r="Y163" s="2"/>
      <c r="Z163" s="19">
        <f t="shared" si="47"/>
        <v>-0.76190576875638727</v>
      </c>
    </row>
    <row r="164" spans="1:26" s="23" customFormat="1" hidden="1" outlineLevel="1" x14ac:dyDescent="0.25">
      <c r="A164" s="44"/>
      <c r="B164" s="10" t="str">
        <f>CONCATENATE("          ", "5540", " - ", "FREIGHT-IN-LOGO CLOTHING")</f>
        <v xml:space="preserve">          5540 - FREIGHT-IN-LOGO CLOTHING</v>
      </c>
      <c r="C164" s="10"/>
      <c r="D164" s="2">
        <v>1384.09</v>
      </c>
      <c r="E164" s="2"/>
      <c r="F164" s="19">
        <f t="shared" si="40"/>
        <v>5.2320982112868918E-3</v>
      </c>
      <c r="G164" s="2"/>
      <c r="H164" s="2">
        <v>29.98</v>
      </c>
      <c r="I164" s="2"/>
      <c r="J164" s="19">
        <f t="shared" si="41"/>
        <v>1.4193595913910867E-4</v>
      </c>
      <c r="K164" s="2"/>
      <c r="L164" s="2">
        <f t="shared" si="42"/>
        <v>1354.11</v>
      </c>
      <c r="M164" s="2"/>
      <c r="N164" s="19">
        <f t="shared" si="43"/>
        <v>45.167111407605063</v>
      </c>
      <c r="O164" s="10"/>
      <c r="P164" s="2">
        <v>11883.79</v>
      </c>
      <c r="Q164" s="2"/>
      <c r="R164" s="19">
        <f t="shared" si="44"/>
        <v>2.169835178952514E-3</v>
      </c>
      <c r="S164" s="2"/>
      <c r="T164" s="2">
        <v>32548.98</v>
      </c>
      <c r="U164" s="2"/>
      <c r="V164" s="19">
        <f t="shared" si="45"/>
        <v>2.8053211392334693E-3</v>
      </c>
      <c r="W164" s="2"/>
      <c r="X164" s="2">
        <f t="shared" si="46"/>
        <v>-20665.189999999999</v>
      </c>
      <c r="Y164" s="2"/>
      <c r="Z164" s="19">
        <f t="shared" si="47"/>
        <v>-0.63489516414953706</v>
      </c>
    </row>
    <row r="165" spans="1:26" s="23" customFormat="1" hidden="1" outlineLevel="1" x14ac:dyDescent="0.25">
      <c r="A165" s="44"/>
      <c r="B165" s="10" t="str">
        <f>CONCATENATE("          ", "5541", " - ", "FREIGHT-IN-LOGO GIFTS")</f>
        <v xml:space="preserve">          5541 - FREIGHT-IN-LOGO GIFTS</v>
      </c>
      <c r="C165" s="10"/>
      <c r="D165" s="2">
        <v>1606.81</v>
      </c>
      <c r="E165" s="2"/>
      <c r="F165" s="19">
        <f t="shared" si="40"/>
        <v>6.074018110728269E-3</v>
      </c>
      <c r="G165" s="2"/>
      <c r="H165" s="2">
        <v>348.31</v>
      </c>
      <c r="I165" s="2"/>
      <c r="J165" s="19">
        <f t="shared" si="41"/>
        <v>1.6490231463556684E-3</v>
      </c>
      <c r="K165" s="2"/>
      <c r="L165" s="2">
        <f t="shared" si="42"/>
        <v>1258.5</v>
      </c>
      <c r="M165" s="2"/>
      <c r="N165" s="19">
        <f t="shared" si="43"/>
        <v>3.6131606901897735</v>
      </c>
      <c r="O165" s="10"/>
      <c r="P165" s="2">
        <v>7584.01</v>
      </c>
      <c r="Q165" s="2"/>
      <c r="R165" s="19">
        <f t="shared" si="44"/>
        <v>1.3847477694849586E-3</v>
      </c>
      <c r="S165" s="2"/>
      <c r="T165" s="2">
        <v>5574.41</v>
      </c>
      <c r="U165" s="2"/>
      <c r="V165" s="19">
        <f t="shared" si="45"/>
        <v>4.8044547668634911E-4</v>
      </c>
      <c r="W165" s="2"/>
      <c r="X165" s="2">
        <f t="shared" si="46"/>
        <v>2009.6000000000004</v>
      </c>
      <c r="Y165" s="2"/>
      <c r="Z165" s="19">
        <f t="shared" si="47"/>
        <v>0.36050451976083575</v>
      </c>
    </row>
    <row r="166" spans="1:26" s="23" customFormat="1" hidden="1" outlineLevel="1" x14ac:dyDescent="0.25">
      <c r="A166" s="44"/>
      <c r="B166" s="10" t="str">
        <f>CONCATENATE("          ", "5542", " - ", "FREIGHT-IN-EVERYDAY GIFTS")</f>
        <v xml:space="preserve">          5542 - FREIGHT-IN-EVERYDAY GIFTS</v>
      </c>
      <c r="C166" s="10"/>
      <c r="D166" s="2"/>
      <c r="E166" s="2"/>
      <c r="F166" s="19">
        <f t="shared" si="40"/>
        <v>0</v>
      </c>
      <c r="G166" s="2"/>
      <c r="H166" s="2"/>
      <c r="I166" s="2"/>
      <c r="J166" s="19">
        <f t="shared" si="41"/>
        <v>0</v>
      </c>
      <c r="K166" s="2"/>
      <c r="L166" s="2">
        <f t="shared" si="42"/>
        <v>0</v>
      </c>
      <c r="M166" s="2"/>
      <c r="N166" s="19">
        <f t="shared" si="43"/>
        <v>0</v>
      </c>
      <c r="O166" s="10"/>
      <c r="P166" s="2">
        <v>681.72</v>
      </c>
      <c r="Q166" s="2"/>
      <c r="R166" s="19">
        <f t="shared" si="44"/>
        <v>1.2447376116504145E-4</v>
      </c>
      <c r="S166" s="2"/>
      <c r="T166" s="2">
        <v>2223.5100000000002</v>
      </c>
      <c r="U166" s="2"/>
      <c r="V166" s="19">
        <f t="shared" si="45"/>
        <v>1.9163917291101018E-4</v>
      </c>
      <c r="W166" s="2"/>
      <c r="X166" s="2">
        <f t="shared" si="46"/>
        <v>-1541.7900000000002</v>
      </c>
      <c r="Y166" s="2"/>
      <c r="Z166" s="19">
        <f t="shared" si="47"/>
        <v>-0.69340367257174473</v>
      </c>
    </row>
    <row r="167" spans="1:26" s="23" customFormat="1" hidden="1" outlineLevel="1" x14ac:dyDescent="0.25">
      <c r="A167" s="44"/>
      <c r="B167" s="10" t="str">
        <f>CONCATENATE("          ", "5543", " - ", "FREIGHT-IN-CARDS")</f>
        <v xml:space="preserve">          5543 - FREIGHT-IN-CARDS</v>
      </c>
      <c r="C167" s="10"/>
      <c r="D167" s="2"/>
      <c r="E167" s="2"/>
      <c r="F167" s="19">
        <f t="shared" si="40"/>
        <v>0</v>
      </c>
      <c r="G167" s="2"/>
      <c r="H167" s="2"/>
      <c r="I167" s="2"/>
      <c r="J167" s="19">
        <f t="shared" si="41"/>
        <v>0</v>
      </c>
      <c r="K167" s="2"/>
      <c r="L167" s="2">
        <f t="shared" si="42"/>
        <v>0</v>
      </c>
      <c r="M167" s="2"/>
      <c r="N167" s="19">
        <f t="shared" si="43"/>
        <v>0</v>
      </c>
      <c r="O167" s="10"/>
      <c r="P167" s="2">
        <v>9110.5300000000007</v>
      </c>
      <c r="Q167" s="2"/>
      <c r="R167" s="19">
        <f t="shared" si="44"/>
        <v>1.6634717117100055E-3</v>
      </c>
      <c r="S167" s="2"/>
      <c r="T167" s="2">
        <v>2926.76</v>
      </c>
      <c r="U167" s="2"/>
      <c r="V167" s="19">
        <f t="shared" si="45"/>
        <v>2.5225066031141219E-4</v>
      </c>
      <c r="W167" s="2"/>
      <c r="X167" s="2">
        <f t="shared" si="46"/>
        <v>6183.77</v>
      </c>
      <c r="Y167" s="2"/>
      <c r="Z167" s="19">
        <f t="shared" si="47"/>
        <v>2.112838087168063</v>
      </c>
    </row>
    <row r="168" spans="1:26" s="23" customFormat="1" hidden="1" outlineLevel="1" x14ac:dyDescent="0.25">
      <c r="A168" s="44"/>
      <c r="B168" s="10" t="str">
        <f>CONCATENATE("          ", "5544", " - ", "FREIGHT-IN-ACCESSORIES")</f>
        <v xml:space="preserve">          5544 - FREIGHT-IN-ACCESSORIES</v>
      </c>
      <c r="C168" s="10"/>
      <c r="D168" s="2">
        <v>48.59</v>
      </c>
      <c r="E168" s="2"/>
      <c r="F168" s="19">
        <f t="shared" si="40"/>
        <v>1.836785556477036E-4</v>
      </c>
      <c r="G168" s="2"/>
      <c r="H168" s="2"/>
      <c r="I168" s="2"/>
      <c r="J168" s="19">
        <f t="shared" si="41"/>
        <v>0</v>
      </c>
      <c r="K168" s="2"/>
      <c r="L168" s="2">
        <f t="shared" si="42"/>
        <v>48.59</v>
      </c>
      <c r="M168" s="2"/>
      <c r="N168" s="19">
        <f t="shared" si="43"/>
        <v>0</v>
      </c>
      <c r="O168" s="10"/>
      <c r="P168" s="2">
        <v>48.59</v>
      </c>
      <c r="Q168" s="2"/>
      <c r="R168" s="19">
        <f t="shared" si="44"/>
        <v>8.8719416402766003E-6</v>
      </c>
      <c r="S168" s="2"/>
      <c r="T168" s="2">
        <v>483.44</v>
      </c>
      <c r="U168" s="2"/>
      <c r="V168" s="19">
        <f t="shared" si="45"/>
        <v>4.1666573009385502E-5</v>
      </c>
      <c r="W168" s="2"/>
      <c r="X168" s="2">
        <f t="shared" si="46"/>
        <v>-434.85</v>
      </c>
      <c r="Y168" s="2"/>
      <c r="Z168" s="19">
        <f t="shared" si="47"/>
        <v>-0.89949114678139996</v>
      </c>
    </row>
    <row r="169" spans="1:26" s="23" customFormat="1" hidden="1" outlineLevel="1" x14ac:dyDescent="0.25">
      <c r="A169" s="44"/>
      <c r="B169" s="10" t="str">
        <f>CONCATENATE("          ", "5545", " - ", "FREIGHT-IN-SPECIAL ORDERS")</f>
        <v xml:space="preserve">          5545 - FREIGHT-IN-SPECIAL ORDERS</v>
      </c>
      <c r="C169" s="10"/>
      <c r="D169" s="2">
        <v>90.41</v>
      </c>
      <c r="E169" s="2"/>
      <c r="F169" s="19">
        <f t="shared" si="40"/>
        <v>3.4176534711069935E-4</v>
      </c>
      <c r="G169" s="2"/>
      <c r="H169" s="2">
        <v>355.3</v>
      </c>
      <c r="I169" s="2"/>
      <c r="J169" s="19">
        <f t="shared" si="41"/>
        <v>1.6821162869287963E-3</v>
      </c>
      <c r="K169" s="2"/>
      <c r="L169" s="2">
        <f t="shared" si="42"/>
        <v>-264.89</v>
      </c>
      <c r="M169" s="2"/>
      <c r="N169" s="19">
        <f t="shared" si="43"/>
        <v>-0.74553898114269623</v>
      </c>
      <c r="O169" s="10"/>
      <c r="P169" s="2">
        <v>2559.0700000000002</v>
      </c>
      <c r="Q169" s="2"/>
      <c r="R169" s="19">
        <f t="shared" si="44"/>
        <v>4.672549844285375E-4</v>
      </c>
      <c r="S169" s="2"/>
      <c r="T169" s="2">
        <v>1420.62</v>
      </c>
      <c r="U169" s="2"/>
      <c r="V169" s="19">
        <f t="shared" si="45"/>
        <v>1.2243994487132472E-4</v>
      </c>
      <c r="W169" s="2"/>
      <c r="X169" s="2">
        <f t="shared" si="46"/>
        <v>1138.4500000000003</v>
      </c>
      <c r="Y169" s="2"/>
      <c r="Z169" s="19">
        <f t="shared" si="47"/>
        <v>0.80137545578691016</v>
      </c>
    </row>
    <row r="170" spans="1:26" s="23" customFormat="1" hidden="1" outlineLevel="1" x14ac:dyDescent="0.25">
      <c r="A170" s="44"/>
      <c r="B170" s="10" t="str">
        <f>CONCATENATE("          ", "5592", " - ", "FREIGHT-IN-GRAD MERCH")</f>
        <v xml:space="preserve">          5592 - FREIGHT-IN-GRAD MERCH</v>
      </c>
      <c r="C170" s="10"/>
      <c r="D170" s="2"/>
      <c r="E170" s="2"/>
      <c r="F170" s="19">
        <f t="shared" si="40"/>
        <v>0</v>
      </c>
      <c r="G170" s="2"/>
      <c r="H170" s="2">
        <v>10.83</v>
      </c>
      <c r="I170" s="2"/>
      <c r="J170" s="19">
        <f t="shared" si="41"/>
        <v>5.1273063291412505E-5</v>
      </c>
      <c r="K170" s="2"/>
      <c r="L170" s="2">
        <f t="shared" si="42"/>
        <v>-10.83</v>
      </c>
      <c r="M170" s="2"/>
      <c r="N170" s="19">
        <f t="shared" si="43"/>
        <v>-1</v>
      </c>
      <c r="O170" s="10"/>
      <c r="P170" s="2">
        <v>0</v>
      </c>
      <c r="Q170" s="2"/>
      <c r="R170" s="19">
        <f t="shared" si="44"/>
        <v>0</v>
      </c>
      <c r="S170" s="2"/>
      <c r="T170" s="2">
        <v>170.88</v>
      </c>
      <c r="U170" s="2"/>
      <c r="V170" s="19">
        <f t="shared" si="45"/>
        <v>1.4727751108397721E-5</v>
      </c>
      <c r="W170" s="2"/>
      <c r="X170" s="2">
        <f t="shared" si="46"/>
        <v>-170.88</v>
      </c>
      <c r="Y170" s="2"/>
      <c r="Z170" s="19">
        <f t="shared" si="47"/>
        <v>-1</v>
      </c>
    </row>
    <row r="171" spans="1:26" x14ac:dyDescent="0.25">
      <c r="A171" s="9"/>
      <c r="B171" s="11"/>
      <c r="C171" s="11"/>
      <c r="D171" s="3"/>
      <c r="E171" s="3"/>
      <c r="F171" s="8"/>
      <c r="G171" s="3"/>
      <c r="H171" s="3"/>
      <c r="I171" s="3"/>
      <c r="J171" s="8"/>
      <c r="K171" s="3"/>
      <c r="L171" s="3"/>
      <c r="M171" s="3"/>
      <c r="N171" s="8"/>
      <c r="O171" s="11"/>
      <c r="P171" s="3"/>
      <c r="Q171" s="3"/>
      <c r="R171" s="8"/>
      <c r="S171" s="3"/>
      <c r="T171" s="3"/>
      <c r="U171" s="3"/>
      <c r="V171" s="8"/>
      <c r="W171" s="3"/>
      <c r="X171" s="3"/>
      <c r="Y171" s="3"/>
      <c r="Z171" s="8"/>
    </row>
    <row r="172" spans="1:26" s="24" customFormat="1" x14ac:dyDescent="0.25">
      <c r="A172" s="11"/>
      <c r="B172" s="28" t="s">
        <v>107</v>
      </c>
      <c r="C172" s="28"/>
      <c r="D172" s="21">
        <f>D12-D117</f>
        <v>-2706.1099999999278</v>
      </c>
      <c r="E172" s="14"/>
      <c r="F172" s="22">
        <f>IF(D$12=0,0,D172/D$12)</f>
        <v>-1.022956114887413E-2</v>
      </c>
      <c r="G172" s="14"/>
      <c r="H172" s="21">
        <f>H12-H117</f>
        <v>-56449.929999999964</v>
      </c>
      <c r="I172" s="14"/>
      <c r="J172" s="22">
        <f>IF(H$12=0,0,H172/H$12)</f>
        <v>-0.26725400126369375</v>
      </c>
      <c r="K172" s="15"/>
      <c r="L172" s="21">
        <f>+D172-H172</f>
        <v>53743.820000000036</v>
      </c>
      <c r="M172" s="15"/>
      <c r="N172" s="22">
        <f>IF(H172=0,0,L172/H172)</f>
        <v>-0.95206176517845231</v>
      </c>
      <c r="O172" s="29"/>
      <c r="P172" s="21">
        <f>P12-P117</f>
        <v>1988400.9099999978</v>
      </c>
      <c r="Q172" s="14"/>
      <c r="R172" s="22">
        <f>IF(P$12=0,0,P172/P$12)</f>
        <v>0.36305776561006098</v>
      </c>
      <c r="S172" s="14"/>
      <c r="T172" s="21">
        <f>T12-T117</f>
        <v>4853874.7500000019</v>
      </c>
      <c r="U172" s="14"/>
      <c r="V172" s="22">
        <f>IF(T$12=0,0,T172/T$12)</f>
        <v>0.41834421365482349</v>
      </c>
      <c r="W172" s="15"/>
      <c r="X172" s="21">
        <f>+P172-T172</f>
        <v>-2865473.840000004</v>
      </c>
      <c r="Y172" s="15"/>
      <c r="Z172" s="22">
        <f>IF(T172=0,0,X172/T172)</f>
        <v>-0.59034770932233116</v>
      </c>
    </row>
    <row r="173" spans="1:26" x14ac:dyDescent="0.25">
      <c r="A173" s="9"/>
      <c r="B173" s="11"/>
      <c r="C173" s="9"/>
      <c r="D173" s="1"/>
      <c r="E173" s="1"/>
      <c r="F173" s="5"/>
      <c r="G173" s="1"/>
      <c r="H173" s="1"/>
      <c r="I173" s="1"/>
      <c r="J173" s="5"/>
      <c r="K173" s="1"/>
      <c r="L173" s="1"/>
      <c r="M173" s="1"/>
      <c r="N173" s="5"/>
      <c r="O173" s="37"/>
      <c r="P173" s="1"/>
      <c r="Q173" s="1"/>
      <c r="R173" s="5"/>
      <c r="S173" s="1"/>
      <c r="T173" s="1"/>
      <c r="U173" s="1"/>
      <c r="V173" s="5"/>
      <c r="W173" s="1"/>
      <c r="X173" s="1"/>
      <c r="Y173" s="1"/>
      <c r="Z173" s="5"/>
    </row>
    <row r="174" spans="1:26" s="24" customFormat="1" x14ac:dyDescent="0.25">
      <c r="A174" s="11"/>
      <c r="B174" s="29" t="s">
        <v>294</v>
      </c>
      <c r="C174" s="11"/>
      <c r="D174" s="20">
        <f>SUM(OSRRefD22x_0)</f>
        <v>256966.23999999996</v>
      </c>
      <c r="E174" s="20"/>
      <c r="F174" s="32">
        <f t="shared" ref="F174:F185" si="48">IF(D$12=0,0,D174/D$12)</f>
        <v>0.97137657570325486</v>
      </c>
      <c r="G174" s="20"/>
      <c r="H174" s="20">
        <f>SUM(OSRRefH22x_0)</f>
        <v>342344.00999999995</v>
      </c>
      <c r="I174" s="20"/>
      <c r="J174" s="32">
        <f t="shared" ref="J174:J185" si="49">IF(H$12=0,0,H174/H$12)</f>
        <v>1.6207780325176318</v>
      </c>
      <c r="K174" s="4"/>
      <c r="L174" s="20">
        <f t="shared" ref="L174:L185" si="50">+D174-H174</f>
        <v>-85377.76999999999</v>
      </c>
      <c r="M174" s="4"/>
      <c r="N174" s="32">
        <f t="shared" ref="N174:N185" si="51">IF(H174=0,0,L174/H174)</f>
        <v>-0.24939174487089755</v>
      </c>
      <c r="O174" s="11"/>
      <c r="P174" s="20">
        <f>SUM(OSRRefP22x_0)</f>
        <v>3374060.5100000016</v>
      </c>
      <c r="Q174" s="20"/>
      <c r="R174" s="32">
        <f t="shared" ref="R174:R185" si="52">IF(P$12=0,0,P174/P$12)</f>
        <v>0.6160623160214429</v>
      </c>
      <c r="S174" s="20"/>
      <c r="T174" s="20">
        <f>SUM(OSRRefT22x_0)</f>
        <v>5268922.5599999996</v>
      </c>
      <c r="U174" s="20"/>
      <c r="V174" s="32">
        <f t="shared" ref="V174:V185" si="53">IF(T$12=0,0,T174/T$12)</f>
        <v>0.45411622233790822</v>
      </c>
      <c r="W174" s="4"/>
      <c r="X174" s="20">
        <f t="shared" ref="X174:X185" si="54">+P174-T174</f>
        <v>-1894862.049999998</v>
      </c>
      <c r="Y174" s="4"/>
      <c r="Z174" s="32">
        <f t="shared" ref="Z174:Z185" si="55">IF(T174=0,0,X174/T174)</f>
        <v>-0.35962989177050991</v>
      </c>
    </row>
    <row r="175" spans="1:26" s="27" customFormat="1" outlineLevel="1" collapsed="1" x14ac:dyDescent="0.25">
      <c r="A175" s="26"/>
      <c r="B175" s="12" t="str">
        <f>CONCATENATE("     ","*Benefits                                         ")</f>
        <v xml:space="preserve">     *Benefits                                         </v>
      </c>
      <c r="C175" s="12"/>
      <c r="D175" s="1">
        <f>SUM(OSRRefD22_0x_0)</f>
        <v>53691.33</v>
      </c>
      <c r="E175" s="1"/>
      <c r="F175" s="5">
        <f t="shared" si="48"/>
        <v>0.20296246028409587</v>
      </c>
      <c r="G175" s="1"/>
      <c r="H175" s="1">
        <f>SUM(OSRRefH22_0x_0)</f>
        <v>38655.93</v>
      </c>
      <c r="I175" s="1"/>
      <c r="J175" s="5">
        <f t="shared" si="49"/>
        <v>0.1830108906258921</v>
      </c>
      <c r="K175" s="1"/>
      <c r="L175" s="1">
        <f t="shared" si="50"/>
        <v>15035.400000000001</v>
      </c>
      <c r="M175" s="1"/>
      <c r="N175" s="5">
        <f t="shared" si="51"/>
        <v>0.38895455367391241</v>
      </c>
      <c r="O175" s="12"/>
      <c r="P175" s="1">
        <f>SUM(OSRRefP22_0x_0)</f>
        <v>600219.56000000006</v>
      </c>
      <c r="Q175" s="1"/>
      <c r="R175" s="5">
        <f t="shared" si="52"/>
        <v>0.10959277439128419</v>
      </c>
      <c r="S175" s="1"/>
      <c r="T175" s="1">
        <f>SUM(OSRRefT22_0x_0)</f>
        <v>661169.07000000007</v>
      </c>
      <c r="U175" s="1"/>
      <c r="V175" s="5">
        <f t="shared" si="53"/>
        <v>5.6984629585269148E-2</v>
      </c>
      <c r="W175" s="1"/>
      <c r="X175" s="1">
        <f t="shared" si="54"/>
        <v>-60949.510000000009</v>
      </c>
      <c r="Y175" s="1"/>
      <c r="Z175" s="5">
        <f t="shared" si="55"/>
        <v>-9.2184454424040135E-2</v>
      </c>
    </row>
    <row r="176" spans="1:26" s="23" customFormat="1" hidden="1" outlineLevel="2" x14ac:dyDescent="0.25">
      <c r="A176" s="25"/>
      <c r="B176" s="10" t="str">
        <f>CONCATENATE("          ", "6111", " - ", "F.I.C.A.")</f>
        <v xml:space="preserve">          6111 - F.I.C.A.</v>
      </c>
      <c r="C176" s="10"/>
      <c r="D176" s="6">
        <v>9383.11</v>
      </c>
      <c r="E176" s="2"/>
      <c r="F176" s="7">
        <f t="shared" si="48"/>
        <v>3.5469769341089204E-2</v>
      </c>
      <c r="G176" s="2"/>
      <c r="H176" s="6">
        <v>8618.73</v>
      </c>
      <c r="I176" s="2"/>
      <c r="J176" s="7">
        <f t="shared" si="49"/>
        <v>4.0804126387958974E-2</v>
      </c>
      <c r="K176" s="2"/>
      <c r="L176" s="6">
        <f t="shared" si="50"/>
        <v>764.38000000000102</v>
      </c>
      <c r="M176" s="2"/>
      <c r="N176" s="7">
        <f t="shared" si="51"/>
        <v>8.8688240610855784E-2</v>
      </c>
      <c r="O176" s="10"/>
      <c r="P176" s="6">
        <v>110770.73</v>
      </c>
      <c r="Q176" s="2"/>
      <c r="R176" s="7">
        <f t="shared" si="52"/>
        <v>2.0225384894234127E-2</v>
      </c>
      <c r="S176" s="2"/>
      <c r="T176" s="6">
        <v>131514.45000000001</v>
      </c>
      <c r="U176" s="2"/>
      <c r="V176" s="7">
        <f t="shared" si="53"/>
        <v>1.1334925601344902E-2</v>
      </c>
      <c r="W176" s="2"/>
      <c r="X176" s="6">
        <f t="shared" si="54"/>
        <v>-20743.720000000016</v>
      </c>
      <c r="Y176" s="2"/>
      <c r="Z176" s="7">
        <f t="shared" si="55"/>
        <v>-0.15772958788939173</v>
      </c>
    </row>
    <row r="177" spans="1:26" s="23" customFormat="1" hidden="1" outlineLevel="2" x14ac:dyDescent="0.25">
      <c r="A177" s="25"/>
      <c r="B177" s="10" t="str">
        <f>CONCATENATE("          ", "6112", " - ", "COMPENSATION INSURANCE")</f>
        <v xml:space="preserve">          6112 - COMPENSATION INSURANCE</v>
      </c>
      <c r="C177" s="10"/>
      <c r="D177" s="6">
        <v>1986.74</v>
      </c>
      <c r="E177" s="2"/>
      <c r="F177" s="7">
        <f t="shared" si="48"/>
        <v>7.5102188443613637E-3</v>
      </c>
      <c r="G177" s="2"/>
      <c r="H177" s="6">
        <v>1960.5</v>
      </c>
      <c r="I177" s="2"/>
      <c r="J177" s="7">
        <f t="shared" si="49"/>
        <v>9.2817027315617931E-3</v>
      </c>
      <c r="K177" s="2"/>
      <c r="L177" s="6">
        <f t="shared" si="50"/>
        <v>26.240000000000009</v>
      </c>
      <c r="M177" s="2"/>
      <c r="N177" s="7">
        <f t="shared" si="51"/>
        <v>1.3384340729405768E-2</v>
      </c>
      <c r="O177" s="10"/>
      <c r="P177" s="6">
        <v>27109.43</v>
      </c>
      <c r="Q177" s="2"/>
      <c r="R177" s="7">
        <f t="shared" si="52"/>
        <v>4.9498514274781569E-3</v>
      </c>
      <c r="S177" s="2"/>
      <c r="T177" s="6">
        <v>37538.58</v>
      </c>
      <c r="U177" s="2"/>
      <c r="V177" s="7">
        <f t="shared" si="53"/>
        <v>3.2353631975812064E-3</v>
      </c>
      <c r="W177" s="2"/>
      <c r="X177" s="6">
        <f t="shared" si="54"/>
        <v>-10429.150000000001</v>
      </c>
      <c r="Y177" s="2"/>
      <c r="Z177" s="7">
        <f t="shared" si="55"/>
        <v>-0.27782484047079037</v>
      </c>
    </row>
    <row r="178" spans="1:26" s="23" customFormat="1" hidden="1" outlineLevel="2" x14ac:dyDescent="0.25">
      <c r="A178" s="25"/>
      <c r="B178" s="10" t="str">
        <f>CONCATENATE("          ", "6113", " - ", "GROUP INSURANCE")</f>
        <v xml:space="preserve">          6113 - GROUP INSURANCE</v>
      </c>
      <c r="C178" s="10"/>
      <c r="D178" s="6">
        <v>18284.05</v>
      </c>
      <c r="E178" s="2"/>
      <c r="F178" s="7">
        <f t="shared" si="48"/>
        <v>6.9116853167120698E-2</v>
      </c>
      <c r="G178" s="2"/>
      <c r="H178" s="6">
        <v>18033.84</v>
      </c>
      <c r="I178" s="2"/>
      <c r="J178" s="7">
        <f t="shared" si="49"/>
        <v>8.5378598310914725E-2</v>
      </c>
      <c r="K178" s="2"/>
      <c r="L178" s="6">
        <f t="shared" si="50"/>
        <v>250.20999999999913</v>
      </c>
      <c r="M178" s="2"/>
      <c r="N178" s="7">
        <f t="shared" si="51"/>
        <v>1.3874471549043305E-2</v>
      </c>
      <c r="O178" s="10"/>
      <c r="P178" s="6">
        <v>219505.96</v>
      </c>
      <c r="Q178" s="2"/>
      <c r="R178" s="7">
        <f t="shared" si="52"/>
        <v>4.0079112303208264E-2</v>
      </c>
      <c r="S178" s="2"/>
      <c r="T178" s="6">
        <v>268001.19</v>
      </c>
      <c r="U178" s="2"/>
      <c r="V178" s="7">
        <f t="shared" si="53"/>
        <v>2.3098401352261284E-2</v>
      </c>
      <c r="W178" s="2"/>
      <c r="X178" s="6">
        <f t="shared" si="54"/>
        <v>-48495.23000000001</v>
      </c>
      <c r="Y178" s="2"/>
      <c r="Z178" s="7">
        <f t="shared" si="55"/>
        <v>-0.18095154726738344</v>
      </c>
    </row>
    <row r="179" spans="1:26" s="23" customFormat="1" hidden="1" outlineLevel="2" x14ac:dyDescent="0.25">
      <c r="A179" s="25"/>
      <c r="B179" s="10" t="str">
        <f>CONCATENATE("          ", "6114", " - ", "STATE UNEMPLOYMENT INSURANCE")</f>
        <v xml:space="preserve">          6114 - STATE UNEMPLOYMENT INSURANCE</v>
      </c>
      <c r="C179" s="10"/>
      <c r="D179" s="6">
        <v>346.7</v>
      </c>
      <c r="E179" s="2"/>
      <c r="F179" s="7">
        <f t="shared" si="48"/>
        <v>1.3105856193261749E-3</v>
      </c>
      <c r="G179" s="2"/>
      <c r="H179" s="6">
        <v>-6505.67</v>
      </c>
      <c r="I179" s="2"/>
      <c r="J179" s="7">
        <f t="shared" si="49"/>
        <v>-3.0800150476735327E-2</v>
      </c>
      <c r="K179" s="2"/>
      <c r="L179" s="6">
        <f t="shared" si="50"/>
        <v>6852.37</v>
      </c>
      <c r="M179" s="2"/>
      <c r="N179" s="7">
        <f t="shared" si="51"/>
        <v>-1.0532919745391327</v>
      </c>
      <c r="O179" s="10"/>
      <c r="P179" s="6">
        <v>4493.8500000000004</v>
      </c>
      <c r="Q179" s="2"/>
      <c r="R179" s="7">
        <f t="shared" si="52"/>
        <v>8.2052222556404603E-4</v>
      </c>
      <c r="S179" s="2"/>
      <c r="T179" s="6">
        <v>0</v>
      </c>
      <c r="U179" s="2"/>
      <c r="V179" s="7">
        <f t="shared" si="53"/>
        <v>0</v>
      </c>
      <c r="W179" s="2"/>
      <c r="X179" s="6">
        <f t="shared" si="54"/>
        <v>4493.8500000000004</v>
      </c>
      <c r="Y179" s="2"/>
      <c r="Z179" s="7">
        <f t="shared" si="55"/>
        <v>0</v>
      </c>
    </row>
    <row r="180" spans="1:26" s="23" customFormat="1" hidden="1" outlineLevel="2" x14ac:dyDescent="0.25">
      <c r="A180" s="25"/>
      <c r="B180" s="10" t="str">
        <f>CONCATENATE("          ", "6115", " - ", "P.E.R.S.")</f>
        <v xml:space="preserve">          6115 - P.E.R.S.</v>
      </c>
      <c r="C180" s="10"/>
      <c r="D180" s="6">
        <v>11653.4</v>
      </c>
      <c r="E180" s="2"/>
      <c r="F180" s="7">
        <f t="shared" si="48"/>
        <v>4.4051855945358077E-2</v>
      </c>
      <c r="G180" s="2"/>
      <c r="H180" s="6">
        <v>5948.8</v>
      </c>
      <c r="I180" s="2"/>
      <c r="J180" s="7">
        <f t="shared" si="49"/>
        <v>2.8163730277742816E-2</v>
      </c>
      <c r="K180" s="2"/>
      <c r="L180" s="6">
        <f t="shared" si="50"/>
        <v>5704.5999999999995</v>
      </c>
      <c r="M180" s="2"/>
      <c r="N180" s="7">
        <f t="shared" si="51"/>
        <v>0.95894970414201175</v>
      </c>
      <c r="O180" s="10"/>
      <c r="P180" s="6">
        <v>91879.33</v>
      </c>
      <c r="Q180" s="2"/>
      <c r="R180" s="7">
        <f t="shared" si="52"/>
        <v>1.6776045558915723E-2</v>
      </c>
      <c r="S180" s="2"/>
      <c r="T180" s="6">
        <v>97099.62</v>
      </c>
      <c r="U180" s="2"/>
      <c r="V180" s="7">
        <f t="shared" si="53"/>
        <v>8.3687911755617825E-3</v>
      </c>
      <c r="W180" s="2"/>
      <c r="X180" s="6">
        <f t="shared" si="54"/>
        <v>-5220.2899999999936</v>
      </c>
      <c r="Y180" s="2"/>
      <c r="Z180" s="7">
        <f t="shared" si="55"/>
        <v>-5.3762208338199405E-2</v>
      </c>
    </row>
    <row r="181" spans="1:26" s="23" customFormat="1" hidden="1" outlineLevel="2" x14ac:dyDescent="0.25">
      <c r="A181" s="25"/>
      <c r="B181" s="10" t="str">
        <f>CONCATENATE("          ", "6116", " - ", "EDUCATIONAL BENEFITS")</f>
        <v xml:space="preserve">          6116 - EDUCATIONAL BENEFITS</v>
      </c>
      <c r="C181" s="10"/>
      <c r="D181" s="6"/>
      <c r="E181" s="2"/>
      <c r="F181" s="7">
        <f t="shared" si="48"/>
        <v>0</v>
      </c>
      <c r="G181" s="2"/>
      <c r="H181" s="6"/>
      <c r="I181" s="2"/>
      <c r="J181" s="7">
        <f t="shared" si="49"/>
        <v>0</v>
      </c>
      <c r="K181" s="2"/>
      <c r="L181" s="6">
        <f t="shared" si="50"/>
        <v>0</v>
      </c>
      <c r="M181" s="2"/>
      <c r="N181" s="7">
        <f t="shared" si="51"/>
        <v>0</v>
      </c>
      <c r="O181" s="10"/>
      <c r="P181" s="6">
        <v>0</v>
      </c>
      <c r="Q181" s="2"/>
      <c r="R181" s="7">
        <f t="shared" si="52"/>
        <v>0</v>
      </c>
      <c r="S181" s="2"/>
      <c r="T181" s="6"/>
      <c r="U181" s="2"/>
      <c r="V181" s="7">
        <f t="shared" si="53"/>
        <v>0</v>
      </c>
      <c r="W181" s="2"/>
      <c r="X181" s="6">
        <f t="shared" si="54"/>
        <v>0</v>
      </c>
      <c r="Y181" s="2"/>
      <c r="Z181" s="7">
        <f t="shared" si="55"/>
        <v>0</v>
      </c>
    </row>
    <row r="182" spans="1:26" s="23" customFormat="1" hidden="1" outlineLevel="2" x14ac:dyDescent="0.25">
      <c r="A182" s="25"/>
      <c r="B182" s="10" t="str">
        <f>CONCATENATE("          ", "6117", " - ", "RETIREMENT STAFF HOURLY")</f>
        <v xml:space="preserve">          6117 - RETIREMENT STAFF HOURLY</v>
      </c>
      <c r="C182" s="10"/>
      <c r="D182" s="6">
        <v>530.78</v>
      </c>
      <c r="E182" s="2"/>
      <c r="F182" s="7">
        <f t="shared" si="48"/>
        <v>2.0064396741446412E-3</v>
      </c>
      <c r="G182" s="2"/>
      <c r="H182" s="6">
        <v>220.92</v>
      </c>
      <c r="I182" s="2"/>
      <c r="J182" s="7">
        <f t="shared" si="49"/>
        <v>1.0459136788863203E-3</v>
      </c>
      <c r="K182" s="2"/>
      <c r="L182" s="6">
        <f t="shared" si="50"/>
        <v>309.86</v>
      </c>
      <c r="M182" s="2"/>
      <c r="N182" s="7">
        <f t="shared" si="51"/>
        <v>1.4025891725511499</v>
      </c>
      <c r="O182" s="10"/>
      <c r="P182" s="6">
        <v>4769.1000000000004</v>
      </c>
      <c r="Q182" s="2"/>
      <c r="R182" s="7">
        <f t="shared" si="52"/>
        <v>8.7077951999677157E-4</v>
      </c>
      <c r="S182" s="2"/>
      <c r="T182" s="6">
        <v>2056.84</v>
      </c>
      <c r="U182" s="2"/>
      <c r="V182" s="7">
        <f t="shared" si="53"/>
        <v>1.772742719440354E-4</v>
      </c>
      <c r="W182" s="2"/>
      <c r="X182" s="6">
        <f t="shared" si="54"/>
        <v>2712.26</v>
      </c>
      <c r="Y182" s="2"/>
      <c r="Z182" s="7">
        <f t="shared" si="55"/>
        <v>1.3186538573734468</v>
      </c>
    </row>
    <row r="183" spans="1:26" s="23" customFormat="1" hidden="1" outlineLevel="2" x14ac:dyDescent="0.25">
      <c r="A183" s="25"/>
      <c r="B183" s="10" t="str">
        <f>CONCATENATE("          ", "6118", " - ", "VACATION")</f>
        <v xml:space="preserve">          6118 - VACATION</v>
      </c>
      <c r="C183" s="10"/>
      <c r="D183" s="6">
        <v>5732.87</v>
      </c>
      <c r="E183" s="2"/>
      <c r="F183" s="7">
        <f t="shared" si="48"/>
        <v>2.1671234437457308E-2</v>
      </c>
      <c r="G183" s="2"/>
      <c r="H183" s="6">
        <v>5988.23</v>
      </c>
      <c r="I183" s="2"/>
      <c r="J183" s="7">
        <f t="shared" si="49"/>
        <v>2.8350405890446451E-2</v>
      </c>
      <c r="K183" s="2"/>
      <c r="L183" s="6">
        <f t="shared" si="50"/>
        <v>-255.35999999999967</v>
      </c>
      <c r="M183" s="2"/>
      <c r="N183" s="7">
        <f t="shared" si="51"/>
        <v>-4.2643652631912887E-2</v>
      </c>
      <c r="O183" s="10"/>
      <c r="P183" s="6">
        <v>72243.600000000006</v>
      </c>
      <c r="Q183" s="2"/>
      <c r="R183" s="7">
        <f t="shared" si="52"/>
        <v>1.319080063970954E-2</v>
      </c>
      <c r="S183" s="2"/>
      <c r="T183" s="6">
        <v>81728.850000000006</v>
      </c>
      <c r="U183" s="2"/>
      <c r="V183" s="7">
        <f t="shared" si="53"/>
        <v>7.0440201379656552E-3</v>
      </c>
      <c r="W183" s="2"/>
      <c r="X183" s="6">
        <f t="shared" si="54"/>
        <v>-9485.25</v>
      </c>
      <c r="Y183" s="2"/>
      <c r="Z183" s="7">
        <f t="shared" si="55"/>
        <v>-0.11605754883373495</v>
      </c>
    </row>
    <row r="184" spans="1:26" s="23" customFormat="1" hidden="1" outlineLevel="2" x14ac:dyDescent="0.25">
      <c r="A184" s="25"/>
      <c r="B184" s="10" t="str">
        <f>CONCATENATE("          ", "6119", " - ", "SICK LEAVE")</f>
        <v xml:space="preserve">          6119 - SICK LEAVE</v>
      </c>
      <c r="C184" s="10"/>
      <c r="D184" s="6">
        <v>4267.55</v>
      </c>
      <c r="E184" s="2"/>
      <c r="F184" s="7">
        <f t="shared" si="48"/>
        <v>1.6132072857673544E-2</v>
      </c>
      <c r="G184" s="2"/>
      <c r="H184" s="6">
        <v>3497.96</v>
      </c>
      <c r="I184" s="2"/>
      <c r="J184" s="7">
        <f t="shared" si="49"/>
        <v>1.6560583976992546E-2</v>
      </c>
      <c r="K184" s="2"/>
      <c r="L184" s="6">
        <f t="shared" si="50"/>
        <v>769.59000000000015</v>
      </c>
      <c r="M184" s="2"/>
      <c r="N184" s="7">
        <f t="shared" si="51"/>
        <v>0.22001109217944176</v>
      </c>
      <c r="O184" s="10"/>
      <c r="P184" s="6">
        <v>51243.31</v>
      </c>
      <c r="Q184" s="2"/>
      <c r="R184" s="7">
        <f t="shared" si="52"/>
        <v>9.3564036998271712E-3</v>
      </c>
      <c r="S184" s="2"/>
      <c r="T184" s="6">
        <v>18414.009999999998</v>
      </c>
      <c r="U184" s="2"/>
      <c r="V184" s="7">
        <f t="shared" si="53"/>
        <v>1.5870608391125157E-3</v>
      </c>
      <c r="W184" s="2"/>
      <c r="X184" s="6">
        <f t="shared" si="54"/>
        <v>32829.300000000003</v>
      </c>
      <c r="Y184" s="2"/>
      <c r="Z184" s="7">
        <f t="shared" si="55"/>
        <v>1.7828436065799902</v>
      </c>
    </row>
    <row r="185" spans="1:26" s="23" customFormat="1" hidden="1" outlineLevel="2" x14ac:dyDescent="0.25">
      <c r="A185" s="25"/>
      <c r="B185" s="10" t="str">
        <f>CONCATENATE("          ", "6156", " - ", "EMPLOYEE MEALS")</f>
        <v xml:space="preserve">          6156 - EMPLOYEE MEALS</v>
      </c>
      <c r="C185" s="10"/>
      <c r="D185" s="6">
        <v>1506.13</v>
      </c>
      <c r="E185" s="2"/>
      <c r="F185" s="7">
        <f t="shared" si="48"/>
        <v>5.6934303975648458E-3</v>
      </c>
      <c r="G185" s="2"/>
      <c r="H185" s="6">
        <v>892.62</v>
      </c>
      <c r="I185" s="2"/>
      <c r="J185" s="7">
        <f t="shared" si="49"/>
        <v>4.2259798481237886E-3</v>
      </c>
      <c r="K185" s="2"/>
      <c r="L185" s="6">
        <f t="shared" si="50"/>
        <v>613.5100000000001</v>
      </c>
      <c r="M185" s="2"/>
      <c r="N185" s="7">
        <f t="shared" si="51"/>
        <v>0.6873137505321415</v>
      </c>
      <c r="O185" s="10"/>
      <c r="P185" s="6">
        <v>18204.25</v>
      </c>
      <c r="Q185" s="2"/>
      <c r="R185" s="7">
        <f t="shared" si="52"/>
        <v>3.3238741223503864E-3</v>
      </c>
      <c r="S185" s="2"/>
      <c r="T185" s="6">
        <v>24815.53</v>
      </c>
      <c r="U185" s="2"/>
      <c r="V185" s="7">
        <f t="shared" si="53"/>
        <v>2.138793009497758E-3</v>
      </c>
      <c r="W185" s="2"/>
      <c r="X185" s="6">
        <f t="shared" si="54"/>
        <v>-6611.2799999999988</v>
      </c>
      <c r="Y185" s="2"/>
      <c r="Z185" s="7">
        <f t="shared" si="55"/>
        <v>-0.26641703804029165</v>
      </c>
    </row>
    <row r="186" spans="1:26" s="27" customFormat="1" outlineLevel="1" collapsed="1" x14ac:dyDescent="0.25">
      <c r="A186" s="26"/>
      <c r="B186" s="12" t="str">
        <f>CONCATENATE("     ","*Payroll                                          ")</f>
        <v xml:space="preserve">     *Payroll                                          </v>
      </c>
      <c r="C186" s="12"/>
      <c r="D186" s="1">
        <f>SUM(OSRRefD22_1x_0)</f>
        <v>126856.57</v>
      </c>
      <c r="E186" s="1"/>
      <c r="F186" s="5">
        <f t="shared" ref="F186:F193" si="56">IF(D$12=0,0,D186/D$12)</f>
        <v>0.4795396491463636</v>
      </c>
      <c r="G186" s="1"/>
      <c r="H186" s="1">
        <f>SUM(OSRRefH22_1x_0)</f>
        <v>108044.88999999998</v>
      </c>
      <c r="I186" s="1"/>
      <c r="J186" s="5">
        <f t="shared" ref="J186:J193" si="57">IF(H$12=0,0,H186/H$12)</f>
        <v>0.51152285164207767</v>
      </c>
      <c r="K186" s="1"/>
      <c r="L186" s="1">
        <f t="shared" ref="L186:L193" si="58">+D186-H186</f>
        <v>18811.680000000022</v>
      </c>
      <c r="M186" s="1"/>
      <c r="N186" s="5">
        <f t="shared" ref="N186:N193" si="59">IF(H186=0,0,L186/H186)</f>
        <v>0.17410985378392282</v>
      </c>
      <c r="O186" s="12"/>
      <c r="P186" s="1">
        <f>SUM(OSRRefP22_1x_0)</f>
        <v>1540187.6600000001</v>
      </c>
      <c r="Q186" s="1"/>
      <c r="R186" s="5">
        <f t="shared" ref="R186:R193" si="60">IF(P$12=0,0,P186/P$12)</f>
        <v>0.28121949031887589</v>
      </c>
      <c r="S186" s="1"/>
      <c r="T186" s="1">
        <f>SUM(OSRRefT22_1x_0)</f>
        <v>2410795.2400000002</v>
      </c>
      <c r="U186" s="1"/>
      <c r="V186" s="5">
        <f t="shared" ref="V186:V193" si="61">IF(T$12=0,0,T186/T$12)</f>
        <v>0.20778085362845244</v>
      </c>
      <c r="W186" s="1"/>
      <c r="X186" s="1">
        <f t="shared" ref="X186:X193" si="62">+P186-T186</f>
        <v>-870607.58000000007</v>
      </c>
      <c r="Y186" s="1"/>
      <c r="Z186" s="5">
        <f t="shared" ref="Z186:Z193" si="63">IF(T186=0,0,X186/T186)</f>
        <v>-0.36112879499463424</v>
      </c>
    </row>
    <row r="187" spans="1:26" s="23" customFormat="1" hidden="1" outlineLevel="2" x14ac:dyDescent="0.25">
      <c r="A187" s="25"/>
      <c r="B187" s="10" t="str">
        <f>CONCATENATE("          ", "6001", " - ", "ADMINISTRATIVE SALARIES")</f>
        <v xml:space="preserve">          6001 - ADMINISTRATIVE SALARIES</v>
      </c>
      <c r="C187" s="10"/>
      <c r="D187" s="6">
        <v>3583.28</v>
      </c>
      <c r="E187" s="2"/>
      <c r="F187" s="7">
        <f t="shared" si="56"/>
        <v>1.3545414589036908E-2</v>
      </c>
      <c r="G187" s="2"/>
      <c r="H187" s="6"/>
      <c r="I187" s="2"/>
      <c r="J187" s="7">
        <f t="shared" si="57"/>
        <v>0</v>
      </c>
      <c r="K187" s="2"/>
      <c r="L187" s="6">
        <f t="shared" si="58"/>
        <v>3583.28</v>
      </c>
      <c r="M187" s="2"/>
      <c r="N187" s="7">
        <f t="shared" si="59"/>
        <v>0</v>
      </c>
      <c r="O187" s="10"/>
      <c r="P187" s="6">
        <v>50981.81</v>
      </c>
      <c r="Q187" s="2"/>
      <c r="R187" s="7">
        <f t="shared" si="60"/>
        <v>9.3086569877684697E-3</v>
      </c>
      <c r="S187" s="2"/>
      <c r="T187" s="6">
        <v>93238.31</v>
      </c>
      <c r="U187" s="2"/>
      <c r="V187" s="7">
        <f t="shared" si="61"/>
        <v>8.0359938169922186E-3</v>
      </c>
      <c r="W187" s="2"/>
      <c r="X187" s="6">
        <f t="shared" si="62"/>
        <v>-42256.5</v>
      </c>
      <c r="Y187" s="2"/>
      <c r="Z187" s="7">
        <f t="shared" si="63"/>
        <v>-0.4532096302474809</v>
      </c>
    </row>
    <row r="188" spans="1:26" s="23" customFormat="1" hidden="1" outlineLevel="2" x14ac:dyDescent="0.25">
      <c r="A188" s="25"/>
      <c r="B188" s="10" t="str">
        <f>CONCATENATE("          ", "6002", " - ", "STAFF SALARIES")</f>
        <v xml:space="preserve">          6002 - STAFF SALARIES</v>
      </c>
      <c r="C188" s="10"/>
      <c r="D188" s="6">
        <v>56900.92</v>
      </c>
      <c r="E188" s="2"/>
      <c r="F188" s="7">
        <f t="shared" si="56"/>
        <v>0.21509526241254437</v>
      </c>
      <c r="G188" s="2"/>
      <c r="H188" s="6">
        <v>56674.03</v>
      </c>
      <c r="I188" s="2"/>
      <c r="J188" s="7">
        <f t="shared" si="57"/>
        <v>0.26831497019108136</v>
      </c>
      <c r="K188" s="2"/>
      <c r="L188" s="6">
        <f t="shared" si="58"/>
        <v>226.88999999999942</v>
      </c>
      <c r="M188" s="2"/>
      <c r="N188" s="7">
        <f t="shared" si="59"/>
        <v>4.0034209672401878E-3</v>
      </c>
      <c r="O188" s="10"/>
      <c r="P188" s="6">
        <v>763460.06</v>
      </c>
      <c r="Q188" s="2"/>
      <c r="R188" s="7">
        <f t="shared" si="60"/>
        <v>0.13939849962959602</v>
      </c>
      <c r="S188" s="2"/>
      <c r="T188" s="6">
        <v>829005.01</v>
      </c>
      <c r="U188" s="2"/>
      <c r="V188" s="7">
        <f t="shared" si="61"/>
        <v>7.1450020218251198E-2</v>
      </c>
      <c r="W188" s="2"/>
      <c r="X188" s="6">
        <f t="shared" si="62"/>
        <v>-65544.949999999953</v>
      </c>
      <c r="Y188" s="2"/>
      <c r="Z188" s="7">
        <f t="shared" si="63"/>
        <v>-7.9064600586671904E-2</v>
      </c>
    </row>
    <row r="189" spans="1:26" s="23" customFormat="1" hidden="1" outlineLevel="2" x14ac:dyDescent="0.25">
      <c r="A189" s="25"/>
      <c r="B189" s="10" t="str">
        <f>CONCATENATE("          ", "6004", " - ", "STAFF HOURLY")</f>
        <v xml:space="preserve">          6004 - STAFF HOURLY</v>
      </c>
      <c r="C189" s="10"/>
      <c r="D189" s="6">
        <v>17280.169999999998</v>
      </c>
      <c r="E189" s="2"/>
      <c r="F189" s="7">
        <f t="shared" si="56"/>
        <v>6.5322014137616347E-2</v>
      </c>
      <c r="G189" s="2"/>
      <c r="H189" s="6">
        <v>18264.34</v>
      </c>
      <c r="I189" s="2"/>
      <c r="J189" s="7">
        <f t="shared" si="57"/>
        <v>8.6469867109499263E-2</v>
      </c>
      <c r="K189" s="2"/>
      <c r="L189" s="6">
        <f t="shared" si="58"/>
        <v>-984.17000000000189</v>
      </c>
      <c r="M189" s="2"/>
      <c r="N189" s="7">
        <f t="shared" si="59"/>
        <v>-5.388478313478625E-2</v>
      </c>
      <c r="O189" s="10"/>
      <c r="P189" s="6">
        <v>185624.67</v>
      </c>
      <c r="Q189" s="2"/>
      <c r="R189" s="7">
        <f t="shared" si="60"/>
        <v>3.3892801795340655E-2</v>
      </c>
      <c r="S189" s="2"/>
      <c r="T189" s="6">
        <v>77737.62</v>
      </c>
      <c r="U189" s="2"/>
      <c r="V189" s="7">
        <f t="shared" si="61"/>
        <v>6.7000252757443866E-3</v>
      </c>
      <c r="W189" s="2"/>
      <c r="X189" s="6">
        <f t="shared" si="62"/>
        <v>107887.05000000002</v>
      </c>
      <c r="Y189" s="2"/>
      <c r="Z189" s="7">
        <f t="shared" si="63"/>
        <v>1.3878357737219125</v>
      </c>
    </row>
    <row r="190" spans="1:26" s="23" customFormat="1" hidden="1" outlineLevel="2" x14ac:dyDescent="0.25">
      <c r="A190" s="25"/>
      <c r="B190" s="10" t="str">
        <f>CONCATENATE("          ", "6005", " - ", "TEMPORARY WAGES-HOURLY")</f>
        <v xml:space="preserve">          6005 - TEMPORARY WAGES-HOURLY</v>
      </c>
      <c r="C190" s="10"/>
      <c r="D190" s="6">
        <v>9126.32</v>
      </c>
      <c r="E190" s="2"/>
      <c r="F190" s="7">
        <f t="shared" si="56"/>
        <v>3.4499058982892579E-2</v>
      </c>
      <c r="G190" s="2"/>
      <c r="H190" s="6">
        <v>13347.48</v>
      </c>
      <c r="I190" s="2"/>
      <c r="J190" s="7">
        <f t="shared" si="57"/>
        <v>6.3191707001003003E-2</v>
      </c>
      <c r="K190" s="2"/>
      <c r="L190" s="6">
        <f t="shared" si="58"/>
        <v>-4221.16</v>
      </c>
      <c r="M190" s="2"/>
      <c r="N190" s="7">
        <f t="shared" si="59"/>
        <v>-0.31625145720390663</v>
      </c>
      <c r="O190" s="10"/>
      <c r="P190" s="6">
        <v>171098.04</v>
      </c>
      <c r="Q190" s="2"/>
      <c r="R190" s="7">
        <f t="shared" si="60"/>
        <v>3.124041625119801E-2</v>
      </c>
      <c r="S190" s="2"/>
      <c r="T190" s="6">
        <v>268982.92</v>
      </c>
      <c r="U190" s="2"/>
      <c r="V190" s="7">
        <f t="shared" si="61"/>
        <v>2.3183014385358469E-2</v>
      </c>
      <c r="W190" s="2"/>
      <c r="X190" s="6">
        <f t="shared" si="62"/>
        <v>-97884.879999999976</v>
      </c>
      <c r="Y190" s="2"/>
      <c r="Z190" s="7">
        <f t="shared" si="63"/>
        <v>-0.36390741835950025</v>
      </c>
    </row>
    <row r="191" spans="1:26" s="23" customFormat="1" hidden="1" outlineLevel="2" x14ac:dyDescent="0.25">
      <c r="A191" s="25"/>
      <c r="B191" s="10" t="str">
        <f>CONCATENATE("          ", "6006", " - ", "TEMPORARY PART TIME")</f>
        <v xml:space="preserve">          6006 - TEMPORARY PART TIME</v>
      </c>
      <c r="C191" s="10"/>
      <c r="D191" s="6">
        <v>4232.72</v>
      </c>
      <c r="E191" s="2"/>
      <c r="F191" s="7">
        <f t="shared" si="56"/>
        <v>1.6000409468226961E-2</v>
      </c>
      <c r="G191" s="2"/>
      <c r="H191" s="6">
        <v>2246.59</v>
      </c>
      <c r="I191" s="2"/>
      <c r="J191" s="7">
        <f t="shared" si="57"/>
        <v>1.0636154317622755E-2</v>
      </c>
      <c r="K191" s="2"/>
      <c r="L191" s="6">
        <f t="shared" si="58"/>
        <v>1986.13</v>
      </c>
      <c r="M191" s="2"/>
      <c r="N191" s="7">
        <f t="shared" si="59"/>
        <v>0.88406429299516154</v>
      </c>
      <c r="O191" s="10"/>
      <c r="P191" s="6">
        <v>23949.45</v>
      </c>
      <c r="Q191" s="2"/>
      <c r="R191" s="7">
        <f t="shared" si="60"/>
        <v>4.3728776027314757E-3</v>
      </c>
      <c r="S191" s="2"/>
      <c r="T191" s="6">
        <v>59117.58</v>
      </c>
      <c r="U191" s="2"/>
      <c r="V191" s="7">
        <f t="shared" si="61"/>
        <v>5.0952071884994791E-3</v>
      </c>
      <c r="W191" s="2"/>
      <c r="X191" s="6">
        <f t="shared" si="62"/>
        <v>-35168.130000000005</v>
      </c>
      <c r="Y191" s="2"/>
      <c r="Z191" s="7">
        <f t="shared" si="63"/>
        <v>-0.5948844658390956</v>
      </c>
    </row>
    <row r="192" spans="1:26" s="23" customFormat="1" hidden="1" outlineLevel="2" x14ac:dyDescent="0.25">
      <c r="A192" s="25"/>
      <c r="B192" s="10" t="str">
        <f>CONCATENATE("          ", "6007", " - ", "STUDENT HOURLY")</f>
        <v xml:space="preserve">          6007 - STUDENT HOURLY</v>
      </c>
      <c r="C192" s="10"/>
      <c r="D192" s="6">
        <v>28915.24</v>
      </c>
      <c r="E192" s="2"/>
      <c r="F192" s="7">
        <f t="shared" si="56"/>
        <v>0.10930457953090565</v>
      </c>
      <c r="G192" s="2"/>
      <c r="H192" s="6">
        <v>17512.45</v>
      </c>
      <c r="I192" s="2"/>
      <c r="J192" s="7">
        <f t="shared" si="57"/>
        <v>8.2910153022871372E-2</v>
      </c>
      <c r="K192" s="2"/>
      <c r="L192" s="6">
        <f t="shared" si="58"/>
        <v>11402.79</v>
      </c>
      <c r="M192" s="2"/>
      <c r="N192" s="7">
        <f t="shared" si="59"/>
        <v>0.65112477123417911</v>
      </c>
      <c r="O192" s="10"/>
      <c r="P192" s="6">
        <v>325714.3</v>
      </c>
      <c r="Q192" s="2"/>
      <c r="R192" s="7">
        <f t="shared" si="60"/>
        <v>5.9471460403448119E-2</v>
      </c>
      <c r="S192" s="2"/>
      <c r="T192" s="6">
        <v>1056396.99</v>
      </c>
      <c r="U192" s="2"/>
      <c r="V192" s="7">
        <f t="shared" si="61"/>
        <v>9.1048407890803582E-2</v>
      </c>
      <c r="W192" s="2"/>
      <c r="X192" s="6">
        <f t="shared" si="62"/>
        <v>-730682.69</v>
      </c>
      <c r="Y192" s="2"/>
      <c r="Z192" s="7">
        <f t="shared" si="63"/>
        <v>-0.69167433920840682</v>
      </c>
    </row>
    <row r="193" spans="1:26" s="23" customFormat="1" hidden="1" outlineLevel="2" x14ac:dyDescent="0.25">
      <c r="A193" s="25"/>
      <c r="B193" s="10" t="str">
        <f>CONCATENATE("          ", "6008", " - ", "STUDENT HOURLY-FICA EXEMPT")</f>
        <v xml:space="preserve">          6008 - STUDENT HOURLY-FICA EXEMPT</v>
      </c>
      <c r="C193" s="10"/>
      <c r="D193" s="6">
        <v>6817.92</v>
      </c>
      <c r="E193" s="2"/>
      <c r="F193" s="7">
        <f t="shared" si="56"/>
        <v>2.5772910025140799E-2</v>
      </c>
      <c r="G193" s="2"/>
      <c r="H193" s="6"/>
      <c r="I193" s="2"/>
      <c r="J193" s="7">
        <f t="shared" si="57"/>
        <v>0</v>
      </c>
      <c r="K193" s="2"/>
      <c r="L193" s="6">
        <f t="shared" si="58"/>
        <v>6817.92</v>
      </c>
      <c r="M193" s="2"/>
      <c r="N193" s="7">
        <f t="shared" si="59"/>
        <v>0</v>
      </c>
      <c r="O193" s="10"/>
      <c r="P193" s="6">
        <v>19359.330000000002</v>
      </c>
      <c r="Q193" s="2"/>
      <c r="R193" s="7">
        <f t="shared" si="60"/>
        <v>3.5347776487930846E-3</v>
      </c>
      <c r="S193" s="2"/>
      <c r="T193" s="6">
        <v>26316.81</v>
      </c>
      <c r="U193" s="2"/>
      <c r="V193" s="7">
        <f t="shared" si="61"/>
        <v>2.2681848528030915E-3</v>
      </c>
      <c r="W193" s="2"/>
      <c r="X193" s="6">
        <f t="shared" si="62"/>
        <v>-6957.48</v>
      </c>
      <c r="Y193" s="2"/>
      <c r="Z193" s="7">
        <f t="shared" si="63"/>
        <v>-0.26437398757676173</v>
      </c>
    </row>
    <row r="194" spans="1:26" s="27" customFormat="1" outlineLevel="1" collapsed="1" x14ac:dyDescent="0.25">
      <c r="A194" s="26"/>
      <c r="B194" s="12" t="str">
        <f>CONCATENATE("     ","Advertising/Promo                                 ")</f>
        <v xml:space="preserve">     Advertising/Promo                                 </v>
      </c>
      <c r="C194" s="12"/>
      <c r="D194" s="1">
        <f>SUM(OSRRefD22_2x_0)</f>
        <v>1324.8</v>
      </c>
      <c r="E194" s="1"/>
      <c r="F194" s="5">
        <f t="shared" ref="F194:F198" si="64">IF(D$12=0,0,D194/D$12)</f>
        <v>5.0079718156426783E-3</v>
      </c>
      <c r="G194" s="1"/>
      <c r="H194" s="1">
        <f>SUM(OSRRefH22_2x_0)</f>
        <v>-2415.19</v>
      </c>
      <c r="I194" s="1"/>
      <c r="J194" s="5">
        <f t="shared" ref="J194:J198" si="65">IF(H$12=0,0,H194/H$12)</f>
        <v>-1.1434366549472445E-2</v>
      </c>
      <c r="K194" s="1"/>
      <c r="L194" s="1">
        <f t="shared" ref="L194:L198" si="66">+D194-H194</f>
        <v>3739.99</v>
      </c>
      <c r="M194" s="1"/>
      <c r="N194" s="5">
        <f t="shared" ref="N194:N198" si="67">IF(H194=0,0,L194/H194)</f>
        <v>-1.5485282731379311</v>
      </c>
      <c r="O194" s="12"/>
      <c r="P194" s="1">
        <f>SUM(OSRRefP22_2x_0)</f>
        <v>18868.32</v>
      </c>
      <c r="Q194" s="1"/>
      <c r="R194" s="5">
        <f t="shared" ref="R194:R198" si="68">IF(P$12=0,0,P194/P$12)</f>
        <v>3.4451252086862266E-3</v>
      </c>
      <c r="S194" s="1"/>
      <c r="T194" s="1">
        <f>SUM(OSRRefT22_2x_0)</f>
        <v>46663.49</v>
      </c>
      <c r="U194" s="1"/>
      <c r="V194" s="5">
        <f t="shared" ref="V194:V198" si="69">IF(T$12=0,0,T194/T$12)</f>
        <v>4.0218180393797164E-3</v>
      </c>
      <c r="W194" s="1"/>
      <c r="X194" s="1">
        <f t="shared" ref="X194:X198" si="70">+P194-T194</f>
        <v>-27795.17</v>
      </c>
      <c r="Y194" s="1"/>
      <c r="Z194" s="5">
        <f t="shared" ref="Z194:Z198" si="71">IF(T194=0,0,X194/T194)</f>
        <v>-0.595651332551423</v>
      </c>
    </row>
    <row r="195" spans="1:26" s="23" customFormat="1" hidden="1" outlineLevel="2" x14ac:dyDescent="0.25">
      <c r="A195" s="25"/>
      <c r="B195" s="10" t="str">
        <f>CONCATENATE("          ", "6362", " - ", "ADVERTISING EXPENSE")</f>
        <v xml:space="preserve">          6362 - ADVERTISING EXPENSE</v>
      </c>
      <c r="C195" s="10"/>
      <c r="D195" s="6">
        <v>1324.8</v>
      </c>
      <c r="E195" s="2"/>
      <c r="F195" s="7">
        <f t="shared" si="64"/>
        <v>5.0079718156426783E-3</v>
      </c>
      <c r="G195" s="2"/>
      <c r="H195" s="6">
        <v>-2415.19</v>
      </c>
      <c r="I195" s="2"/>
      <c r="J195" s="7">
        <f t="shared" si="65"/>
        <v>-1.1434366549472445E-2</v>
      </c>
      <c r="K195" s="2"/>
      <c r="L195" s="6">
        <f t="shared" si="66"/>
        <v>3739.99</v>
      </c>
      <c r="M195" s="2"/>
      <c r="N195" s="7">
        <f t="shared" si="67"/>
        <v>-1.5485282731379311</v>
      </c>
      <c r="O195" s="10"/>
      <c r="P195" s="6">
        <v>18868.32</v>
      </c>
      <c r="Q195" s="2"/>
      <c r="R195" s="7">
        <f t="shared" si="68"/>
        <v>3.4451252086862266E-3</v>
      </c>
      <c r="S195" s="2"/>
      <c r="T195" s="6">
        <v>46663.49</v>
      </c>
      <c r="U195" s="2"/>
      <c r="V195" s="7">
        <f t="shared" si="69"/>
        <v>4.0218180393797164E-3</v>
      </c>
      <c r="W195" s="2"/>
      <c r="X195" s="6">
        <f t="shared" si="70"/>
        <v>-27795.17</v>
      </c>
      <c r="Y195" s="2"/>
      <c r="Z195" s="7">
        <f t="shared" si="71"/>
        <v>-0.595651332551423</v>
      </c>
    </row>
    <row r="196" spans="1:26" s="27" customFormat="1" outlineLevel="1" collapsed="1" x14ac:dyDescent="0.25">
      <c r="A196" s="26"/>
      <c r="B196" s="12" t="str">
        <f>CONCATENATE("     ","Bad Debts/Over/Short                              ")</f>
        <v xml:space="preserve">     Bad Debts/Over/Short                              </v>
      </c>
      <c r="C196" s="12"/>
      <c r="D196" s="1">
        <f>SUM(OSRRefD22_3x_0)</f>
        <v>10.39</v>
      </c>
      <c r="E196" s="1"/>
      <c r="F196" s="5">
        <f t="shared" si="64"/>
        <v>3.9275986688200049E-5</v>
      </c>
      <c r="G196" s="1"/>
      <c r="H196" s="1">
        <f>SUM(OSRRefH22_3x_0)</f>
        <v>-2.48</v>
      </c>
      <c r="I196" s="1"/>
      <c r="J196" s="5">
        <f t="shared" si="65"/>
        <v>-1.1741200088892244E-5</v>
      </c>
      <c r="K196" s="1"/>
      <c r="L196" s="1">
        <f t="shared" si="66"/>
        <v>12.870000000000001</v>
      </c>
      <c r="M196" s="1"/>
      <c r="N196" s="5">
        <f t="shared" si="67"/>
        <v>-5.1895161290322589</v>
      </c>
      <c r="O196" s="12"/>
      <c r="P196" s="1">
        <f>SUM(OSRRefP22_3x_0)</f>
        <v>5217.96</v>
      </c>
      <c r="Q196" s="1"/>
      <c r="R196" s="5">
        <f t="shared" si="68"/>
        <v>9.5273588395344074E-4</v>
      </c>
      <c r="S196" s="1"/>
      <c r="T196" s="1">
        <f>SUM(OSRRefT22_3x_0)</f>
        <v>-462.32</v>
      </c>
      <c r="U196" s="1"/>
      <c r="V196" s="5">
        <f t="shared" si="69"/>
        <v>-3.9846289164527356E-5</v>
      </c>
      <c r="W196" s="1"/>
      <c r="X196" s="1">
        <f t="shared" si="70"/>
        <v>5680.28</v>
      </c>
      <c r="Y196" s="1"/>
      <c r="Z196" s="5">
        <f t="shared" si="71"/>
        <v>-12.286468247101574</v>
      </c>
    </row>
    <row r="197" spans="1:26" s="23" customFormat="1" hidden="1" outlineLevel="2" x14ac:dyDescent="0.25">
      <c r="A197" s="25"/>
      <c r="B197" s="10" t="str">
        <f>CONCATENATE("          ", "6272", " - ", "CASH (OVER/SHORT)")</f>
        <v xml:space="preserve">          6272 - CASH (OVER/SHORT)</v>
      </c>
      <c r="C197" s="10"/>
      <c r="D197" s="6">
        <v>10.39</v>
      </c>
      <c r="E197" s="2"/>
      <c r="F197" s="7">
        <f t="shared" si="64"/>
        <v>3.9275986688200049E-5</v>
      </c>
      <c r="G197" s="2"/>
      <c r="H197" s="6">
        <v>-2.48</v>
      </c>
      <c r="I197" s="2"/>
      <c r="J197" s="7">
        <f t="shared" si="65"/>
        <v>-1.1741200088892244E-5</v>
      </c>
      <c r="K197" s="2"/>
      <c r="L197" s="6">
        <f t="shared" si="66"/>
        <v>12.870000000000001</v>
      </c>
      <c r="M197" s="2"/>
      <c r="N197" s="7">
        <f t="shared" si="67"/>
        <v>-5.1895161290322589</v>
      </c>
      <c r="O197" s="10"/>
      <c r="P197" s="6">
        <v>-131.46</v>
      </c>
      <c r="Q197" s="2"/>
      <c r="R197" s="7">
        <f t="shared" si="68"/>
        <v>-2.4002993373755129E-5</v>
      </c>
      <c r="S197" s="2"/>
      <c r="T197" s="6">
        <v>-507.12</v>
      </c>
      <c r="U197" s="2"/>
      <c r="V197" s="7">
        <f t="shared" si="69"/>
        <v>-4.3707497320287057E-5</v>
      </c>
      <c r="W197" s="2"/>
      <c r="X197" s="6">
        <f t="shared" si="70"/>
        <v>375.65999999999997</v>
      </c>
      <c r="Y197" s="2"/>
      <c r="Z197" s="7">
        <f t="shared" si="71"/>
        <v>-0.74077141504969235</v>
      </c>
    </row>
    <row r="198" spans="1:26" s="23" customFormat="1" hidden="1" outlineLevel="2" x14ac:dyDescent="0.25">
      <c r="A198" s="25"/>
      <c r="B198" s="10" t="str">
        <f>CONCATENATE("          ", "6342", " - ", "BAD DEBT")</f>
        <v xml:space="preserve">          6342 - BAD DEBT</v>
      </c>
      <c r="C198" s="10"/>
      <c r="D198" s="6"/>
      <c r="E198" s="2"/>
      <c r="F198" s="7">
        <f t="shared" si="64"/>
        <v>0</v>
      </c>
      <c r="G198" s="2"/>
      <c r="H198" s="6"/>
      <c r="I198" s="2"/>
      <c r="J198" s="7">
        <f t="shared" si="65"/>
        <v>0</v>
      </c>
      <c r="K198" s="2"/>
      <c r="L198" s="6">
        <f t="shared" si="66"/>
        <v>0</v>
      </c>
      <c r="M198" s="2"/>
      <c r="N198" s="7">
        <f t="shared" si="67"/>
        <v>0</v>
      </c>
      <c r="O198" s="10"/>
      <c r="P198" s="6">
        <v>5349.42</v>
      </c>
      <c r="Q198" s="2"/>
      <c r="R198" s="7">
        <f t="shared" si="68"/>
        <v>9.7673887732719592E-4</v>
      </c>
      <c r="S198" s="2"/>
      <c r="T198" s="6">
        <v>44.8</v>
      </c>
      <c r="U198" s="2"/>
      <c r="V198" s="7">
        <f t="shared" si="69"/>
        <v>3.8612081557597018E-6</v>
      </c>
      <c r="W198" s="2"/>
      <c r="X198" s="6">
        <f t="shared" si="70"/>
        <v>5304.62</v>
      </c>
      <c r="Y198" s="2"/>
      <c r="Z198" s="7">
        <f t="shared" si="71"/>
        <v>118.40669642857144</v>
      </c>
    </row>
    <row r="199" spans="1:26" s="27" customFormat="1" outlineLevel="1" collapsed="1" x14ac:dyDescent="0.25">
      <c r="A199" s="26"/>
      <c r="B199" s="12" t="str">
        <f>CONCATENATE("     ","Bank/card Fees                                    ")</f>
        <v xml:space="preserve">     Bank/card Fees                                    </v>
      </c>
      <c r="C199" s="12"/>
      <c r="D199" s="1">
        <f>SUM(OSRRefD22_4x_0)</f>
        <v>10372.459999999999</v>
      </c>
      <c r="E199" s="1"/>
      <c r="F199" s="5">
        <f t="shared" ref="F199:F204" si="72">IF(D$12=0,0,D199/D$12)</f>
        <v>3.920968247198147E-2</v>
      </c>
      <c r="G199" s="1"/>
      <c r="H199" s="1">
        <f>SUM(OSRRefH22_4x_0)</f>
        <v>3763.6</v>
      </c>
      <c r="I199" s="1"/>
      <c r="J199" s="5">
        <f t="shared" ref="J199:J204" si="73">IF(H$12=0,0,H199/H$12)</f>
        <v>1.7818218005868892E-2</v>
      </c>
      <c r="K199" s="1"/>
      <c r="L199" s="1">
        <f t="shared" ref="L199:L204" si="74">+D199-H199</f>
        <v>6608.8599999999988</v>
      </c>
      <c r="M199" s="1"/>
      <c r="N199" s="5">
        <f t="shared" ref="N199:N204" si="75">IF(H199=0,0,L199/H199)</f>
        <v>1.7559942608141139</v>
      </c>
      <c r="O199" s="12"/>
      <c r="P199" s="1">
        <f>SUM(OSRRefP22_4x_0)</f>
        <v>91443.71</v>
      </c>
      <c r="Q199" s="1"/>
      <c r="R199" s="5">
        <f t="shared" ref="R199:R204" si="76">IF(P$12=0,0,P199/P$12)</f>
        <v>1.6696506657550479E-2</v>
      </c>
      <c r="S199" s="1"/>
      <c r="T199" s="1">
        <f>SUM(OSRRefT22_4x_0)</f>
        <v>238229.26</v>
      </c>
      <c r="U199" s="1"/>
      <c r="V199" s="5">
        <f t="shared" ref="V199:V204" si="77">IF(T$12=0,0,T199/T$12)</f>
        <v>2.0532427715459791E-2</v>
      </c>
      <c r="W199" s="1"/>
      <c r="X199" s="1">
        <f t="shared" ref="X199:X204" si="78">+P199-T199</f>
        <v>-146785.54999999999</v>
      </c>
      <c r="Y199" s="1"/>
      <c r="Z199" s="5">
        <f t="shared" ref="Z199:Z204" si="79">IF(T199=0,0,X199/T199)</f>
        <v>-0.61615248269670986</v>
      </c>
    </row>
    <row r="200" spans="1:26" s="23" customFormat="1" hidden="1" outlineLevel="2" x14ac:dyDescent="0.25">
      <c r="A200" s="25"/>
      <c r="B200" s="10" t="str">
        <f>CONCATENATE("          ", "6381", " - ", "BANK/CREDIT CARD FEES")</f>
        <v xml:space="preserve">          6381 - BANK/CREDIT CARD FEES</v>
      </c>
      <c r="C200" s="10"/>
      <c r="D200" s="6">
        <v>10372.459999999999</v>
      </c>
      <c r="E200" s="2"/>
      <c r="F200" s="7">
        <f t="shared" si="72"/>
        <v>3.920968247198147E-2</v>
      </c>
      <c r="G200" s="2"/>
      <c r="H200" s="6">
        <v>3763.6</v>
      </c>
      <c r="I200" s="2"/>
      <c r="J200" s="7">
        <f t="shared" si="73"/>
        <v>1.7818218005868892E-2</v>
      </c>
      <c r="K200" s="2"/>
      <c r="L200" s="6">
        <f t="shared" si="74"/>
        <v>6608.8599999999988</v>
      </c>
      <c r="M200" s="2"/>
      <c r="N200" s="7">
        <f t="shared" si="75"/>
        <v>1.7559942608141139</v>
      </c>
      <c r="O200" s="10"/>
      <c r="P200" s="6">
        <v>91443.71</v>
      </c>
      <c r="Q200" s="2"/>
      <c r="R200" s="7">
        <f t="shared" si="76"/>
        <v>1.6696506657550479E-2</v>
      </c>
      <c r="S200" s="2"/>
      <c r="T200" s="6">
        <v>238229.26</v>
      </c>
      <c r="U200" s="2"/>
      <c r="V200" s="7">
        <f t="shared" si="77"/>
        <v>2.0532427715459791E-2</v>
      </c>
      <c r="W200" s="2"/>
      <c r="X200" s="6">
        <f t="shared" si="78"/>
        <v>-146785.54999999999</v>
      </c>
      <c r="Y200" s="2"/>
      <c r="Z200" s="7">
        <f t="shared" si="79"/>
        <v>-0.61615248269670986</v>
      </c>
    </row>
    <row r="201" spans="1:26" s="27" customFormat="1" outlineLevel="1" collapsed="1" x14ac:dyDescent="0.25">
      <c r="A201" s="26"/>
      <c r="B201" s="12" t="str">
        <f>CONCATENATE("     ","Depreciation                                      ")</f>
        <v xml:space="preserve">     Depreciation                                      </v>
      </c>
      <c r="C201" s="12"/>
      <c r="D201" s="1">
        <f>SUM(OSRRefD22_5x_0)</f>
        <v>37979.25</v>
      </c>
      <c r="E201" s="1"/>
      <c r="F201" s="5">
        <f t="shared" si="72"/>
        <v>0.14356809599882789</v>
      </c>
      <c r="G201" s="1"/>
      <c r="H201" s="1">
        <f>SUM(OSRRefH22_5x_0)</f>
        <v>39339.910000000003</v>
      </c>
      <c r="I201" s="1"/>
      <c r="J201" s="5">
        <f t="shared" si="73"/>
        <v>0.18624909467298909</v>
      </c>
      <c r="K201" s="1"/>
      <c r="L201" s="1">
        <f t="shared" si="74"/>
        <v>-1360.6600000000035</v>
      </c>
      <c r="M201" s="1"/>
      <c r="N201" s="5">
        <f t="shared" si="75"/>
        <v>-3.4587267739046766E-2</v>
      </c>
      <c r="O201" s="12"/>
      <c r="P201" s="1">
        <f>SUM(OSRRefP22_5x_0)</f>
        <v>477223.36</v>
      </c>
      <c r="Q201" s="1"/>
      <c r="R201" s="5">
        <f t="shared" si="76"/>
        <v>8.7135167715511622E-2</v>
      </c>
      <c r="S201" s="1"/>
      <c r="T201" s="1">
        <f>SUM(OSRRefT22_5x_0)</f>
        <v>463091.29000000004</v>
      </c>
      <c r="U201" s="1"/>
      <c r="V201" s="5">
        <f t="shared" si="77"/>
        <v>3.9912764861814318E-2</v>
      </c>
      <c r="W201" s="1"/>
      <c r="X201" s="1">
        <f t="shared" si="78"/>
        <v>14132.069999999949</v>
      </c>
      <c r="Y201" s="1"/>
      <c r="Z201" s="5">
        <f t="shared" si="79"/>
        <v>3.0516812354643829E-2</v>
      </c>
    </row>
    <row r="202" spans="1:26" s="23" customFormat="1" hidden="1" outlineLevel="2" x14ac:dyDescent="0.25">
      <c r="A202" s="25"/>
      <c r="B202" s="10" t="str">
        <f>CONCATENATE("          ", "6321", " - ", "BUILDING DEPRECIATION")</f>
        <v xml:space="preserve">          6321 - BUILDING DEPRECIATION</v>
      </c>
      <c r="C202" s="10"/>
      <c r="D202" s="6">
        <v>21476.73</v>
      </c>
      <c r="E202" s="2"/>
      <c r="F202" s="7">
        <f t="shared" si="72"/>
        <v>8.1185732587686882E-2</v>
      </c>
      <c r="G202" s="2"/>
      <c r="H202" s="6">
        <v>21476.73</v>
      </c>
      <c r="I202" s="2"/>
      <c r="J202" s="7">
        <f t="shared" si="73"/>
        <v>0.10167846136496561</v>
      </c>
      <c r="K202" s="2"/>
      <c r="L202" s="6">
        <f t="shared" si="74"/>
        <v>0</v>
      </c>
      <c r="M202" s="2"/>
      <c r="N202" s="7">
        <f t="shared" si="75"/>
        <v>0</v>
      </c>
      <c r="O202" s="10"/>
      <c r="P202" s="6">
        <v>257724.06</v>
      </c>
      <c r="Q202" s="2"/>
      <c r="R202" s="7">
        <f t="shared" si="76"/>
        <v>4.7057271447111436E-2</v>
      </c>
      <c r="S202" s="2"/>
      <c r="T202" s="6">
        <v>257724.06</v>
      </c>
      <c r="U202" s="2"/>
      <c r="V202" s="7">
        <f t="shared" si="77"/>
        <v>2.2212639339453187E-2</v>
      </c>
      <c r="W202" s="2"/>
      <c r="X202" s="6">
        <f t="shared" si="78"/>
        <v>0</v>
      </c>
      <c r="Y202" s="2"/>
      <c r="Z202" s="7">
        <f t="shared" si="79"/>
        <v>0</v>
      </c>
    </row>
    <row r="203" spans="1:26" s="23" customFormat="1" hidden="1" outlineLevel="2" x14ac:dyDescent="0.25">
      <c r="A203" s="25"/>
      <c r="B203" s="10" t="str">
        <f>CONCATENATE("          ", "6322", " - ", "EQUIPMENT DEPRECIATION EXPENSE")</f>
        <v xml:space="preserve">          6322 - EQUIPMENT DEPRECIATION EXPENSE</v>
      </c>
      <c r="C203" s="10"/>
      <c r="D203" s="6">
        <v>16502.52</v>
      </c>
      <c r="E203" s="2"/>
      <c r="F203" s="7">
        <f t="shared" si="72"/>
        <v>6.2382363411141013E-2</v>
      </c>
      <c r="G203" s="2"/>
      <c r="H203" s="6">
        <v>17863.18</v>
      </c>
      <c r="I203" s="2"/>
      <c r="J203" s="7">
        <f t="shared" si="73"/>
        <v>8.457063330802346E-2</v>
      </c>
      <c r="K203" s="2"/>
      <c r="L203" s="6">
        <f t="shared" si="74"/>
        <v>-1360.6599999999999</v>
      </c>
      <c r="M203" s="2"/>
      <c r="N203" s="7">
        <f t="shared" si="75"/>
        <v>-7.6171208037986507E-2</v>
      </c>
      <c r="O203" s="10"/>
      <c r="P203" s="6">
        <v>219499.3</v>
      </c>
      <c r="Q203" s="2"/>
      <c r="R203" s="7">
        <f t="shared" si="76"/>
        <v>4.0077896268400193E-2</v>
      </c>
      <c r="S203" s="2"/>
      <c r="T203" s="6">
        <v>205367.23</v>
      </c>
      <c r="U203" s="2"/>
      <c r="V203" s="7">
        <f t="shared" si="77"/>
        <v>1.7700125522361131E-2</v>
      </c>
      <c r="W203" s="2"/>
      <c r="X203" s="6">
        <f t="shared" si="78"/>
        <v>14132.069999999978</v>
      </c>
      <c r="Y203" s="2"/>
      <c r="Z203" s="7">
        <f t="shared" si="79"/>
        <v>6.8813656394936903E-2</v>
      </c>
    </row>
    <row r="204" spans="1:26" s="23" customFormat="1" hidden="1" outlineLevel="2" x14ac:dyDescent="0.25">
      <c r="A204" s="25"/>
      <c r="B204" s="10" t="str">
        <f>CONCATENATE("          ", "6324", " - ", "FURNITURE + FIXT DEPRECIATION")</f>
        <v xml:space="preserve">          6324 - FURNITURE + FIXT DEPRECIATION</v>
      </c>
      <c r="C204" s="10"/>
      <c r="D204" s="6"/>
      <c r="E204" s="2"/>
      <c r="F204" s="7">
        <f t="shared" si="72"/>
        <v>0</v>
      </c>
      <c r="G204" s="2"/>
      <c r="H204" s="6"/>
      <c r="I204" s="2"/>
      <c r="J204" s="7">
        <f t="shared" si="73"/>
        <v>0</v>
      </c>
      <c r="K204" s="2"/>
      <c r="L204" s="6">
        <f t="shared" si="74"/>
        <v>0</v>
      </c>
      <c r="M204" s="2"/>
      <c r="N204" s="7">
        <f t="shared" si="75"/>
        <v>0</v>
      </c>
      <c r="O204" s="10"/>
      <c r="P204" s="6"/>
      <c r="Q204" s="2"/>
      <c r="R204" s="7">
        <f t="shared" si="76"/>
        <v>0</v>
      </c>
      <c r="S204" s="2"/>
      <c r="T204" s="6">
        <v>0</v>
      </c>
      <c r="U204" s="2"/>
      <c r="V204" s="7">
        <f t="shared" si="77"/>
        <v>0</v>
      </c>
      <c r="W204" s="2"/>
      <c r="X204" s="6">
        <f t="shared" si="78"/>
        <v>0</v>
      </c>
      <c r="Y204" s="2"/>
      <c r="Z204" s="7">
        <f t="shared" si="79"/>
        <v>0</v>
      </c>
    </row>
    <row r="205" spans="1:26" s="27" customFormat="1" outlineLevel="1" collapsed="1" x14ac:dyDescent="0.25">
      <c r="A205" s="26"/>
      <c r="B205" s="12" t="str">
        <f>CONCATENATE("     ","Discounts and Markdowns                           ")</f>
        <v xml:space="preserve">     Discounts and Markdowns                           </v>
      </c>
      <c r="C205" s="12"/>
      <c r="D205" s="1">
        <f>SUM(OSRRefD22_6x_0)</f>
        <v>0</v>
      </c>
      <c r="E205" s="1"/>
      <c r="F205" s="5">
        <f t="shared" ref="F205:F207" si="80">IF(D$12=0,0,D205/D$12)</f>
        <v>0</v>
      </c>
      <c r="G205" s="1"/>
      <c r="H205" s="1">
        <f>SUM(OSRRefH22_6x_0)</f>
        <v>39907.229999999996</v>
      </c>
      <c r="I205" s="1"/>
      <c r="J205" s="5">
        <f t="shared" ref="J205:J207" si="81">IF(H$12=0,0,H205/H$12)</f>
        <v>0.18893498888042065</v>
      </c>
      <c r="K205" s="1"/>
      <c r="L205" s="1">
        <f t="shared" ref="L205:L207" si="82">+D205-H205</f>
        <v>-39907.229999999996</v>
      </c>
      <c r="M205" s="1"/>
      <c r="N205" s="5">
        <f t="shared" ref="N205:N207" si="83">IF(H205=0,0,L205/H205)</f>
        <v>-1</v>
      </c>
      <c r="O205" s="12"/>
      <c r="P205" s="1">
        <f>SUM(OSRRefP22_6x_0)</f>
        <v>-15.43</v>
      </c>
      <c r="Q205" s="1"/>
      <c r="R205" s="5">
        <f t="shared" ref="R205:R207" si="84">IF(P$12=0,0,P205/P$12)</f>
        <v>-2.8173298931769486E-6</v>
      </c>
      <c r="S205" s="1"/>
      <c r="T205" s="1">
        <f>SUM(OSRRefT22_6x_0)</f>
        <v>387445.38</v>
      </c>
      <c r="U205" s="1"/>
      <c r="V205" s="5">
        <f t="shared" ref="V205:V207" si="85">IF(T$12=0,0,T205/T$12)</f>
        <v>3.339301922248699E-2</v>
      </c>
      <c r="W205" s="1"/>
      <c r="X205" s="1">
        <f t="shared" ref="X205:X207" si="86">+P205-T205</f>
        <v>-387460.81</v>
      </c>
      <c r="Y205" s="1"/>
      <c r="Z205" s="5">
        <f t="shared" ref="Z205:Z207" si="87">IF(T205=0,0,X205/T205)</f>
        <v>-1.0000398249683606</v>
      </c>
    </row>
    <row r="206" spans="1:26" s="23" customFormat="1" hidden="1" outlineLevel="2" x14ac:dyDescent="0.25">
      <c r="A206" s="25"/>
      <c r="B206" s="10" t="str">
        <f>CONCATENATE("          ", "6382", " - ", "DISCOUNTS/MARK DOWNS")</f>
        <v xml:space="preserve">          6382 - DISCOUNTS/MARK DOWNS</v>
      </c>
      <c r="C206" s="10"/>
      <c r="D206" s="6">
        <v>0</v>
      </c>
      <c r="E206" s="2"/>
      <c r="F206" s="7">
        <f t="shared" si="80"/>
        <v>0</v>
      </c>
      <c r="G206" s="2"/>
      <c r="H206" s="6">
        <v>39910.089999999997</v>
      </c>
      <c r="I206" s="2"/>
      <c r="J206" s="7">
        <f t="shared" si="81"/>
        <v>0.18894852913536186</v>
      </c>
      <c r="K206" s="2"/>
      <c r="L206" s="6">
        <f t="shared" si="82"/>
        <v>-39910.089999999997</v>
      </c>
      <c r="M206" s="2"/>
      <c r="N206" s="7">
        <f t="shared" si="83"/>
        <v>-1</v>
      </c>
      <c r="O206" s="10"/>
      <c r="P206" s="6">
        <v>0</v>
      </c>
      <c r="Q206" s="2"/>
      <c r="R206" s="7">
        <f t="shared" si="84"/>
        <v>0</v>
      </c>
      <c r="S206" s="2"/>
      <c r="T206" s="6">
        <v>390679.86</v>
      </c>
      <c r="U206" s="2"/>
      <c r="V206" s="7">
        <f t="shared" si="85"/>
        <v>3.3671791556318269E-2</v>
      </c>
      <c r="W206" s="2"/>
      <c r="X206" s="6">
        <f t="shared" si="86"/>
        <v>-390679.86</v>
      </c>
      <c r="Y206" s="2"/>
      <c r="Z206" s="7">
        <f t="shared" si="87"/>
        <v>-1</v>
      </c>
    </row>
    <row r="207" spans="1:26" s="23" customFormat="1" hidden="1" outlineLevel="2" x14ac:dyDescent="0.25">
      <c r="A207" s="25"/>
      <c r="B207" s="10" t="str">
        <f>CONCATENATE("          ", "9175", " - ", "EARNED DISCOUNTS")</f>
        <v xml:space="preserve">          9175 - EARNED DISCOUNTS</v>
      </c>
      <c r="C207" s="10"/>
      <c r="D207" s="6">
        <v>0</v>
      </c>
      <c r="E207" s="2"/>
      <c r="F207" s="7">
        <f t="shared" si="80"/>
        <v>0</v>
      </c>
      <c r="G207" s="2"/>
      <c r="H207" s="6">
        <v>-2.86</v>
      </c>
      <c r="I207" s="2"/>
      <c r="J207" s="7">
        <f t="shared" si="81"/>
        <v>-1.3540254941222507E-5</v>
      </c>
      <c r="K207" s="2"/>
      <c r="L207" s="6">
        <f t="shared" si="82"/>
        <v>2.86</v>
      </c>
      <c r="M207" s="2"/>
      <c r="N207" s="7">
        <f t="shared" si="83"/>
        <v>-1</v>
      </c>
      <c r="O207" s="10"/>
      <c r="P207" s="6">
        <v>-15.43</v>
      </c>
      <c r="Q207" s="2"/>
      <c r="R207" s="7">
        <f t="shared" si="84"/>
        <v>-2.8173298931769486E-6</v>
      </c>
      <c r="S207" s="2"/>
      <c r="T207" s="6">
        <v>-3234.48</v>
      </c>
      <c r="U207" s="2"/>
      <c r="V207" s="7">
        <f t="shared" si="85"/>
        <v>-2.7877233383128666E-4</v>
      </c>
      <c r="W207" s="2"/>
      <c r="X207" s="6">
        <f t="shared" si="86"/>
        <v>3219.05</v>
      </c>
      <c r="Y207" s="2"/>
      <c r="Z207" s="7">
        <f t="shared" si="87"/>
        <v>-0.99522952684821053</v>
      </c>
    </row>
    <row r="208" spans="1:26" s="27" customFormat="1" outlineLevel="1" collapsed="1" x14ac:dyDescent="0.25">
      <c r="A208" s="26"/>
      <c r="B208" s="12" t="str">
        <f>CONCATENATE("     ","Donations                                         ")</f>
        <v xml:space="preserve">     Donations                                         </v>
      </c>
      <c r="C208" s="12"/>
      <c r="D208" s="1">
        <f>SUM(OSRRefD22_7x_0)</f>
        <v>0</v>
      </c>
      <c r="E208" s="1"/>
      <c r="F208" s="5">
        <f t="shared" ref="F208:F216" si="88">IF(D$12=0,0,D208/D$12)</f>
        <v>0</v>
      </c>
      <c r="G208" s="1"/>
      <c r="H208" s="1">
        <f>SUM(OSRRefH22_7x_0)</f>
        <v>0</v>
      </c>
      <c r="I208" s="1"/>
      <c r="J208" s="5">
        <f t="shared" ref="J208:J216" si="89">IF(H$12=0,0,H208/H$12)</f>
        <v>0</v>
      </c>
      <c r="K208" s="1"/>
      <c r="L208" s="1">
        <f t="shared" ref="L208:L216" si="90">+D208-H208</f>
        <v>0</v>
      </c>
      <c r="M208" s="1"/>
      <c r="N208" s="5">
        <f t="shared" ref="N208:N216" si="91">IF(H208=0,0,L208/H208)</f>
        <v>0</v>
      </c>
      <c r="O208" s="12"/>
      <c r="P208" s="1">
        <f>SUM(OSRRefP22_7x_0)</f>
        <v>360.9</v>
      </c>
      <c r="Q208" s="1"/>
      <c r="R208" s="5">
        <f t="shared" ref="R208:R216" si="92">IF(P$12=0,0,P208/P$12)</f>
        <v>6.5895940275279368E-5</v>
      </c>
      <c r="S208" s="1"/>
      <c r="T208" s="1">
        <f>SUM(OSRRefT22_7x_0)</f>
        <v>10985.64</v>
      </c>
      <c r="U208" s="1"/>
      <c r="V208" s="5">
        <f t="shared" ref="V208:V216" si="93">IF(T$12=0,0,T208/T$12)</f>
        <v>9.4682684741607167E-4</v>
      </c>
      <c r="W208" s="1"/>
      <c r="X208" s="1">
        <f t="shared" ref="X208:X216" si="94">+P208-T208</f>
        <v>-10624.74</v>
      </c>
      <c r="Y208" s="1"/>
      <c r="Z208" s="5">
        <f t="shared" ref="Z208:Z216" si="95">IF(T208=0,0,X208/T208)</f>
        <v>-0.96714802232732922</v>
      </c>
    </row>
    <row r="209" spans="1:26" s="23" customFormat="1" hidden="1" outlineLevel="2" x14ac:dyDescent="0.25">
      <c r="A209" s="25"/>
      <c r="B209" s="10" t="str">
        <f>CONCATENATE("          ", "6399", " - ", "DONATION-ON CAMPUS")</f>
        <v xml:space="preserve">          6399 - DONATION-ON CAMPUS</v>
      </c>
      <c r="C209" s="10"/>
      <c r="D209" s="6"/>
      <c r="E209" s="2"/>
      <c r="F209" s="7">
        <f t="shared" si="88"/>
        <v>0</v>
      </c>
      <c r="G209" s="2"/>
      <c r="H209" s="6"/>
      <c r="I209" s="2"/>
      <c r="J209" s="7">
        <f t="shared" si="89"/>
        <v>0</v>
      </c>
      <c r="K209" s="2"/>
      <c r="L209" s="6">
        <f t="shared" si="90"/>
        <v>0</v>
      </c>
      <c r="M209" s="2"/>
      <c r="N209" s="7">
        <f t="shared" si="91"/>
        <v>0</v>
      </c>
      <c r="O209" s="10"/>
      <c r="P209" s="6">
        <v>360.9</v>
      </c>
      <c r="Q209" s="2"/>
      <c r="R209" s="7">
        <f t="shared" si="92"/>
        <v>6.5895940275279368E-5</v>
      </c>
      <c r="S209" s="2"/>
      <c r="T209" s="6">
        <v>10985.64</v>
      </c>
      <c r="U209" s="2"/>
      <c r="V209" s="7">
        <f t="shared" si="93"/>
        <v>9.4682684741607167E-4</v>
      </c>
      <c r="W209" s="2"/>
      <c r="X209" s="6">
        <f t="shared" si="94"/>
        <v>-10624.74</v>
      </c>
      <c r="Y209" s="2"/>
      <c r="Z209" s="7">
        <f t="shared" si="95"/>
        <v>-0.96714802232732922</v>
      </c>
    </row>
    <row r="210" spans="1:26" s="27" customFormat="1" outlineLevel="1" collapsed="1" x14ac:dyDescent="0.25">
      <c r="A210" s="26"/>
      <c r="B210" s="12" t="str">
        <f>CONCATENATE("     ","Employees' Appreciation                           ")</f>
        <v xml:space="preserve">     Employees' Appreciation                           </v>
      </c>
      <c r="C210" s="12"/>
      <c r="D210" s="1">
        <f>SUM(OSRRefD22_8x_0)</f>
        <v>522.86</v>
      </c>
      <c r="E210" s="1"/>
      <c r="F210" s="5">
        <f t="shared" si="88"/>
        <v>1.9765007122032993E-3</v>
      </c>
      <c r="G210" s="1"/>
      <c r="H210" s="1">
        <f>SUM(OSRRefH22_8x_0)</f>
        <v>57</v>
      </c>
      <c r="I210" s="1"/>
      <c r="J210" s="5">
        <f t="shared" si="89"/>
        <v>2.6985822784953946E-4</v>
      </c>
      <c r="K210" s="1"/>
      <c r="L210" s="1">
        <f t="shared" si="90"/>
        <v>465.86</v>
      </c>
      <c r="M210" s="1"/>
      <c r="N210" s="5">
        <f t="shared" si="91"/>
        <v>8.1729824561403515</v>
      </c>
      <c r="O210" s="12"/>
      <c r="P210" s="1">
        <f>SUM(OSRRefP22_8x_0)</f>
        <v>708.89</v>
      </c>
      <c r="Q210" s="1"/>
      <c r="R210" s="5">
        <f t="shared" si="92"/>
        <v>1.2943467193611192E-4</v>
      </c>
      <c r="S210" s="1"/>
      <c r="T210" s="1">
        <f>SUM(OSRRefT22_8x_0)</f>
        <v>1775.11</v>
      </c>
      <c r="U210" s="1"/>
      <c r="V210" s="5">
        <f t="shared" si="93"/>
        <v>1.5299261628059385E-4</v>
      </c>
      <c r="W210" s="1"/>
      <c r="X210" s="1">
        <f t="shared" si="94"/>
        <v>-1066.2199999999998</v>
      </c>
      <c r="Y210" s="1"/>
      <c r="Z210" s="5">
        <f t="shared" si="95"/>
        <v>-0.60065010055714851</v>
      </c>
    </row>
    <row r="211" spans="1:26" s="23" customFormat="1" hidden="1" outlineLevel="2" x14ac:dyDescent="0.25">
      <c r="A211" s="25"/>
      <c r="B211" s="10" t="str">
        <f>CONCATENATE("          ", "6277", " - ", "EMPLOYEE APPRECIATION")</f>
        <v xml:space="preserve">          6277 - EMPLOYEE APPRECIATION</v>
      </c>
      <c r="C211" s="10"/>
      <c r="D211" s="6">
        <v>522.86</v>
      </c>
      <c r="E211" s="2"/>
      <c r="F211" s="7">
        <f t="shared" si="88"/>
        <v>1.9765007122032993E-3</v>
      </c>
      <c r="G211" s="2"/>
      <c r="H211" s="6">
        <v>57</v>
      </c>
      <c r="I211" s="2"/>
      <c r="J211" s="7">
        <f t="shared" si="89"/>
        <v>2.6985822784953946E-4</v>
      </c>
      <c r="K211" s="2"/>
      <c r="L211" s="6">
        <f t="shared" si="90"/>
        <v>465.86</v>
      </c>
      <c r="M211" s="2"/>
      <c r="N211" s="7">
        <f t="shared" si="91"/>
        <v>8.1729824561403515</v>
      </c>
      <c r="O211" s="10"/>
      <c r="P211" s="6">
        <v>708.89</v>
      </c>
      <c r="Q211" s="2"/>
      <c r="R211" s="7">
        <f t="shared" si="92"/>
        <v>1.2943467193611192E-4</v>
      </c>
      <c r="S211" s="2"/>
      <c r="T211" s="6">
        <v>1775.11</v>
      </c>
      <c r="U211" s="2"/>
      <c r="V211" s="7">
        <f t="shared" si="93"/>
        <v>1.5299261628059385E-4</v>
      </c>
      <c r="W211" s="2"/>
      <c r="X211" s="6">
        <f t="shared" si="94"/>
        <v>-1066.2199999999998</v>
      </c>
      <c r="Y211" s="2"/>
      <c r="Z211" s="7">
        <f t="shared" si="95"/>
        <v>-0.60065010055714851</v>
      </c>
    </row>
    <row r="212" spans="1:26" s="27" customFormat="1" outlineLevel="1" collapsed="1" x14ac:dyDescent="0.25">
      <c r="A212" s="26"/>
      <c r="B212" s="12" t="str">
        <f>CONCATENATE("     ","Equipment Rental                                  ")</f>
        <v xml:space="preserve">     Equipment Rental                                  </v>
      </c>
      <c r="C212" s="12"/>
      <c r="D212" s="1">
        <f>SUM(OSRRefD22_9x_0)</f>
        <v>2220.81</v>
      </c>
      <c r="E212" s="1"/>
      <c r="F212" s="5">
        <f t="shared" si="88"/>
        <v>8.3950436955747398E-3</v>
      </c>
      <c r="G212" s="1"/>
      <c r="H212" s="1">
        <f>SUM(OSRRefH22_9x_0)</f>
        <v>1424.43</v>
      </c>
      <c r="I212" s="1"/>
      <c r="J212" s="5">
        <f t="shared" si="89"/>
        <v>6.743757113959992E-3</v>
      </c>
      <c r="K212" s="1"/>
      <c r="L212" s="1">
        <f t="shared" si="90"/>
        <v>796.37999999999988</v>
      </c>
      <c r="M212" s="1"/>
      <c r="N212" s="5">
        <f t="shared" si="91"/>
        <v>0.5590867926117814</v>
      </c>
      <c r="O212" s="12"/>
      <c r="P212" s="1">
        <f>SUM(OSRRefP22_9x_0)</f>
        <v>19384.38</v>
      </c>
      <c r="Q212" s="1"/>
      <c r="R212" s="5">
        <f t="shared" si="92"/>
        <v>3.5393514734090329E-3</v>
      </c>
      <c r="S212" s="1"/>
      <c r="T212" s="1">
        <f>SUM(OSRRefT22_9x_0)</f>
        <v>20862.18</v>
      </c>
      <c r="U212" s="1"/>
      <c r="V212" s="5">
        <f t="shared" si="93"/>
        <v>1.7980629366724764E-3</v>
      </c>
      <c r="W212" s="1"/>
      <c r="X212" s="1">
        <f t="shared" si="94"/>
        <v>-1477.7999999999993</v>
      </c>
      <c r="Y212" s="1"/>
      <c r="Z212" s="5">
        <f t="shared" si="95"/>
        <v>-7.0836317201749738E-2</v>
      </c>
    </row>
    <row r="213" spans="1:26" s="23" customFormat="1" hidden="1" outlineLevel="2" x14ac:dyDescent="0.25">
      <c r="A213" s="25"/>
      <c r="B213" s="10" t="str">
        <f>CONCATENATE("          ", "6351", " - ", "EQUIPMENT RENTAL")</f>
        <v xml:space="preserve">          6351 - EQUIPMENT RENTAL</v>
      </c>
      <c r="C213" s="10"/>
      <c r="D213" s="6">
        <v>2220.81</v>
      </c>
      <c r="E213" s="2"/>
      <c r="F213" s="7">
        <f t="shared" si="88"/>
        <v>8.3950436955747398E-3</v>
      </c>
      <c r="G213" s="2"/>
      <c r="H213" s="6">
        <v>1424.43</v>
      </c>
      <c r="I213" s="2"/>
      <c r="J213" s="7">
        <f t="shared" si="89"/>
        <v>6.743757113959992E-3</v>
      </c>
      <c r="K213" s="2"/>
      <c r="L213" s="6">
        <f t="shared" si="90"/>
        <v>796.37999999999988</v>
      </c>
      <c r="M213" s="2"/>
      <c r="N213" s="7">
        <f t="shared" si="91"/>
        <v>0.5590867926117814</v>
      </c>
      <c r="O213" s="10"/>
      <c r="P213" s="6">
        <v>19384.38</v>
      </c>
      <c r="Q213" s="2"/>
      <c r="R213" s="7">
        <f t="shared" si="92"/>
        <v>3.5393514734090329E-3</v>
      </c>
      <c r="S213" s="2"/>
      <c r="T213" s="6">
        <v>20862.18</v>
      </c>
      <c r="U213" s="2"/>
      <c r="V213" s="7">
        <f t="shared" si="93"/>
        <v>1.7980629366724764E-3</v>
      </c>
      <c r="W213" s="2"/>
      <c r="X213" s="6">
        <f t="shared" si="94"/>
        <v>-1477.7999999999993</v>
      </c>
      <c r="Y213" s="2"/>
      <c r="Z213" s="7">
        <f t="shared" si="95"/>
        <v>-7.0836317201749738E-2</v>
      </c>
    </row>
    <row r="214" spans="1:26" s="27" customFormat="1" outlineLevel="1" collapsed="1" x14ac:dyDescent="0.25">
      <c r="A214" s="26"/>
      <c r="B214" s="12" t="str">
        <f>CONCATENATE("     ","Freight out/Postage                               ")</f>
        <v xml:space="preserve">     Freight out/Postage                               </v>
      </c>
      <c r="C214" s="12"/>
      <c r="D214" s="1">
        <f>SUM(OSRRefD22_10x_0)</f>
        <v>-7501.3200000000006</v>
      </c>
      <c r="E214" s="1"/>
      <c r="F214" s="5">
        <f t="shared" si="88"/>
        <v>-2.8356279544170242E-2</v>
      </c>
      <c r="G214" s="1"/>
      <c r="H214" s="1">
        <f>SUM(OSRRefH22_10x_0)</f>
        <v>25658.55</v>
      </c>
      <c r="I214" s="1"/>
      <c r="J214" s="5">
        <f t="shared" si="89"/>
        <v>0.1214766812664702</v>
      </c>
      <c r="K214" s="1"/>
      <c r="L214" s="1">
        <f t="shared" si="90"/>
        <v>-33159.870000000003</v>
      </c>
      <c r="M214" s="1"/>
      <c r="N214" s="5">
        <f t="shared" si="91"/>
        <v>-1.2923516722496011</v>
      </c>
      <c r="O214" s="12"/>
      <c r="P214" s="1">
        <f>SUM(OSRRefP22_10x_0)</f>
        <v>-75107.989999999991</v>
      </c>
      <c r="Q214" s="1"/>
      <c r="R214" s="5">
        <f t="shared" si="92"/>
        <v>-1.3713803333988028E-2</v>
      </c>
      <c r="S214" s="1"/>
      <c r="T214" s="1">
        <f>SUM(OSRRefT22_10x_0)</f>
        <v>41982.100000000006</v>
      </c>
      <c r="U214" s="1"/>
      <c r="V214" s="5">
        <f t="shared" si="93"/>
        <v>3.6183398865160584E-3</v>
      </c>
      <c r="W214" s="1"/>
      <c r="X214" s="1">
        <f t="shared" si="94"/>
        <v>-117090.09</v>
      </c>
      <c r="Y214" s="1"/>
      <c r="Z214" s="5">
        <f t="shared" si="95"/>
        <v>-2.7890479513888056</v>
      </c>
    </row>
    <row r="215" spans="1:26" s="23" customFormat="1" hidden="1" outlineLevel="2" x14ac:dyDescent="0.25">
      <c r="A215" s="25"/>
      <c r="B215" s="10" t="str">
        <f>CONCATENATE("          ", "6305", " - ", "FREIGHT OUT")</f>
        <v xml:space="preserve">          6305 - FREIGHT OUT</v>
      </c>
      <c r="C215" s="10"/>
      <c r="D215" s="6">
        <v>7012.69</v>
      </c>
      <c r="E215" s="2"/>
      <c r="F215" s="7">
        <f t="shared" si="88"/>
        <v>2.650917411823615E-2</v>
      </c>
      <c r="G215" s="2"/>
      <c r="H215" s="6">
        <v>32756.98</v>
      </c>
      <c r="I215" s="2"/>
      <c r="J215" s="7">
        <f t="shared" si="89"/>
        <v>0.15508316793864577</v>
      </c>
      <c r="K215" s="2"/>
      <c r="L215" s="6">
        <f t="shared" si="90"/>
        <v>-25744.29</v>
      </c>
      <c r="M215" s="2"/>
      <c r="N215" s="7">
        <f t="shared" si="91"/>
        <v>-0.78591768838275078</v>
      </c>
      <c r="O215" s="10"/>
      <c r="P215" s="6">
        <v>231676.43</v>
      </c>
      <c r="Q215" s="2"/>
      <c r="R215" s="7">
        <f t="shared" si="92"/>
        <v>4.2301291755250603E-2</v>
      </c>
      <c r="S215" s="2"/>
      <c r="T215" s="6">
        <v>102999.35</v>
      </c>
      <c r="U215" s="2"/>
      <c r="V215" s="7">
        <f t="shared" si="93"/>
        <v>8.8772752289720553E-3</v>
      </c>
      <c r="W215" s="2"/>
      <c r="X215" s="6">
        <f t="shared" si="94"/>
        <v>128677.07999999999</v>
      </c>
      <c r="Y215" s="2"/>
      <c r="Z215" s="7">
        <f t="shared" si="95"/>
        <v>1.2492999227665027</v>
      </c>
    </row>
    <row r="216" spans="1:26" s="23" customFormat="1" hidden="1" outlineLevel="2" x14ac:dyDescent="0.25">
      <c r="A216" s="25"/>
      <c r="B216" s="10" t="str">
        <f>CONCATENATE("          ", "6307", " - ", "POSTAGE")</f>
        <v xml:space="preserve">          6307 - POSTAGE</v>
      </c>
      <c r="C216" s="10"/>
      <c r="D216" s="6">
        <v>-14514.01</v>
      </c>
      <c r="E216" s="2"/>
      <c r="F216" s="7">
        <f t="shared" si="88"/>
        <v>-5.4865453662406395E-2</v>
      </c>
      <c r="G216" s="2"/>
      <c r="H216" s="6">
        <v>-7098.43</v>
      </c>
      <c r="I216" s="2"/>
      <c r="J216" s="7">
        <f t="shared" si="89"/>
        <v>-3.3606486672175556E-2</v>
      </c>
      <c r="K216" s="2"/>
      <c r="L216" s="6">
        <f t="shared" si="90"/>
        <v>-7415.58</v>
      </c>
      <c r="M216" s="2"/>
      <c r="N216" s="7">
        <f t="shared" si="91"/>
        <v>1.0446788937835549</v>
      </c>
      <c r="O216" s="10"/>
      <c r="P216" s="6">
        <v>-306784.42</v>
      </c>
      <c r="Q216" s="2"/>
      <c r="R216" s="7">
        <f t="shared" si="92"/>
        <v>-5.6015095089238631E-2</v>
      </c>
      <c r="S216" s="2"/>
      <c r="T216" s="6">
        <v>-61017.25</v>
      </c>
      <c r="U216" s="2"/>
      <c r="V216" s="7">
        <f t="shared" si="93"/>
        <v>-5.2589353424559978E-3</v>
      </c>
      <c r="W216" s="2"/>
      <c r="X216" s="6">
        <f t="shared" si="94"/>
        <v>-245767.16999999998</v>
      </c>
      <c r="Y216" s="2"/>
      <c r="Z216" s="7">
        <f t="shared" si="95"/>
        <v>4.0278309822222402</v>
      </c>
    </row>
    <row r="217" spans="1:26" s="27" customFormat="1" outlineLevel="1" collapsed="1" x14ac:dyDescent="0.25">
      <c r="A217" s="26"/>
      <c r="B217" s="12" t="str">
        <f>CONCATENATE("     ","General                                           ")</f>
        <v xml:space="preserve">     General                                           </v>
      </c>
      <c r="C217" s="12"/>
      <c r="D217" s="1">
        <f>SUM(OSRRefD22_11x_0)</f>
        <v>-3391.74</v>
      </c>
      <c r="E217" s="1"/>
      <c r="F217" s="5">
        <f t="shared" ref="F217:F257" si="96">IF(D$12=0,0,D217/D$12)</f>
        <v>-1.2821360451379752E-2</v>
      </c>
      <c r="G217" s="1"/>
      <c r="H217" s="1">
        <f>SUM(OSRRefH22_11x_0)</f>
        <v>-1613.24</v>
      </c>
      <c r="I217" s="1"/>
      <c r="J217" s="5">
        <f t="shared" ref="J217:J257" si="97">IF(H$12=0,0,H217/H$12)</f>
        <v>-7.6376506578244054E-3</v>
      </c>
      <c r="K217" s="1"/>
      <c r="L217" s="1">
        <f t="shared" ref="L217:L257" si="98">+D217-H217</f>
        <v>-1778.4999999999998</v>
      </c>
      <c r="M217" s="1"/>
      <c r="N217" s="5">
        <f t="shared" ref="N217:N257" si="99">IF(H217=0,0,L217/H217)</f>
        <v>1.1024398105675532</v>
      </c>
      <c r="O217" s="12"/>
      <c r="P217" s="1">
        <f>SUM(OSRRefP22_11x_0)</f>
        <v>2120.38</v>
      </c>
      <c r="Q217" s="1"/>
      <c r="R217" s="5">
        <f t="shared" ref="R217:R257" si="100">IF(P$12=0,0,P217/P$12)</f>
        <v>3.8715553848960065E-4</v>
      </c>
      <c r="S217" s="1"/>
      <c r="T217" s="1">
        <f>SUM(OSRRefT22_11x_0)</f>
        <v>7597.27</v>
      </c>
      <c r="U217" s="1"/>
      <c r="V217" s="5">
        <f t="shared" ref="V217:V257" si="101">IF(T$12=0,0,T217/T$12)</f>
        <v>6.5479109119438651E-4</v>
      </c>
      <c r="W217" s="1"/>
      <c r="X217" s="1">
        <f t="shared" ref="X217:X257" si="102">+P217-T217</f>
        <v>-5476.89</v>
      </c>
      <c r="Y217" s="1"/>
      <c r="Z217" s="5">
        <f t="shared" ref="Z217:Z257" si="103">IF(T217=0,0,X217/T217)</f>
        <v>-0.72090237677481517</v>
      </c>
    </row>
    <row r="218" spans="1:26" s="23" customFormat="1" hidden="1" outlineLevel="2" x14ac:dyDescent="0.25">
      <c r="A218" s="25"/>
      <c r="B218" s="10" t="str">
        <f>CONCATENATE("          ", "6279", " - ", "GENERAL EXPENSE")</f>
        <v xml:space="preserve">          6279 - GENERAL EXPENSE</v>
      </c>
      <c r="C218" s="10"/>
      <c r="D218" s="6">
        <v>-3391.74</v>
      </c>
      <c r="E218" s="2"/>
      <c r="F218" s="7">
        <f t="shared" si="96"/>
        <v>-1.2821360451379752E-2</v>
      </c>
      <c r="G218" s="2"/>
      <c r="H218" s="6">
        <v>-1613.24</v>
      </c>
      <c r="I218" s="2"/>
      <c r="J218" s="7">
        <f t="shared" si="97"/>
        <v>-7.6376506578244054E-3</v>
      </c>
      <c r="K218" s="2"/>
      <c r="L218" s="6">
        <f t="shared" si="98"/>
        <v>-1778.4999999999998</v>
      </c>
      <c r="M218" s="2"/>
      <c r="N218" s="7">
        <f t="shared" si="99"/>
        <v>1.1024398105675532</v>
      </c>
      <c r="O218" s="10"/>
      <c r="P218" s="6">
        <v>2120.38</v>
      </c>
      <c r="Q218" s="2"/>
      <c r="R218" s="7">
        <f t="shared" si="100"/>
        <v>3.8715553848960065E-4</v>
      </c>
      <c r="S218" s="2"/>
      <c r="T218" s="6">
        <v>7597.27</v>
      </c>
      <c r="U218" s="2"/>
      <c r="V218" s="7">
        <f t="shared" si="101"/>
        <v>6.5479109119438651E-4</v>
      </c>
      <c r="W218" s="2"/>
      <c r="X218" s="6">
        <f t="shared" si="102"/>
        <v>-5476.89</v>
      </c>
      <c r="Y218" s="2"/>
      <c r="Z218" s="7">
        <f t="shared" si="103"/>
        <v>-0.72090237677481517</v>
      </c>
    </row>
    <row r="219" spans="1:26" s="27" customFormat="1" outlineLevel="1" collapsed="1" x14ac:dyDescent="0.25">
      <c r="A219" s="26"/>
      <c r="B219" s="12" t="str">
        <f>CONCATENATE("     ","Insurance                                         ")</f>
        <v xml:space="preserve">     Insurance                                         </v>
      </c>
      <c r="C219" s="12"/>
      <c r="D219" s="1">
        <f>SUM(OSRRefD22_12x_0)</f>
        <v>9185.8700000000008</v>
      </c>
      <c r="E219" s="1"/>
      <c r="F219" s="5">
        <f t="shared" si="96"/>
        <v>3.472416822324699E-2</v>
      </c>
      <c r="G219" s="1"/>
      <c r="H219" s="1">
        <f>SUM(OSRRefH22_12x_0)</f>
        <v>4288.28</v>
      </c>
      <c r="I219" s="1"/>
      <c r="J219" s="5">
        <f t="shared" si="97"/>
        <v>2.030223932144953E-2</v>
      </c>
      <c r="K219" s="1"/>
      <c r="L219" s="1">
        <f t="shared" si="98"/>
        <v>4897.5900000000011</v>
      </c>
      <c r="M219" s="1"/>
      <c r="N219" s="5">
        <f t="shared" si="99"/>
        <v>1.1420872704207752</v>
      </c>
      <c r="O219" s="12"/>
      <c r="P219" s="1">
        <f>SUM(OSRRefP22_12x_0)</f>
        <v>56356.95</v>
      </c>
      <c r="Q219" s="1"/>
      <c r="R219" s="5">
        <f t="shared" si="100"/>
        <v>1.0290092023543656E-2</v>
      </c>
      <c r="S219" s="1"/>
      <c r="T219" s="1">
        <f>SUM(OSRRefT22_12x_0)</f>
        <v>51459.360000000001</v>
      </c>
      <c r="U219" s="1"/>
      <c r="V219" s="5">
        <f t="shared" si="101"/>
        <v>4.4351629580842546E-3</v>
      </c>
      <c r="W219" s="1"/>
      <c r="X219" s="1">
        <f t="shared" si="102"/>
        <v>4897.5899999999965</v>
      </c>
      <c r="Y219" s="1"/>
      <c r="Z219" s="5">
        <f t="shared" si="103"/>
        <v>9.5173939201731159E-2</v>
      </c>
    </row>
    <row r="220" spans="1:26" s="23" customFormat="1" hidden="1" outlineLevel="2" x14ac:dyDescent="0.25">
      <c r="A220" s="25"/>
      <c r="B220" s="10" t="str">
        <f>CONCATENATE("          ", "6314", " - ", "LIABILITY INSURANCE")</f>
        <v xml:space="preserve">          6314 - LIABILITY INSURANCE</v>
      </c>
      <c r="C220" s="10"/>
      <c r="D220" s="6">
        <v>9185.8700000000008</v>
      </c>
      <c r="E220" s="2"/>
      <c r="F220" s="7">
        <f t="shared" si="96"/>
        <v>3.472416822324699E-2</v>
      </c>
      <c r="G220" s="2"/>
      <c r="H220" s="6">
        <v>4288.28</v>
      </c>
      <c r="I220" s="2"/>
      <c r="J220" s="7">
        <f t="shared" si="97"/>
        <v>2.030223932144953E-2</v>
      </c>
      <c r="K220" s="2"/>
      <c r="L220" s="6">
        <f t="shared" si="98"/>
        <v>4897.5900000000011</v>
      </c>
      <c r="M220" s="2"/>
      <c r="N220" s="7">
        <f t="shared" si="99"/>
        <v>1.1420872704207752</v>
      </c>
      <c r="O220" s="10"/>
      <c r="P220" s="6">
        <v>56356.95</v>
      </c>
      <c r="Q220" s="2"/>
      <c r="R220" s="7">
        <f t="shared" si="100"/>
        <v>1.0290092023543656E-2</v>
      </c>
      <c r="S220" s="2"/>
      <c r="T220" s="6">
        <v>51459.360000000001</v>
      </c>
      <c r="U220" s="2"/>
      <c r="V220" s="7">
        <f t="shared" si="101"/>
        <v>4.4351629580842546E-3</v>
      </c>
      <c r="W220" s="2"/>
      <c r="X220" s="6">
        <f t="shared" si="102"/>
        <v>4897.5899999999965</v>
      </c>
      <c r="Y220" s="2"/>
      <c r="Z220" s="7">
        <f t="shared" si="103"/>
        <v>9.5173939201731159E-2</v>
      </c>
    </row>
    <row r="221" spans="1:26" s="27" customFormat="1" outlineLevel="1" collapsed="1" x14ac:dyDescent="0.25">
      <c r="A221" s="26"/>
      <c r="B221" s="12" t="str">
        <f>CONCATENATE("     ","Interest                                          ")</f>
        <v xml:space="preserve">     Interest                                          </v>
      </c>
      <c r="C221" s="12"/>
      <c r="D221" s="1">
        <f>SUM(OSRRefD22_13x_0)</f>
        <v>-439.07</v>
      </c>
      <c r="E221" s="1"/>
      <c r="F221" s="5">
        <f t="shared" si="96"/>
        <v>-1.6597601034829639E-3</v>
      </c>
      <c r="G221" s="1"/>
      <c r="H221" s="1">
        <f>SUM(OSRRefH22_13x_0)</f>
        <v>-308.07</v>
      </c>
      <c r="I221" s="1"/>
      <c r="J221" s="5">
        <f t="shared" si="97"/>
        <v>-1.4585127062036426E-3</v>
      </c>
      <c r="K221" s="1"/>
      <c r="L221" s="1">
        <f t="shared" si="98"/>
        <v>-131</v>
      </c>
      <c r="M221" s="1"/>
      <c r="N221" s="5">
        <f t="shared" si="99"/>
        <v>0.42522803258999581</v>
      </c>
      <c r="O221" s="12"/>
      <c r="P221" s="1">
        <f>SUM(OSRRefP22_13x_0)</f>
        <v>42951.78</v>
      </c>
      <c r="Q221" s="1"/>
      <c r="R221" s="5">
        <f t="shared" si="100"/>
        <v>7.8424714037044572E-3</v>
      </c>
      <c r="S221" s="1"/>
      <c r="T221" s="1">
        <f>SUM(OSRRefT22_13x_0)</f>
        <v>44360.7</v>
      </c>
      <c r="U221" s="1"/>
      <c r="V221" s="5">
        <f t="shared" si="101"/>
        <v>3.8233459070359244E-3</v>
      </c>
      <c r="W221" s="1"/>
      <c r="X221" s="1">
        <f t="shared" si="102"/>
        <v>-1408.9199999999983</v>
      </c>
      <c r="Y221" s="1"/>
      <c r="Z221" s="5">
        <f t="shared" si="103"/>
        <v>-3.1760544806551709E-2</v>
      </c>
    </row>
    <row r="222" spans="1:26" s="23" customFormat="1" hidden="1" outlineLevel="2" x14ac:dyDescent="0.25">
      <c r="A222" s="25"/>
      <c r="B222" s="10" t="str">
        <f>CONCATENATE("          ", "6401", " - ", "INTEREST EXPENSE")</f>
        <v xml:space="preserve">          6401 - INTEREST EXPENSE</v>
      </c>
      <c r="C222" s="10"/>
      <c r="D222" s="6">
        <v>-439.07</v>
      </c>
      <c r="E222" s="2"/>
      <c r="F222" s="7">
        <f t="shared" si="96"/>
        <v>-1.6597601034829639E-3</v>
      </c>
      <c r="G222" s="2"/>
      <c r="H222" s="6">
        <v>-308.07</v>
      </c>
      <c r="I222" s="2"/>
      <c r="J222" s="7">
        <f t="shared" si="97"/>
        <v>-1.4585127062036426E-3</v>
      </c>
      <c r="K222" s="2"/>
      <c r="L222" s="6">
        <f t="shared" si="98"/>
        <v>-131</v>
      </c>
      <c r="M222" s="2"/>
      <c r="N222" s="7">
        <f t="shared" si="99"/>
        <v>0.42522803258999581</v>
      </c>
      <c r="O222" s="10"/>
      <c r="P222" s="6">
        <v>42951.78</v>
      </c>
      <c r="Q222" s="2"/>
      <c r="R222" s="7">
        <f t="shared" si="100"/>
        <v>7.8424714037044572E-3</v>
      </c>
      <c r="S222" s="2"/>
      <c r="T222" s="6">
        <v>44360.7</v>
      </c>
      <c r="U222" s="2"/>
      <c r="V222" s="7">
        <f t="shared" si="101"/>
        <v>3.8233459070359244E-3</v>
      </c>
      <c r="W222" s="2"/>
      <c r="X222" s="6">
        <f t="shared" si="102"/>
        <v>-1408.9199999999983</v>
      </c>
      <c r="Y222" s="2"/>
      <c r="Z222" s="7">
        <f t="shared" si="103"/>
        <v>-3.1760544806551709E-2</v>
      </c>
    </row>
    <row r="223" spans="1:26" s="27" customFormat="1" outlineLevel="1" collapsed="1" x14ac:dyDescent="0.25">
      <c r="A223" s="26"/>
      <c r="B223" s="12" t="str">
        <f>CONCATENATE("     ","Inventory Adjustment                              ")</f>
        <v xml:space="preserve">     Inventory Adjustment                              </v>
      </c>
      <c r="C223" s="12"/>
      <c r="D223" s="1">
        <f>SUM(OSRRefD22_14x_0)</f>
        <v>-28100</v>
      </c>
      <c r="E223" s="1"/>
      <c r="F223" s="5">
        <f t="shared" si="96"/>
        <v>-0.10622283214036779</v>
      </c>
      <c r="G223" s="1"/>
      <c r="H223" s="1">
        <f>SUM(OSRRefH22_14x_0)</f>
        <v>-10114</v>
      </c>
      <c r="I223" s="1"/>
      <c r="J223" s="5">
        <f t="shared" si="97"/>
        <v>-4.7883265201232324E-2</v>
      </c>
      <c r="K223" s="1"/>
      <c r="L223" s="1">
        <f t="shared" si="98"/>
        <v>-17986</v>
      </c>
      <c r="M223" s="1"/>
      <c r="N223" s="5">
        <f t="shared" si="99"/>
        <v>1.7783270713861974</v>
      </c>
      <c r="O223" s="12"/>
      <c r="P223" s="1">
        <f>SUM(OSRRefP22_14x_0)</f>
        <v>0</v>
      </c>
      <c r="Q223" s="1"/>
      <c r="R223" s="5">
        <f t="shared" si="100"/>
        <v>0</v>
      </c>
      <c r="S223" s="1"/>
      <c r="T223" s="1">
        <f>SUM(OSRRefT22_14x_0)</f>
        <v>43236</v>
      </c>
      <c r="U223" s="1"/>
      <c r="V223" s="5">
        <f t="shared" si="101"/>
        <v>3.7264106210363056E-3</v>
      </c>
      <c r="W223" s="1"/>
      <c r="X223" s="1">
        <f t="shared" si="102"/>
        <v>-43236</v>
      </c>
      <c r="Y223" s="1"/>
      <c r="Z223" s="5">
        <f t="shared" si="103"/>
        <v>-1</v>
      </c>
    </row>
    <row r="224" spans="1:26" s="23" customFormat="1" hidden="1" outlineLevel="2" x14ac:dyDescent="0.25">
      <c r="A224" s="25"/>
      <c r="B224" s="10" t="str">
        <f>CONCATENATE("          ", "6408", " - ", "INVENTORY ADJUSTMENT")</f>
        <v xml:space="preserve">          6408 - INVENTORY ADJUSTMENT</v>
      </c>
      <c r="C224" s="10"/>
      <c r="D224" s="6">
        <v>-28100</v>
      </c>
      <c r="E224" s="2"/>
      <c r="F224" s="7">
        <f t="shared" si="96"/>
        <v>-0.10622283214036779</v>
      </c>
      <c r="G224" s="2"/>
      <c r="H224" s="6">
        <v>-53350</v>
      </c>
      <c r="I224" s="2"/>
      <c r="J224" s="7">
        <f t="shared" si="97"/>
        <v>-0.25257783255741983</v>
      </c>
      <c r="K224" s="2"/>
      <c r="L224" s="6">
        <f t="shared" si="98"/>
        <v>25250</v>
      </c>
      <c r="M224" s="2"/>
      <c r="N224" s="7">
        <f t="shared" si="99"/>
        <v>-0.4732895970009372</v>
      </c>
      <c r="O224" s="10"/>
      <c r="P224" s="6">
        <v>0</v>
      </c>
      <c r="Q224" s="2"/>
      <c r="R224" s="7">
        <f t="shared" si="100"/>
        <v>0</v>
      </c>
      <c r="S224" s="2"/>
      <c r="T224" s="6">
        <v>0</v>
      </c>
      <c r="U224" s="2"/>
      <c r="V224" s="7">
        <f t="shared" si="101"/>
        <v>0</v>
      </c>
      <c r="W224" s="2"/>
      <c r="X224" s="6">
        <f t="shared" si="102"/>
        <v>0</v>
      </c>
      <c r="Y224" s="2"/>
      <c r="Z224" s="7">
        <f t="shared" si="103"/>
        <v>0</v>
      </c>
    </row>
    <row r="225" spans="1:26" s="23" customFormat="1" hidden="1" outlineLevel="2" x14ac:dyDescent="0.25">
      <c r="A225" s="25"/>
      <c r="B225" s="10" t="str">
        <f>CONCATENATE("          ", "7700", " - ", "INV. SHRINKAGE @ RETAIL-CONTRA")</f>
        <v xml:space="preserve">          7700 - INV. SHRINKAGE @ RETAIL-CONTRA</v>
      </c>
      <c r="C225" s="10"/>
      <c r="D225" s="6"/>
      <c r="E225" s="2"/>
      <c r="F225" s="7">
        <f t="shared" si="96"/>
        <v>0</v>
      </c>
      <c r="G225" s="2"/>
      <c r="H225" s="6">
        <v>-99781</v>
      </c>
      <c r="I225" s="2"/>
      <c r="J225" s="7">
        <f t="shared" si="97"/>
        <v>-0.47239866373780526</v>
      </c>
      <c r="K225" s="2"/>
      <c r="L225" s="6">
        <f t="shared" si="98"/>
        <v>99781</v>
      </c>
      <c r="M225" s="2"/>
      <c r="N225" s="7">
        <f t="shared" si="99"/>
        <v>-1</v>
      </c>
      <c r="O225" s="10"/>
      <c r="P225" s="6"/>
      <c r="Q225" s="2"/>
      <c r="R225" s="7">
        <f t="shared" si="100"/>
        <v>0</v>
      </c>
      <c r="S225" s="2"/>
      <c r="T225" s="6">
        <v>-99781</v>
      </c>
      <c r="U225" s="2"/>
      <c r="V225" s="7">
        <f t="shared" si="101"/>
        <v>-8.5998931024522055E-3</v>
      </c>
      <c r="W225" s="2"/>
      <c r="X225" s="6">
        <f t="shared" si="102"/>
        <v>99781</v>
      </c>
      <c r="Y225" s="2"/>
      <c r="Z225" s="7">
        <f t="shared" si="103"/>
        <v>-1</v>
      </c>
    </row>
    <row r="226" spans="1:26" s="23" customFormat="1" hidden="1" outlineLevel="2" x14ac:dyDescent="0.25">
      <c r="A226" s="25"/>
      <c r="B226" s="10" t="str">
        <f>CONCATENATE("          ", "7701", " - ", "INV. SHRINKAGE-NEW TEXT")</f>
        <v xml:space="preserve">          7701 - INV. SHRINKAGE-NEW TEXT</v>
      </c>
      <c r="C226" s="10"/>
      <c r="D226" s="6"/>
      <c r="E226" s="2"/>
      <c r="F226" s="7">
        <f t="shared" si="96"/>
        <v>0</v>
      </c>
      <c r="G226" s="2"/>
      <c r="H226" s="6">
        <v>-4346</v>
      </c>
      <c r="I226" s="2"/>
      <c r="J226" s="7">
        <f t="shared" si="97"/>
        <v>-2.0575506284808746E-2</v>
      </c>
      <c r="K226" s="2"/>
      <c r="L226" s="6">
        <f t="shared" si="98"/>
        <v>4346</v>
      </c>
      <c r="M226" s="2"/>
      <c r="N226" s="7">
        <f t="shared" si="99"/>
        <v>-1</v>
      </c>
      <c r="O226" s="10"/>
      <c r="P226" s="6"/>
      <c r="Q226" s="2"/>
      <c r="R226" s="7">
        <f t="shared" si="100"/>
        <v>0</v>
      </c>
      <c r="S226" s="2"/>
      <c r="T226" s="6">
        <v>-4346</v>
      </c>
      <c r="U226" s="2"/>
      <c r="V226" s="7">
        <f t="shared" si="101"/>
        <v>-3.7457166618151038E-4</v>
      </c>
      <c r="W226" s="2"/>
      <c r="X226" s="6">
        <f t="shared" si="102"/>
        <v>4346</v>
      </c>
      <c r="Y226" s="2"/>
      <c r="Z226" s="7">
        <f t="shared" si="103"/>
        <v>-1</v>
      </c>
    </row>
    <row r="227" spans="1:26" s="23" customFormat="1" hidden="1" outlineLevel="2" x14ac:dyDescent="0.25">
      <c r="A227" s="25"/>
      <c r="B227" s="10" t="str">
        <f>CONCATENATE("          ", "7702", " - ", "INV. SHRINKAGE-USED TEXT")</f>
        <v xml:space="preserve">          7702 - INV. SHRINKAGE-USED TEXT</v>
      </c>
      <c r="C227" s="10"/>
      <c r="D227" s="6"/>
      <c r="E227" s="2"/>
      <c r="F227" s="7">
        <f t="shared" si="96"/>
        <v>0</v>
      </c>
      <c r="G227" s="2"/>
      <c r="H227" s="6">
        <v>-29494</v>
      </c>
      <c r="I227" s="2"/>
      <c r="J227" s="7">
        <f t="shared" si="97"/>
        <v>-0.13963506267007575</v>
      </c>
      <c r="K227" s="2"/>
      <c r="L227" s="6">
        <f t="shared" si="98"/>
        <v>29494</v>
      </c>
      <c r="M227" s="2"/>
      <c r="N227" s="7">
        <f t="shared" si="99"/>
        <v>-1</v>
      </c>
      <c r="O227" s="10"/>
      <c r="P227" s="6"/>
      <c r="Q227" s="2"/>
      <c r="R227" s="7">
        <f t="shared" si="100"/>
        <v>0</v>
      </c>
      <c r="S227" s="2"/>
      <c r="T227" s="6">
        <v>-29494</v>
      </c>
      <c r="U227" s="2"/>
      <c r="V227" s="7">
        <f t="shared" si="101"/>
        <v>-2.5420194943298361E-3</v>
      </c>
      <c r="W227" s="2"/>
      <c r="X227" s="6">
        <f t="shared" si="102"/>
        <v>29494</v>
      </c>
      <c r="Y227" s="2"/>
      <c r="Z227" s="7">
        <f t="shared" si="103"/>
        <v>-1</v>
      </c>
    </row>
    <row r="228" spans="1:26" s="23" customFormat="1" hidden="1" outlineLevel="2" x14ac:dyDescent="0.25">
      <c r="A228" s="25"/>
      <c r="B228" s="10" t="str">
        <f>CONCATENATE("          ", "7703", " - ", "INV. SHRINKAGE-RENTAL TEXT")</f>
        <v xml:space="preserve">          7703 - INV. SHRINKAGE-RENTAL TEXT</v>
      </c>
      <c r="C228" s="10"/>
      <c r="D228" s="6"/>
      <c r="E228" s="2"/>
      <c r="F228" s="7">
        <f t="shared" si="96"/>
        <v>0</v>
      </c>
      <c r="G228" s="2"/>
      <c r="H228" s="6">
        <v>526</v>
      </c>
      <c r="I228" s="2"/>
      <c r="J228" s="7">
        <f t="shared" si="97"/>
        <v>2.4902706640150488E-3</v>
      </c>
      <c r="K228" s="2"/>
      <c r="L228" s="6">
        <f t="shared" si="98"/>
        <v>-526</v>
      </c>
      <c r="M228" s="2"/>
      <c r="N228" s="7">
        <f t="shared" si="99"/>
        <v>-1</v>
      </c>
      <c r="O228" s="10"/>
      <c r="P228" s="6"/>
      <c r="Q228" s="2"/>
      <c r="R228" s="7">
        <f t="shared" si="100"/>
        <v>0</v>
      </c>
      <c r="S228" s="2"/>
      <c r="T228" s="6">
        <v>526</v>
      </c>
      <c r="U228" s="2"/>
      <c r="V228" s="7">
        <f t="shared" si="101"/>
        <v>4.5334720757357216E-5</v>
      </c>
      <c r="W228" s="2"/>
      <c r="X228" s="6">
        <f t="shared" si="102"/>
        <v>-526</v>
      </c>
      <c r="Y228" s="2"/>
      <c r="Z228" s="7">
        <f t="shared" si="103"/>
        <v>-1</v>
      </c>
    </row>
    <row r="229" spans="1:26" s="23" customFormat="1" hidden="1" outlineLevel="2" x14ac:dyDescent="0.25">
      <c r="A229" s="25"/>
      <c r="B229" s="10" t="str">
        <f>CONCATENATE("          ", "7704", " - ", "INV. SHRINKAGE-DIGITAL TEXT")</f>
        <v xml:space="preserve">          7704 - INV. SHRINKAGE-DIGITAL TEXT</v>
      </c>
      <c r="C229" s="10"/>
      <c r="D229" s="6"/>
      <c r="E229" s="2"/>
      <c r="F229" s="7">
        <f t="shared" si="96"/>
        <v>0</v>
      </c>
      <c r="G229" s="2"/>
      <c r="H229" s="6">
        <v>816</v>
      </c>
      <c r="I229" s="2"/>
      <c r="J229" s="7">
        <f t="shared" si="97"/>
        <v>3.8632335776355125E-3</v>
      </c>
      <c r="K229" s="2"/>
      <c r="L229" s="6">
        <f t="shared" si="98"/>
        <v>-816</v>
      </c>
      <c r="M229" s="2"/>
      <c r="N229" s="7">
        <f t="shared" si="99"/>
        <v>-1</v>
      </c>
      <c r="O229" s="10"/>
      <c r="P229" s="6"/>
      <c r="Q229" s="2"/>
      <c r="R229" s="7">
        <f t="shared" si="100"/>
        <v>0</v>
      </c>
      <c r="S229" s="2"/>
      <c r="T229" s="6">
        <v>816</v>
      </c>
      <c r="U229" s="2"/>
      <c r="V229" s="7">
        <f t="shared" si="101"/>
        <v>7.0329148551337434E-5</v>
      </c>
      <c r="W229" s="2"/>
      <c r="X229" s="6">
        <f t="shared" si="102"/>
        <v>-816</v>
      </c>
      <c r="Y229" s="2"/>
      <c r="Z229" s="7">
        <f t="shared" si="103"/>
        <v>-1</v>
      </c>
    </row>
    <row r="230" spans="1:26" s="23" customFormat="1" hidden="1" outlineLevel="2" x14ac:dyDescent="0.25">
      <c r="A230" s="25"/>
      <c r="B230" s="10" t="str">
        <f>CONCATENATE("          ", "7711", " - ", "INV. SHRINKAGE-NO VALUE TEXT")</f>
        <v xml:space="preserve">          7711 - INV. SHRINKAGE-NO VALUE TEXT</v>
      </c>
      <c r="C230" s="10"/>
      <c r="D230" s="6"/>
      <c r="E230" s="2"/>
      <c r="F230" s="7">
        <f t="shared" si="96"/>
        <v>0</v>
      </c>
      <c r="G230" s="2"/>
      <c r="H230" s="6">
        <v>-1126</v>
      </c>
      <c r="I230" s="2"/>
      <c r="J230" s="7">
        <f t="shared" si="97"/>
        <v>-5.3308835887470431E-3</v>
      </c>
      <c r="K230" s="2"/>
      <c r="L230" s="6">
        <f t="shared" si="98"/>
        <v>1126</v>
      </c>
      <c r="M230" s="2"/>
      <c r="N230" s="7">
        <f t="shared" si="99"/>
        <v>-1</v>
      </c>
      <c r="O230" s="10"/>
      <c r="P230" s="6"/>
      <c r="Q230" s="2"/>
      <c r="R230" s="7">
        <f t="shared" si="100"/>
        <v>0</v>
      </c>
      <c r="S230" s="2"/>
      <c r="T230" s="6">
        <v>-1126</v>
      </c>
      <c r="U230" s="2"/>
      <c r="V230" s="7">
        <f t="shared" si="101"/>
        <v>-9.7047329986281797E-5</v>
      </c>
      <c r="W230" s="2"/>
      <c r="X230" s="6">
        <f t="shared" si="102"/>
        <v>1126</v>
      </c>
      <c r="Y230" s="2"/>
      <c r="Z230" s="7">
        <f t="shared" si="103"/>
        <v>-1</v>
      </c>
    </row>
    <row r="231" spans="1:26" s="23" customFormat="1" hidden="1" outlineLevel="2" x14ac:dyDescent="0.25">
      <c r="A231" s="25"/>
      <c r="B231" s="10" t="str">
        <f>CONCATENATE("          ", "7713", " - ", "INV. SHRINKAGE-TRADE BOOKS")</f>
        <v xml:space="preserve">          7713 - INV. SHRINKAGE-TRADE BOOKS</v>
      </c>
      <c r="C231" s="10"/>
      <c r="D231" s="6"/>
      <c r="E231" s="2"/>
      <c r="F231" s="7">
        <f t="shared" si="96"/>
        <v>0</v>
      </c>
      <c r="G231" s="2"/>
      <c r="H231" s="6">
        <v>-385</v>
      </c>
      <c r="I231" s="2"/>
      <c r="J231" s="7">
        <f t="shared" si="97"/>
        <v>-1.82272662670303E-3</v>
      </c>
      <c r="K231" s="2"/>
      <c r="L231" s="6">
        <f t="shared" si="98"/>
        <v>385</v>
      </c>
      <c r="M231" s="2"/>
      <c r="N231" s="7">
        <f t="shared" si="99"/>
        <v>-1</v>
      </c>
      <c r="O231" s="10"/>
      <c r="P231" s="6"/>
      <c r="Q231" s="2"/>
      <c r="R231" s="7">
        <f t="shared" si="100"/>
        <v>0</v>
      </c>
      <c r="S231" s="2"/>
      <c r="T231" s="6">
        <v>-385</v>
      </c>
      <c r="U231" s="2"/>
      <c r="V231" s="7">
        <f t="shared" si="101"/>
        <v>-3.318225758855994E-5</v>
      </c>
      <c r="W231" s="2"/>
      <c r="X231" s="6">
        <f t="shared" si="102"/>
        <v>385</v>
      </c>
      <c r="Y231" s="2"/>
      <c r="Z231" s="7">
        <f t="shared" si="103"/>
        <v>-1</v>
      </c>
    </row>
    <row r="232" spans="1:26" s="23" customFormat="1" hidden="1" outlineLevel="2" x14ac:dyDescent="0.25">
      <c r="A232" s="25"/>
      <c r="B232" s="10" t="str">
        <f>CONCATENATE("          ", "7714", " - ", "INV. SHRINKAGE-REMAINDERS")</f>
        <v xml:space="preserve">          7714 - INV. SHRINKAGE-REMAINDERS</v>
      </c>
      <c r="C232" s="10"/>
      <c r="D232" s="6"/>
      <c r="E232" s="2"/>
      <c r="F232" s="7">
        <f t="shared" si="96"/>
        <v>0</v>
      </c>
      <c r="G232" s="2"/>
      <c r="H232" s="6">
        <v>204</v>
      </c>
      <c r="I232" s="2"/>
      <c r="J232" s="7">
        <f t="shared" si="97"/>
        <v>9.6580839440887814E-4</v>
      </c>
      <c r="K232" s="2"/>
      <c r="L232" s="6">
        <f t="shared" si="98"/>
        <v>-204</v>
      </c>
      <c r="M232" s="2"/>
      <c r="N232" s="7">
        <f t="shared" si="99"/>
        <v>-1</v>
      </c>
      <c r="O232" s="10"/>
      <c r="P232" s="6"/>
      <c r="Q232" s="2"/>
      <c r="R232" s="7">
        <f t="shared" si="100"/>
        <v>0</v>
      </c>
      <c r="S232" s="2"/>
      <c r="T232" s="6">
        <v>204</v>
      </c>
      <c r="U232" s="2"/>
      <c r="V232" s="7">
        <f t="shared" si="101"/>
        <v>1.7582287137834358E-5</v>
      </c>
      <c r="W232" s="2"/>
      <c r="X232" s="6">
        <f t="shared" si="102"/>
        <v>-204</v>
      </c>
      <c r="Y232" s="2"/>
      <c r="Z232" s="7">
        <f t="shared" si="103"/>
        <v>-1</v>
      </c>
    </row>
    <row r="233" spans="1:26" s="23" customFormat="1" hidden="1" outlineLevel="2" x14ac:dyDescent="0.25">
      <c r="A233" s="25"/>
      <c r="B233" s="10" t="str">
        <f>CONCATENATE("          ", "7717", " - ", "INV. SHRINKAGE-DORM/HOUSEWARES")</f>
        <v xml:space="preserve">          7717 - INV. SHRINKAGE-DORM/HOUSEWARES</v>
      </c>
      <c r="C233" s="10"/>
      <c r="D233" s="6"/>
      <c r="E233" s="2"/>
      <c r="F233" s="7">
        <f t="shared" si="96"/>
        <v>0</v>
      </c>
      <c r="G233" s="2"/>
      <c r="H233" s="6">
        <v>-254</v>
      </c>
      <c r="I233" s="2"/>
      <c r="J233" s="7">
        <f t="shared" si="97"/>
        <v>-1.2025261381365443E-3</v>
      </c>
      <c r="K233" s="2"/>
      <c r="L233" s="6">
        <f t="shared" si="98"/>
        <v>254</v>
      </c>
      <c r="M233" s="2"/>
      <c r="N233" s="7">
        <f t="shared" si="99"/>
        <v>-1</v>
      </c>
      <c r="O233" s="10"/>
      <c r="P233" s="6"/>
      <c r="Q233" s="2"/>
      <c r="R233" s="7">
        <f t="shared" si="100"/>
        <v>0</v>
      </c>
      <c r="S233" s="2"/>
      <c r="T233" s="6">
        <v>-254</v>
      </c>
      <c r="U233" s="2"/>
      <c r="V233" s="7">
        <f t="shared" si="101"/>
        <v>-2.1891671240244741E-5</v>
      </c>
      <c r="W233" s="2"/>
      <c r="X233" s="6">
        <f t="shared" si="102"/>
        <v>254</v>
      </c>
      <c r="Y233" s="2"/>
      <c r="Z233" s="7">
        <f t="shared" si="103"/>
        <v>-1</v>
      </c>
    </row>
    <row r="234" spans="1:26" s="23" customFormat="1" hidden="1" outlineLevel="2" x14ac:dyDescent="0.25">
      <c r="A234" s="25"/>
      <c r="B234" s="10" t="str">
        <f>CONCATENATE("          ", "7718", " - ", "INV. SHRINKAGE-STUDY GUIDES")</f>
        <v xml:space="preserve">          7718 - INV. SHRINKAGE-STUDY GUIDES</v>
      </c>
      <c r="C234" s="10"/>
      <c r="D234" s="6"/>
      <c r="E234" s="2"/>
      <c r="F234" s="7">
        <f t="shared" si="96"/>
        <v>0</v>
      </c>
      <c r="G234" s="2"/>
      <c r="H234" s="6">
        <v>458</v>
      </c>
      <c r="I234" s="2"/>
      <c r="J234" s="7">
        <f t="shared" si="97"/>
        <v>2.1683345325454228E-3</v>
      </c>
      <c r="K234" s="2"/>
      <c r="L234" s="6">
        <f t="shared" si="98"/>
        <v>-458</v>
      </c>
      <c r="M234" s="2"/>
      <c r="N234" s="7">
        <f t="shared" si="99"/>
        <v>-1</v>
      </c>
      <c r="O234" s="10"/>
      <c r="P234" s="6"/>
      <c r="Q234" s="2"/>
      <c r="R234" s="7">
        <f t="shared" si="100"/>
        <v>0</v>
      </c>
      <c r="S234" s="2"/>
      <c r="T234" s="6">
        <v>458</v>
      </c>
      <c r="U234" s="2"/>
      <c r="V234" s="7">
        <f t="shared" si="101"/>
        <v>3.9473958378079099E-5</v>
      </c>
      <c r="W234" s="2"/>
      <c r="X234" s="6">
        <f t="shared" si="102"/>
        <v>-458</v>
      </c>
      <c r="Y234" s="2"/>
      <c r="Z234" s="7">
        <f t="shared" si="103"/>
        <v>-1</v>
      </c>
    </row>
    <row r="235" spans="1:26" s="23" customFormat="1" hidden="1" outlineLevel="2" x14ac:dyDescent="0.25">
      <c r="A235" s="25"/>
      <c r="B235" s="10" t="str">
        <f>CONCATENATE("          ", "7719", " - ", "INV. SHRINKAGE-BOOK RELATED")</f>
        <v xml:space="preserve">          7719 - INV. SHRINKAGE-BOOK RELATED</v>
      </c>
      <c r="C235" s="10"/>
      <c r="D235" s="6"/>
      <c r="E235" s="2"/>
      <c r="F235" s="7">
        <f t="shared" si="96"/>
        <v>0</v>
      </c>
      <c r="G235" s="2"/>
      <c r="H235" s="6">
        <v>-43</v>
      </c>
      <c r="I235" s="2"/>
      <c r="J235" s="7">
        <f t="shared" si="97"/>
        <v>-2.0357725960579295E-4</v>
      </c>
      <c r="K235" s="2"/>
      <c r="L235" s="6">
        <f t="shared" si="98"/>
        <v>43</v>
      </c>
      <c r="M235" s="2"/>
      <c r="N235" s="7">
        <f t="shared" si="99"/>
        <v>-1</v>
      </c>
      <c r="O235" s="10"/>
      <c r="P235" s="6"/>
      <c r="Q235" s="2"/>
      <c r="R235" s="7">
        <f t="shared" si="100"/>
        <v>0</v>
      </c>
      <c r="S235" s="2"/>
      <c r="T235" s="6">
        <v>-43</v>
      </c>
      <c r="U235" s="2"/>
      <c r="V235" s="7">
        <f t="shared" si="101"/>
        <v>-3.7060703280729286E-6</v>
      </c>
      <c r="W235" s="2"/>
      <c r="X235" s="6">
        <f t="shared" si="102"/>
        <v>43</v>
      </c>
      <c r="Y235" s="2"/>
      <c r="Z235" s="7">
        <f t="shared" si="103"/>
        <v>-1</v>
      </c>
    </row>
    <row r="236" spans="1:26" s="23" customFormat="1" hidden="1" outlineLevel="2" x14ac:dyDescent="0.25">
      <c r="A236" s="25"/>
      <c r="B236" s="10" t="str">
        <f>CONCATENATE("          ", "7725", " - ", "INV. SHRINKAGE-TEST FORMS")</f>
        <v xml:space="preserve">          7725 - INV. SHRINKAGE-TEST FORMS</v>
      </c>
      <c r="C236" s="10"/>
      <c r="D236" s="6"/>
      <c r="E236" s="2"/>
      <c r="F236" s="7">
        <f t="shared" si="96"/>
        <v>0</v>
      </c>
      <c r="G236" s="2"/>
      <c r="H236" s="6">
        <v>3987</v>
      </c>
      <c r="I236" s="2"/>
      <c r="J236" s="7">
        <f t="shared" si="97"/>
        <v>1.8875872884844103E-2</v>
      </c>
      <c r="K236" s="2"/>
      <c r="L236" s="6">
        <f t="shared" si="98"/>
        <v>-3987</v>
      </c>
      <c r="M236" s="2"/>
      <c r="N236" s="7">
        <f t="shared" si="99"/>
        <v>-1</v>
      </c>
      <c r="O236" s="10"/>
      <c r="P236" s="6"/>
      <c r="Q236" s="2"/>
      <c r="R236" s="7">
        <f t="shared" si="100"/>
        <v>0</v>
      </c>
      <c r="S236" s="2"/>
      <c r="T236" s="6">
        <v>3987</v>
      </c>
      <c r="U236" s="2"/>
      <c r="V236" s="7">
        <f t="shared" si="101"/>
        <v>3.4363028832620383E-4</v>
      </c>
      <c r="W236" s="2"/>
      <c r="X236" s="6">
        <f t="shared" si="102"/>
        <v>-3987</v>
      </c>
      <c r="Y236" s="2"/>
      <c r="Z236" s="7">
        <f t="shared" si="103"/>
        <v>-1</v>
      </c>
    </row>
    <row r="237" spans="1:26" s="23" customFormat="1" hidden="1" outlineLevel="2" x14ac:dyDescent="0.25">
      <c r="A237" s="25"/>
      <c r="B237" s="10" t="str">
        <f>CONCATENATE("          ", "7726", " - ", "INV. SHRINKAGE-WRITING INSTRUM")</f>
        <v xml:space="preserve">          7726 - INV. SHRINKAGE-WRITING INSTRUM</v>
      </c>
      <c r="C237" s="10"/>
      <c r="D237" s="6"/>
      <c r="E237" s="2"/>
      <c r="F237" s="7">
        <f t="shared" si="96"/>
        <v>0</v>
      </c>
      <c r="G237" s="2"/>
      <c r="H237" s="6">
        <v>9153</v>
      </c>
      <c r="I237" s="2"/>
      <c r="J237" s="7">
        <f t="shared" si="97"/>
        <v>4.3333550166786576E-2</v>
      </c>
      <c r="K237" s="2"/>
      <c r="L237" s="6">
        <f t="shared" si="98"/>
        <v>-9153</v>
      </c>
      <c r="M237" s="2"/>
      <c r="N237" s="7">
        <f t="shared" si="99"/>
        <v>-1</v>
      </c>
      <c r="O237" s="10"/>
      <c r="P237" s="6"/>
      <c r="Q237" s="2"/>
      <c r="R237" s="7">
        <f t="shared" si="100"/>
        <v>0</v>
      </c>
      <c r="S237" s="2"/>
      <c r="T237" s="6">
        <v>9153</v>
      </c>
      <c r="U237" s="2"/>
      <c r="V237" s="7">
        <f t="shared" si="101"/>
        <v>7.8887585378724454E-4</v>
      </c>
      <c r="W237" s="2"/>
      <c r="X237" s="6">
        <f t="shared" si="102"/>
        <v>-9153</v>
      </c>
      <c r="Y237" s="2"/>
      <c r="Z237" s="7">
        <f t="shared" si="103"/>
        <v>-1</v>
      </c>
    </row>
    <row r="238" spans="1:26" s="23" customFormat="1" hidden="1" outlineLevel="2" x14ac:dyDescent="0.25">
      <c r="A238" s="25"/>
      <c r="B238" s="10" t="str">
        <f>CONCATENATE("          ", "7727", " - ", "INV. SHRINKAGE-SCHOOL SUPPLIES")</f>
        <v xml:space="preserve">          7727 - INV. SHRINKAGE-SCHOOL SUPPLIES</v>
      </c>
      <c r="C238" s="10"/>
      <c r="D238" s="6"/>
      <c r="E238" s="2"/>
      <c r="F238" s="7">
        <f t="shared" si="96"/>
        <v>0</v>
      </c>
      <c r="G238" s="2"/>
      <c r="H238" s="6">
        <v>9822</v>
      </c>
      <c r="I238" s="2"/>
      <c r="J238" s="7">
        <f t="shared" si="97"/>
        <v>4.6500833577862749E-2</v>
      </c>
      <c r="K238" s="2"/>
      <c r="L238" s="6">
        <f t="shared" si="98"/>
        <v>-9822</v>
      </c>
      <c r="M238" s="2"/>
      <c r="N238" s="7">
        <f t="shared" si="99"/>
        <v>-1</v>
      </c>
      <c r="O238" s="10"/>
      <c r="P238" s="6"/>
      <c r="Q238" s="2"/>
      <c r="R238" s="7">
        <f t="shared" si="100"/>
        <v>0</v>
      </c>
      <c r="S238" s="2"/>
      <c r="T238" s="6">
        <v>9822</v>
      </c>
      <c r="U238" s="2"/>
      <c r="V238" s="7">
        <f t="shared" si="101"/>
        <v>8.4653541307749543E-4</v>
      </c>
      <c r="W238" s="2"/>
      <c r="X238" s="6">
        <f t="shared" si="102"/>
        <v>-9822</v>
      </c>
      <c r="Y238" s="2"/>
      <c r="Z238" s="7">
        <f t="shared" si="103"/>
        <v>-1</v>
      </c>
    </row>
    <row r="239" spans="1:26" s="23" customFormat="1" hidden="1" outlineLevel="2" x14ac:dyDescent="0.25">
      <c r="A239" s="25"/>
      <c r="B239" s="10" t="str">
        <f>CONCATENATE("          ", "7728", " - ", "INV. SHRINKAGE-ART/TECH")</f>
        <v xml:space="preserve">          7728 - INV. SHRINKAGE-ART/TECH</v>
      </c>
      <c r="C239" s="10"/>
      <c r="D239" s="6"/>
      <c r="E239" s="2"/>
      <c r="F239" s="7">
        <f t="shared" si="96"/>
        <v>0</v>
      </c>
      <c r="G239" s="2"/>
      <c r="H239" s="6">
        <v>8990</v>
      </c>
      <c r="I239" s="2"/>
      <c r="J239" s="7">
        <f t="shared" si="97"/>
        <v>4.2561850322234383E-2</v>
      </c>
      <c r="K239" s="2"/>
      <c r="L239" s="6">
        <f t="shared" si="98"/>
        <v>-8990</v>
      </c>
      <c r="M239" s="2"/>
      <c r="N239" s="7">
        <f t="shared" si="99"/>
        <v>-1</v>
      </c>
      <c r="O239" s="10"/>
      <c r="P239" s="6"/>
      <c r="Q239" s="2"/>
      <c r="R239" s="7">
        <f t="shared" si="100"/>
        <v>0</v>
      </c>
      <c r="S239" s="2"/>
      <c r="T239" s="6">
        <v>8990</v>
      </c>
      <c r="U239" s="2"/>
      <c r="V239" s="7">
        <f t="shared" si="101"/>
        <v>7.7482726161338662E-4</v>
      </c>
      <c r="W239" s="2"/>
      <c r="X239" s="6">
        <f t="shared" si="102"/>
        <v>-8990</v>
      </c>
      <c r="Y239" s="2"/>
      <c r="Z239" s="7">
        <f t="shared" si="103"/>
        <v>-1</v>
      </c>
    </row>
    <row r="240" spans="1:26" s="23" customFormat="1" hidden="1" outlineLevel="2" x14ac:dyDescent="0.25">
      <c r="A240" s="25"/>
      <c r="B240" s="10" t="str">
        <f>CONCATENATE("          ", "7731", " - ", "INV. SHRINKAGE-FOOD")</f>
        <v xml:space="preserve">          7731 - INV. SHRINKAGE-FOOD</v>
      </c>
      <c r="C240" s="10"/>
      <c r="D240" s="6"/>
      <c r="E240" s="2"/>
      <c r="F240" s="7">
        <f t="shared" si="96"/>
        <v>0</v>
      </c>
      <c r="G240" s="2"/>
      <c r="H240" s="6">
        <v>6964</v>
      </c>
      <c r="I240" s="2"/>
      <c r="J240" s="7">
        <f t="shared" si="97"/>
        <v>3.297004734638935E-2</v>
      </c>
      <c r="K240" s="2"/>
      <c r="L240" s="6">
        <f t="shared" si="98"/>
        <v>-6964</v>
      </c>
      <c r="M240" s="2"/>
      <c r="N240" s="7">
        <f t="shared" si="99"/>
        <v>-1</v>
      </c>
      <c r="O240" s="10"/>
      <c r="P240" s="6"/>
      <c r="Q240" s="2"/>
      <c r="R240" s="7">
        <f t="shared" si="100"/>
        <v>0</v>
      </c>
      <c r="S240" s="2"/>
      <c r="T240" s="6">
        <v>6964</v>
      </c>
      <c r="U240" s="2"/>
      <c r="V240" s="7">
        <f t="shared" si="101"/>
        <v>6.0021101778371798E-4</v>
      </c>
      <c r="W240" s="2"/>
      <c r="X240" s="6">
        <f t="shared" si="102"/>
        <v>-6964</v>
      </c>
      <c r="Y240" s="2"/>
      <c r="Z240" s="7">
        <f t="shared" si="103"/>
        <v>-1</v>
      </c>
    </row>
    <row r="241" spans="1:26" s="23" customFormat="1" hidden="1" outlineLevel="2" x14ac:dyDescent="0.25">
      <c r="A241" s="25"/>
      <c r="B241" s="10" t="str">
        <f>CONCATENATE("          ", "7732", " - ", "INV. SHRINKAGE-JUICE")</f>
        <v xml:space="preserve">          7732 - INV. SHRINKAGE-JUICE</v>
      </c>
      <c r="C241" s="10"/>
      <c r="D241" s="6"/>
      <c r="E241" s="2"/>
      <c r="F241" s="7">
        <f t="shared" si="96"/>
        <v>0</v>
      </c>
      <c r="G241" s="2"/>
      <c r="H241" s="6">
        <v>-1942</v>
      </c>
      <c r="I241" s="2"/>
      <c r="J241" s="7">
        <f t="shared" si="97"/>
        <v>-9.1941171663825552E-3</v>
      </c>
      <c r="K241" s="2"/>
      <c r="L241" s="6">
        <f t="shared" si="98"/>
        <v>1942</v>
      </c>
      <c r="M241" s="2"/>
      <c r="N241" s="7">
        <f t="shared" si="99"/>
        <v>-1</v>
      </c>
      <c r="O241" s="10"/>
      <c r="P241" s="6"/>
      <c r="Q241" s="2"/>
      <c r="R241" s="7">
        <f t="shared" si="100"/>
        <v>0</v>
      </c>
      <c r="S241" s="2"/>
      <c r="T241" s="6">
        <v>-1942</v>
      </c>
      <c r="U241" s="2"/>
      <c r="V241" s="7">
        <f t="shared" si="101"/>
        <v>-1.6737647853761923E-4</v>
      </c>
      <c r="W241" s="2"/>
      <c r="X241" s="6">
        <f t="shared" si="102"/>
        <v>1942</v>
      </c>
      <c r="Y241" s="2"/>
      <c r="Z241" s="7">
        <f t="shared" si="103"/>
        <v>-1</v>
      </c>
    </row>
    <row r="242" spans="1:26" s="23" customFormat="1" hidden="1" outlineLevel="2" x14ac:dyDescent="0.25">
      <c r="A242" s="25"/>
      <c r="B242" s="10" t="str">
        <f>CONCATENATE("          ", "7733", " - ", "INV. SHRINKAGE-CANDY")</f>
        <v xml:space="preserve">          7733 - INV. SHRINKAGE-CANDY</v>
      </c>
      <c r="C242" s="10"/>
      <c r="D242" s="6"/>
      <c r="E242" s="2"/>
      <c r="F242" s="7">
        <f t="shared" si="96"/>
        <v>0</v>
      </c>
      <c r="G242" s="2"/>
      <c r="H242" s="6">
        <v>2710</v>
      </c>
      <c r="I242" s="2"/>
      <c r="J242" s="7">
        <f t="shared" si="97"/>
        <v>1.283010171003951E-2</v>
      </c>
      <c r="K242" s="2"/>
      <c r="L242" s="6">
        <f t="shared" si="98"/>
        <v>-2710</v>
      </c>
      <c r="M242" s="2"/>
      <c r="N242" s="7">
        <f t="shared" si="99"/>
        <v>-1</v>
      </c>
      <c r="O242" s="10"/>
      <c r="P242" s="6"/>
      <c r="Q242" s="2"/>
      <c r="R242" s="7">
        <f t="shared" si="100"/>
        <v>0</v>
      </c>
      <c r="S242" s="2"/>
      <c r="T242" s="6">
        <v>2710</v>
      </c>
      <c r="U242" s="2"/>
      <c r="V242" s="7">
        <f t="shared" si="101"/>
        <v>2.3356861835064269E-4</v>
      </c>
      <c r="W242" s="2"/>
      <c r="X242" s="6">
        <f t="shared" si="102"/>
        <v>-2710</v>
      </c>
      <c r="Y242" s="2"/>
      <c r="Z242" s="7">
        <f t="shared" si="103"/>
        <v>-1</v>
      </c>
    </row>
    <row r="243" spans="1:26" s="23" customFormat="1" hidden="1" outlineLevel="2" x14ac:dyDescent="0.25">
      <c r="A243" s="25"/>
      <c r="B243" s="10" t="str">
        <f>CONCATENATE("          ", "7734", " - ", "INV. SHRINKAGE-SODA")</f>
        <v xml:space="preserve">          7734 - INV. SHRINKAGE-SODA</v>
      </c>
      <c r="C243" s="10"/>
      <c r="D243" s="6"/>
      <c r="E243" s="2"/>
      <c r="F243" s="7">
        <f t="shared" si="96"/>
        <v>0</v>
      </c>
      <c r="G243" s="2"/>
      <c r="H243" s="6">
        <v>1253</v>
      </c>
      <c r="I243" s="2"/>
      <c r="J243" s="7">
        <f t="shared" si="97"/>
        <v>5.9321466578153154E-3</v>
      </c>
      <c r="K243" s="2"/>
      <c r="L243" s="6">
        <f t="shared" si="98"/>
        <v>-1253</v>
      </c>
      <c r="M243" s="2"/>
      <c r="N243" s="7">
        <f t="shared" si="99"/>
        <v>-1</v>
      </c>
      <c r="O243" s="10"/>
      <c r="P243" s="6"/>
      <c r="Q243" s="2"/>
      <c r="R243" s="7">
        <f t="shared" si="100"/>
        <v>0</v>
      </c>
      <c r="S243" s="2"/>
      <c r="T243" s="6">
        <v>1253</v>
      </c>
      <c r="U243" s="2"/>
      <c r="V243" s="7">
        <f t="shared" si="101"/>
        <v>1.0799316560640417E-4</v>
      </c>
      <c r="W243" s="2"/>
      <c r="X243" s="6">
        <f t="shared" si="102"/>
        <v>-1253</v>
      </c>
      <c r="Y243" s="2"/>
      <c r="Z243" s="7">
        <f t="shared" si="103"/>
        <v>-1</v>
      </c>
    </row>
    <row r="244" spans="1:26" s="23" customFormat="1" hidden="1" outlineLevel="2" x14ac:dyDescent="0.25">
      <c r="A244" s="25"/>
      <c r="B244" s="10" t="str">
        <f>CONCATENATE("          ", "7735", " - ", "INV. SHRINKAGE-HEALTH/BEAUTY")</f>
        <v xml:space="preserve">          7735 - INV. SHRINKAGE-HEALTH/BEAUTY</v>
      </c>
      <c r="C244" s="10"/>
      <c r="D244" s="6"/>
      <c r="E244" s="2"/>
      <c r="F244" s="7">
        <f t="shared" si="96"/>
        <v>0</v>
      </c>
      <c r="G244" s="2"/>
      <c r="H244" s="6">
        <v>369</v>
      </c>
      <c r="I244" s="2"/>
      <c r="J244" s="7">
        <f t="shared" si="97"/>
        <v>1.7469769487101767E-3</v>
      </c>
      <c r="K244" s="2"/>
      <c r="L244" s="6">
        <f t="shared" si="98"/>
        <v>-369</v>
      </c>
      <c r="M244" s="2"/>
      <c r="N244" s="7">
        <f t="shared" si="99"/>
        <v>-1</v>
      </c>
      <c r="O244" s="10"/>
      <c r="P244" s="6"/>
      <c r="Q244" s="2"/>
      <c r="R244" s="7">
        <f t="shared" si="100"/>
        <v>0</v>
      </c>
      <c r="S244" s="2"/>
      <c r="T244" s="6">
        <v>369</v>
      </c>
      <c r="U244" s="2"/>
      <c r="V244" s="7">
        <f t="shared" si="101"/>
        <v>3.1803254675788617E-5</v>
      </c>
      <c r="W244" s="2"/>
      <c r="X244" s="6">
        <f t="shared" si="102"/>
        <v>-369</v>
      </c>
      <c r="Y244" s="2"/>
      <c r="Z244" s="7">
        <f t="shared" si="103"/>
        <v>-1</v>
      </c>
    </row>
    <row r="245" spans="1:26" s="23" customFormat="1" hidden="1" outlineLevel="2" x14ac:dyDescent="0.25">
      <c r="A245" s="25"/>
      <c r="B245" s="10" t="str">
        <f>CONCATENATE("          ", "7737", " - ", "INV. SHRINKAGE-WATER")</f>
        <v xml:space="preserve">          7737 - INV. SHRINKAGE-WATER</v>
      </c>
      <c r="C245" s="10"/>
      <c r="D245" s="6"/>
      <c r="E245" s="2"/>
      <c r="F245" s="7">
        <f t="shared" si="96"/>
        <v>0</v>
      </c>
      <c r="G245" s="2"/>
      <c r="H245" s="6">
        <v>763</v>
      </c>
      <c r="I245" s="2"/>
      <c r="J245" s="7">
        <f t="shared" si="97"/>
        <v>3.6123127692841866E-3</v>
      </c>
      <c r="K245" s="2"/>
      <c r="L245" s="6">
        <f t="shared" si="98"/>
        <v>-763</v>
      </c>
      <c r="M245" s="2"/>
      <c r="N245" s="7">
        <f t="shared" si="99"/>
        <v>-1</v>
      </c>
      <c r="O245" s="10"/>
      <c r="P245" s="6"/>
      <c r="Q245" s="2"/>
      <c r="R245" s="7">
        <f t="shared" si="100"/>
        <v>0</v>
      </c>
      <c r="S245" s="2"/>
      <c r="T245" s="6">
        <v>763</v>
      </c>
      <c r="U245" s="2"/>
      <c r="V245" s="7">
        <f t="shared" si="101"/>
        <v>6.5761201402782428E-5</v>
      </c>
      <c r="W245" s="2"/>
      <c r="X245" s="6">
        <f t="shared" si="102"/>
        <v>-763</v>
      </c>
      <c r="Y245" s="2"/>
      <c r="Z245" s="7">
        <f t="shared" si="103"/>
        <v>-1</v>
      </c>
    </row>
    <row r="246" spans="1:26" s="23" customFormat="1" hidden="1" outlineLevel="2" x14ac:dyDescent="0.25">
      <c r="A246" s="25"/>
      <c r="B246" s="10" t="str">
        <f>CONCATENATE("          ", "7740", " - ", "INV. SHRINKAGE-LOGO CLOTHING")</f>
        <v xml:space="preserve">          7740 - INV. SHRINKAGE-LOGO CLOTHING</v>
      </c>
      <c r="C246" s="10"/>
      <c r="D246" s="6"/>
      <c r="E246" s="2"/>
      <c r="F246" s="7">
        <f t="shared" si="96"/>
        <v>0</v>
      </c>
      <c r="G246" s="2"/>
      <c r="H246" s="6">
        <v>62007</v>
      </c>
      <c r="I246" s="2"/>
      <c r="J246" s="7">
        <f t="shared" si="97"/>
        <v>0.29356314270642797</v>
      </c>
      <c r="K246" s="2"/>
      <c r="L246" s="6">
        <f t="shared" si="98"/>
        <v>-62007</v>
      </c>
      <c r="M246" s="2"/>
      <c r="N246" s="7">
        <f t="shared" si="99"/>
        <v>-1</v>
      </c>
      <c r="O246" s="10"/>
      <c r="P246" s="6"/>
      <c r="Q246" s="2"/>
      <c r="R246" s="7">
        <f t="shared" si="100"/>
        <v>0</v>
      </c>
      <c r="S246" s="2"/>
      <c r="T246" s="6">
        <v>62007</v>
      </c>
      <c r="U246" s="2"/>
      <c r="V246" s="7">
        <f t="shared" si="101"/>
        <v>5.3442396007632106E-3</v>
      </c>
      <c r="W246" s="2"/>
      <c r="X246" s="6">
        <f t="shared" si="102"/>
        <v>-62007</v>
      </c>
      <c r="Y246" s="2"/>
      <c r="Z246" s="7">
        <f t="shared" si="103"/>
        <v>-1</v>
      </c>
    </row>
    <row r="247" spans="1:26" s="23" customFormat="1" hidden="1" outlineLevel="2" x14ac:dyDescent="0.25">
      <c r="A247" s="25"/>
      <c r="B247" s="10" t="str">
        <f>CONCATENATE("          ", "7741", " - ", "INV. SHRINKAGE-LOGO GIFTS")</f>
        <v xml:space="preserve">          7741 - INV. SHRINKAGE-LOGO GIFTS</v>
      </c>
      <c r="C247" s="10"/>
      <c r="D247" s="6"/>
      <c r="E247" s="2"/>
      <c r="F247" s="7">
        <f t="shared" si="96"/>
        <v>0</v>
      </c>
      <c r="G247" s="2"/>
      <c r="H247" s="6">
        <v>30707</v>
      </c>
      <c r="I247" s="2"/>
      <c r="J247" s="7">
        <f t="shared" si="97"/>
        <v>0.14537783513290894</v>
      </c>
      <c r="K247" s="2"/>
      <c r="L247" s="6">
        <f t="shared" si="98"/>
        <v>-30707</v>
      </c>
      <c r="M247" s="2"/>
      <c r="N247" s="7">
        <f t="shared" si="99"/>
        <v>-1</v>
      </c>
      <c r="O247" s="10"/>
      <c r="P247" s="6">
        <v>0</v>
      </c>
      <c r="Q247" s="2"/>
      <c r="R247" s="7">
        <f t="shared" si="100"/>
        <v>0</v>
      </c>
      <c r="S247" s="2"/>
      <c r="T247" s="6">
        <v>30707</v>
      </c>
      <c r="U247" s="2"/>
      <c r="V247" s="7">
        <f t="shared" si="101"/>
        <v>2.646565152654312E-3</v>
      </c>
      <c r="W247" s="2"/>
      <c r="X247" s="6">
        <f t="shared" si="102"/>
        <v>-30707</v>
      </c>
      <c r="Y247" s="2"/>
      <c r="Z247" s="7">
        <f t="shared" si="103"/>
        <v>-1</v>
      </c>
    </row>
    <row r="248" spans="1:26" s="23" customFormat="1" hidden="1" outlineLevel="2" x14ac:dyDescent="0.25">
      <c r="A248" s="25"/>
      <c r="B248" s="10" t="str">
        <f>CONCATENATE("          ", "7742", " - ", "INV. SHRINKAGE-EVERYDAY GIFTS")</f>
        <v xml:space="preserve">          7742 - INV. SHRINKAGE-EVERYDAY GIFTS</v>
      </c>
      <c r="C248" s="10"/>
      <c r="D248" s="6"/>
      <c r="E248" s="2"/>
      <c r="F248" s="7">
        <f t="shared" si="96"/>
        <v>0</v>
      </c>
      <c r="G248" s="2"/>
      <c r="H248" s="6">
        <v>26197</v>
      </c>
      <c r="I248" s="2"/>
      <c r="J248" s="7">
        <f t="shared" si="97"/>
        <v>0.12402589464867343</v>
      </c>
      <c r="K248" s="2"/>
      <c r="L248" s="6">
        <f t="shared" si="98"/>
        <v>-26197</v>
      </c>
      <c r="M248" s="2"/>
      <c r="N248" s="7">
        <f t="shared" si="99"/>
        <v>-1</v>
      </c>
      <c r="O248" s="10"/>
      <c r="P248" s="6"/>
      <c r="Q248" s="2"/>
      <c r="R248" s="7">
        <f t="shared" si="100"/>
        <v>0</v>
      </c>
      <c r="S248" s="2"/>
      <c r="T248" s="6">
        <v>26197</v>
      </c>
      <c r="U248" s="2"/>
      <c r="V248" s="7">
        <f t="shared" si="101"/>
        <v>2.2578587066168954E-3</v>
      </c>
      <c r="W248" s="2"/>
      <c r="X248" s="6">
        <f t="shared" si="102"/>
        <v>-26197</v>
      </c>
      <c r="Y248" s="2"/>
      <c r="Z248" s="7">
        <f t="shared" si="103"/>
        <v>-1</v>
      </c>
    </row>
    <row r="249" spans="1:26" s="23" customFormat="1" hidden="1" outlineLevel="2" x14ac:dyDescent="0.25">
      <c r="A249" s="25"/>
      <c r="B249" s="10" t="str">
        <f>CONCATENATE("          ", "7743", " - ", "INV. SHRINKAGE-CARDS")</f>
        <v xml:space="preserve">          7743 - INV. SHRINKAGE-CARDS</v>
      </c>
      <c r="C249" s="10"/>
      <c r="D249" s="6"/>
      <c r="E249" s="2"/>
      <c r="F249" s="7">
        <f t="shared" si="96"/>
        <v>0</v>
      </c>
      <c r="G249" s="2"/>
      <c r="H249" s="6">
        <v>-12818</v>
      </c>
      <c r="I249" s="2"/>
      <c r="J249" s="7">
        <f t="shared" si="97"/>
        <v>-6.0684960782024511E-2</v>
      </c>
      <c r="K249" s="2"/>
      <c r="L249" s="6">
        <f t="shared" si="98"/>
        <v>12818</v>
      </c>
      <c r="M249" s="2"/>
      <c r="N249" s="7">
        <f t="shared" si="99"/>
        <v>-1</v>
      </c>
      <c r="O249" s="10"/>
      <c r="P249" s="6"/>
      <c r="Q249" s="2"/>
      <c r="R249" s="7">
        <f t="shared" si="100"/>
        <v>0</v>
      </c>
      <c r="S249" s="2"/>
      <c r="T249" s="6">
        <v>-12818</v>
      </c>
      <c r="U249" s="2"/>
      <c r="V249" s="7">
        <f t="shared" si="101"/>
        <v>-1.1047537084939254E-3</v>
      </c>
      <c r="W249" s="2"/>
      <c r="X249" s="6">
        <f t="shared" si="102"/>
        <v>12818</v>
      </c>
      <c r="Y249" s="2"/>
      <c r="Z249" s="7">
        <f t="shared" si="103"/>
        <v>-1</v>
      </c>
    </row>
    <row r="250" spans="1:26" s="23" customFormat="1" hidden="1" outlineLevel="2" x14ac:dyDescent="0.25">
      <c r="A250" s="25"/>
      <c r="B250" s="10" t="str">
        <f>CONCATENATE("          ", "7744", " - ", "INV. SHRINKAGE-ACCESSORIES")</f>
        <v xml:space="preserve">          7744 - INV. SHRINKAGE-ACCESSORIES</v>
      </c>
      <c r="C250" s="10"/>
      <c r="D250" s="6"/>
      <c r="E250" s="2"/>
      <c r="F250" s="7">
        <f t="shared" si="96"/>
        <v>0</v>
      </c>
      <c r="G250" s="2"/>
      <c r="H250" s="6">
        <v>-16780</v>
      </c>
      <c r="I250" s="2"/>
      <c r="J250" s="7">
        <f t="shared" si="97"/>
        <v>-7.9442474795004783E-2</v>
      </c>
      <c r="K250" s="2"/>
      <c r="L250" s="6">
        <f t="shared" si="98"/>
        <v>16780</v>
      </c>
      <c r="M250" s="2"/>
      <c r="N250" s="7">
        <f t="shared" si="99"/>
        <v>-1</v>
      </c>
      <c r="O250" s="10"/>
      <c r="P250" s="6"/>
      <c r="Q250" s="2"/>
      <c r="R250" s="7">
        <f t="shared" si="100"/>
        <v>0</v>
      </c>
      <c r="S250" s="2"/>
      <c r="T250" s="6">
        <v>-16780</v>
      </c>
      <c r="U250" s="2"/>
      <c r="V250" s="7">
        <f t="shared" si="101"/>
        <v>-1.4462293047689241E-3</v>
      </c>
      <c r="W250" s="2"/>
      <c r="X250" s="6">
        <f t="shared" si="102"/>
        <v>16780</v>
      </c>
      <c r="Y250" s="2"/>
      <c r="Z250" s="7">
        <f t="shared" si="103"/>
        <v>-1</v>
      </c>
    </row>
    <row r="251" spans="1:26" s="23" customFormat="1" hidden="1" outlineLevel="2" x14ac:dyDescent="0.25">
      <c r="A251" s="25"/>
      <c r="B251" s="10" t="str">
        <f>CONCATENATE("          ", "7745", " - ", "INV. SHRINKAGE-SPECIAL ORDERS")</f>
        <v xml:space="preserve">          7745 - INV. SHRINKAGE-SPECIAL ORDERS</v>
      </c>
      <c r="C251" s="10"/>
      <c r="D251" s="6"/>
      <c r="E251" s="2"/>
      <c r="F251" s="7">
        <f t="shared" si="96"/>
        <v>0</v>
      </c>
      <c r="G251" s="2"/>
      <c r="H251" s="6">
        <v>44531</v>
      </c>
      <c r="I251" s="2"/>
      <c r="J251" s="7">
        <f t="shared" si="97"/>
        <v>0.21082555691873409</v>
      </c>
      <c r="K251" s="2"/>
      <c r="L251" s="6">
        <f t="shared" si="98"/>
        <v>-44531</v>
      </c>
      <c r="M251" s="2"/>
      <c r="N251" s="7">
        <f t="shared" si="99"/>
        <v>-1</v>
      </c>
      <c r="O251" s="10"/>
      <c r="P251" s="6"/>
      <c r="Q251" s="2"/>
      <c r="R251" s="7">
        <f t="shared" si="100"/>
        <v>0</v>
      </c>
      <c r="S251" s="2"/>
      <c r="T251" s="6">
        <v>44531</v>
      </c>
      <c r="U251" s="2"/>
      <c r="V251" s="7">
        <f t="shared" si="101"/>
        <v>3.8380236692887345E-3</v>
      </c>
      <c r="W251" s="2"/>
      <c r="X251" s="6">
        <f t="shared" si="102"/>
        <v>-44531</v>
      </c>
      <c r="Y251" s="2"/>
      <c r="Z251" s="7">
        <f t="shared" si="103"/>
        <v>-1</v>
      </c>
    </row>
    <row r="252" spans="1:26" s="23" customFormat="1" hidden="1" outlineLevel="2" x14ac:dyDescent="0.25">
      <c r="A252" s="25"/>
      <c r="B252" s="10" t="str">
        <f>CONCATENATE("          ", "7781", " - ", "INV. SHRINKAGE-ELECTRONICS")</f>
        <v xml:space="preserve">          7781 - INV. SHRINKAGE-ELECTRONICS</v>
      </c>
      <c r="C252" s="10"/>
      <c r="D252" s="6"/>
      <c r="E252" s="2"/>
      <c r="F252" s="7">
        <f t="shared" si="96"/>
        <v>0</v>
      </c>
      <c r="G252" s="2"/>
      <c r="H252" s="6">
        <v>-28</v>
      </c>
      <c r="I252" s="2"/>
      <c r="J252" s="7">
        <f t="shared" si="97"/>
        <v>-1.3256193648749308E-4</v>
      </c>
      <c r="K252" s="2"/>
      <c r="L252" s="6">
        <f t="shared" si="98"/>
        <v>28</v>
      </c>
      <c r="M252" s="2"/>
      <c r="N252" s="7">
        <f t="shared" si="99"/>
        <v>-1</v>
      </c>
      <c r="O252" s="10"/>
      <c r="P252" s="6"/>
      <c r="Q252" s="2"/>
      <c r="R252" s="7">
        <f t="shared" si="100"/>
        <v>0</v>
      </c>
      <c r="S252" s="2"/>
      <c r="T252" s="6">
        <v>-28</v>
      </c>
      <c r="U252" s="2"/>
      <c r="V252" s="7">
        <f t="shared" si="101"/>
        <v>-2.4132550973498139E-6</v>
      </c>
      <c r="W252" s="2"/>
      <c r="X252" s="6">
        <f t="shared" si="102"/>
        <v>28</v>
      </c>
      <c r="Y252" s="2"/>
      <c r="Z252" s="7">
        <f t="shared" si="103"/>
        <v>-1</v>
      </c>
    </row>
    <row r="253" spans="1:26" s="23" customFormat="1" hidden="1" outlineLevel="2" x14ac:dyDescent="0.25">
      <c r="A253" s="25"/>
      <c r="B253" s="10" t="str">
        <f>CONCATENATE("          ", "7782", " - ", "INV. SHRINKAGE-COMPUTER HARDWA")</f>
        <v xml:space="preserve">          7782 - INV. SHRINKAGE-COMPUTER HARDWA</v>
      </c>
      <c r="C253" s="10"/>
      <c r="D253" s="6"/>
      <c r="E253" s="2"/>
      <c r="F253" s="7">
        <f t="shared" si="96"/>
        <v>0</v>
      </c>
      <c r="G253" s="2"/>
      <c r="H253" s="6">
        <v>69</v>
      </c>
      <c r="I253" s="2"/>
      <c r="J253" s="7">
        <f t="shared" si="97"/>
        <v>3.2667048634417938E-4</v>
      </c>
      <c r="K253" s="2"/>
      <c r="L253" s="6">
        <f t="shared" si="98"/>
        <v>-69</v>
      </c>
      <c r="M253" s="2"/>
      <c r="N253" s="7">
        <f t="shared" si="99"/>
        <v>-1</v>
      </c>
      <c r="O253" s="10"/>
      <c r="P253" s="6"/>
      <c r="Q253" s="2"/>
      <c r="R253" s="7">
        <f t="shared" si="100"/>
        <v>0</v>
      </c>
      <c r="S253" s="2"/>
      <c r="T253" s="6">
        <v>69</v>
      </c>
      <c r="U253" s="2"/>
      <c r="V253" s="7">
        <f t="shared" si="101"/>
        <v>5.9469500613263271E-6</v>
      </c>
      <c r="W253" s="2"/>
      <c r="X253" s="6">
        <f t="shared" si="102"/>
        <v>-69</v>
      </c>
      <c r="Y253" s="2"/>
      <c r="Z253" s="7">
        <f t="shared" si="103"/>
        <v>-1</v>
      </c>
    </row>
    <row r="254" spans="1:26" s="23" customFormat="1" hidden="1" outlineLevel="2" x14ac:dyDescent="0.25">
      <c r="A254" s="25"/>
      <c r="B254" s="10" t="str">
        <f>CONCATENATE("          ", "7783", " - ", "INV. SHRINKAGE-COMPUTER EQUIPM")</f>
        <v xml:space="preserve">          7783 - INV. SHRINKAGE-COMPUTER EQUIPM</v>
      </c>
      <c r="C254" s="10"/>
      <c r="D254" s="6"/>
      <c r="E254" s="2"/>
      <c r="F254" s="7">
        <f t="shared" si="96"/>
        <v>0</v>
      </c>
      <c r="G254" s="2"/>
      <c r="H254" s="6">
        <v>266</v>
      </c>
      <c r="I254" s="2"/>
      <c r="J254" s="7">
        <f t="shared" si="97"/>
        <v>1.2593383966311843E-3</v>
      </c>
      <c r="K254" s="2"/>
      <c r="L254" s="6">
        <f t="shared" si="98"/>
        <v>-266</v>
      </c>
      <c r="M254" s="2"/>
      <c r="N254" s="7">
        <f t="shared" si="99"/>
        <v>-1</v>
      </c>
      <c r="O254" s="10"/>
      <c r="P254" s="6"/>
      <c r="Q254" s="2"/>
      <c r="R254" s="7">
        <f t="shared" si="100"/>
        <v>0</v>
      </c>
      <c r="S254" s="2"/>
      <c r="T254" s="6">
        <v>266</v>
      </c>
      <c r="U254" s="2"/>
      <c r="V254" s="7">
        <f t="shared" si="101"/>
        <v>2.2925923424823232E-5</v>
      </c>
      <c r="W254" s="2"/>
      <c r="X254" s="6">
        <f t="shared" si="102"/>
        <v>-266</v>
      </c>
      <c r="Y254" s="2"/>
      <c r="Z254" s="7">
        <f t="shared" si="103"/>
        <v>-1</v>
      </c>
    </row>
    <row r="255" spans="1:26" s="23" customFormat="1" hidden="1" outlineLevel="2" x14ac:dyDescent="0.25">
      <c r="A255" s="25"/>
      <c r="B255" s="10" t="str">
        <f>CONCATENATE("          ", "7786", " - ", "INV. SHRINKAGE-COMPUTER SUPPLI")</f>
        <v xml:space="preserve">          7786 - INV. SHRINKAGE-COMPUTER SUPPLI</v>
      </c>
      <c r="C255" s="10"/>
      <c r="D255" s="6"/>
      <c r="E255" s="2"/>
      <c r="F255" s="7">
        <f t="shared" si="96"/>
        <v>0</v>
      </c>
      <c r="G255" s="2"/>
      <c r="H255" s="6">
        <v>38</v>
      </c>
      <c r="I255" s="2"/>
      <c r="J255" s="7">
        <f t="shared" si="97"/>
        <v>1.7990548523302632E-4</v>
      </c>
      <c r="K255" s="2"/>
      <c r="L255" s="6">
        <f t="shared" si="98"/>
        <v>-38</v>
      </c>
      <c r="M255" s="2"/>
      <c r="N255" s="7">
        <f t="shared" si="99"/>
        <v>-1</v>
      </c>
      <c r="O255" s="10"/>
      <c r="P255" s="6"/>
      <c r="Q255" s="2"/>
      <c r="R255" s="7">
        <f t="shared" si="100"/>
        <v>0</v>
      </c>
      <c r="S255" s="2"/>
      <c r="T255" s="6">
        <v>38</v>
      </c>
      <c r="U255" s="2"/>
      <c r="V255" s="7">
        <f t="shared" si="101"/>
        <v>3.2751319178318904E-6</v>
      </c>
      <c r="W255" s="2"/>
      <c r="X255" s="6">
        <f t="shared" si="102"/>
        <v>-38</v>
      </c>
      <c r="Y255" s="2"/>
      <c r="Z255" s="7">
        <f t="shared" si="103"/>
        <v>-1</v>
      </c>
    </row>
    <row r="256" spans="1:26" s="23" customFormat="1" hidden="1" outlineLevel="2" x14ac:dyDescent="0.25">
      <c r="A256" s="25"/>
      <c r="B256" s="10" t="str">
        <f>CONCATENATE("          ", "7792", " - ", "INV. SHRINKAGE-GRAD MERCH")</f>
        <v xml:space="preserve">          7792 - INV. SHRINKAGE-GRAD MERCH</v>
      </c>
      <c r="C256" s="10"/>
      <c r="D256" s="6"/>
      <c r="E256" s="2"/>
      <c r="F256" s="7">
        <f t="shared" si="96"/>
        <v>0</v>
      </c>
      <c r="G256" s="2"/>
      <c r="H256" s="6">
        <v>535</v>
      </c>
      <c r="I256" s="2"/>
      <c r="J256" s="7">
        <f t="shared" si="97"/>
        <v>2.5328798578860287E-3</v>
      </c>
      <c r="K256" s="2"/>
      <c r="L256" s="6">
        <f t="shared" si="98"/>
        <v>-535</v>
      </c>
      <c r="M256" s="2"/>
      <c r="N256" s="7">
        <f t="shared" si="99"/>
        <v>-1</v>
      </c>
      <c r="O256" s="10"/>
      <c r="P256" s="6"/>
      <c r="Q256" s="2"/>
      <c r="R256" s="7">
        <f t="shared" si="100"/>
        <v>0</v>
      </c>
      <c r="S256" s="2"/>
      <c r="T256" s="6">
        <v>535</v>
      </c>
      <c r="U256" s="2"/>
      <c r="V256" s="7">
        <f t="shared" si="101"/>
        <v>4.6110409895791087E-5</v>
      </c>
      <c r="W256" s="2"/>
      <c r="X256" s="6">
        <f t="shared" si="102"/>
        <v>-535</v>
      </c>
      <c r="Y256" s="2"/>
      <c r="Z256" s="7">
        <f t="shared" si="103"/>
        <v>-1</v>
      </c>
    </row>
    <row r="257" spans="1:26" s="23" customFormat="1" hidden="1" outlineLevel="2" x14ac:dyDescent="0.25">
      <c r="A257" s="25"/>
      <c r="B257" s="10" t="str">
        <f>CONCATENATE("          ", "7795", " - ", "INV. SHRINKAGE-CUSTOMER SERVIC")</f>
        <v xml:space="preserve">          7795 - INV. SHRINKAGE-CUSTOMER SERVIC</v>
      </c>
      <c r="C257" s="10"/>
      <c r="D257" s="6"/>
      <c r="E257" s="2"/>
      <c r="F257" s="7">
        <f t="shared" si="96"/>
        <v>0</v>
      </c>
      <c r="G257" s="2"/>
      <c r="H257" s="6">
        <v>-132</v>
      </c>
      <c r="I257" s="2"/>
      <c r="J257" s="7">
        <f t="shared" si="97"/>
        <v>-6.2493484344103886E-4</v>
      </c>
      <c r="K257" s="2"/>
      <c r="L257" s="6">
        <f t="shared" si="98"/>
        <v>132</v>
      </c>
      <c r="M257" s="2"/>
      <c r="N257" s="7">
        <f t="shared" si="99"/>
        <v>-1</v>
      </c>
      <c r="O257" s="10"/>
      <c r="P257" s="6"/>
      <c r="Q257" s="2"/>
      <c r="R257" s="7">
        <f t="shared" si="100"/>
        <v>0</v>
      </c>
      <c r="S257" s="2"/>
      <c r="T257" s="6">
        <v>-132</v>
      </c>
      <c r="U257" s="2"/>
      <c r="V257" s="7">
        <f t="shared" si="101"/>
        <v>-1.1376774030363409E-5</v>
      </c>
      <c r="W257" s="2"/>
      <c r="X257" s="6">
        <f t="shared" si="102"/>
        <v>132</v>
      </c>
      <c r="Y257" s="2"/>
      <c r="Z257" s="7">
        <f t="shared" si="103"/>
        <v>-1</v>
      </c>
    </row>
    <row r="258" spans="1:26" s="27" customFormat="1" outlineLevel="1" collapsed="1" x14ac:dyDescent="0.25">
      <c r="A258" s="26"/>
      <c r="B258" s="12" t="str">
        <f>CONCATENATE("     ","Professional Services                             ")</f>
        <v xml:space="preserve">     Professional Services                             </v>
      </c>
      <c r="C258" s="12"/>
      <c r="D258" s="1">
        <f>SUM(OSRRefD22_15x_0)</f>
        <v>1966.87</v>
      </c>
      <c r="E258" s="1"/>
      <c r="F258" s="5">
        <f t="shared" ref="F258:F266" si="104">IF(D$12=0,0,D258/D$12)</f>
        <v>7.4351068274706479E-3</v>
      </c>
      <c r="G258" s="1"/>
      <c r="H258" s="1">
        <f>SUM(OSRRefH22_15x_0)</f>
        <v>8441.9599999999991</v>
      </c>
      <c r="I258" s="1"/>
      <c r="J258" s="5">
        <f t="shared" ref="J258:J266" si="105">IF(H$12=0,0,H258/H$12)</f>
        <v>3.9967234476784179E-2</v>
      </c>
      <c r="K258" s="1"/>
      <c r="L258" s="1">
        <f t="shared" ref="L258:L266" si="106">+D258-H258</f>
        <v>-6475.0899999999992</v>
      </c>
      <c r="M258" s="1"/>
      <c r="N258" s="5">
        <f t="shared" ref="N258:N266" si="107">IF(H258=0,0,L258/H258)</f>
        <v>-0.76701263687579657</v>
      </c>
      <c r="O258" s="12"/>
      <c r="P258" s="1">
        <f>SUM(OSRRefP22_15x_0)</f>
        <v>1966.87</v>
      </c>
      <c r="Q258" s="1"/>
      <c r="R258" s="5">
        <f t="shared" ref="R258:R266" si="108">IF(P$12=0,0,P258/P$12)</f>
        <v>3.5912648392695686E-4</v>
      </c>
      <c r="S258" s="1"/>
      <c r="T258" s="1">
        <f>SUM(OSRRefT22_15x_0)</f>
        <v>17571.52</v>
      </c>
      <c r="U258" s="1"/>
      <c r="V258" s="5">
        <f t="shared" ref="V258:V266" si="109">IF(T$12=0,0,T258/T$12)</f>
        <v>1.5144485788637215E-3</v>
      </c>
      <c r="W258" s="1"/>
      <c r="X258" s="1">
        <f t="shared" ref="X258:X266" si="110">+P258-T258</f>
        <v>-15604.650000000001</v>
      </c>
      <c r="Y258" s="1"/>
      <c r="Z258" s="5">
        <f t="shared" ref="Z258:Z266" si="111">IF(T258=0,0,X258/T258)</f>
        <v>-0.88806489136967093</v>
      </c>
    </row>
    <row r="259" spans="1:26" s="23" customFormat="1" hidden="1" outlineLevel="2" x14ac:dyDescent="0.25">
      <c r="A259" s="25"/>
      <c r="B259" s="10" t="str">
        <f>CONCATENATE("          ", "6336", " - ", "PROFESSIONAL SERVICES")</f>
        <v xml:space="preserve">          6336 - PROFESSIONAL SERVICES</v>
      </c>
      <c r="C259" s="10"/>
      <c r="D259" s="6">
        <v>1966.87</v>
      </c>
      <c r="E259" s="2"/>
      <c r="F259" s="7">
        <f t="shared" si="104"/>
        <v>7.4351068274706479E-3</v>
      </c>
      <c r="G259" s="2"/>
      <c r="H259" s="6">
        <v>8441.9599999999991</v>
      </c>
      <c r="I259" s="2"/>
      <c r="J259" s="7">
        <f t="shared" si="105"/>
        <v>3.9967234476784179E-2</v>
      </c>
      <c r="K259" s="2"/>
      <c r="L259" s="6">
        <f t="shared" si="106"/>
        <v>-6475.0899999999992</v>
      </c>
      <c r="M259" s="2"/>
      <c r="N259" s="7">
        <f t="shared" si="107"/>
        <v>-0.76701263687579657</v>
      </c>
      <c r="O259" s="10"/>
      <c r="P259" s="6">
        <v>1966.87</v>
      </c>
      <c r="Q259" s="2"/>
      <c r="R259" s="7">
        <f t="shared" si="108"/>
        <v>3.5912648392695686E-4</v>
      </c>
      <c r="S259" s="2"/>
      <c r="T259" s="6">
        <v>17571.52</v>
      </c>
      <c r="U259" s="2"/>
      <c r="V259" s="7">
        <f t="shared" si="109"/>
        <v>1.5144485788637215E-3</v>
      </c>
      <c r="W259" s="2"/>
      <c r="X259" s="6">
        <f t="shared" si="110"/>
        <v>-15604.650000000001</v>
      </c>
      <c r="Y259" s="2"/>
      <c r="Z259" s="7">
        <f t="shared" si="111"/>
        <v>-0.88806489136967093</v>
      </c>
    </row>
    <row r="260" spans="1:26" s="27" customFormat="1" outlineLevel="1" collapsed="1" x14ac:dyDescent="0.25">
      <c r="A260" s="26"/>
      <c r="B260" s="12" t="str">
        <f>CONCATENATE("     ","Rent                                              ")</f>
        <v xml:space="preserve">     Rent                                              </v>
      </c>
      <c r="C260" s="12"/>
      <c r="D260" s="1">
        <f>SUM(OSRRefD22_16x_0)</f>
        <v>6100</v>
      </c>
      <c r="E260" s="1"/>
      <c r="F260" s="5">
        <f t="shared" si="104"/>
        <v>2.305904896997308E-2</v>
      </c>
      <c r="G260" s="1"/>
      <c r="H260" s="1">
        <f>SUM(OSRRefH22_16x_0)</f>
        <v>7250</v>
      </c>
      <c r="I260" s="1"/>
      <c r="J260" s="5">
        <f t="shared" si="105"/>
        <v>3.4324072840511602E-2</v>
      </c>
      <c r="K260" s="1"/>
      <c r="L260" s="1">
        <f t="shared" si="106"/>
        <v>-1150</v>
      </c>
      <c r="M260" s="1"/>
      <c r="N260" s="5">
        <f t="shared" si="107"/>
        <v>-0.15862068965517243</v>
      </c>
      <c r="O260" s="12"/>
      <c r="P260" s="1">
        <f>SUM(OSRRefP22_16x_0)</f>
        <v>73200</v>
      </c>
      <c r="Q260" s="1"/>
      <c r="R260" s="5">
        <f t="shared" si="108"/>
        <v>1.3365427620256165E-2</v>
      </c>
      <c r="S260" s="1"/>
      <c r="T260" s="1">
        <f>SUM(OSRRefT22_16x_0)</f>
        <v>88600</v>
      </c>
      <c r="U260" s="1"/>
      <c r="V260" s="5">
        <f t="shared" si="109"/>
        <v>7.6362286294711966E-3</v>
      </c>
      <c r="W260" s="1"/>
      <c r="X260" s="1">
        <f t="shared" si="110"/>
        <v>-15400</v>
      </c>
      <c r="Y260" s="1"/>
      <c r="Z260" s="5">
        <f t="shared" si="111"/>
        <v>-0.17381489841986456</v>
      </c>
    </row>
    <row r="261" spans="1:26" s="23" customFormat="1" hidden="1" outlineLevel="2" x14ac:dyDescent="0.25">
      <c r="A261" s="25"/>
      <c r="B261" s="10" t="str">
        <f>CONCATENATE("          ", "6273", " - ", "RENT")</f>
        <v xml:space="preserve">          6273 - RENT</v>
      </c>
      <c r="C261" s="10"/>
      <c r="D261" s="6">
        <v>6100</v>
      </c>
      <c r="E261" s="2"/>
      <c r="F261" s="7">
        <f t="shared" si="104"/>
        <v>2.305904896997308E-2</v>
      </c>
      <c r="G261" s="2"/>
      <c r="H261" s="6">
        <v>7250</v>
      </c>
      <c r="I261" s="2"/>
      <c r="J261" s="7">
        <f t="shared" si="105"/>
        <v>3.4324072840511602E-2</v>
      </c>
      <c r="K261" s="2"/>
      <c r="L261" s="6">
        <f t="shared" si="106"/>
        <v>-1150</v>
      </c>
      <c r="M261" s="2"/>
      <c r="N261" s="7">
        <f t="shared" si="107"/>
        <v>-0.15862068965517243</v>
      </c>
      <c r="O261" s="10"/>
      <c r="P261" s="6">
        <v>73200</v>
      </c>
      <c r="Q261" s="2"/>
      <c r="R261" s="7">
        <f t="shared" si="108"/>
        <v>1.3365427620256165E-2</v>
      </c>
      <c r="S261" s="2"/>
      <c r="T261" s="6">
        <v>88600</v>
      </c>
      <c r="U261" s="2"/>
      <c r="V261" s="7">
        <f t="shared" si="109"/>
        <v>7.6362286294711966E-3</v>
      </c>
      <c r="W261" s="2"/>
      <c r="X261" s="6">
        <f t="shared" si="110"/>
        <v>-15400</v>
      </c>
      <c r="Y261" s="2"/>
      <c r="Z261" s="7">
        <f t="shared" si="111"/>
        <v>-0.17381489841986456</v>
      </c>
    </row>
    <row r="262" spans="1:26" s="27" customFormat="1" outlineLevel="1" collapsed="1" x14ac:dyDescent="0.25">
      <c r="A262" s="26"/>
      <c r="B262" s="12" t="str">
        <f>CONCATENATE("     ","Repair and Maintenance                            ")</f>
        <v xml:space="preserve">     Repair and Maintenance                            </v>
      </c>
      <c r="C262" s="12"/>
      <c r="D262" s="1">
        <f>SUM(OSRRefD22_17x_0)</f>
        <v>18155.689999999999</v>
      </c>
      <c r="E262" s="1"/>
      <c r="F262" s="5">
        <f t="shared" si="104"/>
        <v>6.8631630294041068E-2</v>
      </c>
      <c r="G262" s="1"/>
      <c r="H262" s="1">
        <f>SUM(OSRRefH22_17x_0)</f>
        <v>26595.52</v>
      </c>
      <c r="I262" s="1"/>
      <c r="J262" s="5">
        <f t="shared" si="105"/>
        <v>0.12591262975328044</v>
      </c>
      <c r="K262" s="1"/>
      <c r="L262" s="1">
        <f t="shared" si="106"/>
        <v>-8439.8300000000017</v>
      </c>
      <c r="M262" s="1"/>
      <c r="N262" s="5">
        <f t="shared" si="107"/>
        <v>-0.3173402888907606</v>
      </c>
      <c r="O262" s="12"/>
      <c r="P262" s="1">
        <f>SUM(OSRRefP22_17x_0)</f>
        <v>163342.03</v>
      </c>
      <c r="Q262" s="1"/>
      <c r="R262" s="5">
        <f t="shared" si="108"/>
        <v>2.9824263378561627E-2</v>
      </c>
      <c r="S262" s="1"/>
      <c r="T262" s="1">
        <f>SUM(OSRRefT22_17x_0)</f>
        <v>177850.52000000002</v>
      </c>
      <c r="U262" s="1"/>
      <c r="V262" s="5">
        <f t="shared" si="109"/>
        <v>1.5328524069868395E-2</v>
      </c>
      <c r="W262" s="1"/>
      <c r="X262" s="1">
        <f t="shared" si="110"/>
        <v>-14508.49000000002</v>
      </c>
      <c r="Y262" s="1"/>
      <c r="Z262" s="5">
        <f t="shared" si="111"/>
        <v>-8.1576877031340797E-2</v>
      </c>
    </row>
    <row r="263" spans="1:26" s="23" customFormat="1" hidden="1" outlineLevel="2" x14ac:dyDescent="0.25">
      <c r="A263" s="25"/>
      <c r="B263" s="10" t="str">
        <f>CONCATENATE("          ", "6371", " - ", "COMPUTER SOFTWARE MAINTENANCE")</f>
        <v xml:space="preserve">          6371 - COMPUTER SOFTWARE MAINTENANCE</v>
      </c>
      <c r="C263" s="10"/>
      <c r="D263" s="6"/>
      <c r="E263" s="2"/>
      <c r="F263" s="7">
        <f t="shared" si="104"/>
        <v>0</v>
      </c>
      <c r="G263" s="2"/>
      <c r="H263" s="6">
        <v>12181.05</v>
      </c>
      <c r="I263" s="2"/>
      <c r="J263" s="7">
        <f t="shared" si="105"/>
        <v>5.766941344467777E-2</v>
      </c>
      <c r="K263" s="2"/>
      <c r="L263" s="6">
        <f t="shared" si="106"/>
        <v>-12181.05</v>
      </c>
      <c r="M263" s="2"/>
      <c r="N263" s="7">
        <f t="shared" si="107"/>
        <v>-1</v>
      </c>
      <c r="O263" s="10"/>
      <c r="P263" s="6">
        <v>59767.72</v>
      </c>
      <c r="Q263" s="2"/>
      <c r="R263" s="7">
        <f t="shared" si="108"/>
        <v>1.0912857044914437E-2</v>
      </c>
      <c r="S263" s="2"/>
      <c r="T263" s="6">
        <v>29910.48</v>
      </c>
      <c r="U263" s="2"/>
      <c r="V263" s="7">
        <f t="shared" si="109"/>
        <v>2.5779149401492737E-3</v>
      </c>
      <c r="W263" s="2"/>
      <c r="X263" s="6">
        <f t="shared" si="110"/>
        <v>29857.24</v>
      </c>
      <c r="Y263" s="2"/>
      <c r="Z263" s="7">
        <f t="shared" si="111"/>
        <v>0.99822002187861925</v>
      </c>
    </row>
    <row r="264" spans="1:26" s="23" customFormat="1" hidden="1" outlineLevel="2" x14ac:dyDescent="0.25">
      <c r="A264" s="25"/>
      <c r="B264" s="10" t="str">
        <f>CONCATENATE("          ", "6372", " - ", "COMPUTER HARDWARE MAINTENANCE")</f>
        <v xml:space="preserve">          6372 - COMPUTER HARDWARE MAINTENANCE</v>
      </c>
      <c r="C264" s="10"/>
      <c r="D264" s="6"/>
      <c r="E264" s="2"/>
      <c r="F264" s="7">
        <f t="shared" si="104"/>
        <v>0</v>
      </c>
      <c r="G264" s="2"/>
      <c r="H264" s="6">
        <v>-2</v>
      </c>
      <c r="I264" s="2"/>
      <c r="J264" s="7">
        <f t="shared" si="105"/>
        <v>-9.4687097491066493E-6</v>
      </c>
      <c r="K264" s="2"/>
      <c r="L264" s="6">
        <f t="shared" si="106"/>
        <v>2</v>
      </c>
      <c r="M264" s="2"/>
      <c r="N264" s="7">
        <f t="shared" si="107"/>
        <v>-1</v>
      </c>
      <c r="O264" s="10"/>
      <c r="P264" s="6">
        <v>-1.1499999999999999</v>
      </c>
      <c r="Q264" s="2"/>
      <c r="R264" s="7">
        <f t="shared" si="108"/>
        <v>-2.0997598037287688E-7</v>
      </c>
      <c r="S264" s="2"/>
      <c r="T264" s="6">
        <v>50.32</v>
      </c>
      <c r="U264" s="2"/>
      <c r="V264" s="7">
        <f t="shared" si="109"/>
        <v>4.3369641606658083E-6</v>
      </c>
      <c r="W264" s="2"/>
      <c r="X264" s="6">
        <f t="shared" si="110"/>
        <v>-51.47</v>
      </c>
      <c r="Y264" s="2"/>
      <c r="Z264" s="7">
        <f t="shared" si="111"/>
        <v>-1.0228537360890302</v>
      </c>
    </row>
    <row r="265" spans="1:26" s="23" customFormat="1" hidden="1" outlineLevel="2" x14ac:dyDescent="0.25">
      <c r="A265" s="25"/>
      <c r="B265" s="10" t="str">
        <f>CONCATENATE("          ", "6373", " - ", "MAINTENANCE CONTRACTS")</f>
        <v xml:space="preserve">          6373 - MAINTENANCE CONTRACTS</v>
      </c>
      <c r="C265" s="10"/>
      <c r="D265" s="6">
        <v>2384.71</v>
      </c>
      <c r="E265" s="2"/>
      <c r="F265" s="7">
        <f t="shared" si="104"/>
        <v>9.0146138801941809E-3</v>
      </c>
      <c r="G265" s="2"/>
      <c r="H265" s="6">
        <v>12763.18</v>
      </c>
      <c r="I265" s="2"/>
      <c r="J265" s="7">
        <f t="shared" si="105"/>
        <v>6.0425423447801503E-2</v>
      </c>
      <c r="K265" s="2"/>
      <c r="L265" s="6">
        <f t="shared" si="106"/>
        <v>-10378.470000000001</v>
      </c>
      <c r="M265" s="2"/>
      <c r="N265" s="7">
        <f t="shared" si="107"/>
        <v>-0.8131570658722983</v>
      </c>
      <c r="O265" s="10"/>
      <c r="P265" s="6">
        <v>52948.78</v>
      </c>
      <c r="Q265" s="2"/>
      <c r="R265" s="7">
        <f t="shared" si="108"/>
        <v>9.6678017304763272E-3</v>
      </c>
      <c r="S265" s="2"/>
      <c r="T265" s="6">
        <v>92321.3</v>
      </c>
      <c r="U265" s="2"/>
      <c r="V265" s="7">
        <f t="shared" si="109"/>
        <v>7.956958850677192E-3</v>
      </c>
      <c r="W265" s="2"/>
      <c r="X265" s="6">
        <f t="shared" si="110"/>
        <v>-39372.520000000004</v>
      </c>
      <c r="Y265" s="2"/>
      <c r="Z265" s="7">
        <f t="shared" si="111"/>
        <v>-0.42647276414001972</v>
      </c>
    </row>
    <row r="266" spans="1:26" s="23" customFormat="1" hidden="1" outlineLevel="2" x14ac:dyDescent="0.25">
      <c r="A266" s="25"/>
      <c r="B266" s="10" t="str">
        <f>CONCATENATE("          ", "6375", " - ", "OUTSIDE REPAIRS &amp; MAINTENANCE")</f>
        <v xml:space="preserve">          6375 - OUTSIDE REPAIRS &amp; MAINTENANCE</v>
      </c>
      <c r="C266" s="10"/>
      <c r="D266" s="6">
        <v>15770.98</v>
      </c>
      <c r="E266" s="2"/>
      <c r="F266" s="7">
        <f t="shared" si="104"/>
        <v>5.9617016413846889E-2</v>
      </c>
      <c r="G266" s="2"/>
      <c r="H266" s="6">
        <v>1653.29</v>
      </c>
      <c r="I266" s="2"/>
      <c r="J266" s="7">
        <f t="shared" si="105"/>
        <v>7.8272615705502653E-3</v>
      </c>
      <c r="K266" s="2"/>
      <c r="L266" s="6">
        <f t="shared" si="106"/>
        <v>14117.689999999999</v>
      </c>
      <c r="M266" s="2"/>
      <c r="N266" s="7">
        <f t="shared" si="107"/>
        <v>8.5391492115720773</v>
      </c>
      <c r="O266" s="10"/>
      <c r="P266" s="6">
        <v>50626.68</v>
      </c>
      <c r="Q266" s="2"/>
      <c r="R266" s="7">
        <f t="shared" si="108"/>
        <v>9.2438145791512352E-3</v>
      </c>
      <c r="S266" s="2"/>
      <c r="T266" s="6">
        <v>55568.42</v>
      </c>
      <c r="U266" s="2"/>
      <c r="V266" s="7">
        <f t="shared" si="109"/>
        <v>4.7893133148812625E-3</v>
      </c>
      <c r="W266" s="2"/>
      <c r="X266" s="6">
        <f t="shared" si="110"/>
        <v>-4941.739999999998</v>
      </c>
      <c r="Y266" s="2"/>
      <c r="Z266" s="7">
        <f t="shared" si="111"/>
        <v>-8.8930727200809342E-2</v>
      </c>
    </row>
    <row r="267" spans="1:26" s="27" customFormat="1" outlineLevel="1" collapsed="1" x14ac:dyDescent="0.25">
      <c r="A267" s="26"/>
      <c r="B267" s="12" t="str">
        <f>CONCATENATE("     ","Royalty &amp; Commissions                             ")</f>
        <v xml:space="preserve">     Royalty &amp; Commissions                             </v>
      </c>
      <c r="C267" s="12"/>
      <c r="D267" s="1">
        <f>SUM(OSRRefD22_18x_0)</f>
        <v>2549.25</v>
      </c>
      <c r="E267" s="1"/>
      <c r="F267" s="5">
        <f t="shared" ref="F267:F270" si="112">IF(D$12=0,0,D267/D$12)</f>
        <v>9.6366033748694884E-3</v>
      </c>
      <c r="G267" s="1"/>
      <c r="H267" s="1">
        <f>SUM(OSRRefH22_18x_0)</f>
        <v>0</v>
      </c>
      <c r="I267" s="1"/>
      <c r="J267" s="5">
        <f t="shared" ref="J267:J270" si="113">IF(H$12=0,0,H267/H$12)</f>
        <v>0</v>
      </c>
      <c r="K267" s="1"/>
      <c r="L267" s="1">
        <f t="shared" ref="L267:L270" si="114">+D267-H267</f>
        <v>2549.25</v>
      </c>
      <c r="M267" s="1"/>
      <c r="N267" s="5">
        <f t="shared" ref="N267:N270" si="115">IF(H267=0,0,L267/H267)</f>
        <v>0</v>
      </c>
      <c r="O267" s="12"/>
      <c r="P267" s="1">
        <f>SUM(OSRRefP22_18x_0)</f>
        <v>51521.88</v>
      </c>
      <c r="Q267" s="1"/>
      <c r="R267" s="5">
        <f t="shared" ref="R267:R270" si="116">IF(P$12=0,0,P267/P$12)</f>
        <v>9.407267185785842E-3</v>
      </c>
      <c r="S267" s="1"/>
      <c r="T267" s="1">
        <f>SUM(OSRRefT22_18x_0)</f>
        <v>148005.54</v>
      </c>
      <c r="U267" s="1"/>
      <c r="V267" s="5">
        <f t="shared" ref="V267:V270" si="117">IF(T$12=0,0,T267/T$12)</f>
        <v>1.2756254422893278E-2</v>
      </c>
      <c r="W267" s="1"/>
      <c r="X267" s="1">
        <f t="shared" ref="X267:X270" si="118">+P267-T267</f>
        <v>-96483.66</v>
      </c>
      <c r="Y267" s="1"/>
      <c r="Z267" s="5">
        <f t="shared" ref="Z267:Z270" si="119">IF(T267=0,0,X267/T267)</f>
        <v>-0.6518922197101541</v>
      </c>
    </row>
    <row r="268" spans="1:26" s="23" customFormat="1" hidden="1" outlineLevel="2" x14ac:dyDescent="0.25">
      <c r="A268" s="25"/>
      <c r="B268" s="10" t="str">
        <f>CONCATENATE("          ", "6253", " - ", "ROYALTY DUE ATHLETICS-LRG")</f>
        <v xml:space="preserve">          6253 - ROYALTY DUE ATHLETICS-LRG</v>
      </c>
      <c r="C268" s="10"/>
      <c r="D268" s="6"/>
      <c r="E268" s="2"/>
      <c r="F268" s="7">
        <f t="shared" si="112"/>
        <v>0</v>
      </c>
      <c r="G268" s="2"/>
      <c r="H268" s="6"/>
      <c r="I268" s="2"/>
      <c r="J268" s="7">
        <f t="shared" si="113"/>
        <v>0</v>
      </c>
      <c r="K268" s="2"/>
      <c r="L268" s="6">
        <f t="shared" si="114"/>
        <v>0</v>
      </c>
      <c r="M268" s="2"/>
      <c r="N268" s="7">
        <f t="shared" si="115"/>
        <v>0</v>
      </c>
      <c r="O268" s="10"/>
      <c r="P268" s="6">
        <v>35159.06</v>
      </c>
      <c r="Q268" s="2"/>
      <c r="R268" s="7">
        <f t="shared" si="116"/>
        <v>6.4196157325989572E-3</v>
      </c>
      <c r="S268" s="2"/>
      <c r="T268" s="6">
        <v>32870.44</v>
      </c>
      <c r="U268" s="2"/>
      <c r="V268" s="7">
        <f t="shared" si="117"/>
        <v>2.8330270315046866E-3</v>
      </c>
      <c r="W268" s="2"/>
      <c r="X268" s="6">
        <f t="shared" si="118"/>
        <v>2288.6199999999953</v>
      </c>
      <c r="Y268" s="2"/>
      <c r="Z268" s="7">
        <f t="shared" si="119"/>
        <v>6.962547504688088E-2</v>
      </c>
    </row>
    <row r="269" spans="1:26" s="23" customFormat="1" hidden="1" outlineLevel="2" x14ac:dyDescent="0.25">
      <c r="A269" s="25"/>
      <c r="B269" s="10" t="str">
        <f>CONCATENATE("          ", "6254", " - ", "ROYALTY &amp; COMMISSIONS")</f>
        <v xml:space="preserve">          6254 - ROYALTY &amp; COMMISSIONS</v>
      </c>
      <c r="C269" s="10"/>
      <c r="D269" s="6"/>
      <c r="E269" s="2"/>
      <c r="F269" s="7">
        <f t="shared" si="112"/>
        <v>0</v>
      </c>
      <c r="G269" s="2"/>
      <c r="H269" s="6"/>
      <c r="I269" s="2"/>
      <c r="J269" s="7">
        <f t="shared" si="113"/>
        <v>0</v>
      </c>
      <c r="K269" s="2"/>
      <c r="L269" s="6">
        <f t="shared" si="114"/>
        <v>0</v>
      </c>
      <c r="M269" s="2"/>
      <c r="N269" s="7">
        <f t="shared" si="115"/>
        <v>0</v>
      </c>
      <c r="O269" s="10"/>
      <c r="P269" s="6">
        <v>185.7</v>
      </c>
      <c r="Q269" s="2"/>
      <c r="R269" s="7">
        <f t="shared" si="116"/>
        <v>3.3906556134994119E-5</v>
      </c>
      <c r="S269" s="2"/>
      <c r="T269" s="6">
        <v>32527.360000000001</v>
      </c>
      <c r="U269" s="2"/>
      <c r="V269" s="7">
        <f t="shared" si="117"/>
        <v>2.8034577615475872E-3</v>
      </c>
      <c r="W269" s="2"/>
      <c r="X269" s="6">
        <f t="shared" si="118"/>
        <v>-32341.66</v>
      </c>
      <c r="Y269" s="2"/>
      <c r="Z269" s="7">
        <f t="shared" si="119"/>
        <v>-0.9942909599795372</v>
      </c>
    </row>
    <row r="270" spans="1:26" s="23" customFormat="1" hidden="1" outlineLevel="2" x14ac:dyDescent="0.25">
      <c r="A270" s="25"/>
      <c r="B270" s="10" t="str">
        <f>CONCATENATE("          ", "6259", " - ", "ROYALTY &amp; COMMISSIONS")</f>
        <v xml:space="preserve">          6259 - ROYALTY &amp; COMMISSIONS</v>
      </c>
      <c r="C270" s="10"/>
      <c r="D270" s="6">
        <v>2549.25</v>
      </c>
      <c r="E270" s="2"/>
      <c r="F270" s="7">
        <f t="shared" si="112"/>
        <v>9.6366033748694884E-3</v>
      </c>
      <c r="G270" s="2"/>
      <c r="H270" s="6"/>
      <c r="I270" s="2"/>
      <c r="J270" s="7">
        <f t="shared" si="113"/>
        <v>0</v>
      </c>
      <c r="K270" s="2"/>
      <c r="L270" s="6">
        <f t="shared" si="114"/>
        <v>2549.25</v>
      </c>
      <c r="M270" s="2"/>
      <c r="N270" s="7">
        <f t="shared" si="115"/>
        <v>0</v>
      </c>
      <c r="O270" s="10"/>
      <c r="P270" s="6">
        <v>16177.12</v>
      </c>
      <c r="Q270" s="2"/>
      <c r="R270" s="7">
        <f t="shared" si="116"/>
        <v>2.953744897051891E-3</v>
      </c>
      <c r="S270" s="2"/>
      <c r="T270" s="6">
        <v>82607.740000000005</v>
      </c>
      <c r="U270" s="2"/>
      <c r="V270" s="7">
        <f t="shared" si="117"/>
        <v>7.1197696298410046E-3</v>
      </c>
      <c r="W270" s="2"/>
      <c r="X270" s="6">
        <f t="shared" si="118"/>
        <v>-66430.62000000001</v>
      </c>
      <c r="Y270" s="2"/>
      <c r="Z270" s="7">
        <f t="shared" si="119"/>
        <v>-0.80416943981278277</v>
      </c>
    </row>
    <row r="271" spans="1:26" s="27" customFormat="1" outlineLevel="1" collapsed="1" x14ac:dyDescent="0.25">
      <c r="A271" s="26"/>
      <c r="B271" s="12" t="str">
        <f>CONCATENATE("     ","Services                                          ")</f>
        <v xml:space="preserve">     Services                                          </v>
      </c>
      <c r="C271" s="12"/>
      <c r="D271" s="1">
        <f>SUM(OSRRefD22_19x_0)</f>
        <v>4885.97</v>
      </c>
      <c r="E271" s="1"/>
      <c r="F271" s="5">
        <f t="shared" ref="F271:F276" si="120">IF(D$12=0,0,D271/D$12)</f>
        <v>1.8469806802593341E-2</v>
      </c>
      <c r="G271" s="1"/>
      <c r="H271" s="1">
        <f>SUM(OSRRefH22_19x_0)</f>
        <v>19737.7</v>
      </c>
      <c r="I271" s="1"/>
      <c r="J271" s="5">
        <f t="shared" ref="J271:J276" si="121">IF(H$12=0,0,H271/H$12)</f>
        <v>9.3445276207471159E-2</v>
      </c>
      <c r="K271" s="1"/>
      <c r="L271" s="1">
        <f t="shared" ref="L271:L276" si="122">+D271-H271</f>
        <v>-14851.73</v>
      </c>
      <c r="M271" s="1"/>
      <c r="N271" s="5">
        <f t="shared" ref="N271:N276" si="123">IF(H271=0,0,L271/H271)</f>
        <v>-0.75245494662498669</v>
      </c>
      <c r="O271" s="12"/>
      <c r="P271" s="1">
        <f>SUM(OSRRefP22_19x_0)</f>
        <v>52382.73</v>
      </c>
      <c r="Q271" s="1"/>
      <c r="R271" s="5">
        <f t="shared" ref="R271:R276" si="124">IF(P$12=0,0,P271/P$12)</f>
        <v>9.5644479011806182E-3</v>
      </c>
      <c r="S271" s="1"/>
      <c r="T271" s="1">
        <f>SUM(OSRRefT22_19x_0)</f>
        <v>87476.09</v>
      </c>
      <c r="U271" s="1"/>
      <c r="V271" s="5">
        <f t="shared" ref="V271:V276" si="125">IF(T$12=0,0,T271/T$12)</f>
        <v>7.5393614317403957E-3</v>
      </c>
      <c r="W271" s="1"/>
      <c r="X271" s="1">
        <f t="shared" ref="X271:X276" si="126">+P271-T271</f>
        <v>-35093.359999999993</v>
      </c>
      <c r="Y271" s="1"/>
      <c r="Z271" s="5">
        <f t="shared" ref="Z271:Z276" si="127">IF(T271=0,0,X271/T271)</f>
        <v>-0.40117659579892051</v>
      </c>
    </row>
    <row r="272" spans="1:26" s="23" customFormat="1" hidden="1" outlineLevel="2" x14ac:dyDescent="0.25">
      <c r="A272" s="25"/>
      <c r="B272" s="10" t="str">
        <f>CONCATENATE("          ", "6282", " - ", "JANITORIAL/EXTERMINATOR EXPENS")</f>
        <v xml:space="preserve">          6282 - JANITORIAL/EXTERMINATOR EXPENS</v>
      </c>
      <c r="C272" s="10"/>
      <c r="D272" s="6">
        <v>1070.6500000000001</v>
      </c>
      <c r="E272" s="2"/>
      <c r="F272" s="7">
        <f t="shared" si="120"/>
        <v>4.0472411114265052E-3</v>
      </c>
      <c r="G272" s="2"/>
      <c r="H272" s="6">
        <v>1399.56</v>
      </c>
      <c r="I272" s="2"/>
      <c r="J272" s="7">
        <f t="shared" si="121"/>
        <v>6.6260137082298507E-3</v>
      </c>
      <c r="K272" s="2"/>
      <c r="L272" s="6">
        <f t="shared" si="122"/>
        <v>-328.90999999999985</v>
      </c>
      <c r="M272" s="2"/>
      <c r="N272" s="7">
        <f t="shared" si="123"/>
        <v>-0.23500957443768031</v>
      </c>
      <c r="O272" s="10"/>
      <c r="P272" s="6">
        <v>11174.83</v>
      </c>
      <c r="Q272" s="2"/>
      <c r="R272" s="7">
        <f t="shared" si="124"/>
        <v>2.0403877258697704E-3</v>
      </c>
      <c r="S272" s="2"/>
      <c r="T272" s="6">
        <v>10503.67</v>
      </c>
      <c r="U272" s="2"/>
      <c r="V272" s="7">
        <f t="shared" si="125"/>
        <v>9.0528697029929712E-4</v>
      </c>
      <c r="W272" s="2"/>
      <c r="X272" s="6">
        <f t="shared" si="126"/>
        <v>671.15999999999985</v>
      </c>
      <c r="Y272" s="2"/>
      <c r="Z272" s="7">
        <f t="shared" si="127"/>
        <v>6.3897666244274606E-2</v>
      </c>
    </row>
    <row r="273" spans="1:26" s="23" customFormat="1" hidden="1" outlineLevel="2" x14ac:dyDescent="0.25">
      <c r="A273" s="25"/>
      <c r="B273" s="10" t="str">
        <f>CONCATENATE("          ", "6283", " - ", "PLANT SERVICE")</f>
        <v xml:space="preserve">          6283 - PLANT SERVICE</v>
      </c>
      <c r="C273" s="10"/>
      <c r="D273" s="6"/>
      <c r="E273" s="2"/>
      <c r="F273" s="7">
        <f t="shared" si="120"/>
        <v>0</v>
      </c>
      <c r="G273" s="2"/>
      <c r="H273" s="6"/>
      <c r="I273" s="2"/>
      <c r="J273" s="7">
        <f t="shared" si="121"/>
        <v>0</v>
      </c>
      <c r="K273" s="2"/>
      <c r="L273" s="6">
        <f t="shared" si="122"/>
        <v>0</v>
      </c>
      <c r="M273" s="2"/>
      <c r="N273" s="7">
        <f t="shared" si="123"/>
        <v>0</v>
      </c>
      <c r="O273" s="10"/>
      <c r="P273" s="6">
        <v>171.31</v>
      </c>
      <c r="Q273" s="2"/>
      <c r="R273" s="7">
        <f t="shared" si="124"/>
        <v>3.1279117563197861E-5</v>
      </c>
      <c r="S273" s="2"/>
      <c r="T273" s="6">
        <v>541.98</v>
      </c>
      <c r="U273" s="2"/>
      <c r="V273" s="7">
        <f t="shared" si="125"/>
        <v>4.6711999916487575E-5</v>
      </c>
      <c r="W273" s="2"/>
      <c r="X273" s="6">
        <f t="shared" si="126"/>
        <v>-370.67</v>
      </c>
      <c r="Y273" s="2"/>
      <c r="Z273" s="7">
        <f t="shared" si="127"/>
        <v>-0.68391822576478833</v>
      </c>
    </row>
    <row r="274" spans="1:26" s="23" customFormat="1" hidden="1" outlineLevel="2" x14ac:dyDescent="0.25">
      <c r="A274" s="25"/>
      <c r="B274" s="10" t="str">
        <f>CONCATENATE("          ", "6284", " - ", "TRASH REMOVAL EXPENSE")</f>
        <v xml:space="preserve">          6284 - TRASH REMOVAL EXPENSE</v>
      </c>
      <c r="C274" s="10"/>
      <c r="D274" s="6">
        <v>-48.43</v>
      </c>
      <c r="E274" s="2"/>
      <c r="F274" s="7">
        <f t="shared" si="120"/>
        <v>-1.830737281337371E-4</v>
      </c>
      <c r="G274" s="2"/>
      <c r="H274" s="6">
        <v>2872.82</v>
      </c>
      <c r="I274" s="2"/>
      <c r="J274" s="7">
        <f t="shared" si="121"/>
        <v>1.3600949370714282E-2</v>
      </c>
      <c r="K274" s="2"/>
      <c r="L274" s="6">
        <f t="shared" si="122"/>
        <v>-2921.25</v>
      </c>
      <c r="M274" s="2"/>
      <c r="N274" s="7">
        <f t="shared" si="123"/>
        <v>-1.0168580001531595</v>
      </c>
      <c r="O274" s="10"/>
      <c r="P274" s="6">
        <v>2987.86</v>
      </c>
      <c r="Q274" s="2"/>
      <c r="R274" s="7">
        <f t="shared" si="124"/>
        <v>5.4554681105817738E-4</v>
      </c>
      <c r="S274" s="2"/>
      <c r="T274" s="6">
        <v>7533.84</v>
      </c>
      <c r="U274" s="2"/>
      <c r="V274" s="7">
        <f t="shared" si="125"/>
        <v>6.493242065220686E-4</v>
      </c>
      <c r="W274" s="2"/>
      <c r="X274" s="6">
        <f t="shared" si="126"/>
        <v>-4545.9799999999996</v>
      </c>
      <c r="Y274" s="2"/>
      <c r="Z274" s="7">
        <f t="shared" si="127"/>
        <v>-0.60340808936744073</v>
      </c>
    </row>
    <row r="275" spans="1:26" s="23" customFormat="1" hidden="1" outlineLevel="2" x14ac:dyDescent="0.25">
      <c r="A275" s="25"/>
      <c r="B275" s="10" t="str">
        <f>CONCATENATE("          ", "6285", " - ", "JANITORIAL SERVICES")</f>
        <v xml:space="preserve">          6285 - JANITORIAL SERVICES</v>
      </c>
      <c r="C275" s="10"/>
      <c r="D275" s="6">
        <v>3863.75</v>
      </c>
      <c r="E275" s="2"/>
      <c r="F275" s="7">
        <f t="shared" si="120"/>
        <v>1.4605639419300572E-2</v>
      </c>
      <c r="G275" s="2"/>
      <c r="H275" s="6">
        <v>15465.32</v>
      </c>
      <c r="I275" s="2"/>
      <c r="J275" s="7">
        <f t="shared" si="121"/>
        <v>7.3218313128527016E-2</v>
      </c>
      <c r="K275" s="2"/>
      <c r="L275" s="6">
        <f t="shared" si="122"/>
        <v>-11601.57</v>
      </c>
      <c r="M275" s="2"/>
      <c r="N275" s="7">
        <f t="shared" si="123"/>
        <v>-0.75016682487009645</v>
      </c>
      <c r="O275" s="10"/>
      <c r="P275" s="6">
        <v>38048.730000000003</v>
      </c>
      <c r="Q275" s="2"/>
      <c r="R275" s="7">
        <f t="shared" si="124"/>
        <v>6.9472342466894727E-3</v>
      </c>
      <c r="S275" s="2"/>
      <c r="T275" s="6">
        <v>62709.43</v>
      </c>
      <c r="U275" s="2"/>
      <c r="V275" s="7">
        <f t="shared" si="125"/>
        <v>5.4047804142643334E-3</v>
      </c>
      <c r="W275" s="2"/>
      <c r="X275" s="6">
        <f t="shared" si="126"/>
        <v>-24660.699999999997</v>
      </c>
      <c r="Y275" s="2"/>
      <c r="Z275" s="7">
        <f t="shared" si="127"/>
        <v>-0.39325345486316804</v>
      </c>
    </row>
    <row r="276" spans="1:26" s="23" customFormat="1" hidden="1" outlineLevel="2" x14ac:dyDescent="0.25">
      <c r="A276" s="25"/>
      <c r="B276" s="10" t="str">
        <f>CONCATENATE("          ", "6286", " - ", "LAUNDRY EXPENSE")</f>
        <v xml:space="preserve">          6286 - LAUNDRY EXPENSE</v>
      </c>
      <c r="C276" s="10"/>
      <c r="D276" s="6"/>
      <c r="E276" s="2"/>
      <c r="F276" s="7">
        <f t="shared" si="120"/>
        <v>0</v>
      </c>
      <c r="G276" s="2"/>
      <c r="H276" s="6"/>
      <c r="I276" s="2"/>
      <c r="J276" s="7">
        <f t="shared" si="121"/>
        <v>0</v>
      </c>
      <c r="K276" s="2"/>
      <c r="L276" s="6">
        <f t="shared" si="122"/>
        <v>0</v>
      </c>
      <c r="M276" s="2"/>
      <c r="N276" s="7">
        <f t="shared" si="123"/>
        <v>0</v>
      </c>
      <c r="O276" s="10"/>
      <c r="P276" s="6"/>
      <c r="Q276" s="2"/>
      <c r="R276" s="7">
        <f t="shared" si="124"/>
        <v>0</v>
      </c>
      <c r="S276" s="2"/>
      <c r="T276" s="6">
        <v>6187.17</v>
      </c>
      <c r="U276" s="2"/>
      <c r="V276" s="7">
        <f t="shared" si="125"/>
        <v>5.3325784073820885E-4</v>
      </c>
      <c r="W276" s="2"/>
      <c r="X276" s="6">
        <f t="shared" si="126"/>
        <v>-6187.17</v>
      </c>
      <c r="Y276" s="2"/>
      <c r="Z276" s="7">
        <f t="shared" si="127"/>
        <v>-1</v>
      </c>
    </row>
    <row r="277" spans="1:26" s="27" customFormat="1" outlineLevel="1" collapsed="1" x14ac:dyDescent="0.25">
      <c r="A277" s="26"/>
      <c r="B277" s="12" t="str">
        <f>CONCATENATE("     ","Subscriptions &amp; Dues                              ")</f>
        <v xml:space="preserve">     Subscriptions &amp; Dues                              </v>
      </c>
      <c r="C277" s="12"/>
      <c r="D277" s="1">
        <f>SUM(OSRRefD22_20x_0)</f>
        <v>694</v>
      </c>
      <c r="E277" s="1"/>
      <c r="F277" s="5">
        <f t="shared" ref="F277:F279" si="128">IF(D$12=0,0,D277/D$12)</f>
        <v>2.6234393418297242E-3</v>
      </c>
      <c r="G277" s="1"/>
      <c r="H277" s="1">
        <f>SUM(OSRRefH22_20x_0)</f>
        <v>1101.25</v>
      </c>
      <c r="I277" s="1"/>
      <c r="J277" s="5">
        <f t="shared" ref="J277:J279" si="129">IF(H$12=0,0,H277/H$12)</f>
        <v>5.2137083056018486E-3</v>
      </c>
      <c r="K277" s="1"/>
      <c r="L277" s="1">
        <f t="shared" ref="L277:L279" si="130">+D277-H277</f>
        <v>-407.25</v>
      </c>
      <c r="M277" s="1"/>
      <c r="N277" s="5">
        <f t="shared" ref="N277:N279" si="131">IF(H277=0,0,L277/H277)</f>
        <v>-0.36980703745743471</v>
      </c>
      <c r="O277" s="12"/>
      <c r="P277" s="1">
        <f>SUM(OSRRefP22_20x_0)</f>
        <v>7983.13</v>
      </c>
      <c r="Q277" s="1"/>
      <c r="R277" s="5">
        <f t="shared" ref="R277:R279" si="132">IF(P$12=0,0,P277/P$12)</f>
        <v>1.4576222158209781E-3</v>
      </c>
      <c r="S277" s="1"/>
      <c r="T277" s="1">
        <f>SUM(OSRRefT22_20x_0)</f>
        <v>9871.2999999999993</v>
      </c>
      <c r="U277" s="1"/>
      <c r="V277" s="5">
        <f t="shared" ref="V277:V279" si="133">IF(T$12=0,0,T277/T$12)</f>
        <v>8.5078446580247194E-4</v>
      </c>
      <c r="W277" s="1"/>
      <c r="X277" s="1">
        <f t="shared" ref="X277:X279" si="134">+P277-T277</f>
        <v>-1888.1699999999992</v>
      </c>
      <c r="Y277" s="1"/>
      <c r="Z277" s="5">
        <f t="shared" ref="Z277:Z279" si="135">IF(T277=0,0,X277/T277)</f>
        <v>-0.19127875761044638</v>
      </c>
    </row>
    <row r="278" spans="1:26" s="23" customFormat="1" hidden="1" outlineLevel="2" x14ac:dyDescent="0.25">
      <c r="A278" s="25"/>
      <c r="B278" s="10" t="str">
        <f>CONCATENATE("          ", "6258", " - ", "MEMBERSHIP DUES")</f>
        <v xml:space="preserve">          6258 - MEMBERSHIP DUES</v>
      </c>
      <c r="C278" s="10"/>
      <c r="D278" s="6">
        <v>609</v>
      </c>
      <c r="E278" s="2"/>
      <c r="F278" s="7">
        <f t="shared" si="128"/>
        <v>2.3021247250350173E-3</v>
      </c>
      <c r="G278" s="2"/>
      <c r="H278" s="6">
        <v>1101.25</v>
      </c>
      <c r="I278" s="2"/>
      <c r="J278" s="7">
        <f t="shared" si="129"/>
        <v>5.2137083056018486E-3</v>
      </c>
      <c r="K278" s="2"/>
      <c r="L278" s="6">
        <f t="shared" si="130"/>
        <v>-492.25</v>
      </c>
      <c r="M278" s="2"/>
      <c r="N278" s="7">
        <f t="shared" si="131"/>
        <v>-0.44699205448354146</v>
      </c>
      <c r="O278" s="10"/>
      <c r="P278" s="6">
        <v>3655.45</v>
      </c>
      <c r="Q278" s="2"/>
      <c r="R278" s="7">
        <f t="shared" si="132"/>
        <v>6.6744060648176774E-4</v>
      </c>
      <c r="S278" s="2"/>
      <c r="T278" s="6">
        <v>5667.66</v>
      </c>
      <c r="U278" s="2"/>
      <c r="V278" s="7">
        <f t="shared" si="133"/>
        <v>4.8848247803734445E-4</v>
      </c>
      <c r="W278" s="2"/>
      <c r="X278" s="6">
        <f t="shared" si="134"/>
        <v>-2012.21</v>
      </c>
      <c r="Y278" s="2"/>
      <c r="Z278" s="7">
        <f t="shared" si="135"/>
        <v>-0.35503364704304774</v>
      </c>
    </row>
    <row r="279" spans="1:26" s="23" customFormat="1" hidden="1" outlineLevel="2" x14ac:dyDescent="0.25">
      <c r="A279" s="25"/>
      <c r="B279" s="10" t="str">
        <f>CONCATENATE("          ", "6275", " - ", "SUBSCRIPTIONS")</f>
        <v xml:space="preserve">          6275 - SUBSCRIPTIONS</v>
      </c>
      <c r="C279" s="10"/>
      <c r="D279" s="6">
        <v>85</v>
      </c>
      <c r="E279" s="2"/>
      <c r="F279" s="7">
        <f t="shared" si="128"/>
        <v>3.2131461679470684E-4</v>
      </c>
      <c r="G279" s="2"/>
      <c r="H279" s="6"/>
      <c r="I279" s="2"/>
      <c r="J279" s="7">
        <f t="shared" si="129"/>
        <v>0</v>
      </c>
      <c r="K279" s="2"/>
      <c r="L279" s="6">
        <f t="shared" si="130"/>
        <v>85</v>
      </c>
      <c r="M279" s="2"/>
      <c r="N279" s="7">
        <f t="shared" si="131"/>
        <v>0</v>
      </c>
      <c r="O279" s="10"/>
      <c r="P279" s="6">
        <v>4327.68</v>
      </c>
      <c r="Q279" s="2"/>
      <c r="R279" s="7">
        <f t="shared" si="132"/>
        <v>7.9018160933921043E-4</v>
      </c>
      <c r="S279" s="2"/>
      <c r="T279" s="6">
        <v>4203.6400000000003</v>
      </c>
      <c r="U279" s="2"/>
      <c r="V279" s="7">
        <f t="shared" si="133"/>
        <v>3.623019877651276E-4</v>
      </c>
      <c r="W279" s="2"/>
      <c r="X279" s="6">
        <f t="shared" si="134"/>
        <v>124.03999999999996</v>
      </c>
      <c r="Y279" s="2"/>
      <c r="Z279" s="7">
        <f t="shared" si="135"/>
        <v>2.9507759941384121E-2</v>
      </c>
    </row>
    <row r="280" spans="1:26" s="27" customFormat="1" outlineLevel="1" collapsed="1" x14ac:dyDescent="0.25">
      <c r="A280" s="26"/>
      <c r="B280" s="12" t="str">
        <f>CONCATENATE("     ","Supplies                                          ")</f>
        <v xml:space="preserve">     Supplies                                          </v>
      </c>
      <c r="C280" s="12"/>
      <c r="D280" s="1">
        <f>SUM(OSRRefD22_21x_0)</f>
        <v>12438.82</v>
      </c>
      <c r="E280" s="1"/>
      <c r="F280" s="5">
        <f t="shared" ref="F280:F289" si="136">IF(D$12=0,0,D280/D$12)</f>
        <v>4.7020878607980418E-2</v>
      </c>
      <c r="G280" s="1"/>
      <c r="H280" s="1">
        <f>SUM(OSRRefH22_21x_0)</f>
        <v>15946.69</v>
      </c>
      <c r="I280" s="1"/>
      <c r="J280" s="5">
        <f t="shared" ref="J280:J289" si="137">IF(H$12=0,0,H280/H$12)</f>
        <v>7.5497289534490752E-2</v>
      </c>
      <c r="K280" s="1"/>
      <c r="L280" s="1">
        <f t="shared" ref="L280:L289" si="138">+D280-H280</f>
        <v>-3507.8700000000008</v>
      </c>
      <c r="M280" s="1"/>
      <c r="N280" s="5">
        <f t="shared" ref="N280:N289" si="139">IF(H280=0,0,L280/H280)</f>
        <v>-0.21997480354857343</v>
      </c>
      <c r="O280" s="12"/>
      <c r="P280" s="1">
        <f>SUM(OSRRefP22_21x_0)</f>
        <v>135431.66</v>
      </c>
      <c r="Q280" s="1"/>
      <c r="R280" s="5">
        <f t="shared" ref="R280:R289" si="140">IF(P$12=0,0,P280/P$12)</f>
        <v>2.4728170071327077E-2</v>
      </c>
      <c r="S280" s="1"/>
      <c r="T280" s="1">
        <f>SUM(OSRRefT22_21x_0)</f>
        <v>159221.31</v>
      </c>
      <c r="U280" s="1"/>
      <c r="V280" s="5">
        <f t="shared" ref="V280:V289" si="141">IF(T$12=0,0,T280/T$12)</f>
        <v>1.3722915641579103E-2</v>
      </c>
      <c r="W280" s="1"/>
      <c r="X280" s="1">
        <f t="shared" ref="X280:X289" si="142">+P280-T280</f>
        <v>-23789.649999999994</v>
      </c>
      <c r="Y280" s="1"/>
      <c r="Z280" s="5">
        <f t="shared" ref="Z280:Z289" si="143">IF(T280=0,0,X280/T280)</f>
        <v>-0.14941247500099072</v>
      </c>
    </row>
    <row r="281" spans="1:26" s="23" customFormat="1" hidden="1" outlineLevel="2" x14ac:dyDescent="0.25">
      <c r="A281" s="25"/>
      <c r="B281" s="10" t="str">
        <f>CONCATENATE("          ", "6234", " - ", "EXPENDABLE SUPPLIES &amp; EQUIPMEN")</f>
        <v xml:space="preserve">          6234 - EXPENDABLE SUPPLIES &amp; EQUIPMEN</v>
      </c>
      <c r="C281" s="10"/>
      <c r="D281" s="6"/>
      <c r="E281" s="2"/>
      <c r="F281" s="7">
        <f t="shared" si="136"/>
        <v>0</v>
      </c>
      <c r="G281" s="2"/>
      <c r="H281" s="6">
        <v>4356.1000000000004</v>
      </c>
      <c r="I281" s="2"/>
      <c r="J281" s="7">
        <f t="shared" si="137"/>
        <v>2.0623323269041739E-2</v>
      </c>
      <c r="K281" s="2"/>
      <c r="L281" s="6">
        <f t="shared" si="138"/>
        <v>-4356.1000000000004</v>
      </c>
      <c r="M281" s="2"/>
      <c r="N281" s="7">
        <f t="shared" si="139"/>
        <v>-1</v>
      </c>
      <c r="O281" s="10"/>
      <c r="P281" s="6">
        <v>316.83</v>
      </c>
      <c r="Q281" s="2"/>
      <c r="R281" s="7">
        <f t="shared" si="140"/>
        <v>5.7849295531772687E-5</v>
      </c>
      <c r="S281" s="2"/>
      <c r="T281" s="6">
        <v>9591.1200000000008</v>
      </c>
      <c r="U281" s="2"/>
      <c r="V281" s="7">
        <f t="shared" si="141"/>
        <v>8.2663640104620531E-4</v>
      </c>
      <c r="W281" s="2"/>
      <c r="X281" s="6">
        <f t="shared" si="142"/>
        <v>-9274.2900000000009</v>
      </c>
      <c r="Y281" s="2"/>
      <c r="Z281" s="7">
        <f t="shared" si="143"/>
        <v>-0.96696631884493156</v>
      </c>
    </row>
    <row r="282" spans="1:26" s="23" customFormat="1" hidden="1" outlineLevel="2" x14ac:dyDescent="0.25">
      <c r="A282" s="25"/>
      <c r="B282" s="10" t="str">
        <f>CONCATENATE("          ", "6235", " - ", "COVID-19 EXPENSES")</f>
        <v xml:space="preserve">          6235 - COVID-19 EXPENSES</v>
      </c>
      <c r="C282" s="10"/>
      <c r="D282" s="6">
        <v>957.91</v>
      </c>
      <c r="E282" s="2"/>
      <c r="F282" s="7">
        <f t="shared" si="136"/>
        <v>3.6210645243978544E-3</v>
      </c>
      <c r="G282" s="2"/>
      <c r="H282" s="6">
        <v>3511.67</v>
      </c>
      <c r="I282" s="2"/>
      <c r="J282" s="7">
        <f t="shared" si="137"/>
        <v>1.6625491982322674E-2</v>
      </c>
      <c r="K282" s="2"/>
      <c r="L282" s="6">
        <f t="shared" si="138"/>
        <v>-2553.7600000000002</v>
      </c>
      <c r="M282" s="2"/>
      <c r="N282" s="7">
        <f t="shared" si="139"/>
        <v>-0.72722095185481561</v>
      </c>
      <c r="O282" s="10"/>
      <c r="P282" s="6">
        <v>45163.24</v>
      </c>
      <c r="Q282" s="2"/>
      <c r="R282" s="7">
        <f t="shared" si="140"/>
        <v>8.2462570398395899E-3</v>
      </c>
      <c r="S282" s="2"/>
      <c r="T282" s="6">
        <v>5061.67</v>
      </c>
      <c r="U282" s="2"/>
      <c r="V282" s="7">
        <f t="shared" si="141"/>
        <v>4.3625360459295117E-4</v>
      </c>
      <c r="W282" s="2"/>
      <c r="X282" s="6">
        <f t="shared" si="142"/>
        <v>40101.57</v>
      </c>
      <c r="Y282" s="2"/>
      <c r="Z282" s="7">
        <f t="shared" si="143"/>
        <v>7.9225966923959881</v>
      </c>
    </row>
    <row r="283" spans="1:26" s="23" customFormat="1" hidden="1" outlineLevel="2" x14ac:dyDescent="0.25">
      <c r="A283" s="25"/>
      <c r="B283" s="10" t="str">
        <f>CONCATENATE("          ", "6237", " - ", "JANITORIAL SUPPLIES")</f>
        <v xml:space="preserve">          6237 - JANITORIAL SUPPLIES</v>
      </c>
      <c r="C283" s="10"/>
      <c r="D283" s="6">
        <v>321.05</v>
      </c>
      <c r="E283" s="2"/>
      <c r="F283" s="7">
        <f t="shared" si="136"/>
        <v>1.2136242084934193E-3</v>
      </c>
      <c r="G283" s="2"/>
      <c r="H283" s="6">
        <v>1763.02</v>
      </c>
      <c r="I283" s="2"/>
      <c r="J283" s="7">
        <f t="shared" si="137"/>
        <v>8.3467623309350022E-3</v>
      </c>
      <c r="K283" s="2"/>
      <c r="L283" s="6">
        <f t="shared" si="138"/>
        <v>-1441.97</v>
      </c>
      <c r="M283" s="2"/>
      <c r="N283" s="7">
        <f t="shared" si="139"/>
        <v>-0.81789769826774517</v>
      </c>
      <c r="O283" s="10"/>
      <c r="P283" s="6">
        <v>4518.8999999999996</v>
      </c>
      <c r="Q283" s="2"/>
      <c r="R283" s="7">
        <f t="shared" si="140"/>
        <v>8.2509605017999426E-4</v>
      </c>
      <c r="S283" s="2"/>
      <c r="T283" s="6">
        <v>11487.03</v>
      </c>
      <c r="U283" s="2"/>
      <c r="V283" s="7">
        <f t="shared" si="141"/>
        <v>9.9004048931822263E-4</v>
      </c>
      <c r="W283" s="2"/>
      <c r="X283" s="6">
        <f t="shared" si="142"/>
        <v>-6968.130000000001</v>
      </c>
      <c r="Y283" s="2"/>
      <c r="Z283" s="7">
        <f t="shared" si="143"/>
        <v>-0.60660849671324968</v>
      </c>
    </row>
    <row r="284" spans="1:26" s="23" customFormat="1" hidden="1" outlineLevel="2" x14ac:dyDescent="0.25">
      <c r="A284" s="25"/>
      <c r="B284" s="10" t="str">
        <f>CONCATENATE("          ", "6239", " - ", "KITCHEN SUPPLIES")</f>
        <v xml:space="preserve">          6239 - KITCHEN SUPPLIES</v>
      </c>
      <c r="C284" s="10"/>
      <c r="D284" s="6"/>
      <c r="E284" s="2"/>
      <c r="F284" s="7">
        <f t="shared" si="136"/>
        <v>0</v>
      </c>
      <c r="G284" s="2"/>
      <c r="H284" s="6"/>
      <c r="I284" s="2"/>
      <c r="J284" s="7">
        <f t="shared" si="137"/>
        <v>0</v>
      </c>
      <c r="K284" s="2"/>
      <c r="L284" s="6">
        <f t="shared" si="138"/>
        <v>0</v>
      </c>
      <c r="M284" s="2"/>
      <c r="N284" s="7">
        <f t="shared" si="139"/>
        <v>0</v>
      </c>
      <c r="O284" s="10"/>
      <c r="P284" s="6"/>
      <c r="Q284" s="2"/>
      <c r="R284" s="7">
        <f t="shared" si="140"/>
        <v>0</v>
      </c>
      <c r="S284" s="2"/>
      <c r="T284" s="6">
        <v>441.2</v>
      </c>
      <c r="U284" s="2"/>
      <c r="V284" s="7">
        <f t="shared" si="141"/>
        <v>3.802600531966921E-5</v>
      </c>
      <c r="W284" s="2"/>
      <c r="X284" s="6">
        <f t="shared" si="142"/>
        <v>-441.2</v>
      </c>
      <c r="Y284" s="2"/>
      <c r="Z284" s="7">
        <f t="shared" si="143"/>
        <v>-1</v>
      </c>
    </row>
    <row r="285" spans="1:26" s="23" customFormat="1" hidden="1" outlineLevel="2" x14ac:dyDescent="0.25">
      <c r="A285" s="25"/>
      <c r="B285" s="10" t="str">
        <f>CONCATENATE("          ", "6241", " - ", "OFFICE EXPENSE")</f>
        <v xml:space="preserve">          6241 - OFFICE EXPENSE</v>
      </c>
      <c r="C285" s="10"/>
      <c r="D285" s="6">
        <v>989.87</v>
      </c>
      <c r="E285" s="2"/>
      <c r="F285" s="7">
        <f t="shared" si="136"/>
        <v>3.7418788203126643E-3</v>
      </c>
      <c r="G285" s="2"/>
      <c r="H285" s="6">
        <v>652.34</v>
      </c>
      <c r="I285" s="2"/>
      <c r="J285" s="7">
        <f t="shared" si="137"/>
        <v>3.0884090588661158E-3</v>
      </c>
      <c r="K285" s="2"/>
      <c r="L285" s="6">
        <f t="shared" si="138"/>
        <v>337.53</v>
      </c>
      <c r="M285" s="2"/>
      <c r="N285" s="7">
        <f t="shared" si="139"/>
        <v>0.51741423184229074</v>
      </c>
      <c r="O285" s="10"/>
      <c r="P285" s="6">
        <v>12126.59</v>
      </c>
      <c r="Q285" s="2"/>
      <c r="R285" s="7">
        <f t="shared" si="140"/>
        <v>2.214167498982544E-3</v>
      </c>
      <c r="S285" s="2"/>
      <c r="T285" s="6">
        <v>27410.1</v>
      </c>
      <c r="U285" s="2"/>
      <c r="V285" s="7">
        <f t="shared" si="141"/>
        <v>2.362412983709576E-3</v>
      </c>
      <c r="W285" s="2"/>
      <c r="X285" s="6">
        <f t="shared" si="142"/>
        <v>-15283.509999999998</v>
      </c>
      <c r="Y285" s="2"/>
      <c r="Z285" s="7">
        <f t="shared" si="143"/>
        <v>-0.55758680194526833</v>
      </c>
    </row>
    <row r="286" spans="1:26" s="23" customFormat="1" hidden="1" outlineLevel="2" x14ac:dyDescent="0.25">
      <c r="A286" s="25"/>
      <c r="B286" s="10" t="str">
        <f>CONCATENATE("          ", "6243", " - ", "PAPER SUPPLIES")</f>
        <v xml:space="preserve">          6243 - PAPER SUPPLIES</v>
      </c>
      <c r="C286" s="10"/>
      <c r="D286" s="6">
        <v>548.02</v>
      </c>
      <c r="E286" s="2"/>
      <c r="F286" s="7">
        <f t="shared" si="136"/>
        <v>2.0716098387745323E-3</v>
      </c>
      <c r="G286" s="2"/>
      <c r="H286" s="6">
        <v>508.47</v>
      </c>
      <c r="I286" s="2"/>
      <c r="J286" s="7">
        <f t="shared" si="137"/>
        <v>2.4072774230641291E-3</v>
      </c>
      <c r="K286" s="2"/>
      <c r="L286" s="6">
        <f t="shared" si="138"/>
        <v>39.549999999999955</v>
      </c>
      <c r="M286" s="2"/>
      <c r="N286" s="7">
        <f t="shared" si="139"/>
        <v>7.7782366707966941E-2</v>
      </c>
      <c r="O286" s="10"/>
      <c r="P286" s="6">
        <v>7230.6</v>
      </c>
      <c r="Q286" s="2"/>
      <c r="R286" s="7">
        <f t="shared" si="140"/>
        <v>1.3202194118992381E-3</v>
      </c>
      <c r="S286" s="2"/>
      <c r="T286" s="6">
        <v>23412.6</v>
      </c>
      <c r="U286" s="2"/>
      <c r="V286" s="7">
        <f t="shared" si="141"/>
        <v>2.0178777247218662E-3</v>
      </c>
      <c r="W286" s="2"/>
      <c r="X286" s="6">
        <f t="shared" si="142"/>
        <v>-16181.999999999998</v>
      </c>
      <c r="Y286" s="2"/>
      <c r="Z286" s="7">
        <f t="shared" si="143"/>
        <v>-0.69116629507188432</v>
      </c>
    </row>
    <row r="287" spans="1:26" s="23" customFormat="1" hidden="1" outlineLevel="2" x14ac:dyDescent="0.25">
      <c r="A287" s="25"/>
      <c r="B287" s="10" t="str">
        <f>CONCATENATE("          ", "6245", " - ", "PRINTING")</f>
        <v xml:space="preserve">          6245 - PRINTING</v>
      </c>
      <c r="C287" s="10"/>
      <c r="D287" s="6">
        <v>2921.89</v>
      </c>
      <c r="E287" s="2"/>
      <c r="F287" s="7">
        <f t="shared" si="136"/>
        <v>1.1045246654897482E-2</v>
      </c>
      <c r="G287" s="2"/>
      <c r="H287" s="6">
        <v>158.76</v>
      </c>
      <c r="I287" s="2"/>
      <c r="J287" s="7">
        <f t="shared" si="137"/>
        <v>7.5162617988408574E-4</v>
      </c>
      <c r="K287" s="2"/>
      <c r="L287" s="6">
        <f t="shared" si="138"/>
        <v>2763.13</v>
      </c>
      <c r="M287" s="2"/>
      <c r="N287" s="7">
        <f t="shared" si="139"/>
        <v>17.404446963970774</v>
      </c>
      <c r="O287" s="10"/>
      <c r="P287" s="6">
        <v>12006.27</v>
      </c>
      <c r="Q287" s="2"/>
      <c r="R287" s="7">
        <f t="shared" si="140"/>
        <v>2.1921985338012703E-3</v>
      </c>
      <c r="S287" s="2"/>
      <c r="T287" s="6">
        <v>10868.1</v>
      </c>
      <c r="U287" s="2"/>
      <c r="V287" s="7">
        <f t="shared" si="141"/>
        <v>9.3669634726812549E-4</v>
      </c>
      <c r="W287" s="2"/>
      <c r="X287" s="6">
        <f t="shared" si="142"/>
        <v>1138.17</v>
      </c>
      <c r="Y287" s="2"/>
      <c r="Z287" s="7">
        <f t="shared" si="143"/>
        <v>0.10472575703204792</v>
      </c>
    </row>
    <row r="288" spans="1:26" s="23" customFormat="1" hidden="1" outlineLevel="2" x14ac:dyDescent="0.25">
      <c r="A288" s="25"/>
      <c r="B288" s="10" t="str">
        <f>CONCATENATE("          ", "6247", " - ", "STORE SUPPLIES")</f>
        <v xml:space="preserve">          6247 - STORE SUPPLIES</v>
      </c>
      <c r="C288" s="10"/>
      <c r="D288" s="6">
        <v>6700.08</v>
      </c>
      <c r="E288" s="2"/>
      <c r="F288" s="7">
        <f t="shared" si="136"/>
        <v>2.5327454561104464E-2</v>
      </c>
      <c r="G288" s="2"/>
      <c r="H288" s="6">
        <v>4996.33</v>
      </c>
      <c r="I288" s="2"/>
      <c r="J288" s="7">
        <f t="shared" si="137"/>
        <v>2.365439929037701E-2</v>
      </c>
      <c r="K288" s="2"/>
      <c r="L288" s="6">
        <f t="shared" si="138"/>
        <v>1703.75</v>
      </c>
      <c r="M288" s="2"/>
      <c r="N288" s="7">
        <f t="shared" si="139"/>
        <v>0.34100029421595451</v>
      </c>
      <c r="O288" s="10"/>
      <c r="P288" s="6">
        <v>54069.23</v>
      </c>
      <c r="Q288" s="2"/>
      <c r="R288" s="7">
        <f t="shared" si="140"/>
        <v>9.8723822410926674E-3</v>
      </c>
      <c r="S288" s="2"/>
      <c r="T288" s="6">
        <v>70711.399999999994</v>
      </c>
      <c r="U288" s="2"/>
      <c r="V288" s="7">
        <f t="shared" si="141"/>
        <v>6.0944516603836287E-3</v>
      </c>
      <c r="W288" s="2"/>
      <c r="X288" s="6">
        <f t="shared" si="142"/>
        <v>-16642.169999999991</v>
      </c>
      <c r="Y288" s="2"/>
      <c r="Z288" s="7">
        <f t="shared" si="143"/>
        <v>-0.23535342250330205</v>
      </c>
    </row>
    <row r="289" spans="1:26" s="23" customFormat="1" hidden="1" outlineLevel="2" x14ac:dyDescent="0.25">
      <c r="A289" s="25"/>
      <c r="B289" s="10" t="str">
        <f>CONCATENATE("          ", "6248", " - ", "UNIFORMS")</f>
        <v xml:space="preserve">          6248 - UNIFORMS</v>
      </c>
      <c r="C289" s="10"/>
      <c r="D289" s="6"/>
      <c r="E289" s="2"/>
      <c r="F289" s="7">
        <f t="shared" si="136"/>
        <v>0</v>
      </c>
      <c r="G289" s="2"/>
      <c r="H289" s="6"/>
      <c r="I289" s="2"/>
      <c r="J289" s="7">
        <f t="shared" si="137"/>
        <v>0</v>
      </c>
      <c r="K289" s="2"/>
      <c r="L289" s="6">
        <f t="shared" si="138"/>
        <v>0</v>
      </c>
      <c r="M289" s="2"/>
      <c r="N289" s="7">
        <f t="shared" si="139"/>
        <v>0</v>
      </c>
      <c r="O289" s="10"/>
      <c r="P289" s="6"/>
      <c r="Q289" s="2"/>
      <c r="R289" s="7">
        <f t="shared" si="140"/>
        <v>0</v>
      </c>
      <c r="S289" s="2"/>
      <c r="T289" s="6">
        <v>238.09</v>
      </c>
      <c r="U289" s="2"/>
      <c r="V289" s="7">
        <f t="shared" si="141"/>
        <v>2.0520425218857758E-5</v>
      </c>
      <c r="W289" s="2"/>
      <c r="X289" s="6">
        <f t="shared" si="142"/>
        <v>-238.09</v>
      </c>
      <c r="Y289" s="2"/>
      <c r="Z289" s="7">
        <f t="shared" si="143"/>
        <v>-1</v>
      </c>
    </row>
    <row r="290" spans="1:26" s="27" customFormat="1" outlineLevel="1" collapsed="1" x14ac:dyDescent="0.25">
      <c r="A290" s="26"/>
      <c r="B290" s="12" t="str">
        <f>CONCATENATE("     ","Telephone/Data Lines                              ")</f>
        <v xml:space="preserve">     Telephone/Data Lines                              </v>
      </c>
      <c r="C290" s="12"/>
      <c r="D290" s="1">
        <f>SUM(OSRRefD22_22x_0)</f>
        <v>2677.87</v>
      </c>
      <c r="E290" s="1"/>
      <c r="F290" s="5">
        <f t="shared" ref="F290:F292" si="144">IF(D$12=0,0,D290/D$12)</f>
        <v>1.0122809092659312E-2</v>
      </c>
      <c r="G290" s="1"/>
      <c r="H290" s="1">
        <f>SUM(OSRRefH22_22x_0)</f>
        <v>1029.25</v>
      </c>
      <c r="I290" s="1"/>
      <c r="J290" s="5">
        <f t="shared" ref="J290:J292" si="145">IF(H$12=0,0,H290/H$12)</f>
        <v>4.8728347546340093E-3</v>
      </c>
      <c r="K290" s="1"/>
      <c r="L290" s="1">
        <f t="shared" ref="L290:L292" si="146">+D290-H290</f>
        <v>1648.62</v>
      </c>
      <c r="M290" s="1"/>
      <c r="N290" s="5">
        <f t="shared" ref="N290:N292" si="147">IF(H290=0,0,L290/H290)</f>
        <v>1.6017682778722369</v>
      </c>
      <c r="O290" s="12"/>
      <c r="P290" s="1">
        <f>SUM(OSRRefP22_22x_0)</f>
        <v>29915.74</v>
      </c>
      <c r="Q290" s="1"/>
      <c r="R290" s="5">
        <f t="shared" ref="R290:R292" si="148">IF(P$12=0,0,P290/P$12)</f>
        <v>5.4622494218087734E-3</v>
      </c>
      <c r="S290" s="1"/>
      <c r="T290" s="1">
        <f>SUM(OSRRefT22_22x_0)</f>
        <v>33262.39</v>
      </c>
      <c r="U290" s="1"/>
      <c r="V290" s="5">
        <f t="shared" ref="V290:V292" si="149">IF(T$12=0,0,T290/T$12)</f>
        <v>2.8668082934834812E-3</v>
      </c>
      <c r="W290" s="1"/>
      <c r="X290" s="1">
        <f t="shared" ref="X290:X292" si="150">+P290-T290</f>
        <v>-3346.6499999999978</v>
      </c>
      <c r="Y290" s="1"/>
      <c r="Z290" s="5">
        <f t="shared" ref="Z290:Z292" si="151">IF(T290=0,0,X290/T290)</f>
        <v>-0.10061363600150193</v>
      </c>
    </row>
    <row r="291" spans="1:26" s="23" customFormat="1" hidden="1" outlineLevel="2" x14ac:dyDescent="0.25">
      <c r="A291" s="25"/>
      <c r="B291" s="10" t="str">
        <f>CONCATENATE("          ", "6303", " - ", "DATA PHONE LINES")</f>
        <v xml:space="preserve">          6303 - DATA PHONE LINES</v>
      </c>
      <c r="C291" s="10"/>
      <c r="D291" s="6"/>
      <c r="E291" s="2"/>
      <c r="F291" s="7">
        <f t="shared" si="144"/>
        <v>0</v>
      </c>
      <c r="G291" s="2"/>
      <c r="H291" s="6"/>
      <c r="I291" s="2"/>
      <c r="J291" s="7">
        <f t="shared" si="145"/>
        <v>0</v>
      </c>
      <c r="K291" s="2"/>
      <c r="L291" s="6">
        <f t="shared" si="146"/>
        <v>0</v>
      </c>
      <c r="M291" s="2"/>
      <c r="N291" s="7">
        <f t="shared" si="147"/>
        <v>0</v>
      </c>
      <c r="O291" s="10"/>
      <c r="P291" s="6">
        <v>3540</v>
      </c>
      <c r="Q291" s="2"/>
      <c r="R291" s="7">
        <f t="shared" si="148"/>
        <v>6.4636084393042111E-4</v>
      </c>
      <c r="S291" s="2"/>
      <c r="T291" s="6">
        <v>2950</v>
      </c>
      <c r="U291" s="2"/>
      <c r="V291" s="7">
        <f t="shared" si="149"/>
        <v>2.5425366204221252E-4</v>
      </c>
      <c r="W291" s="2"/>
      <c r="X291" s="6">
        <f t="shared" si="150"/>
        <v>590</v>
      </c>
      <c r="Y291" s="2"/>
      <c r="Z291" s="7">
        <f t="shared" si="151"/>
        <v>0.2</v>
      </c>
    </row>
    <row r="292" spans="1:26" s="23" customFormat="1" hidden="1" outlineLevel="2" x14ac:dyDescent="0.25">
      <c r="A292" s="25"/>
      <c r="B292" s="10" t="str">
        <f>CONCATENATE("          ", "6309", " - ", "TELEPHONE")</f>
        <v xml:space="preserve">          6309 - TELEPHONE</v>
      </c>
      <c r="C292" s="10"/>
      <c r="D292" s="6">
        <v>2677.87</v>
      </c>
      <c r="E292" s="2"/>
      <c r="F292" s="7">
        <f t="shared" si="144"/>
        <v>1.0122809092659312E-2</v>
      </c>
      <c r="G292" s="2"/>
      <c r="H292" s="6">
        <v>1029.25</v>
      </c>
      <c r="I292" s="2"/>
      <c r="J292" s="7">
        <f t="shared" si="145"/>
        <v>4.8728347546340093E-3</v>
      </c>
      <c r="K292" s="2"/>
      <c r="L292" s="6">
        <f t="shared" si="146"/>
        <v>1648.62</v>
      </c>
      <c r="M292" s="2"/>
      <c r="N292" s="7">
        <f t="shared" si="147"/>
        <v>1.6017682778722369</v>
      </c>
      <c r="O292" s="10"/>
      <c r="P292" s="6">
        <v>26375.74</v>
      </c>
      <c r="Q292" s="2"/>
      <c r="R292" s="7">
        <f t="shared" si="148"/>
        <v>4.8158885778783519E-3</v>
      </c>
      <c r="S292" s="2"/>
      <c r="T292" s="6">
        <v>30312.39</v>
      </c>
      <c r="U292" s="2"/>
      <c r="V292" s="7">
        <f t="shared" si="149"/>
        <v>2.6125546314412686E-3</v>
      </c>
      <c r="W292" s="2"/>
      <c r="X292" s="6">
        <f t="shared" si="150"/>
        <v>-3936.6499999999978</v>
      </c>
      <c r="Y292" s="2"/>
      <c r="Z292" s="7">
        <f t="shared" si="151"/>
        <v>-0.12986933725780112</v>
      </c>
    </row>
    <row r="293" spans="1:26" s="27" customFormat="1" outlineLevel="1" collapsed="1" x14ac:dyDescent="0.25">
      <c r="A293" s="26"/>
      <c r="B293" s="12" t="str">
        <f>CONCATENATE("     ","Training                                          ")</f>
        <v xml:space="preserve">     Training                                          </v>
      </c>
      <c r="C293" s="12"/>
      <c r="D293" s="1">
        <f>SUM(OSRRefD22_23x_0)</f>
        <v>0</v>
      </c>
      <c r="E293" s="1"/>
      <c r="F293" s="5">
        <f t="shared" ref="F293:F298" si="152">IF(D$12=0,0,D293/D$12)</f>
        <v>0</v>
      </c>
      <c r="G293" s="1"/>
      <c r="H293" s="1">
        <f>SUM(OSRRefH22_23x_0)</f>
        <v>0</v>
      </c>
      <c r="I293" s="1"/>
      <c r="J293" s="5">
        <f t="shared" ref="J293:J298" si="153">IF(H$12=0,0,H293/H$12)</f>
        <v>0</v>
      </c>
      <c r="K293" s="1"/>
      <c r="L293" s="1">
        <f t="shared" ref="L293:L298" si="154">+D293-H293</f>
        <v>0</v>
      </c>
      <c r="M293" s="1"/>
      <c r="N293" s="5">
        <f t="shared" ref="N293:N298" si="155">IF(H293=0,0,L293/H293)</f>
        <v>0</v>
      </c>
      <c r="O293" s="12"/>
      <c r="P293" s="1">
        <f>SUM(OSRRefP22_23x_0)</f>
        <v>895.63</v>
      </c>
      <c r="Q293" s="1"/>
      <c r="R293" s="5">
        <f t="shared" ref="R293:R298" si="156">IF(P$12=0,0,P293/P$12)</f>
        <v>1.6353111939248675E-4</v>
      </c>
      <c r="S293" s="1"/>
      <c r="T293" s="1">
        <f>SUM(OSRRefT22_23x_0)</f>
        <v>23967.01</v>
      </c>
      <c r="U293" s="1"/>
      <c r="V293" s="5">
        <f t="shared" ref="V293:V298" si="157">IF(T$12=0,0,T293/T$12)</f>
        <v>2.0656610375262129E-3</v>
      </c>
      <c r="W293" s="1"/>
      <c r="X293" s="1">
        <f t="shared" ref="X293:X298" si="158">+P293-T293</f>
        <v>-23071.379999999997</v>
      </c>
      <c r="Y293" s="1"/>
      <c r="Z293" s="5">
        <f t="shared" ref="Z293:Z298" si="159">IF(T293=0,0,X293/T293)</f>
        <v>-0.96263071613855877</v>
      </c>
    </row>
    <row r="294" spans="1:26" s="23" customFormat="1" hidden="1" outlineLevel="2" x14ac:dyDescent="0.25">
      <c r="A294" s="25"/>
      <c r="B294" s="10" t="str">
        <f>CONCATENATE("          ", "6376", " - ", "TRAINING")</f>
        <v xml:space="preserve">          6376 - TRAINING</v>
      </c>
      <c r="C294" s="10"/>
      <c r="D294" s="6"/>
      <c r="E294" s="2"/>
      <c r="F294" s="7">
        <f t="shared" si="152"/>
        <v>0</v>
      </c>
      <c r="G294" s="2"/>
      <c r="H294" s="6"/>
      <c r="I294" s="2"/>
      <c r="J294" s="7">
        <f t="shared" si="153"/>
        <v>0</v>
      </c>
      <c r="K294" s="2"/>
      <c r="L294" s="6">
        <f t="shared" si="154"/>
        <v>0</v>
      </c>
      <c r="M294" s="2"/>
      <c r="N294" s="7">
        <f t="shared" si="155"/>
        <v>0</v>
      </c>
      <c r="O294" s="10"/>
      <c r="P294" s="6">
        <v>895.63</v>
      </c>
      <c r="Q294" s="2"/>
      <c r="R294" s="7">
        <f t="shared" si="156"/>
        <v>1.6353111939248675E-4</v>
      </c>
      <c r="S294" s="2"/>
      <c r="T294" s="6">
        <v>23967.01</v>
      </c>
      <c r="U294" s="2"/>
      <c r="V294" s="7">
        <f t="shared" si="157"/>
        <v>2.0656610375262129E-3</v>
      </c>
      <c r="W294" s="2"/>
      <c r="X294" s="6">
        <f t="shared" si="158"/>
        <v>-23071.379999999997</v>
      </c>
      <c r="Y294" s="2"/>
      <c r="Z294" s="7">
        <f t="shared" si="159"/>
        <v>-0.96263071613855877</v>
      </c>
    </row>
    <row r="295" spans="1:26" s="27" customFormat="1" outlineLevel="1" collapsed="1" x14ac:dyDescent="0.25">
      <c r="A295" s="26"/>
      <c r="B295" s="12" t="str">
        <f>CONCATENATE("     ","Travel                                            ")</f>
        <v xml:space="preserve">     Travel                                            </v>
      </c>
      <c r="C295" s="12"/>
      <c r="D295" s="1">
        <f>SUM(OSRRefD22_24x_0)</f>
        <v>67.62</v>
      </c>
      <c r="E295" s="1"/>
      <c r="F295" s="5">
        <f t="shared" si="152"/>
        <v>2.5561522809009504E-4</v>
      </c>
      <c r="G295" s="1"/>
      <c r="H295" s="1">
        <f>SUM(OSRRefH22_24x_0)</f>
        <v>0</v>
      </c>
      <c r="I295" s="1"/>
      <c r="J295" s="5">
        <f t="shared" si="153"/>
        <v>0</v>
      </c>
      <c r="K295" s="1"/>
      <c r="L295" s="1">
        <f t="shared" si="154"/>
        <v>67.62</v>
      </c>
      <c r="M295" s="1"/>
      <c r="N295" s="5">
        <f t="shared" si="155"/>
        <v>0</v>
      </c>
      <c r="O295" s="12"/>
      <c r="P295" s="1">
        <f>SUM(OSRRefP22_24x_0)</f>
        <v>1040.0200000000002</v>
      </c>
      <c r="Q295" s="1"/>
      <c r="R295" s="5">
        <f t="shared" si="156"/>
        <v>1.8989497313686912E-4</v>
      </c>
      <c r="S295" s="1"/>
      <c r="T295" s="1">
        <f>SUM(OSRRefT22_24x_0)</f>
        <v>1383.79</v>
      </c>
      <c r="U295" s="1"/>
      <c r="V295" s="5">
        <f t="shared" si="157"/>
        <v>1.1926565254148924E-4</v>
      </c>
      <c r="W295" s="1"/>
      <c r="X295" s="1">
        <f t="shared" si="158"/>
        <v>-343.76999999999975</v>
      </c>
      <c r="Y295" s="1"/>
      <c r="Z295" s="5">
        <f t="shared" si="159"/>
        <v>-0.24842642308442739</v>
      </c>
    </row>
    <row r="296" spans="1:26" s="23" customFormat="1" hidden="1" outlineLevel="2" x14ac:dyDescent="0.25">
      <c r="A296" s="25"/>
      <c r="B296" s="10" t="str">
        <f>CONCATENATE("          ", "6292", " - ", "TRAVEL/CONFERENCE")</f>
        <v xml:space="preserve">          6292 - TRAVEL/CONFERENCE</v>
      </c>
      <c r="C296" s="10"/>
      <c r="D296" s="6"/>
      <c r="E296" s="2"/>
      <c r="F296" s="7">
        <f t="shared" si="152"/>
        <v>0</v>
      </c>
      <c r="G296" s="2"/>
      <c r="H296" s="6"/>
      <c r="I296" s="2"/>
      <c r="J296" s="7">
        <f t="shared" si="153"/>
        <v>0</v>
      </c>
      <c r="K296" s="2"/>
      <c r="L296" s="6">
        <f t="shared" si="154"/>
        <v>0</v>
      </c>
      <c r="M296" s="2"/>
      <c r="N296" s="7">
        <f t="shared" si="155"/>
        <v>0</v>
      </c>
      <c r="O296" s="10"/>
      <c r="P296" s="6">
        <v>299.16000000000003</v>
      </c>
      <c r="Q296" s="2"/>
      <c r="R296" s="7">
        <f t="shared" si="156"/>
        <v>5.4622968946391187E-5</v>
      </c>
      <c r="S296" s="2"/>
      <c r="T296" s="6">
        <v>504.66</v>
      </c>
      <c r="U296" s="2"/>
      <c r="V296" s="7">
        <f t="shared" si="157"/>
        <v>4.3495475622448472E-5</v>
      </c>
      <c r="W296" s="2"/>
      <c r="X296" s="6">
        <f t="shared" si="158"/>
        <v>-205.5</v>
      </c>
      <c r="Y296" s="2"/>
      <c r="Z296" s="7">
        <f t="shared" si="159"/>
        <v>-0.40720485079063129</v>
      </c>
    </row>
    <row r="297" spans="1:26" s="23" customFormat="1" hidden="1" outlineLevel="2" x14ac:dyDescent="0.25">
      <c r="A297" s="25"/>
      <c r="B297" s="10" t="str">
        <f>CONCATENATE("          ", "6294", " - ", "TRAVEL OPERATIONAL")</f>
        <v xml:space="preserve">          6294 - TRAVEL OPERATIONAL</v>
      </c>
      <c r="C297" s="10"/>
      <c r="D297" s="6">
        <v>67.62</v>
      </c>
      <c r="E297" s="2"/>
      <c r="F297" s="7">
        <f t="shared" si="152"/>
        <v>2.5561522809009504E-4</v>
      </c>
      <c r="G297" s="2"/>
      <c r="H297" s="6"/>
      <c r="I297" s="2"/>
      <c r="J297" s="7">
        <f t="shared" si="153"/>
        <v>0</v>
      </c>
      <c r="K297" s="2"/>
      <c r="L297" s="6">
        <f t="shared" si="154"/>
        <v>67.62</v>
      </c>
      <c r="M297" s="2"/>
      <c r="N297" s="7">
        <f t="shared" si="155"/>
        <v>0</v>
      </c>
      <c r="O297" s="10"/>
      <c r="P297" s="6">
        <v>680.97</v>
      </c>
      <c r="Q297" s="2"/>
      <c r="R297" s="7">
        <f t="shared" si="156"/>
        <v>1.2433682030827653E-4</v>
      </c>
      <c r="S297" s="2"/>
      <c r="T297" s="6">
        <v>361.61</v>
      </c>
      <c r="U297" s="2"/>
      <c r="V297" s="7">
        <f t="shared" si="157"/>
        <v>3.1166327705452367E-5</v>
      </c>
      <c r="W297" s="2"/>
      <c r="X297" s="6">
        <f t="shared" si="158"/>
        <v>319.36</v>
      </c>
      <c r="Y297" s="2"/>
      <c r="Z297" s="7">
        <f t="shared" si="159"/>
        <v>0.88316141699621142</v>
      </c>
    </row>
    <row r="298" spans="1:26" s="23" customFormat="1" hidden="1" outlineLevel="2" x14ac:dyDescent="0.25">
      <c r="A298" s="25"/>
      <c r="B298" s="10" t="str">
        <f>CONCATENATE("          ", "6298", " - ", "VEHICLE MILEAGE")</f>
        <v xml:space="preserve">          6298 - VEHICLE MILEAGE</v>
      </c>
      <c r="C298" s="10"/>
      <c r="D298" s="6"/>
      <c r="E298" s="2"/>
      <c r="F298" s="7">
        <f t="shared" si="152"/>
        <v>0</v>
      </c>
      <c r="G298" s="2"/>
      <c r="H298" s="6"/>
      <c r="I298" s="2"/>
      <c r="J298" s="7">
        <f t="shared" si="153"/>
        <v>0</v>
      </c>
      <c r="K298" s="2"/>
      <c r="L298" s="6">
        <f t="shared" si="154"/>
        <v>0</v>
      </c>
      <c r="M298" s="2"/>
      <c r="N298" s="7">
        <f t="shared" si="155"/>
        <v>0</v>
      </c>
      <c r="O298" s="10"/>
      <c r="P298" s="6">
        <v>59.89</v>
      </c>
      <c r="Q298" s="2"/>
      <c r="R298" s="7">
        <f t="shared" si="156"/>
        <v>1.0935183882201389E-5</v>
      </c>
      <c r="S298" s="2"/>
      <c r="T298" s="6">
        <v>517.52</v>
      </c>
      <c r="U298" s="2"/>
      <c r="V298" s="7">
        <f t="shared" si="157"/>
        <v>4.4603849213588413E-5</v>
      </c>
      <c r="W298" s="2"/>
      <c r="X298" s="6">
        <f t="shared" si="158"/>
        <v>-457.63</v>
      </c>
      <c r="Y298" s="2"/>
      <c r="Z298" s="7">
        <f t="shared" si="159"/>
        <v>-0.88427500386458502</v>
      </c>
    </row>
    <row r="299" spans="1:26" s="27" customFormat="1" outlineLevel="1" collapsed="1" x14ac:dyDescent="0.25">
      <c r="A299" s="26"/>
      <c r="B299" s="12" t="str">
        <f>CONCATENATE("     ","Utilities                                         ")</f>
        <v xml:space="preserve">     Utilities                                         </v>
      </c>
      <c r="C299" s="12"/>
      <c r="D299" s="1">
        <f>SUM(OSRRefD22_25x_0)</f>
        <v>4697.9399999999996</v>
      </c>
      <c r="E299" s="1"/>
      <c r="F299" s="5">
        <f t="shared" ref="F299:F300" si="160">IF(D$12=0,0,D299/D$12)</f>
        <v>1.7759021068523822E-2</v>
      </c>
      <c r="G299" s="1"/>
      <c r="H299" s="1">
        <f>SUM(OSRRefH22_25x_0)</f>
        <v>15554.8</v>
      </c>
      <c r="I299" s="1"/>
      <c r="J299" s="5">
        <f t="shared" ref="J299:J300" si="161">IF(H$12=0,0,H299/H$12)</f>
        <v>7.3641943202702051E-2</v>
      </c>
      <c r="K299" s="1"/>
      <c r="L299" s="1">
        <f t="shared" ref="L299:L300" si="162">+D299-H299</f>
        <v>-10856.86</v>
      </c>
      <c r="M299" s="1"/>
      <c r="N299" s="5">
        <f t="shared" ref="N299:N300" si="163">IF(H299=0,0,L299/H299)</f>
        <v>-0.69797490163807963</v>
      </c>
      <c r="O299" s="12"/>
      <c r="P299" s="1">
        <f>SUM(OSRRefP22_25x_0)</f>
        <v>76460.39</v>
      </c>
      <c r="Q299" s="1"/>
      <c r="R299" s="5">
        <f t="shared" ref="R299:R300" si="164">IF(P$12=0,0,P299/P$12)</f>
        <v>1.3960735086906534E-2</v>
      </c>
      <c r="S299" s="1"/>
      <c r="T299" s="1">
        <f>SUM(OSRRefT22_25x_0)</f>
        <v>92523.32</v>
      </c>
      <c r="U299" s="1"/>
      <c r="V299" s="5">
        <f t="shared" ref="V299:V300" si="165">IF(T$12=0,0,T299/T$12)</f>
        <v>7.9743704862045711E-3</v>
      </c>
      <c r="W299" s="1"/>
      <c r="X299" s="1">
        <f t="shared" ref="X299:X300" si="166">+P299-T299</f>
        <v>-16062.930000000008</v>
      </c>
      <c r="Y299" s="1"/>
      <c r="Z299" s="5">
        <f t="shared" ref="Z299:Z300" si="167">IF(T299=0,0,X299/T299)</f>
        <v>-0.17360952892740994</v>
      </c>
    </row>
    <row r="300" spans="1:26" s="23" customFormat="1" hidden="1" outlineLevel="2" x14ac:dyDescent="0.25">
      <c r="A300" s="25"/>
      <c r="B300" s="10" t="str">
        <f>CONCATENATE("          ", "6274", " - ", "UTILITIES")</f>
        <v xml:space="preserve">          6274 - UTILITIES</v>
      </c>
      <c r="C300" s="10"/>
      <c r="D300" s="6">
        <v>4697.9399999999996</v>
      </c>
      <c r="E300" s="2"/>
      <c r="F300" s="7">
        <f t="shared" si="160"/>
        <v>1.7759021068523822E-2</v>
      </c>
      <c r="G300" s="2"/>
      <c r="H300" s="6">
        <v>15554.8</v>
      </c>
      <c r="I300" s="2"/>
      <c r="J300" s="7">
        <f t="shared" si="161"/>
        <v>7.3641943202702051E-2</v>
      </c>
      <c r="K300" s="2"/>
      <c r="L300" s="6">
        <f t="shared" si="162"/>
        <v>-10856.86</v>
      </c>
      <c r="M300" s="2"/>
      <c r="N300" s="7">
        <f t="shared" si="163"/>
        <v>-0.69797490163807963</v>
      </c>
      <c r="O300" s="10"/>
      <c r="P300" s="6">
        <v>76460.39</v>
      </c>
      <c r="Q300" s="2"/>
      <c r="R300" s="7">
        <f t="shared" si="164"/>
        <v>1.3960735086906534E-2</v>
      </c>
      <c r="S300" s="2"/>
      <c r="T300" s="6">
        <v>92523.32</v>
      </c>
      <c r="U300" s="2"/>
      <c r="V300" s="7">
        <f t="shared" si="165"/>
        <v>7.9743704862045711E-3</v>
      </c>
      <c r="W300" s="2"/>
      <c r="X300" s="6">
        <f t="shared" si="166"/>
        <v>-16062.930000000008</v>
      </c>
      <c r="Y300" s="2"/>
      <c r="Z300" s="7">
        <f t="shared" si="167"/>
        <v>-0.17360952892740994</v>
      </c>
    </row>
    <row r="301" spans="1:26" s="52" customFormat="1" x14ac:dyDescent="0.25">
      <c r="A301" s="37"/>
      <c r="B301" s="37"/>
      <c r="C301" s="37"/>
      <c r="D301" s="1"/>
      <c r="E301" s="1"/>
      <c r="F301" s="5"/>
      <c r="G301" s="1"/>
      <c r="H301" s="1"/>
      <c r="I301" s="1"/>
      <c r="J301" s="5"/>
      <c r="K301" s="1"/>
      <c r="L301" s="1"/>
      <c r="M301" s="1"/>
      <c r="N301" s="5"/>
      <c r="O301" s="37"/>
      <c r="P301" s="1"/>
      <c r="Q301" s="1"/>
      <c r="R301" s="5"/>
      <c r="S301" s="1"/>
      <c r="T301" s="1"/>
      <c r="U301" s="1"/>
      <c r="V301" s="5"/>
      <c r="W301" s="1"/>
      <c r="X301" s="1"/>
      <c r="Y301" s="1"/>
      <c r="Z301" s="5"/>
    </row>
    <row r="302" spans="1:26" s="24" customFormat="1" collapsed="1" x14ac:dyDescent="0.25">
      <c r="A302" s="11"/>
      <c r="B302" s="29" t="s">
        <v>292</v>
      </c>
      <c r="C302" s="11"/>
      <c r="D302" s="4">
        <f>SUM(OSRRefD25x_0)</f>
        <v>401496.27999999997</v>
      </c>
      <c r="E302" s="4"/>
      <c r="F302" s="13">
        <f t="shared" ref="F302:F311" si="168">IF(D$12=0,0,D302/D$12)</f>
        <v>1.5177249806200037</v>
      </c>
      <c r="G302" s="4"/>
      <c r="H302" s="4">
        <f>SUM(OSRRefH25x_0)</f>
        <v>38229.74</v>
      </c>
      <c r="I302" s="4"/>
      <c r="J302" s="13">
        <f t="shared" ref="J302:J311" si="169">IF(H$12=0,0,H302/H$12)</f>
        <v>0.18099315592190621</v>
      </c>
      <c r="K302" s="4"/>
      <c r="L302" s="4">
        <f t="shared" ref="L302:L311" si="170">+D302-H302</f>
        <v>363266.54</v>
      </c>
      <c r="M302" s="4"/>
      <c r="N302" s="13">
        <f t="shared" ref="N302:N311" si="171">IF(H302=0,0,L302/H302)</f>
        <v>9.502197503828171</v>
      </c>
      <c r="O302" s="11"/>
      <c r="P302" s="4">
        <f>SUM(OSRRefP25x_0)</f>
        <v>1454588.11</v>
      </c>
      <c r="Q302" s="4"/>
      <c r="R302" s="13">
        <f t="shared" ref="R302:R311" si="172">IF(P$12=0,0,P302/P$12)</f>
        <v>0.2655900560312871</v>
      </c>
      <c r="S302" s="4"/>
      <c r="T302" s="4">
        <f>SUM(OSRRefT25x_0)</f>
        <v>1207334.8899999999</v>
      </c>
      <c r="U302" s="4"/>
      <c r="V302" s="13">
        <f t="shared" ref="V302:V311" si="173">IF(T$12=0,0,T302/T$12)</f>
        <v>0.10405739562502773</v>
      </c>
      <c r="W302" s="4"/>
      <c r="X302" s="4">
        <f t="shared" ref="X302:X311" si="174">+P302-T302</f>
        <v>247253.2200000002</v>
      </c>
      <c r="Y302" s="4"/>
      <c r="Z302" s="13">
        <f t="shared" ref="Z302:Z311" si="175">IF(T302=0,0,X302/T302)</f>
        <v>0.204792574163081</v>
      </c>
    </row>
    <row r="303" spans="1:26" s="23" customFormat="1" hidden="1" outlineLevel="1" x14ac:dyDescent="0.25">
      <c r="A303" s="44"/>
      <c r="B303" s="10" t="str">
        <f>CONCATENATE("          ", "4098", " - ", "TAXABLE SALES-GRAD RENTALS")</f>
        <v xml:space="preserve">          4098 - TAXABLE SALES-GRAD RENTALS</v>
      </c>
      <c r="C303" s="10"/>
      <c r="D303" s="2">
        <f>--1017.7</f>
        <v>1017.7</v>
      </c>
      <c r="E303" s="2"/>
      <c r="F303" s="19">
        <f t="shared" si="168"/>
        <v>3.8470810060232141E-3</v>
      </c>
      <c r="G303" s="2"/>
      <c r="H303" s="2">
        <f t="shared" ref="H303:H305" si="176">0</f>
        <v>0</v>
      </c>
      <c r="I303" s="2"/>
      <c r="J303" s="19">
        <f t="shared" si="169"/>
        <v>0</v>
      </c>
      <c r="K303" s="2"/>
      <c r="L303" s="2">
        <f t="shared" si="170"/>
        <v>1017.7</v>
      </c>
      <c r="M303" s="2"/>
      <c r="N303" s="19">
        <f t="shared" si="171"/>
        <v>0</v>
      </c>
      <c r="O303" s="10"/>
      <c r="P303" s="2">
        <f>--1067.65</f>
        <v>1067.6500000000001</v>
      </c>
      <c r="Q303" s="2"/>
      <c r="R303" s="19">
        <f t="shared" si="172"/>
        <v>1.9493987430008875E-4</v>
      </c>
      <c r="S303" s="2"/>
      <c r="T303" s="2">
        <f>--1946.85</f>
        <v>1946.85</v>
      </c>
      <c r="U303" s="2"/>
      <c r="V303" s="19">
        <f t="shared" si="173"/>
        <v>1.6779448879555302E-4</v>
      </c>
      <c r="W303" s="2"/>
      <c r="X303" s="2">
        <f t="shared" si="174"/>
        <v>-879.19999999999982</v>
      </c>
      <c r="Y303" s="2"/>
      <c r="Z303" s="19">
        <f t="shared" si="175"/>
        <v>-0.451601304671649</v>
      </c>
    </row>
    <row r="304" spans="1:26" s="23" customFormat="1" hidden="1" outlineLevel="1" x14ac:dyDescent="0.25">
      <c r="A304" s="44"/>
      <c r="B304" s="10" t="str">
        <f>CONCATENATE("          ", "4197", " - ", "NON-TAXABLE SALES-RETURNED CHE")</f>
        <v xml:space="preserve">          4197 - NON-TAXABLE SALES-RETURNED CHE</v>
      </c>
      <c r="C304" s="10"/>
      <c r="D304" s="2">
        <f t="shared" ref="D304:D305" si="177">0</f>
        <v>0</v>
      </c>
      <c r="E304" s="2"/>
      <c r="F304" s="19">
        <f t="shared" si="168"/>
        <v>0</v>
      </c>
      <c r="G304" s="2"/>
      <c r="H304" s="2">
        <f t="shared" si="176"/>
        <v>0</v>
      </c>
      <c r="I304" s="2"/>
      <c r="J304" s="19">
        <f t="shared" si="169"/>
        <v>0</v>
      </c>
      <c r="K304" s="2"/>
      <c r="L304" s="2">
        <f t="shared" si="170"/>
        <v>0</v>
      </c>
      <c r="M304" s="2"/>
      <c r="N304" s="19">
        <f t="shared" si="171"/>
        <v>0</v>
      </c>
      <c r="O304" s="10"/>
      <c r="P304" s="2">
        <f t="shared" ref="P304:P305" si="178">0</f>
        <v>0</v>
      </c>
      <c r="Q304" s="2"/>
      <c r="R304" s="19">
        <f t="shared" si="172"/>
        <v>0</v>
      </c>
      <c r="S304" s="2"/>
      <c r="T304" s="2">
        <f>--30</f>
        <v>30</v>
      </c>
      <c r="U304" s="2"/>
      <c r="V304" s="19">
        <f t="shared" si="173"/>
        <v>2.585630461446229E-6</v>
      </c>
      <c r="W304" s="2"/>
      <c r="X304" s="2">
        <f t="shared" si="174"/>
        <v>-30</v>
      </c>
      <c r="Y304" s="2"/>
      <c r="Z304" s="19">
        <f t="shared" si="175"/>
        <v>-1</v>
      </c>
    </row>
    <row r="305" spans="1:26" s="23" customFormat="1" hidden="1" outlineLevel="1" x14ac:dyDescent="0.25">
      <c r="A305" s="44"/>
      <c r="B305" s="10" t="str">
        <f>CONCATENATE("          ", "4198", " - ", "NON-TAXABLE SALES-GRAD RENTALS")</f>
        <v xml:space="preserve">          4198 - NON-TAXABLE SALES-GRAD RENTALS</v>
      </c>
      <c r="C305" s="10"/>
      <c r="D305" s="2">
        <f t="shared" si="177"/>
        <v>0</v>
      </c>
      <c r="E305" s="2"/>
      <c r="F305" s="19">
        <f t="shared" si="168"/>
        <v>0</v>
      </c>
      <c r="G305" s="2"/>
      <c r="H305" s="2">
        <f t="shared" si="176"/>
        <v>0</v>
      </c>
      <c r="I305" s="2"/>
      <c r="J305" s="19">
        <f t="shared" si="169"/>
        <v>0</v>
      </c>
      <c r="K305" s="2"/>
      <c r="L305" s="2">
        <f t="shared" si="170"/>
        <v>0</v>
      </c>
      <c r="M305" s="2"/>
      <c r="N305" s="19">
        <f t="shared" si="171"/>
        <v>0</v>
      </c>
      <c r="O305" s="10"/>
      <c r="P305" s="2">
        <f t="shared" si="178"/>
        <v>0</v>
      </c>
      <c r="Q305" s="2"/>
      <c r="R305" s="19">
        <f t="shared" si="172"/>
        <v>0</v>
      </c>
      <c r="S305" s="2"/>
      <c r="T305" s="2">
        <f>--163.76</f>
        <v>163.76</v>
      </c>
      <c r="U305" s="2"/>
      <c r="V305" s="19">
        <f t="shared" si="173"/>
        <v>1.4114094812214482E-5</v>
      </c>
      <c r="W305" s="2"/>
      <c r="X305" s="2">
        <f t="shared" si="174"/>
        <v>-163.76</v>
      </c>
      <c r="Y305" s="2"/>
      <c r="Z305" s="19">
        <f t="shared" si="175"/>
        <v>-1</v>
      </c>
    </row>
    <row r="306" spans="1:26" s="23" customFormat="1" hidden="1" outlineLevel="1" x14ac:dyDescent="0.25">
      <c r="A306" s="44"/>
      <c r="B306" s="10" t="str">
        <f>CONCATENATE("          ", "9150", " - ", "MISC. INCOME")</f>
        <v xml:space="preserve">          9150 - MISC. INCOME</v>
      </c>
      <c r="C306" s="10"/>
      <c r="D306" s="2">
        <f>--19962.55</f>
        <v>19962.55</v>
      </c>
      <c r="E306" s="2"/>
      <c r="F306" s="19">
        <f t="shared" si="168"/>
        <v>7.5461871805825587E-2</v>
      </c>
      <c r="G306" s="2"/>
      <c r="H306" s="2">
        <f>--56165.1</f>
        <v>56165.1</v>
      </c>
      <c r="I306" s="2"/>
      <c r="J306" s="19">
        <f t="shared" si="169"/>
        <v>0.26590551496477494</v>
      </c>
      <c r="K306" s="2"/>
      <c r="L306" s="2">
        <f t="shared" si="170"/>
        <v>-36202.550000000003</v>
      </c>
      <c r="M306" s="2"/>
      <c r="N306" s="19">
        <f t="shared" si="171"/>
        <v>-0.64457376555903945</v>
      </c>
      <c r="O306" s="10"/>
      <c r="P306" s="2">
        <f>--423382.84</f>
        <v>423382.84</v>
      </c>
      <c r="Q306" s="2"/>
      <c r="R306" s="19">
        <f t="shared" si="172"/>
        <v>7.7304545132219904E-2</v>
      </c>
      <c r="S306" s="2"/>
      <c r="T306" s="2">
        <f>--532203.21</f>
        <v>532203.21</v>
      </c>
      <c r="U306" s="2"/>
      <c r="V306" s="19">
        <f t="shared" si="173"/>
        <v>4.5869361048515474E-2</v>
      </c>
      <c r="W306" s="2"/>
      <c r="X306" s="2">
        <f t="shared" si="174"/>
        <v>-108820.36999999994</v>
      </c>
      <c r="Y306" s="2"/>
      <c r="Z306" s="19">
        <f t="shared" si="175"/>
        <v>-0.20447146495038981</v>
      </c>
    </row>
    <row r="307" spans="1:26" s="23" customFormat="1" hidden="1" outlineLevel="1" x14ac:dyDescent="0.25">
      <c r="A307" s="44"/>
      <c r="B307" s="10" t="str">
        <f>CONCATENATE("          ", "9151", " - ", "MISC. INCOME")</f>
        <v xml:space="preserve">          9151 - MISC. INCOME</v>
      </c>
      <c r="C307" s="10"/>
      <c r="D307" s="2">
        <f>0</f>
        <v>0</v>
      </c>
      <c r="E307" s="2"/>
      <c r="F307" s="19">
        <f t="shared" si="168"/>
        <v>0</v>
      </c>
      <c r="G307" s="2"/>
      <c r="H307" s="2">
        <f>-18698.07</f>
        <v>-18698.07</v>
      </c>
      <c r="I307" s="2"/>
      <c r="J307" s="19">
        <f t="shared" si="169"/>
        <v>-8.8523298849239276E-2</v>
      </c>
      <c r="K307" s="2"/>
      <c r="L307" s="2">
        <f t="shared" si="170"/>
        <v>18698.07</v>
      </c>
      <c r="M307" s="2"/>
      <c r="N307" s="19">
        <f t="shared" si="171"/>
        <v>-1</v>
      </c>
      <c r="O307" s="10"/>
      <c r="P307" s="2">
        <f>--295628.46</f>
        <v>295628.46000000002</v>
      </c>
      <c r="Q307" s="2"/>
      <c r="R307" s="19">
        <f t="shared" si="172"/>
        <v>5.3978152795325071E-2</v>
      </c>
      <c r="S307" s="2"/>
      <c r="T307" s="2">
        <f>--150694.63</f>
        <v>150694.63</v>
      </c>
      <c r="U307" s="2"/>
      <c r="V307" s="19">
        <f t="shared" si="173"/>
        <v>1.2988020856812292E-2</v>
      </c>
      <c r="W307" s="2"/>
      <c r="X307" s="2">
        <f t="shared" si="174"/>
        <v>144933.83000000002</v>
      </c>
      <c r="Y307" s="2"/>
      <c r="Z307" s="19">
        <f t="shared" si="175"/>
        <v>0.96177169684148678</v>
      </c>
    </row>
    <row r="308" spans="1:26" s="23" customFormat="1" hidden="1" outlineLevel="1" x14ac:dyDescent="0.25">
      <c r="A308" s="44"/>
      <c r="B308" s="10" t="str">
        <f>CONCATENATE("          ", "9152", " - ", "MISC. INCOME")</f>
        <v xml:space="preserve">          9152 - MISC. INCOME</v>
      </c>
      <c r="C308" s="10"/>
      <c r="D308" s="2">
        <f>--1755.54</f>
        <v>1755.54</v>
      </c>
      <c r="E308" s="2"/>
      <c r="F308" s="19">
        <f t="shared" si="168"/>
        <v>6.6362430866797606E-3</v>
      </c>
      <c r="G308" s="2"/>
      <c r="H308" s="2">
        <f>--762.71</f>
        <v>762.71</v>
      </c>
      <c r="I308" s="2"/>
      <c r="J308" s="19">
        <f t="shared" si="169"/>
        <v>3.6109398063705663E-3</v>
      </c>
      <c r="K308" s="2"/>
      <c r="L308" s="2">
        <f t="shared" si="170"/>
        <v>992.82999999999993</v>
      </c>
      <c r="M308" s="2"/>
      <c r="N308" s="19">
        <f t="shared" si="171"/>
        <v>1.3017136264110867</v>
      </c>
      <c r="O308" s="10"/>
      <c r="P308" s="2">
        <f>--7408.11</f>
        <v>7408.11</v>
      </c>
      <c r="Q308" s="2"/>
      <c r="R308" s="19">
        <f t="shared" si="172"/>
        <v>1.3526305738783592E-3</v>
      </c>
      <c r="S308" s="2"/>
      <c r="T308" s="2">
        <f>--10637.6</f>
        <v>10637.6</v>
      </c>
      <c r="U308" s="2"/>
      <c r="V308" s="19">
        <f t="shared" si="173"/>
        <v>9.1683008655601365E-4</v>
      </c>
      <c r="W308" s="2"/>
      <c r="X308" s="2">
        <f t="shared" si="174"/>
        <v>-3229.4900000000007</v>
      </c>
      <c r="Y308" s="2"/>
      <c r="Z308" s="19">
        <f t="shared" si="175"/>
        <v>-0.30359197563360163</v>
      </c>
    </row>
    <row r="309" spans="1:26" s="23" customFormat="1" hidden="1" outlineLevel="1" x14ac:dyDescent="0.25">
      <c r="A309" s="44"/>
      <c r="B309" s="10" t="str">
        <f>CONCATENATE("          ", "9153", " - ", "MISC. INCOME")</f>
        <v xml:space="preserve">          9153 - MISC. INCOME</v>
      </c>
      <c r="C309" s="10"/>
      <c r="D309" s="2">
        <f t="shared" ref="D309:D310" si="179">0</f>
        <v>0</v>
      </c>
      <c r="E309" s="2"/>
      <c r="F309" s="19">
        <f t="shared" si="168"/>
        <v>0</v>
      </c>
      <c r="G309" s="2"/>
      <c r="H309" s="2">
        <f t="shared" ref="H309:H311" si="180">0</f>
        <v>0</v>
      </c>
      <c r="I309" s="2"/>
      <c r="J309" s="19">
        <f t="shared" si="169"/>
        <v>0</v>
      </c>
      <c r="K309" s="2"/>
      <c r="L309" s="2">
        <f t="shared" si="170"/>
        <v>0</v>
      </c>
      <c r="M309" s="2"/>
      <c r="N309" s="19">
        <f t="shared" si="171"/>
        <v>0</v>
      </c>
      <c r="O309" s="10"/>
      <c r="P309" s="2">
        <f t="shared" ref="P309:P310" si="181">0</f>
        <v>0</v>
      </c>
      <c r="Q309" s="2"/>
      <c r="R309" s="19">
        <f t="shared" si="172"/>
        <v>0</v>
      </c>
      <c r="S309" s="2"/>
      <c r="T309" s="2">
        <f>--450</f>
        <v>450</v>
      </c>
      <c r="U309" s="2"/>
      <c r="V309" s="19">
        <f t="shared" si="173"/>
        <v>3.8784456921693434E-5</v>
      </c>
      <c r="W309" s="2"/>
      <c r="X309" s="2">
        <f t="shared" si="174"/>
        <v>-450</v>
      </c>
      <c r="Y309" s="2"/>
      <c r="Z309" s="19">
        <f t="shared" si="175"/>
        <v>-1</v>
      </c>
    </row>
    <row r="310" spans="1:26" s="23" customFormat="1" hidden="1" outlineLevel="1" x14ac:dyDescent="0.25">
      <c r="A310" s="44"/>
      <c r="B310" s="10" t="str">
        <f>CONCATENATE("          ", "9160", " - ", "MISC. INCOME")</f>
        <v xml:space="preserve">          9160 - MISC. INCOME</v>
      </c>
      <c r="C310" s="10"/>
      <c r="D310" s="2">
        <f t="shared" si="179"/>
        <v>0</v>
      </c>
      <c r="E310" s="2"/>
      <c r="F310" s="19">
        <f t="shared" si="168"/>
        <v>0</v>
      </c>
      <c r="G310" s="2"/>
      <c r="H310" s="2">
        <f t="shared" si="180"/>
        <v>0</v>
      </c>
      <c r="I310" s="2"/>
      <c r="J310" s="19">
        <f t="shared" si="169"/>
        <v>0</v>
      </c>
      <c r="K310" s="2"/>
      <c r="L310" s="2">
        <f t="shared" si="170"/>
        <v>0</v>
      </c>
      <c r="M310" s="2"/>
      <c r="N310" s="19">
        <f t="shared" si="171"/>
        <v>0</v>
      </c>
      <c r="O310" s="10"/>
      <c r="P310" s="2">
        <f t="shared" si="181"/>
        <v>0</v>
      </c>
      <c r="Q310" s="2"/>
      <c r="R310" s="19">
        <f t="shared" si="172"/>
        <v>0</v>
      </c>
      <c r="S310" s="2"/>
      <c r="T310" s="2">
        <f>--22475</f>
        <v>22475</v>
      </c>
      <c r="U310" s="2"/>
      <c r="V310" s="19">
        <f t="shared" si="173"/>
        <v>1.9370681540334667E-3</v>
      </c>
      <c r="W310" s="2"/>
      <c r="X310" s="2">
        <f t="shared" si="174"/>
        <v>-22475</v>
      </c>
      <c r="Y310" s="2"/>
      <c r="Z310" s="19">
        <f t="shared" si="175"/>
        <v>-1</v>
      </c>
    </row>
    <row r="311" spans="1:26" s="23" customFormat="1" hidden="1" outlineLevel="1" x14ac:dyDescent="0.25">
      <c r="A311" s="44"/>
      <c r="B311" s="10" t="str">
        <f>CONCATENATE("          ", "9163", " - ", "MISC. INCOME")</f>
        <v xml:space="preserve">          9163 - MISC. INCOME</v>
      </c>
      <c r="C311" s="10"/>
      <c r="D311" s="2">
        <f>--378760.49</f>
        <v>378760.49</v>
      </c>
      <c r="E311" s="2"/>
      <c r="F311" s="19">
        <f t="shared" si="168"/>
        <v>1.4317797847214753</v>
      </c>
      <c r="G311" s="2"/>
      <c r="H311" s="2">
        <f t="shared" si="180"/>
        <v>0</v>
      </c>
      <c r="I311" s="2"/>
      <c r="J311" s="19">
        <f t="shared" si="169"/>
        <v>0</v>
      </c>
      <c r="K311" s="2"/>
      <c r="L311" s="2">
        <f t="shared" si="170"/>
        <v>378760.49</v>
      </c>
      <c r="M311" s="2"/>
      <c r="N311" s="19">
        <f t="shared" si="171"/>
        <v>0</v>
      </c>
      <c r="O311" s="10"/>
      <c r="P311" s="2">
        <f>--727101.05</f>
        <v>727101.05</v>
      </c>
      <c r="Q311" s="2"/>
      <c r="R311" s="19">
        <f t="shared" si="172"/>
        <v>0.13275978765556365</v>
      </c>
      <c r="S311" s="2"/>
      <c r="T311" s="2">
        <f>--488733.84</f>
        <v>488733.84</v>
      </c>
      <c r="U311" s="2"/>
      <c r="V311" s="19">
        <f t="shared" si="173"/>
        <v>4.2122836808119589E-2</v>
      </c>
      <c r="W311" s="2"/>
      <c r="X311" s="2">
        <f t="shared" si="174"/>
        <v>238367.21000000002</v>
      </c>
      <c r="Y311" s="2"/>
      <c r="Z311" s="19">
        <f t="shared" si="175"/>
        <v>0.48772397262280837</v>
      </c>
    </row>
    <row r="312" spans="1:26" x14ac:dyDescent="0.25">
      <c r="A312" s="9"/>
      <c r="B312" s="11"/>
      <c r="C312" s="11"/>
      <c r="D312" s="3"/>
      <c r="E312" s="3"/>
      <c r="F312" s="8"/>
      <c r="G312" s="3"/>
      <c r="H312" s="3"/>
      <c r="I312" s="3"/>
      <c r="J312" s="8"/>
      <c r="K312" s="3"/>
      <c r="L312" s="3"/>
      <c r="M312" s="3"/>
      <c r="N312" s="8"/>
      <c r="O312" s="11"/>
      <c r="P312" s="3"/>
      <c r="Q312" s="3"/>
      <c r="R312" s="8"/>
      <c r="S312" s="3"/>
      <c r="T312" s="3"/>
      <c r="U312" s="3"/>
      <c r="V312" s="8"/>
      <c r="W312" s="3"/>
      <c r="X312" s="3"/>
      <c r="Y312" s="3"/>
      <c r="Z312" s="8"/>
    </row>
    <row r="313" spans="1:26" s="24" customFormat="1" x14ac:dyDescent="0.25">
      <c r="A313" s="11"/>
      <c r="B313" s="28" t="s">
        <v>276</v>
      </c>
      <c r="C313" s="28"/>
      <c r="D313" s="21">
        <f>+D172-D174+D302</f>
        <v>141823.93000000008</v>
      </c>
      <c r="E313" s="14"/>
      <c r="F313" s="22">
        <f>IF(D$12=0,0,D313/D$12)</f>
        <v>0.53611884376787478</v>
      </c>
      <c r="G313" s="14"/>
      <c r="H313" s="21">
        <f>+H172-H174+H302</f>
        <v>-360564.19999999995</v>
      </c>
      <c r="I313" s="14"/>
      <c r="J313" s="22">
        <f>IF(H$12=0,0,H313/H$12)</f>
        <v>-1.7070388778594194</v>
      </c>
      <c r="K313" s="15"/>
      <c r="L313" s="21">
        <f>+D313-H313</f>
        <v>502388.13</v>
      </c>
      <c r="M313" s="15"/>
      <c r="N313" s="22">
        <f>IF(H313=0,0,L313/H313)</f>
        <v>-1.3933389116279433</v>
      </c>
      <c r="O313" s="29"/>
      <c r="P313" s="21">
        <f>+P172-P174+P302</f>
        <v>68928.509999996284</v>
      </c>
      <c r="Q313" s="14"/>
      <c r="R313" s="22">
        <f>IF(P$12=0,0,P313/P$12)</f>
        <v>1.2585505619905103E-2</v>
      </c>
      <c r="S313" s="14"/>
      <c r="T313" s="21">
        <f>+T172-T174+T302</f>
        <v>792287.08000000217</v>
      </c>
      <c r="U313" s="14"/>
      <c r="V313" s="22">
        <f>IF(T$12=0,0,T313/T$12)</f>
        <v>6.8285386941943041E-2</v>
      </c>
      <c r="W313" s="15"/>
      <c r="X313" s="21">
        <f>+P313-T313</f>
        <v>-723358.57000000589</v>
      </c>
      <c r="Y313" s="15"/>
      <c r="Z313" s="22">
        <f>IF(T313=0,0,X313/T313)</f>
        <v>-0.91300058812015961</v>
      </c>
    </row>
    <row r="314" spans="1:26" x14ac:dyDescent="0.25">
      <c r="A314" s="9"/>
      <c r="B314" s="11"/>
      <c r="C314" s="9"/>
      <c r="D314" s="3"/>
      <c r="E314" s="3"/>
      <c r="F314" s="8"/>
      <c r="G314" s="3"/>
      <c r="H314" s="3"/>
      <c r="I314" s="3"/>
      <c r="J314" s="8"/>
      <c r="K314" s="3"/>
      <c r="L314" s="3"/>
      <c r="M314" s="3"/>
      <c r="N314" s="8"/>
      <c r="P314" s="3"/>
      <c r="Q314" s="3"/>
      <c r="R314" s="8"/>
      <c r="S314" s="3"/>
      <c r="T314" s="3"/>
      <c r="U314" s="3"/>
      <c r="V314" s="8"/>
      <c r="W314" s="3"/>
      <c r="X314" s="3"/>
      <c r="Y314" s="3"/>
      <c r="Z314" s="8"/>
    </row>
    <row r="315" spans="1:26" s="24" customFormat="1" x14ac:dyDescent="0.25">
      <c r="A315" s="51"/>
      <c r="B315" s="11" t="s">
        <v>127</v>
      </c>
      <c r="C315" s="11"/>
      <c r="D315" s="4">
        <v>402139.08</v>
      </c>
      <c r="E315" s="4"/>
      <c r="F315" s="13">
        <f>IF(D$12=0,0,D315/D$12)</f>
        <v>1.5201548751573644</v>
      </c>
      <c r="G315" s="4"/>
      <c r="H315" s="4">
        <v>407922.13</v>
      </c>
      <c r="I315" s="4"/>
      <c r="J315" s="13">
        <f>IF(H$12=0,0,H315/H$12)</f>
        <v>1.931248124603675</v>
      </c>
      <c r="K315" s="4"/>
      <c r="L315" s="4">
        <f>+D315-H315</f>
        <v>-5783.0499999999884</v>
      </c>
      <c r="M315" s="4"/>
      <c r="N315" s="13">
        <f>IF(H315=0,0,L315/H315)</f>
        <v>-1.4176847919479114E-2</v>
      </c>
      <c r="O315" s="11"/>
      <c r="P315" s="4">
        <v>1515953.62</v>
      </c>
      <c r="Q315" s="4"/>
      <c r="R315" s="13">
        <f>IF(P$12=0,0,P315/P$12)</f>
        <v>0.27679465005157539</v>
      </c>
      <c r="S315" s="4"/>
      <c r="T315" s="4">
        <v>1756894</v>
      </c>
      <c r="U315" s="4"/>
      <c r="V315" s="13">
        <f>IF(T$12=0,0,T315/T$12)</f>
        <v>0.15142262146440372</v>
      </c>
      <c r="W315" s="4"/>
      <c r="X315" s="4">
        <f>+P315-T315</f>
        <v>-240940.37999999989</v>
      </c>
      <c r="Y315" s="4"/>
      <c r="Z315" s="13">
        <f>IF(T315=0,0,X315/T315)</f>
        <v>-0.13713996405019308</v>
      </c>
    </row>
    <row r="316" spans="1:26" x14ac:dyDescent="0.25">
      <c r="A316" s="9"/>
      <c r="B316" s="11"/>
      <c r="C316" s="11"/>
      <c r="D316" s="3"/>
      <c r="E316" s="3"/>
      <c r="F316" s="8"/>
      <c r="G316" s="3"/>
      <c r="H316" s="3"/>
      <c r="I316" s="3"/>
      <c r="J316" s="8"/>
      <c r="K316" s="3"/>
      <c r="L316" s="3"/>
      <c r="M316" s="3"/>
      <c r="N316" s="8"/>
      <c r="O316" s="11"/>
      <c r="P316" s="3"/>
      <c r="Q316" s="3"/>
      <c r="R316" s="8"/>
      <c r="S316" s="3"/>
      <c r="T316" s="3"/>
      <c r="U316" s="3"/>
      <c r="V316" s="8"/>
      <c r="W316" s="3"/>
      <c r="X316" s="3"/>
      <c r="Y316" s="3"/>
      <c r="Z316" s="8"/>
    </row>
    <row r="317" spans="1:26" s="24" customFormat="1" ht="15.75" thickBot="1" x14ac:dyDescent="0.3">
      <c r="A317" s="11"/>
      <c r="B317" s="28" t="s">
        <v>125</v>
      </c>
      <c r="C317" s="28"/>
      <c r="D317" s="34">
        <f>+D313-D315</f>
        <v>-260315.14999999994</v>
      </c>
      <c r="E317" s="14"/>
      <c r="F317" s="31">
        <f>IF(D$12=0,0,D317/D$12)</f>
        <v>-0.98403603138948958</v>
      </c>
      <c r="G317" s="14"/>
      <c r="H317" s="34">
        <f>+H313-H315</f>
        <v>-768486.33</v>
      </c>
      <c r="I317" s="14"/>
      <c r="J317" s="31">
        <f>IF(H$12=0,0,H317/H$12)</f>
        <v>-3.6382870024630947</v>
      </c>
      <c r="K317" s="15"/>
      <c r="L317" s="34">
        <f>D317-H317</f>
        <v>508171.18000000005</v>
      </c>
      <c r="M317" s="15"/>
      <c r="N317" s="31">
        <f>IF(H317=0,0,L317/H317)</f>
        <v>-0.66126248465603821</v>
      </c>
      <c r="O317" s="29"/>
      <c r="P317" s="34">
        <f>+P313-P315</f>
        <v>-1447025.1100000038</v>
      </c>
      <c r="Q317" s="14"/>
      <c r="R317" s="31">
        <f>IF(P$12=0,0,P317/P$12)</f>
        <v>-0.26420914443167032</v>
      </c>
      <c r="S317" s="14"/>
      <c r="T317" s="34">
        <f>+T313-T315</f>
        <v>-964606.91999999783</v>
      </c>
      <c r="U317" s="14"/>
      <c r="V317" s="31">
        <f>IF(T$12=0,0,T317/T$12)</f>
        <v>-8.3137234522460676E-2</v>
      </c>
      <c r="W317" s="15"/>
      <c r="X317" s="34">
        <f>P317-T317</f>
        <v>-482418.190000006</v>
      </c>
      <c r="Y317" s="15"/>
      <c r="Z317" s="31">
        <f>IF(T317=0,0,X317/T317)</f>
        <v>0.50011893964020815</v>
      </c>
    </row>
    <row r="318" spans="1:26" ht="15.75" thickTop="1" x14ac:dyDescent="0.25">
      <c r="A318" s="9"/>
      <c r="B318" s="9"/>
      <c r="C318" s="9"/>
      <c r="D318" s="3"/>
      <c r="E318" s="3"/>
      <c r="F318" s="8"/>
      <c r="G318" s="3"/>
      <c r="H318" s="3"/>
      <c r="I318" s="3"/>
      <c r="J318" s="8"/>
      <c r="K318" s="3"/>
      <c r="L318" s="3"/>
      <c r="M318" s="3"/>
      <c r="N318" s="8"/>
      <c r="P318" s="3"/>
      <c r="Q318" s="3"/>
      <c r="R318" s="8"/>
      <c r="S318" s="3"/>
      <c r="T318" s="3"/>
      <c r="U318" s="3"/>
      <c r="V318" s="8"/>
      <c r="W318" s="3"/>
      <c r="X318" s="3"/>
      <c r="Y318" s="3"/>
      <c r="Z318" s="8"/>
    </row>
    <row r="319" spans="1:26" x14ac:dyDescent="0.25">
      <c r="A319" s="9"/>
      <c r="B319" s="9"/>
      <c r="C319" s="9"/>
      <c r="D319" s="3"/>
      <c r="E319" s="3"/>
      <c r="F319" s="8"/>
      <c r="G319" s="3"/>
      <c r="H319" s="3"/>
      <c r="I319" s="3"/>
      <c r="J319" s="8"/>
      <c r="K319" s="3"/>
      <c r="L319" s="3"/>
      <c r="M319" s="3"/>
      <c r="N319" s="8"/>
      <c r="P319" s="3"/>
      <c r="Q319" s="3"/>
      <c r="R319" s="8"/>
      <c r="S319" s="3"/>
      <c r="T319" s="3"/>
      <c r="U319" s="3"/>
      <c r="V319" s="8"/>
      <c r="W319" s="3"/>
      <c r="X319" s="3"/>
      <c r="Y319" s="3"/>
      <c r="Z319" s="8"/>
    </row>
    <row r="320" spans="1:26" s="24" customFormat="1" ht="15.75" thickBot="1" x14ac:dyDescent="0.3">
      <c r="A320" s="11"/>
      <c r="B320" s="28" t="s">
        <v>293</v>
      </c>
      <c r="C320" s="28"/>
      <c r="D320" s="33">
        <f>SUM(D317:D319)</f>
        <v>-260315.14999999994</v>
      </c>
      <c r="E320" s="14"/>
      <c r="F320" s="35">
        <f>IF(D$12=0,0,D320/D$12)</f>
        <v>-0.98403603138948958</v>
      </c>
      <c r="G320" s="14"/>
      <c r="H320" s="33">
        <f>SUM(H317:H319)</f>
        <v>-768486.33</v>
      </c>
      <c r="I320" s="14"/>
      <c r="J320" s="35">
        <f>IF(H$12=0,0,H320/H$12)</f>
        <v>-3.6382870024630947</v>
      </c>
      <c r="K320" s="15"/>
      <c r="L320" s="33">
        <f>+D320-H320</f>
        <v>508171.18000000005</v>
      </c>
      <c r="M320" s="15"/>
      <c r="N320" s="35">
        <f>IF(H320=0,0,L320/H320)</f>
        <v>-0.66126248465603821</v>
      </c>
      <c r="O320" s="29"/>
      <c r="P320" s="33">
        <f>SUM(P317:P319)</f>
        <v>-1447025.1100000038</v>
      </c>
      <c r="Q320" s="14"/>
      <c r="R320" s="35">
        <f>IF(P$12=0,0,P320/P$12)</f>
        <v>-0.26420914443167032</v>
      </c>
      <c r="S320" s="14"/>
      <c r="T320" s="33">
        <f>SUM(T317:T319)</f>
        <v>-964606.91999999783</v>
      </c>
      <c r="U320" s="14"/>
      <c r="V320" s="35">
        <f>IF(T$12=0,0,T320/T$12)</f>
        <v>-8.3137234522460676E-2</v>
      </c>
      <c r="W320" s="15"/>
      <c r="X320" s="33">
        <f>+P320-T320</f>
        <v>-482418.190000006</v>
      </c>
      <c r="Y320" s="15"/>
      <c r="Z320" s="35">
        <f>IF(T320=0,0,X320/T320)</f>
        <v>0.50011893964020815</v>
      </c>
    </row>
    <row r="321" spans="1:24" ht="15.75" thickTop="1" x14ac:dyDescent="0.25">
      <c r="A321" s="9"/>
      <c r="C321" s="9"/>
      <c r="D321" s="18"/>
      <c r="E321" s="18"/>
      <c r="G321" s="18"/>
      <c r="H321" s="18"/>
      <c r="I321" s="18"/>
      <c r="J321" s="43"/>
      <c r="K321" s="18"/>
      <c r="L321" s="18"/>
      <c r="M321" s="18"/>
      <c r="P321" s="18"/>
      <c r="Q321" s="18"/>
      <c r="R321" s="43"/>
      <c r="S321" s="18"/>
      <c r="T321" s="18"/>
      <c r="U321" s="18"/>
      <c r="V321" s="43"/>
      <c r="W321" s="18"/>
      <c r="X321" s="18"/>
    </row>
    <row r="322" spans="1:24" x14ac:dyDescent="0.25">
      <c r="A322" s="9"/>
      <c r="B322" s="56">
        <v>44454.698528356479</v>
      </c>
      <c r="D322" s="18"/>
      <c r="E322" s="18"/>
      <c r="G322" s="18"/>
      <c r="H322" s="18"/>
      <c r="I322" s="18"/>
      <c r="J322" s="43"/>
      <c r="K322" s="18"/>
      <c r="L322" s="18"/>
      <c r="M322" s="18"/>
      <c r="P322" s="18"/>
      <c r="Q322" s="18"/>
      <c r="R322" s="43"/>
      <c r="S322" s="18"/>
      <c r="T322" s="18"/>
      <c r="U322" s="18"/>
      <c r="V322" s="43"/>
      <c r="W322" s="18"/>
      <c r="X322" s="18"/>
    </row>
    <row r="323" spans="1:24" x14ac:dyDescent="0.25">
      <c r="A323" s="9"/>
      <c r="B323" s="55" t="s">
        <v>56</v>
      </c>
      <c r="D323" s="18"/>
      <c r="E323" s="18"/>
      <c r="G323" s="18"/>
      <c r="H323" s="18"/>
      <c r="I323" s="18"/>
      <c r="J323" s="43"/>
      <c r="K323" s="18"/>
      <c r="L323" s="18"/>
      <c r="M323" s="18"/>
      <c r="P323" s="18"/>
      <c r="Q323" s="18"/>
      <c r="R323" s="43"/>
      <c r="S323" s="18"/>
      <c r="T323" s="18"/>
      <c r="U323" s="18"/>
      <c r="V323" s="43"/>
      <c r="W323" s="18"/>
      <c r="X323" s="18"/>
    </row>
    <row r="324" spans="1:24" x14ac:dyDescent="0.25">
      <c r="A324" s="9"/>
      <c r="B324" s="60"/>
      <c r="D324" s="18"/>
      <c r="E324" s="18"/>
      <c r="G324" s="18"/>
      <c r="H324" s="18"/>
      <c r="I324" s="18"/>
      <c r="J324" s="43"/>
      <c r="K324" s="18"/>
      <c r="L324" s="18"/>
      <c r="M324" s="18"/>
      <c r="P324" s="18"/>
      <c r="Q324" s="18"/>
      <c r="R324" s="43"/>
      <c r="S324" s="18"/>
      <c r="T324" s="18"/>
      <c r="U324" s="18"/>
      <c r="V324" s="43"/>
      <c r="W324" s="18"/>
      <c r="X324" s="18"/>
    </row>
    <row r="325" spans="1:24" x14ac:dyDescent="0.25">
      <c r="D325" s="18"/>
      <c r="E325" s="18"/>
      <c r="G325" s="18"/>
      <c r="H325" s="18"/>
      <c r="I325" s="18"/>
      <c r="J325" s="43"/>
      <c r="K325" s="18"/>
      <c r="L325" s="18"/>
      <c r="M325" s="18"/>
      <c r="P325" s="18"/>
      <c r="Q325" s="18"/>
      <c r="R325" s="43"/>
      <c r="S325" s="18"/>
      <c r="T325" s="18"/>
      <c r="U325" s="18"/>
      <c r="V325" s="43"/>
      <c r="W325" s="18"/>
      <c r="X325" s="18"/>
    </row>
  </sheetData>
  <pageMargins left="0.25" right="0.25" top="0.75" bottom="0.75" header="0.3" footer="0.3"/>
  <pageSetup scale="55" fitToWidth="2" orientation="landscape"/>
  <drawing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FFFF00"/>
    <outlinePr summaryBelow="0" summaryRight="0"/>
  </sheetPr>
  <dimension ref="A2:Z316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62" t="s">
        <v>23</v>
      </c>
    </row>
    <row r="3" spans="1:26" x14ac:dyDescent="0.25">
      <c r="D3" s="62" t="s">
        <v>236</v>
      </c>
      <c r="E3" s="17"/>
      <c r="F3" s="46"/>
      <c r="G3" s="17"/>
      <c r="H3" s="17"/>
      <c r="I3" s="17"/>
      <c r="J3" s="38"/>
      <c r="K3" s="17"/>
      <c r="L3" s="17"/>
      <c r="M3" s="17"/>
      <c r="N3" s="46"/>
      <c r="O3" s="53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2" t="str">
        <f>CONCATENATE("Period ",RIGHT(202112,2),", ",2021)</f>
        <v>Period 12, 2021</v>
      </c>
      <c r="E4" s="17"/>
      <c r="F4" s="46"/>
      <c r="G4" s="17"/>
      <c r="H4" s="17"/>
      <c r="I4" s="17"/>
      <c r="J4" s="38"/>
      <c r="K4" s="17"/>
      <c r="L4" s="17"/>
      <c r="M4" s="17"/>
      <c r="N4" s="46"/>
      <c r="O4" s="53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4"/>
      <c r="D5" s="63">
        <v>44377</v>
      </c>
      <c r="E5" s="17"/>
      <c r="F5" s="46"/>
      <c r="G5" s="17"/>
      <c r="H5" s="17"/>
      <c r="I5" s="17"/>
      <c r="J5" s="38"/>
      <c r="K5" s="17"/>
      <c r="L5" s="17"/>
      <c r="M5" s="17"/>
      <c r="N5" s="46"/>
      <c r="O5" s="53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4"/>
      <c r="B6" s="48"/>
      <c r="C6" s="48"/>
      <c r="D6" s="24" t="s">
        <v>255</v>
      </c>
      <c r="E6" s="17"/>
      <c r="F6" s="46"/>
      <c r="G6" s="17"/>
      <c r="H6" s="17"/>
      <c r="I6" s="17"/>
      <c r="J6" s="38"/>
      <c r="K6" s="17"/>
      <c r="L6" s="17"/>
      <c r="M6" s="17"/>
      <c r="N6" s="46"/>
      <c r="O6" s="54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9"/>
    </row>
    <row r="8" spans="1:26" x14ac:dyDescent="0.25">
      <c r="B8" s="59"/>
    </row>
    <row r="9" spans="1:26" x14ac:dyDescent="0.25">
      <c r="B9" s="9"/>
      <c r="C9" s="9"/>
      <c r="D9" s="16" t="s">
        <v>291</v>
      </c>
      <c r="E9" s="16"/>
      <c r="F9" s="39"/>
      <c r="G9" s="16"/>
      <c r="H9" s="16"/>
      <c r="I9" s="16"/>
      <c r="J9" s="49"/>
      <c r="K9" s="16"/>
      <c r="L9" s="16"/>
      <c r="M9" s="16"/>
      <c r="N9" s="39"/>
      <c r="P9" s="16" t="s">
        <v>39</v>
      </c>
      <c r="Q9" s="16"/>
      <c r="R9" s="39"/>
      <c r="S9" s="16"/>
      <c r="T9" s="16"/>
      <c r="U9" s="16"/>
      <c r="V9" s="49"/>
      <c r="W9" s="16"/>
      <c r="X9" s="16"/>
      <c r="Y9" s="16"/>
      <c r="Z9" s="39"/>
    </row>
    <row r="10" spans="1:26" x14ac:dyDescent="0.25">
      <c r="A10" s="11"/>
      <c r="B10" s="58"/>
      <c r="C10" s="11"/>
      <c r="D10" s="42" t="s">
        <v>57</v>
      </c>
      <c r="E10" s="36"/>
      <c r="F10" s="30" t="s">
        <v>40</v>
      </c>
      <c r="G10" s="36"/>
      <c r="H10" s="50" t="s">
        <v>237</v>
      </c>
      <c r="I10" s="36"/>
      <c r="J10" s="30" t="s">
        <v>40</v>
      </c>
      <c r="K10" s="11"/>
      <c r="L10" s="42" t="s">
        <v>126</v>
      </c>
      <c r="M10" s="11"/>
      <c r="N10" s="30" t="s">
        <v>257</v>
      </c>
      <c r="O10" s="11"/>
      <c r="P10" s="61" t="s">
        <v>57</v>
      </c>
      <c r="Q10" s="36"/>
      <c r="R10" s="30" t="s">
        <v>40</v>
      </c>
      <c r="S10" s="36"/>
      <c r="T10" s="50" t="s">
        <v>237</v>
      </c>
      <c r="U10" s="36"/>
      <c r="V10" s="30" t="s">
        <v>40</v>
      </c>
      <c r="W10" s="11"/>
      <c r="X10" s="42" t="s">
        <v>126</v>
      </c>
      <c r="Y10" s="11"/>
      <c r="Z10" s="30" t="s">
        <v>257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4" customFormat="1" collapsed="1" x14ac:dyDescent="0.25">
      <c r="A12" s="11"/>
      <c r="B12" s="29" t="s">
        <v>139</v>
      </c>
      <c r="C12" s="11"/>
      <c r="D12" s="4">
        <f>SUM(OSRRefD13x_0)</f>
        <v>264504.17999999993</v>
      </c>
      <c r="E12" s="4"/>
      <c r="F12" s="13"/>
      <c r="G12" s="4"/>
      <c r="H12" s="4">
        <f>SUM(OSRRefH13x_0)</f>
        <v>211102.55000000005</v>
      </c>
      <c r="I12" s="4"/>
      <c r="J12" s="13"/>
      <c r="K12" s="4"/>
      <c r="L12" s="4">
        <f t="shared" ref="L12:L112" si="0">+D12-H12</f>
        <v>53401.629999999888</v>
      </c>
      <c r="M12" s="4"/>
      <c r="N12" s="13">
        <f t="shared" ref="N12:N112" si="1">IF(H12=0,0,L12/H12)</f>
        <v>0.25296534788423863</v>
      </c>
      <c r="O12" s="11"/>
      <c r="P12" s="4">
        <f>SUM(OSRRefP13x_0)</f>
        <v>5473905.9399999985</v>
      </c>
      <c r="Q12" s="4"/>
      <c r="R12" s="13"/>
      <c r="S12" s="4"/>
      <c r="T12" s="4">
        <f>SUM(OSRRefT13x_0)</f>
        <v>9237857.3600000013</v>
      </c>
      <c r="U12" s="4"/>
      <c r="V12" s="13"/>
      <c r="W12" s="4"/>
      <c r="X12" s="4">
        <f t="shared" ref="X12:X112" si="2">+P12-T12</f>
        <v>-3763951.4200000027</v>
      </c>
      <c r="Y12" s="4"/>
      <c r="Z12" s="13">
        <f t="shared" ref="Z12:Z112" si="3">IF(T12=0,0,X12/T12)</f>
        <v>-0.40744853198296216</v>
      </c>
    </row>
    <row r="13" spans="1:26" s="23" customFormat="1" hidden="1" outlineLevel="1" x14ac:dyDescent="0.25">
      <c r="A13" s="44"/>
      <c r="B13" s="10" t="str">
        <f>CONCATENATE("          ", "4000", " - ", "TAXABLE SALES")</f>
        <v xml:space="preserve">          4000 - TAXABLE SALES</v>
      </c>
      <c r="C13" s="10"/>
      <c r="D13" s="2">
        <f>-6560.42</f>
        <v>-6560.42</v>
      </c>
      <c r="E13" s="2"/>
      <c r="F13" s="19"/>
      <c r="G13" s="2"/>
      <c r="H13" s="2">
        <f>0</f>
        <v>0</v>
      </c>
      <c r="I13" s="2"/>
      <c r="J13" s="19"/>
      <c r="K13" s="2"/>
      <c r="L13" s="2">
        <f t="shared" si="0"/>
        <v>-6560.42</v>
      </c>
      <c r="M13" s="2"/>
      <c r="N13" s="19">
        <f t="shared" si="1"/>
        <v>0</v>
      </c>
      <c r="O13" s="10"/>
      <c r="P13" s="2">
        <f>-151009.45</f>
        <v>-151009.45000000001</v>
      </c>
      <c r="Q13" s="2"/>
      <c r="R13" s="19"/>
      <c r="S13" s="2"/>
      <c r="T13" s="2">
        <f>0</f>
        <v>0</v>
      </c>
      <c r="U13" s="2"/>
      <c r="V13" s="19"/>
      <c r="W13" s="2"/>
      <c r="X13" s="2">
        <f t="shared" si="2"/>
        <v>-151009.45000000001</v>
      </c>
      <c r="Y13" s="2"/>
      <c r="Z13" s="19">
        <f t="shared" si="3"/>
        <v>0</v>
      </c>
    </row>
    <row r="14" spans="1:26" s="23" customFormat="1" hidden="1" outlineLevel="1" x14ac:dyDescent="0.25">
      <c r="A14" s="44"/>
      <c r="B14" s="10" t="str">
        <f>CONCATENATE("          ", "4001", " - ", "TAXABLE SALES-NEW TEXT")</f>
        <v xml:space="preserve">          4001 - TAXABLE SALES-NEW TEXT</v>
      </c>
      <c r="C14" s="10"/>
      <c r="D14" s="2">
        <f>--9691.34</f>
        <v>9691.34</v>
      </c>
      <c r="E14" s="2"/>
      <c r="F14" s="19"/>
      <c r="G14" s="2"/>
      <c r="H14" s="2">
        <f>--15904.07</f>
        <v>15904.07</v>
      </c>
      <c r="I14" s="2"/>
      <c r="J14" s="19"/>
      <c r="K14" s="2"/>
      <c r="L14" s="2">
        <f t="shared" si="0"/>
        <v>-6212.73</v>
      </c>
      <c r="M14" s="2"/>
      <c r="N14" s="19">
        <f t="shared" si="1"/>
        <v>-0.39063774241436311</v>
      </c>
      <c r="O14" s="10"/>
      <c r="P14" s="2">
        <f>--1308779.9</f>
        <v>1308779.8999999999</v>
      </c>
      <c r="Q14" s="2"/>
      <c r="R14" s="19"/>
      <c r="S14" s="2"/>
      <c r="T14" s="2">
        <f>--2451163.71</f>
        <v>2451163.71</v>
      </c>
      <c r="U14" s="2"/>
      <c r="V14" s="19"/>
      <c r="W14" s="2"/>
      <c r="X14" s="2">
        <f t="shared" si="2"/>
        <v>-1142383.81</v>
      </c>
      <c r="Y14" s="2"/>
      <c r="Z14" s="19">
        <f t="shared" si="3"/>
        <v>-0.46605773630680919</v>
      </c>
    </row>
    <row r="15" spans="1:26" s="23" customFormat="1" hidden="1" outlineLevel="1" x14ac:dyDescent="0.25">
      <c r="A15" s="44"/>
      <c r="B15" s="10" t="str">
        <f>CONCATENATE("          ", "4002", " - ", "TAXABLE SALES-USED TEXT")</f>
        <v xml:space="preserve">          4002 - TAXABLE SALES-USED TEXT</v>
      </c>
      <c r="C15" s="10"/>
      <c r="D15" s="2">
        <f>--6642.8</f>
        <v>6642.8</v>
      </c>
      <c r="E15" s="2"/>
      <c r="F15" s="19"/>
      <c r="G15" s="2"/>
      <c r="H15" s="2">
        <f>--15376.45</f>
        <v>15376.45</v>
      </c>
      <c r="I15" s="2"/>
      <c r="J15" s="19"/>
      <c r="K15" s="2"/>
      <c r="L15" s="2">
        <f t="shared" si="0"/>
        <v>-8733.6500000000015</v>
      </c>
      <c r="M15" s="2"/>
      <c r="N15" s="19">
        <f t="shared" si="1"/>
        <v>-0.56798871000783668</v>
      </c>
      <c r="O15" s="10"/>
      <c r="P15" s="2">
        <f>--596913.27</f>
        <v>596913.27</v>
      </c>
      <c r="Q15" s="2"/>
      <c r="R15" s="19"/>
      <c r="S15" s="2"/>
      <c r="T15" s="2">
        <f>--1271803.19</f>
        <v>1271803.19</v>
      </c>
      <c r="U15" s="2"/>
      <c r="V15" s="19"/>
      <c r="W15" s="2"/>
      <c r="X15" s="2">
        <f t="shared" si="2"/>
        <v>-674889.91999999993</v>
      </c>
      <c r="Y15" s="2"/>
      <c r="Z15" s="19">
        <f t="shared" si="3"/>
        <v>-0.53065594213519773</v>
      </c>
    </row>
    <row r="16" spans="1:26" s="23" customFormat="1" hidden="1" outlineLevel="1" x14ac:dyDescent="0.25">
      <c r="A16" s="44"/>
      <c r="B16" s="10" t="str">
        <f>CONCATENATE("          ", "4003", " - ", "TAXABLE SALES-RENTAL TEXT")</f>
        <v xml:space="preserve">          4003 - TAXABLE SALES-RENTAL TEXT</v>
      </c>
      <c r="C16" s="10"/>
      <c r="D16" s="2">
        <f>--1103.98</f>
        <v>1103.98</v>
      </c>
      <c r="E16" s="2"/>
      <c r="F16" s="19"/>
      <c r="G16" s="2"/>
      <c r="H16" s="2">
        <f>--895</f>
        <v>895</v>
      </c>
      <c r="I16" s="2"/>
      <c r="J16" s="19"/>
      <c r="K16" s="2"/>
      <c r="L16" s="2">
        <f t="shared" si="0"/>
        <v>208.98000000000002</v>
      </c>
      <c r="M16" s="2"/>
      <c r="N16" s="19">
        <f t="shared" si="1"/>
        <v>0.23349720670391064</v>
      </c>
      <c r="O16" s="10"/>
      <c r="P16" s="2">
        <f>--19596.82</f>
        <v>19596.82</v>
      </c>
      <c r="Q16" s="2"/>
      <c r="R16" s="19"/>
      <c r="S16" s="2"/>
      <c r="T16" s="2">
        <f>--34659.88</f>
        <v>34659.879999999997</v>
      </c>
      <c r="U16" s="2"/>
      <c r="V16" s="19"/>
      <c r="W16" s="2"/>
      <c r="X16" s="2">
        <f t="shared" si="2"/>
        <v>-15063.059999999998</v>
      </c>
      <c r="Y16" s="2"/>
      <c r="Z16" s="19">
        <f t="shared" si="3"/>
        <v>-0.43459642676200838</v>
      </c>
    </row>
    <row r="17" spans="1:26" s="23" customFormat="1" hidden="1" outlineLevel="1" x14ac:dyDescent="0.25">
      <c r="A17" s="44"/>
      <c r="B17" s="10" t="str">
        <f>CONCATENATE("          ", "4004", " - ", "TAXABLE SALES-DIGITAL TEXT")</f>
        <v xml:space="preserve">          4004 - TAXABLE SALES-DIGITAL TEXT</v>
      </c>
      <c r="C17" s="10"/>
      <c r="D17" s="2">
        <f t="shared" ref="D17:D18" si="4">0</f>
        <v>0</v>
      </c>
      <c r="E17" s="2"/>
      <c r="F17" s="19"/>
      <c r="G17" s="2"/>
      <c r="H17" s="2">
        <f t="shared" ref="H17:H18" si="5">0</f>
        <v>0</v>
      </c>
      <c r="I17" s="2"/>
      <c r="J17" s="19"/>
      <c r="K17" s="2"/>
      <c r="L17" s="2">
        <f t="shared" si="0"/>
        <v>0</v>
      </c>
      <c r="M17" s="2"/>
      <c r="N17" s="19">
        <f t="shared" si="1"/>
        <v>0</v>
      </c>
      <c r="O17" s="10"/>
      <c r="P17" s="2">
        <f>--2659.66</f>
        <v>2659.66</v>
      </c>
      <c r="Q17" s="2"/>
      <c r="R17" s="19"/>
      <c r="S17" s="2"/>
      <c r="T17" s="2">
        <f>--42195.3</f>
        <v>42195.3</v>
      </c>
      <c r="U17" s="2"/>
      <c r="V17" s="19"/>
      <c r="W17" s="2"/>
      <c r="X17" s="2">
        <f t="shared" si="2"/>
        <v>-39535.64</v>
      </c>
      <c r="Y17" s="2"/>
      <c r="Z17" s="19">
        <f t="shared" si="3"/>
        <v>-0.93696786134948673</v>
      </c>
    </row>
    <row r="18" spans="1:26" s="23" customFormat="1" hidden="1" outlineLevel="1" x14ac:dyDescent="0.25">
      <c r="A18" s="44"/>
      <c r="B18" s="10" t="str">
        <f>CONCATENATE("          ", "4011", " - ", "TAXABLE SALES-NO VALUE TEXT")</f>
        <v xml:space="preserve">          4011 - TAXABLE SALES-NO VALUE TEXT</v>
      </c>
      <c r="C18" s="10"/>
      <c r="D18" s="2">
        <f t="shared" si="4"/>
        <v>0</v>
      </c>
      <c r="E18" s="2"/>
      <c r="F18" s="19"/>
      <c r="G18" s="2"/>
      <c r="H18" s="2">
        <f t="shared" si="5"/>
        <v>0</v>
      </c>
      <c r="I18" s="2"/>
      <c r="J18" s="19"/>
      <c r="K18" s="2"/>
      <c r="L18" s="2">
        <f t="shared" si="0"/>
        <v>0</v>
      </c>
      <c r="M18" s="2"/>
      <c r="N18" s="19">
        <f t="shared" si="1"/>
        <v>0</v>
      </c>
      <c r="O18" s="10"/>
      <c r="P18" s="2">
        <f>0</f>
        <v>0</v>
      </c>
      <c r="Q18" s="2"/>
      <c r="R18" s="19"/>
      <c r="S18" s="2"/>
      <c r="T18" s="2">
        <f>--1052.48</f>
        <v>1052.48</v>
      </c>
      <c r="U18" s="2"/>
      <c r="V18" s="19"/>
      <c r="W18" s="2"/>
      <c r="X18" s="2">
        <f t="shared" si="2"/>
        <v>-1052.48</v>
      </c>
      <c r="Y18" s="2"/>
      <c r="Z18" s="19">
        <f t="shared" si="3"/>
        <v>-1</v>
      </c>
    </row>
    <row r="19" spans="1:26" s="23" customFormat="1" hidden="1" outlineLevel="1" x14ac:dyDescent="0.25">
      <c r="A19" s="44"/>
      <c r="B19" s="10" t="str">
        <f>CONCATENATE("          ", "4013", " - ", "TAXABLE SALES-TRADE BOOKS")</f>
        <v xml:space="preserve">          4013 - TAXABLE SALES-TRADE BOOKS</v>
      </c>
      <c r="C19" s="10"/>
      <c r="D19" s="2">
        <f>--92.84</f>
        <v>92.84</v>
      </c>
      <c r="E19" s="2"/>
      <c r="F19" s="19"/>
      <c r="G19" s="2"/>
      <c r="H19" s="2">
        <f>--64.99</f>
        <v>64.989999999999995</v>
      </c>
      <c r="I19" s="2"/>
      <c r="J19" s="19"/>
      <c r="K19" s="2"/>
      <c r="L19" s="2">
        <f t="shared" si="0"/>
        <v>27.850000000000009</v>
      </c>
      <c r="M19" s="2"/>
      <c r="N19" s="19">
        <f t="shared" si="1"/>
        <v>0.42852746576396383</v>
      </c>
      <c r="O19" s="10"/>
      <c r="P19" s="2">
        <f>--1418.63</f>
        <v>1418.63</v>
      </c>
      <c r="Q19" s="2"/>
      <c r="R19" s="19"/>
      <c r="S19" s="2"/>
      <c r="T19" s="2">
        <f>--2778.35</f>
        <v>2778.35</v>
      </c>
      <c r="U19" s="2"/>
      <c r="V19" s="19"/>
      <c r="W19" s="2"/>
      <c r="X19" s="2">
        <f t="shared" si="2"/>
        <v>-1359.7199999999998</v>
      </c>
      <c r="Y19" s="2"/>
      <c r="Z19" s="19">
        <f t="shared" si="3"/>
        <v>-0.48939838393290974</v>
      </c>
    </row>
    <row r="20" spans="1:26" s="23" customFormat="1" hidden="1" outlineLevel="1" x14ac:dyDescent="0.25">
      <c r="A20" s="44"/>
      <c r="B20" s="10" t="str">
        <f>CONCATENATE("          ", "4014", " - ", "TAXABLE SALES-REMAINDERS")</f>
        <v xml:space="preserve">          4014 - TAXABLE SALES-REMAINDERS</v>
      </c>
      <c r="C20" s="10"/>
      <c r="D20" s="2">
        <f>--31.84</f>
        <v>31.84</v>
      </c>
      <c r="E20" s="2"/>
      <c r="F20" s="19"/>
      <c r="G20" s="2"/>
      <c r="H20" s="2">
        <f>--13.9</f>
        <v>13.9</v>
      </c>
      <c r="I20" s="2"/>
      <c r="J20" s="19"/>
      <c r="K20" s="2"/>
      <c r="L20" s="2">
        <f t="shared" si="0"/>
        <v>17.939999999999998</v>
      </c>
      <c r="M20" s="2"/>
      <c r="N20" s="19">
        <f t="shared" si="1"/>
        <v>1.2906474820143883</v>
      </c>
      <c r="O20" s="10"/>
      <c r="P20" s="2">
        <f>--547.56</f>
        <v>547.55999999999995</v>
      </c>
      <c r="Q20" s="2"/>
      <c r="R20" s="19"/>
      <c r="S20" s="2"/>
      <c r="T20" s="2">
        <f>--1233.88</f>
        <v>1233.8800000000001</v>
      </c>
      <c r="U20" s="2"/>
      <c r="V20" s="19"/>
      <c r="W20" s="2"/>
      <c r="X20" s="2">
        <f t="shared" si="2"/>
        <v>-686.32000000000016</v>
      </c>
      <c r="Y20" s="2"/>
      <c r="Z20" s="19">
        <f t="shared" si="3"/>
        <v>-0.55622913087172177</v>
      </c>
    </row>
    <row r="21" spans="1:26" s="23" customFormat="1" hidden="1" outlineLevel="1" x14ac:dyDescent="0.25">
      <c r="A21" s="44"/>
      <c r="B21" s="10" t="str">
        <f>CONCATENATE("          ", "4017", " - ", "TAXABLE SALES-DORM/HOUSEWARES")</f>
        <v xml:space="preserve">          4017 - TAXABLE SALES-DORM/HOUSEWARES</v>
      </c>
      <c r="C21" s="10"/>
      <c r="D21" s="2">
        <f>0</f>
        <v>0</v>
      </c>
      <c r="E21" s="2"/>
      <c r="F21" s="19"/>
      <c r="G21" s="2"/>
      <c r="H21" s="2">
        <f t="shared" ref="H21:H23" si="6">0</f>
        <v>0</v>
      </c>
      <c r="I21" s="2"/>
      <c r="J21" s="19"/>
      <c r="K21" s="2"/>
      <c r="L21" s="2">
        <f t="shared" si="0"/>
        <v>0</v>
      </c>
      <c r="M21" s="2"/>
      <c r="N21" s="19">
        <f t="shared" si="1"/>
        <v>0</v>
      </c>
      <c r="O21" s="10"/>
      <c r="P21" s="2">
        <f>0</f>
        <v>0</v>
      </c>
      <c r="Q21" s="2"/>
      <c r="R21" s="19"/>
      <c r="S21" s="2"/>
      <c r="T21" s="2">
        <f>--347.52</f>
        <v>347.52</v>
      </c>
      <c r="U21" s="2"/>
      <c r="V21" s="19"/>
      <c r="W21" s="2"/>
      <c r="X21" s="2">
        <f t="shared" si="2"/>
        <v>-347.52</v>
      </c>
      <c r="Y21" s="2"/>
      <c r="Z21" s="19">
        <f t="shared" si="3"/>
        <v>-1</v>
      </c>
    </row>
    <row r="22" spans="1:26" s="23" customFormat="1" hidden="1" outlineLevel="1" x14ac:dyDescent="0.25">
      <c r="A22" s="44"/>
      <c r="B22" s="10" t="str">
        <f>CONCATENATE("          ", "4018", " - ", "TAXABLE SALES-STUDY GUIDES")</f>
        <v xml:space="preserve">          4018 - TAXABLE SALES-STUDY GUIDES</v>
      </c>
      <c r="C22" s="10"/>
      <c r="D22" s="2">
        <f>--114.01</f>
        <v>114.01</v>
      </c>
      <c r="E22" s="2"/>
      <c r="F22" s="19"/>
      <c r="G22" s="2"/>
      <c r="H22" s="2">
        <f t="shared" si="6"/>
        <v>0</v>
      </c>
      <c r="I22" s="2"/>
      <c r="J22" s="19"/>
      <c r="K22" s="2"/>
      <c r="L22" s="2">
        <f t="shared" si="0"/>
        <v>114.01</v>
      </c>
      <c r="M22" s="2"/>
      <c r="N22" s="19">
        <f t="shared" si="1"/>
        <v>0</v>
      </c>
      <c r="O22" s="10"/>
      <c r="P22" s="2">
        <f>--622.49</f>
        <v>622.49</v>
      </c>
      <c r="Q22" s="2"/>
      <c r="R22" s="19"/>
      <c r="S22" s="2"/>
      <c r="T22" s="2">
        <f>--4179.3</f>
        <v>4179.3</v>
      </c>
      <c r="U22" s="2"/>
      <c r="V22" s="19"/>
      <c r="W22" s="2"/>
      <c r="X22" s="2">
        <f t="shared" si="2"/>
        <v>-3556.8100000000004</v>
      </c>
      <c r="Y22" s="2"/>
      <c r="Z22" s="19">
        <f t="shared" si="3"/>
        <v>-0.85105400425908651</v>
      </c>
    </row>
    <row r="23" spans="1:26" s="23" customFormat="1" hidden="1" outlineLevel="1" x14ac:dyDescent="0.25">
      <c r="A23" s="44"/>
      <c r="B23" s="10" t="str">
        <f>CONCATENATE("          ", "4019", " - ", "TAXABLE SALES-BOOK RELATED")</f>
        <v xml:space="preserve">          4019 - TAXABLE SALES-BOOK RELATED</v>
      </c>
      <c r="C23" s="10"/>
      <c r="D23" s="2">
        <f t="shared" ref="D23:D24" si="7">0</f>
        <v>0</v>
      </c>
      <c r="E23" s="2"/>
      <c r="F23" s="19"/>
      <c r="G23" s="2"/>
      <c r="H23" s="2">
        <f t="shared" si="6"/>
        <v>0</v>
      </c>
      <c r="I23" s="2"/>
      <c r="J23" s="19"/>
      <c r="K23" s="2"/>
      <c r="L23" s="2">
        <f t="shared" si="0"/>
        <v>0</v>
      </c>
      <c r="M23" s="2"/>
      <c r="N23" s="19">
        <f t="shared" si="1"/>
        <v>0</v>
      </c>
      <c r="O23" s="10"/>
      <c r="P23" s="2">
        <f t="shared" ref="P23:P24" si="8">0</f>
        <v>0</v>
      </c>
      <c r="Q23" s="2"/>
      <c r="R23" s="19"/>
      <c r="S23" s="2"/>
      <c r="T23" s="2">
        <f>--42.85</f>
        <v>42.85</v>
      </c>
      <c r="U23" s="2"/>
      <c r="V23" s="19"/>
      <c r="W23" s="2"/>
      <c r="X23" s="2">
        <f t="shared" si="2"/>
        <v>-42.85</v>
      </c>
      <c r="Y23" s="2"/>
      <c r="Z23" s="19">
        <f t="shared" si="3"/>
        <v>-1</v>
      </c>
    </row>
    <row r="24" spans="1:26" s="23" customFormat="1" hidden="1" outlineLevel="1" x14ac:dyDescent="0.25">
      <c r="A24" s="44"/>
      <c r="B24" s="10" t="str">
        <f>CONCATENATE("          ", "4025", " - ", "TAXABLE SALES-TEST FORMS")</f>
        <v xml:space="preserve">          4025 - TAXABLE SALES-TEST FORMS</v>
      </c>
      <c r="C24" s="10"/>
      <c r="D24" s="2">
        <f t="shared" si="7"/>
        <v>0</v>
      </c>
      <c r="E24" s="2"/>
      <c r="F24" s="19"/>
      <c r="G24" s="2"/>
      <c r="H24" s="2">
        <f>--3099.74</f>
        <v>3099.74</v>
      </c>
      <c r="I24" s="2"/>
      <c r="J24" s="19"/>
      <c r="K24" s="2"/>
      <c r="L24" s="2">
        <f t="shared" si="0"/>
        <v>-3099.74</v>
      </c>
      <c r="M24" s="2"/>
      <c r="N24" s="19">
        <f t="shared" si="1"/>
        <v>-1</v>
      </c>
      <c r="O24" s="10"/>
      <c r="P24" s="2">
        <f t="shared" si="8"/>
        <v>0</v>
      </c>
      <c r="Q24" s="2"/>
      <c r="R24" s="19"/>
      <c r="S24" s="2"/>
      <c r="T24" s="2">
        <f>--57819.85</f>
        <v>57819.85</v>
      </c>
      <c r="U24" s="2"/>
      <c r="V24" s="19"/>
      <c r="W24" s="2"/>
      <c r="X24" s="2">
        <f t="shared" si="2"/>
        <v>-57819.85</v>
      </c>
      <c r="Y24" s="2"/>
      <c r="Z24" s="19">
        <f t="shared" si="3"/>
        <v>-1</v>
      </c>
    </row>
    <row r="25" spans="1:26" s="23" customFormat="1" hidden="1" outlineLevel="1" x14ac:dyDescent="0.25">
      <c r="A25" s="44"/>
      <c r="B25" s="10" t="str">
        <f>CONCATENATE("          ", "4026", " - ", "TAXABLE SALES-WRITING INSTRUME")</f>
        <v xml:space="preserve">          4026 - TAXABLE SALES-WRITING INSTRUME</v>
      </c>
      <c r="C25" s="10"/>
      <c r="D25" s="2">
        <f>--25.1</f>
        <v>25.1</v>
      </c>
      <c r="E25" s="2"/>
      <c r="F25" s="19"/>
      <c r="G25" s="2"/>
      <c r="H25" s="2">
        <f>--2531.99</f>
        <v>2531.9899999999998</v>
      </c>
      <c r="I25" s="2"/>
      <c r="J25" s="19"/>
      <c r="K25" s="2"/>
      <c r="L25" s="2">
        <f t="shared" si="0"/>
        <v>-2506.89</v>
      </c>
      <c r="M25" s="2"/>
      <c r="N25" s="19">
        <f t="shared" si="1"/>
        <v>-0.99008684868423658</v>
      </c>
      <c r="O25" s="10"/>
      <c r="P25" s="2">
        <f>--547.64</f>
        <v>547.64</v>
      </c>
      <c r="Q25" s="2"/>
      <c r="R25" s="19"/>
      <c r="S25" s="2"/>
      <c r="T25" s="2">
        <f>--83341.48</f>
        <v>83341.48</v>
      </c>
      <c r="U25" s="2"/>
      <c r="V25" s="19"/>
      <c r="W25" s="2"/>
      <c r="X25" s="2">
        <f t="shared" si="2"/>
        <v>-82793.84</v>
      </c>
      <c r="Y25" s="2"/>
      <c r="Z25" s="19">
        <f t="shared" si="3"/>
        <v>-0.99342896238463729</v>
      </c>
    </row>
    <row r="26" spans="1:26" s="23" customFormat="1" hidden="1" outlineLevel="1" x14ac:dyDescent="0.25">
      <c r="A26" s="44"/>
      <c r="B26" s="10" t="str">
        <f>CONCATENATE("          ", "4027", " - ", "TAXABLE SALES-SCHOOL SUPPLIES")</f>
        <v xml:space="preserve">          4027 - TAXABLE SALES-SCHOOL SUPPLIES</v>
      </c>
      <c r="C26" s="10"/>
      <c r="D26" s="2">
        <f>--3459.71</f>
        <v>3459.71</v>
      </c>
      <c r="E26" s="2"/>
      <c r="F26" s="19"/>
      <c r="G26" s="2"/>
      <c r="H26" s="2">
        <f>--4073.06</f>
        <v>4073.06</v>
      </c>
      <c r="I26" s="2"/>
      <c r="J26" s="19"/>
      <c r="K26" s="2"/>
      <c r="L26" s="2">
        <f t="shared" si="0"/>
        <v>-613.34999999999991</v>
      </c>
      <c r="M26" s="2"/>
      <c r="N26" s="19">
        <f t="shared" si="1"/>
        <v>-0.15058702793477138</v>
      </c>
      <c r="O26" s="10"/>
      <c r="P26" s="2">
        <f>--73564</f>
        <v>73564</v>
      </c>
      <c r="Q26" s="2"/>
      <c r="R26" s="19"/>
      <c r="S26" s="2"/>
      <c r="T26" s="2">
        <f>--280850.13</f>
        <v>280850.13</v>
      </c>
      <c r="U26" s="2"/>
      <c r="V26" s="19"/>
      <c r="W26" s="2"/>
      <c r="X26" s="2">
        <f t="shared" si="2"/>
        <v>-207286.13</v>
      </c>
      <c r="Y26" s="2"/>
      <c r="Z26" s="19">
        <f t="shared" si="3"/>
        <v>-0.73806670482936931</v>
      </c>
    </row>
    <row r="27" spans="1:26" s="23" customFormat="1" hidden="1" outlineLevel="1" x14ac:dyDescent="0.25">
      <c r="A27" s="44"/>
      <c r="B27" s="10" t="str">
        <f>CONCATENATE("          ", "4028", " - ", "TAXABLE SALES-ART/TECH")</f>
        <v xml:space="preserve">          4028 - TAXABLE SALES-ART/TECH</v>
      </c>
      <c r="C27" s="10"/>
      <c r="D27" s="2">
        <f>--2312.88</f>
        <v>2312.88</v>
      </c>
      <c r="E27" s="2"/>
      <c r="F27" s="19"/>
      <c r="G27" s="2"/>
      <c r="H27" s="2">
        <f>--386.59</f>
        <v>386.59</v>
      </c>
      <c r="I27" s="2"/>
      <c r="J27" s="19"/>
      <c r="K27" s="2"/>
      <c r="L27" s="2">
        <f t="shared" si="0"/>
        <v>1926.2900000000002</v>
      </c>
      <c r="M27" s="2"/>
      <c r="N27" s="19">
        <f t="shared" si="1"/>
        <v>4.9827724462608973</v>
      </c>
      <c r="O27" s="10"/>
      <c r="P27" s="2">
        <f>--50708.2</f>
        <v>50708.2</v>
      </c>
      <c r="Q27" s="2"/>
      <c r="R27" s="19"/>
      <c r="S27" s="2"/>
      <c r="T27" s="2">
        <f>--293577.64</f>
        <v>293577.64</v>
      </c>
      <c r="U27" s="2"/>
      <c r="V27" s="19"/>
      <c r="W27" s="2"/>
      <c r="X27" s="2">
        <f t="shared" si="2"/>
        <v>-242869.44</v>
      </c>
      <c r="Y27" s="2"/>
      <c r="Z27" s="19">
        <f t="shared" si="3"/>
        <v>-0.82727499274127281</v>
      </c>
    </row>
    <row r="28" spans="1:26" s="23" customFormat="1" hidden="1" outlineLevel="1" x14ac:dyDescent="0.25">
      <c r="A28" s="44"/>
      <c r="B28" s="10" t="str">
        <f>CONCATENATE("          ", "4031", " - ", "TAXABLE SALES-FOOD")</f>
        <v xml:space="preserve">          4031 - TAXABLE SALES-FOOD</v>
      </c>
      <c r="C28" s="10"/>
      <c r="D28" s="2">
        <f>--380.76</f>
        <v>380.76</v>
      </c>
      <c r="E28" s="2"/>
      <c r="F28" s="19"/>
      <c r="G28" s="2"/>
      <c r="H28" s="2">
        <f t="shared" ref="H28:H33" si="9">0</f>
        <v>0</v>
      </c>
      <c r="I28" s="2"/>
      <c r="J28" s="19"/>
      <c r="K28" s="2"/>
      <c r="L28" s="2">
        <f t="shared" si="0"/>
        <v>380.76</v>
      </c>
      <c r="M28" s="2"/>
      <c r="N28" s="19">
        <f t="shared" si="1"/>
        <v>0</v>
      </c>
      <c r="O28" s="10"/>
      <c r="P28" s="2">
        <f>--5081.47</f>
        <v>5081.47</v>
      </c>
      <c r="Q28" s="2"/>
      <c r="R28" s="19"/>
      <c r="S28" s="2"/>
      <c r="T28" s="2">
        <f>--486.34</f>
        <v>486.34</v>
      </c>
      <c r="U28" s="2"/>
      <c r="V28" s="19"/>
      <c r="W28" s="2"/>
      <c r="X28" s="2">
        <f t="shared" si="2"/>
        <v>4595.13</v>
      </c>
      <c r="Y28" s="2"/>
      <c r="Z28" s="19">
        <f t="shared" si="3"/>
        <v>9.4483900152156934</v>
      </c>
    </row>
    <row r="29" spans="1:26" s="23" customFormat="1" hidden="1" outlineLevel="1" x14ac:dyDescent="0.25">
      <c r="A29" s="44"/>
      <c r="B29" s="10" t="str">
        <f>CONCATENATE("          ", "4032", " - ", "TAXABLE SALES-JUICE")</f>
        <v xml:space="preserve">          4032 - TAXABLE SALES-JUICE</v>
      </c>
      <c r="C29" s="10"/>
      <c r="D29" s="2">
        <f t="shared" ref="D29:D33" si="10">0</f>
        <v>0</v>
      </c>
      <c r="E29" s="2"/>
      <c r="F29" s="19"/>
      <c r="G29" s="2"/>
      <c r="H29" s="2">
        <f t="shared" si="9"/>
        <v>0</v>
      </c>
      <c r="I29" s="2"/>
      <c r="J29" s="19"/>
      <c r="K29" s="2"/>
      <c r="L29" s="2">
        <f t="shared" si="0"/>
        <v>0</v>
      </c>
      <c r="M29" s="2"/>
      <c r="N29" s="19">
        <f t="shared" si="1"/>
        <v>0</v>
      </c>
      <c r="O29" s="10"/>
      <c r="P29" s="2">
        <f t="shared" ref="P29:P30" si="11">0</f>
        <v>0</v>
      </c>
      <c r="Q29" s="2"/>
      <c r="R29" s="19"/>
      <c r="S29" s="2"/>
      <c r="T29" s="2">
        <f>--1905.06</f>
        <v>1905.06</v>
      </c>
      <c r="U29" s="2"/>
      <c r="V29" s="19"/>
      <c r="W29" s="2"/>
      <c r="X29" s="2">
        <f t="shared" si="2"/>
        <v>-1905.06</v>
      </c>
      <c r="Y29" s="2"/>
      <c r="Z29" s="19">
        <f t="shared" si="3"/>
        <v>-1</v>
      </c>
    </row>
    <row r="30" spans="1:26" s="23" customFormat="1" hidden="1" outlineLevel="1" x14ac:dyDescent="0.25">
      <c r="A30" s="44"/>
      <c r="B30" s="10" t="str">
        <f>CONCATENATE("          ", "4033", " - ", "TAXABLE SALES-CANDY")</f>
        <v xml:space="preserve">          4033 - TAXABLE SALES-CANDY</v>
      </c>
      <c r="C30" s="10"/>
      <c r="D30" s="2">
        <f t="shared" si="10"/>
        <v>0</v>
      </c>
      <c r="E30" s="2"/>
      <c r="F30" s="19"/>
      <c r="G30" s="2"/>
      <c r="H30" s="2">
        <f t="shared" si="9"/>
        <v>0</v>
      </c>
      <c r="I30" s="2"/>
      <c r="J30" s="19"/>
      <c r="K30" s="2"/>
      <c r="L30" s="2">
        <f t="shared" si="0"/>
        <v>0</v>
      </c>
      <c r="M30" s="2"/>
      <c r="N30" s="19">
        <f t="shared" si="1"/>
        <v>0</v>
      </c>
      <c r="O30" s="10"/>
      <c r="P30" s="2">
        <f t="shared" si="11"/>
        <v>0</v>
      </c>
      <c r="Q30" s="2"/>
      <c r="R30" s="19"/>
      <c r="S30" s="2"/>
      <c r="T30" s="2">
        <f>--205.53</f>
        <v>205.53</v>
      </c>
      <c r="U30" s="2"/>
      <c r="V30" s="19"/>
      <c r="W30" s="2"/>
      <c r="X30" s="2">
        <f t="shared" si="2"/>
        <v>-205.53</v>
      </c>
      <c r="Y30" s="2"/>
      <c r="Z30" s="19">
        <f t="shared" si="3"/>
        <v>-1</v>
      </c>
    </row>
    <row r="31" spans="1:26" s="23" customFormat="1" hidden="1" outlineLevel="1" x14ac:dyDescent="0.25">
      <c r="A31" s="44"/>
      <c r="B31" s="10" t="str">
        <f>CONCATENATE("          ", "4034", " - ", "TAXABLE SALES-SODA")</f>
        <v xml:space="preserve">          4034 - TAXABLE SALES-SODA</v>
      </c>
      <c r="C31" s="10"/>
      <c r="D31" s="2">
        <f t="shared" si="10"/>
        <v>0</v>
      </c>
      <c r="E31" s="2"/>
      <c r="F31" s="19"/>
      <c r="G31" s="2"/>
      <c r="H31" s="2">
        <f t="shared" si="9"/>
        <v>0</v>
      </c>
      <c r="I31" s="2"/>
      <c r="J31" s="19"/>
      <c r="K31" s="2"/>
      <c r="L31" s="2">
        <f t="shared" si="0"/>
        <v>0</v>
      </c>
      <c r="M31" s="2"/>
      <c r="N31" s="19">
        <f t="shared" si="1"/>
        <v>0</v>
      </c>
      <c r="O31" s="10"/>
      <c r="P31" s="2">
        <f>--6.78</f>
        <v>6.78</v>
      </c>
      <c r="Q31" s="2"/>
      <c r="R31" s="19"/>
      <c r="S31" s="2"/>
      <c r="T31" s="2">
        <f>--7803.51</f>
        <v>7803.51</v>
      </c>
      <c r="U31" s="2"/>
      <c r="V31" s="19"/>
      <c r="W31" s="2"/>
      <c r="X31" s="2">
        <f t="shared" si="2"/>
        <v>-7796.7300000000005</v>
      </c>
      <c r="Y31" s="2"/>
      <c r="Z31" s="19">
        <f t="shared" si="3"/>
        <v>-0.99913116020867532</v>
      </c>
    </row>
    <row r="32" spans="1:26" s="23" customFormat="1" hidden="1" outlineLevel="1" x14ac:dyDescent="0.25">
      <c r="A32" s="44"/>
      <c r="B32" s="10" t="str">
        <f>CONCATENATE("          ", "4035", " - ", "TAXABLE SALES-HEALTH &amp; BEAUTY")</f>
        <v xml:space="preserve">          4035 - TAXABLE SALES-HEALTH &amp; BEAUTY</v>
      </c>
      <c r="C32" s="10"/>
      <c r="D32" s="2">
        <f t="shared" si="10"/>
        <v>0</v>
      </c>
      <c r="E32" s="2"/>
      <c r="F32" s="19"/>
      <c r="G32" s="2"/>
      <c r="H32" s="2">
        <f t="shared" si="9"/>
        <v>0</v>
      </c>
      <c r="I32" s="2"/>
      <c r="J32" s="19"/>
      <c r="K32" s="2"/>
      <c r="L32" s="2">
        <f t="shared" si="0"/>
        <v>0</v>
      </c>
      <c r="M32" s="2"/>
      <c r="N32" s="19">
        <f t="shared" si="1"/>
        <v>0</v>
      </c>
      <c r="O32" s="10"/>
      <c r="P32" s="2">
        <f t="shared" ref="P32:P33" si="12">0</f>
        <v>0</v>
      </c>
      <c r="Q32" s="2"/>
      <c r="R32" s="19"/>
      <c r="S32" s="2"/>
      <c r="T32" s="2">
        <f>--1981.84</f>
        <v>1981.84</v>
      </c>
      <c r="U32" s="2"/>
      <c r="V32" s="19"/>
      <c r="W32" s="2"/>
      <c r="X32" s="2">
        <f t="shared" si="2"/>
        <v>-1981.84</v>
      </c>
      <c r="Y32" s="2"/>
      <c r="Z32" s="19">
        <f t="shared" si="3"/>
        <v>-1</v>
      </c>
    </row>
    <row r="33" spans="1:26" s="23" customFormat="1" hidden="1" outlineLevel="1" x14ac:dyDescent="0.25">
      <c r="A33" s="44"/>
      <c r="B33" s="10" t="str">
        <f>CONCATENATE("          ", "4037", " - ", "TAXABLE SALES-WATER")</f>
        <v xml:space="preserve">          4037 - TAXABLE SALES-WATER</v>
      </c>
      <c r="C33" s="10"/>
      <c r="D33" s="2">
        <f t="shared" si="10"/>
        <v>0</v>
      </c>
      <c r="E33" s="2"/>
      <c r="F33" s="19"/>
      <c r="G33" s="2"/>
      <c r="H33" s="2">
        <f t="shared" si="9"/>
        <v>0</v>
      </c>
      <c r="I33" s="2"/>
      <c r="J33" s="19"/>
      <c r="K33" s="2"/>
      <c r="L33" s="2">
        <f t="shared" si="0"/>
        <v>0</v>
      </c>
      <c r="M33" s="2"/>
      <c r="N33" s="19">
        <f t="shared" si="1"/>
        <v>0</v>
      </c>
      <c r="O33" s="10"/>
      <c r="P33" s="2">
        <f t="shared" si="12"/>
        <v>0</v>
      </c>
      <c r="Q33" s="2"/>
      <c r="R33" s="19"/>
      <c r="S33" s="2"/>
      <c r="T33" s="2">
        <f>--513.51</f>
        <v>513.51</v>
      </c>
      <c r="U33" s="2"/>
      <c r="V33" s="19"/>
      <c r="W33" s="2"/>
      <c r="X33" s="2">
        <f t="shared" si="2"/>
        <v>-513.51</v>
      </c>
      <c r="Y33" s="2"/>
      <c r="Z33" s="19">
        <f t="shared" si="3"/>
        <v>-1</v>
      </c>
    </row>
    <row r="34" spans="1:26" s="23" customFormat="1" hidden="1" outlineLevel="1" x14ac:dyDescent="0.25">
      <c r="A34" s="44"/>
      <c r="B34" s="10" t="str">
        <f>CONCATENATE("          ", "4040", " - ", "TAXABLE SALES-LOGO CLOTHING")</f>
        <v xml:space="preserve">          4040 - TAXABLE SALES-LOGO CLOTHING</v>
      </c>
      <c r="C34" s="10"/>
      <c r="D34" s="2">
        <f>--109798.76</f>
        <v>109798.76</v>
      </c>
      <c r="E34" s="2"/>
      <c r="F34" s="19"/>
      <c r="G34" s="2"/>
      <c r="H34" s="2">
        <f>--46364.3</f>
        <v>46364.3</v>
      </c>
      <c r="I34" s="2"/>
      <c r="J34" s="19"/>
      <c r="K34" s="2"/>
      <c r="L34" s="2">
        <f t="shared" si="0"/>
        <v>63434.459999999992</v>
      </c>
      <c r="M34" s="2"/>
      <c r="N34" s="19">
        <f t="shared" si="1"/>
        <v>1.3681746516177316</v>
      </c>
      <c r="O34" s="10"/>
      <c r="P34" s="2">
        <f>--1210378.91</f>
        <v>1210378.9099999999</v>
      </c>
      <c r="Q34" s="2"/>
      <c r="R34" s="19"/>
      <c r="S34" s="2"/>
      <c r="T34" s="2">
        <f>--1941274.42</f>
        <v>1941274.42</v>
      </c>
      <c r="U34" s="2"/>
      <c r="V34" s="19"/>
      <c r="W34" s="2"/>
      <c r="X34" s="2">
        <f t="shared" si="2"/>
        <v>-730895.51</v>
      </c>
      <c r="Y34" s="2"/>
      <c r="Z34" s="19">
        <f t="shared" si="3"/>
        <v>-0.37650293151238251</v>
      </c>
    </row>
    <row r="35" spans="1:26" s="23" customFormat="1" hidden="1" outlineLevel="1" x14ac:dyDescent="0.25">
      <c r="A35" s="44"/>
      <c r="B35" s="10" t="str">
        <f>CONCATENATE("          ", "4041", " - ", "TAXABLE SALES-LOGO GIFTS")</f>
        <v xml:space="preserve">          4041 - TAXABLE SALES-LOGO GIFTS</v>
      </c>
      <c r="C35" s="10"/>
      <c r="D35" s="2">
        <f>--80467.62</f>
        <v>80467.62</v>
      </c>
      <c r="E35" s="2"/>
      <c r="F35" s="19"/>
      <c r="G35" s="2"/>
      <c r="H35" s="2">
        <f>--29904.23</f>
        <v>29904.23</v>
      </c>
      <c r="I35" s="2"/>
      <c r="J35" s="19"/>
      <c r="K35" s="2"/>
      <c r="L35" s="2">
        <f t="shared" si="0"/>
        <v>50563.39</v>
      </c>
      <c r="M35" s="2"/>
      <c r="N35" s="19">
        <f t="shared" si="1"/>
        <v>1.6908440712233688</v>
      </c>
      <c r="O35" s="10"/>
      <c r="P35" s="2">
        <f>--712240.21</f>
        <v>712240.21</v>
      </c>
      <c r="Q35" s="2"/>
      <c r="R35" s="19"/>
      <c r="S35" s="2"/>
      <c r="T35" s="2">
        <f>--556536.79</f>
        <v>556536.79</v>
      </c>
      <c r="U35" s="2"/>
      <c r="V35" s="19"/>
      <c r="W35" s="2"/>
      <c r="X35" s="2">
        <f t="shared" si="2"/>
        <v>155703.41999999993</v>
      </c>
      <c r="Y35" s="2"/>
      <c r="Z35" s="19">
        <f t="shared" si="3"/>
        <v>0.27977201650945649</v>
      </c>
    </row>
    <row r="36" spans="1:26" s="23" customFormat="1" hidden="1" outlineLevel="1" x14ac:dyDescent="0.25">
      <c r="A36" s="44"/>
      <c r="B36" s="10" t="str">
        <f>CONCATENATE("          ", "4042", " - ", "TAXABLE SALES-EVERYDAY GIFTS")</f>
        <v xml:space="preserve">          4042 - TAXABLE SALES-EVERYDAY GIFTS</v>
      </c>
      <c r="C36" s="10"/>
      <c r="D36" s="2">
        <f>--7345.28</f>
        <v>7345.28</v>
      </c>
      <c r="E36" s="2"/>
      <c r="F36" s="19"/>
      <c r="G36" s="2"/>
      <c r="H36" s="2">
        <f>--2836.85</f>
        <v>2836.85</v>
      </c>
      <c r="I36" s="2"/>
      <c r="J36" s="19"/>
      <c r="K36" s="2"/>
      <c r="L36" s="2">
        <f t="shared" si="0"/>
        <v>4508.43</v>
      </c>
      <c r="M36" s="2"/>
      <c r="N36" s="19">
        <f t="shared" si="1"/>
        <v>1.5892380633449072</v>
      </c>
      <c r="O36" s="10"/>
      <c r="P36" s="2">
        <f>--116251.83</f>
        <v>116251.83</v>
      </c>
      <c r="Q36" s="2"/>
      <c r="R36" s="19"/>
      <c r="S36" s="2"/>
      <c r="T36" s="2">
        <f>--285558.05</f>
        <v>285558.05</v>
      </c>
      <c r="U36" s="2"/>
      <c r="V36" s="19"/>
      <c r="W36" s="2"/>
      <c r="X36" s="2">
        <f t="shared" si="2"/>
        <v>-169306.21999999997</v>
      </c>
      <c r="Y36" s="2"/>
      <c r="Z36" s="19">
        <f t="shared" si="3"/>
        <v>-0.59289598034445179</v>
      </c>
    </row>
    <row r="37" spans="1:26" s="23" customFormat="1" hidden="1" outlineLevel="1" x14ac:dyDescent="0.25">
      <c r="A37" s="44"/>
      <c r="B37" s="10" t="str">
        <f>CONCATENATE("          ", "4043", " - ", "TAXABLE SALES-CARDS")</f>
        <v xml:space="preserve">          4043 - TAXABLE SALES-CARDS</v>
      </c>
      <c r="C37" s="10"/>
      <c r="D37" s="2">
        <f>--2949.38</f>
        <v>2949.38</v>
      </c>
      <c r="E37" s="2"/>
      <c r="F37" s="19"/>
      <c r="G37" s="2"/>
      <c r="H37" s="2">
        <f>--54.96</f>
        <v>54.96</v>
      </c>
      <c r="I37" s="2"/>
      <c r="J37" s="19"/>
      <c r="K37" s="2"/>
      <c r="L37" s="2">
        <f t="shared" si="0"/>
        <v>2894.42</v>
      </c>
      <c r="M37" s="2"/>
      <c r="N37" s="19">
        <f t="shared" si="1"/>
        <v>52.664119359534205</v>
      </c>
      <c r="O37" s="10"/>
      <c r="P37" s="2">
        <f>--147027.05</f>
        <v>147027.04999999999</v>
      </c>
      <c r="Q37" s="2"/>
      <c r="R37" s="19"/>
      <c r="S37" s="2"/>
      <c r="T37" s="2">
        <f>--77324.14</f>
        <v>77324.14</v>
      </c>
      <c r="U37" s="2"/>
      <c r="V37" s="19"/>
      <c r="W37" s="2"/>
      <c r="X37" s="2">
        <f t="shared" si="2"/>
        <v>69702.909999999989</v>
      </c>
      <c r="Y37" s="2"/>
      <c r="Z37" s="19">
        <f t="shared" si="3"/>
        <v>0.90143789507390559</v>
      </c>
    </row>
    <row r="38" spans="1:26" s="23" customFormat="1" hidden="1" outlineLevel="1" x14ac:dyDescent="0.25">
      <c r="A38" s="44"/>
      <c r="B38" s="10" t="str">
        <f>CONCATENATE("          ", "4044", " - ", "TAXABLE SALES-ACCESSORIES")</f>
        <v xml:space="preserve">          4044 - TAXABLE SALES-ACCESSORIES</v>
      </c>
      <c r="C38" s="10"/>
      <c r="D38" s="2">
        <f>--2172.33</f>
        <v>2172.33</v>
      </c>
      <c r="E38" s="2"/>
      <c r="F38" s="19"/>
      <c r="G38" s="2"/>
      <c r="H38" s="2">
        <f>--2524.8</f>
        <v>2524.8000000000002</v>
      </c>
      <c r="I38" s="2"/>
      <c r="J38" s="19"/>
      <c r="K38" s="2"/>
      <c r="L38" s="2">
        <f t="shared" si="0"/>
        <v>-352.47000000000025</v>
      </c>
      <c r="M38" s="2"/>
      <c r="N38" s="19">
        <f t="shared" si="1"/>
        <v>-0.13960313688212936</v>
      </c>
      <c r="O38" s="10"/>
      <c r="P38" s="2">
        <f>--43288.66</f>
        <v>43288.66</v>
      </c>
      <c r="Q38" s="2"/>
      <c r="R38" s="19"/>
      <c r="S38" s="2"/>
      <c r="T38" s="2">
        <f>--73780.56</f>
        <v>73780.56</v>
      </c>
      <c r="U38" s="2"/>
      <c r="V38" s="19"/>
      <c r="W38" s="2"/>
      <c r="X38" s="2">
        <f t="shared" si="2"/>
        <v>-30491.899999999994</v>
      </c>
      <c r="Y38" s="2"/>
      <c r="Z38" s="19">
        <f t="shared" si="3"/>
        <v>-0.41327824023021775</v>
      </c>
    </row>
    <row r="39" spans="1:26" s="23" customFormat="1" hidden="1" outlineLevel="1" x14ac:dyDescent="0.25">
      <c r="A39" s="44"/>
      <c r="B39" s="10" t="str">
        <f>CONCATENATE("          ", "4045", " - ", "TAXABLE SALES-SPECIAL ORDERS")</f>
        <v xml:space="preserve">          4045 - TAXABLE SALES-SPECIAL ORDERS</v>
      </c>
      <c r="C39" s="10"/>
      <c r="D39" s="2">
        <f>--81300.55</f>
        <v>81300.55</v>
      </c>
      <c r="E39" s="2"/>
      <c r="F39" s="19"/>
      <c r="G39" s="2"/>
      <c r="H39" s="2">
        <f>--26263.53</f>
        <v>26263.53</v>
      </c>
      <c r="I39" s="2"/>
      <c r="J39" s="19"/>
      <c r="K39" s="2"/>
      <c r="L39" s="2">
        <f t="shared" si="0"/>
        <v>55037.020000000004</v>
      </c>
      <c r="M39" s="2"/>
      <c r="N39" s="19">
        <f t="shared" si="1"/>
        <v>2.0955682651951206</v>
      </c>
      <c r="O39" s="10"/>
      <c r="P39" s="2">
        <f>--314878.48</f>
        <v>314878.48</v>
      </c>
      <c r="Q39" s="2"/>
      <c r="R39" s="19"/>
      <c r="S39" s="2"/>
      <c r="T39" s="2">
        <f>--123103.09</f>
        <v>123103.09</v>
      </c>
      <c r="U39" s="2"/>
      <c r="V39" s="19"/>
      <c r="W39" s="2"/>
      <c r="X39" s="2">
        <f t="shared" si="2"/>
        <v>191775.38999999998</v>
      </c>
      <c r="Y39" s="2"/>
      <c r="Z39" s="19">
        <f t="shared" si="3"/>
        <v>1.5578438364138543</v>
      </c>
    </row>
    <row r="40" spans="1:26" s="23" customFormat="1" hidden="1" outlineLevel="1" x14ac:dyDescent="0.25">
      <c r="A40" s="44"/>
      <c r="B40" s="10" t="str">
        <f>CONCATENATE("          ", "4047", " - ", "TAXABLE SALES-MISC")</f>
        <v xml:space="preserve">          4047 - TAXABLE SALES-MISC</v>
      </c>
      <c r="C40" s="10"/>
      <c r="D40" s="2">
        <f t="shared" ref="D40:D45" si="13">0</f>
        <v>0</v>
      </c>
      <c r="E40" s="2"/>
      <c r="F40" s="19"/>
      <c r="G40" s="2"/>
      <c r="H40" s="2">
        <f t="shared" ref="H40:H44" si="14">0</f>
        <v>0</v>
      </c>
      <c r="I40" s="2"/>
      <c r="J40" s="19"/>
      <c r="K40" s="2"/>
      <c r="L40" s="2">
        <f t="shared" si="0"/>
        <v>0</v>
      </c>
      <c r="M40" s="2"/>
      <c r="N40" s="19">
        <f t="shared" si="1"/>
        <v>0</v>
      </c>
      <c r="O40" s="10"/>
      <c r="P40" s="2">
        <f>0</f>
        <v>0</v>
      </c>
      <c r="Q40" s="2"/>
      <c r="R40" s="19"/>
      <c r="S40" s="2"/>
      <c r="T40" s="2">
        <f>--2676.14</f>
        <v>2676.14</v>
      </c>
      <c r="U40" s="2"/>
      <c r="V40" s="19"/>
      <c r="W40" s="2"/>
      <c r="X40" s="2">
        <f t="shared" si="2"/>
        <v>-2676.14</v>
      </c>
      <c r="Y40" s="2"/>
      <c r="Z40" s="19">
        <f t="shared" si="3"/>
        <v>-1</v>
      </c>
    </row>
    <row r="41" spans="1:26" s="23" customFormat="1" hidden="1" outlineLevel="1" x14ac:dyDescent="0.25">
      <c r="A41" s="44"/>
      <c r="B41" s="10" t="str">
        <f>CONCATENATE("          ", "4081", " - ", "TAXABLE SALES-ELECTRONICS")</f>
        <v xml:space="preserve">          4081 - TAXABLE SALES-ELECTRONICS</v>
      </c>
      <c r="C41" s="10"/>
      <c r="D41" s="2">
        <f t="shared" si="13"/>
        <v>0</v>
      </c>
      <c r="E41" s="2"/>
      <c r="F41" s="19"/>
      <c r="G41" s="2"/>
      <c r="H41" s="2">
        <f t="shared" si="14"/>
        <v>0</v>
      </c>
      <c r="I41" s="2"/>
      <c r="J41" s="19"/>
      <c r="K41" s="2"/>
      <c r="L41" s="2">
        <f t="shared" si="0"/>
        <v>0</v>
      </c>
      <c r="M41" s="2"/>
      <c r="N41" s="19">
        <f t="shared" si="1"/>
        <v>0</v>
      </c>
      <c r="O41" s="10"/>
      <c r="P41" s="2">
        <f>--71.95</f>
        <v>71.95</v>
      </c>
      <c r="Q41" s="2"/>
      <c r="R41" s="19"/>
      <c r="S41" s="2"/>
      <c r="T41" s="2">
        <f>--3174.93</f>
        <v>3174.93</v>
      </c>
      <c r="U41" s="2"/>
      <c r="V41" s="19"/>
      <c r="W41" s="2"/>
      <c r="X41" s="2">
        <f t="shared" si="2"/>
        <v>-3102.98</v>
      </c>
      <c r="Y41" s="2"/>
      <c r="Z41" s="19">
        <f t="shared" si="3"/>
        <v>-0.97733808304435066</v>
      </c>
    </row>
    <row r="42" spans="1:26" s="23" customFormat="1" hidden="1" outlineLevel="1" x14ac:dyDescent="0.25">
      <c r="A42" s="44"/>
      <c r="B42" s="10" t="str">
        <f>CONCATENATE("          ", "4082", " - ", "TAXABLE SALES-COMPUTER HARDWAR")</f>
        <v xml:space="preserve">          4082 - TAXABLE SALES-COMPUTER HARDWAR</v>
      </c>
      <c r="C42" s="10"/>
      <c r="D42" s="2">
        <f t="shared" si="13"/>
        <v>0</v>
      </c>
      <c r="E42" s="2"/>
      <c r="F42" s="19"/>
      <c r="G42" s="2"/>
      <c r="H42" s="2">
        <f t="shared" si="14"/>
        <v>0</v>
      </c>
      <c r="I42" s="2"/>
      <c r="J42" s="19"/>
      <c r="K42" s="2"/>
      <c r="L42" s="2">
        <f t="shared" si="0"/>
        <v>0</v>
      </c>
      <c r="M42" s="2"/>
      <c r="N42" s="19">
        <f t="shared" si="1"/>
        <v>0</v>
      </c>
      <c r="O42" s="10"/>
      <c r="P42" s="2">
        <f>0</f>
        <v>0</v>
      </c>
      <c r="Q42" s="2"/>
      <c r="R42" s="19"/>
      <c r="S42" s="2"/>
      <c r="T42" s="2">
        <f>--363.94</f>
        <v>363.94</v>
      </c>
      <c r="U42" s="2"/>
      <c r="V42" s="19"/>
      <c r="W42" s="2"/>
      <c r="X42" s="2">
        <f t="shared" si="2"/>
        <v>-363.94</v>
      </c>
      <c r="Y42" s="2"/>
      <c r="Z42" s="19">
        <f t="shared" si="3"/>
        <v>-1</v>
      </c>
    </row>
    <row r="43" spans="1:26" s="23" customFormat="1" hidden="1" outlineLevel="1" x14ac:dyDescent="0.25">
      <c r="A43" s="44"/>
      <c r="B43" s="10" t="str">
        <f>CONCATENATE("          ", "4083", " - ", "TAXABLE SALES-COMPUTER EQUIPME")</f>
        <v xml:space="preserve">          4083 - TAXABLE SALES-COMPUTER EQUIPME</v>
      </c>
      <c r="C43" s="10"/>
      <c r="D43" s="2">
        <f t="shared" si="13"/>
        <v>0</v>
      </c>
      <c r="E43" s="2"/>
      <c r="F43" s="19"/>
      <c r="G43" s="2"/>
      <c r="H43" s="2">
        <f t="shared" si="14"/>
        <v>0</v>
      </c>
      <c r="I43" s="2"/>
      <c r="J43" s="19"/>
      <c r="K43" s="2"/>
      <c r="L43" s="2">
        <f t="shared" si="0"/>
        <v>0</v>
      </c>
      <c r="M43" s="2"/>
      <c r="N43" s="19">
        <f t="shared" si="1"/>
        <v>0</v>
      </c>
      <c r="O43" s="10"/>
      <c r="P43" s="2">
        <f>--9.99</f>
        <v>9.99</v>
      </c>
      <c r="Q43" s="2"/>
      <c r="R43" s="19"/>
      <c r="S43" s="2"/>
      <c r="T43" s="2">
        <f>--914.33</f>
        <v>914.33</v>
      </c>
      <c r="U43" s="2"/>
      <c r="V43" s="19"/>
      <c r="W43" s="2"/>
      <c r="X43" s="2">
        <f t="shared" si="2"/>
        <v>-904.34</v>
      </c>
      <c r="Y43" s="2"/>
      <c r="Z43" s="19">
        <f t="shared" si="3"/>
        <v>-0.98907396672973646</v>
      </c>
    </row>
    <row r="44" spans="1:26" s="23" customFormat="1" hidden="1" outlineLevel="1" x14ac:dyDescent="0.25">
      <c r="A44" s="44"/>
      <c r="B44" s="10" t="str">
        <f>CONCATENATE("          ", "4086", " - ", "TAXABLE SALES-COMPUTER SUPPLIE")</f>
        <v xml:space="preserve">          4086 - TAXABLE SALES-COMPUTER SUPPLIE</v>
      </c>
      <c r="C44" s="10"/>
      <c r="D44" s="2">
        <f t="shared" si="13"/>
        <v>0</v>
      </c>
      <c r="E44" s="2"/>
      <c r="F44" s="19"/>
      <c r="G44" s="2"/>
      <c r="H44" s="2">
        <f t="shared" si="14"/>
        <v>0</v>
      </c>
      <c r="I44" s="2"/>
      <c r="J44" s="19"/>
      <c r="K44" s="2"/>
      <c r="L44" s="2">
        <f t="shared" si="0"/>
        <v>0</v>
      </c>
      <c r="M44" s="2"/>
      <c r="N44" s="19">
        <f t="shared" si="1"/>
        <v>0</v>
      </c>
      <c r="O44" s="10"/>
      <c r="P44" s="2">
        <f t="shared" ref="P44:P45" si="15">0</f>
        <v>0</v>
      </c>
      <c r="Q44" s="2"/>
      <c r="R44" s="19"/>
      <c r="S44" s="2"/>
      <c r="T44" s="2">
        <f>--813.74</f>
        <v>813.74</v>
      </c>
      <c r="U44" s="2"/>
      <c r="V44" s="19"/>
      <c r="W44" s="2"/>
      <c r="X44" s="2">
        <f t="shared" si="2"/>
        <v>-813.74</v>
      </c>
      <c r="Y44" s="2"/>
      <c r="Z44" s="19">
        <f t="shared" si="3"/>
        <v>-1</v>
      </c>
    </row>
    <row r="45" spans="1:26" s="23" customFormat="1" hidden="1" outlineLevel="1" x14ac:dyDescent="0.25">
      <c r="A45" s="44"/>
      <c r="B45" s="10" t="str">
        <f>CONCATENATE("          ", "4092", " - ", "TAXABLE SALES-GRAD MERCH")</f>
        <v xml:space="preserve">          4092 - TAXABLE SALES-GRAD MERCH</v>
      </c>
      <c r="C45" s="10"/>
      <c r="D45" s="2">
        <f t="shared" si="13"/>
        <v>0</v>
      </c>
      <c r="E45" s="2"/>
      <c r="F45" s="19"/>
      <c r="G45" s="2"/>
      <c r="H45" s="2">
        <f>--6332.23</f>
        <v>6332.23</v>
      </c>
      <c r="I45" s="2"/>
      <c r="J45" s="19"/>
      <c r="K45" s="2"/>
      <c r="L45" s="2">
        <f t="shared" si="0"/>
        <v>-6332.23</v>
      </c>
      <c r="M45" s="2"/>
      <c r="N45" s="19">
        <f t="shared" si="1"/>
        <v>-1</v>
      </c>
      <c r="O45" s="10"/>
      <c r="P45" s="2">
        <f t="shared" si="15"/>
        <v>0</v>
      </c>
      <c r="Q45" s="2"/>
      <c r="R45" s="19"/>
      <c r="S45" s="2"/>
      <c r="T45" s="2">
        <f>--41685.94</f>
        <v>41685.94</v>
      </c>
      <c r="U45" s="2"/>
      <c r="V45" s="19"/>
      <c r="W45" s="2"/>
      <c r="X45" s="2">
        <f t="shared" si="2"/>
        <v>-41685.94</v>
      </c>
      <c r="Y45" s="2"/>
      <c r="Z45" s="19">
        <f t="shared" si="3"/>
        <v>-1</v>
      </c>
    </row>
    <row r="46" spans="1:26" s="23" customFormat="1" hidden="1" outlineLevel="1" x14ac:dyDescent="0.25">
      <c r="A46" s="44"/>
      <c r="B46" s="10" t="str">
        <f>CONCATENATE("          ", "4095", " - ", "TAXABLE SALES-CUSTOMER SERVICE")</f>
        <v xml:space="preserve">          4095 - TAXABLE SALES-CUSTOMER SERVICE</v>
      </c>
      <c r="C46" s="10"/>
      <c r="D46" s="2">
        <f>--1688.17</f>
        <v>1688.17</v>
      </c>
      <c r="E46" s="2"/>
      <c r="F46" s="19"/>
      <c r="G46" s="2"/>
      <c r="H46" s="2">
        <f>0</f>
        <v>0</v>
      </c>
      <c r="I46" s="2"/>
      <c r="J46" s="19"/>
      <c r="K46" s="2"/>
      <c r="L46" s="2">
        <f t="shared" si="0"/>
        <v>1688.17</v>
      </c>
      <c r="M46" s="2"/>
      <c r="N46" s="19">
        <f t="shared" si="1"/>
        <v>0</v>
      </c>
      <c r="O46" s="10"/>
      <c r="P46" s="2">
        <f>--15614</f>
        <v>15614</v>
      </c>
      <c r="Q46" s="2"/>
      <c r="R46" s="19"/>
      <c r="S46" s="2"/>
      <c r="T46" s="2">
        <f>--309.26</f>
        <v>309.26</v>
      </c>
      <c r="U46" s="2"/>
      <c r="V46" s="19"/>
      <c r="W46" s="2"/>
      <c r="X46" s="2">
        <f t="shared" si="2"/>
        <v>15304.74</v>
      </c>
      <c r="Y46" s="2"/>
      <c r="Z46" s="19">
        <f t="shared" si="3"/>
        <v>49.488262303563346</v>
      </c>
    </row>
    <row r="47" spans="1:26" s="23" customFormat="1" hidden="1" outlineLevel="1" x14ac:dyDescent="0.25">
      <c r="A47" s="44"/>
      <c r="B47" s="10" t="str">
        <f>CONCATENATE("          ", "4100", " - ", "NON-TAXABLE SALES")</f>
        <v xml:space="preserve">          4100 - NON-TAXABLE SALES</v>
      </c>
      <c r="C47" s="10"/>
      <c r="D47" s="2">
        <f>-14487.2</f>
        <v>-14487.2</v>
      </c>
      <c r="E47" s="2"/>
      <c r="F47" s="19"/>
      <c r="G47" s="2"/>
      <c r="H47" s="2">
        <f>-16200.52</f>
        <v>-16200.52</v>
      </c>
      <c r="I47" s="2"/>
      <c r="J47" s="19"/>
      <c r="K47" s="2"/>
      <c r="L47" s="2">
        <f t="shared" si="0"/>
        <v>1713.3199999999997</v>
      </c>
      <c r="M47" s="2"/>
      <c r="N47" s="19">
        <f t="shared" si="1"/>
        <v>-0.10575709915484192</v>
      </c>
      <c r="O47" s="10"/>
      <c r="P47" s="2">
        <f>--262897.78</f>
        <v>262897.78000000003</v>
      </c>
      <c r="Q47" s="2"/>
      <c r="R47" s="19"/>
      <c r="S47" s="2"/>
      <c r="T47" s="2">
        <f>--591246.5</f>
        <v>591246.5</v>
      </c>
      <c r="U47" s="2"/>
      <c r="V47" s="19"/>
      <c r="W47" s="2"/>
      <c r="X47" s="2">
        <f t="shared" si="2"/>
        <v>-328348.71999999997</v>
      </c>
      <c r="Y47" s="2"/>
      <c r="Z47" s="19">
        <f t="shared" si="3"/>
        <v>-0.55534995978834545</v>
      </c>
    </row>
    <row r="48" spans="1:26" s="23" customFormat="1" hidden="1" outlineLevel="1" x14ac:dyDescent="0.25">
      <c r="A48" s="44"/>
      <c r="B48" s="10" t="str">
        <f>CONCATENATE("          ", "4101", " - ", "NON-TAXABLE SALES-NEW TEXT")</f>
        <v xml:space="preserve">          4101 - NON-TAXABLE SALES-NEW TEXT</v>
      </c>
      <c r="C48" s="10"/>
      <c r="D48" s="2">
        <f>--1301.39</f>
        <v>1301.3900000000001</v>
      </c>
      <c r="E48" s="2"/>
      <c r="F48" s="19"/>
      <c r="G48" s="2"/>
      <c r="H48" s="2">
        <f>--2671.34</f>
        <v>2671.34</v>
      </c>
      <c r="I48" s="2"/>
      <c r="J48" s="19"/>
      <c r="K48" s="2"/>
      <c r="L48" s="2">
        <f t="shared" si="0"/>
        <v>-1369.95</v>
      </c>
      <c r="M48" s="2"/>
      <c r="N48" s="19">
        <f t="shared" si="1"/>
        <v>-0.51283251102442973</v>
      </c>
      <c r="O48" s="10"/>
      <c r="P48" s="2">
        <f>--120548.46</f>
        <v>120548.46</v>
      </c>
      <c r="Q48" s="2"/>
      <c r="R48" s="19"/>
      <c r="S48" s="2"/>
      <c r="T48" s="2">
        <f>--153953.68</f>
        <v>153953.68</v>
      </c>
      <c r="U48" s="2"/>
      <c r="V48" s="19"/>
      <c r="W48" s="2"/>
      <c r="X48" s="2">
        <f t="shared" si="2"/>
        <v>-33405.219999999987</v>
      </c>
      <c r="Y48" s="2"/>
      <c r="Z48" s="19">
        <f t="shared" si="3"/>
        <v>-0.21698227674713583</v>
      </c>
    </row>
    <row r="49" spans="1:26" s="23" customFormat="1" hidden="1" outlineLevel="1" x14ac:dyDescent="0.25">
      <c r="A49" s="44"/>
      <c r="B49" s="10" t="str">
        <f>CONCATENATE("          ", "4102", " - ", "NON-TAXABLE SALES-USED TEXT")</f>
        <v xml:space="preserve">          4102 - NON-TAXABLE SALES-USED TEXT</v>
      </c>
      <c r="C49" s="10"/>
      <c r="D49" s="2">
        <f>--540.91</f>
        <v>540.91</v>
      </c>
      <c r="E49" s="2"/>
      <c r="F49" s="19"/>
      <c r="G49" s="2"/>
      <c r="H49" s="2">
        <f>--1718.15</f>
        <v>1718.15</v>
      </c>
      <c r="I49" s="2"/>
      <c r="J49" s="19"/>
      <c r="K49" s="2"/>
      <c r="L49" s="2">
        <f t="shared" si="0"/>
        <v>-1177.2400000000002</v>
      </c>
      <c r="M49" s="2"/>
      <c r="N49" s="19">
        <f t="shared" si="1"/>
        <v>-0.68517882606291658</v>
      </c>
      <c r="O49" s="10"/>
      <c r="P49" s="2">
        <f>--51587.64</f>
        <v>51587.64</v>
      </c>
      <c r="Q49" s="2"/>
      <c r="R49" s="19"/>
      <c r="S49" s="2"/>
      <c r="T49" s="2">
        <f>--71943.61</f>
        <v>71943.61</v>
      </c>
      <c r="U49" s="2"/>
      <c r="V49" s="19"/>
      <c r="W49" s="2"/>
      <c r="X49" s="2">
        <f t="shared" si="2"/>
        <v>-20355.97</v>
      </c>
      <c r="Y49" s="2"/>
      <c r="Z49" s="19">
        <f t="shared" si="3"/>
        <v>-0.28294340525864631</v>
      </c>
    </row>
    <row r="50" spans="1:26" s="23" customFormat="1" hidden="1" outlineLevel="1" x14ac:dyDescent="0.25">
      <c r="A50" s="44"/>
      <c r="B50" s="10" t="str">
        <f>CONCATENATE("          ", "4103", " - ", "NON-TAXABLE SALES-RENTAL TEXT")</f>
        <v xml:space="preserve">          4103 - NON-TAXABLE SALES-RENTAL TEXT</v>
      </c>
      <c r="C50" s="10"/>
      <c r="D50" s="2">
        <f>0</f>
        <v>0</v>
      </c>
      <c r="E50" s="2"/>
      <c r="F50" s="19"/>
      <c r="G50" s="2"/>
      <c r="H50" s="2">
        <f>0</f>
        <v>0</v>
      </c>
      <c r="I50" s="2"/>
      <c r="J50" s="19"/>
      <c r="K50" s="2"/>
      <c r="L50" s="2">
        <f t="shared" si="0"/>
        <v>0</v>
      </c>
      <c r="M50" s="2"/>
      <c r="N50" s="19">
        <f t="shared" si="1"/>
        <v>0</v>
      </c>
      <c r="O50" s="10"/>
      <c r="P50" s="2">
        <f>--1138.95</f>
        <v>1138.95</v>
      </c>
      <c r="Q50" s="2"/>
      <c r="R50" s="19"/>
      <c r="S50" s="2"/>
      <c r="T50" s="2">
        <f>--664.97</f>
        <v>664.97</v>
      </c>
      <c r="U50" s="2"/>
      <c r="V50" s="19"/>
      <c r="W50" s="2"/>
      <c r="X50" s="2">
        <f t="shared" si="2"/>
        <v>473.98</v>
      </c>
      <c r="Y50" s="2"/>
      <c r="Z50" s="19">
        <f t="shared" si="3"/>
        <v>0.71278403537001667</v>
      </c>
    </row>
    <row r="51" spans="1:26" s="23" customFormat="1" hidden="1" outlineLevel="1" x14ac:dyDescent="0.25">
      <c r="A51" s="44"/>
      <c r="B51" s="10" t="str">
        <f>CONCATENATE("          ", "4104", " - ", "NON-TAXABLE SALES-DIGITAL TEXT")</f>
        <v xml:space="preserve">          4104 - NON-TAXABLE SALES-DIGITAL TEXT</v>
      </c>
      <c r="C51" s="10"/>
      <c r="D51" s="2">
        <f>--695.53</f>
        <v>695.53</v>
      </c>
      <c r="E51" s="2"/>
      <c r="F51" s="19"/>
      <c r="G51" s="2"/>
      <c r="H51" s="2">
        <f>--1836.93</f>
        <v>1836.93</v>
      </c>
      <c r="I51" s="2"/>
      <c r="J51" s="19"/>
      <c r="K51" s="2"/>
      <c r="L51" s="2">
        <f t="shared" si="0"/>
        <v>-1141.4000000000001</v>
      </c>
      <c r="M51" s="2"/>
      <c r="N51" s="19">
        <f t="shared" si="1"/>
        <v>-0.62136281730931497</v>
      </c>
      <c r="O51" s="10"/>
      <c r="P51" s="2">
        <f>--491583.26</f>
        <v>491583.26</v>
      </c>
      <c r="Q51" s="2"/>
      <c r="R51" s="19"/>
      <c r="S51" s="2"/>
      <c r="T51" s="2">
        <f>--533640.31</f>
        <v>533640.31000000006</v>
      </c>
      <c r="U51" s="2"/>
      <c r="V51" s="19"/>
      <c r="W51" s="2"/>
      <c r="X51" s="2">
        <f t="shared" si="2"/>
        <v>-42057.050000000047</v>
      </c>
      <c r="Y51" s="2"/>
      <c r="Z51" s="19">
        <f t="shared" si="3"/>
        <v>-7.8811606267150322E-2</v>
      </c>
    </row>
    <row r="52" spans="1:26" s="23" customFormat="1" hidden="1" outlineLevel="1" x14ac:dyDescent="0.25">
      <c r="A52" s="44"/>
      <c r="B52" s="10" t="str">
        <f>CONCATENATE("          ", "4111", " - ", "NON-TAXABLE SALES-NO VALUE TEX")</f>
        <v xml:space="preserve">          4111 - NON-TAXABLE SALES-NO VALUE TEX</v>
      </c>
      <c r="C52" s="10"/>
      <c r="D52" s="2">
        <f t="shared" ref="D52:D54" si="16">0</f>
        <v>0</v>
      </c>
      <c r="E52" s="2"/>
      <c r="F52" s="19"/>
      <c r="G52" s="2"/>
      <c r="H52" s="2">
        <f>--679.21</f>
        <v>679.21</v>
      </c>
      <c r="I52" s="2"/>
      <c r="J52" s="19"/>
      <c r="K52" s="2"/>
      <c r="L52" s="2">
        <f t="shared" si="0"/>
        <v>-679.21</v>
      </c>
      <c r="M52" s="2"/>
      <c r="N52" s="19">
        <f t="shared" si="1"/>
        <v>-1</v>
      </c>
      <c r="O52" s="10"/>
      <c r="P52" s="2">
        <f>0</f>
        <v>0</v>
      </c>
      <c r="Q52" s="2"/>
      <c r="R52" s="19"/>
      <c r="S52" s="2"/>
      <c r="T52" s="2">
        <f>--16342.67</f>
        <v>16342.67</v>
      </c>
      <c r="U52" s="2"/>
      <c r="V52" s="19"/>
      <c r="W52" s="2"/>
      <c r="X52" s="2">
        <f t="shared" si="2"/>
        <v>-16342.67</v>
      </c>
      <c r="Y52" s="2"/>
      <c r="Z52" s="19">
        <f t="shared" si="3"/>
        <v>-1</v>
      </c>
    </row>
    <row r="53" spans="1:26" s="23" customFormat="1" hidden="1" outlineLevel="1" x14ac:dyDescent="0.25">
      <c r="A53" s="44"/>
      <c r="B53" s="10" t="str">
        <f>CONCATENATE("          ", "4113", " - ", "NON-TAXABLE SALES-TRADE BOOKS")</f>
        <v xml:space="preserve">          4113 - NON-TAXABLE SALES-TRADE BOOKS</v>
      </c>
      <c r="C53" s="10"/>
      <c r="D53" s="2">
        <f t="shared" si="16"/>
        <v>0</v>
      </c>
      <c r="E53" s="2"/>
      <c r="F53" s="19"/>
      <c r="G53" s="2"/>
      <c r="H53" s="2">
        <f t="shared" ref="H53:H54" si="17">0</f>
        <v>0</v>
      </c>
      <c r="I53" s="2"/>
      <c r="J53" s="19"/>
      <c r="K53" s="2"/>
      <c r="L53" s="2">
        <f t="shared" si="0"/>
        <v>0</v>
      </c>
      <c r="M53" s="2"/>
      <c r="N53" s="19">
        <f t="shared" si="1"/>
        <v>0</v>
      </c>
      <c r="O53" s="10"/>
      <c r="P53" s="2">
        <f>--12127.25</f>
        <v>12127.25</v>
      </c>
      <c r="Q53" s="2"/>
      <c r="R53" s="19"/>
      <c r="S53" s="2"/>
      <c r="T53" s="2">
        <f>--8266.16</f>
        <v>8266.16</v>
      </c>
      <c r="U53" s="2"/>
      <c r="V53" s="19"/>
      <c r="W53" s="2"/>
      <c r="X53" s="2">
        <f t="shared" si="2"/>
        <v>3861.09</v>
      </c>
      <c r="Y53" s="2"/>
      <c r="Z53" s="19">
        <f t="shared" si="3"/>
        <v>0.46709596717218155</v>
      </c>
    </row>
    <row r="54" spans="1:26" s="23" customFormat="1" hidden="1" outlineLevel="1" x14ac:dyDescent="0.25">
      <c r="A54" s="44"/>
      <c r="B54" s="10" t="str">
        <f>CONCATENATE("          ", "4114", " - ", "NON-TAXABLE SALES-REMAINDERS")</f>
        <v xml:space="preserve">          4114 - NON-TAXABLE SALES-REMAINDERS</v>
      </c>
      <c r="C54" s="10"/>
      <c r="D54" s="2">
        <f t="shared" si="16"/>
        <v>0</v>
      </c>
      <c r="E54" s="2"/>
      <c r="F54" s="19"/>
      <c r="G54" s="2"/>
      <c r="H54" s="2">
        <f t="shared" si="17"/>
        <v>0</v>
      </c>
      <c r="I54" s="2"/>
      <c r="J54" s="19"/>
      <c r="K54" s="2"/>
      <c r="L54" s="2">
        <f t="shared" si="0"/>
        <v>0</v>
      </c>
      <c r="M54" s="2"/>
      <c r="N54" s="19">
        <f t="shared" si="1"/>
        <v>0</v>
      </c>
      <c r="O54" s="10"/>
      <c r="P54" s="2">
        <f>0</f>
        <v>0</v>
      </c>
      <c r="Q54" s="2"/>
      <c r="R54" s="19"/>
      <c r="S54" s="2"/>
      <c r="T54" s="2">
        <f>--3.19</f>
        <v>3.19</v>
      </c>
      <c r="U54" s="2"/>
      <c r="V54" s="19"/>
      <c r="W54" s="2"/>
      <c r="X54" s="2">
        <f t="shared" si="2"/>
        <v>-3.19</v>
      </c>
      <c r="Y54" s="2"/>
      <c r="Z54" s="19">
        <f t="shared" si="3"/>
        <v>-1</v>
      </c>
    </row>
    <row r="55" spans="1:26" s="23" customFormat="1" hidden="1" outlineLevel="1" x14ac:dyDescent="0.25">
      <c r="A55" s="44"/>
      <c r="B55" s="10" t="str">
        <f>CONCATENATE("          ", "4118", " - ", "NON-TAXABLE SALES-STUDY GUIDES")</f>
        <v xml:space="preserve">          4118 - NON-TAXABLE SALES-STUDY GUIDES</v>
      </c>
      <c r="C55" s="10"/>
      <c r="D55" s="2">
        <f>--594.22</f>
        <v>594.22</v>
      </c>
      <c r="E55" s="2"/>
      <c r="F55" s="19"/>
      <c r="G55" s="2"/>
      <c r="H55" s="2">
        <f>--10.09</f>
        <v>10.09</v>
      </c>
      <c r="I55" s="2"/>
      <c r="J55" s="19"/>
      <c r="K55" s="2"/>
      <c r="L55" s="2">
        <f t="shared" si="0"/>
        <v>584.13</v>
      </c>
      <c r="M55" s="2"/>
      <c r="N55" s="19">
        <f t="shared" si="1"/>
        <v>57.891972249752229</v>
      </c>
      <c r="O55" s="10"/>
      <c r="P55" s="2">
        <f>--1365.95</f>
        <v>1365.95</v>
      </c>
      <c r="Q55" s="2"/>
      <c r="R55" s="19"/>
      <c r="S55" s="2"/>
      <c r="T55" s="2">
        <f>--126.03</f>
        <v>126.03</v>
      </c>
      <c r="U55" s="2"/>
      <c r="V55" s="19"/>
      <c r="W55" s="2"/>
      <c r="X55" s="2">
        <f t="shared" si="2"/>
        <v>1239.92</v>
      </c>
      <c r="Y55" s="2"/>
      <c r="Z55" s="19">
        <f t="shared" si="3"/>
        <v>9.8382924700468148</v>
      </c>
    </row>
    <row r="56" spans="1:26" s="23" customFormat="1" hidden="1" outlineLevel="1" x14ac:dyDescent="0.25">
      <c r="A56" s="44"/>
      <c r="B56" s="10" t="str">
        <f>CONCATENATE("          ", "4125", " - ", "NON-TAXABLE SALES-TEST FORMS")</f>
        <v xml:space="preserve">          4125 - NON-TAXABLE SALES-TEST FORMS</v>
      </c>
      <c r="C56" s="10"/>
      <c r="D56" s="2">
        <f t="shared" ref="D56:D57" si="18">0</f>
        <v>0</v>
      </c>
      <c r="E56" s="2"/>
      <c r="F56" s="19"/>
      <c r="G56" s="2"/>
      <c r="H56" s="2">
        <f>--185</f>
        <v>185</v>
      </c>
      <c r="I56" s="2"/>
      <c r="J56" s="19"/>
      <c r="K56" s="2"/>
      <c r="L56" s="2">
        <f t="shared" si="0"/>
        <v>-185</v>
      </c>
      <c r="M56" s="2"/>
      <c r="N56" s="19">
        <f t="shared" si="1"/>
        <v>-1</v>
      </c>
      <c r="O56" s="10"/>
      <c r="P56" s="2">
        <f>0</f>
        <v>0</v>
      </c>
      <c r="Q56" s="2"/>
      <c r="R56" s="19"/>
      <c r="S56" s="2"/>
      <c r="T56" s="2">
        <f>--452.61</f>
        <v>452.61</v>
      </c>
      <c r="U56" s="2"/>
      <c r="V56" s="19"/>
      <c r="W56" s="2"/>
      <c r="X56" s="2">
        <f t="shared" si="2"/>
        <v>-452.61</v>
      </c>
      <c r="Y56" s="2"/>
      <c r="Z56" s="19">
        <f t="shared" si="3"/>
        <v>-1</v>
      </c>
    </row>
    <row r="57" spans="1:26" s="23" customFormat="1" hidden="1" outlineLevel="1" x14ac:dyDescent="0.25">
      <c r="A57" s="44"/>
      <c r="B57" s="10" t="str">
        <f>CONCATENATE("          ", "4126", " - ", "NON-TAXABLE SALES-WRITING INST")</f>
        <v xml:space="preserve">          4126 - NON-TAXABLE SALES-WRITING INST</v>
      </c>
      <c r="C57" s="10"/>
      <c r="D57" s="2">
        <f t="shared" si="18"/>
        <v>0</v>
      </c>
      <c r="E57" s="2"/>
      <c r="F57" s="19"/>
      <c r="G57" s="2"/>
      <c r="H57" s="2">
        <f>--168.02</f>
        <v>168.02</v>
      </c>
      <c r="I57" s="2"/>
      <c r="J57" s="19"/>
      <c r="K57" s="2"/>
      <c r="L57" s="2">
        <f t="shared" si="0"/>
        <v>-168.02</v>
      </c>
      <c r="M57" s="2"/>
      <c r="N57" s="19">
        <f t="shared" si="1"/>
        <v>-1</v>
      </c>
      <c r="O57" s="10"/>
      <c r="P57" s="2">
        <f>--52.68</f>
        <v>52.68</v>
      </c>
      <c r="Q57" s="2"/>
      <c r="R57" s="19"/>
      <c r="S57" s="2"/>
      <c r="T57" s="2">
        <f>--3301.44</f>
        <v>3301.44</v>
      </c>
      <c r="U57" s="2"/>
      <c r="V57" s="19"/>
      <c r="W57" s="2"/>
      <c r="X57" s="2">
        <f t="shared" si="2"/>
        <v>-3248.76</v>
      </c>
      <c r="Y57" s="2"/>
      <c r="Z57" s="19">
        <f t="shared" si="3"/>
        <v>-0.98404332654841531</v>
      </c>
    </row>
    <row r="58" spans="1:26" s="23" customFormat="1" hidden="1" outlineLevel="1" x14ac:dyDescent="0.25">
      <c r="A58" s="44"/>
      <c r="B58" s="10" t="str">
        <f>CONCATENATE("          ", "4127", " - ", "NON-TAXABLE SALES-SCHOOL SUPPL")</f>
        <v xml:space="preserve">          4127 - NON-TAXABLE SALES-SCHOOL SUPPL</v>
      </c>
      <c r="C58" s="10"/>
      <c r="D58" s="2">
        <f>--99.87</f>
        <v>99.87</v>
      </c>
      <c r="E58" s="2"/>
      <c r="F58" s="19"/>
      <c r="G58" s="2"/>
      <c r="H58" s="2">
        <f>--97.62</f>
        <v>97.62</v>
      </c>
      <c r="I58" s="2"/>
      <c r="J58" s="19"/>
      <c r="K58" s="2"/>
      <c r="L58" s="2">
        <f t="shared" si="0"/>
        <v>2.25</v>
      </c>
      <c r="M58" s="2"/>
      <c r="N58" s="19">
        <f t="shared" si="1"/>
        <v>2.3048555623847573E-2</v>
      </c>
      <c r="O58" s="10"/>
      <c r="P58" s="2">
        <f>--7748.6</f>
        <v>7748.6</v>
      </c>
      <c r="Q58" s="2"/>
      <c r="R58" s="19"/>
      <c r="S58" s="2"/>
      <c r="T58" s="2">
        <f>--6471.33</f>
        <v>6471.33</v>
      </c>
      <c r="U58" s="2"/>
      <c r="V58" s="19"/>
      <c r="W58" s="2"/>
      <c r="X58" s="2">
        <f t="shared" si="2"/>
        <v>1277.2700000000004</v>
      </c>
      <c r="Y58" s="2"/>
      <c r="Z58" s="19">
        <f t="shared" si="3"/>
        <v>0.19737364653015693</v>
      </c>
    </row>
    <row r="59" spans="1:26" s="23" customFormat="1" hidden="1" outlineLevel="1" x14ac:dyDescent="0.25">
      <c r="A59" s="44"/>
      <c r="B59" s="10" t="str">
        <f>CONCATENATE("          ", "4128", " - ", "NON-TAXABLE SALES-ART/TECH")</f>
        <v xml:space="preserve">          4128 - NON-TAXABLE SALES-ART/TECH</v>
      </c>
      <c r="C59" s="10"/>
      <c r="D59" s="2">
        <f>0</f>
        <v>0</v>
      </c>
      <c r="E59" s="2"/>
      <c r="F59" s="19"/>
      <c r="G59" s="2"/>
      <c r="H59" s="2">
        <f>--0.74</f>
        <v>0.74</v>
      </c>
      <c r="I59" s="2"/>
      <c r="J59" s="19"/>
      <c r="K59" s="2"/>
      <c r="L59" s="2">
        <f t="shared" si="0"/>
        <v>-0.74</v>
      </c>
      <c r="M59" s="2"/>
      <c r="N59" s="19">
        <f t="shared" si="1"/>
        <v>-1</v>
      </c>
      <c r="O59" s="10"/>
      <c r="P59" s="2">
        <f>--115.91</f>
        <v>115.91</v>
      </c>
      <c r="Q59" s="2"/>
      <c r="R59" s="19"/>
      <c r="S59" s="2"/>
      <c r="T59" s="2">
        <f>--731.36</f>
        <v>731.36</v>
      </c>
      <c r="U59" s="2"/>
      <c r="V59" s="19"/>
      <c r="W59" s="2"/>
      <c r="X59" s="2">
        <f t="shared" si="2"/>
        <v>-615.45000000000005</v>
      </c>
      <c r="Y59" s="2"/>
      <c r="Z59" s="19">
        <f t="shared" si="3"/>
        <v>-0.84151443885364252</v>
      </c>
    </row>
    <row r="60" spans="1:26" s="23" customFormat="1" hidden="1" outlineLevel="1" x14ac:dyDescent="0.25">
      <c r="A60" s="44"/>
      <c r="B60" s="10" t="str">
        <f>CONCATENATE("          ", "4131", " - ", "NON-TAXABLE SALES-FOOD")</f>
        <v xml:space="preserve">          4131 - NON-TAXABLE SALES-FOOD</v>
      </c>
      <c r="C60" s="10"/>
      <c r="D60" s="2">
        <f>--540.62</f>
        <v>540.62</v>
      </c>
      <c r="E60" s="2"/>
      <c r="F60" s="19"/>
      <c r="G60" s="2"/>
      <c r="H60" s="2">
        <f>--64.14</f>
        <v>64.14</v>
      </c>
      <c r="I60" s="2"/>
      <c r="J60" s="19"/>
      <c r="K60" s="2"/>
      <c r="L60" s="2">
        <f t="shared" si="0"/>
        <v>476.48</v>
      </c>
      <c r="M60" s="2"/>
      <c r="N60" s="19">
        <f t="shared" si="1"/>
        <v>7.4287496102276274</v>
      </c>
      <c r="O60" s="10"/>
      <c r="P60" s="2">
        <f>--12696.76</f>
        <v>12696.76</v>
      </c>
      <c r="Q60" s="2"/>
      <c r="R60" s="19"/>
      <c r="S60" s="2"/>
      <c r="T60" s="2">
        <f>--57957.84</f>
        <v>57957.84</v>
      </c>
      <c r="U60" s="2"/>
      <c r="V60" s="19"/>
      <c r="W60" s="2"/>
      <c r="X60" s="2">
        <f t="shared" si="2"/>
        <v>-45261.079999999994</v>
      </c>
      <c r="Y60" s="2"/>
      <c r="Z60" s="19">
        <f t="shared" si="3"/>
        <v>-0.78093110440278657</v>
      </c>
    </row>
    <row r="61" spans="1:26" s="23" customFormat="1" hidden="1" outlineLevel="1" x14ac:dyDescent="0.25">
      <c r="A61" s="44"/>
      <c r="B61" s="10" t="str">
        <f>CONCATENATE("          ", "4132", " - ", "NON-TAXABLE SALES-JUICE")</f>
        <v xml:space="preserve">          4132 - NON-TAXABLE SALES-JUICE</v>
      </c>
      <c r="C61" s="10"/>
      <c r="D61" s="2">
        <f t="shared" ref="D61:D65" si="19">0</f>
        <v>0</v>
      </c>
      <c r="E61" s="2"/>
      <c r="F61" s="19"/>
      <c r="G61" s="2"/>
      <c r="H61" s="2">
        <f>0</f>
        <v>0</v>
      </c>
      <c r="I61" s="2"/>
      <c r="J61" s="19"/>
      <c r="K61" s="2"/>
      <c r="L61" s="2">
        <f t="shared" si="0"/>
        <v>0</v>
      </c>
      <c r="M61" s="2"/>
      <c r="N61" s="19">
        <f t="shared" si="1"/>
        <v>0</v>
      </c>
      <c r="O61" s="10"/>
      <c r="P61" s="2">
        <f>--22.49</f>
        <v>22.49</v>
      </c>
      <c r="Q61" s="2"/>
      <c r="R61" s="19"/>
      <c r="S61" s="2"/>
      <c r="T61" s="2">
        <f>--16199.63</f>
        <v>16199.63</v>
      </c>
      <c r="U61" s="2"/>
      <c r="V61" s="19"/>
      <c r="W61" s="2"/>
      <c r="X61" s="2">
        <f t="shared" si="2"/>
        <v>-16177.14</v>
      </c>
      <c r="Y61" s="2"/>
      <c r="Z61" s="19">
        <f t="shared" si="3"/>
        <v>-0.99861169668689964</v>
      </c>
    </row>
    <row r="62" spans="1:26" s="23" customFormat="1" hidden="1" outlineLevel="1" x14ac:dyDescent="0.25">
      <c r="A62" s="44"/>
      <c r="B62" s="10" t="str">
        <f>CONCATENATE("          ", "4133", " - ", "NON-TAXABLE SALES-CANDY")</f>
        <v xml:space="preserve">          4133 - NON-TAXABLE SALES-CANDY</v>
      </c>
      <c r="C62" s="10"/>
      <c r="D62" s="2">
        <f t="shared" si="19"/>
        <v>0</v>
      </c>
      <c r="E62" s="2"/>
      <c r="F62" s="19"/>
      <c r="G62" s="2"/>
      <c r="H62" s="2">
        <f>--13.47</f>
        <v>13.47</v>
      </c>
      <c r="I62" s="2"/>
      <c r="J62" s="19"/>
      <c r="K62" s="2"/>
      <c r="L62" s="2">
        <f t="shared" si="0"/>
        <v>-13.47</v>
      </c>
      <c r="M62" s="2"/>
      <c r="N62" s="19">
        <f t="shared" si="1"/>
        <v>-1</v>
      </c>
      <c r="O62" s="10"/>
      <c r="P62" s="2">
        <f>--80.71</f>
        <v>80.709999999999994</v>
      </c>
      <c r="Q62" s="2"/>
      <c r="R62" s="19"/>
      <c r="S62" s="2"/>
      <c r="T62" s="2">
        <f>--18150.2</f>
        <v>18150.2</v>
      </c>
      <c r="U62" s="2"/>
      <c r="V62" s="19"/>
      <c r="W62" s="2"/>
      <c r="X62" s="2">
        <f t="shared" si="2"/>
        <v>-18069.490000000002</v>
      </c>
      <c r="Y62" s="2"/>
      <c r="Z62" s="19">
        <f t="shared" si="3"/>
        <v>-0.99555321704444033</v>
      </c>
    </row>
    <row r="63" spans="1:26" s="23" customFormat="1" hidden="1" outlineLevel="1" x14ac:dyDescent="0.25">
      <c r="A63" s="44"/>
      <c r="B63" s="10" t="str">
        <f>CONCATENATE("          ", "4134", " - ", "NON-TAXABLE SALES-SODA")</f>
        <v xml:space="preserve">          4134 - NON-TAXABLE SALES-SODA</v>
      </c>
      <c r="C63" s="10"/>
      <c r="D63" s="2">
        <f t="shared" si="19"/>
        <v>0</v>
      </c>
      <c r="E63" s="2"/>
      <c r="F63" s="19"/>
      <c r="G63" s="2"/>
      <c r="H63" s="2">
        <f t="shared" ref="H63:H65" si="20">0</f>
        <v>0</v>
      </c>
      <c r="I63" s="2"/>
      <c r="J63" s="19"/>
      <c r="K63" s="2"/>
      <c r="L63" s="2">
        <f t="shared" si="0"/>
        <v>0</v>
      </c>
      <c r="M63" s="2"/>
      <c r="N63" s="19">
        <f t="shared" si="1"/>
        <v>0</v>
      </c>
      <c r="O63" s="10"/>
      <c r="P63" s="2">
        <f>--45.53</f>
        <v>45.53</v>
      </c>
      <c r="Q63" s="2"/>
      <c r="R63" s="19"/>
      <c r="S63" s="2"/>
      <c r="T63" s="2">
        <f>--1.89</f>
        <v>1.89</v>
      </c>
      <c r="U63" s="2"/>
      <c r="V63" s="19"/>
      <c r="W63" s="2"/>
      <c r="X63" s="2">
        <f t="shared" si="2"/>
        <v>43.64</v>
      </c>
      <c r="Y63" s="2"/>
      <c r="Z63" s="19">
        <f t="shared" si="3"/>
        <v>23.089947089947092</v>
      </c>
    </row>
    <row r="64" spans="1:26" s="23" customFormat="1" hidden="1" outlineLevel="1" x14ac:dyDescent="0.25">
      <c r="A64" s="44"/>
      <c r="B64" s="10" t="str">
        <f>CONCATENATE("          ", "4135", " - ", "NON-TAXABLE SALES")</f>
        <v xml:space="preserve">          4135 - NON-TAXABLE SALES</v>
      </c>
      <c r="C64" s="10"/>
      <c r="D64" s="2">
        <f t="shared" si="19"/>
        <v>0</v>
      </c>
      <c r="E64" s="2"/>
      <c r="F64" s="19"/>
      <c r="G64" s="2"/>
      <c r="H64" s="2">
        <f t="shared" si="20"/>
        <v>0</v>
      </c>
      <c r="I64" s="2"/>
      <c r="J64" s="19"/>
      <c r="K64" s="2"/>
      <c r="L64" s="2">
        <f t="shared" si="0"/>
        <v>0</v>
      </c>
      <c r="M64" s="2"/>
      <c r="N64" s="19">
        <f t="shared" si="1"/>
        <v>0</v>
      </c>
      <c r="O64" s="10"/>
      <c r="P64" s="2">
        <f>0</f>
        <v>0</v>
      </c>
      <c r="Q64" s="2"/>
      <c r="R64" s="19"/>
      <c r="S64" s="2"/>
      <c r="T64" s="2">
        <f>--161.4</f>
        <v>161.4</v>
      </c>
      <c r="U64" s="2"/>
      <c r="V64" s="19"/>
      <c r="W64" s="2"/>
      <c r="X64" s="2">
        <f t="shared" si="2"/>
        <v>-161.4</v>
      </c>
      <c r="Y64" s="2"/>
      <c r="Z64" s="19">
        <f t="shared" si="3"/>
        <v>-1</v>
      </c>
    </row>
    <row r="65" spans="1:26" s="23" customFormat="1" hidden="1" outlineLevel="1" x14ac:dyDescent="0.25">
      <c r="A65" s="44"/>
      <c r="B65" s="10" t="str">
        <f>CONCATENATE("          ", "4137", " - ", "NON-TAXABLE SALES-WATER")</f>
        <v xml:space="preserve">          4137 - NON-TAXABLE SALES-WATER</v>
      </c>
      <c r="C65" s="10"/>
      <c r="D65" s="2">
        <f t="shared" si="19"/>
        <v>0</v>
      </c>
      <c r="E65" s="2"/>
      <c r="F65" s="19"/>
      <c r="G65" s="2"/>
      <c r="H65" s="2">
        <f t="shared" si="20"/>
        <v>0</v>
      </c>
      <c r="I65" s="2"/>
      <c r="J65" s="19"/>
      <c r="K65" s="2"/>
      <c r="L65" s="2">
        <f t="shared" si="0"/>
        <v>0</v>
      </c>
      <c r="M65" s="2"/>
      <c r="N65" s="19">
        <f t="shared" si="1"/>
        <v>0</v>
      </c>
      <c r="O65" s="10"/>
      <c r="P65" s="2">
        <f>--68.25</f>
        <v>68.25</v>
      </c>
      <c r="Q65" s="2"/>
      <c r="R65" s="19"/>
      <c r="S65" s="2"/>
      <c r="T65" s="2">
        <f>--8519.06</f>
        <v>8519.06</v>
      </c>
      <c r="U65" s="2"/>
      <c r="V65" s="19"/>
      <c r="W65" s="2"/>
      <c r="X65" s="2">
        <f t="shared" si="2"/>
        <v>-8450.81</v>
      </c>
      <c r="Y65" s="2"/>
      <c r="Z65" s="19">
        <f t="shared" si="3"/>
        <v>-0.99198855272764841</v>
      </c>
    </row>
    <row r="66" spans="1:26" s="23" customFormat="1" hidden="1" outlineLevel="1" x14ac:dyDescent="0.25">
      <c r="A66" s="44"/>
      <c r="B66" s="10" t="str">
        <f>CONCATENATE("          ", "4140", " - ", "NON-TAXABLE SALES-LOGO CLOTHIN")</f>
        <v xml:space="preserve">          4140 - NON-TAXABLE SALES-LOGO CLOTHIN</v>
      </c>
      <c r="C66" s="10"/>
      <c r="D66" s="2">
        <f>--9520.45</f>
        <v>9520.4500000000007</v>
      </c>
      <c r="E66" s="2"/>
      <c r="F66" s="19"/>
      <c r="G66" s="2"/>
      <c r="H66" s="2">
        <f>--40740.37</f>
        <v>40740.370000000003</v>
      </c>
      <c r="I66" s="2"/>
      <c r="J66" s="19"/>
      <c r="K66" s="2"/>
      <c r="L66" s="2">
        <f t="shared" si="0"/>
        <v>-31219.920000000002</v>
      </c>
      <c r="M66" s="2"/>
      <c r="N66" s="19">
        <f t="shared" si="1"/>
        <v>-0.76631410073104389</v>
      </c>
      <c r="O66" s="10"/>
      <c r="P66" s="2">
        <f>--181046.21</f>
        <v>181046.21</v>
      </c>
      <c r="Q66" s="2"/>
      <c r="R66" s="19"/>
      <c r="S66" s="2"/>
      <c r="T66" s="2">
        <f>--176221.13</f>
        <v>176221.13</v>
      </c>
      <c r="U66" s="2"/>
      <c r="V66" s="19"/>
      <c r="W66" s="2"/>
      <c r="X66" s="2">
        <f t="shared" si="2"/>
        <v>4825.0799999999872</v>
      </c>
      <c r="Y66" s="2"/>
      <c r="Z66" s="19">
        <f t="shared" si="3"/>
        <v>2.7380825443577551E-2</v>
      </c>
    </row>
    <row r="67" spans="1:26" s="23" customFormat="1" hidden="1" outlineLevel="1" x14ac:dyDescent="0.25">
      <c r="A67" s="44"/>
      <c r="B67" s="10" t="str">
        <f>CONCATENATE("          ", "4141", " - ", "NON-TAXABLE SALES-LOGO GIFTS")</f>
        <v xml:space="preserve">          4141 - NON-TAXABLE SALES-LOGO GIFTS</v>
      </c>
      <c r="C67" s="10"/>
      <c r="D67" s="2">
        <f>-25127.54</f>
        <v>-25127.54</v>
      </c>
      <c r="E67" s="2"/>
      <c r="F67" s="19"/>
      <c r="G67" s="2"/>
      <c r="H67" s="2">
        <f>--6641.14</f>
        <v>6641.14</v>
      </c>
      <c r="I67" s="2"/>
      <c r="J67" s="19"/>
      <c r="K67" s="2"/>
      <c r="L67" s="2">
        <f t="shared" si="0"/>
        <v>-31768.68</v>
      </c>
      <c r="M67" s="2"/>
      <c r="N67" s="19">
        <f t="shared" si="1"/>
        <v>-4.7836184751413162</v>
      </c>
      <c r="O67" s="10"/>
      <c r="P67" s="2">
        <f>--14028.49</f>
        <v>14028.49</v>
      </c>
      <c r="Q67" s="2"/>
      <c r="R67" s="19"/>
      <c r="S67" s="2"/>
      <c r="T67" s="2">
        <f>--23601.45</f>
        <v>23601.45</v>
      </c>
      <c r="U67" s="2"/>
      <c r="V67" s="19"/>
      <c r="W67" s="2"/>
      <c r="X67" s="2">
        <f t="shared" si="2"/>
        <v>-9572.9600000000009</v>
      </c>
      <c r="Y67" s="2"/>
      <c r="Z67" s="19">
        <f t="shared" si="3"/>
        <v>-0.40560897741452329</v>
      </c>
    </row>
    <row r="68" spans="1:26" s="23" customFormat="1" hidden="1" outlineLevel="1" x14ac:dyDescent="0.25">
      <c r="A68" s="44"/>
      <c r="B68" s="10" t="str">
        <f>CONCATENATE("          ", "4142", " - ", "NON-TAXABLE SALES-EVERYDAY GIF")</f>
        <v xml:space="preserve">          4142 - NON-TAXABLE SALES-EVERYDAY GIF</v>
      </c>
      <c r="C68" s="10"/>
      <c r="D68" s="2">
        <f>--54.07</f>
        <v>54.07</v>
      </c>
      <c r="E68" s="2"/>
      <c r="F68" s="19"/>
      <c r="G68" s="2"/>
      <c r="H68" s="2">
        <f>--4067.95</f>
        <v>4067.95</v>
      </c>
      <c r="I68" s="2"/>
      <c r="J68" s="19"/>
      <c r="K68" s="2"/>
      <c r="L68" s="2">
        <f t="shared" si="0"/>
        <v>-4013.8799999999997</v>
      </c>
      <c r="M68" s="2"/>
      <c r="N68" s="19">
        <f t="shared" si="1"/>
        <v>-0.98670829287478945</v>
      </c>
      <c r="O68" s="10"/>
      <c r="P68" s="2">
        <f>--2658.52</f>
        <v>2658.52</v>
      </c>
      <c r="Q68" s="2"/>
      <c r="R68" s="19"/>
      <c r="S68" s="2"/>
      <c r="T68" s="2">
        <f>--19400.17</f>
        <v>19400.169999999998</v>
      </c>
      <c r="U68" s="2"/>
      <c r="V68" s="19"/>
      <c r="W68" s="2"/>
      <c r="X68" s="2">
        <f t="shared" si="2"/>
        <v>-16741.649999999998</v>
      </c>
      <c r="Y68" s="2"/>
      <c r="Z68" s="19">
        <f t="shared" si="3"/>
        <v>-0.86296408742809982</v>
      </c>
    </row>
    <row r="69" spans="1:26" s="23" customFormat="1" hidden="1" outlineLevel="1" x14ac:dyDescent="0.25">
      <c r="A69" s="44"/>
      <c r="B69" s="10" t="str">
        <f>CONCATENATE("          ", "4143", " - ", "NON-TAXABLE SALES-CARDS")</f>
        <v xml:space="preserve">          4143 - NON-TAXABLE SALES-CARDS</v>
      </c>
      <c r="C69" s="10"/>
      <c r="D69" s="2">
        <f>--9.95</f>
        <v>9.9499999999999993</v>
      </c>
      <c r="E69" s="2"/>
      <c r="F69" s="19"/>
      <c r="G69" s="2"/>
      <c r="H69" s="2">
        <f>0</f>
        <v>0</v>
      </c>
      <c r="I69" s="2"/>
      <c r="J69" s="19"/>
      <c r="K69" s="2"/>
      <c r="L69" s="2">
        <f t="shared" si="0"/>
        <v>9.9499999999999993</v>
      </c>
      <c r="M69" s="2"/>
      <c r="N69" s="19">
        <f t="shared" si="1"/>
        <v>0</v>
      </c>
      <c r="O69" s="10"/>
      <c r="P69" s="2">
        <f>--2562.11</f>
        <v>2562.11</v>
      </c>
      <c r="Q69" s="2"/>
      <c r="R69" s="19"/>
      <c r="S69" s="2"/>
      <c r="T69" s="2">
        <f>--19.98</f>
        <v>19.98</v>
      </c>
      <c r="U69" s="2"/>
      <c r="V69" s="19"/>
      <c r="W69" s="2"/>
      <c r="X69" s="2">
        <f t="shared" si="2"/>
        <v>2542.13</v>
      </c>
      <c r="Y69" s="2"/>
      <c r="Z69" s="19">
        <f t="shared" si="3"/>
        <v>127.23373373373374</v>
      </c>
    </row>
    <row r="70" spans="1:26" s="23" customFormat="1" hidden="1" outlineLevel="1" x14ac:dyDescent="0.25">
      <c r="A70" s="44"/>
      <c r="B70" s="10" t="str">
        <f>CONCATENATE("          ", "4144", " - ", "NON-TAXABLE SALES-ACCESSORIES")</f>
        <v xml:space="preserve">          4144 - NON-TAXABLE SALES-ACCESSORIES</v>
      </c>
      <c r="C70" s="10"/>
      <c r="D70" s="2">
        <f>--129.75</f>
        <v>129.75</v>
      </c>
      <c r="E70" s="2"/>
      <c r="F70" s="19"/>
      <c r="G70" s="2"/>
      <c r="H70" s="2">
        <f>--386.9</f>
        <v>386.9</v>
      </c>
      <c r="I70" s="2"/>
      <c r="J70" s="19"/>
      <c r="K70" s="2"/>
      <c r="L70" s="2">
        <f t="shared" si="0"/>
        <v>-257.14999999999998</v>
      </c>
      <c r="M70" s="2"/>
      <c r="N70" s="19">
        <f t="shared" si="1"/>
        <v>-0.66464202636340142</v>
      </c>
      <c r="O70" s="10"/>
      <c r="P70" s="2">
        <f>--1003.55</f>
        <v>1003.55</v>
      </c>
      <c r="Q70" s="2"/>
      <c r="R70" s="19"/>
      <c r="S70" s="2"/>
      <c r="T70" s="2">
        <f>--3710.92</f>
        <v>3710.92</v>
      </c>
      <c r="U70" s="2"/>
      <c r="V70" s="19"/>
      <c r="W70" s="2"/>
      <c r="X70" s="2">
        <f t="shared" si="2"/>
        <v>-2707.37</v>
      </c>
      <c r="Y70" s="2"/>
      <c r="Z70" s="19">
        <f t="shared" si="3"/>
        <v>-0.72956840891207564</v>
      </c>
    </row>
    <row r="71" spans="1:26" s="23" customFormat="1" hidden="1" outlineLevel="1" x14ac:dyDescent="0.25">
      <c r="A71" s="44"/>
      <c r="B71" s="10" t="str">
        <f>CONCATENATE("          ", "4145", " - ", "NON-TAXABLE SALES-SPECIAL ORDE")</f>
        <v xml:space="preserve">          4145 - NON-TAXABLE SALES-SPECIAL ORDE</v>
      </c>
      <c r="C71" s="10"/>
      <c r="D71" s="2">
        <f>--30</f>
        <v>30</v>
      </c>
      <c r="E71" s="2"/>
      <c r="F71" s="19"/>
      <c r="G71" s="2"/>
      <c r="H71" s="2">
        <f>--19379.5</f>
        <v>19379.5</v>
      </c>
      <c r="I71" s="2"/>
      <c r="J71" s="19"/>
      <c r="K71" s="2"/>
      <c r="L71" s="2">
        <f t="shared" si="0"/>
        <v>-19349.5</v>
      </c>
      <c r="M71" s="2"/>
      <c r="N71" s="19">
        <f t="shared" si="1"/>
        <v>-0.99845197244510953</v>
      </c>
      <c r="O71" s="10"/>
      <c r="P71" s="2">
        <f>--74096.89</f>
        <v>74096.89</v>
      </c>
      <c r="Q71" s="2"/>
      <c r="R71" s="19"/>
      <c r="S71" s="2"/>
      <c r="T71" s="2">
        <f>--27208.18</f>
        <v>27208.18</v>
      </c>
      <c r="U71" s="2"/>
      <c r="V71" s="19"/>
      <c r="W71" s="2"/>
      <c r="X71" s="2">
        <f t="shared" si="2"/>
        <v>46888.71</v>
      </c>
      <c r="Y71" s="2"/>
      <c r="Z71" s="19">
        <f t="shared" si="3"/>
        <v>1.7233313657877887</v>
      </c>
    </row>
    <row r="72" spans="1:26" s="23" customFormat="1" hidden="1" outlineLevel="1" x14ac:dyDescent="0.25">
      <c r="A72" s="44"/>
      <c r="B72" s="10" t="str">
        <f>CONCATENATE("          ", "4146", " - ", "NON-TAXABLE SALES-COIN OP MACH")</f>
        <v xml:space="preserve">          4146 - NON-TAXABLE SALES-COIN OP MACH</v>
      </c>
      <c r="C72" s="10"/>
      <c r="D72" s="2">
        <f>--282.2</f>
        <v>282.2</v>
      </c>
      <c r="E72" s="2"/>
      <c r="F72" s="19"/>
      <c r="G72" s="2"/>
      <c r="H72" s="2">
        <f t="shared" ref="H72:H76" si="21">0</f>
        <v>0</v>
      </c>
      <c r="I72" s="2"/>
      <c r="J72" s="19"/>
      <c r="K72" s="2"/>
      <c r="L72" s="2">
        <f t="shared" si="0"/>
        <v>282.2</v>
      </c>
      <c r="M72" s="2"/>
      <c r="N72" s="19">
        <f t="shared" si="1"/>
        <v>0</v>
      </c>
      <c r="O72" s="10"/>
      <c r="P72" s="2">
        <f>--668.1</f>
        <v>668.1</v>
      </c>
      <c r="Q72" s="2"/>
      <c r="R72" s="19"/>
      <c r="S72" s="2"/>
      <c r="T72" s="2">
        <f>--205908.65</f>
        <v>205908.65</v>
      </c>
      <c r="U72" s="2"/>
      <c r="V72" s="19"/>
      <c r="W72" s="2"/>
      <c r="X72" s="2">
        <f t="shared" si="2"/>
        <v>-205240.55</v>
      </c>
      <c r="Y72" s="2"/>
      <c r="Z72" s="19">
        <f t="shared" si="3"/>
        <v>-0.99675535729072084</v>
      </c>
    </row>
    <row r="73" spans="1:26" s="23" customFormat="1" hidden="1" outlineLevel="1" x14ac:dyDescent="0.25">
      <c r="A73" s="44"/>
      <c r="B73" s="10" t="str">
        <f>CONCATENATE("          ", "4147", " - ", "NON-TAXABLE SALES-MISC")</f>
        <v xml:space="preserve">          4147 - NON-TAXABLE SALES-MISC</v>
      </c>
      <c r="C73" s="10"/>
      <c r="D73" s="2">
        <f>--4</f>
        <v>4</v>
      </c>
      <c r="E73" s="2"/>
      <c r="F73" s="19"/>
      <c r="G73" s="2"/>
      <c r="H73" s="2">
        <f t="shared" si="21"/>
        <v>0</v>
      </c>
      <c r="I73" s="2"/>
      <c r="J73" s="19"/>
      <c r="K73" s="2"/>
      <c r="L73" s="2">
        <f t="shared" si="0"/>
        <v>4</v>
      </c>
      <c r="M73" s="2"/>
      <c r="N73" s="19">
        <f t="shared" si="1"/>
        <v>0</v>
      </c>
      <c r="O73" s="10"/>
      <c r="P73" s="2">
        <f>--172</f>
        <v>172</v>
      </c>
      <c r="Q73" s="2"/>
      <c r="R73" s="19"/>
      <c r="S73" s="2"/>
      <c r="T73" s="2">
        <f>--3446.37</f>
        <v>3446.37</v>
      </c>
      <c r="U73" s="2"/>
      <c r="V73" s="19"/>
      <c r="W73" s="2"/>
      <c r="X73" s="2">
        <f t="shared" si="2"/>
        <v>-3274.37</v>
      </c>
      <c r="Y73" s="2"/>
      <c r="Z73" s="19">
        <f t="shared" si="3"/>
        <v>-0.95009241607836648</v>
      </c>
    </row>
    <row r="74" spans="1:26" s="23" customFormat="1" hidden="1" outlineLevel="1" x14ac:dyDescent="0.25">
      <c r="A74" s="44"/>
      <c r="B74" s="10" t="str">
        <f>CONCATENATE("          ", "4186", " - ", "NON-TAXABLE SALES-COMPUTER SUP")</f>
        <v xml:space="preserve">          4186 - NON-TAXABLE SALES-COMPUTER SUP</v>
      </c>
      <c r="C74" s="10"/>
      <c r="D74" s="2">
        <f t="shared" ref="D74:D75" si="22">0</f>
        <v>0</v>
      </c>
      <c r="E74" s="2"/>
      <c r="F74" s="19"/>
      <c r="G74" s="2"/>
      <c r="H74" s="2">
        <f t="shared" si="21"/>
        <v>0</v>
      </c>
      <c r="I74" s="2"/>
      <c r="J74" s="19"/>
      <c r="K74" s="2"/>
      <c r="L74" s="2">
        <f t="shared" si="0"/>
        <v>0</v>
      </c>
      <c r="M74" s="2"/>
      <c r="N74" s="19">
        <f t="shared" si="1"/>
        <v>0</v>
      </c>
      <c r="O74" s="10"/>
      <c r="P74" s="2">
        <f t="shared" ref="P74:P75" si="23">0</f>
        <v>0</v>
      </c>
      <c r="Q74" s="2"/>
      <c r="R74" s="19"/>
      <c r="S74" s="2"/>
      <c r="T74" s="2">
        <f>-30.97</f>
        <v>-30.97</v>
      </c>
      <c r="U74" s="2"/>
      <c r="V74" s="19"/>
      <c r="W74" s="2"/>
      <c r="X74" s="2">
        <f t="shared" si="2"/>
        <v>30.97</v>
      </c>
      <c r="Y74" s="2"/>
      <c r="Z74" s="19">
        <f t="shared" si="3"/>
        <v>-1</v>
      </c>
    </row>
    <row r="75" spans="1:26" s="23" customFormat="1" hidden="1" outlineLevel="1" x14ac:dyDescent="0.25">
      <c r="A75" s="44"/>
      <c r="B75" s="10" t="str">
        <f>CONCATENATE("          ", "4192", " - ", "NON-TAXABLE SALES-GRAD MERCH")</f>
        <v xml:space="preserve">          4192 - NON-TAXABLE SALES-GRAD MERCH</v>
      </c>
      <c r="C75" s="10"/>
      <c r="D75" s="2">
        <f t="shared" si="22"/>
        <v>0</v>
      </c>
      <c r="E75" s="2"/>
      <c r="F75" s="19"/>
      <c r="G75" s="2"/>
      <c r="H75" s="2">
        <f t="shared" si="21"/>
        <v>0</v>
      </c>
      <c r="I75" s="2"/>
      <c r="J75" s="19"/>
      <c r="K75" s="2"/>
      <c r="L75" s="2">
        <f t="shared" si="0"/>
        <v>0</v>
      </c>
      <c r="M75" s="2"/>
      <c r="N75" s="19">
        <f t="shared" si="1"/>
        <v>0</v>
      </c>
      <c r="O75" s="10"/>
      <c r="P75" s="2">
        <f t="shared" si="23"/>
        <v>0</v>
      </c>
      <c r="Q75" s="2"/>
      <c r="R75" s="19"/>
      <c r="S75" s="2"/>
      <c r="T75" s="2">
        <f>--119.4</f>
        <v>119.4</v>
      </c>
      <c r="U75" s="2"/>
      <c r="V75" s="19"/>
      <c r="W75" s="2"/>
      <c r="X75" s="2">
        <f t="shared" si="2"/>
        <v>-119.4</v>
      </c>
      <c r="Y75" s="2"/>
      <c r="Z75" s="19">
        <f t="shared" si="3"/>
        <v>-1</v>
      </c>
    </row>
    <row r="76" spans="1:26" s="23" customFormat="1" hidden="1" outlineLevel="1" x14ac:dyDescent="0.25">
      <c r="A76" s="44"/>
      <c r="B76" s="10" t="str">
        <f>CONCATENATE("          ", "4201", " - ", "SALES RETURN TAXABLE-NEW TEXT")</f>
        <v xml:space="preserve">          4201 - SALES RETURN TAXABLE-NEW TEXT</v>
      </c>
      <c r="C76" s="10"/>
      <c r="D76" s="2">
        <f>-1101.25</f>
        <v>-1101.25</v>
      </c>
      <c r="E76" s="2"/>
      <c r="F76" s="19"/>
      <c r="G76" s="2"/>
      <c r="H76" s="2">
        <f t="shared" si="21"/>
        <v>0</v>
      </c>
      <c r="I76" s="2"/>
      <c r="J76" s="19"/>
      <c r="K76" s="2"/>
      <c r="L76" s="2">
        <f t="shared" si="0"/>
        <v>-1101.25</v>
      </c>
      <c r="M76" s="2"/>
      <c r="N76" s="19">
        <f t="shared" si="1"/>
        <v>0</v>
      </c>
      <c r="O76" s="10"/>
      <c r="P76" s="2">
        <f>-53397.67</f>
        <v>-53397.67</v>
      </c>
      <c r="Q76" s="2"/>
      <c r="R76" s="19"/>
      <c r="S76" s="2"/>
      <c r="T76" s="2">
        <f>-121451.61</f>
        <v>-121451.61</v>
      </c>
      <c r="U76" s="2"/>
      <c r="V76" s="19"/>
      <c r="W76" s="2"/>
      <c r="X76" s="2">
        <f t="shared" si="2"/>
        <v>68053.94</v>
      </c>
      <c r="Y76" s="2"/>
      <c r="Z76" s="19">
        <f t="shared" si="3"/>
        <v>-0.56033789918470411</v>
      </c>
    </row>
    <row r="77" spans="1:26" s="23" customFormat="1" hidden="1" outlineLevel="1" x14ac:dyDescent="0.25">
      <c r="A77" s="44"/>
      <c r="B77" s="10" t="str">
        <f>CONCATENATE("          ", "4202", " - ", "SALES RETURN TAXABLE-USED TEXT")</f>
        <v xml:space="preserve">          4202 - SALES RETURN TAXABLE-USED TEXT</v>
      </c>
      <c r="C77" s="10"/>
      <c r="D77" s="2">
        <f>-433.75</f>
        <v>-433.75</v>
      </c>
      <c r="E77" s="2"/>
      <c r="F77" s="19"/>
      <c r="G77" s="2"/>
      <c r="H77" s="2">
        <f>-186.35</f>
        <v>-186.35</v>
      </c>
      <c r="I77" s="2"/>
      <c r="J77" s="19"/>
      <c r="K77" s="2"/>
      <c r="L77" s="2">
        <f t="shared" si="0"/>
        <v>-247.4</v>
      </c>
      <c r="M77" s="2"/>
      <c r="N77" s="19">
        <f t="shared" si="1"/>
        <v>1.3276093372685807</v>
      </c>
      <c r="O77" s="10"/>
      <c r="P77" s="2">
        <f>-20889.41</f>
        <v>-20889.41</v>
      </c>
      <c r="Q77" s="2"/>
      <c r="R77" s="19"/>
      <c r="S77" s="2"/>
      <c r="T77" s="2">
        <f>-45799.46</f>
        <v>-45799.46</v>
      </c>
      <c r="U77" s="2"/>
      <c r="V77" s="19"/>
      <c r="W77" s="2"/>
      <c r="X77" s="2">
        <f t="shared" si="2"/>
        <v>24910.05</v>
      </c>
      <c r="Y77" s="2"/>
      <c r="Z77" s="19">
        <f t="shared" si="3"/>
        <v>-0.54389396730878481</v>
      </c>
    </row>
    <row r="78" spans="1:26" s="23" customFormat="1" hidden="1" outlineLevel="1" x14ac:dyDescent="0.25">
      <c r="A78" s="44"/>
      <c r="B78" s="10" t="str">
        <f>CONCATENATE("          ", "4203", " - ", "SALES RETURN TAXABLE-RENTAL TE")</f>
        <v xml:space="preserve">          4203 - SALES RETURN TAXABLE-RENTAL TE</v>
      </c>
      <c r="C78" s="10"/>
      <c r="D78" s="2">
        <f t="shared" ref="D78:D79" si="24">0</f>
        <v>0</v>
      </c>
      <c r="E78" s="2"/>
      <c r="F78" s="19"/>
      <c r="G78" s="2"/>
      <c r="H78" s="2">
        <f t="shared" ref="H78:H79" si="25">0</f>
        <v>0</v>
      </c>
      <c r="I78" s="2"/>
      <c r="J78" s="19"/>
      <c r="K78" s="2"/>
      <c r="L78" s="2">
        <f t="shared" si="0"/>
        <v>0</v>
      </c>
      <c r="M78" s="2"/>
      <c r="N78" s="19">
        <f t="shared" si="1"/>
        <v>0</v>
      </c>
      <c r="O78" s="10"/>
      <c r="P78" s="2">
        <f>0</f>
        <v>0</v>
      </c>
      <c r="Q78" s="2"/>
      <c r="R78" s="19"/>
      <c r="S78" s="2"/>
      <c r="T78" s="2">
        <f>-144.99</f>
        <v>-144.99</v>
      </c>
      <c r="U78" s="2"/>
      <c r="V78" s="19"/>
      <c r="W78" s="2"/>
      <c r="X78" s="2">
        <f t="shared" si="2"/>
        <v>144.99</v>
      </c>
      <c r="Y78" s="2"/>
      <c r="Z78" s="19">
        <f t="shared" si="3"/>
        <v>-1</v>
      </c>
    </row>
    <row r="79" spans="1:26" s="23" customFormat="1" hidden="1" outlineLevel="1" x14ac:dyDescent="0.25">
      <c r="A79" s="44"/>
      <c r="B79" s="10" t="str">
        <f>CONCATENATE("          ", "4204", " - ", "SALES RETURN TAXABLE-DIGITAL T")</f>
        <v xml:space="preserve">          4204 - SALES RETURN TAXABLE-DIGITAL T</v>
      </c>
      <c r="C79" s="10"/>
      <c r="D79" s="2">
        <f t="shared" si="24"/>
        <v>0</v>
      </c>
      <c r="E79" s="2"/>
      <c r="F79" s="19"/>
      <c r="G79" s="2"/>
      <c r="H79" s="2">
        <f t="shared" si="25"/>
        <v>0</v>
      </c>
      <c r="I79" s="2"/>
      <c r="J79" s="19"/>
      <c r="K79" s="2"/>
      <c r="L79" s="2">
        <f t="shared" si="0"/>
        <v>0</v>
      </c>
      <c r="M79" s="2"/>
      <c r="N79" s="19">
        <f t="shared" si="1"/>
        <v>0</v>
      </c>
      <c r="O79" s="10"/>
      <c r="P79" s="2">
        <f>-1763.1</f>
        <v>-1763.1</v>
      </c>
      <c r="Q79" s="2"/>
      <c r="R79" s="19"/>
      <c r="S79" s="2"/>
      <c r="T79" s="2">
        <f>-17255.33</f>
        <v>-17255.330000000002</v>
      </c>
      <c r="U79" s="2"/>
      <c r="V79" s="19"/>
      <c r="W79" s="2"/>
      <c r="X79" s="2">
        <f t="shared" si="2"/>
        <v>15492.230000000001</v>
      </c>
      <c r="Y79" s="2"/>
      <c r="Z79" s="19">
        <f t="shared" si="3"/>
        <v>-0.89782287559843832</v>
      </c>
    </row>
    <row r="80" spans="1:26" s="23" customFormat="1" hidden="1" outlineLevel="1" x14ac:dyDescent="0.25">
      <c r="A80" s="44"/>
      <c r="B80" s="10" t="str">
        <f>CONCATENATE("          ", "4213", " - ", "NON-TAXABLE SALES-TRADE BOOKS")</f>
        <v xml:space="preserve">          4213 - NON-TAXABLE SALES-TRADE BOOKS</v>
      </c>
      <c r="C80" s="10"/>
      <c r="D80" s="2">
        <f>-25</f>
        <v>-25</v>
      </c>
      <c r="E80" s="2"/>
      <c r="F80" s="19"/>
      <c r="G80" s="2"/>
      <c r="H80" s="2">
        <f>-100.7</f>
        <v>-100.7</v>
      </c>
      <c r="I80" s="2"/>
      <c r="J80" s="19"/>
      <c r="K80" s="2"/>
      <c r="L80" s="2">
        <f t="shared" si="0"/>
        <v>75.7</v>
      </c>
      <c r="M80" s="2"/>
      <c r="N80" s="19">
        <f t="shared" si="1"/>
        <v>-0.75173783515392256</v>
      </c>
      <c r="O80" s="10"/>
      <c r="P80" s="2">
        <f>-103.92</f>
        <v>-103.92</v>
      </c>
      <c r="Q80" s="2"/>
      <c r="R80" s="19"/>
      <c r="S80" s="2"/>
      <c r="T80" s="2">
        <f>-2869.37</f>
        <v>-2869.37</v>
      </c>
      <c r="U80" s="2"/>
      <c r="V80" s="19"/>
      <c r="W80" s="2"/>
      <c r="X80" s="2">
        <f t="shared" si="2"/>
        <v>2765.45</v>
      </c>
      <c r="Y80" s="2"/>
      <c r="Z80" s="19">
        <f t="shared" si="3"/>
        <v>-0.96378299069133644</v>
      </c>
    </row>
    <row r="81" spans="1:26" s="23" customFormat="1" hidden="1" outlineLevel="1" x14ac:dyDescent="0.25">
      <c r="A81" s="44"/>
      <c r="B81" s="10" t="str">
        <f>CONCATENATE("          ", "4214", " - ", "SALES RETURN TAXABLE-REMAINDER")</f>
        <v xml:space="preserve">          4214 - SALES RETURN TAXABLE-REMAINDER</v>
      </c>
      <c r="C81" s="10"/>
      <c r="D81" s="2">
        <f t="shared" ref="D81:D82" si="26">0</f>
        <v>0</v>
      </c>
      <c r="E81" s="2"/>
      <c r="F81" s="19"/>
      <c r="G81" s="2"/>
      <c r="H81" s="2">
        <f t="shared" ref="H81:H85" si="27">0</f>
        <v>0</v>
      </c>
      <c r="I81" s="2"/>
      <c r="J81" s="19"/>
      <c r="K81" s="2"/>
      <c r="L81" s="2">
        <f t="shared" si="0"/>
        <v>0</v>
      </c>
      <c r="M81" s="2"/>
      <c r="N81" s="19">
        <f t="shared" si="1"/>
        <v>0</v>
      </c>
      <c r="O81" s="10"/>
      <c r="P81" s="2">
        <f t="shared" ref="P81:P82" si="28">0</f>
        <v>0</v>
      </c>
      <c r="Q81" s="2"/>
      <c r="R81" s="19"/>
      <c r="S81" s="2"/>
      <c r="T81" s="2">
        <f>-11.94</f>
        <v>-11.94</v>
      </c>
      <c r="U81" s="2"/>
      <c r="V81" s="19"/>
      <c r="W81" s="2"/>
      <c r="X81" s="2">
        <f t="shared" si="2"/>
        <v>11.94</v>
      </c>
      <c r="Y81" s="2"/>
      <c r="Z81" s="19">
        <f t="shared" si="3"/>
        <v>-1</v>
      </c>
    </row>
    <row r="82" spans="1:26" s="23" customFormat="1" hidden="1" outlineLevel="1" x14ac:dyDescent="0.25">
      <c r="A82" s="44"/>
      <c r="B82" s="10" t="str">
        <f>CONCATENATE("          ", "4217", " - ", "NON-TAXABLE SALES-DORM/HOUSEWA")</f>
        <v xml:space="preserve">          4217 - NON-TAXABLE SALES-DORM/HOUSEWA</v>
      </c>
      <c r="C82" s="10"/>
      <c r="D82" s="2">
        <f t="shared" si="26"/>
        <v>0</v>
      </c>
      <c r="E82" s="2"/>
      <c r="F82" s="19"/>
      <c r="G82" s="2"/>
      <c r="H82" s="2">
        <f t="shared" si="27"/>
        <v>0</v>
      </c>
      <c r="I82" s="2"/>
      <c r="J82" s="19"/>
      <c r="K82" s="2"/>
      <c r="L82" s="2">
        <f t="shared" si="0"/>
        <v>0</v>
      </c>
      <c r="M82" s="2"/>
      <c r="N82" s="19">
        <f t="shared" si="1"/>
        <v>0</v>
      </c>
      <c r="O82" s="10"/>
      <c r="P82" s="2">
        <f t="shared" si="28"/>
        <v>0</v>
      </c>
      <c r="Q82" s="2"/>
      <c r="R82" s="19"/>
      <c r="S82" s="2"/>
      <c r="T82" s="2">
        <f>-2.98</f>
        <v>-2.98</v>
      </c>
      <c r="U82" s="2"/>
      <c r="V82" s="19"/>
      <c r="W82" s="2"/>
      <c r="X82" s="2">
        <f t="shared" si="2"/>
        <v>2.98</v>
      </c>
      <c r="Y82" s="2"/>
      <c r="Z82" s="19">
        <f t="shared" si="3"/>
        <v>-1</v>
      </c>
    </row>
    <row r="83" spans="1:26" s="23" customFormat="1" hidden="1" outlineLevel="1" x14ac:dyDescent="0.25">
      <c r="A83" s="44"/>
      <c r="B83" s="10" t="str">
        <f>CONCATENATE("          ", "4218", " - ", "SALES RETURN TAXABLE-STUDY GUI")</f>
        <v xml:space="preserve">          4218 - SALES RETURN TAXABLE-STUDY GUI</v>
      </c>
      <c r="C83" s="10"/>
      <c r="D83" s="2">
        <f>-23.44</f>
        <v>-23.44</v>
      </c>
      <c r="E83" s="2"/>
      <c r="F83" s="19"/>
      <c r="G83" s="2"/>
      <c r="H83" s="2">
        <f t="shared" si="27"/>
        <v>0</v>
      </c>
      <c r="I83" s="2"/>
      <c r="J83" s="19"/>
      <c r="K83" s="2"/>
      <c r="L83" s="2">
        <f t="shared" si="0"/>
        <v>-23.44</v>
      </c>
      <c r="M83" s="2"/>
      <c r="N83" s="19">
        <f t="shared" si="1"/>
        <v>0</v>
      </c>
      <c r="O83" s="10"/>
      <c r="P83" s="2">
        <f>-28.65</f>
        <v>-28.65</v>
      </c>
      <c r="Q83" s="2"/>
      <c r="R83" s="19"/>
      <c r="S83" s="2"/>
      <c r="T83" s="2">
        <f>-39.25</f>
        <v>-39.25</v>
      </c>
      <c r="U83" s="2"/>
      <c r="V83" s="19"/>
      <c r="W83" s="2"/>
      <c r="X83" s="2">
        <f t="shared" si="2"/>
        <v>10.600000000000001</v>
      </c>
      <c r="Y83" s="2"/>
      <c r="Z83" s="19">
        <f t="shared" si="3"/>
        <v>-0.27006369426751597</v>
      </c>
    </row>
    <row r="84" spans="1:26" s="23" customFormat="1" hidden="1" outlineLevel="1" x14ac:dyDescent="0.25">
      <c r="A84" s="44"/>
      <c r="B84" s="10" t="str">
        <f>CONCATENATE("          ", "4225", " - ", "SALES RETURN TAXABLE-TEST FORM")</f>
        <v xml:space="preserve">          4225 - SALES RETURN TAXABLE-TEST FORM</v>
      </c>
      <c r="C84" s="10"/>
      <c r="D84" s="2">
        <f t="shared" ref="D84:D85" si="29">0</f>
        <v>0</v>
      </c>
      <c r="E84" s="2"/>
      <c r="F84" s="19"/>
      <c r="G84" s="2"/>
      <c r="H84" s="2">
        <f t="shared" si="27"/>
        <v>0</v>
      </c>
      <c r="I84" s="2"/>
      <c r="J84" s="19"/>
      <c r="K84" s="2"/>
      <c r="L84" s="2">
        <f t="shared" si="0"/>
        <v>0</v>
      </c>
      <c r="M84" s="2"/>
      <c r="N84" s="19">
        <f t="shared" si="1"/>
        <v>0</v>
      </c>
      <c r="O84" s="10"/>
      <c r="P84" s="2">
        <f>0</f>
        <v>0</v>
      </c>
      <c r="Q84" s="2"/>
      <c r="R84" s="19"/>
      <c r="S84" s="2"/>
      <c r="T84" s="2">
        <f>-205.91</f>
        <v>-205.91</v>
      </c>
      <c r="U84" s="2"/>
      <c r="V84" s="19"/>
      <c r="W84" s="2"/>
      <c r="X84" s="2">
        <f t="shared" si="2"/>
        <v>205.91</v>
      </c>
      <c r="Y84" s="2"/>
      <c r="Z84" s="19">
        <f t="shared" si="3"/>
        <v>-1</v>
      </c>
    </row>
    <row r="85" spans="1:26" s="23" customFormat="1" hidden="1" outlineLevel="1" x14ac:dyDescent="0.25">
      <c r="A85" s="44"/>
      <c r="B85" s="10" t="str">
        <f>CONCATENATE("          ", "4226", " - ", "SALES RETURN TAXABLE-WRITING I")</f>
        <v xml:space="preserve">          4226 - SALES RETURN TAXABLE-WRITING I</v>
      </c>
      <c r="C85" s="10"/>
      <c r="D85" s="2">
        <f t="shared" si="29"/>
        <v>0</v>
      </c>
      <c r="E85" s="2"/>
      <c r="F85" s="19"/>
      <c r="G85" s="2"/>
      <c r="H85" s="2">
        <f t="shared" si="27"/>
        <v>0</v>
      </c>
      <c r="I85" s="2"/>
      <c r="J85" s="19"/>
      <c r="K85" s="2"/>
      <c r="L85" s="2">
        <f t="shared" si="0"/>
        <v>0</v>
      </c>
      <c r="M85" s="2"/>
      <c r="N85" s="19">
        <f t="shared" si="1"/>
        <v>0</v>
      </c>
      <c r="O85" s="10"/>
      <c r="P85" s="2">
        <f>-35.02</f>
        <v>-35.020000000000003</v>
      </c>
      <c r="Q85" s="2"/>
      <c r="R85" s="19"/>
      <c r="S85" s="2"/>
      <c r="T85" s="2">
        <f>-924.44</f>
        <v>-924.44</v>
      </c>
      <c r="U85" s="2"/>
      <c r="V85" s="19"/>
      <c r="W85" s="2"/>
      <c r="X85" s="2">
        <f t="shared" si="2"/>
        <v>889.42000000000007</v>
      </c>
      <c r="Y85" s="2"/>
      <c r="Z85" s="19">
        <f t="shared" si="3"/>
        <v>-0.96211760633464583</v>
      </c>
    </row>
    <row r="86" spans="1:26" s="23" customFormat="1" hidden="1" outlineLevel="1" x14ac:dyDescent="0.25">
      <c r="A86" s="44"/>
      <c r="B86" s="10" t="str">
        <f>CONCATENATE("          ", "4227", " - ", "SALES RETURN TAXABLE-SCHOOL SU")</f>
        <v xml:space="preserve">          4227 - SALES RETURN TAXABLE-SCHOOL SU</v>
      </c>
      <c r="C86" s="10"/>
      <c r="D86" s="2">
        <f>-80.63</f>
        <v>-80.63</v>
      </c>
      <c r="E86" s="2"/>
      <c r="F86" s="19"/>
      <c r="G86" s="2"/>
      <c r="H86" s="2">
        <f>-81.87</f>
        <v>-81.87</v>
      </c>
      <c r="I86" s="2"/>
      <c r="J86" s="19"/>
      <c r="K86" s="2"/>
      <c r="L86" s="2">
        <f t="shared" si="0"/>
        <v>1.2400000000000091</v>
      </c>
      <c r="M86" s="2"/>
      <c r="N86" s="19">
        <f t="shared" si="1"/>
        <v>-1.514596311225124E-2</v>
      </c>
      <c r="O86" s="10"/>
      <c r="P86" s="2">
        <f>-1565.11</f>
        <v>-1565.11</v>
      </c>
      <c r="Q86" s="2"/>
      <c r="R86" s="19"/>
      <c r="S86" s="2"/>
      <c r="T86" s="2">
        <f>-8728.9</f>
        <v>-8728.9</v>
      </c>
      <c r="U86" s="2"/>
      <c r="V86" s="19"/>
      <c r="W86" s="2"/>
      <c r="X86" s="2">
        <f t="shared" si="2"/>
        <v>7163.79</v>
      </c>
      <c r="Y86" s="2"/>
      <c r="Z86" s="19">
        <f t="shared" si="3"/>
        <v>-0.82069791153524507</v>
      </c>
    </row>
    <row r="87" spans="1:26" s="23" customFormat="1" hidden="1" outlineLevel="1" x14ac:dyDescent="0.25">
      <c r="A87" s="44"/>
      <c r="B87" s="10" t="str">
        <f>CONCATENATE("          ", "4228", " - ", "SALES RETURN TAXABLE-ART/TECH")</f>
        <v xml:space="preserve">          4228 - SALES RETURN TAXABLE-ART/TECH</v>
      </c>
      <c r="C87" s="10"/>
      <c r="D87" s="2">
        <f>-105.6</f>
        <v>-105.6</v>
      </c>
      <c r="E87" s="2"/>
      <c r="F87" s="19"/>
      <c r="G87" s="2"/>
      <c r="H87" s="2">
        <f t="shared" ref="H87:H88" si="30">0</f>
        <v>0</v>
      </c>
      <c r="I87" s="2"/>
      <c r="J87" s="19"/>
      <c r="K87" s="2"/>
      <c r="L87" s="2">
        <f t="shared" si="0"/>
        <v>-105.6</v>
      </c>
      <c r="M87" s="2"/>
      <c r="N87" s="19">
        <f t="shared" si="1"/>
        <v>0</v>
      </c>
      <c r="O87" s="10"/>
      <c r="P87" s="2">
        <f>-13079.33</f>
        <v>-13079.33</v>
      </c>
      <c r="Q87" s="2"/>
      <c r="R87" s="19"/>
      <c r="S87" s="2"/>
      <c r="T87" s="2">
        <f>-4739.1</f>
        <v>-4739.1000000000004</v>
      </c>
      <c r="U87" s="2"/>
      <c r="V87" s="19"/>
      <c r="W87" s="2"/>
      <c r="X87" s="2">
        <f t="shared" si="2"/>
        <v>-8340.23</v>
      </c>
      <c r="Y87" s="2"/>
      <c r="Z87" s="19">
        <f t="shared" si="3"/>
        <v>1.7598763478297565</v>
      </c>
    </row>
    <row r="88" spans="1:26" s="23" customFormat="1" hidden="1" outlineLevel="1" x14ac:dyDescent="0.25">
      <c r="A88" s="44"/>
      <c r="B88" s="10" t="str">
        <f>CONCATENATE("          ", "4233", " - ", "SALES RETURN TAXABLE-CANDY")</f>
        <v xml:space="preserve">          4233 - SALES RETURN TAXABLE-CANDY</v>
      </c>
      <c r="C88" s="10"/>
      <c r="D88" s="2">
        <f>0</f>
        <v>0</v>
      </c>
      <c r="E88" s="2"/>
      <c r="F88" s="19"/>
      <c r="G88" s="2"/>
      <c r="H88" s="2">
        <f t="shared" si="30"/>
        <v>0</v>
      </c>
      <c r="I88" s="2"/>
      <c r="J88" s="19"/>
      <c r="K88" s="2"/>
      <c r="L88" s="2">
        <f t="shared" si="0"/>
        <v>0</v>
      </c>
      <c r="M88" s="2"/>
      <c r="N88" s="19">
        <f t="shared" si="1"/>
        <v>0</v>
      </c>
      <c r="O88" s="10"/>
      <c r="P88" s="2">
        <f>0</f>
        <v>0</v>
      </c>
      <c r="Q88" s="2"/>
      <c r="R88" s="19"/>
      <c r="S88" s="2"/>
      <c r="T88" s="2">
        <f>-8.25</f>
        <v>-8.25</v>
      </c>
      <c r="U88" s="2"/>
      <c r="V88" s="19"/>
      <c r="W88" s="2"/>
      <c r="X88" s="2">
        <f t="shared" si="2"/>
        <v>8.25</v>
      </c>
      <c r="Y88" s="2"/>
      <c r="Z88" s="19">
        <f t="shared" si="3"/>
        <v>-1</v>
      </c>
    </row>
    <row r="89" spans="1:26" s="23" customFormat="1" hidden="1" outlineLevel="1" x14ac:dyDescent="0.25">
      <c r="A89" s="44"/>
      <c r="B89" s="10" t="str">
        <f>CONCATENATE("          ", "4240", " - ", "SALES RETURN TAXABLE-LOGO CLOT")</f>
        <v xml:space="preserve">          4240 - SALES RETURN TAXABLE-LOGO CLOT</v>
      </c>
      <c r="C89" s="10"/>
      <c r="D89" s="2">
        <f>-4795.71</f>
        <v>-4795.71</v>
      </c>
      <c r="E89" s="2"/>
      <c r="F89" s="19"/>
      <c r="G89" s="2"/>
      <c r="H89" s="2">
        <f>-2702.34</f>
        <v>-2702.34</v>
      </c>
      <c r="I89" s="2"/>
      <c r="J89" s="19"/>
      <c r="K89" s="2"/>
      <c r="L89" s="2">
        <f t="shared" si="0"/>
        <v>-2093.37</v>
      </c>
      <c r="M89" s="2"/>
      <c r="N89" s="19">
        <f t="shared" si="1"/>
        <v>0.77465085814516299</v>
      </c>
      <c r="O89" s="10"/>
      <c r="P89" s="2">
        <f>-51889.15</f>
        <v>-51889.15</v>
      </c>
      <c r="Q89" s="2"/>
      <c r="R89" s="19"/>
      <c r="S89" s="2"/>
      <c r="T89" s="2">
        <f>-80387.11</f>
        <v>-80387.11</v>
      </c>
      <c r="U89" s="2"/>
      <c r="V89" s="19"/>
      <c r="W89" s="2"/>
      <c r="X89" s="2">
        <f t="shared" si="2"/>
        <v>28497.96</v>
      </c>
      <c r="Y89" s="2"/>
      <c r="Z89" s="19">
        <f t="shared" si="3"/>
        <v>-0.35450907490019234</v>
      </c>
    </row>
    <row r="90" spans="1:26" s="23" customFormat="1" hidden="1" outlineLevel="1" x14ac:dyDescent="0.25">
      <c r="A90" s="44"/>
      <c r="B90" s="10" t="str">
        <f>CONCATENATE("          ", "4241", " - ", "SALES RETURN TAXABLE-LOGO GIFT")</f>
        <v xml:space="preserve">          4241 - SALES RETURN TAXABLE-LOGO GIFT</v>
      </c>
      <c r="C90" s="10"/>
      <c r="D90" s="2">
        <f>-1907.39</f>
        <v>-1907.39</v>
      </c>
      <c r="E90" s="2"/>
      <c r="F90" s="19"/>
      <c r="G90" s="2"/>
      <c r="H90" s="2">
        <f>-525.51</f>
        <v>-525.51</v>
      </c>
      <c r="I90" s="2"/>
      <c r="J90" s="19"/>
      <c r="K90" s="2"/>
      <c r="L90" s="2">
        <f t="shared" si="0"/>
        <v>-1381.88</v>
      </c>
      <c r="M90" s="2"/>
      <c r="N90" s="19">
        <f t="shared" si="1"/>
        <v>2.6295979144069572</v>
      </c>
      <c r="O90" s="10"/>
      <c r="P90" s="2">
        <f>-18587.93</f>
        <v>-18587.93</v>
      </c>
      <c r="Q90" s="2"/>
      <c r="R90" s="19"/>
      <c r="S90" s="2"/>
      <c r="T90" s="2">
        <f>-7990.78</f>
        <v>-7990.78</v>
      </c>
      <c r="U90" s="2"/>
      <c r="V90" s="19"/>
      <c r="W90" s="2"/>
      <c r="X90" s="2">
        <f t="shared" si="2"/>
        <v>-10597.150000000001</v>
      </c>
      <c r="Y90" s="2"/>
      <c r="Z90" s="19">
        <f t="shared" si="3"/>
        <v>1.3261721634183399</v>
      </c>
    </row>
    <row r="91" spans="1:26" s="23" customFormat="1" hidden="1" outlineLevel="1" x14ac:dyDescent="0.25">
      <c r="A91" s="44"/>
      <c r="B91" s="10" t="str">
        <f>CONCATENATE("          ", "4242", " - ", "SALES RETURN TAXABLE-EVERYDAY")</f>
        <v xml:space="preserve">          4242 - SALES RETURN TAXABLE-EVERYDAY</v>
      </c>
      <c r="C91" s="10"/>
      <c r="D91" s="2">
        <f>-131.98</f>
        <v>-131.97999999999999</v>
      </c>
      <c r="E91" s="2"/>
      <c r="F91" s="19"/>
      <c r="G91" s="2"/>
      <c r="H91" s="2">
        <f>-51.44</f>
        <v>-51.44</v>
      </c>
      <c r="I91" s="2"/>
      <c r="J91" s="19"/>
      <c r="K91" s="2"/>
      <c r="L91" s="2">
        <f t="shared" si="0"/>
        <v>-80.539999999999992</v>
      </c>
      <c r="M91" s="2"/>
      <c r="N91" s="19">
        <f t="shared" si="1"/>
        <v>1.5657076205287712</v>
      </c>
      <c r="O91" s="10"/>
      <c r="P91" s="2">
        <f>-2875.07</f>
        <v>-2875.07</v>
      </c>
      <c r="Q91" s="2"/>
      <c r="R91" s="19"/>
      <c r="S91" s="2"/>
      <c r="T91" s="2">
        <f>-4232.85</f>
        <v>-4232.8500000000004</v>
      </c>
      <c r="U91" s="2"/>
      <c r="V91" s="19"/>
      <c r="W91" s="2"/>
      <c r="X91" s="2">
        <f t="shared" si="2"/>
        <v>1357.7800000000002</v>
      </c>
      <c r="Y91" s="2"/>
      <c r="Z91" s="19">
        <f t="shared" si="3"/>
        <v>-0.32077205665213748</v>
      </c>
    </row>
    <row r="92" spans="1:26" s="23" customFormat="1" hidden="1" outlineLevel="1" x14ac:dyDescent="0.25">
      <c r="A92" s="44"/>
      <c r="B92" s="10" t="str">
        <f>CONCATENATE("          ", "4243", " - ", "SALES RETURN TAXABLE-CARDS")</f>
        <v xml:space="preserve">          4243 - SALES RETURN TAXABLE-CARDS</v>
      </c>
      <c r="C92" s="10"/>
      <c r="D92" s="2">
        <f>-9.99</f>
        <v>-9.99</v>
      </c>
      <c r="E92" s="2"/>
      <c r="F92" s="19"/>
      <c r="G92" s="2"/>
      <c r="H92" s="2">
        <f>-19.99</f>
        <v>-19.989999999999998</v>
      </c>
      <c r="I92" s="2"/>
      <c r="J92" s="19"/>
      <c r="K92" s="2"/>
      <c r="L92" s="2">
        <f t="shared" si="0"/>
        <v>9.9999999999999982</v>
      </c>
      <c r="M92" s="2"/>
      <c r="N92" s="19">
        <f t="shared" si="1"/>
        <v>-0.50025012506253119</v>
      </c>
      <c r="O92" s="10"/>
      <c r="P92" s="2">
        <f>-6228.98</f>
        <v>-6228.98</v>
      </c>
      <c r="Q92" s="2"/>
      <c r="R92" s="19"/>
      <c r="S92" s="2"/>
      <c r="T92" s="2">
        <f>-3026.3</f>
        <v>-3026.3</v>
      </c>
      <c r="U92" s="2"/>
      <c r="V92" s="19"/>
      <c r="W92" s="2"/>
      <c r="X92" s="2">
        <f t="shared" si="2"/>
        <v>-3202.6799999999994</v>
      </c>
      <c r="Y92" s="2"/>
      <c r="Z92" s="19">
        <f t="shared" si="3"/>
        <v>1.0582823910385617</v>
      </c>
    </row>
    <row r="93" spans="1:26" s="23" customFormat="1" hidden="1" outlineLevel="1" x14ac:dyDescent="0.25">
      <c r="A93" s="44"/>
      <c r="B93" s="10" t="str">
        <f>CONCATENATE("          ", "4244", " - ", "SALES RETURN TAXABLE-ACCESSORI")</f>
        <v xml:space="preserve">          4244 - SALES RETURN TAXABLE-ACCESSORI</v>
      </c>
      <c r="C93" s="10"/>
      <c r="D93" s="2">
        <f>-34.84</f>
        <v>-34.840000000000003</v>
      </c>
      <c r="E93" s="2"/>
      <c r="F93" s="19"/>
      <c r="G93" s="2"/>
      <c r="H93" s="2">
        <f>0</f>
        <v>0</v>
      </c>
      <c r="I93" s="2"/>
      <c r="J93" s="19"/>
      <c r="K93" s="2"/>
      <c r="L93" s="2">
        <f t="shared" si="0"/>
        <v>-34.840000000000003</v>
      </c>
      <c r="M93" s="2"/>
      <c r="N93" s="19">
        <f t="shared" si="1"/>
        <v>0</v>
      </c>
      <c r="O93" s="10"/>
      <c r="P93" s="2">
        <f>-1302.75</f>
        <v>-1302.75</v>
      </c>
      <c r="Q93" s="2"/>
      <c r="R93" s="19"/>
      <c r="S93" s="2"/>
      <c r="T93" s="2">
        <f>-2726.41</f>
        <v>-2726.41</v>
      </c>
      <c r="U93" s="2"/>
      <c r="V93" s="19"/>
      <c r="W93" s="2"/>
      <c r="X93" s="2">
        <f t="shared" si="2"/>
        <v>1423.6599999999999</v>
      </c>
      <c r="Y93" s="2"/>
      <c r="Z93" s="19">
        <f t="shared" si="3"/>
        <v>-0.52217384766047659</v>
      </c>
    </row>
    <row r="94" spans="1:26" s="23" customFormat="1" hidden="1" outlineLevel="1" x14ac:dyDescent="0.25">
      <c r="A94" s="44"/>
      <c r="B94" s="10" t="str">
        <f>CONCATENATE("          ", "4245", " - ", "SALES RETURN TAXABLE-SPECIAL O")</f>
        <v xml:space="preserve">          4245 - SALES RETURN TAXABLE-SPECIAL O</v>
      </c>
      <c r="C94" s="10"/>
      <c r="D94" s="2">
        <f>-3318.4</f>
        <v>-3318.4</v>
      </c>
      <c r="E94" s="2"/>
      <c r="F94" s="19"/>
      <c r="G94" s="2"/>
      <c r="H94" s="2">
        <f>-2187.5</f>
        <v>-2187.5</v>
      </c>
      <c r="I94" s="2"/>
      <c r="J94" s="19"/>
      <c r="K94" s="2"/>
      <c r="L94" s="2">
        <f t="shared" si="0"/>
        <v>-1130.9000000000001</v>
      </c>
      <c r="M94" s="2"/>
      <c r="N94" s="19">
        <f t="shared" si="1"/>
        <v>0.51698285714285719</v>
      </c>
      <c r="O94" s="10"/>
      <c r="P94" s="2">
        <f>-18779.13</f>
        <v>-18779.13</v>
      </c>
      <c r="Q94" s="2"/>
      <c r="R94" s="19"/>
      <c r="S94" s="2"/>
      <c r="T94" s="2">
        <f>-4097.53</f>
        <v>-4097.53</v>
      </c>
      <c r="U94" s="2"/>
      <c r="V94" s="19"/>
      <c r="W94" s="2"/>
      <c r="X94" s="2">
        <f t="shared" si="2"/>
        <v>-14681.600000000002</v>
      </c>
      <c r="Y94" s="2"/>
      <c r="Z94" s="19">
        <f t="shared" si="3"/>
        <v>3.5830366098600872</v>
      </c>
    </row>
    <row r="95" spans="1:26" s="23" customFormat="1" hidden="1" outlineLevel="1" x14ac:dyDescent="0.25">
      <c r="A95" s="44"/>
      <c r="B95" s="10" t="str">
        <f>CONCATENATE("          ", "4281", " - ", "SALES RETURN TAXABLE-ELECTRONI")</f>
        <v xml:space="preserve">          4281 - SALES RETURN TAXABLE-ELECTRONI</v>
      </c>
      <c r="C95" s="10"/>
      <c r="D95" s="2">
        <f t="shared" ref="D95:D97" si="31">0</f>
        <v>0</v>
      </c>
      <c r="E95" s="2"/>
      <c r="F95" s="19"/>
      <c r="G95" s="2"/>
      <c r="H95" s="2">
        <f>0</f>
        <v>0</v>
      </c>
      <c r="I95" s="2"/>
      <c r="J95" s="19"/>
      <c r="K95" s="2"/>
      <c r="L95" s="2">
        <f t="shared" si="0"/>
        <v>0</v>
      </c>
      <c r="M95" s="2"/>
      <c r="N95" s="19">
        <f t="shared" si="1"/>
        <v>0</v>
      </c>
      <c r="O95" s="10"/>
      <c r="P95" s="2">
        <f t="shared" ref="P95:P97" si="32">0</f>
        <v>0</v>
      </c>
      <c r="Q95" s="2"/>
      <c r="R95" s="19"/>
      <c r="S95" s="2"/>
      <c r="T95" s="2">
        <f>-54.97</f>
        <v>-54.97</v>
      </c>
      <c r="U95" s="2"/>
      <c r="V95" s="19"/>
      <c r="W95" s="2"/>
      <c r="X95" s="2">
        <f t="shared" si="2"/>
        <v>54.97</v>
      </c>
      <c r="Y95" s="2"/>
      <c r="Z95" s="19">
        <f t="shared" si="3"/>
        <v>-1</v>
      </c>
    </row>
    <row r="96" spans="1:26" s="23" customFormat="1" hidden="1" outlineLevel="1" x14ac:dyDescent="0.25">
      <c r="A96" s="44"/>
      <c r="B96" s="10" t="str">
        <f>CONCATENATE("          ", "4292", " - ", "SALES RETURN TAXABLE-GRAD MERC")</f>
        <v xml:space="preserve">          4292 - SALES RETURN TAXABLE-GRAD MERC</v>
      </c>
      <c r="C96" s="10"/>
      <c r="D96" s="2">
        <f t="shared" si="31"/>
        <v>0</v>
      </c>
      <c r="E96" s="2"/>
      <c r="F96" s="19"/>
      <c r="G96" s="2"/>
      <c r="H96" s="2">
        <f>-214.68</f>
        <v>-214.68</v>
      </c>
      <c r="I96" s="2"/>
      <c r="J96" s="19"/>
      <c r="K96" s="2"/>
      <c r="L96" s="2">
        <f t="shared" si="0"/>
        <v>214.68</v>
      </c>
      <c r="M96" s="2"/>
      <c r="N96" s="19">
        <f t="shared" si="1"/>
        <v>-1</v>
      </c>
      <c r="O96" s="10"/>
      <c r="P96" s="2">
        <f t="shared" si="32"/>
        <v>0</v>
      </c>
      <c r="Q96" s="2"/>
      <c r="R96" s="19"/>
      <c r="S96" s="2"/>
      <c r="T96" s="2">
        <f>-793.52</f>
        <v>-793.52</v>
      </c>
      <c r="U96" s="2"/>
      <c r="V96" s="19"/>
      <c r="W96" s="2"/>
      <c r="X96" s="2">
        <f t="shared" si="2"/>
        <v>793.52</v>
      </c>
      <c r="Y96" s="2"/>
      <c r="Z96" s="19">
        <f t="shared" si="3"/>
        <v>-1</v>
      </c>
    </row>
    <row r="97" spans="1:26" s="23" customFormat="1" hidden="1" outlineLevel="1" x14ac:dyDescent="0.25">
      <c r="A97" s="44"/>
      <c r="B97" s="10" t="str">
        <f>CONCATENATE("          ", "4295", " - ", "SALES RETURN TAXABLE-CUSTOMER")</f>
        <v xml:space="preserve">          4295 - SALES RETURN TAXABLE-CUSTOMER</v>
      </c>
      <c r="C97" s="10"/>
      <c r="D97" s="2">
        <f t="shared" si="31"/>
        <v>0</v>
      </c>
      <c r="E97" s="2"/>
      <c r="F97" s="19"/>
      <c r="G97" s="2"/>
      <c r="H97" s="2">
        <f>0</f>
        <v>0</v>
      </c>
      <c r="I97" s="2"/>
      <c r="J97" s="19"/>
      <c r="K97" s="2"/>
      <c r="L97" s="2">
        <f t="shared" si="0"/>
        <v>0</v>
      </c>
      <c r="M97" s="2"/>
      <c r="N97" s="19">
        <f t="shared" si="1"/>
        <v>0</v>
      </c>
      <c r="O97" s="10"/>
      <c r="P97" s="2">
        <f t="shared" si="32"/>
        <v>0</v>
      </c>
      <c r="Q97" s="2"/>
      <c r="R97" s="19"/>
      <c r="S97" s="2"/>
      <c r="T97" s="2">
        <f>--0.99</f>
        <v>0.99</v>
      </c>
      <c r="U97" s="2"/>
      <c r="V97" s="19"/>
      <c r="W97" s="2"/>
      <c r="X97" s="2">
        <f t="shared" si="2"/>
        <v>-0.99</v>
      </c>
      <c r="Y97" s="2"/>
      <c r="Z97" s="19">
        <f t="shared" si="3"/>
        <v>-1</v>
      </c>
    </row>
    <row r="98" spans="1:26" s="23" customFormat="1" hidden="1" outlineLevel="1" x14ac:dyDescent="0.25">
      <c r="A98" s="44"/>
      <c r="B98" s="10" t="str">
        <f>CONCATENATE("          ", "4301", " - ", "SALES RETURN NON TAXABLE-NEW T")</f>
        <v xml:space="preserve">          4301 - SALES RETURN NON TAXABLE-NEW T</v>
      </c>
      <c r="C98" s="10"/>
      <c r="D98" s="2">
        <f>-169.32</f>
        <v>-169.32</v>
      </c>
      <c r="E98" s="2"/>
      <c r="F98" s="19"/>
      <c r="G98" s="2"/>
      <c r="H98" s="2">
        <f>-253.49</f>
        <v>-253.49</v>
      </c>
      <c r="I98" s="2"/>
      <c r="J98" s="19"/>
      <c r="K98" s="2"/>
      <c r="L98" s="2">
        <f t="shared" si="0"/>
        <v>84.170000000000016</v>
      </c>
      <c r="M98" s="2"/>
      <c r="N98" s="19">
        <f t="shared" si="1"/>
        <v>-0.33204465659394855</v>
      </c>
      <c r="O98" s="10"/>
      <c r="P98" s="2">
        <f>-4965.68</f>
        <v>-4965.68</v>
      </c>
      <c r="Q98" s="2"/>
      <c r="R98" s="19"/>
      <c r="S98" s="2"/>
      <c r="T98" s="2">
        <f>-21543.36</f>
        <v>-21543.360000000001</v>
      </c>
      <c r="U98" s="2"/>
      <c r="V98" s="19"/>
      <c r="W98" s="2"/>
      <c r="X98" s="2">
        <f t="shared" si="2"/>
        <v>16577.68</v>
      </c>
      <c r="Y98" s="2"/>
      <c r="Z98" s="19">
        <f t="shared" si="3"/>
        <v>-0.76950299303358438</v>
      </c>
    </row>
    <row r="99" spans="1:26" s="23" customFormat="1" hidden="1" outlineLevel="1" x14ac:dyDescent="0.25">
      <c r="A99" s="44"/>
      <c r="B99" s="10" t="str">
        <f>CONCATENATE("          ", "4302", " - ", "SALES RETURN NON TAXABLE-TEXT")</f>
        <v xml:space="preserve">          4302 - SALES RETURN NON TAXABLE-TEXT</v>
      </c>
      <c r="C99" s="10"/>
      <c r="D99" s="2">
        <f>-111.43</f>
        <v>-111.43</v>
      </c>
      <c r="E99" s="2"/>
      <c r="F99" s="19"/>
      <c r="G99" s="2"/>
      <c r="H99" s="2">
        <f>-95.75</f>
        <v>-95.75</v>
      </c>
      <c r="I99" s="2"/>
      <c r="J99" s="19"/>
      <c r="K99" s="2"/>
      <c r="L99" s="2">
        <f t="shared" si="0"/>
        <v>-15.680000000000007</v>
      </c>
      <c r="M99" s="2"/>
      <c r="N99" s="19">
        <f t="shared" si="1"/>
        <v>0.16375979112271546</v>
      </c>
      <c r="O99" s="10"/>
      <c r="P99" s="2">
        <f>-2688.97</f>
        <v>-2688.97</v>
      </c>
      <c r="Q99" s="2"/>
      <c r="R99" s="19"/>
      <c r="S99" s="2"/>
      <c r="T99" s="2">
        <f>-1475.62</f>
        <v>-1475.62</v>
      </c>
      <c r="U99" s="2"/>
      <c r="V99" s="19"/>
      <c r="W99" s="2"/>
      <c r="X99" s="2">
        <f t="shared" si="2"/>
        <v>-1213.3499999999999</v>
      </c>
      <c r="Y99" s="2"/>
      <c r="Z99" s="19">
        <f t="shared" si="3"/>
        <v>0.82226453965112967</v>
      </c>
    </row>
    <row r="100" spans="1:26" s="23" customFormat="1" hidden="1" outlineLevel="1" x14ac:dyDescent="0.25">
      <c r="A100" s="44"/>
      <c r="B100" s="10" t="str">
        <f>CONCATENATE("          ", "4303", " - ", "SALES RETURN NON-TAXABLE-RENTA")</f>
        <v xml:space="preserve">          4303 - SALES RETURN NON-TAXABLE-RENTA</v>
      </c>
      <c r="C100" s="10"/>
      <c r="D100" s="2">
        <f>0</f>
        <v>0</v>
      </c>
      <c r="E100" s="2"/>
      <c r="F100" s="19"/>
      <c r="G100" s="2"/>
      <c r="H100" s="2">
        <f>0</f>
        <v>0</v>
      </c>
      <c r="I100" s="2"/>
      <c r="J100" s="19"/>
      <c r="K100" s="2"/>
      <c r="L100" s="2">
        <f t="shared" si="0"/>
        <v>0</v>
      </c>
      <c r="M100" s="2"/>
      <c r="N100" s="19">
        <f t="shared" si="1"/>
        <v>0</v>
      </c>
      <c r="O100" s="10"/>
      <c r="P100" s="2">
        <f>0</f>
        <v>0</v>
      </c>
      <c r="Q100" s="2"/>
      <c r="R100" s="19"/>
      <c r="S100" s="2"/>
      <c r="T100" s="2">
        <f>-184.99</f>
        <v>-184.99</v>
      </c>
      <c r="U100" s="2"/>
      <c r="V100" s="19"/>
      <c r="W100" s="2"/>
      <c r="X100" s="2">
        <f t="shared" si="2"/>
        <v>184.99</v>
      </c>
      <c r="Y100" s="2"/>
      <c r="Z100" s="19">
        <f t="shared" si="3"/>
        <v>-1</v>
      </c>
    </row>
    <row r="101" spans="1:26" s="23" customFormat="1" hidden="1" outlineLevel="1" x14ac:dyDescent="0.25">
      <c r="A101" s="44"/>
      <c r="B101" s="10" t="str">
        <f>CONCATENATE("          ", "4304", " - ", "SALES RETURN NON TAXABLE-DIGIT")</f>
        <v xml:space="preserve">          4304 - SALES RETURN NON TAXABLE-DIGIT</v>
      </c>
      <c r="C101" s="10"/>
      <c r="D101" s="2">
        <f>-144.89</f>
        <v>-144.88999999999999</v>
      </c>
      <c r="E101" s="2"/>
      <c r="F101" s="19"/>
      <c r="G101" s="2"/>
      <c r="H101" s="2">
        <f>-398.87</f>
        <v>-398.87</v>
      </c>
      <c r="I101" s="2"/>
      <c r="J101" s="19"/>
      <c r="K101" s="2"/>
      <c r="L101" s="2">
        <f t="shared" si="0"/>
        <v>253.98000000000002</v>
      </c>
      <c r="M101" s="2"/>
      <c r="N101" s="19">
        <f t="shared" si="1"/>
        <v>-0.63674881540351502</v>
      </c>
      <c r="O101" s="10"/>
      <c r="P101" s="2">
        <f>-31026.87</f>
        <v>-31026.87</v>
      </c>
      <c r="Q101" s="2"/>
      <c r="R101" s="19"/>
      <c r="S101" s="2"/>
      <c r="T101" s="2">
        <f>-19873.2</f>
        <v>-19873.2</v>
      </c>
      <c r="U101" s="2"/>
      <c r="V101" s="19"/>
      <c r="W101" s="2"/>
      <c r="X101" s="2">
        <f t="shared" si="2"/>
        <v>-11153.669999999998</v>
      </c>
      <c r="Y101" s="2"/>
      <c r="Z101" s="19">
        <f t="shared" si="3"/>
        <v>0.56124177283980425</v>
      </c>
    </row>
    <row r="102" spans="1:26" s="23" customFormat="1" hidden="1" outlineLevel="1" x14ac:dyDescent="0.25">
      <c r="A102" s="44"/>
      <c r="B102" s="10" t="str">
        <f>CONCATENATE("          ", "4311", " - ", "SALES RETURN NON TAXABLE-NO VA")</f>
        <v xml:space="preserve">          4311 - SALES RETURN NON TAXABLE-NO VA</v>
      </c>
      <c r="C102" s="10"/>
      <c r="D102" s="2">
        <f t="shared" ref="D102:D107" si="33">0</f>
        <v>0</v>
      </c>
      <c r="E102" s="2"/>
      <c r="F102" s="19"/>
      <c r="G102" s="2"/>
      <c r="H102" s="2">
        <f>-70.37</f>
        <v>-70.37</v>
      </c>
      <c r="I102" s="2"/>
      <c r="J102" s="19"/>
      <c r="K102" s="2"/>
      <c r="L102" s="2">
        <f t="shared" si="0"/>
        <v>70.37</v>
      </c>
      <c r="M102" s="2"/>
      <c r="N102" s="19">
        <f t="shared" si="1"/>
        <v>-1</v>
      </c>
      <c r="O102" s="10"/>
      <c r="P102" s="2">
        <f t="shared" ref="P102:P104" si="34">0</f>
        <v>0</v>
      </c>
      <c r="Q102" s="2"/>
      <c r="R102" s="19"/>
      <c r="S102" s="2"/>
      <c r="T102" s="2">
        <f>-1011.65</f>
        <v>-1011.65</v>
      </c>
      <c r="U102" s="2"/>
      <c r="V102" s="19"/>
      <c r="W102" s="2"/>
      <c r="X102" s="2">
        <f t="shared" si="2"/>
        <v>1011.65</v>
      </c>
      <c r="Y102" s="2"/>
      <c r="Z102" s="19">
        <f t="shared" si="3"/>
        <v>-1</v>
      </c>
    </row>
    <row r="103" spans="1:26" s="23" customFormat="1" hidden="1" outlineLevel="1" x14ac:dyDescent="0.25">
      <c r="A103" s="44"/>
      <c r="B103" s="10" t="str">
        <f>CONCATENATE("          ", "4313", " - ", "SALES RETURN NON TAXABLE-TRADE")</f>
        <v xml:space="preserve">          4313 - SALES RETURN NON TAXABLE-TRADE</v>
      </c>
      <c r="C103" s="10"/>
      <c r="D103" s="2">
        <f t="shared" si="33"/>
        <v>0</v>
      </c>
      <c r="E103" s="2"/>
      <c r="F103" s="19"/>
      <c r="G103" s="2"/>
      <c r="H103" s="2">
        <f>0</f>
        <v>0</v>
      </c>
      <c r="I103" s="2"/>
      <c r="J103" s="19"/>
      <c r="K103" s="2"/>
      <c r="L103" s="2">
        <f t="shared" si="0"/>
        <v>0</v>
      </c>
      <c r="M103" s="2"/>
      <c r="N103" s="19">
        <f t="shared" si="1"/>
        <v>0</v>
      </c>
      <c r="O103" s="10"/>
      <c r="P103" s="2">
        <f t="shared" si="34"/>
        <v>0</v>
      </c>
      <c r="Q103" s="2"/>
      <c r="R103" s="19"/>
      <c r="S103" s="2"/>
      <c r="T103" s="2">
        <f>-2481.44</f>
        <v>-2481.44</v>
      </c>
      <c r="U103" s="2"/>
      <c r="V103" s="19"/>
      <c r="W103" s="2"/>
      <c r="X103" s="2">
        <f t="shared" si="2"/>
        <v>2481.44</v>
      </c>
      <c r="Y103" s="2"/>
      <c r="Z103" s="19">
        <f t="shared" si="3"/>
        <v>-1</v>
      </c>
    </row>
    <row r="104" spans="1:26" s="23" customFormat="1" hidden="1" outlineLevel="1" x14ac:dyDescent="0.25">
      <c r="A104" s="44"/>
      <c r="B104" s="10" t="str">
        <f>CONCATENATE("          ", "4326", " - ", "SALES RETURN NON TAXABLE-WRITI")</f>
        <v xml:space="preserve">          4326 - SALES RETURN NON TAXABLE-WRITI</v>
      </c>
      <c r="C104" s="10"/>
      <c r="D104" s="2">
        <f t="shared" si="33"/>
        <v>0</v>
      </c>
      <c r="E104" s="2"/>
      <c r="F104" s="19"/>
      <c r="G104" s="2"/>
      <c r="H104" s="2">
        <f>-2.98</f>
        <v>-2.98</v>
      </c>
      <c r="I104" s="2"/>
      <c r="J104" s="19"/>
      <c r="K104" s="2"/>
      <c r="L104" s="2">
        <f t="shared" si="0"/>
        <v>2.98</v>
      </c>
      <c r="M104" s="2"/>
      <c r="N104" s="19">
        <f t="shared" si="1"/>
        <v>-1</v>
      </c>
      <c r="O104" s="10"/>
      <c r="P104" s="2">
        <f t="shared" si="34"/>
        <v>0</v>
      </c>
      <c r="Q104" s="2"/>
      <c r="R104" s="19"/>
      <c r="S104" s="2"/>
      <c r="T104" s="2">
        <f>-2.98</f>
        <v>-2.98</v>
      </c>
      <c r="U104" s="2"/>
      <c r="V104" s="19"/>
      <c r="W104" s="2"/>
      <c r="X104" s="2">
        <f t="shared" si="2"/>
        <v>2.98</v>
      </c>
      <c r="Y104" s="2"/>
      <c r="Z104" s="19">
        <f t="shared" si="3"/>
        <v>-1</v>
      </c>
    </row>
    <row r="105" spans="1:26" s="23" customFormat="1" hidden="1" outlineLevel="1" x14ac:dyDescent="0.25">
      <c r="A105" s="44"/>
      <c r="B105" s="10" t="str">
        <f>CONCATENATE("          ", "4327", " - ", "SALES RETURN NON TAXABLE-SCHOO")</f>
        <v xml:space="preserve">          4327 - SALES RETURN NON TAXABLE-SCHOO</v>
      </c>
      <c r="C105" s="10"/>
      <c r="D105" s="2">
        <f t="shared" si="33"/>
        <v>0</v>
      </c>
      <c r="E105" s="2"/>
      <c r="F105" s="19"/>
      <c r="G105" s="2"/>
      <c r="H105" s="2">
        <f t="shared" ref="H105:H107" si="35">0</f>
        <v>0</v>
      </c>
      <c r="I105" s="2"/>
      <c r="J105" s="19"/>
      <c r="K105" s="2"/>
      <c r="L105" s="2">
        <f t="shared" si="0"/>
        <v>0</v>
      </c>
      <c r="M105" s="2"/>
      <c r="N105" s="19">
        <f t="shared" si="1"/>
        <v>0</v>
      </c>
      <c r="O105" s="10"/>
      <c r="P105" s="2">
        <f>-17.41</f>
        <v>-17.41</v>
      </c>
      <c r="Q105" s="2"/>
      <c r="R105" s="19"/>
      <c r="S105" s="2"/>
      <c r="T105" s="2">
        <f>-21.87</f>
        <v>-21.87</v>
      </c>
      <c r="U105" s="2"/>
      <c r="V105" s="19"/>
      <c r="W105" s="2"/>
      <c r="X105" s="2">
        <f t="shared" si="2"/>
        <v>4.4600000000000009</v>
      </c>
      <c r="Y105" s="2"/>
      <c r="Z105" s="19">
        <f t="shared" si="3"/>
        <v>-0.20393232738911754</v>
      </c>
    </row>
    <row r="106" spans="1:26" s="23" customFormat="1" hidden="1" outlineLevel="1" x14ac:dyDescent="0.25">
      <c r="A106" s="44"/>
      <c r="B106" s="10" t="str">
        <f>CONCATENATE("          ", "4331", " - ", "SALES RETURN NON TAXABLE-FOOD")</f>
        <v xml:space="preserve">          4331 - SALES RETURN NON TAXABLE-FOOD</v>
      </c>
      <c r="C106" s="10"/>
      <c r="D106" s="2">
        <f t="shared" si="33"/>
        <v>0</v>
      </c>
      <c r="E106" s="2"/>
      <c r="F106" s="19"/>
      <c r="G106" s="2"/>
      <c r="H106" s="2">
        <f t="shared" si="35"/>
        <v>0</v>
      </c>
      <c r="I106" s="2"/>
      <c r="J106" s="19"/>
      <c r="K106" s="2"/>
      <c r="L106" s="2">
        <f t="shared" si="0"/>
        <v>0</v>
      </c>
      <c r="M106" s="2"/>
      <c r="N106" s="19">
        <f t="shared" si="1"/>
        <v>0</v>
      </c>
      <c r="O106" s="10"/>
      <c r="P106" s="2">
        <f t="shared" ref="P106:P107" si="36">0</f>
        <v>0</v>
      </c>
      <c r="Q106" s="2"/>
      <c r="R106" s="19"/>
      <c r="S106" s="2"/>
      <c r="T106" s="2">
        <f>-12.57</f>
        <v>-12.57</v>
      </c>
      <c r="U106" s="2"/>
      <c r="V106" s="19"/>
      <c r="W106" s="2"/>
      <c r="X106" s="2">
        <f t="shared" si="2"/>
        <v>12.57</v>
      </c>
      <c r="Y106" s="2"/>
      <c r="Z106" s="19">
        <f t="shared" si="3"/>
        <v>-1</v>
      </c>
    </row>
    <row r="107" spans="1:26" s="23" customFormat="1" hidden="1" outlineLevel="1" x14ac:dyDescent="0.25">
      <c r="A107" s="44"/>
      <c r="B107" s="10" t="str">
        <f>CONCATENATE("          ", "4332", " - ", "SALES RETURN NON TAXABLE-JUICE")</f>
        <v xml:space="preserve">          4332 - SALES RETURN NON TAXABLE-JUICE</v>
      </c>
      <c r="C107" s="10"/>
      <c r="D107" s="2">
        <f t="shared" si="33"/>
        <v>0</v>
      </c>
      <c r="E107" s="2"/>
      <c r="F107" s="19"/>
      <c r="G107" s="2"/>
      <c r="H107" s="2">
        <f t="shared" si="35"/>
        <v>0</v>
      </c>
      <c r="I107" s="2"/>
      <c r="J107" s="19"/>
      <c r="K107" s="2"/>
      <c r="L107" s="2">
        <f t="shared" si="0"/>
        <v>0</v>
      </c>
      <c r="M107" s="2"/>
      <c r="N107" s="19">
        <f t="shared" si="1"/>
        <v>0</v>
      </c>
      <c r="O107" s="10"/>
      <c r="P107" s="2">
        <f t="shared" si="36"/>
        <v>0</v>
      </c>
      <c r="Q107" s="2"/>
      <c r="R107" s="19"/>
      <c r="S107" s="2"/>
      <c r="T107" s="2">
        <f>-2.79</f>
        <v>-2.79</v>
      </c>
      <c r="U107" s="2"/>
      <c r="V107" s="19"/>
      <c r="W107" s="2"/>
      <c r="X107" s="2">
        <f t="shared" si="2"/>
        <v>2.79</v>
      </c>
      <c r="Y107" s="2"/>
      <c r="Z107" s="19">
        <f t="shared" si="3"/>
        <v>-1</v>
      </c>
    </row>
    <row r="108" spans="1:26" s="23" customFormat="1" hidden="1" outlineLevel="1" x14ac:dyDescent="0.25">
      <c r="A108" s="44"/>
      <c r="B108" s="10" t="str">
        <f>CONCATENATE("          ", "4340", " - ", "SALES RETURN NON TAXABLE-LOGO")</f>
        <v xml:space="preserve">          4340 - SALES RETURN NON TAXABLE-LOGO</v>
      </c>
      <c r="C108" s="10"/>
      <c r="D108" s="2">
        <f>-286.5</f>
        <v>-286.5</v>
      </c>
      <c r="E108" s="2"/>
      <c r="F108" s="19"/>
      <c r="G108" s="2"/>
      <c r="H108" s="2">
        <f>-1045.65</f>
        <v>-1045.6500000000001</v>
      </c>
      <c r="I108" s="2"/>
      <c r="J108" s="19"/>
      <c r="K108" s="2"/>
      <c r="L108" s="2">
        <f t="shared" si="0"/>
        <v>759.15000000000009</v>
      </c>
      <c r="M108" s="2"/>
      <c r="N108" s="19">
        <f t="shared" si="1"/>
        <v>-0.72600774637785115</v>
      </c>
      <c r="O108" s="10"/>
      <c r="P108" s="2">
        <f>-3737.76</f>
        <v>-3737.76</v>
      </c>
      <c r="Q108" s="2"/>
      <c r="R108" s="19"/>
      <c r="S108" s="2"/>
      <c r="T108" s="2">
        <f>-2664.48</f>
        <v>-2664.48</v>
      </c>
      <c r="U108" s="2"/>
      <c r="V108" s="19"/>
      <c r="W108" s="2"/>
      <c r="X108" s="2">
        <f t="shared" si="2"/>
        <v>-1073.2800000000002</v>
      </c>
      <c r="Y108" s="2"/>
      <c r="Z108" s="19">
        <f t="shared" si="3"/>
        <v>0.40281030444964877</v>
      </c>
    </row>
    <row r="109" spans="1:26" s="23" customFormat="1" hidden="1" outlineLevel="1" x14ac:dyDescent="0.25">
      <c r="A109" s="44"/>
      <c r="B109" s="10" t="str">
        <f>CONCATENATE("          ", "4341", " - ", "SALES RETURN NON TAXABLE-LOGO")</f>
        <v xml:space="preserve">          4341 - SALES RETURN NON TAXABLE-LOGO</v>
      </c>
      <c r="C109" s="10"/>
      <c r="D109" s="2">
        <f>-20.85</f>
        <v>-20.85</v>
      </c>
      <c r="E109" s="2"/>
      <c r="F109" s="19"/>
      <c r="G109" s="2"/>
      <c r="H109" s="2">
        <f>-9.9</f>
        <v>-9.9</v>
      </c>
      <c r="I109" s="2"/>
      <c r="J109" s="19"/>
      <c r="K109" s="2"/>
      <c r="L109" s="2">
        <f t="shared" si="0"/>
        <v>-10.950000000000001</v>
      </c>
      <c r="M109" s="2"/>
      <c r="N109" s="19">
        <f t="shared" si="1"/>
        <v>1.1060606060606062</v>
      </c>
      <c r="O109" s="10"/>
      <c r="P109" s="2">
        <f>-527.59</f>
        <v>-527.59</v>
      </c>
      <c r="Q109" s="2"/>
      <c r="R109" s="19"/>
      <c r="S109" s="2"/>
      <c r="T109" s="2">
        <f>-295.35</f>
        <v>-295.35000000000002</v>
      </c>
      <c r="U109" s="2"/>
      <c r="V109" s="19"/>
      <c r="W109" s="2"/>
      <c r="X109" s="2">
        <f t="shared" si="2"/>
        <v>-232.24</v>
      </c>
      <c r="Y109" s="2"/>
      <c r="Z109" s="19">
        <f t="shared" si="3"/>
        <v>0.78632131369561531</v>
      </c>
    </row>
    <row r="110" spans="1:26" s="23" customFormat="1" hidden="1" outlineLevel="1" x14ac:dyDescent="0.25">
      <c r="A110" s="44"/>
      <c r="B110" s="10" t="str">
        <f>CONCATENATE("          ", "4342", " - ", "SALES RETURN NON TAXABLE-EVERY")</f>
        <v xml:space="preserve">          4342 - SALES RETURN NON TAXABLE-EVERY</v>
      </c>
      <c r="C110" s="10"/>
      <c r="D110" s="2">
        <f t="shared" ref="D110:D112" si="37">0</f>
        <v>0</v>
      </c>
      <c r="E110" s="2"/>
      <c r="F110" s="19"/>
      <c r="G110" s="2"/>
      <c r="H110" s="2">
        <f>-36.8</f>
        <v>-36.799999999999997</v>
      </c>
      <c r="I110" s="2"/>
      <c r="J110" s="19"/>
      <c r="K110" s="2"/>
      <c r="L110" s="2">
        <f t="shared" si="0"/>
        <v>36.799999999999997</v>
      </c>
      <c r="M110" s="2"/>
      <c r="N110" s="19">
        <f t="shared" si="1"/>
        <v>-1</v>
      </c>
      <c r="O110" s="10"/>
      <c r="P110" s="2">
        <f>-118.7</f>
        <v>-118.7</v>
      </c>
      <c r="Q110" s="2"/>
      <c r="R110" s="19"/>
      <c r="S110" s="2"/>
      <c r="T110" s="2">
        <f>-186.02</f>
        <v>-186.02</v>
      </c>
      <c r="U110" s="2"/>
      <c r="V110" s="19"/>
      <c r="W110" s="2"/>
      <c r="X110" s="2">
        <f t="shared" si="2"/>
        <v>67.320000000000007</v>
      </c>
      <c r="Y110" s="2"/>
      <c r="Z110" s="19">
        <f t="shared" si="3"/>
        <v>-0.36189657026126226</v>
      </c>
    </row>
    <row r="111" spans="1:26" s="23" customFormat="1" hidden="1" outlineLevel="1" x14ac:dyDescent="0.25">
      <c r="A111" s="44"/>
      <c r="B111" s="10" t="str">
        <f>CONCATENATE("          ", "4346", " - ", "SALES RETURN NON TAXABLE-COIN-")</f>
        <v xml:space="preserve">          4346 - SALES RETURN NON TAXABLE-COIN-</v>
      </c>
      <c r="C111" s="10"/>
      <c r="D111" s="2">
        <f t="shared" si="37"/>
        <v>0</v>
      </c>
      <c r="E111" s="2"/>
      <c r="F111" s="19"/>
      <c r="G111" s="2"/>
      <c r="H111" s="2">
        <f t="shared" ref="H111:H112" si="38">0</f>
        <v>0</v>
      </c>
      <c r="I111" s="2"/>
      <c r="J111" s="19"/>
      <c r="K111" s="2"/>
      <c r="L111" s="2">
        <f t="shared" si="0"/>
        <v>0</v>
      </c>
      <c r="M111" s="2"/>
      <c r="N111" s="19">
        <f t="shared" si="1"/>
        <v>0</v>
      </c>
      <c r="O111" s="10"/>
      <c r="P111" s="2">
        <f t="shared" ref="P111:P112" si="39">0</f>
        <v>0</v>
      </c>
      <c r="Q111" s="2"/>
      <c r="R111" s="19"/>
      <c r="S111" s="2"/>
      <c r="T111" s="2">
        <f>-8.15</f>
        <v>-8.15</v>
      </c>
      <c r="U111" s="2"/>
      <c r="V111" s="19"/>
      <c r="W111" s="2"/>
      <c r="X111" s="2">
        <f t="shared" si="2"/>
        <v>8.15</v>
      </c>
      <c r="Y111" s="2"/>
      <c r="Z111" s="19">
        <f t="shared" si="3"/>
        <v>-1</v>
      </c>
    </row>
    <row r="112" spans="1:26" s="23" customFormat="1" hidden="1" outlineLevel="1" x14ac:dyDescent="0.25">
      <c r="A112" s="44"/>
      <c r="B112" s="10" t="str">
        <f>CONCATENATE("          ", "4347", " - ", "SALES RETURN NON TAXABLE-MISC")</f>
        <v xml:space="preserve">          4347 - SALES RETURN NON TAXABLE-MISC</v>
      </c>
      <c r="C112" s="10"/>
      <c r="D112" s="2">
        <f t="shared" si="37"/>
        <v>0</v>
      </c>
      <c r="E112" s="2"/>
      <c r="F112" s="19"/>
      <c r="G112" s="2"/>
      <c r="H112" s="2">
        <f t="shared" si="38"/>
        <v>0</v>
      </c>
      <c r="I112" s="2"/>
      <c r="J112" s="19"/>
      <c r="K112" s="2"/>
      <c r="L112" s="2">
        <f t="shared" si="0"/>
        <v>0</v>
      </c>
      <c r="M112" s="2"/>
      <c r="N112" s="19">
        <f t="shared" si="1"/>
        <v>0</v>
      </c>
      <c r="O112" s="10"/>
      <c r="P112" s="2">
        <f t="shared" si="39"/>
        <v>0</v>
      </c>
      <c r="Q112" s="2"/>
      <c r="R112" s="19"/>
      <c r="S112" s="2"/>
      <c r="T112" s="2">
        <f>-84</f>
        <v>-84</v>
      </c>
      <c r="U112" s="2"/>
      <c r="V112" s="19"/>
      <c r="W112" s="2"/>
      <c r="X112" s="2">
        <f t="shared" si="2"/>
        <v>84</v>
      </c>
      <c r="Y112" s="2"/>
      <c r="Z112" s="19">
        <f t="shared" si="3"/>
        <v>-1</v>
      </c>
    </row>
    <row r="113" spans="1:26" x14ac:dyDescent="0.25">
      <c r="A113" s="9"/>
      <c r="B113" s="11"/>
      <c r="C113" s="9"/>
      <c r="D113" s="3"/>
      <c r="E113" s="3"/>
      <c r="F113" s="8"/>
      <c r="G113" s="3"/>
      <c r="H113" s="3"/>
      <c r="I113" s="3"/>
      <c r="J113" s="8"/>
      <c r="K113" s="3"/>
      <c r="L113" s="3"/>
      <c r="M113" s="3"/>
      <c r="N113" s="8"/>
      <c r="P113" s="3"/>
      <c r="Q113" s="3"/>
      <c r="R113" s="8"/>
      <c r="S113" s="3"/>
      <c r="T113" s="3"/>
      <c r="U113" s="3"/>
      <c r="V113" s="8"/>
      <c r="W113" s="3"/>
      <c r="X113" s="3"/>
      <c r="Y113" s="3"/>
      <c r="Z113" s="8"/>
    </row>
    <row r="114" spans="1:26" s="24" customFormat="1" collapsed="1" x14ac:dyDescent="0.25">
      <c r="A114" s="11"/>
      <c r="B114" s="29" t="s">
        <v>256</v>
      </c>
      <c r="C114" s="11"/>
      <c r="D114" s="4">
        <f>SUM(OSRRefD16x_0)</f>
        <v>263294.81999999983</v>
      </c>
      <c r="E114" s="4"/>
      <c r="F114" s="13">
        <f t="shared" ref="F114:F165" si="40">IF(D$12=0,0,D114/D$12)</f>
        <v>0.9954278227285478</v>
      </c>
      <c r="G114" s="4"/>
      <c r="H114" s="4">
        <f>SUM(OSRRefH16x_0)</f>
        <v>264082.89</v>
      </c>
      <c r="I114" s="4"/>
      <c r="J114" s="13">
        <f t="shared" ref="J114:J165" si="41">IF(H$12=0,0,H114/H$12)</f>
        <v>1.2509696827442396</v>
      </c>
      <c r="K114" s="4"/>
      <c r="L114" s="4">
        <f t="shared" ref="L114:L165" si="42">+D114-H114</f>
        <v>-788.07000000018161</v>
      </c>
      <c r="M114" s="4"/>
      <c r="N114" s="13">
        <f t="shared" ref="N114:N165" si="43">IF(H114=0,0,L114/H114)</f>
        <v>-2.9841766727112897E-3</v>
      </c>
      <c r="O114" s="11"/>
      <c r="P114" s="4">
        <f>SUM(OSRRefP16x_0)</f>
        <v>3456075.64</v>
      </c>
      <c r="Q114" s="4"/>
      <c r="R114" s="13">
        <f t="shared" ref="R114:R165" si="44">IF(P$12=0,0,P114/P$12)</f>
        <v>0.63137285840903601</v>
      </c>
      <c r="S114" s="4"/>
      <c r="T114" s="4">
        <f>SUM(OSRRefT16x_0)</f>
        <v>5512791.4300000006</v>
      </c>
      <c r="U114" s="4"/>
      <c r="V114" s="13">
        <f t="shared" ref="V114:V165" si="45">IF(T$12=0,0,T114/T$12)</f>
        <v>0.59676083047898454</v>
      </c>
      <c r="W114" s="4"/>
      <c r="X114" s="4">
        <f t="shared" ref="X114:X165" si="46">+P114-T114</f>
        <v>-2056715.7900000005</v>
      </c>
      <c r="Y114" s="4"/>
      <c r="Z114" s="13">
        <f t="shared" ref="Z114:Z165" si="47">IF(T114=0,0,X114/T114)</f>
        <v>-0.37308064636865834</v>
      </c>
    </row>
    <row r="115" spans="1:26" s="23" customFormat="1" hidden="1" outlineLevel="1" x14ac:dyDescent="0.25">
      <c r="A115" s="44"/>
      <c r="B115" s="10" t="str">
        <f>CONCATENATE("          ", "5000", " - ", "PURCHASES @ COST")</f>
        <v xml:space="preserve">          5000 - PURCHASES @ COST</v>
      </c>
      <c r="C115" s="10"/>
      <c r="D115" s="2"/>
      <c r="E115" s="2"/>
      <c r="F115" s="19">
        <f t="shared" si="40"/>
        <v>0</v>
      </c>
      <c r="G115" s="2"/>
      <c r="H115" s="2">
        <v>0</v>
      </c>
      <c r="I115" s="2"/>
      <c r="J115" s="19">
        <f t="shared" si="41"/>
        <v>0</v>
      </c>
      <c r="K115" s="2"/>
      <c r="L115" s="2">
        <f t="shared" si="42"/>
        <v>0</v>
      </c>
      <c r="M115" s="2"/>
      <c r="N115" s="19">
        <f t="shared" si="43"/>
        <v>0</v>
      </c>
      <c r="O115" s="10"/>
      <c r="P115" s="2">
        <v>0</v>
      </c>
      <c r="Q115" s="2"/>
      <c r="R115" s="19">
        <f t="shared" si="44"/>
        <v>0</v>
      </c>
      <c r="S115" s="2"/>
      <c r="T115" s="2">
        <v>0</v>
      </c>
      <c r="U115" s="2"/>
      <c r="V115" s="19">
        <f t="shared" si="45"/>
        <v>0</v>
      </c>
      <c r="W115" s="2"/>
      <c r="X115" s="2">
        <f t="shared" si="46"/>
        <v>0</v>
      </c>
      <c r="Y115" s="2"/>
      <c r="Z115" s="19">
        <f t="shared" si="47"/>
        <v>0</v>
      </c>
    </row>
    <row r="116" spans="1:26" s="23" customFormat="1" hidden="1" outlineLevel="1" x14ac:dyDescent="0.25">
      <c r="A116" s="44"/>
      <c r="B116" s="10" t="str">
        <f>CONCATENATE("          ", "5001", " - ", "PURCHASES @ COST-NEW TEXT")</f>
        <v xml:space="preserve">          5001 - PURCHASES @ COST-NEW TEXT</v>
      </c>
      <c r="C116" s="10"/>
      <c r="D116" s="2">
        <v>142777.26</v>
      </c>
      <c r="E116" s="2"/>
      <c r="F116" s="19">
        <f t="shared" si="40"/>
        <v>0.53979207436343746</v>
      </c>
      <c r="G116" s="2"/>
      <c r="H116" s="2">
        <v>21388.81</v>
      </c>
      <c r="I116" s="2"/>
      <c r="J116" s="19">
        <f t="shared" si="41"/>
        <v>0.10131952456282502</v>
      </c>
      <c r="K116" s="2"/>
      <c r="L116" s="2">
        <f t="shared" si="42"/>
        <v>121388.45000000001</v>
      </c>
      <c r="M116" s="2"/>
      <c r="N116" s="19">
        <f t="shared" si="43"/>
        <v>5.6753250882120136</v>
      </c>
      <c r="O116" s="10"/>
      <c r="P116" s="2">
        <v>1214343.74</v>
      </c>
      <c r="Q116" s="2"/>
      <c r="R116" s="19">
        <f t="shared" si="44"/>
        <v>0.2218422737457561</v>
      </c>
      <c r="S116" s="2"/>
      <c r="T116" s="2">
        <v>1662669.27</v>
      </c>
      <c r="U116" s="2"/>
      <c r="V116" s="19">
        <f t="shared" si="45"/>
        <v>0.17998429778742545</v>
      </c>
      <c r="W116" s="2"/>
      <c r="X116" s="2">
        <f t="shared" si="46"/>
        <v>-448325.53</v>
      </c>
      <c r="Y116" s="2"/>
      <c r="Z116" s="19">
        <f t="shared" si="47"/>
        <v>-0.26964203770964024</v>
      </c>
    </row>
    <row r="117" spans="1:26" s="23" customFormat="1" hidden="1" outlineLevel="1" x14ac:dyDescent="0.25">
      <c r="A117" s="44"/>
      <c r="B117" s="10" t="str">
        <f>CONCATENATE("          ", "5002", " - ", "PURCHASES @ COST-USED TEXT")</f>
        <v xml:space="preserve">          5002 - PURCHASES @ COST-USED TEXT</v>
      </c>
      <c r="C117" s="10"/>
      <c r="D117" s="2">
        <v>-17366.759999999998</v>
      </c>
      <c r="E117" s="2"/>
      <c r="F117" s="19">
        <f t="shared" si="40"/>
        <v>-6.5657790360817744E-2</v>
      </c>
      <c r="G117" s="2"/>
      <c r="H117" s="2">
        <v>121021.81</v>
      </c>
      <c r="I117" s="2"/>
      <c r="J117" s="19">
        <f t="shared" si="41"/>
        <v>0.57328445345638868</v>
      </c>
      <c r="K117" s="2"/>
      <c r="L117" s="2">
        <f t="shared" si="42"/>
        <v>-138388.57</v>
      </c>
      <c r="M117" s="2"/>
      <c r="N117" s="19">
        <f t="shared" si="43"/>
        <v>-1.1435010763762334</v>
      </c>
      <c r="O117" s="10"/>
      <c r="P117" s="2">
        <v>262546.52</v>
      </c>
      <c r="Q117" s="2"/>
      <c r="R117" s="19">
        <f t="shared" si="44"/>
        <v>4.7963286705653564E-2</v>
      </c>
      <c r="S117" s="2"/>
      <c r="T117" s="2">
        <v>731343.19</v>
      </c>
      <c r="U117" s="2"/>
      <c r="V117" s="19">
        <f t="shared" si="45"/>
        <v>7.9168053965275764E-2</v>
      </c>
      <c r="W117" s="2"/>
      <c r="X117" s="2">
        <f t="shared" si="46"/>
        <v>-468796.66999999993</v>
      </c>
      <c r="Y117" s="2"/>
      <c r="Z117" s="19">
        <f t="shared" si="47"/>
        <v>-0.64100777365548445</v>
      </c>
    </row>
    <row r="118" spans="1:26" s="23" customFormat="1" hidden="1" outlineLevel="1" x14ac:dyDescent="0.25">
      <c r="A118" s="44"/>
      <c r="B118" s="10" t="str">
        <f>CONCATENATE("          ", "5003", " - ", "PURCHASES @ COST-RENTAL TEXT")</f>
        <v xml:space="preserve">          5003 - PURCHASES @ COST-RENTAL TEXT</v>
      </c>
      <c r="C118" s="10"/>
      <c r="D118" s="2">
        <v>6024.36</v>
      </c>
      <c r="E118" s="2"/>
      <c r="F118" s="19">
        <f t="shared" si="40"/>
        <v>2.2776048378517124E-2</v>
      </c>
      <c r="G118" s="2"/>
      <c r="H118" s="2">
        <v>24656.6</v>
      </c>
      <c r="I118" s="2"/>
      <c r="J118" s="19">
        <f t="shared" si="41"/>
        <v>0.11679915756583704</v>
      </c>
      <c r="K118" s="2"/>
      <c r="L118" s="2">
        <f t="shared" si="42"/>
        <v>-18632.239999999998</v>
      </c>
      <c r="M118" s="2"/>
      <c r="N118" s="19">
        <f t="shared" si="43"/>
        <v>-0.75566947592125433</v>
      </c>
      <c r="O118" s="10"/>
      <c r="P118" s="2">
        <v>13236.44</v>
      </c>
      <c r="Q118" s="2"/>
      <c r="R118" s="19">
        <f t="shared" si="44"/>
        <v>2.4180978162734019E-3</v>
      </c>
      <c r="S118" s="2"/>
      <c r="T118" s="2">
        <v>24578.2</v>
      </c>
      <c r="U118" s="2"/>
      <c r="V118" s="19">
        <f t="shared" si="45"/>
        <v>2.6605953136301726E-3</v>
      </c>
      <c r="W118" s="2"/>
      <c r="X118" s="2">
        <f t="shared" si="46"/>
        <v>-11341.76</v>
      </c>
      <c r="Y118" s="2"/>
      <c r="Z118" s="19">
        <f t="shared" si="47"/>
        <v>-0.46145608710157782</v>
      </c>
    </row>
    <row r="119" spans="1:26" s="23" customFormat="1" hidden="1" outlineLevel="1" x14ac:dyDescent="0.25">
      <c r="A119" s="44"/>
      <c r="B119" s="10" t="str">
        <f>CONCATENATE("          ", "5004", " - ", "PURCHASES @ COST-DIGITAL TEXT")</f>
        <v xml:space="preserve">          5004 - PURCHASES @ COST-DIGITAL TEXT</v>
      </c>
      <c r="C119" s="10"/>
      <c r="D119" s="2">
        <v>178285.37</v>
      </c>
      <c r="E119" s="2"/>
      <c r="F119" s="19">
        <f t="shared" si="40"/>
        <v>0.67403611542169217</v>
      </c>
      <c r="G119" s="2"/>
      <c r="H119" s="2">
        <v>5038.95</v>
      </c>
      <c r="I119" s="2"/>
      <c r="J119" s="19">
        <f t="shared" si="41"/>
        <v>2.3869678504594087E-2</v>
      </c>
      <c r="K119" s="2"/>
      <c r="L119" s="2">
        <f t="shared" si="42"/>
        <v>173246.41999999998</v>
      </c>
      <c r="M119" s="2"/>
      <c r="N119" s="19">
        <f t="shared" si="43"/>
        <v>34.381452485140748</v>
      </c>
      <c r="O119" s="10"/>
      <c r="P119" s="2">
        <v>377891.8</v>
      </c>
      <c r="Q119" s="2"/>
      <c r="R119" s="19">
        <f t="shared" si="44"/>
        <v>6.9035128506428095E-2</v>
      </c>
      <c r="S119" s="2"/>
      <c r="T119" s="2">
        <v>451308.6</v>
      </c>
      <c r="U119" s="2"/>
      <c r="V119" s="19">
        <f t="shared" si="45"/>
        <v>4.885425076535279E-2</v>
      </c>
      <c r="W119" s="2"/>
      <c r="X119" s="2">
        <f t="shared" si="46"/>
        <v>-73416.799999999988</v>
      </c>
      <c r="Y119" s="2"/>
      <c r="Z119" s="19">
        <f t="shared" si="47"/>
        <v>-0.16267538442653207</v>
      </c>
    </row>
    <row r="120" spans="1:26" s="23" customFormat="1" hidden="1" outlineLevel="1" x14ac:dyDescent="0.25">
      <c r="A120" s="44"/>
      <c r="B120" s="10" t="str">
        <f>CONCATENATE("          ", "5011", " - ", "PURCHASES @ COST-NO VALUE TEXT")</f>
        <v xml:space="preserve">          5011 - PURCHASES @ COST-NO VALUE TEXT</v>
      </c>
      <c r="C120" s="10"/>
      <c r="D120" s="2">
        <v>63.17</v>
      </c>
      <c r="E120" s="2"/>
      <c r="F120" s="19">
        <f t="shared" si="40"/>
        <v>2.3882420308064703E-4</v>
      </c>
      <c r="G120" s="2"/>
      <c r="H120" s="2">
        <v>99</v>
      </c>
      <c r="I120" s="2"/>
      <c r="J120" s="19">
        <f t="shared" si="41"/>
        <v>4.6896638624213671E-4</v>
      </c>
      <c r="K120" s="2"/>
      <c r="L120" s="2">
        <f t="shared" si="42"/>
        <v>-35.83</v>
      </c>
      <c r="M120" s="2"/>
      <c r="N120" s="19">
        <f t="shared" si="43"/>
        <v>-0.36191919191919192</v>
      </c>
      <c r="O120" s="10"/>
      <c r="P120" s="2">
        <v>130.34</v>
      </c>
      <c r="Q120" s="2"/>
      <c r="R120" s="19">
        <f t="shared" si="44"/>
        <v>2.3811150836106629E-5</v>
      </c>
      <c r="S120" s="2"/>
      <c r="T120" s="2">
        <v>6462</v>
      </c>
      <c r="U120" s="2"/>
      <c r="V120" s="19">
        <f t="shared" si="45"/>
        <v>6.995128576005637E-4</v>
      </c>
      <c r="W120" s="2"/>
      <c r="X120" s="2">
        <f t="shared" si="46"/>
        <v>-6331.66</v>
      </c>
      <c r="Y120" s="2"/>
      <c r="Z120" s="19">
        <f t="shared" si="47"/>
        <v>-0.97982977406375737</v>
      </c>
    </row>
    <row r="121" spans="1:26" s="23" customFormat="1" hidden="1" outlineLevel="1" x14ac:dyDescent="0.25">
      <c r="A121" s="44"/>
      <c r="B121" s="10" t="str">
        <f>CONCATENATE("          ", "5013", " - ", "PURCHASES @ COST-TRADE BOOKS")</f>
        <v xml:space="preserve">          5013 - PURCHASES @ COST-TRADE BOOKS</v>
      </c>
      <c r="C121" s="10"/>
      <c r="D121" s="2">
        <v>1964.92</v>
      </c>
      <c r="E121" s="2"/>
      <c r="F121" s="19">
        <f t="shared" si="40"/>
        <v>7.4286916751183313E-3</v>
      </c>
      <c r="G121" s="2"/>
      <c r="H121" s="2">
        <v>-420.76</v>
      </c>
      <c r="I121" s="2"/>
      <c r="J121" s="19">
        <f t="shared" si="41"/>
        <v>-1.9931545118711258E-3</v>
      </c>
      <c r="K121" s="2"/>
      <c r="L121" s="2">
        <f t="shared" si="42"/>
        <v>2385.6800000000003</v>
      </c>
      <c r="M121" s="2"/>
      <c r="N121" s="19">
        <f t="shared" si="43"/>
        <v>-5.6699306017682298</v>
      </c>
      <c r="O121" s="10"/>
      <c r="P121" s="2">
        <v>11634.94</v>
      </c>
      <c r="Q121" s="2"/>
      <c r="R121" s="19">
        <f t="shared" si="44"/>
        <v>2.1255279370036096E-3</v>
      </c>
      <c r="S121" s="2"/>
      <c r="T121" s="2">
        <v>2777.09</v>
      </c>
      <c r="U121" s="2"/>
      <c r="V121" s="19">
        <f t="shared" si="45"/>
        <v>3.0062057593840133E-4</v>
      </c>
      <c r="W121" s="2"/>
      <c r="X121" s="2">
        <f t="shared" si="46"/>
        <v>8857.85</v>
      </c>
      <c r="Y121" s="2"/>
      <c r="Z121" s="19">
        <f t="shared" si="47"/>
        <v>3.1896157488594175</v>
      </c>
    </row>
    <row r="122" spans="1:26" s="23" customFormat="1" hidden="1" outlineLevel="1" x14ac:dyDescent="0.25">
      <c r="A122" s="44"/>
      <c r="B122" s="10" t="str">
        <f>CONCATENATE("          ", "5014", " - ", "PURCHASES @ COST-REMAINDERS")</f>
        <v xml:space="preserve">          5014 - PURCHASES @ COST-REMAINDERS</v>
      </c>
      <c r="C122" s="10"/>
      <c r="D122" s="2">
        <v>-161.43</v>
      </c>
      <c r="E122" s="2"/>
      <c r="F122" s="19">
        <f t="shared" si="40"/>
        <v>-6.1031171605681258E-4</v>
      </c>
      <c r="G122" s="2"/>
      <c r="H122" s="2">
        <v>132</v>
      </c>
      <c r="I122" s="2"/>
      <c r="J122" s="19">
        <f t="shared" si="41"/>
        <v>6.2528851498951565E-4</v>
      </c>
      <c r="K122" s="2"/>
      <c r="L122" s="2">
        <f t="shared" si="42"/>
        <v>-293.43</v>
      </c>
      <c r="M122" s="2"/>
      <c r="N122" s="19">
        <f t="shared" si="43"/>
        <v>-2.2229545454545456</v>
      </c>
      <c r="O122" s="10"/>
      <c r="P122" s="2">
        <v>-49.86</v>
      </c>
      <c r="Q122" s="2"/>
      <c r="R122" s="19">
        <f t="shared" si="44"/>
        <v>-9.1086694851026264E-6</v>
      </c>
      <c r="S122" s="2"/>
      <c r="T122" s="2">
        <v>747.07</v>
      </c>
      <c r="U122" s="2"/>
      <c r="V122" s="19">
        <f t="shared" si="45"/>
        <v>8.0870484451818806E-5</v>
      </c>
      <c r="W122" s="2"/>
      <c r="X122" s="2">
        <f t="shared" si="46"/>
        <v>-796.93000000000006</v>
      </c>
      <c r="Y122" s="2"/>
      <c r="Z122" s="19">
        <f t="shared" si="47"/>
        <v>-1.0667407338000454</v>
      </c>
    </row>
    <row r="123" spans="1:26" s="23" customFormat="1" hidden="1" outlineLevel="1" x14ac:dyDescent="0.25">
      <c r="A123" s="44"/>
      <c r="B123" s="10" t="str">
        <f>CONCATENATE("          ", "5017", " - ", "PURCHASES @ COST-DORM/HOUSEWAR")</f>
        <v xml:space="preserve">          5017 - PURCHASES @ COST-DORM/HOUSEWAR</v>
      </c>
      <c r="C123" s="10"/>
      <c r="D123" s="2"/>
      <c r="E123" s="2"/>
      <c r="F123" s="19">
        <f t="shared" si="40"/>
        <v>0</v>
      </c>
      <c r="G123" s="2"/>
      <c r="H123" s="2"/>
      <c r="I123" s="2"/>
      <c r="J123" s="19">
        <f t="shared" si="41"/>
        <v>0</v>
      </c>
      <c r="K123" s="2"/>
      <c r="L123" s="2">
        <f t="shared" si="42"/>
        <v>0</v>
      </c>
      <c r="M123" s="2"/>
      <c r="N123" s="19">
        <f t="shared" si="43"/>
        <v>0</v>
      </c>
      <c r="O123" s="10"/>
      <c r="P123" s="2"/>
      <c r="Q123" s="2"/>
      <c r="R123" s="19">
        <f t="shared" si="44"/>
        <v>0</v>
      </c>
      <c r="S123" s="2"/>
      <c r="T123" s="2">
        <v>14.46</v>
      </c>
      <c r="U123" s="2"/>
      <c r="V123" s="19">
        <f t="shared" si="45"/>
        <v>1.5652980378991259E-6</v>
      </c>
      <c r="W123" s="2"/>
      <c r="X123" s="2">
        <f t="shared" si="46"/>
        <v>-14.46</v>
      </c>
      <c r="Y123" s="2"/>
      <c r="Z123" s="19">
        <f t="shared" si="47"/>
        <v>-1</v>
      </c>
    </row>
    <row r="124" spans="1:26" s="23" customFormat="1" hidden="1" outlineLevel="1" x14ac:dyDescent="0.25">
      <c r="A124" s="44"/>
      <c r="B124" s="10" t="str">
        <f>CONCATENATE("          ", "5018", " - ", "PURCHASES @ COST-STUDY GUIDES")</f>
        <v xml:space="preserve">          5018 - PURCHASES @ COST-STUDY GUIDES</v>
      </c>
      <c r="C124" s="10"/>
      <c r="D124" s="2">
        <v>476.17</v>
      </c>
      <c r="E124" s="2"/>
      <c r="F124" s="19">
        <f t="shared" si="40"/>
        <v>1.8002362004260202E-3</v>
      </c>
      <c r="G124" s="2"/>
      <c r="H124" s="2">
        <v>-249.38</v>
      </c>
      <c r="I124" s="2"/>
      <c r="J124" s="19">
        <f t="shared" si="41"/>
        <v>-1.181321589909738E-3</v>
      </c>
      <c r="K124" s="2"/>
      <c r="L124" s="2">
        <f t="shared" si="42"/>
        <v>725.55</v>
      </c>
      <c r="M124" s="2"/>
      <c r="N124" s="19">
        <f t="shared" si="43"/>
        <v>-2.9094153500681688</v>
      </c>
      <c r="O124" s="10"/>
      <c r="P124" s="2">
        <v>1443.38</v>
      </c>
      <c r="Q124" s="2"/>
      <c r="R124" s="19">
        <f t="shared" si="44"/>
        <v>2.6368374170492243E-4</v>
      </c>
      <c r="S124" s="2"/>
      <c r="T124" s="2">
        <v>-454.52</v>
      </c>
      <c r="U124" s="2"/>
      <c r="V124" s="19">
        <f t="shared" si="45"/>
        <v>-4.9201885490035312E-5</v>
      </c>
      <c r="W124" s="2"/>
      <c r="X124" s="2">
        <f t="shared" si="46"/>
        <v>1897.9</v>
      </c>
      <c r="Y124" s="2"/>
      <c r="Z124" s="19">
        <f t="shared" si="47"/>
        <v>-4.1756138343747251</v>
      </c>
    </row>
    <row r="125" spans="1:26" s="23" customFormat="1" hidden="1" outlineLevel="1" x14ac:dyDescent="0.25">
      <c r="A125" s="44"/>
      <c r="B125" s="10" t="str">
        <f>CONCATENATE("          ", "5025", " - ", "PURCHASES @ COST-TEST FORMS")</f>
        <v xml:space="preserve">          5025 - PURCHASES @ COST-TEST FORMS</v>
      </c>
      <c r="C125" s="10"/>
      <c r="D125" s="2">
        <v>161</v>
      </c>
      <c r="E125" s="2"/>
      <c r="F125" s="19">
        <f t="shared" si="40"/>
        <v>6.0868603286345056E-4</v>
      </c>
      <c r="G125" s="2"/>
      <c r="H125" s="2"/>
      <c r="I125" s="2"/>
      <c r="J125" s="19">
        <f t="shared" si="41"/>
        <v>0</v>
      </c>
      <c r="K125" s="2"/>
      <c r="L125" s="2">
        <f t="shared" si="42"/>
        <v>161</v>
      </c>
      <c r="M125" s="2"/>
      <c r="N125" s="19">
        <f t="shared" si="43"/>
        <v>0</v>
      </c>
      <c r="O125" s="10"/>
      <c r="P125" s="2">
        <v>760.29</v>
      </c>
      <c r="Q125" s="2"/>
      <c r="R125" s="19">
        <f t="shared" si="44"/>
        <v>1.3889350827975684E-4</v>
      </c>
      <c r="S125" s="2"/>
      <c r="T125" s="2">
        <v>26400.39</v>
      </c>
      <c r="U125" s="2"/>
      <c r="V125" s="19">
        <f t="shared" si="45"/>
        <v>2.8578477639537828E-3</v>
      </c>
      <c r="W125" s="2"/>
      <c r="X125" s="2">
        <f t="shared" si="46"/>
        <v>-25640.1</v>
      </c>
      <c r="Y125" s="2"/>
      <c r="Z125" s="19">
        <f t="shared" si="47"/>
        <v>-0.97120156179510986</v>
      </c>
    </row>
    <row r="126" spans="1:26" s="23" customFormat="1" hidden="1" outlineLevel="1" x14ac:dyDescent="0.25">
      <c r="A126" s="44"/>
      <c r="B126" s="10" t="str">
        <f>CONCATENATE("          ", "5026", " - ", "PURCHASES @ COST-WRITING INSTR")</f>
        <v xml:space="preserve">          5026 - PURCHASES @ COST-WRITING INSTR</v>
      </c>
      <c r="C126" s="10"/>
      <c r="D126" s="2">
        <v>1361.75</v>
      </c>
      <c r="E126" s="2"/>
      <c r="F126" s="19">
        <f t="shared" si="40"/>
        <v>5.1483118338621356E-3</v>
      </c>
      <c r="G126" s="2"/>
      <c r="H126" s="2"/>
      <c r="I126" s="2"/>
      <c r="J126" s="19">
        <f t="shared" si="41"/>
        <v>0</v>
      </c>
      <c r="K126" s="2"/>
      <c r="L126" s="2">
        <f t="shared" si="42"/>
        <v>1361.75</v>
      </c>
      <c r="M126" s="2"/>
      <c r="N126" s="19">
        <f t="shared" si="43"/>
        <v>0</v>
      </c>
      <c r="O126" s="10"/>
      <c r="P126" s="2">
        <v>1944.25</v>
      </c>
      <c r="Q126" s="2"/>
      <c r="R126" s="19">
        <f t="shared" si="44"/>
        <v>3.5518513129584404E-4</v>
      </c>
      <c r="S126" s="2"/>
      <c r="T126" s="2">
        <v>44186.57</v>
      </c>
      <c r="U126" s="2"/>
      <c r="V126" s="19">
        <f t="shared" si="45"/>
        <v>4.7832054856495419E-3</v>
      </c>
      <c r="W126" s="2"/>
      <c r="X126" s="2">
        <f t="shared" si="46"/>
        <v>-42242.32</v>
      </c>
      <c r="Y126" s="2"/>
      <c r="Z126" s="19">
        <f t="shared" si="47"/>
        <v>-0.95599907392676098</v>
      </c>
    </row>
    <row r="127" spans="1:26" s="23" customFormat="1" hidden="1" outlineLevel="1" x14ac:dyDescent="0.25">
      <c r="A127" s="44"/>
      <c r="B127" s="10" t="str">
        <f>CONCATENATE("          ", "5027", " - ", "PURCHASES @ COST-SCHOOL SUPPLI")</f>
        <v xml:space="preserve">          5027 - PURCHASES @ COST-SCHOOL SUPPLI</v>
      </c>
      <c r="C127" s="10"/>
      <c r="D127" s="2">
        <v>-23546.66</v>
      </c>
      <c r="E127" s="2"/>
      <c r="F127" s="19">
        <f t="shared" si="40"/>
        <v>-8.9021882376301223E-2</v>
      </c>
      <c r="G127" s="2"/>
      <c r="H127" s="2">
        <v>11947.58</v>
      </c>
      <c r="I127" s="2"/>
      <c r="J127" s="19">
        <f t="shared" si="41"/>
        <v>5.6596095120594221E-2</v>
      </c>
      <c r="K127" s="2"/>
      <c r="L127" s="2">
        <f t="shared" si="42"/>
        <v>-35494.239999999998</v>
      </c>
      <c r="M127" s="2"/>
      <c r="N127" s="19">
        <f t="shared" si="43"/>
        <v>-2.9708309130384563</v>
      </c>
      <c r="O127" s="10"/>
      <c r="P127" s="2">
        <v>188.33</v>
      </c>
      <c r="Q127" s="2"/>
      <c r="R127" s="19">
        <f t="shared" si="44"/>
        <v>3.4405048618719971E-5</v>
      </c>
      <c r="S127" s="2"/>
      <c r="T127" s="2">
        <v>153162.12</v>
      </c>
      <c r="U127" s="2"/>
      <c r="V127" s="19">
        <f t="shared" si="45"/>
        <v>1.6579831667805703E-2</v>
      </c>
      <c r="W127" s="2"/>
      <c r="X127" s="2">
        <f t="shared" si="46"/>
        <v>-152973.79</v>
      </c>
      <c r="Y127" s="2"/>
      <c r="Z127" s="19">
        <f t="shared" si="47"/>
        <v>-0.9987703878739731</v>
      </c>
    </row>
    <row r="128" spans="1:26" s="23" customFormat="1" hidden="1" outlineLevel="1" x14ac:dyDescent="0.25">
      <c r="A128" s="44"/>
      <c r="B128" s="10" t="str">
        <f>CONCATENATE("          ", "5028", " - ", "PURCHASES @ COST-ART/TECH")</f>
        <v xml:space="preserve">          5028 - PURCHASES @ COST-ART/TECH</v>
      </c>
      <c r="C128" s="10"/>
      <c r="D128" s="2">
        <v>4965.34</v>
      </c>
      <c r="E128" s="2"/>
      <c r="F128" s="19">
        <f t="shared" si="40"/>
        <v>1.8772255319367735E-2</v>
      </c>
      <c r="G128" s="2"/>
      <c r="H128" s="2">
        <v>-1073.3800000000001</v>
      </c>
      <c r="I128" s="2"/>
      <c r="J128" s="19">
        <f t="shared" si="41"/>
        <v>-5.0846377743897454E-3</v>
      </c>
      <c r="K128" s="2"/>
      <c r="L128" s="2">
        <f t="shared" si="42"/>
        <v>6038.72</v>
      </c>
      <c r="M128" s="2"/>
      <c r="N128" s="19">
        <f t="shared" si="43"/>
        <v>-5.625892041960908</v>
      </c>
      <c r="O128" s="10"/>
      <c r="P128" s="2">
        <v>52646.080000000002</v>
      </c>
      <c r="Q128" s="2"/>
      <c r="R128" s="19">
        <f t="shared" si="44"/>
        <v>9.6176442520311215E-3</v>
      </c>
      <c r="S128" s="2"/>
      <c r="T128" s="2">
        <v>158554.31</v>
      </c>
      <c r="U128" s="2"/>
      <c r="V128" s="19">
        <f t="shared" si="45"/>
        <v>1.7163537368150052E-2</v>
      </c>
      <c r="W128" s="2"/>
      <c r="X128" s="2">
        <f t="shared" si="46"/>
        <v>-105908.23</v>
      </c>
      <c r="Y128" s="2"/>
      <c r="Z128" s="19">
        <f t="shared" si="47"/>
        <v>-0.6679618485300084</v>
      </c>
    </row>
    <row r="129" spans="1:26" s="23" customFormat="1" hidden="1" outlineLevel="1" x14ac:dyDescent="0.25">
      <c r="A129" s="44"/>
      <c r="B129" s="10" t="str">
        <f>CONCATENATE("          ", "5031", " - ", "PURCHASES @ COST-FOOD")</f>
        <v xml:space="preserve">          5031 - PURCHASES @ COST-FOOD</v>
      </c>
      <c r="C129" s="10"/>
      <c r="D129" s="2">
        <v>75599.55</v>
      </c>
      <c r="E129" s="2"/>
      <c r="F129" s="19">
        <f t="shared" si="40"/>
        <v>0.28581608804821163</v>
      </c>
      <c r="G129" s="2"/>
      <c r="H129" s="2"/>
      <c r="I129" s="2"/>
      <c r="J129" s="19">
        <f t="shared" si="41"/>
        <v>0</v>
      </c>
      <c r="K129" s="2"/>
      <c r="L129" s="2">
        <f t="shared" si="42"/>
        <v>75599.55</v>
      </c>
      <c r="M129" s="2"/>
      <c r="N129" s="19">
        <f t="shared" si="43"/>
        <v>0</v>
      </c>
      <c r="O129" s="10"/>
      <c r="P129" s="2">
        <v>83665.64</v>
      </c>
      <c r="Q129" s="2"/>
      <c r="R129" s="19">
        <f t="shared" si="44"/>
        <v>1.5284449699550376E-2</v>
      </c>
      <c r="S129" s="2"/>
      <c r="T129" s="2">
        <v>33239.879999999997</v>
      </c>
      <c r="U129" s="2"/>
      <c r="V129" s="19">
        <f t="shared" si="45"/>
        <v>3.5982239933611609E-3</v>
      </c>
      <c r="W129" s="2"/>
      <c r="X129" s="2">
        <f t="shared" si="46"/>
        <v>50425.760000000002</v>
      </c>
      <c r="Y129" s="2"/>
      <c r="Z129" s="19">
        <f t="shared" si="47"/>
        <v>1.5170259339083054</v>
      </c>
    </row>
    <row r="130" spans="1:26" s="23" customFormat="1" hidden="1" outlineLevel="1" x14ac:dyDescent="0.25">
      <c r="A130" s="44"/>
      <c r="B130" s="10" t="str">
        <f>CONCATENATE("          ", "5032", " - ", "PURCHASES @ COST-JUICE")</f>
        <v xml:space="preserve">          5032 - PURCHASES @ COST-JUICE</v>
      </c>
      <c r="C130" s="10"/>
      <c r="D130" s="2">
        <v>291</v>
      </c>
      <c r="E130" s="2"/>
      <c r="F130" s="19">
        <f t="shared" si="40"/>
        <v>1.1001716494612678E-3</v>
      </c>
      <c r="G130" s="2"/>
      <c r="H130" s="2"/>
      <c r="I130" s="2"/>
      <c r="J130" s="19">
        <f t="shared" si="41"/>
        <v>0</v>
      </c>
      <c r="K130" s="2"/>
      <c r="L130" s="2">
        <f t="shared" si="42"/>
        <v>291</v>
      </c>
      <c r="M130" s="2"/>
      <c r="N130" s="19">
        <f t="shared" si="43"/>
        <v>0</v>
      </c>
      <c r="O130" s="10"/>
      <c r="P130" s="2">
        <v>291</v>
      </c>
      <c r="Q130" s="2"/>
      <c r="R130" s="19">
        <f t="shared" si="44"/>
        <v>5.3161308065881759E-5</v>
      </c>
      <c r="S130" s="2"/>
      <c r="T130" s="2">
        <v>7802.45</v>
      </c>
      <c r="U130" s="2"/>
      <c r="V130" s="19">
        <f t="shared" si="45"/>
        <v>8.4461685171549335E-4</v>
      </c>
      <c r="W130" s="2"/>
      <c r="X130" s="2">
        <f t="shared" si="46"/>
        <v>-7511.45</v>
      </c>
      <c r="Y130" s="2"/>
      <c r="Z130" s="19">
        <f t="shared" si="47"/>
        <v>-0.9627040224544855</v>
      </c>
    </row>
    <row r="131" spans="1:26" s="23" customFormat="1" hidden="1" outlineLevel="1" x14ac:dyDescent="0.25">
      <c r="A131" s="44"/>
      <c r="B131" s="10" t="str">
        <f>CONCATENATE("          ", "5033", " - ", "PURCHASES @ COST-CANDY")</f>
        <v xml:space="preserve">          5033 - PURCHASES @ COST-CANDY</v>
      </c>
      <c r="C131" s="10"/>
      <c r="D131" s="2">
        <v>1266</v>
      </c>
      <c r="E131" s="2"/>
      <c r="F131" s="19">
        <f t="shared" si="40"/>
        <v>4.7863137739448973E-3</v>
      </c>
      <c r="G131" s="2"/>
      <c r="H131" s="2"/>
      <c r="I131" s="2"/>
      <c r="J131" s="19">
        <f t="shared" si="41"/>
        <v>0</v>
      </c>
      <c r="K131" s="2"/>
      <c r="L131" s="2">
        <f t="shared" si="42"/>
        <v>1266</v>
      </c>
      <c r="M131" s="2"/>
      <c r="N131" s="19">
        <f t="shared" si="43"/>
        <v>0</v>
      </c>
      <c r="O131" s="10"/>
      <c r="P131" s="2">
        <v>1266</v>
      </c>
      <c r="Q131" s="2"/>
      <c r="R131" s="19">
        <f t="shared" si="44"/>
        <v>2.3127909282270209E-4</v>
      </c>
      <c r="S131" s="2"/>
      <c r="T131" s="2">
        <v>9998.41</v>
      </c>
      <c r="U131" s="2"/>
      <c r="V131" s="19">
        <f t="shared" si="45"/>
        <v>1.0823299830643844E-3</v>
      </c>
      <c r="W131" s="2"/>
      <c r="X131" s="2">
        <f t="shared" si="46"/>
        <v>-8732.41</v>
      </c>
      <c r="Y131" s="2"/>
      <c r="Z131" s="19">
        <f t="shared" si="47"/>
        <v>-0.87337986739891638</v>
      </c>
    </row>
    <row r="132" spans="1:26" s="23" customFormat="1" hidden="1" outlineLevel="1" x14ac:dyDescent="0.25">
      <c r="A132" s="44"/>
      <c r="B132" s="10" t="str">
        <f>CONCATENATE("          ", "5034", " - ", "PURCHASES @ COST-SODA")</f>
        <v xml:space="preserve">          5034 - PURCHASES @ COST-SODA</v>
      </c>
      <c r="C132" s="10"/>
      <c r="D132" s="2">
        <v>567</v>
      </c>
      <c r="E132" s="2"/>
      <c r="F132" s="19">
        <f t="shared" si="40"/>
        <v>2.1436334200843257E-3</v>
      </c>
      <c r="G132" s="2"/>
      <c r="H132" s="2"/>
      <c r="I132" s="2"/>
      <c r="J132" s="19">
        <f t="shared" si="41"/>
        <v>0</v>
      </c>
      <c r="K132" s="2"/>
      <c r="L132" s="2">
        <f t="shared" si="42"/>
        <v>567</v>
      </c>
      <c r="M132" s="2"/>
      <c r="N132" s="19">
        <f t="shared" si="43"/>
        <v>0</v>
      </c>
      <c r="O132" s="10"/>
      <c r="P132" s="2">
        <v>567</v>
      </c>
      <c r="Q132" s="2"/>
      <c r="R132" s="19">
        <f t="shared" si="44"/>
        <v>1.0358234252012013E-4</v>
      </c>
      <c r="S132" s="2"/>
      <c r="T132" s="2">
        <v>4033.88</v>
      </c>
      <c r="U132" s="2"/>
      <c r="V132" s="19">
        <f t="shared" si="45"/>
        <v>4.366683574772148E-4</v>
      </c>
      <c r="W132" s="2"/>
      <c r="X132" s="2">
        <f t="shared" si="46"/>
        <v>-3466.88</v>
      </c>
      <c r="Y132" s="2"/>
      <c r="Z132" s="19">
        <f t="shared" si="47"/>
        <v>-0.85944053863773839</v>
      </c>
    </row>
    <row r="133" spans="1:26" s="23" customFormat="1" hidden="1" outlineLevel="1" x14ac:dyDescent="0.25">
      <c r="A133" s="44"/>
      <c r="B133" s="10" t="str">
        <f>CONCATENATE("          ", "5035", " - ", "PURCHASES @ COST-HEALTH &amp; BEAU")</f>
        <v xml:space="preserve">          5035 - PURCHASES @ COST-HEALTH &amp; BEAU</v>
      </c>
      <c r="C133" s="10"/>
      <c r="D133" s="2">
        <v>339</v>
      </c>
      <c r="E133" s="2"/>
      <c r="F133" s="19">
        <f t="shared" si="40"/>
        <v>1.2816432617435388E-3</v>
      </c>
      <c r="G133" s="2"/>
      <c r="H133" s="2"/>
      <c r="I133" s="2"/>
      <c r="J133" s="19">
        <f t="shared" si="41"/>
        <v>0</v>
      </c>
      <c r="K133" s="2"/>
      <c r="L133" s="2">
        <f t="shared" si="42"/>
        <v>339</v>
      </c>
      <c r="M133" s="2"/>
      <c r="N133" s="19">
        <f t="shared" si="43"/>
        <v>0</v>
      </c>
      <c r="O133" s="10"/>
      <c r="P133" s="2">
        <v>339</v>
      </c>
      <c r="Q133" s="2"/>
      <c r="R133" s="19">
        <f t="shared" si="44"/>
        <v>6.1930183623140603E-5</v>
      </c>
      <c r="S133" s="2"/>
      <c r="T133" s="2">
        <v>1117.6500000000001</v>
      </c>
      <c r="U133" s="2"/>
      <c r="V133" s="19">
        <f t="shared" si="45"/>
        <v>1.2098584730691272E-4</v>
      </c>
      <c r="W133" s="2"/>
      <c r="X133" s="2">
        <f t="shared" si="46"/>
        <v>-778.65000000000009</v>
      </c>
      <c r="Y133" s="2"/>
      <c r="Z133" s="19">
        <f t="shared" si="47"/>
        <v>-0.69668500872366124</v>
      </c>
    </row>
    <row r="134" spans="1:26" s="23" customFormat="1" hidden="1" outlineLevel="1" x14ac:dyDescent="0.25">
      <c r="A134" s="44"/>
      <c r="B134" s="10" t="str">
        <f>CONCATENATE("          ", "5037", " - ", "PURCHASES @ COST-WATER")</f>
        <v xml:space="preserve">          5037 - PURCHASES @ COST-WATER</v>
      </c>
      <c r="C134" s="10"/>
      <c r="D134" s="2">
        <v>190.95</v>
      </c>
      <c r="E134" s="2"/>
      <c r="F134" s="19">
        <f t="shared" si="40"/>
        <v>7.2191675761040916E-4</v>
      </c>
      <c r="G134" s="2"/>
      <c r="H134" s="2"/>
      <c r="I134" s="2"/>
      <c r="J134" s="19">
        <f t="shared" si="41"/>
        <v>0</v>
      </c>
      <c r="K134" s="2"/>
      <c r="L134" s="2">
        <f t="shared" si="42"/>
        <v>190.95</v>
      </c>
      <c r="M134" s="2"/>
      <c r="N134" s="19">
        <f t="shared" si="43"/>
        <v>0</v>
      </c>
      <c r="O134" s="10"/>
      <c r="P134" s="2">
        <v>190.95</v>
      </c>
      <c r="Q134" s="2"/>
      <c r="R134" s="19">
        <f t="shared" si="44"/>
        <v>3.4883683076220347E-5</v>
      </c>
      <c r="S134" s="2"/>
      <c r="T134" s="2">
        <v>5693.57</v>
      </c>
      <c r="U134" s="2"/>
      <c r="V134" s="19">
        <f t="shared" si="45"/>
        <v>6.163301486612258E-4</v>
      </c>
      <c r="W134" s="2"/>
      <c r="X134" s="2">
        <f t="shared" si="46"/>
        <v>-5502.62</v>
      </c>
      <c r="Y134" s="2"/>
      <c r="Z134" s="19">
        <f t="shared" si="47"/>
        <v>-0.966462166970811</v>
      </c>
    </row>
    <row r="135" spans="1:26" s="23" customFormat="1" hidden="1" outlineLevel="1" x14ac:dyDescent="0.25">
      <c r="A135" s="44"/>
      <c r="B135" s="10" t="str">
        <f>CONCATENATE("          ", "5040", " - ", "PURCHASES @ COST-LOGO CLOTHING")</f>
        <v xml:space="preserve">          5040 - PURCHASES @ COST-LOGO CLOTHING</v>
      </c>
      <c r="C135" s="10"/>
      <c r="D135" s="2">
        <v>65486.18</v>
      </c>
      <c r="E135" s="2"/>
      <c r="F135" s="19">
        <f t="shared" si="40"/>
        <v>0.24758088889181265</v>
      </c>
      <c r="G135" s="2"/>
      <c r="H135" s="2">
        <v>6472.18</v>
      </c>
      <c r="I135" s="2"/>
      <c r="J135" s="19">
        <f t="shared" si="41"/>
        <v>3.0658938037460934E-2</v>
      </c>
      <c r="K135" s="2"/>
      <c r="L135" s="2">
        <f t="shared" si="42"/>
        <v>59014</v>
      </c>
      <c r="M135" s="2"/>
      <c r="N135" s="19">
        <f t="shared" si="43"/>
        <v>9.1181024013547205</v>
      </c>
      <c r="O135" s="10"/>
      <c r="P135" s="2">
        <v>392865.16</v>
      </c>
      <c r="Q135" s="2"/>
      <c r="R135" s="19">
        <f t="shared" si="44"/>
        <v>7.1770535392137208E-2</v>
      </c>
      <c r="S135" s="2"/>
      <c r="T135" s="2">
        <v>982941.51</v>
      </c>
      <c r="U135" s="2"/>
      <c r="V135" s="19">
        <f t="shared" si="45"/>
        <v>0.10640362496352725</v>
      </c>
      <c r="W135" s="2"/>
      <c r="X135" s="2">
        <f t="shared" si="46"/>
        <v>-590076.35000000009</v>
      </c>
      <c r="Y135" s="2"/>
      <c r="Z135" s="19">
        <f t="shared" si="47"/>
        <v>-0.60031684896489934</v>
      </c>
    </row>
    <row r="136" spans="1:26" s="23" customFormat="1" hidden="1" outlineLevel="1" x14ac:dyDescent="0.25">
      <c r="A136" s="44"/>
      <c r="B136" s="10" t="str">
        <f>CONCATENATE("          ", "5041", " - ", "PURCHASES @ COST-LOGO GIFTS")</f>
        <v xml:space="preserve">          5041 - PURCHASES @ COST-LOGO GIFTS</v>
      </c>
      <c r="C136" s="10"/>
      <c r="D136" s="2">
        <v>115476.79</v>
      </c>
      <c r="E136" s="2"/>
      <c r="F136" s="19">
        <f t="shared" si="40"/>
        <v>0.43657831796835883</v>
      </c>
      <c r="G136" s="2"/>
      <c r="H136" s="2">
        <v>13093.79</v>
      </c>
      <c r="I136" s="2"/>
      <c r="J136" s="19">
        <f t="shared" si="41"/>
        <v>6.202573109609523E-2</v>
      </c>
      <c r="K136" s="2"/>
      <c r="L136" s="2">
        <f t="shared" si="42"/>
        <v>102383</v>
      </c>
      <c r="M136" s="2"/>
      <c r="N136" s="19">
        <f t="shared" si="43"/>
        <v>7.8192028434853462</v>
      </c>
      <c r="O136" s="10"/>
      <c r="P136" s="2">
        <v>221875.64</v>
      </c>
      <c r="Q136" s="2"/>
      <c r="R136" s="19">
        <f t="shared" si="44"/>
        <v>4.0533330757232575E-2</v>
      </c>
      <c r="S136" s="2"/>
      <c r="T136" s="2">
        <v>162844.63</v>
      </c>
      <c r="U136" s="2"/>
      <c r="V136" s="19">
        <f t="shared" si="45"/>
        <v>1.7627965409502705E-2</v>
      </c>
      <c r="W136" s="2"/>
      <c r="X136" s="2">
        <f t="shared" si="46"/>
        <v>59031.010000000009</v>
      </c>
      <c r="Y136" s="2"/>
      <c r="Z136" s="19">
        <f t="shared" si="47"/>
        <v>0.36249896603897841</v>
      </c>
    </row>
    <row r="137" spans="1:26" s="23" customFormat="1" hidden="1" outlineLevel="1" x14ac:dyDescent="0.25">
      <c r="A137" s="44"/>
      <c r="B137" s="10" t="str">
        <f>CONCATENATE("          ", "5042", " - ", "PURCHASES @ COST-EVERYDAY GIFT")</f>
        <v xml:space="preserve">          5042 - PURCHASES @ COST-EVERYDAY GIFT</v>
      </c>
      <c r="C137" s="10"/>
      <c r="D137" s="2">
        <v>-39.200000000000003</v>
      </c>
      <c r="E137" s="2"/>
      <c r="F137" s="19">
        <f t="shared" si="40"/>
        <v>-1.4820181669718797E-4</v>
      </c>
      <c r="G137" s="2"/>
      <c r="H137" s="2">
        <v>-836.65</v>
      </c>
      <c r="I137" s="2"/>
      <c r="J137" s="19">
        <f t="shared" si="41"/>
        <v>-3.9632396671665021E-3</v>
      </c>
      <c r="K137" s="2"/>
      <c r="L137" s="2">
        <f t="shared" si="42"/>
        <v>797.44999999999993</v>
      </c>
      <c r="M137" s="2"/>
      <c r="N137" s="19">
        <f t="shared" si="43"/>
        <v>-0.95314647702145461</v>
      </c>
      <c r="O137" s="10"/>
      <c r="P137" s="2">
        <v>18708.87</v>
      </c>
      <c r="Q137" s="2"/>
      <c r="R137" s="19">
        <f t="shared" si="44"/>
        <v>3.4178281843111106E-3</v>
      </c>
      <c r="S137" s="2"/>
      <c r="T137" s="2">
        <v>125778.55</v>
      </c>
      <c r="U137" s="2"/>
      <c r="V137" s="19">
        <f t="shared" si="45"/>
        <v>1.3615554462295787E-2</v>
      </c>
      <c r="W137" s="2"/>
      <c r="X137" s="2">
        <f t="shared" si="46"/>
        <v>-107069.68000000001</v>
      </c>
      <c r="Y137" s="2"/>
      <c r="Z137" s="19">
        <f t="shared" si="47"/>
        <v>-0.85125548036608789</v>
      </c>
    </row>
    <row r="138" spans="1:26" s="23" customFormat="1" hidden="1" outlineLevel="1" x14ac:dyDescent="0.25">
      <c r="A138" s="44"/>
      <c r="B138" s="10" t="str">
        <f>CONCATENATE("          ", "5043", " - ", "PURCHASES @ COST-CARDS")</f>
        <v xml:space="preserve">          5043 - PURCHASES @ COST-CARDS</v>
      </c>
      <c r="C138" s="10"/>
      <c r="D138" s="2">
        <v>-4615.6499999999996</v>
      </c>
      <c r="E138" s="2"/>
      <c r="F138" s="19">
        <f t="shared" si="40"/>
        <v>-1.7450196817305499E-2</v>
      </c>
      <c r="G138" s="2"/>
      <c r="H138" s="2">
        <v>0</v>
      </c>
      <c r="I138" s="2"/>
      <c r="J138" s="19">
        <f t="shared" si="41"/>
        <v>0</v>
      </c>
      <c r="K138" s="2"/>
      <c r="L138" s="2">
        <f t="shared" si="42"/>
        <v>-4615.6499999999996</v>
      </c>
      <c r="M138" s="2"/>
      <c r="N138" s="19">
        <f t="shared" si="43"/>
        <v>0</v>
      </c>
      <c r="O138" s="10"/>
      <c r="P138" s="2">
        <v>50967.68</v>
      </c>
      <c r="Q138" s="2"/>
      <c r="R138" s="19">
        <f t="shared" si="44"/>
        <v>9.3110259033789711E-3</v>
      </c>
      <c r="S138" s="2"/>
      <c r="T138" s="2">
        <v>30914.66</v>
      </c>
      <c r="U138" s="2"/>
      <c r="V138" s="19">
        <f t="shared" si="45"/>
        <v>3.3465184398560571E-3</v>
      </c>
      <c r="W138" s="2"/>
      <c r="X138" s="2">
        <f t="shared" si="46"/>
        <v>20053.02</v>
      </c>
      <c r="Y138" s="2"/>
      <c r="Z138" s="19">
        <f t="shared" si="47"/>
        <v>0.6486573036869886</v>
      </c>
    </row>
    <row r="139" spans="1:26" s="23" customFormat="1" hidden="1" outlineLevel="1" x14ac:dyDescent="0.25">
      <c r="A139" s="44"/>
      <c r="B139" s="10" t="str">
        <f>CONCATENATE("          ", "5044", " - ", "PURCHASES @ COST-ACCESSORIES")</f>
        <v xml:space="preserve">          5044 - PURCHASES @ COST-ACCESSORIES</v>
      </c>
      <c r="C139" s="10"/>
      <c r="D139" s="2">
        <v>4371.2</v>
      </c>
      <c r="E139" s="2"/>
      <c r="F139" s="19">
        <f t="shared" si="40"/>
        <v>1.6526014825172141E-2</v>
      </c>
      <c r="G139" s="2"/>
      <c r="H139" s="2">
        <v>0</v>
      </c>
      <c r="I139" s="2"/>
      <c r="J139" s="19">
        <f t="shared" si="41"/>
        <v>0</v>
      </c>
      <c r="K139" s="2"/>
      <c r="L139" s="2">
        <f t="shared" si="42"/>
        <v>4371.2</v>
      </c>
      <c r="M139" s="2"/>
      <c r="N139" s="19">
        <f t="shared" si="43"/>
        <v>0</v>
      </c>
      <c r="O139" s="10"/>
      <c r="P139" s="2">
        <v>6926.91</v>
      </c>
      <c r="Q139" s="2"/>
      <c r="R139" s="19">
        <f t="shared" si="44"/>
        <v>1.2654419122152475E-3</v>
      </c>
      <c r="S139" s="2"/>
      <c r="T139" s="2">
        <v>37869.03</v>
      </c>
      <c r="U139" s="2"/>
      <c r="V139" s="19">
        <f t="shared" si="45"/>
        <v>4.0993304533985565E-3</v>
      </c>
      <c r="W139" s="2"/>
      <c r="X139" s="2">
        <f t="shared" si="46"/>
        <v>-30942.12</v>
      </c>
      <c r="Y139" s="2"/>
      <c r="Z139" s="19">
        <f t="shared" si="47"/>
        <v>-0.81708245497706178</v>
      </c>
    </row>
    <row r="140" spans="1:26" s="23" customFormat="1" hidden="1" outlineLevel="1" x14ac:dyDescent="0.25">
      <c r="A140" s="44"/>
      <c r="B140" s="10" t="str">
        <f>CONCATENATE("          ", "5045", " - ", "PURCHASES @ COST-SPECIAL ORDER")</f>
        <v xml:space="preserve">          5045 - PURCHASES @ COST-SPECIAL ORDER</v>
      </c>
      <c r="C140" s="10"/>
      <c r="D140" s="2">
        <v>33785.81</v>
      </c>
      <c r="E140" s="2"/>
      <c r="F140" s="19">
        <f t="shared" si="40"/>
        <v>0.12773261277005152</v>
      </c>
      <c r="G140" s="2"/>
      <c r="H140" s="2">
        <v>52772.41</v>
      </c>
      <c r="I140" s="2"/>
      <c r="J140" s="19">
        <f t="shared" si="41"/>
        <v>0.24998471122210505</v>
      </c>
      <c r="K140" s="2"/>
      <c r="L140" s="2">
        <f t="shared" si="42"/>
        <v>-18986.600000000006</v>
      </c>
      <c r="M140" s="2"/>
      <c r="N140" s="19">
        <f t="shared" si="43"/>
        <v>-0.3597826970570418</v>
      </c>
      <c r="O140" s="10"/>
      <c r="P140" s="2">
        <v>172925.05</v>
      </c>
      <c r="Q140" s="2"/>
      <c r="R140" s="19">
        <f t="shared" si="44"/>
        <v>3.1590796753807583E-2</v>
      </c>
      <c r="S140" s="2"/>
      <c r="T140" s="2">
        <v>131614.81</v>
      </c>
      <c r="U140" s="2"/>
      <c r="V140" s="19">
        <f t="shared" si="45"/>
        <v>1.4247330833434733E-2</v>
      </c>
      <c r="W140" s="2"/>
      <c r="X140" s="2">
        <f t="shared" si="46"/>
        <v>41310.239999999991</v>
      </c>
      <c r="Y140" s="2"/>
      <c r="Z140" s="19">
        <f t="shared" si="47"/>
        <v>0.31387227622788039</v>
      </c>
    </row>
    <row r="141" spans="1:26" s="23" customFormat="1" hidden="1" outlineLevel="1" x14ac:dyDescent="0.25">
      <c r="A141" s="44"/>
      <c r="B141" s="10" t="str">
        <f>CONCATENATE("          ", "5081", " - ", "PURCHASES @ COST-ELECTRONICS")</f>
        <v xml:space="preserve">          5081 - PURCHASES @ COST-ELECTRONICS</v>
      </c>
      <c r="C141" s="10"/>
      <c r="D141" s="2">
        <v>227</v>
      </c>
      <c r="E141" s="2"/>
      <c r="F141" s="19">
        <f t="shared" si="40"/>
        <v>8.582094997515731E-4</v>
      </c>
      <c r="G141" s="2"/>
      <c r="H141" s="2"/>
      <c r="I141" s="2"/>
      <c r="J141" s="19">
        <f t="shared" si="41"/>
        <v>0</v>
      </c>
      <c r="K141" s="2"/>
      <c r="L141" s="2">
        <f t="shared" si="42"/>
        <v>227</v>
      </c>
      <c r="M141" s="2"/>
      <c r="N141" s="19">
        <f t="shared" si="43"/>
        <v>0</v>
      </c>
      <c r="O141" s="10"/>
      <c r="P141" s="2">
        <v>227</v>
      </c>
      <c r="Q141" s="2"/>
      <c r="R141" s="19">
        <f t="shared" si="44"/>
        <v>4.1469473989536631E-5</v>
      </c>
      <c r="S141" s="2"/>
      <c r="T141" s="2">
        <v>2008.03</v>
      </c>
      <c r="U141" s="2"/>
      <c r="V141" s="19">
        <f t="shared" si="45"/>
        <v>2.1736966936670689E-4</v>
      </c>
      <c r="W141" s="2"/>
      <c r="X141" s="2">
        <f t="shared" si="46"/>
        <v>-1781.03</v>
      </c>
      <c r="Y141" s="2"/>
      <c r="Z141" s="19">
        <f t="shared" si="47"/>
        <v>-0.88695388017111298</v>
      </c>
    </row>
    <row r="142" spans="1:26" s="23" customFormat="1" hidden="1" outlineLevel="1" x14ac:dyDescent="0.25">
      <c r="A142" s="44"/>
      <c r="B142" s="10" t="str">
        <f>CONCATENATE("          ", "5082", " - ", "PURCHASES @ COST-COMPUTER HARD")</f>
        <v xml:space="preserve">          5082 - PURCHASES @ COST-COMPUTER HARD</v>
      </c>
      <c r="C142" s="10"/>
      <c r="D142" s="2">
        <v>972</v>
      </c>
      <c r="E142" s="2"/>
      <c r="F142" s="19">
        <f t="shared" si="40"/>
        <v>3.6748001487159872E-3</v>
      </c>
      <c r="G142" s="2"/>
      <c r="H142" s="2"/>
      <c r="I142" s="2"/>
      <c r="J142" s="19">
        <f t="shared" si="41"/>
        <v>0</v>
      </c>
      <c r="K142" s="2"/>
      <c r="L142" s="2">
        <f t="shared" si="42"/>
        <v>972</v>
      </c>
      <c r="M142" s="2"/>
      <c r="N142" s="19">
        <f t="shared" si="43"/>
        <v>0</v>
      </c>
      <c r="O142" s="10"/>
      <c r="P142" s="2">
        <v>972</v>
      </c>
      <c r="Q142" s="2"/>
      <c r="R142" s="19">
        <f t="shared" si="44"/>
        <v>1.7756973003449166E-4</v>
      </c>
      <c r="S142" s="2"/>
      <c r="T142" s="2">
        <v>349.6</v>
      </c>
      <c r="U142" s="2"/>
      <c r="V142" s="19">
        <f t="shared" si="45"/>
        <v>3.7844273447409016E-5</v>
      </c>
      <c r="W142" s="2"/>
      <c r="X142" s="2">
        <f t="shared" si="46"/>
        <v>622.4</v>
      </c>
      <c r="Y142" s="2"/>
      <c r="Z142" s="19">
        <f t="shared" si="47"/>
        <v>1.7803203661327229</v>
      </c>
    </row>
    <row r="143" spans="1:26" s="23" customFormat="1" hidden="1" outlineLevel="1" x14ac:dyDescent="0.25">
      <c r="A143" s="44"/>
      <c r="B143" s="10" t="str">
        <f>CONCATENATE("          ", "5083", " - ", "PURCHASES @ COST-COMPUTER EQUI")</f>
        <v xml:space="preserve">          5083 - PURCHASES @ COST-COMPUTER EQUI</v>
      </c>
      <c r="C143" s="10"/>
      <c r="D143" s="2">
        <v>170</v>
      </c>
      <c r="E143" s="2"/>
      <c r="F143" s="19">
        <f t="shared" si="40"/>
        <v>6.4271196016637633E-4</v>
      </c>
      <c r="G143" s="2"/>
      <c r="H143" s="2"/>
      <c r="I143" s="2"/>
      <c r="J143" s="19">
        <f t="shared" si="41"/>
        <v>0</v>
      </c>
      <c r="K143" s="2"/>
      <c r="L143" s="2">
        <f t="shared" si="42"/>
        <v>170</v>
      </c>
      <c r="M143" s="2"/>
      <c r="N143" s="19">
        <f t="shared" si="43"/>
        <v>0</v>
      </c>
      <c r="O143" s="10"/>
      <c r="P143" s="2">
        <v>170</v>
      </c>
      <c r="Q143" s="2"/>
      <c r="R143" s="19">
        <f t="shared" si="44"/>
        <v>3.1056434265291752E-5</v>
      </c>
      <c r="S143" s="2"/>
      <c r="T143" s="2">
        <v>395.06</v>
      </c>
      <c r="U143" s="2"/>
      <c r="V143" s="19">
        <f t="shared" si="45"/>
        <v>4.2765327998093266E-5</v>
      </c>
      <c r="W143" s="2"/>
      <c r="X143" s="2">
        <f t="shared" si="46"/>
        <v>-225.06</v>
      </c>
      <c r="Y143" s="2"/>
      <c r="Z143" s="19">
        <f t="shared" si="47"/>
        <v>-0.56968561737457601</v>
      </c>
    </row>
    <row r="144" spans="1:26" s="23" customFormat="1" hidden="1" outlineLevel="1" x14ac:dyDescent="0.25">
      <c r="A144" s="44"/>
      <c r="B144" s="10" t="str">
        <f>CONCATENATE("          ", "5086", " - ", "PURCHASES @ COST-COMPUTER SUPP")</f>
        <v xml:space="preserve">          5086 - PURCHASES @ COST-COMPUTER SUPP</v>
      </c>
      <c r="C144" s="10"/>
      <c r="D144" s="2">
        <v>156.21</v>
      </c>
      <c r="E144" s="2"/>
      <c r="F144" s="19">
        <f t="shared" si="40"/>
        <v>5.9057667822111565E-4</v>
      </c>
      <c r="G144" s="2"/>
      <c r="H144" s="2"/>
      <c r="I144" s="2"/>
      <c r="J144" s="19">
        <f t="shared" si="41"/>
        <v>0</v>
      </c>
      <c r="K144" s="2"/>
      <c r="L144" s="2">
        <f t="shared" si="42"/>
        <v>156.21</v>
      </c>
      <c r="M144" s="2"/>
      <c r="N144" s="19">
        <f t="shared" si="43"/>
        <v>0</v>
      </c>
      <c r="O144" s="10"/>
      <c r="P144" s="2">
        <v>169.42</v>
      </c>
      <c r="Q144" s="2"/>
      <c r="R144" s="19">
        <f t="shared" si="44"/>
        <v>3.0950477018974871E-5</v>
      </c>
      <c r="S144" s="2"/>
      <c r="T144" s="2">
        <v>426.22</v>
      </c>
      <c r="U144" s="2"/>
      <c r="V144" s="19">
        <f t="shared" si="45"/>
        <v>4.6138404544492771E-5</v>
      </c>
      <c r="W144" s="2"/>
      <c r="X144" s="2">
        <f t="shared" si="46"/>
        <v>-256.80000000000007</v>
      </c>
      <c r="Y144" s="2"/>
      <c r="Z144" s="19">
        <f t="shared" si="47"/>
        <v>-0.60250574820515235</v>
      </c>
    </row>
    <row r="145" spans="1:26" s="23" customFormat="1" hidden="1" outlineLevel="1" x14ac:dyDescent="0.25">
      <c r="A145" s="44"/>
      <c r="B145" s="10" t="str">
        <f>CONCATENATE("          ", "5092", " - ", "PURCHASES @ COST-GRAD MERCH")</f>
        <v xml:space="preserve">          5092 - PURCHASES @ COST-GRAD MERCH</v>
      </c>
      <c r="C145" s="10"/>
      <c r="D145" s="2"/>
      <c r="E145" s="2"/>
      <c r="F145" s="19">
        <f t="shared" si="40"/>
        <v>0</v>
      </c>
      <c r="G145" s="2"/>
      <c r="H145" s="2">
        <v>9354.1</v>
      </c>
      <c r="I145" s="2"/>
      <c r="J145" s="19">
        <f t="shared" si="41"/>
        <v>4.4310691651995672E-2</v>
      </c>
      <c r="K145" s="2"/>
      <c r="L145" s="2">
        <f t="shared" si="42"/>
        <v>-9354.1</v>
      </c>
      <c r="M145" s="2"/>
      <c r="N145" s="19">
        <f t="shared" si="43"/>
        <v>-1</v>
      </c>
      <c r="O145" s="10"/>
      <c r="P145" s="2">
        <v>0</v>
      </c>
      <c r="Q145" s="2"/>
      <c r="R145" s="19">
        <f t="shared" si="44"/>
        <v>0</v>
      </c>
      <c r="S145" s="2"/>
      <c r="T145" s="2">
        <v>13839.98</v>
      </c>
      <c r="U145" s="2"/>
      <c r="V145" s="19">
        <f t="shared" si="45"/>
        <v>1.4981807426392214E-3</v>
      </c>
      <c r="W145" s="2"/>
      <c r="X145" s="2">
        <f t="shared" si="46"/>
        <v>-13839.98</v>
      </c>
      <c r="Y145" s="2"/>
      <c r="Z145" s="19">
        <f t="shared" si="47"/>
        <v>-1</v>
      </c>
    </row>
    <row r="146" spans="1:26" s="23" customFormat="1" hidden="1" outlineLevel="1" x14ac:dyDescent="0.25">
      <c r="A146" s="44"/>
      <c r="B146" s="10" t="str">
        <f>CONCATENATE("          ", "5095", " - ", "PURCHASES @ COST-CUSTOMER SERV")</f>
        <v xml:space="preserve">          5095 - PURCHASES @ COST-CUSTOMER SERV</v>
      </c>
      <c r="C146" s="10"/>
      <c r="D146" s="2"/>
      <c r="E146" s="2"/>
      <c r="F146" s="19">
        <f t="shared" si="40"/>
        <v>0</v>
      </c>
      <c r="G146" s="2"/>
      <c r="H146" s="2">
        <v>0</v>
      </c>
      <c r="I146" s="2"/>
      <c r="J146" s="19">
        <f t="shared" si="41"/>
        <v>0</v>
      </c>
      <c r="K146" s="2"/>
      <c r="L146" s="2">
        <f t="shared" si="42"/>
        <v>0</v>
      </c>
      <c r="M146" s="2"/>
      <c r="N146" s="19">
        <f t="shared" si="43"/>
        <v>0</v>
      </c>
      <c r="O146" s="10"/>
      <c r="P146" s="2"/>
      <c r="Q146" s="2"/>
      <c r="R146" s="19">
        <f t="shared" si="44"/>
        <v>0</v>
      </c>
      <c r="S146" s="2"/>
      <c r="T146" s="2">
        <v>0</v>
      </c>
      <c r="U146" s="2"/>
      <c r="V146" s="19">
        <f t="shared" si="45"/>
        <v>0</v>
      </c>
      <c r="W146" s="2"/>
      <c r="X146" s="2">
        <f t="shared" si="46"/>
        <v>0</v>
      </c>
      <c r="Y146" s="2"/>
      <c r="Z146" s="19">
        <f t="shared" si="47"/>
        <v>0</v>
      </c>
    </row>
    <row r="147" spans="1:26" s="23" customFormat="1" hidden="1" outlineLevel="1" x14ac:dyDescent="0.25">
      <c r="A147" s="44"/>
      <c r="B147" s="10" t="str">
        <f>CONCATENATE("          ", "5200", " - ", "PURCHASES OFFSET")</f>
        <v xml:space="preserve">          5200 - PURCHASES OFFSET</v>
      </c>
      <c r="C147" s="10"/>
      <c r="D147" s="2">
        <v>-486860.31</v>
      </c>
      <c r="E147" s="2"/>
      <c r="F147" s="19">
        <f t="shared" si="40"/>
        <v>-1.8406526127488803</v>
      </c>
      <c r="G147" s="2"/>
      <c r="H147" s="2">
        <v>-303919</v>
      </c>
      <c r="I147" s="2"/>
      <c r="J147" s="19">
        <f t="shared" si="41"/>
        <v>-1.4396746983871105</v>
      </c>
      <c r="K147" s="2"/>
      <c r="L147" s="2">
        <f t="shared" si="42"/>
        <v>-182941.31</v>
      </c>
      <c r="M147" s="2"/>
      <c r="N147" s="19">
        <f t="shared" si="43"/>
        <v>0.60194101059821858</v>
      </c>
      <c r="O147" s="10"/>
      <c r="P147" s="2">
        <v>-2334827.4700000002</v>
      </c>
      <c r="Q147" s="2"/>
      <c r="R147" s="19">
        <f t="shared" si="44"/>
        <v>-0.42653774025207325</v>
      </c>
      <c r="S147" s="2"/>
      <c r="T147" s="2">
        <v>-3777245</v>
      </c>
      <c r="U147" s="2"/>
      <c r="V147" s="19">
        <f t="shared" si="45"/>
        <v>-0.40888756481080796</v>
      </c>
      <c r="W147" s="2"/>
      <c r="X147" s="2">
        <f t="shared" si="46"/>
        <v>1442417.5299999998</v>
      </c>
      <c r="Y147" s="2"/>
      <c r="Z147" s="19">
        <f t="shared" si="47"/>
        <v>-0.38187025993812945</v>
      </c>
    </row>
    <row r="148" spans="1:26" s="23" customFormat="1" hidden="1" outlineLevel="1" x14ac:dyDescent="0.25">
      <c r="A148" s="44"/>
      <c r="B148" s="10" t="str">
        <f>CONCATENATE("          ", "5300", " - ", "COG$ OFFSET")</f>
        <v xml:space="preserve">          5300 - COG$ OFFSET</v>
      </c>
      <c r="C148" s="10"/>
      <c r="D148" s="2">
        <v>155831</v>
      </c>
      <c r="E148" s="2"/>
      <c r="F148" s="19">
        <f t="shared" si="40"/>
        <v>0.58914380861580351</v>
      </c>
      <c r="G148" s="2"/>
      <c r="H148" s="2">
        <v>300761.53000000003</v>
      </c>
      <c r="I148" s="2"/>
      <c r="J148" s="19">
        <f t="shared" si="41"/>
        <v>1.4247176549975353</v>
      </c>
      <c r="K148" s="2"/>
      <c r="L148" s="2">
        <f t="shared" si="42"/>
        <v>-144930.53000000003</v>
      </c>
      <c r="M148" s="2"/>
      <c r="N148" s="19">
        <f t="shared" si="43"/>
        <v>-0.48187855009249358</v>
      </c>
      <c r="O148" s="10"/>
      <c r="P148" s="2">
        <v>2797463</v>
      </c>
      <c r="Q148" s="2"/>
      <c r="R148" s="19">
        <f t="shared" si="44"/>
        <v>0.51105426922991681</v>
      </c>
      <c r="S148" s="2"/>
      <c r="T148" s="2">
        <v>4336696</v>
      </c>
      <c r="U148" s="2"/>
      <c r="V148" s="19">
        <f t="shared" si="45"/>
        <v>0.46944825309578059</v>
      </c>
      <c r="W148" s="2"/>
      <c r="X148" s="2">
        <f t="shared" si="46"/>
        <v>-1539233</v>
      </c>
      <c r="Y148" s="2"/>
      <c r="Z148" s="19">
        <f t="shared" si="47"/>
        <v>-0.35493218800672216</v>
      </c>
    </row>
    <row r="149" spans="1:26" s="23" customFormat="1" hidden="1" outlineLevel="1" x14ac:dyDescent="0.25">
      <c r="A149" s="44"/>
      <c r="B149" s="10" t="str">
        <f>CONCATENATE("          ", "5500", " - ", "FREIGHT-IN")</f>
        <v xml:space="preserve">          5500 - FREIGHT-IN</v>
      </c>
      <c r="C149" s="10"/>
      <c r="D149" s="2">
        <v>65</v>
      </c>
      <c r="E149" s="2"/>
      <c r="F149" s="19">
        <f t="shared" si="40"/>
        <v>2.4574280829890862E-4</v>
      </c>
      <c r="G149" s="2"/>
      <c r="H149" s="2">
        <v>83.13</v>
      </c>
      <c r="I149" s="2"/>
      <c r="J149" s="19">
        <f t="shared" si="41"/>
        <v>3.9378965341726086E-4</v>
      </c>
      <c r="K149" s="2"/>
      <c r="L149" s="2">
        <f t="shared" si="42"/>
        <v>-18.129999999999995</v>
      </c>
      <c r="M149" s="2"/>
      <c r="N149" s="19">
        <f t="shared" si="43"/>
        <v>-0.21809214483339343</v>
      </c>
      <c r="O149" s="10"/>
      <c r="P149" s="2">
        <v>65</v>
      </c>
      <c r="Q149" s="2"/>
      <c r="R149" s="19">
        <f t="shared" si="44"/>
        <v>1.1874518983788021E-5</v>
      </c>
      <c r="S149" s="2"/>
      <c r="T149" s="2">
        <v>239.61</v>
      </c>
      <c r="U149" s="2"/>
      <c r="V149" s="19">
        <f t="shared" si="45"/>
        <v>2.5937832839627218E-5</v>
      </c>
      <c r="W149" s="2"/>
      <c r="X149" s="2">
        <f t="shared" si="46"/>
        <v>-174.61</v>
      </c>
      <c r="Y149" s="2"/>
      <c r="Z149" s="19">
        <f t="shared" si="47"/>
        <v>-0.72872584616668756</v>
      </c>
    </row>
    <row r="150" spans="1:26" s="23" customFormat="1" hidden="1" outlineLevel="1" x14ac:dyDescent="0.25">
      <c r="A150" s="44"/>
      <c r="B150" s="10" t="str">
        <f>CONCATENATE("          ", "5501", " - ", "FREIGHT-IN-NEW TEXT")</f>
        <v xml:space="preserve">          5501 - FREIGHT-IN-NEW TEXT</v>
      </c>
      <c r="C150" s="10"/>
      <c r="D150" s="2">
        <v>1565.85</v>
      </c>
      <c r="E150" s="2"/>
      <c r="F150" s="19">
        <f t="shared" si="40"/>
        <v>5.9199442519207082E-3</v>
      </c>
      <c r="G150" s="2"/>
      <c r="H150" s="2">
        <v>2483.06</v>
      </c>
      <c r="I150" s="2"/>
      <c r="J150" s="19">
        <f t="shared" si="41"/>
        <v>1.1762340151741414E-2</v>
      </c>
      <c r="K150" s="2"/>
      <c r="L150" s="2">
        <f t="shared" si="42"/>
        <v>-917.21</v>
      </c>
      <c r="M150" s="2"/>
      <c r="N150" s="19">
        <f t="shared" si="43"/>
        <v>-0.36938696608217281</v>
      </c>
      <c r="O150" s="10"/>
      <c r="P150" s="2">
        <v>53401.99</v>
      </c>
      <c r="Q150" s="2"/>
      <c r="R150" s="19">
        <f t="shared" si="44"/>
        <v>9.7557376004162779E-3</v>
      </c>
      <c r="S150" s="2"/>
      <c r="T150" s="2">
        <v>72230.789999999994</v>
      </c>
      <c r="U150" s="2"/>
      <c r="V150" s="19">
        <f t="shared" si="45"/>
        <v>7.818998192455311E-3</v>
      </c>
      <c r="W150" s="2"/>
      <c r="X150" s="2">
        <f t="shared" si="46"/>
        <v>-18828.799999999996</v>
      </c>
      <c r="Y150" s="2"/>
      <c r="Z150" s="19">
        <f t="shared" si="47"/>
        <v>-0.26067553739894023</v>
      </c>
    </row>
    <row r="151" spans="1:26" s="23" customFormat="1" hidden="1" outlineLevel="1" x14ac:dyDescent="0.25">
      <c r="A151" s="44"/>
      <c r="B151" s="10" t="str">
        <f>CONCATENATE("          ", "5502", " - ", "FREIGHT-IN-USED TEXT")</f>
        <v xml:space="preserve">          5502 - FREIGHT-IN-USED TEXT</v>
      </c>
      <c r="C151" s="10"/>
      <c r="D151" s="2">
        <v>149.80000000000001</v>
      </c>
      <c r="E151" s="2"/>
      <c r="F151" s="19">
        <f t="shared" si="40"/>
        <v>5.6634265666425407E-4</v>
      </c>
      <c r="G151" s="2"/>
      <c r="H151" s="2">
        <v>519.36</v>
      </c>
      <c r="I151" s="2"/>
      <c r="J151" s="19">
        <f t="shared" si="41"/>
        <v>2.460226084431476E-3</v>
      </c>
      <c r="K151" s="2"/>
      <c r="L151" s="2">
        <f t="shared" si="42"/>
        <v>-369.56</v>
      </c>
      <c r="M151" s="2"/>
      <c r="N151" s="19">
        <f t="shared" si="43"/>
        <v>-0.71156808379544056</v>
      </c>
      <c r="O151" s="10"/>
      <c r="P151" s="2">
        <v>18142.669999999998</v>
      </c>
      <c r="Q151" s="2"/>
      <c r="R151" s="19">
        <f t="shared" si="44"/>
        <v>3.314391989716945E-3</v>
      </c>
      <c r="S151" s="2"/>
      <c r="T151" s="2">
        <v>16200.12</v>
      </c>
      <c r="U151" s="2"/>
      <c r="V151" s="19">
        <f t="shared" si="45"/>
        <v>1.7536663934806631E-3</v>
      </c>
      <c r="W151" s="2"/>
      <c r="X151" s="2">
        <f t="shared" si="46"/>
        <v>1942.5499999999975</v>
      </c>
      <c r="Y151" s="2"/>
      <c r="Z151" s="19">
        <f t="shared" si="47"/>
        <v>0.11990960560785953</v>
      </c>
    </row>
    <row r="152" spans="1:26" s="23" customFormat="1" hidden="1" outlineLevel="1" x14ac:dyDescent="0.25">
      <c r="A152" s="44"/>
      <c r="B152" s="10" t="str">
        <f>CONCATENATE("          ", "5504", " - ", "FREIGHT-IN-DIGITAL TEXT")</f>
        <v xml:space="preserve">          5504 - FREIGHT-IN-DIGITAL TEXT</v>
      </c>
      <c r="C152" s="10"/>
      <c r="D152" s="2">
        <v>4.28</v>
      </c>
      <c r="E152" s="2"/>
      <c r="F152" s="19">
        <f t="shared" si="40"/>
        <v>1.6181218761835828E-5</v>
      </c>
      <c r="G152" s="2"/>
      <c r="H152" s="2"/>
      <c r="I152" s="2"/>
      <c r="J152" s="19">
        <f t="shared" si="41"/>
        <v>0</v>
      </c>
      <c r="K152" s="2"/>
      <c r="L152" s="2">
        <f t="shared" si="42"/>
        <v>4.28</v>
      </c>
      <c r="M152" s="2"/>
      <c r="N152" s="19">
        <f t="shared" si="43"/>
        <v>0</v>
      </c>
      <c r="O152" s="10"/>
      <c r="P152" s="2">
        <v>33.200000000000003</v>
      </c>
      <c r="Q152" s="2"/>
      <c r="R152" s="19">
        <f t="shared" si="44"/>
        <v>6.065138927104036E-6</v>
      </c>
      <c r="S152" s="2"/>
      <c r="T152" s="2">
        <v>118.75</v>
      </c>
      <c r="U152" s="2"/>
      <c r="V152" s="19">
        <f t="shared" si="45"/>
        <v>1.2854712448168824E-5</v>
      </c>
      <c r="W152" s="2"/>
      <c r="X152" s="2">
        <f t="shared" si="46"/>
        <v>-85.55</v>
      </c>
      <c r="Y152" s="2"/>
      <c r="Z152" s="19">
        <f t="shared" si="47"/>
        <v>-0.72042105263157896</v>
      </c>
    </row>
    <row r="153" spans="1:26" s="23" customFormat="1" hidden="1" outlineLevel="1" x14ac:dyDescent="0.25">
      <c r="A153" s="44"/>
      <c r="B153" s="10" t="str">
        <f>CONCATENATE("          ", "5513", " - ", "FREIGHT-IN-TRADE BOOKS")</f>
        <v xml:space="preserve">          5513 - FREIGHT-IN-TRADE BOOKS</v>
      </c>
      <c r="C153" s="10"/>
      <c r="D153" s="2"/>
      <c r="E153" s="2"/>
      <c r="F153" s="19">
        <f t="shared" si="40"/>
        <v>0</v>
      </c>
      <c r="G153" s="2"/>
      <c r="H153" s="2"/>
      <c r="I153" s="2"/>
      <c r="J153" s="19">
        <f t="shared" si="41"/>
        <v>0</v>
      </c>
      <c r="K153" s="2"/>
      <c r="L153" s="2">
        <f t="shared" si="42"/>
        <v>0</v>
      </c>
      <c r="M153" s="2"/>
      <c r="N153" s="19">
        <f t="shared" si="43"/>
        <v>0</v>
      </c>
      <c r="O153" s="10"/>
      <c r="P153" s="2">
        <v>85.28</v>
      </c>
      <c r="Q153" s="2"/>
      <c r="R153" s="19">
        <f t="shared" si="44"/>
        <v>1.5579368906729886E-5</v>
      </c>
      <c r="S153" s="2"/>
      <c r="T153" s="2">
        <v>30.24</v>
      </c>
      <c r="U153" s="2"/>
      <c r="V153" s="19">
        <f t="shared" si="45"/>
        <v>3.273486353116844E-6</v>
      </c>
      <c r="W153" s="2"/>
      <c r="X153" s="2">
        <f t="shared" si="46"/>
        <v>55.040000000000006</v>
      </c>
      <c r="Y153" s="2"/>
      <c r="Z153" s="19">
        <f t="shared" si="47"/>
        <v>1.8201058201058204</v>
      </c>
    </row>
    <row r="154" spans="1:26" s="23" customFormat="1" hidden="1" outlineLevel="1" x14ac:dyDescent="0.25">
      <c r="A154" s="44"/>
      <c r="B154" s="10" t="str">
        <f>CONCATENATE("          ", "5518", " - ", "FREIGHT-IN-STUDY GUIDES")</f>
        <v xml:space="preserve">          5518 - FREIGHT-IN-STUDY GUIDES</v>
      </c>
      <c r="C154" s="10"/>
      <c r="D154" s="2"/>
      <c r="E154" s="2"/>
      <c r="F154" s="19">
        <f t="shared" si="40"/>
        <v>0</v>
      </c>
      <c r="G154" s="2"/>
      <c r="H154" s="2"/>
      <c r="I154" s="2"/>
      <c r="J154" s="19">
        <f t="shared" si="41"/>
        <v>0</v>
      </c>
      <c r="K154" s="2"/>
      <c r="L154" s="2">
        <f t="shared" si="42"/>
        <v>0</v>
      </c>
      <c r="M154" s="2"/>
      <c r="N154" s="19">
        <f t="shared" si="43"/>
        <v>0</v>
      </c>
      <c r="O154" s="10"/>
      <c r="P154" s="2"/>
      <c r="Q154" s="2"/>
      <c r="R154" s="19">
        <f t="shared" si="44"/>
        <v>0</v>
      </c>
      <c r="S154" s="2"/>
      <c r="T154" s="2">
        <v>21.13</v>
      </c>
      <c r="U154" s="2"/>
      <c r="V154" s="19">
        <f t="shared" si="45"/>
        <v>2.2873269391983765E-6</v>
      </c>
      <c r="W154" s="2"/>
      <c r="X154" s="2">
        <f t="shared" si="46"/>
        <v>-21.13</v>
      </c>
      <c r="Y154" s="2"/>
      <c r="Z154" s="19">
        <f t="shared" si="47"/>
        <v>-1</v>
      </c>
    </row>
    <row r="155" spans="1:26" s="23" customFormat="1" hidden="1" outlineLevel="1" x14ac:dyDescent="0.25">
      <c r="A155" s="44"/>
      <c r="B155" s="10" t="str">
        <f>CONCATENATE("          ", "5525", " - ", "FREIGHT-IN-TEST FORMS")</f>
        <v xml:space="preserve">          5525 - FREIGHT-IN-TEST FORMS</v>
      </c>
      <c r="C155" s="10"/>
      <c r="D155" s="2"/>
      <c r="E155" s="2"/>
      <c r="F155" s="19">
        <f t="shared" si="40"/>
        <v>0</v>
      </c>
      <c r="G155" s="2"/>
      <c r="H155" s="2"/>
      <c r="I155" s="2"/>
      <c r="J155" s="19">
        <f t="shared" si="41"/>
        <v>0</v>
      </c>
      <c r="K155" s="2"/>
      <c r="L155" s="2">
        <f t="shared" si="42"/>
        <v>0</v>
      </c>
      <c r="M155" s="2"/>
      <c r="N155" s="19">
        <f t="shared" si="43"/>
        <v>0</v>
      </c>
      <c r="O155" s="10"/>
      <c r="P155" s="2">
        <v>48.14</v>
      </c>
      <c r="Q155" s="2"/>
      <c r="R155" s="19">
        <f t="shared" si="44"/>
        <v>8.7944514443008524E-6</v>
      </c>
      <c r="S155" s="2"/>
      <c r="T155" s="2">
        <v>1614.32</v>
      </c>
      <c r="U155" s="2"/>
      <c r="V155" s="19">
        <f t="shared" si="45"/>
        <v>1.7475047915223489E-4</v>
      </c>
      <c r="W155" s="2"/>
      <c r="X155" s="2">
        <f t="shared" si="46"/>
        <v>-1566.1799999999998</v>
      </c>
      <c r="Y155" s="2"/>
      <c r="Z155" s="19">
        <f t="shared" si="47"/>
        <v>-0.9701793944199415</v>
      </c>
    </row>
    <row r="156" spans="1:26" s="23" customFormat="1" hidden="1" outlineLevel="1" x14ac:dyDescent="0.25">
      <c r="A156" s="44"/>
      <c r="B156" s="10" t="str">
        <f>CONCATENATE("          ", "5526", " - ", "FREIGHT-IN-WRITING INSTRUMENTS")</f>
        <v xml:space="preserve">          5526 - FREIGHT-IN-WRITING INSTRUMENTS</v>
      </c>
      <c r="C156" s="10"/>
      <c r="D156" s="2"/>
      <c r="E156" s="2"/>
      <c r="F156" s="19">
        <f t="shared" si="40"/>
        <v>0</v>
      </c>
      <c r="G156" s="2"/>
      <c r="H156" s="2"/>
      <c r="I156" s="2"/>
      <c r="J156" s="19">
        <f t="shared" si="41"/>
        <v>0</v>
      </c>
      <c r="K156" s="2"/>
      <c r="L156" s="2">
        <f t="shared" si="42"/>
        <v>0</v>
      </c>
      <c r="M156" s="2"/>
      <c r="N156" s="19">
        <f t="shared" si="43"/>
        <v>0</v>
      </c>
      <c r="O156" s="10"/>
      <c r="P156" s="2">
        <v>0</v>
      </c>
      <c r="Q156" s="2"/>
      <c r="R156" s="19">
        <f t="shared" si="44"/>
        <v>0</v>
      </c>
      <c r="S156" s="2"/>
      <c r="T156" s="2">
        <v>274.5</v>
      </c>
      <c r="U156" s="2"/>
      <c r="V156" s="19">
        <f t="shared" si="45"/>
        <v>2.9714682669661828E-5</v>
      </c>
      <c r="W156" s="2"/>
      <c r="X156" s="2">
        <f t="shared" si="46"/>
        <v>-274.5</v>
      </c>
      <c r="Y156" s="2"/>
      <c r="Z156" s="19">
        <f t="shared" si="47"/>
        <v>-1</v>
      </c>
    </row>
    <row r="157" spans="1:26" s="23" customFormat="1" hidden="1" outlineLevel="1" x14ac:dyDescent="0.25">
      <c r="A157" s="44"/>
      <c r="B157" s="10" t="str">
        <f>CONCATENATE("          ", "5527", " - ", "FREIGHT-IN-SCHOOL SUPPLIES")</f>
        <v xml:space="preserve">          5527 - FREIGHT-IN-SCHOOL SUPPLIES</v>
      </c>
      <c r="C157" s="10"/>
      <c r="D157" s="2">
        <v>58.29</v>
      </c>
      <c r="E157" s="2"/>
      <c r="F157" s="19">
        <f t="shared" si="40"/>
        <v>2.2037458916528282E-4</v>
      </c>
      <c r="G157" s="2"/>
      <c r="H157" s="2"/>
      <c r="I157" s="2"/>
      <c r="J157" s="19">
        <f t="shared" si="41"/>
        <v>0</v>
      </c>
      <c r="K157" s="2"/>
      <c r="L157" s="2">
        <f t="shared" si="42"/>
        <v>58.29</v>
      </c>
      <c r="M157" s="2"/>
      <c r="N157" s="19">
        <f t="shared" si="43"/>
        <v>0</v>
      </c>
      <c r="O157" s="10"/>
      <c r="P157" s="2">
        <v>276.91000000000003</v>
      </c>
      <c r="Q157" s="2"/>
      <c r="R157" s="19">
        <f t="shared" si="44"/>
        <v>5.0587277720011405E-5</v>
      </c>
      <c r="S157" s="2"/>
      <c r="T157" s="2">
        <v>1808</v>
      </c>
      <c r="U157" s="2"/>
      <c r="V157" s="19">
        <f t="shared" si="45"/>
        <v>1.9571637984243566E-4</v>
      </c>
      <c r="W157" s="2"/>
      <c r="X157" s="2">
        <f t="shared" si="46"/>
        <v>-1531.09</v>
      </c>
      <c r="Y157" s="2"/>
      <c r="Z157" s="19">
        <f t="shared" si="47"/>
        <v>-0.84684181415929194</v>
      </c>
    </row>
    <row r="158" spans="1:26" s="23" customFormat="1" hidden="1" outlineLevel="1" x14ac:dyDescent="0.25">
      <c r="A158" s="44"/>
      <c r="B158" s="10" t="str">
        <f>CONCATENATE("          ", "5528", " - ", "FREIGHT-IN-ART/TECH")</f>
        <v xml:space="preserve">          5528 - FREIGHT-IN-ART/TECH</v>
      </c>
      <c r="C158" s="10"/>
      <c r="D158" s="2">
        <v>102.68</v>
      </c>
      <c r="E158" s="2"/>
      <c r="F158" s="19">
        <f t="shared" si="40"/>
        <v>3.8819802394049133E-4</v>
      </c>
      <c r="G158" s="2"/>
      <c r="H158" s="2">
        <v>13.33</v>
      </c>
      <c r="I158" s="2"/>
      <c r="J158" s="19">
        <f t="shared" si="41"/>
        <v>6.3144665945532148E-5</v>
      </c>
      <c r="K158" s="2"/>
      <c r="L158" s="2">
        <f t="shared" si="42"/>
        <v>89.350000000000009</v>
      </c>
      <c r="M158" s="2"/>
      <c r="N158" s="19">
        <f t="shared" si="43"/>
        <v>6.7029257314328587</v>
      </c>
      <c r="O158" s="10"/>
      <c r="P158" s="2">
        <v>675.64</v>
      </c>
      <c r="Q158" s="2"/>
      <c r="R158" s="19">
        <f t="shared" si="44"/>
        <v>1.2342923086471598E-4</v>
      </c>
      <c r="S158" s="2"/>
      <c r="T158" s="2">
        <v>2837.7</v>
      </c>
      <c r="U158" s="2"/>
      <c r="V158" s="19">
        <f t="shared" si="45"/>
        <v>3.0718162117194668E-4</v>
      </c>
      <c r="W158" s="2"/>
      <c r="X158" s="2">
        <f t="shared" si="46"/>
        <v>-2162.06</v>
      </c>
      <c r="Y158" s="2"/>
      <c r="Z158" s="19">
        <f t="shared" si="47"/>
        <v>-0.76190576875638727</v>
      </c>
    </row>
    <row r="159" spans="1:26" s="23" customFormat="1" hidden="1" outlineLevel="1" x14ac:dyDescent="0.25">
      <c r="A159" s="44"/>
      <c r="B159" s="10" t="str">
        <f>CONCATENATE("          ", "5540", " - ", "FREIGHT-IN-LOGO CLOTHING")</f>
        <v xml:space="preserve">          5540 - FREIGHT-IN-LOGO CLOTHING</v>
      </c>
      <c r="C159" s="10"/>
      <c r="D159" s="2">
        <v>1384.09</v>
      </c>
      <c r="E159" s="2"/>
      <c r="F159" s="19">
        <f t="shared" si="40"/>
        <v>5.232771746745175E-3</v>
      </c>
      <c r="G159" s="2"/>
      <c r="H159" s="2">
        <v>29.98</v>
      </c>
      <c r="I159" s="2"/>
      <c r="J159" s="19">
        <f t="shared" si="41"/>
        <v>1.420162854498915E-4</v>
      </c>
      <c r="K159" s="2"/>
      <c r="L159" s="2">
        <f t="shared" si="42"/>
        <v>1354.11</v>
      </c>
      <c r="M159" s="2"/>
      <c r="N159" s="19">
        <f t="shared" si="43"/>
        <v>45.167111407605063</v>
      </c>
      <c r="O159" s="10"/>
      <c r="P159" s="2">
        <v>11883.79</v>
      </c>
      <c r="Q159" s="2"/>
      <c r="R159" s="19">
        <f t="shared" si="44"/>
        <v>2.1709890762207735E-3</v>
      </c>
      <c r="S159" s="2"/>
      <c r="T159" s="2">
        <v>32548.98</v>
      </c>
      <c r="U159" s="2"/>
      <c r="V159" s="19">
        <f t="shared" si="45"/>
        <v>3.523433923210089E-3</v>
      </c>
      <c r="W159" s="2"/>
      <c r="X159" s="2">
        <f t="shared" si="46"/>
        <v>-20665.189999999999</v>
      </c>
      <c r="Y159" s="2"/>
      <c r="Z159" s="19">
        <f t="shared" si="47"/>
        <v>-0.63489516414953706</v>
      </c>
    </row>
    <row r="160" spans="1:26" s="23" customFormat="1" hidden="1" outlineLevel="1" x14ac:dyDescent="0.25">
      <c r="A160" s="44"/>
      <c r="B160" s="10" t="str">
        <f>CONCATENATE("          ", "5541", " - ", "FREIGHT-IN-LOGO GIFTS")</f>
        <v xml:space="preserve">          5541 - FREIGHT-IN-LOGO GIFTS</v>
      </c>
      <c r="C160" s="10"/>
      <c r="D160" s="2">
        <v>1606.81</v>
      </c>
      <c r="E160" s="2"/>
      <c r="F160" s="19">
        <f t="shared" si="40"/>
        <v>6.0748000277349124E-3</v>
      </c>
      <c r="G160" s="2"/>
      <c r="H160" s="2">
        <v>348.31</v>
      </c>
      <c r="I160" s="2"/>
      <c r="J160" s="19">
        <f t="shared" si="41"/>
        <v>1.6499563837575619E-3</v>
      </c>
      <c r="K160" s="2"/>
      <c r="L160" s="2">
        <f t="shared" si="42"/>
        <v>1258.5</v>
      </c>
      <c r="M160" s="2"/>
      <c r="N160" s="19">
        <f t="shared" si="43"/>
        <v>3.6131606901897735</v>
      </c>
      <c r="O160" s="10"/>
      <c r="P160" s="2">
        <v>7584.01</v>
      </c>
      <c r="Q160" s="2"/>
      <c r="R160" s="19">
        <f t="shared" si="44"/>
        <v>1.3854841648959723E-3</v>
      </c>
      <c r="S160" s="2"/>
      <c r="T160" s="2">
        <v>5574.41</v>
      </c>
      <c r="U160" s="2"/>
      <c r="V160" s="19">
        <f t="shared" si="45"/>
        <v>6.0343105362692015E-4</v>
      </c>
      <c r="W160" s="2"/>
      <c r="X160" s="2">
        <f t="shared" si="46"/>
        <v>2009.6000000000004</v>
      </c>
      <c r="Y160" s="2"/>
      <c r="Z160" s="19">
        <f t="shared" si="47"/>
        <v>0.36050451976083575</v>
      </c>
    </row>
    <row r="161" spans="1:26" s="23" customFormat="1" hidden="1" outlineLevel="1" x14ac:dyDescent="0.25">
      <c r="A161" s="44"/>
      <c r="B161" s="10" t="str">
        <f>CONCATENATE("          ", "5542", " - ", "FREIGHT-IN-EVERYDAY GIFTS")</f>
        <v xml:space="preserve">          5542 - FREIGHT-IN-EVERYDAY GIFTS</v>
      </c>
      <c r="C161" s="10"/>
      <c r="D161" s="2"/>
      <c r="E161" s="2"/>
      <c r="F161" s="19">
        <f t="shared" si="40"/>
        <v>0</v>
      </c>
      <c r="G161" s="2"/>
      <c r="H161" s="2"/>
      <c r="I161" s="2"/>
      <c r="J161" s="19">
        <f t="shared" si="41"/>
        <v>0</v>
      </c>
      <c r="K161" s="2"/>
      <c r="L161" s="2">
        <f t="shared" si="42"/>
        <v>0</v>
      </c>
      <c r="M161" s="2"/>
      <c r="N161" s="19">
        <f t="shared" si="43"/>
        <v>0</v>
      </c>
      <c r="O161" s="10"/>
      <c r="P161" s="2">
        <v>681.72</v>
      </c>
      <c r="Q161" s="2"/>
      <c r="R161" s="19">
        <f t="shared" si="44"/>
        <v>1.2453995510196877E-4</v>
      </c>
      <c r="S161" s="2"/>
      <c r="T161" s="2">
        <v>2223.5100000000002</v>
      </c>
      <c r="U161" s="2"/>
      <c r="V161" s="19">
        <f t="shared" si="45"/>
        <v>2.4069542463686622E-4</v>
      </c>
      <c r="W161" s="2"/>
      <c r="X161" s="2">
        <f t="shared" si="46"/>
        <v>-1541.7900000000002</v>
      </c>
      <c r="Y161" s="2"/>
      <c r="Z161" s="19">
        <f t="shared" si="47"/>
        <v>-0.69340367257174473</v>
      </c>
    </row>
    <row r="162" spans="1:26" s="23" customFormat="1" hidden="1" outlineLevel="1" x14ac:dyDescent="0.25">
      <c r="A162" s="44"/>
      <c r="B162" s="10" t="str">
        <f>CONCATENATE("          ", "5543", " - ", "FREIGHT-IN-CARDS")</f>
        <v xml:space="preserve">          5543 - FREIGHT-IN-CARDS</v>
      </c>
      <c r="C162" s="10"/>
      <c r="D162" s="2"/>
      <c r="E162" s="2"/>
      <c r="F162" s="19">
        <f t="shared" si="40"/>
        <v>0</v>
      </c>
      <c r="G162" s="2"/>
      <c r="H162" s="2"/>
      <c r="I162" s="2"/>
      <c r="J162" s="19">
        <f t="shared" si="41"/>
        <v>0</v>
      </c>
      <c r="K162" s="2"/>
      <c r="L162" s="2">
        <f t="shared" si="42"/>
        <v>0</v>
      </c>
      <c r="M162" s="2"/>
      <c r="N162" s="19">
        <f t="shared" si="43"/>
        <v>0</v>
      </c>
      <c r="O162" s="10"/>
      <c r="P162" s="2">
        <v>9110.5300000000007</v>
      </c>
      <c r="Q162" s="2"/>
      <c r="R162" s="19">
        <f t="shared" si="44"/>
        <v>1.6643563298056969E-3</v>
      </c>
      <c r="S162" s="2"/>
      <c r="T162" s="2">
        <v>2926.76</v>
      </c>
      <c r="U162" s="2"/>
      <c r="V162" s="19">
        <f t="shared" si="45"/>
        <v>3.1682238488254811E-4</v>
      </c>
      <c r="W162" s="2"/>
      <c r="X162" s="2">
        <f t="shared" si="46"/>
        <v>6183.77</v>
      </c>
      <c r="Y162" s="2"/>
      <c r="Z162" s="19">
        <f t="shared" si="47"/>
        <v>2.112838087168063</v>
      </c>
    </row>
    <row r="163" spans="1:26" s="23" customFormat="1" hidden="1" outlineLevel="1" x14ac:dyDescent="0.25">
      <c r="A163" s="44"/>
      <c r="B163" s="10" t="str">
        <f>CONCATENATE("          ", "5544", " - ", "FREIGHT-IN-ACCESSORIES")</f>
        <v xml:space="preserve">          5544 - FREIGHT-IN-ACCESSORIES</v>
      </c>
      <c r="C163" s="10"/>
      <c r="D163" s="2">
        <v>48.59</v>
      </c>
      <c r="E163" s="2"/>
      <c r="F163" s="19">
        <f t="shared" si="40"/>
        <v>1.8370220084990723E-4</v>
      </c>
      <c r="G163" s="2"/>
      <c r="H163" s="2"/>
      <c r="I163" s="2"/>
      <c r="J163" s="19">
        <f t="shared" si="41"/>
        <v>0</v>
      </c>
      <c r="K163" s="2"/>
      <c r="L163" s="2">
        <f t="shared" si="42"/>
        <v>48.59</v>
      </c>
      <c r="M163" s="2"/>
      <c r="N163" s="19">
        <f t="shared" si="43"/>
        <v>0</v>
      </c>
      <c r="O163" s="10"/>
      <c r="P163" s="2">
        <v>48.59</v>
      </c>
      <c r="Q163" s="2"/>
      <c r="R163" s="19">
        <f t="shared" si="44"/>
        <v>8.8766596526501535E-6</v>
      </c>
      <c r="S163" s="2"/>
      <c r="T163" s="2">
        <v>483.44</v>
      </c>
      <c r="U163" s="2"/>
      <c r="V163" s="19">
        <f t="shared" si="45"/>
        <v>5.2332481565833569E-5</v>
      </c>
      <c r="W163" s="2"/>
      <c r="X163" s="2">
        <f t="shared" si="46"/>
        <v>-434.85</v>
      </c>
      <c r="Y163" s="2"/>
      <c r="Z163" s="19">
        <f t="shared" si="47"/>
        <v>-0.89949114678139996</v>
      </c>
    </row>
    <row r="164" spans="1:26" s="23" customFormat="1" hidden="1" outlineLevel="1" x14ac:dyDescent="0.25">
      <c r="A164" s="44"/>
      <c r="B164" s="10" t="str">
        <f>CONCATENATE("          ", "5545", " - ", "FREIGHT-IN-SPECIAL ORDERS")</f>
        <v xml:space="preserve">          5545 - FREIGHT-IN-SPECIAL ORDERS</v>
      </c>
      <c r="C164" s="10"/>
      <c r="D164" s="2">
        <v>90.41</v>
      </c>
      <c r="E164" s="2"/>
      <c r="F164" s="19">
        <f t="shared" si="40"/>
        <v>3.4180934305083578E-4</v>
      </c>
      <c r="G164" s="2"/>
      <c r="H164" s="2">
        <v>355.3</v>
      </c>
      <c r="I164" s="2"/>
      <c r="J164" s="19">
        <f t="shared" si="41"/>
        <v>1.6830682528467796E-3</v>
      </c>
      <c r="K164" s="2"/>
      <c r="L164" s="2">
        <f t="shared" si="42"/>
        <v>-264.89</v>
      </c>
      <c r="M164" s="2"/>
      <c r="N164" s="19">
        <f t="shared" si="43"/>
        <v>-0.74553898114269623</v>
      </c>
      <c r="O164" s="10"/>
      <c r="P164" s="2">
        <v>2559.0700000000002</v>
      </c>
      <c r="Q164" s="2"/>
      <c r="R164" s="19">
        <f t="shared" si="44"/>
        <v>4.675034660898833E-4</v>
      </c>
      <c r="S164" s="2"/>
      <c r="T164" s="2">
        <v>1420.62</v>
      </c>
      <c r="U164" s="2"/>
      <c r="V164" s="19">
        <f t="shared" si="45"/>
        <v>1.5378241345783236E-4</v>
      </c>
      <c r="W164" s="2"/>
      <c r="X164" s="2">
        <f t="shared" si="46"/>
        <v>1138.4500000000003</v>
      </c>
      <c r="Y164" s="2"/>
      <c r="Z164" s="19">
        <f t="shared" si="47"/>
        <v>0.80137545578691016</v>
      </c>
    </row>
    <row r="165" spans="1:26" s="23" customFormat="1" hidden="1" outlineLevel="1" x14ac:dyDescent="0.25">
      <c r="A165" s="44"/>
      <c r="B165" s="10" t="str">
        <f>CONCATENATE("          ", "5592", " - ", "FREIGHT-IN-GRAD MERCH")</f>
        <v xml:space="preserve">          5592 - FREIGHT-IN-GRAD MERCH</v>
      </c>
      <c r="C165" s="10"/>
      <c r="D165" s="2"/>
      <c r="E165" s="2"/>
      <c r="F165" s="19">
        <f t="shared" si="40"/>
        <v>0</v>
      </c>
      <c r="G165" s="2"/>
      <c r="H165" s="2">
        <v>10.83</v>
      </c>
      <c r="I165" s="2"/>
      <c r="J165" s="19">
        <f t="shared" si="41"/>
        <v>5.1302080434367077E-5</v>
      </c>
      <c r="K165" s="2"/>
      <c r="L165" s="2">
        <f t="shared" si="42"/>
        <v>-10.83</v>
      </c>
      <c r="M165" s="2"/>
      <c r="N165" s="19">
        <f t="shared" si="43"/>
        <v>-1</v>
      </c>
      <c r="O165" s="10"/>
      <c r="P165" s="2">
        <v>0</v>
      </c>
      <c r="Q165" s="2"/>
      <c r="R165" s="19">
        <f t="shared" si="44"/>
        <v>0</v>
      </c>
      <c r="S165" s="2"/>
      <c r="T165" s="2">
        <v>170.88</v>
      </c>
      <c r="U165" s="2"/>
      <c r="V165" s="19">
        <f t="shared" si="45"/>
        <v>1.8497795900152325E-5</v>
      </c>
      <c r="W165" s="2"/>
      <c r="X165" s="2">
        <f t="shared" si="46"/>
        <v>-170.88</v>
      </c>
      <c r="Y165" s="2"/>
      <c r="Z165" s="19">
        <f t="shared" si="47"/>
        <v>-1</v>
      </c>
    </row>
    <row r="166" spans="1:26" x14ac:dyDescent="0.25">
      <c r="A166" s="9"/>
      <c r="B166" s="11"/>
      <c r="C166" s="11"/>
      <c r="D166" s="3"/>
      <c r="E166" s="3"/>
      <c r="F166" s="8"/>
      <c r="G166" s="3"/>
      <c r="H166" s="3"/>
      <c r="I166" s="3"/>
      <c r="J166" s="8"/>
      <c r="K166" s="3"/>
      <c r="L166" s="3"/>
      <c r="M166" s="3"/>
      <c r="N166" s="8"/>
      <c r="O166" s="11"/>
      <c r="P166" s="3"/>
      <c r="Q166" s="3"/>
      <c r="R166" s="8"/>
      <c r="S166" s="3"/>
      <c r="T166" s="3"/>
      <c r="U166" s="3"/>
      <c r="V166" s="8"/>
      <c r="W166" s="3"/>
      <c r="X166" s="3"/>
      <c r="Y166" s="3"/>
      <c r="Z166" s="8"/>
    </row>
    <row r="167" spans="1:26" s="24" customFormat="1" x14ac:dyDescent="0.25">
      <c r="A167" s="11"/>
      <c r="B167" s="28" t="s">
        <v>107</v>
      </c>
      <c r="C167" s="28"/>
      <c r="D167" s="21">
        <f>D12-D114</f>
        <v>1209.3600000001024</v>
      </c>
      <c r="E167" s="14"/>
      <c r="F167" s="22">
        <f>IF(D$12=0,0,D167/D$12)</f>
        <v>4.5721772714522046E-3</v>
      </c>
      <c r="G167" s="14"/>
      <c r="H167" s="21">
        <f>H12-H114</f>
        <v>-52980.339999999967</v>
      </c>
      <c r="I167" s="14"/>
      <c r="J167" s="22">
        <f>IF(H$12=0,0,H167/H$12)</f>
        <v>-0.25096968274423948</v>
      </c>
      <c r="K167" s="15"/>
      <c r="L167" s="21">
        <f>+D167-H167</f>
        <v>54189.70000000007</v>
      </c>
      <c r="M167" s="15"/>
      <c r="N167" s="22">
        <f>IF(H167=0,0,L167/H167)</f>
        <v>-1.0228265805768726</v>
      </c>
      <c r="O167" s="29"/>
      <c r="P167" s="21">
        <f>P12-P114</f>
        <v>2017830.2999999984</v>
      </c>
      <c r="Q167" s="14"/>
      <c r="R167" s="22">
        <f>IF(P$12=0,0,P167/P$12)</f>
        <v>0.36862714159096399</v>
      </c>
      <c r="S167" s="14"/>
      <c r="T167" s="21">
        <f>T12-T114</f>
        <v>3725065.9300000006</v>
      </c>
      <c r="U167" s="14"/>
      <c r="V167" s="22">
        <f>IF(T$12=0,0,T167/T$12)</f>
        <v>0.40323916952101546</v>
      </c>
      <c r="W167" s="15"/>
      <c r="X167" s="21">
        <f>+P167-T167</f>
        <v>-1707235.6300000022</v>
      </c>
      <c r="Y167" s="15"/>
      <c r="Z167" s="22">
        <f>IF(T167=0,0,X167/T167)</f>
        <v>-0.45831017815032388</v>
      </c>
    </row>
    <row r="168" spans="1:26" x14ac:dyDescent="0.25">
      <c r="A168" s="9"/>
      <c r="B168" s="11"/>
      <c r="C168" s="9"/>
      <c r="D168" s="1"/>
      <c r="E168" s="1"/>
      <c r="F168" s="5"/>
      <c r="G168" s="1"/>
      <c r="H168" s="1"/>
      <c r="I168" s="1"/>
      <c r="J168" s="5"/>
      <c r="K168" s="1"/>
      <c r="L168" s="1"/>
      <c r="M168" s="1"/>
      <c r="N168" s="5"/>
      <c r="O168" s="37"/>
      <c r="P168" s="1"/>
      <c r="Q168" s="1"/>
      <c r="R168" s="5"/>
      <c r="S168" s="1"/>
      <c r="T168" s="1"/>
      <c r="U168" s="1"/>
      <c r="V168" s="5"/>
      <c r="W168" s="1"/>
      <c r="X168" s="1"/>
      <c r="Y168" s="1"/>
      <c r="Z168" s="5"/>
    </row>
    <row r="169" spans="1:26" s="24" customFormat="1" x14ac:dyDescent="0.25">
      <c r="A169" s="11"/>
      <c r="B169" s="29" t="s">
        <v>294</v>
      </c>
      <c r="C169" s="11"/>
      <c r="D169" s="20">
        <f>SUM(OSRRefD22x_0)</f>
        <v>249472.28</v>
      </c>
      <c r="E169" s="20"/>
      <c r="F169" s="32">
        <f t="shared" ref="F169:F180" si="48">IF(D$12=0,0,D169/D$12)</f>
        <v>0.94316951815279459</v>
      </c>
      <c r="G169" s="20"/>
      <c r="H169" s="20">
        <f>SUM(OSRRefH22x_0)</f>
        <v>300363.16000000003</v>
      </c>
      <c r="I169" s="20"/>
      <c r="J169" s="32">
        <f t="shared" ref="J169:J180" si="49">IF(H$12=0,0,H169/H$12)</f>
        <v>1.4228305626815023</v>
      </c>
      <c r="K169" s="4"/>
      <c r="L169" s="20">
        <f t="shared" ref="L169:L180" si="50">+D169-H169</f>
        <v>-50890.880000000034</v>
      </c>
      <c r="M169" s="4"/>
      <c r="N169" s="32">
        <f t="shared" ref="N169:N180" si="51">IF(H169=0,0,L169/H169)</f>
        <v>-0.16943116459421997</v>
      </c>
      <c r="O169" s="11"/>
      <c r="P169" s="20">
        <f>SUM(OSRRefP22x_0)</f>
        <v>3118538.1200000024</v>
      </c>
      <c r="Q169" s="20"/>
      <c r="R169" s="32">
        <f t="shared" ref="R169:R180" si="52">IF(P$12=0,0,P169/P$12)</f>
        <v>0.56970984780933287</v>
      </c>
      <c r="S169" s="20"/>
      <c r="T169" s="20">
        <f>SUM(OSRRefT22x_0)</f>
        <v>4195263.3999999985</v>
      </c>
      <c r="U169" s="20"/>
      <c r="V169" s="32">
        <f t="shared" ref="V169:V180" si="53">IF(T$12=0,0,T169/T$12)</f>
        <v>0.45413814443222772</v>
      </c>
      <c r="W169" s="4"/>
      <c r="X169" s="20">
        <f t="shared" ref="X169:X180" si="54">+P169-T169</f>
        <v>-1076725.2799999961</v>
      </c>
      <c r="Y169" s="4"/>
      <c r="Z169" s="32">
        <f t="shared" ref="Z169:Z180" si="55">IF(T169=0,0,X169/T169)</f>
        <v>-0.25665260493536507</v>
      </c>
    </row>
    <row r="170" spans="1:26" s="27" customFormat="1" outlineLevel="1" collapsed="1" x14ac:dyDescent="0.25">
      <c r="A170" s="26"/>
      <c r="B170" s="12" t="str">
        <f>CONCATENATE("     ","*Benefits                                         ")</f>
        <v xml:space="preserve">     *Benefits                                         </v>
      </c>
      <c r="C170" s="12"/>
      <c r="D170" s="1">
        <f>SUM(OSRRefD22_0x_0)</f>
        <v>53691.33</v>
      </c>
      <c r="E170" s="1"/>
      <c r="F170" s="5">
        <f t="shared" si="48"/>
        <v>0.20298858793082217</v>
      </c>
      <c r="G170" s="1"/>
      <c r="H170" s="1">
        <f>SUM(OSRRefH22_0x_0)</f>
        <v>31275.16</v>
      </c>
      <c r="I170" s="1"/>
      <c r="J170" s="5">
        <f t="shared" si="49"/>
        <v>0.14815150267014773</v>
      </c>
      <c r="K170" s="1"/>
      <c r="L170" s="1">
        <f t="shared" si="50"/>
        <v>22416.170000000002</v>
      </c>
      <c r="M170" s="1"/>
      <c r="N170" s="5">
        <f t="shared" si="51"/>
        <v>0.71674037798687529</v>
      </c>
      <c r="O170" s="12"/>
      <c r="P170" s="1">
        <f>SUM(OSRRefP22_0x_0)</f>
        <v>565194.29999999993</v>
      </c>
      <c r="Q170" s="1"/>
      <c r="R170" s="5">
        <f t="shared" si="52"/>
        <v>0.10325246838275048</v>
      </c>
      <c r="S170" s="1"/>
      <c r="T170" s="1">
        <f>SUM(OSRRefT22_0x_0)</f>
        <v>516439.71</v>
      </c>
      <c r="U170" s="1"/>
      <c r="V170" s="5">
        <f t="shared" si="53"/>
        <v>5.5904707106237454E-2</v>
      </c>
      <c r="W170" s="1"/>
      <c r="X170" s="1">
        <f t="shared" si="54"/>
        <v>48754.589999999909</v>
      </c>
      <c r="Y170" s="1"/>
      <c r="Z170" s="5">
        <f t="shared" si="55"/>
        <v>9.4405192040712571E-2</v>
      </c>
    </row>
    <row r="171" spans="1:26" s="23" customFormat="1" hidden="1" outlineLevel="2" x14ac:dyDescent="0.25">
      <c r="A171" s="25"/>
      <c r="B171" s="10" t="str">
        <f>CONCATENATE("          ", "6111", " - ", "F.I.C.A.")</f>
        <v xml:space="preserve">          6111 - F.I.C.A.</v>
      </c>
      <c r="C171" s="10"/>
      <c r="D171" s="6">
        <v>9383.11</v>
      </c>
      <c r="E171" s="2"/>
      <c r="F171" s="7">
        <f t="shared" si="48"/>
        <v>3.5474335415039575E-2</v>
      </c>
      <c r="G171" s="2"/>
      <c r="H171" s="6">
        <v>7624.57</v>
      </c>
      <c r="I171" s="2"/>
      <c r="J171" s="7">
        <f t="shared" si="49"/>
        <v>3.6117848884345535E-2</v>
      </c>
      <c r="K171" s="2"/>
      <c r="L171" s="6">
        <f t="shared" si="50"/>
        <v>1758.5400000000009</v>
      </c>
      <c r="M171" s="2"/>
      <c r="N171" s="7">
        <f t="shared" si="51"/>
        <v>0.23064120337278049</v>
      </c>
      <c r="O171" s="10"/>
      <c r="P171" s="6">
        <v>106861.05</v>
      </c>
      <c r="Q171" s="2"/>
      <c r="R171" s="7">
        <f t="shared" si="52"/>
        <v>1.9521901028500325E-2</v>
      </c>
      <c r="S171" s="2"/>
      <c r="T171" s="6">
        <v>107469.41</v>
      </c>
      <c r="U171" s="2"/>
      <c r="V171" s="7">
        <f t="shared" si="53"/>
        <v>1.1633586210731444E-2</v>
      </c>
      <c r="W171" s="2"/>
      <c r="X171" s="6">
        <f t="shared" si="54"/>
        <v>-608.36000000000058</v>
      </c>
      <c r="Y171" s="2"/>
      <c r="Z171" s="7">
        <f t="shared" si="55"/>
        <v>-5.6607736099044421E-3</v>
      </c>
    </row>
    <row r="172" spans="1:26" s="23" customFormat="1" hidden="1" outlineLevel="2" x14ac:dyDescent="0.25">
      <c r="A172" s="25"/>
      <c r="B172" s="10" t="str">
        <f>CONCATENATE("          ", "6112", " - ", "COMPENSATION INSURANCE")</f>
        <v xml:space="preserve">          6112 - COMPENSATION INSURANCE</v>
      </c>
      <c r="C172" s="10"/>
      <c r="D172" s="6">
        <v>1986.74</v>
      </c>
      <c r="E172" s="2"/>
      <c r="F172" s="7">
        <f t="shared" si="48"/>
        <v>7.5111856455349797E-3</v>
      </c>
      <c r="G172" s="2"/>
      <c r="H172" s="6">
        <v>1713.58</v>
      </c>
      <c r="I172" s="2"/>
      <c r="J172" s="7">
        <f t="shared" si="49"/>
        <v>8.1172870720888947E-3</v>
      </c>
      <c r="K172" s="2"/>
      <c r="L172" s="6">
        <f t="shared" si="50"/>
        <v>273.16000000000008</v>
      </c>
      <c r="M172" s="2"/>
      <c r="N172" s="7">
        <f t="shared" si="51"/>
        <v>0.15940895668716962</v>
      </c>
      <c r="O172" s="10"/>
      <c r="P172" s="6">
        <v>26278.76</v>
      </c>
      <c r="Q172" s="2"/>
      <c r="R172" s="7">
        <f t="shared" si="52"/>
        <v>4.8007328383139897E-3</v>
      </c>
      <c r="S172" s="2"/>
      <c r="T172" s="6">
        <v>28022.37</v>
      </c>
      <c r="U172" s="2"/>
      <c r="V172" s="7">
        <f t="shared" si="53"/>
        <v>3.0334274397153058E-3</v>
      </c>
      <c r="W172" s="2"/>
      <c r="X172" s="6">
        <f t="shared" si="54"/>
        <v>-1743.6100000000006</v>
      </c>
      <c r="Y172" s="2"/>
      <c r="Z172" s="7">
        <f t="shared" si="55"/>
        <v>-6.2222074721017553E-2</v>
      </c>
    </row>
    <row r="173" spans="1:26" s="23" customFormat="1" hidden="1" outlineLevel="2" x14ac:dyDescent="0.25">
      <c r="A173" s="25"/>
      <c r="B173" s="10" t="str">
        <f>CONCATENATE("          ", "6113", " - ", "GROUP INSURANCE")</f>
        <v xml:space="preserve">          6113 - GROUP INSURANCE</v>
      </c>
      <c r="C173" s="10"/>
      <c r="D173" s="6">
        <v>18284.05</v>
      </c>
      <c r="E173" s="2"/>
      <c r="F173" s="7">
        <f t="shared" si="48"/>
        <v>6.9125750678117839E-2</v>
      </c>
      <c r="G173" s="2"/>
      <c r="H173" s="6">
        <v>13413.27</v>
      </c>
      <c r="I173" s="2"/>
      <c r="J173" s="7">
        <f t="shared" si="49"/>
        <v>6.3539118783738038E-2</v>
      </c>
      <c r="K173" s="2"/>
      <c r="L173" s="6">
        <f t="shared" si="50"/>
        <v>4870.7799999999988</v>
      </c>
      <c r="M173" s="2"/>
      <c r="N173" s="7">
        <f t="shared" si="51"/>
        <v>0.36313143625678146</v>
      </c>
      <c r="O173" s="10"/>
      <c r="P173" s="6">
        <v>201438.24</v>
      </c>
      <c r="Q173" s="2"/>
      <c r="R173" s="7">
        <f t="shared" si="52"/>
        <v>3.6799726229859192E-2</v>
      </c>
      <c r="S173" s="2"/>
      <c r="T173" s="6">
        <v>203442.34</v>
      </c>
      <c r="U173" s="2"/>
      <c r="V173" s="7">
        <f t="shared" si="53"/>
        <v>2.2022676046169212E-2</v>
      </c>
      <c r="W173" s="2"/>
      <c r="X173" s="6">
        <f t="shared" si="54"/>
        <v>-2004.1000000000058</v>
      </c>
      <c r="Y173" s="2"/>
      <c r="Z173" s="7">
        <f t="shared" si="55"/>
        <v>-9.8509484308920443E-3</v>
      </c>
    </row>
    <row r="174" spans="1:26" s="23" customFormat="1" hidden="1" outlineLevel="2" x14ac:dyDescent="0.25">
      <c r="A174" s="25"/>
      <c r="B174" s="10" t="str">
        <f>CONCATENATE("          ", "6114", " - ", "STATE UNEMPLOYMENT INSURANCE")</f>
        <v xml:space="preserve">          6114 - STATE UNEMPLOYMENT INSURANCE</v>
      </c>
      <c r="C174" s="10"/>
      <c r="D174" s="6">
        <v>346.7</v>
      </c>
      <c r="E174" s="2"/>
      <c r="F174" s="7">
        <f t="shared" si="48"/>
        <v>1.3107543328804863E-3</v>
      </c>
      <c r="G174" s="2"/>
      <c r="H174" s="6">
        <v>-5103.99</v>
      </c>
      <c r="I174" s="2"/>
      <c r="J174" s="7">
        <f t="shared" si="49"/>
        <v>-2.4177775209252558E-2</v>
      </c>
      <c r="K174" s="2"/>
      <c r="L174" s="6">
        <f t="shared" si="50"/>
        <v>5450.69</v>
      </c>
      <c r="M174" s="2"/>
      <c r="N174" s="7">
        <f t="shared" si="51"/>
        <v>-1.0679272490737639</v>
      </c>
      <c r="O174" s="10"/>
      <c r="P174" s="6">
        <v>4361.7</v>
      </c>
      <c r="Q174" s="2"/>
      <c r="R174" s="7">
        <f t="shared" si="52"/>
        <v>7.9681676079366482E-4</v>
      </c>
      <c r="S174" s="2"/>
      <c r="T174" s="6">
        <v>0</v>
      </c>
      <c r="U174" s="2"/>
      <c r="V174" s="7">
        <f t="shared" si="53"/>
        <v>0</v>
      </c>
      <c r="W174" s="2"/>
      <c r="X174" s="6">
        <f t="shared" si="54"/>
        <v>4361.7</v>
      </c>
      <c r="Y174" s="2"/>
      <c r="Z174" s="7">
        <f t="shared" si="55"/>
        <v>0</v>
      </c>
    </row>
    <row r="175" spans="1:26" s="23" customFormat="1" hidden="1" outlineLevel="2" x14ac:dyDescent="0.25">
      <c r="A175" s="25"/>
      <c r="B175" s="10" t="str">
        <f>CONCATENATE("          ", "6115", " - ", "P.E.R.S.")</f>
        <v xml:space="preserve">          6115 - P.E.R.S.</v>
      </c>
      <c r="C175" s="10"/>
      <c r="D175" s="6">
        <v>11653.4</v>
      </c>
      <c r="E175" s="2"/>
      <c r="F175" s="7">
        <f t="shared" si="48"/>
        <v>4.4057526803546174E-2</v>
      </c>
      <c r="G175" s="2"/>
      <c r="H175" s="6">
        <v>4664.0600000000004</v>
      </c>
      <c r="I175" s="2"/>
      <c r="J175" s="7">
        <f t="shared" si="49"/>
        <v>2.2093811751681822E-2</v>
      </c>
      <c r="K175" s="2"/>
      <c r="L175" s="6">
        <f t="shared" si="50"/>
        <v>6989.3399999999992</v>
      </c>
      <c r="M175" s="2"/>
      <c r="N175" s="7">
        <f t="shared" si="51"/>
        <v>1.4985527630433568</v>
      </c>
      <c r="O175" s="10"/>
      <c r="P175" s="6">
        <v>86353.84</v>
      </c>
      <c r="Q175" s="2"/>
      <c r="R175" s="7">
        <f t="shared" si="52"/>
        <v>1.5775543267738359E-2</v>
      </c>
      <c r="S175" s="2"/>
      <c r="T175" s="6">
        <v>79124.67</v>
      </c>
      <c r="U175" s="2"/>
      <c r="V175" s="7">
        <f t="shared" si="53"/>
        <v>8.5652621507894752E-3</v>
      </c>
      <c r="W175" s="2"/>
      <c r="X175" s="6">
        <f t="shared" si="54"/>
        <v>7229.1699999999983</v>
      </c>
      <c r="Y175" s="2"/>
      <c r="Z175" s="7">
        <f t="shared" si="55"/>
        <v>9.1364298896917967E-2</v>
      </c>
    </row>
    <row r="176" spans="1:26" s="23" customFormat="1" hidden="1" outlineLevel="2" x14ac:dyDescent="0.25">
      <c r="A176" s="25"/>
      <c r="B176" s="10" t="str">
        <f>CONCATENATE("          ", "6116", " - ", "EDUCATIONAL BENEFITS")</f>
        <v xml:space="preserve">          6116 - EDUCATIONAL BENEFITS</v>
      </c>
      <c r="C176" s="10"/>
      <c r="D176" s="6"/>
      <c r="E176" s="2"/>
      <c r="F176" s="7">
        <f t="shared" si="48"/>
        <v>0</v>
      </c>
      <c r="G176" s="2"/>
      <c r="H176" s="6"/>
      <c r="I176" s="2"/>
      <c r="J176" s="7">
        <f t="shared" si="49"/>
        <v>0</v>
      </c>
      <c r="K176" s="2"/>
      <c r="L176" s="6">
        <f t="shared" si="50"/>
        <v>0</v>
      </c>
      <c r="M176" s="2"/>
      <c r="N176" s="7">
        <f t="shared" si="51"/>
        <v>0</v>
      </c>
      <c r="O176" s="10"/>
      <c r="P176" s="6">
        <v>0</v>
      </c>
      <c r="Q176" s="2"/>
      <c r="R176" s="7">
        <f t="shared" si="52"/>
        <v>0</v>
      </c>
      <c r="S176" s="2"/>
      <c r="T176" s="6"/>
      <c r="U176" s="2"/>
      <c r="V176" s="7">
        <f t="shared" si="53"/>
        <v>0</v>
      </c>
      <c r="W176" s="2"/>
      <c r="X176" s="6">
        <f t="shared" si="54"/>
        <v>0</v>
      </c>
      <c r="Y176" s="2"/>
      <c r="Z176" s="7">
        <f t="shared" si="55"/>
        <v>0</v>
      </c>
    </row>
    <row r="177" spans="1:26" s="23" customFormat="1" hidden="1" outlineLevel="2" x14ac:dyDescent="0.25">
      <c r="A177" s="25"/>
      <c r="B177" s="10" t="str">
        <f>CONCATENATE("          ", "6117", " - ", "RETIREMENT STAFF HOURLY")</f>
        <v xml:space="preserve">          6117 - RETIREMENT STAFF HOURLY</v>
      </c>
      <c r="C177" s="10"/>
      <c r="D177" s="6">
        <v>530.78</v>
      </c>
      <c r="E177" s="2"/>
      <c r="F177" s="7">
        <f t="shared" si="48"/>
        <v>2.0066979659829954E-3</v>
      </c>
      <c r="G177" s="2"/>
      <c r="H177" s="6">
        <v>220.92</v>
      </c>
      <c r="I177" s="2"/>
      <c r="J177" s="7">
        <f t="shared" si="49"/>
        <v>1.0465055964506346E-3</v>
      </c>
      <c r="K177" s="2"/>
      <c r="L177" s="6">
        <f t="shared" si="50"/>
        <v>309.86</v>
      </c>
      <c r="M177" s="2"/>
      <c r="N177" s="7">
        <f t="shared" si="51"/>
        <v>1.4025891725511499</v>
      </c>
      <c r="O177" s="10"/>
      <c r="P177" s="6">
        <v>4769.1000000000004</v>
      </c>
      <c r="Q177" s="2"/>
      <c r="R177" s="7">
        <f t="shared" si="52"/>
        <v>8.7124259208589934E-4</v>
      </c>
      <c r="S177" s="2"/>
      <c r="T177" s="6">
        <v>2056.84</v>
      </c>
      <c r="U177" s="2"/>
      <c r="V177" s="7">
        <f t="shared" si="53"/>
        <v>2.2265336212119212E-4</v>
      </c>
      <c r="W177" s="2"/>
      <c r="X177" s="6">
        <f t="shared" si="54"/>
        <v>2712.26</v>
      </c>
      <c r="Y177" s="2"/>
      <c r="Z177" s="7">
        <f t="shared" si="55"/>
        <v>1.3186538573734468</v>
      </c>
    </row>
    <row r="178" spans="1:26" s="23" customFormat="1" hidden="1" outlineLevel="2" x14ac:dyDescent="0.25">
      <c r="A178" s="25"/>
      <c r="B178" s="10" t="str">
        <f>CONCATENATE("          ", "6118", " - ", "VACATION")</f>
        <v xml:space="preserve">          6118 - VACATION</v>
      </c>
      <c r="C178" s="10"/>
      <c r="D178" s="6">
        <v>5732.87</v>
      </c>
      <c r="E178" s="2"/>
      <c r="F178" s="7">
        <f t="shared" si="48"/>
        <v>2.1674024206347141E-2</v>
      </c>
      <c r="G178" s="2"/>
      <c r="H178" s="6">
        <v>5037.25</v>
      </c>
      <c r="I178" s="2"/>
      <c r="J178" s="7">
        <f t="shared" si="49"/>
        <v>2.3861625546446497E-2</v>
      </c>
      <c r="K178" s="2"/>
      <c r="L178" s="6">
        <f t="shared" si="50"/>
        <v>695.61999999999989</v>
      </c>
      <c r="M178" s="2"/>
      <c r="N178" s="7">
        <f t="shared" si="51"/>
        <v>0.13809519082832894</v>
      </c>
      <c r="O178" s="10"/>
      <c r="P178" s="6">
        <v>68857.600000000006</v>
      </c>
      <c r="Q178" s="2"/>
      <c r="R178" s="7">
        <f t="shared" si="52"/>
        <v>1.2579244282739726E-2</v>
      </c>
      <c r="S178" s="2"/>
      <c r="T178" s="6">
        <v>67749.899999999994</v>
      </c>
      <c r="U178" s="2"/>
      <c r="V178" s="7">
        <f t="shared" si="53"/>
        <v>7.3339409085658351E-3</v>
      </c>
      <c r="W178" s="2"/>
      <c r="X178" s="6">
        <f t="shared" si="54"/>
        <v>1107.7000000000116</v>
      </c>
      <c r="Y178" s="2"/>
      <c r="Z178" s="7">
        <f t="shared" si="55"/>
        <v>1.6349839630759776E-2</v>
      </c>
    </row>
    <row r="179" spans="1:26" s="23" customFormat="1" hidden="1" outlineLevel="2" x14ac:dyDescent="0.25">
      <c r="A179" s="25"/>
      <c r="B179" s="10" t="str">
        <f>CONCATENATE("          ", "6119", " - ", "SICK LEAVE")</f>
        <v xml:space="preserve">          6119 - SICK LEAVE</v>
      </c>
      <c r="C179" s="10"/>
      <c r="D179" s="6">
        <v>4267.55</v>
      </c>
      <c r="E179" s="2"/>
      <c r="F179" s="7">
        <f t="shared" si="48"/>
        <v>1.6134149562400116E-2</v>
      </c>
      <c r="G179" s="2"/>
      <c r="H179" s="6">
        <v>2857.44</v>
      </c>
      <c r="I179" s="2"/>
      <c r="J179" s="7">
        <f t="shared" si="49"/>
        <v>1.3535791017209406E-2</v>
      </c>
      <c r="K179" s="2"/>
      <c r="L179" s="6">
        <f t="shared" si="50"/>
        <v>1410.1100000000001</v>
      </c>
      <c r="M179" s="2"/>
      <c r="N179" s="7">
        <f t="shared" si="51"/>
        <v>0.49348717733355735</v>
      </c>
      <c r="O179" s="10"/>
      <c r="P179" s="6">
        <v>48796.13</v>
      </c>
      <c r="Q179" s="2"/>
      <c r="R179" s="7">
        <f t="shared" si="52"/>
        <v>8.9143164926213572E-3</v>
      </c>
      <c r="S179" s="2"/>
      <c r="T179" s="6">
        <v>8900.5499999999993</v>
      </c>
      <c r="U179" s="2"/>
      <c r="V179" s="7">
        <f t="shared" si="53"/>
        <v>9.6348640741514952E-4</v>
      </c>
      <c r="W179" s="2"/>
      <c r="X179" s="6">
        <f t="shared" si="54"/>
        <v>39895.58</v>
      </c>
      <c r="Y179" s="2"/>
      <c r="Z179" s="7">
        <f t="shared" si="55"/>
        <v>4.4823724376583476</v>
      </c>
    </row>
    <row r="180" spans="1:26" s="23" customFormat="1" hidden="1" outlineLevel="2" x14ac:dyDescent="0.25">
      <c r="A180" s="25"/>
      <c r="B180" s="10" t="str">
        <f>CONCATENATE("          ", "6156", " - ", "EMPLOYEE MEALS")</f>
        <v xml:space="preserve">          6156 - EMPLOYEE MEALS</v>
      </c>
      <c r="C180" s="10"/>
      <c r="D180" s="6">
        <v>1506.13</v>
      </c>
      <c r="E180" s="2"/>
      <c r="F180" s="7">
        <f t="shared" si="48"/>
        <v>5.6941633209728502E-3</v>
      </c>
      <c r="G180" s="2"/>
      <c r="H180" s="6">
        <v>848.06</v>
      </c>
      <c r="I180" s="2"/>
      <c r="J180" s="7">
        <f t="shared" si="49"/>
        <v>4.017289227439459E-3</v>
      </c>
      <c r="K180" s="2"/>
      <c r="L180" s="6">
        <f t="shared" si="50"/>
        <v>658.07000000000016</v>
      </c>
      <c r="M180" s="2"/>
      <c r="N180" s="7">
        <f t="shared" si="51"/>
        <v>0.7759710397849211</v>
      </c>
      <c r="O180" s="10"/>
      <c r="P180" s="6">
        <v>17477.88</v>
      </c>
      <c r="Q180" s="2"/>
      <c r="R180" s="7">
        <f t="shared" si="52"/>
        <v>3.1929448900979845E-3</v>
      </c>
      <c r="S180" s="2"/>
      <c r="T180" s="6">
        <v>19673.63</v>
      </c>
      <c r="U180" s="2"/>
      <c r="V180" s="7">
        <f t="shared" si="53"/>
        <v>2.1296745807298325E-3</v>
      </c>
      <c r="W180" s="2"/>
      <c r="X180" s="6">
        <f t="shared" si="54"/>
        <v>-2195.75</v>
      </c>
      <c r="Y180" s="2"/>
      <c r="Z180" s="7">
        <f t="shared" si="55"/>
        <v>-0.11160878800709376</v>
      </c>
    </row>
    <row r="181" spans="1:26" s="27" customFormat="1" outlineLevel="1" collapsed="1" x14ac:dyDescent="0.25">
      <c r="A181" s="26"/>
      <c r="B181" s="12" t="str">
        <f>CONCATENATE("     ","*Payroll                                          ")</f>
        <v xml:space="preserve">     *Payroll                                          </v>
      </c>
      <c r="C181" s="12"/>
      <c r="D181" s="1">
        <f>SUM(OSRRefD22_1x_0)</f>
        <v>126856.57</v>
      </c>
      <c r="E181" s="1"/>
      <c r="F181" s="5">
        <f t="shared" ref="F181:F188" si="56">IF(D$12=0,0,D181/D$12)</f>
        <v>0.47960138096872434</v>
      </c>
      <c r="G181" s="1"/>
      <c r="H181" s="1">
        <f>SUM(OSRRefH22_1x_0)</f>
        <v>98312.079999999987</v>
      </c>
      <c r="I181" s="1"/>
      <c r="J181" s="5">
        <f t="shared" ref="J181:J188" si="57">IF(H$12=0,0,H181/H$12)</f>
        <v>0.46570768567220039</v>
      </c>
      <c r="K181" s="1"/>
      <c r="L181" s="1">
        <f t="shared" ref="L181:L188" si="58">+D181-H181</f>
        <v>28544.49000000002</v>
      </c>
      <c r="M181" s="1"/>
      <c r="N181" s="5">
        <f t="shared" ref="N181:N188" si="59">IF(H181=0,0,L181/H181)</f>
        <v>0.2903457031933413</v>
      </c>
      <c r="O181" s="12"/>
      <c r="P181" s="1">
        <f>SUM(OSRRefP22_1x_0)</f>
        <v>1498227.28</v>
      </c>
      <c r="Q181" s="1"/>
      <c r="R181" s="5">
        <f t="shared" ref="R181:R188" si="60">IF(P$12=0,0,P181/P$12)</f>
        <v>0.27370351197521681</v>
      </c>
      <c r="S181" s="1"/>
      <c r="T181" s="1">
        <f>SUM(OSRRefT22_1x_0)</f>
        <v>1893252.79</v>
      </c>
      <c r="U181" s="1"/>
      <c r="V181" s="5">
        <f t="shared" ref="V181:V188" si="61">IF(T$12=0,0,T181/T$12)</f>
        <v>0.2049450122706809</v>
      </c>
      <c r="W181" s="1"/>
      <c r="X181" s="1">
        <f t="shared" ref="X181:X188" si="62">+P181-T181</f>
        <v>-395025.51</v>
      </c>
      <c r="Y181" s="1"/>
      <c r="Z181" s="5">
        <f t="shared" ref="Z181:Z188" si="63">IF(T181=0,0,X181/T181)</f>
        <v>-0.2086491101909323</v>
      </c>
    </row>
    <row r="182" spans="1:26" s="23" customFormat="1" hidden="1" outlineLevel="2" x14ac:dyDescent="0.25">
      <c r="A182" s="25"/>
      <c r="B182" s="10" t="str">
        <f>CONCATENATE("          ", "6001", " - ", "ADMINISTRATIVE SALARIES")</f>
        <v xml:space="preserve">          6001 - ADMINISTRATIVE SALARIES</v>
      </c>
      <c r="C182" s="10"/>
      <c r="D182" s="6">
        <v>3583.28</v>
      </c>
      <c r="E182" s="2"/>
      <c r="F182" s="7">
        <f t="shared" si="56"/>
        <v>1.3547158309558665E-2</v>
      </c>
      <c r="G182" s="2"/>
      <c r="H182" s="6"/>
      <c r="I182" s="2"/>
      <c r="J182" s="7">
        <f t="shared" si="57"/>
        <v>0</v>
      </c>
      <c r="K182" s="2"/>
      <c r="L182" s="6">
        <f t="shared" si="58"/>
        <v>3583.28</v>
      </c>
      <c r="M182" s="2"/>
      <c r="N182" s="7">
        <f t="shared" si="59"/>
        <v>0</v>
      </c>
      <c r="O182" s="10"/>
      <c r="P182" s="6">
        <v>50981.81</v>
      </c>
      <c r="Q182" s="2"/>
      <c r="R182" s="7">
        <f t="shared" si="60"/>
        <v>9.3136072411211385E-3</v>
      </c>
      <c r="S182" s="2"/>
      <c r="T182" s="6">
        <v>93238.31</v>
      </c>
      <c r="U182" s="2"/>
      <c r="V182" s="7">
        <f t="shared" si="61"/>
        <v>1.0093066645921883E-2</v>
      </c>
      <c r="W182" s="2"/>
      <c r="X182" s="6">
        <f t="shared" si="62"/>
        <v>-42256.5</v>
      </c>
      <c r="Y182" s="2"/>
      <c r="Z182" s="7">
        <f t="shared" si="63"/>
        <v>-0.4532096302474809</v>
      </c>
    </row>
    <row r="183" spans="1:26" s="23" customFormat="1" hidden="1" outlineLevel="2" x14ac:dyDescent="0.25">
      <c r="A183" s="25"/>
      <c r="B183" s="10" t="str">
        <f>CONCATENATE("          ", "6002", " - ", "STAFF SALARIES")</f>
        <v xml:space="preserve">          6002 - STAFF SALARIES</v>
      </c>
      <c r="C183" s="10"/>
      <c r="D183" s="6">
        <v>56900.92</v>
      </c>
      <c r="E183" s="2"/>
      <c r="F183" s="7">
        <f t="shared" si="56"/>
        <v>0.21512295193217745</v>
      </c>
      <c r="G183" s="2"/>
      <c r="H183" s="6">
        <v>46941.22</v>
      </c>
      <c r="I183" s="2"/>
      <c r="J183" s="7">
        <f t="shared" si="57"/>
        <v>0.22236216473936479</v>
      </c>
      <c r="K183" s="2"/>
      <c r="L183" s="6">
        <f t="shared" si="58"/>
        <v>9959.6999999999971</v>
      </c>
      <c r="M183" s="2"/>
      <c r="N183" s="7">
        <f t="shared" si="59"/>
        <v>0.21217386339767047</v>
      </c>
      <c r="O183" s="10"/>
      <c r="P183" s="6">
        <v>723631.64</v>
      </c>
      <c r="Q183" s="2"/>
      <c r="R183" s="7">
        <f t="shared" si="60"/>
        <v>0.1321965791761486</v>
      </c>
      <c r="S183" s="2"/>
      <c r="T183" s="6">
        <v>658058.64</v>
      </c>
      <c r="U183" s="2"/>
      <c r="V183" s="7">
        <f t="shared" si="61"/>
        <v>7.1234986031436187E-2</v>
      </c>
      <c r="W183" s="2"/>
      <c r="X183" s="6">
        <f t="shared" si="62"/>
        <v>65573</v>
      </c>
      <c r="Y183" s="2"/>
      <c r="Z183" s="7">
        <f t="shared" si="63"/>
        <v>9.9646134879408307E-2</v>
      </c>
    </row>
    <row r="184" spans="1:26" s="23" customFormat="1" hidden="1" outlineLevel="2" x14ac:dyDescent="0.25">
      <c r="A184" s="25"/>
      <c r="B184" s="10" t="str">
        <f>CONCATENATE("          ", "6004", " - ", "STAFF HOURLY")</f>
        <v xml:space="preserve">          6004 - STAFF HOURLY</v>
      </c>
      <c r="C184" s="10"/>
      <c r="D184" s="6">
        <v>17280.169999999998</v>
      </c>
      <c r="E184" s="2"/>
      <c r="F184" s="7">
        <f t="shared" si="56"/>
        <v>6.5330423133577703E-2</v>
      </c>
      <c r="G184" s="2"/>
      <c r="H184" s="6">
        <v>18264.34</v>
      </c>
      <c r="I184" s="2"/>
      <c r="J184" s="7">
        <f t="shared" si="57"/>
        <v>8.6518803301997044E-2</v>
      </c>
      <c r="K184" s="2"/>
      <c r="L184" s="6">
        <f t="shared" si="58"/>
        <v>-984.17000000000189</v>
      </c>
      <c r="M184" s="2"/>
      <c r="N184" s="7">
        <f t="shared" si="59"/>
        <v>-5.388478313478625E-2</v>
      </c>
      <c r="O184" s="10"/>
      <c r="P184" s="6">
        <v>185624.67</v>
      </c>
      <c r="Q184" s="2"/>
      <c r="R184" s="7">
        <f t="shared" si="60"/>
        <v>3.3910825658067495E-2</v>
      </c>
      <c r="S184" s="2"/>
      <c r="T184" s="6">
        <v>81101.31</v>
      </c>
      <c r="U184" s="2"/>
      <c r="V184" s="7">
        <f t="shared" si="61"/>
        <v>8.7792338460614631E-3</v>
      </c>
      <c r="W184" s="2"/>
      <c r="X184" s="6">
        <f t="shared" si="62"/>
        <v>104523.36000000002</v>
      </c>
      <c r="Y184" s="2"/>
      <c r="Z184" s="7">
        <f t="shared" si="63"/>
        <v>1.2887998973136194</v>
      </c>
    </row>
    <row r="185" spans="1:26" s="23" customFormat="1" hidden="1" outlineLevel="2" x14ac:dyDescent="0.25">
      <c r="A185" s="25"/>
      <c r="B185" s="10" t="str">
        <f>CONCATENATE("          ", "6005", " - ", "TEMPORARY WAGES-HOURLY")</f>
        <v xml:space="preserve">          6005 - TEMPORARY WAGES-HOURLY</v>
      </c>
      <c r="C185" s="10"/>
      <c r="D185" s="6">
        <v>9126.32</v>
      </c>
      <c r="E185" s="2"/>
      <c r="F185" s="7">
        <f t="shared" si="56"/>
        <v>3.4503500095915317E-2</v>
      </c>
      <c r="G185" s="2"/>
      <c r="H185" s="6">
        <v>13347.48</v>
      </c>
      <c r="I185" s="2"/>
      <c r="J185" s="7">
        <f t="shared" si="57"/>
        <v>6.3227469303426209E-2</v>
      </c>
      <c r="K185" s="2"/>
      <c r="L185" s="6">
        <f t="shared" si="58"/>
        <v>-4221.16</v>
      </c>
      <c r="M185" s="2"/>
      <c r="N185" s="7">
        <f t="shared" si="59"/>
        <v>-0.31625145720390663</v>
      </c>
      <c r="O185" s="10"/>
      <c r="P185" s="6">
        <v>168966.08</v>
      </c>
      <c r="Q185" s="2"/>
      <c r="R185" s="7">
        <f t="shared" si="60"/>
        <v>3.0867552685788391E-2</v>
      </c>
      <c r="S185" s="2"/>
      <c r="T185" s="6">
        <v>201695.7</v>
      </c>
      <c r="U185" s="2"/>
      <c r="V185" s="7">
        <f t="shared" si="61"/>
        <v>2.1833601899217892E-2</v>
      </c>
      <c r="W185" s="2"/>
      <c r="X185" s="6">
        <f t="shared" si="62"/>
        <v>-32729.620000000024</v>
      </c>
      <c r="Y185" s="2"/>
      <c r="Z185" s="7">
        <f t="shared" si="63"/>
        <v>-0.16227227452047824</v>
      </c>
    </row>
    <row r="186" spans="1:26" s="23" customFormat="1" hidden="1" outlineLevel="2" x14ac:dyDescent="0.25">
      <c r="A186" s="25"/>
      <c r="B186" s="10" t="str">
        <f>CONCATENATE("          ", "6006", " - ", "TEMPORARY PART TIME")</f>
        <v xml:space="preserve">          6006 - TEMPORARY PART TIME</v>
      </c>
      <c r="C186" s="10"/>
      <c r="D186" s="6">
        <v>4232.72</v>
      </c>
      <c r="E186" s="2"/>
      <c r="F186" s="7">
        <f t="shared" si="56"/>
        <v>1.6002469223737794E-2</v>
      </c>
      <c r="G186" s="2"/>
      <c r="H186" s="6">
        <v>2246.59</v>
      </c>
      <c r="I186" s="2"/>
      <c r="J186" s="7">
        <f t="shared" si="57"/>
        <v>1.0642173673411333E-2</v>
      </c>
      <c r="K186" s="2"/>
      <c r="L186" s="6">
        <f t="shared" si="58"/>
        <v>1986.13</v>
      </c>
      <c r="M186" s="2"/>
      <c r="N186" s="7">
        <f t="shared" si="59"/>
        <v>0.88406429299516154</v>
      </c>
      <c r="O186" s="10"/>
      <c r="P186" s="6">
        <v>23949.45</v>
      </c>
      <c r="Q186" s="2"/>
      <c r="R186" s="7">
        <f t="shared" si="60"/>
        <v>4.3752030565581855E-3</v>
      </c>
      <c r="S186" s="2"/>
      <c r="T186" s="6">
        <v>37331.99</v>
      </c>
      <c r="U186" s="2"/>
      <c r="V186" s="7">
        <f t="shared" si="61"/>
        <v>4.0411957605719076E-3</v>
      </c>
      <c r="W186" s="2"/>
      <c r="X186" s="6">
        <f t="shared" si="62"/>
        <v>-13382.539999999997</v>
      </c>
      <c r="Y186" s="2"/>
      <c r="Z186" s="7">
        <f t="shared" si="63"/>
        <v>-0.35847379151231956</v>
      </c>
    </row>
    <row r="187" spans="1:26" s="23" customFormat="1" hidden="1" outlineLevel="2" x14ac:dyDescent="0.25">
      <c r="A187" s="25"/>
      <c r="B187" s="10" t="str">
        <f>CONCATENATE("          ", "6007", " - ", "STUDENT HOURLY")</f>
        <v xml:space="preserve">          6007 - STUDENT HOURLY</v>
      </c>
      <c r="C187" s="10"/>
      <c r="D187" s="6">
        <v>28915.24</v>
      </c>
      <c r="E187" s="2"/>
      <c r="F187" s="7">
        <f t="shared" si="56"/>
        <v>0.1093186504651836</v>
      </c>
      <c r="G187" s="2"/>
      <c r="H187" s="6">
        <v>17512.45</v>
      </c>
      <c r="I187" s="2"/>
      <c r="J187" s="7">
        <f t="shared" si="57"/>
        <v>8.2957074654001081E-2</v>
      </c>
      <c r="K187" s="2"/>
      <c r="L187" s="6">
        <f t="shared" si="58"/>
        <v>11402.79</v>
      </c>
      <c r="M187" s="2"/>
      <c r="N187" s="7">
        <f t="shared" si="59"/>
        <v>0.65112477123417911</v>
      </c>
      <c r="O187" s="10"/>
      <c r="P187" s="6">
        <v>325714.3</v>
      </c>
      <c r="Q187" s="2"/>
      <c r="R187" s="7">
        <f t="shared" si="60"/>
        <v>5.9503086748326564E-2</v>
      </c>
      <c r="S187" s="2"/>
      <c r="T187" s="6">
        <v>806346.92</v>
      </c>
      <c r="U187" s="2"/>
      <c r="V187" s="7">
        <f t="shared" si="61"/>
        <v>8.7287223495297606E-2</v>
      </c>
      <c r="W187" s="2"/>
      <c r="X187" s="6">
        <f t="shared" si="62"/>
        <v>-480632.62000000005</v>
      </c>
      <c r="Y187" s="2"/>
      <c r="Z187" s="7">
        <f t="shared" si="63"/>
        <v>-0.59606182906980043</v>
      </c>
    </row>
    <row r="188" spans="1:26" s="23" customFormat="1" hidden="1" outlineLevel="2" x14ac:dyDescent="0.25">
      <c r="A188" s="25"/>
      <c r="B188" s="10" t="str">
        <f>CONCATENATE("          ", "6008", " - ", "STUDENT HOURLY-FICA EXEMPT")</f>
        <v xml:space="preserve">          6008 - STUDENT HOURLY-FICA EXEMPT</v>
      </c>
      <c r="C188" s="10"/>
      <c r="D188" s="6">
        <v>6817.92</v>
      </c>
      <c r="E188" s="2"/>
      <c r="F188" s="7">
        <f t="shared" si="56"/>
        <v>2.5776227808573769E-2</v>
      </c>
      <c r="G188" s="2"/>
      <c r="H188" s="6"/>
      <c r="I188" s="2"/>
      <c r="J188" s="7">
        <f t="shared" si="57"/>
        <v>0</v>
      </c>
      <c r="K188" s="2"/>
      <c r="L188" s="6">
        <f t="shared" si="58"/>
        <v>6817.92</v>
      </c>
      <c r="M188" s="2"/>
      <c r="N188" s="7">
        <f t="shared" si="59"/>
        <v>0</v>
      </c>
      <c r="O188" s="10"/>
      <c r="P188" s="6">
        <v>19359.330000000002</v>
      </c>
      <c r="Q188" s="2"/>
      <c r="R188" s="7">
        <f t="shared" si="60"/>
        <v>3.5366574092064152E-3</v>
      </c>
      <c r="S188" s="2"/>
      <c r="T188" s="6">
        <v>15479.92</v>
      </c>
      <c r="U188" s="2"/>
      <c r="V188" s="7">
        <f t="shared" si="61"/>
        <v>1.6757045921739582E-3</v>
      </c>
      <c r="W188" s="2"/>
      <c r="X188" s="6">
        <f t="shared" si="62"/>
        <v>3879.4100000000017</v>
      </c>
      <c r="Y188" s="2"/>
      <c r="Z188" s="7">
        <f t="shared" si="63"/>
        <v>0.25060917627481288</v>
      </c>
    </row>
    <row r="189" spans="1:26" s="27" customFormat="1" outlineLevel="1" collapsed="1" x14ac:dyDescent="0.25">
      <c r="A189" s="26"/>
      <c r="B189" s="12" t="str">
        <f>CONCATENATE("     ","Advertising/Promo                                 ")</f>
        <v xml:space="preserve">     Advertising/Promo                                 </v>
      </c>
      <c r="C189" s="12"/>
      <c r="D189" s="1">
        <f>SUM(OSRRefD22_2x_0)</f>
        <v>1324.8</v>
      </c>
      <c r="E189" s="1"/>
      <c r="F189" s="5">
        <f t="shared" ref="F189:F193" si="64">IF(D$12=0,0,D189/D$12)</f>
        <v>5.0086164989906782E-3</v>
      </c>
      <c r="G189" s="1"/>
      <c r="H189" s="1">
        <f>SUM(OSRRefH22_2x_0)</f>
        <v>-2415.19</v>
      </c>
      <c r="I189" s="1"/>
      <c r="J189" s="5">
        <f t="shared" ref="J189:J193" si="65">IF(H$12=0,0,H189/H$12)</f>
        <v>-1.1440837640284305E-2</v>
      </c>
      <c r="K189" s="1"/>
      <c r="L189" s="1">
        <f t="shared" ref="L189:L193" si="66">+D189-H189</f>
        <v>3739.99</v>
      </c>
      <c r="M189" s="1"/>
      <c r="N189" s="5">
        <f t="shared" ref="N189:N193" si="67">IF(H189=0,0,L189/H189)</f>
        <v>-1.5485282731379311</v>
      </c>
      <c r="O189" s="12"/>
      <c r="P189" s="1">
        <f>SUM(OSRRefP22_2x_0)</f>
        <v>18868.32</v>
      </c>
      <c r="Q189" s="1"/>
      <c r="R189" s="5">
        <f t="shared" ref="R189:R193" si="68">IF(P$12=0,0,P189/P$12)</f>
        <v>3.4469572928028801E-3</v>
      </c>
      <c r="S189" s="1"/>
      <c r="T189" s="1">
        <f>SUM(OSRRefT22_2x_0)</f>
        <v>43056.3</v>
      </c>
      <c r="U189" s="1"/>
      <c r="V189" s="5">
        <f t="shared" ref="V189:V193" si="69">IF(T$12=0,0,T189/T$12)</f>
        <v>4.6608535206912952E-3</v>
      </c>
      <c r="W189" s="1"/>
      <c r="X189" s="1">
        <f t="shared" ref="X189:X193" si="70">+P189-T189</f>
        <v>-24187.980000000003</v>
      </c>
      <c r="Y189" s="1"/>
      <c r="Z189" s="5">
        <f t="shared" ref="Z189:Z193" si="71">IF(T189=0,0,X189/T189)</f>
        <v>-0.5617756286536465</v>
      </c>
    </row>
    <row r="190" spans="1:26" s="23" customFormat="1" hidden="1" outlineLevel="2" x14ac:dyDescent="0.25">
      <c r="A190" s="25"/>
      <c r="B190" s="10" t="str">
        <f>CONCATENATE("          ", "6362", " - ", "ADVERTISING EXPENSE")</f>
        <v xml:space="preserve">          6362 - ADVERTISING EXPENSE</v>
      </c>
      <c r="C190" s="10"/>
      <c r="D190" s="6">
        <v>1324.8</v>
      </c>
      <c r="E190" s="2"/>
      <c r="F190" s="7">
        <f t="shared" si="64"/>
        <v>5.0086164989906782E-3</v>
      </c>
      <c r="G190" s="2"/>
      <c r="H190" s="6">
        <v>-2415.19</v>
      </c>
      <c r="I190" s="2"/>
      <c r="J190" s="7">
        <f t="shared" si="65"/>
        <v>-1.1440837640284305E-2</v>
      </c>
      <c r="K190" s="2"/>
      <c r="L190" s="6">
        <f t="shared" si="66"/>
        <v>3739.99</v>
      </c>
      <c r="M190" s="2"/>
      <c r="N190" s="7">
        <f t="shared" si="67"/>
        <v>-1.5485282731379311</v>
      </c>
      <c r="O190" s="10"/>
      <c r="P190" s="6">
        <v>18868.32</v>
      </c>
      <c r="Q190" s="2"/>
      <c r="R190" s="7">
        <f t="shared" si="68"/>
        <v>3.4469572928028801E-3</v>
      </c>
      <c r="S190" s="2"/>
      <c r="T190" s="6">
        <v>43056.3</v>
      </c>
      <c r="U190" s="2"/>
      <c r="V190" s="7">
        <f t="shared" si="69"/>
        <v>4.6608535206912952E-3</v>
      </c>
      <c r="W190" s="2"/>
      <c r="X190" s="6">
        <f t="shared" si="70"/>
        <v>-24187.980000000003</v>
      </c>
      <c r="Y190" s="2"/>
      <c r="Z190" s="7">
        <f t="shared" si="71"/>
        <v>-0.5617756286536465</v>
      </c>
    </row>
    <row r="191" spans="1:26" s="27" customFormat="1" outlineLevel="1" collapsed="1" x14ac:dyDescent="0.25">
      <c r="A191" s="26"/>
      <c r="B191" s="12" t="str">
        <f>CONCATENATE("     ","Bad Debts/Over/Short                              ")</f>
        <v xml:space="preserve">     Bad Debts/Over/Short                              </v>
      </c>
      <c r="C191" s="12"/>
      <c r="D191" s="1">
        <f>SUM(OSRRefD22_3x_0)</f>
        <v>10.39</v>
      </c>
      <c r="E191" s="1"/>
      <c r="F191" s="5">
        <f t="shared" si="64"/>
        <v>3.9281042741933242E-5</v>
      </c>
      <c r="G191" s="1"/>
      <c r="H191" s="1">
        <f>SUM(OSRRefH22_3x_0)</f>
        <v>-2.48</v>
      </c>
      <c r="I191" s="1"/>
      <c r="J191" s="5">
        <f t="shared" si="65"/>
        <v>-1.1747844827075748E-5</v>
      </c>
      <c r="K191" s="1"/>
      <c r="L191" s="1">
        <f t="shared" si="66"/>
        <v>12.870000000000001</v>
      </c>
      <c r="M191" s="1"/>
      <c r="N191" s="5">
        <f t="shared" si="67"/>
        <v>-5.1895161290322589</v>
      </c>
      <c r="O191" s="12"/>
      <c r="P191" s="1">
        <f>SUM(OSRRefP22_3x_0)</f>
        <v>5214.6499999999996</v>
      </c>
      <c r="Q191" s="1"/>
      <c r="R191" s="5">
        <f t="shared" si="68"/>
        <v>9.5263785259708006E-4</v>
      </c>
      <c r="S191" s="1"/>
      <c r="T191" s="1">
        <f>SUM(OSRRefT22_3x_0)</f>
        <v>-33.400000000000006</v>
      </c>
      <c r="U191" s="1"/>
      <c r="V191" s="5">
        <f t="shared" si="69"/>
        <v>-3.6155570170007475E-6</v>
      </c>
      <c r="W191" s="1"/>
      <c r="X191" s="1">
        <f t="shared" si="70"/>
        <v>5248.0499999999993</v>
      </c>
      <c r="Y191" s="1"/>
      <c r="Z191" s="5">
        <f t="shared" si="71"/>
        <v>-157.12724550898199</v>
      </c>
    </row>
    <row r="192" spans="1:26" s="23" customFormat="1" hidden="1" outlineLevel="2" x14ac:dyDescent="0.25">
      <c r="A192" s="25"/>
      <c r="B192" s="10" t="str">
        <f>CONCATENATE("          ", "6272", " - ", "CASH (OVER/SHORT)")</f>
        <v xml:space="preserve">          6272 - CASH (OVER/SHORT)</v>
      </c>
      <c r="C192" s="10"/>
      <c r="D192" s="6">
        <v>10.39</v>
      </c>
      <c r="E192" s="2"/>
      <c r="F192" s="7">
        <f t="shared" si="64"/>
        <v>3.9281042741933242E-5</v>
      </c>
      <c r="G192" s="2"/>
      <c r="H192" s="6">
        <v>-2.48</v>
      </c>
      <c r="I192" s="2"/>
      <c r="J192" s="7">
        <f t="shared" si="65"/>
        <v>-1.1747844827075748E-5</v>
      </c>
      <c r="K192" s="2"/>
      <c r="L192" s="6">
        <f t="shared" si="66"/>
        <v>12.870000000000001</v>
      </c>
      <c r="M192" s="2"/>
      <c r="N192" s="7">
        <f t="shared" si="67"/>
        <v>-5.1895161290322589</v>
      </c>
      <c r="O192" s="10"/>
      <c r="P192" s="6">
        <v>-134.77000000000001</v>
      </c>
      <c r="Q192" s="2"/>
      <c r="R192" s="7">
        <f t="shared" si="68"/>
        <v>-2.4620444976078643E-5</v>
      </c>
      <c r="S192" s="2"/>
      <c r="T192" s="6">
        <v>-78.2</v>
      </c>
      <c r="U192" s="2"/>
      <c r="V192" s="7">
        <f t="shared" si="69"/>
        <v>-8.4651664290257015E-6</v>
      </c>
      <c r="W192" s="2"/>
      <c r="X192" s="6">
        <f t="shared" si="70"/>
        <v>-56.570000000000007</v>
      </c>
      <c r="Y192" s="2"/>
      <c r="Z192" s="7">
        <f t="shared" si="71"/>
        <v>0.7234015345268543</v>
      </c>
    </row>
    <row r="193" spans="1:26" s="23" customFormat="1" hidden="1" outlineLevel="2" x14ac:dyDescent="0.25">
      <c r="A193" s="25"/>
      <c r="B193" s="10" t="str">
        <f>CONCATENATE("          ", "6342", " - ", "BAD DEBT")</f>
        <v xml:space="preserve">          6342 - BAD DEBT</v>
      </c>
      <c r="C193" s="10"/>
      <c r="D193" s="6"/>
      <c r="E193" s="2"/>
      <c r="F193" s="7">
        <f t="shared" si="64"/>
        <v>0</v>
      </c>
      <c r="G193" s="2"/>
      <c r="H193" s="6"/>
      <c r="I193" s="2"/>
      <c r="J193" s="7">
        <f t="shared" si="65"/>
        <v>0</v>
      </c>
      <c r="K193" s="2"/>
      <c r="L193" s="6">
        <f t="shared" si="66"/>
        <v>0</v>
      </c>
      <c r="M193" s="2"/>
      <c r="N193" s="7">
        <f t="shared" si="67"/>
        <v>0</v>
      </c>
      <c r="O193" s="10"/>
      <c r="P193" s="6">
        <v>5349.42</v>
      </c>
      <c r="Q193" s="2"/>
      <c r="R193" s="7">
        <f t="shared" si="68"/>
        <v>9.7725829757315877E-4</v>
      </c>
      <c r="S193" s="2"/>
      <c r="T193" s="6">
        <v>44.8</v>
      </c>
      <c r="U193" s="2"/>
      <c r="V193" s="7">
        <f t="shared" si="69"/>
        <v>4.8496094120249535E-6</v>
      </c>
      <c r="W193" s="2"/>
      <c r="X193" s="6">
        <f t="shared" si="70"/>
        <v>5304.62</v>
      </c>
      <c r="Y193" s="2"/>
      <c r="Z193" s="7">
        <f t="shared" si="71"/>
        <v>118.40669642857144</v>
      </c>
    </row>
    <row r="194" spans="1:26" s="27" customFormat="1" outlineLevel="1" collapsed="1" x14ac:dyDescent="0.25">
      <c r="A194" s="26"/>
      <c r="B194" s="12" t="str">
        <f>CONCATENATE("     ","Bank/card Fees                                    ")</f>
        <v xml:space="preserve">     Bank/card Fees                                    </v>
      </c>
      <c r="C194" s="12"/>
      <c r="D194" s="1">
        <f>SUM(OSRRefD22_4x_0)</f>
        <v>10272.450000000001</v>
      </c>
      <c r="E194" s="1"/>
      <c r="F194" s="5">
        <f t="shared" ref="F194:F199" si="72">IF(D$12=0,0,D194/D$12)</f>
        <v>3.883662632477114E-2</v>
      </c>
      <c r="G194" s="1"/>
      <c r="H194" s="1">
        <f>SUM(OSRRefH22_4x_0)</f>
        <v>3703.6</v>
      </c>
      <c r="I194" s="1"/>
      <c r="J194" s="5">
        <f t="shared" ref="J194:J199" si="73">IF(H$12=0,0,H194/H$12)</f>
        <v>1.754407987966038E-2</v>
      </c>
      <c r="K194" s="1"/>
      <c r="L194" s="1">
        <f t="shared" ref="L194:L199" si="74">+D194-H194</f>
        <v>6568.85</v>
      </c>
      <c r="M194" s="1"/>
      <c r="N194" s="5">
        <f t="shared" ref="N194:N199" si="75">IF(H194=0,0,L194/H194)</f>
        <v>1.7736391618965333</v>
      </c>
      <c r="O194" s="12"/>
      <c r="P194" s="1">
        <f>SUM(OSRRefP22_4x_0)</f>
        <v>88875.99</v>
      </c>
      <c r="Q194" s="1"/>
      <c r="R194" s="5">
        <f t="shared" ref="R194:R199" si="76">IF(P$12=0,0,P194/P$12)</f>
        <v>1.6236302007045452E-2</v>
      </c>
      <c r="S194" s="1"/>
      <c r="T194" s="1">
        <f>SUM(OSRRefT22_4x_0)</f>
        <v>148948.63</v>
      </c>
      <c r="U194" s="1"/>
      <c r="V194" s="5">
        <f t="shared" ref="V194:V199" si="77">IF(T$12=0,0,T194/T$12)</f>
        <v>1.6123720490094251E-2</v>
      </c>
      <c r="W194" s="1"/>
      <c r="X194" s="1">
        <f t="shared" ref="X194:X199" si="78">+P194-T194</f>
        <v>-60072.639999999999</v>
      </c>
      <c r="Y194" s="1"/>
      <c r="Z194" s="5">
        <f t="shared" ref="Z194:Z199" si="79">IF(T194=0,0,X194/T194)</f>
        <v>-0.40331112813860726</v>
      </c>
    </row>
    <row r="195" spans="1:26" s="23" customFormat="1" hidden="1" outlineLevel="2" x14ac:dyDescent="0.25">
      <c r="A195" s="25"/>
      <c r="B195" s="10" t="str">
        <f>CONCATENATE("          ", "6381", " - ", "BANK/CREDIT CARD FEES")</f>
        <v xml:space="preserve">          6381 - BANK/CREDIT CARD FEES</v>
      </c>
      <c r="C195" s="10"/>
      <c r="D195" s="6">
        <v>10272.450000000001</v>
      </c>
      <c r="E195" s="2"/>
      <c r="F195" s="7">
        <f t="shared" si="72"/>
        <v>3.883662632477114E-2</v>
      </c>
      <c r="G195" s="2"/>
      <c r="H195" s="6">
        <v>3703.6</v>
      </c>
      <c r="I195" s="2"/>
      <c r="J195" s="7">
        <f t="shared" si="73"/>
        <v>1.754407987966038E-2</v>
      </c>
      <c r="K195" s="2"/>
      <c r="L195" s="6">
        <f t="shared" si="74"/>
        <v>6568.85</v>
      </c>
      <c r="M195" s="2"/>
      <c r="N195" s="7">
        <f t="shared" si="75"/>
        <v>1.7736391618965333</v>
      </c>
      <c r="O195" s="10"/>
      <c r="P195" s="6">
        <v>88875.99</v>
      </c>
      <c r="Q195" s="2"/>
      <c r="R195" s="7">
        <f t="shared" si="76"/>
        <v>1.6236302007045452E-2</v>
      </c>
      <c r="S195" s="2"/>
      <c r="T195" s="6">
        <v>148948.63</v>
      </c>
      <c r="U195" s="2"/>
      <c r="V195" s="7">
        <f t="shared" si="77"/>
        <v>1.6123720490094251E-2</v>
      </c>
      <c r="W195" s="2"/>
      <c r="X195" s="6">
        <f t="shared" si="78"/>
        <v>-60072.639999999999</v>
      </c>
      <c r="Y195" s="2"/>
      <c r="Z195" s="7">
        <f t="shared" si="79"/>
        <v>-0.40331112813860726</v>
      </c>
    </row>
    <row r="196" spans="1:26" s="27" customFormat="1" outlineLevel="1" collapsed="1" x14ac:dyDescent="0.25">
      <c r="A196" s="26"/>
      <c r="B196" s="12" t="str">
        <f>CONCATENATE("     ","Depreciation                                      ")</f>
        <v xml:space="preserve">     Depreciation                                      </v>
      </c>
      <c r="C196" s="12"/>
      <c r="D196" s="1">
        <f>SUM(OSRRefD22_5x_0)</f>
        <v>30718.46</v>
      </c>
      <c r="E196" s="1"/>
      <c r="F196" s="5">
        <f t="shared" si="72"/>
        <v>0.11613600964642602</v>
      </c>
      <c r="G196" s="1"/>
      <c r="H196" s="1">
        <f>SUM(OSRRefH22_5x_0)</f>
        <v>30349.21</v>
      </c>
      <c r="I196" s="1"/>
      <c r="J196" s="5">
        <f t="shared" si="73"/>
        <v>0.1437652458485224</v>
      </c>
      <c r="K196" s="1"/>
      <c r="L196" s="1">
        <f t="shared" si="74"/>
        <v>369.25</v>
      </c>
      <c r="M196" s="1"/>
      <c r="N196" s="5">
        <f t="shared" si="75"/>
        <v>1.21667087874775E-2</v>
      </c>
      <c r="O196" s="12"/>
      <c r="P196" s="1">
        <f>SUM(OSRRefP22_5x_0)</f>
        <v>369108.3</v>
      </c>
      <c r="Q196" s="1"/>
      <c r="R196" s="5">
        <f t="shared" si="76"/>
        <v>6.7430515621903456E-2</v>
      </c>
      <c r="S196" s="1"/>
      <c r="T196" s="1">
        <f>SUM(OSRRefT22_5x_0)</f>
        <v>359381.63</v>
      </c>
      <c r="U196" s="1"/>
      <c r="V196" s="5">
        <f t="shared" si="77"/>
        <v>3.8903136949930125E-2</v>
      </c>
      <c r="W196" s="1"/>
      <c r="X196" s="1">
        <f t="shared" si="78"/>
        <v>9726.6699999999837</v>
      </c>
      <c r="Y196" s="1"/>
      <c r="Z196" s="5">
        <f t="shared" si="79"/>
        <v>2.7065017207473802E-2</v>
      </c>
    </row>
    <row r="197" spans="1:26" s="23" customFormat="1" hidden="1" outlineLevel="2" x14ac:dyDescent="0.25">
      <c r="A197" s="25"/>
      <c r="B197" s="10" t="str">
        <f>CONCATENATE("          ", "6321", " - ", "BUILDING DEPRECIATION")</f>
        <v xml:space="preserve">          6321 - BUILDING DEPRECIATION</v>
      </c>
      <c r="C197" s="10"/>
      <c r="D197" s="6">
        <v>16396.25</v>
      </c>
      <c r="E197" s="2"/>
      <c r="F197" s="7">
        <f t="shared" si="72"/>
        <v>6.1988623393399694E-2</v>
      </c>
      <c r="G197" s="2"/>
      <c r="H197" s="6">
        <v>16396.25</v>
      </c>
      <c r="I197" s="2"/>
      <c r="J197" s="7">
        <f t="shared" si="73"/>
        <v>7.7669597074976102E-2</v>
      </c>
      <c r="K197" s="2"/>
      <c r="L197" s="6">
        <f t="shared" si="74"/>
        <v>0</v>
      </c>
      <c r="M197" s="2"/>
      <c r="N197" s="7">
        <f t="shared" si="75"/>
        <v>0</v>
      </c>
      <c r="O197" s="10"/>
      <c r="P197" s="6">
        <v>196757.97</v>
      </c>
      <c r="Q197" s="2"/>
      <c r="R197" s="7">
        <f t="shared" si="76"/>
        <v>3.594471153810145E-2</v>
      </c>
      <c r="S197" s="2"/>
      <c r="T197" s="6">
        <v>196757.97</v>
      </c>
      <c r="U197" s="2"/>
      <c r="V197" s="7">
        <f t="shared" si="77"/>
        <v>2.1299091589350973E-2</v>
      </c>
      <c r="W197" s="2"/>
      <c r="X197" s="6">
        <f t="shared" si="78"/>
        <v>0</v>
      </c>
      <c r="Y197" s="2"/>
      <c r="Z197" s="7">
        <f t="shared" si="79"/>
        <v>0</v>
      </c>
    </row>
    <row r="198" spans="1:26" s="23" customFormat="1" hidden="1" outlineLevel="2" x14ac:dyDescent="0.25">
      <c r="A198" s="25"/>
      <c r="B198" s="10" t="str">
        <f>CONCATENATE("          ", "6322", " - ", "EQUIPMENT DEPRECIATION EXPENSE")</f>
        <v xml:space="preserve">          6322 - EQUIPMENT DEPRECIATION EXPENSE</v>
      </c>
      <c r="C198" s="10"/>
      <c r="D198" s="6">
        <v>14322.21</v>
      </c>
      <c r="E198" s="2"/>
      <c r="F198" s="7">
        <f t="shared" si="72"/>
        <v>5.4147386253026335E-2</v>
      </c>
      <c r="G198" s="2"/>
      <c r="H198" s="6">
        <v>13952.96</v>
      </c>
      <c r="I198" s="2"/>
      <c r="J198" s="7">
        <f t="shared" si="73"/>
        <v>6.6095648773546303E-2</v>
      </c>
      <c r="K198" s="2"/>
      <c r="L198" s="6">
        <f t="shared" si="74"/>
        <v>369.25</v>
      </c>
      <c r="M198" s="2"/>
      <c r="N198" s="7">
        <f t="shared" si="75"/>
        <v>2.6463918767057313E-2</v>
      </c>
      <c r="O198" s="10"/>
      <c r="P198" s="6">
        <v>172350.33</v>
      </c>
      <c r="Q198" s="2"/>
      <c r="R198" s="7">
        <f t="shared" si="76"/>
        <v>3.1485804083801999E-2</v>
      </c>
      <c r="S198" s="2"/>
      <c r="T198" s="6">
        <v>162623.66</v>
      </c>
      <c r="U198" s="2"/>
      <c r="V198" s="7">
        <f t="shared" si="77"/>
        <v>1.7604045360579152E-2</v>
      </c>
      <c r="W198" s="2"/>
      <c r="X198" s="6">
        <f t="shared" si="78"/>
        <v>9726.6699999999837</v>
      </c>
      <c r="Y198" s="2"/>
      <c r="Z198" s="7">
        <f t="shared" si="79"/>
        <v>5.9810915582640213E-2</v>
      </c>
    </row>
    <row r="199" spans="1:26" s="23" customFormat="1" hidden="1" outlineLevel="2" x14ac:dyDescent="0.25">
      <c r="A199" s="25"/>
      <c r="B199" s="10" t="str">
        <f>CONCATENATE("          ", "6324", " - ", "FURNITURE + FIXT DEPRECIATION")</f>
        <v xml:space="preserve">          6324 - FURNITURE + FIXT DEPRECIATION</v>
      </c>
      <c r="C199" s="10"/>
      <c r="D199" s="6"/>
      <c r="E199" s="2"/>
      <c r="F199" s="7">
        <f t="shared" si="72"/>
        <v>0</v>
      </c>
      <c r="G199" s="2"/>
      <c r="H199" s="6"/>
      <c r="I199" s="2"/>
      <c r="J199" s="7">
        <f t="shared" si="73"/>
        <v>0</v>
      </c>
      <c r="K199" s="2"/>
      <c r="L199" s="6">
        <f t="shared" si="74"/>
        <v>0</v>
      </c>
      <c r="M199" s="2"/>
      <c r="N199" s="7">
        <f t="shared" si="75"/>
        <v>0</v>
      </c>
      <c r="O199" s="10"/>
      <c r="P199" s="6"/>
      <c r="Q199" s="2"/>
      <c r="R199" s="7">
        <f t="shared" si="76"/>
        <v>0</v>
      </c>
      <c r="S199" s="2"/>
      <c r="T199" s="6">
        <v>0</v>
      </c>
      <c r="U199" s="2"/>
      <c r="V199" s="7">
        <f t="shared" si="77"/>
        <v>0</v>
      </c>
      <c r="W199" s="2"/>
      <c r="X199" s="6">
        <f t="shared" si="78"/>
        <v>0</v>
      </c>
      <c r="Y199" s="2"/>
      <c r="Z199" s="7">
        <f t="shared" si="79"/>
        <v>0</v>
      </c>
    </row>
    <row r="200" spans="1:26" s="27" customFormat="1" outlineLevel="1" collapsed="1" x14ac:dyDescent="0.25">
      <c r="A200" s="26"/>
      <c r="B200" s="12" t="str">
        <f>CONCATENATE("     ","Discounts and Markdowns                           ")</f>
        <v xml:space="preserve">     Discounts and Markdowns                           </v>
      </c>
      <c r="C200" s="12"/>
      <c r="D200" s="1">
        <f>SUM(OSRRefD22_6x_0)</f>
        <v>0</v>
      </c>
      <c r="E200" s="1"/>
      <c r="F200" s="5">
        <f t="shared" ref="F200:F202" si="80">IF(D$12=0,0,D200/D$12)</f>
        <v>0</v>
      </c>
      <c r="G200" s="1"/>
      <c r="H200" s="1">
        <f>SUM(OSRRefH22_6x_0)</f>
        <v>39907.229999999996</v>
      </c>
      <c r="I200" s="1"/>
      <c r="J200" s="5">
        <f t="shared" ref="J200:J202" si="81">IF(H$12=0,0,H200/H$12)</f>
        <v>0.18904191351549277</v>
      </c>
      <c r="K200" s="1"/>
      <c r="L200" s="1">
        <f t="shared" ref="L200:L202" si="82">+D200-H200</f>
        <v>-39907.229999999996</v>
      </c>
      <c r="M200" s="1"/>
      <c r="N200" s="5">
        <f t="shared" ref="N200:N202" si="83">IF(H200=0,0,L200/H200)</f>
        <v>-1</v>
      </c>
      <c r="O200" s="12"/>
      <c r="P200" s="1">
        <f>SUM(OSRRefP22_6x_0)</f>
        <v>-15.43</v>
      </c>
      <c r="Q200" s="1"/>
      <c r="R200" s="5">
        <f t="shared" ref="R200:R202" si="84">IF(P$12=0,0,P200/P$12)</f>
        <v>-2.8188281218438336E-6</v>
      </c>
      <c r="S200" s="1"/>
      <c r="T200" s="1">
        <f>SUM(OSRRefT22_6x_0)</f>
        <v>387319.51</v>
      </c>
      <c r="U200" s="1"/>
      <c r="V200" s="5">
        <f t="shared" ref="V200:V202" si="85">IF(T$12=0,0,T200/T$12)</f>
        <v>4.1927418329394943E-2</v>
      </c>
      <c r="W200" s="1"/>
      <c r="X200" s="1">
        <f t="shared" ref="X200:X202" si="86">+P200-T200</f>
        <v>-387334.94</v>
      </c>
      <c r="Y200" s="1"/>
      <c r="Z200" s="5">
        <f t="shared" ref="Z200:Z202" si="87">IF(T200=0,0,X200/T200)</f>
        <v>-1.0000398379105664</v>
      </c>
    </row>
    <row r="201" spans="1:26" s="23" customFormat="1" hidden="1" outlineLevel="2" x14ac:dyDescent="0.25">
      <c r="A201" s="25"/>
      <c r="B201" s="10" t="str">
        <f>CONCATENATE("          ", "6382", " - ", "DISCOUNTS/MARK DOWNS")</f>
        <v xml:space="preserve">          6382 - DISCOUNTS/MARK DOWNS</v>
      </c>
      <c r="C201" s="10"/>
      <c r="D201" s="6">
        <v>0</v>
      </c>
      <c r="E201" s="2"/>
      <c r="F201" s="7">
        <f t="shared" si="80"/>
        <v>0</v>
      </c>
      <c r="G201" s="2"/>
      <c r="H201" s="6">
        <v>39910.089999999997</v>
      </c>
      <c r="I201" s="2"/>
      <c r="J201" s="7">
        <f t="shared" si="81"/>
        <v>0.18905546143331753</v>
      </c>
      <c r="K201" s="2"/>
      <c r="L201" s="6">
        <f t="shared" si="82"/>
        <v>-39910.089999999997</v>
      </c>
      <c r="M201" s="2"/>
      <c r="N201" s="7">
        <f t="shared" si="83"/>
        <v>-1</v>
      </c>
      <c r="O201" s="10"/>
      <c r="P201" s="6">
        <v>0</v>
      </c>
      <c r="Q201" s="2"/>
      <c r="R201" s="7">
        <f t="shared" si="84"/>
        <v>0</v>
      </c>
      <c r="S201" s="2"/>
      <c r="T201" s="6">
        <v>390553.99</v>
      </c>
      <c r="U201" s="2"/>
      <c r="V201" s="7">
        <f t="shared" si="85"/>
        <v>4.2277551468926332E-2</v>
      </c>
      <c r="W201" s="2"/>
      <c r="X201" s="6">
        <f t="shared" si="86"/>
        <v>-390553.99</v>
      </c>
      <c r="Y201" s="2"/>
      <c r="Z201" s="7">
        <f t="shared" si="87"/>
        <v>-1</v>
      </c>
    </row>
    <row r="202" spans="1:26" s="23" customFormat="1" hidden="1" outlineLevel="2" x14ac:dyDescent="0.25">
      <c r="A202" s="25"/>
      <c r="B202" s="10" t="str">
        <f>CONCATENATE("          ", "9175", " - ", "EARNED DISCOUNTS")</f>
        <v xml:space="preserve">          9175 - EARNED DISCOUNTS</v>
      </c>
      <c r="C202" s="10"/>
      <c r="D202" s="6">
        <v>0</v>
      </c>
      <c r="E202" s="2"/>
      <c r="F202" s="7">
        <f t="shared" si="80"/>
        <v>0</v>
      </c>
      <c r="G202" s="2"/>
      <c r="H202" s="6">
        <v>-2.86</v>
      </c>
      <c r="I202" s="2"/>
      <c r="J202" s="7">
        <f t="shared" si="81"/>
        <v>-1.3547917824772838E-5</v>
      </c>
      <c r="K202" s="2"/>
      <c r="L202" s="6">
        <f t="shared" si="82"/>
        <v>2.86</v>
      </c>
      <c r="M202" s="2"/>
      <c r="N202" s="7">
        <f t="shared" si="83"/>
        <v>-1</v>
      </c>
      <c r="O202" s="10"/>
      <c r="P202" s="6">
        <v>-15.43</v>
      </c>
      <c r="Q202" s="2"/>
      <c r="R202" s="7">
        <f t="shared" si="84"/>
        <v>-2.8188281218438336E-6</v>
      </c>
      <c r="S202" s="2"/>
      <c r="T202" s="6">
        <v>-3234.48</v>
      </c>
      <c r="U202" s="2"/>
      <c r="V202" s="7">
        <f t="shared" si="85"/>
        <v>-3.501331395313945E-4</v>
      </c>
      <c r="W202" s="2"/>
      <c r="X202" s="6">
        <f t="shared" si="86"/>
        <v>3219.05</v>
      </c>
      <c r="Y202" s="2"/>
      <c r="Z202" s="7">
        <f t="shared" si="87"/>
        <v>-0.99522952684821053</v>
      </c>
    </row>
    <row r="203" spans="1:26" s="27" customFormat="1" outlineLevel="1" collapsed="1" x14ac:dyDescent="0.25">
      <c r="A203" s="26"/>
      <c r="B203" s="12" t="str">
        <f>CONCATENATE("     ","Donations                                         ")</f>
        <v xml:space="preserve">     Donations                                         </v>
      </c>
      <c r="C203" s="12"/>
      <c r="D203" s="1">
        <f>SUM(OSRRefD22_7x_0)</f>
        <v>0</v>
      </c>
      <c r="E203" s="1"/>
      <c r="F203" s="5">
        <f t="shared" ref="F203:F211" si="88">IF(D$12=0,0,D203/D$12)</f>
        <v>0</v>
      </c>
      <c r="G203" s="1"/>
      <c r="H203" s="1">
        <f>SUM(OSRRefH22_7x_0)</f>
        <v>0</v>
      </c>
      <c r="I203" s="1"/>
      <c r="J203" s="5">
        <f t="shared" ref="J203:J211" si="89">IF(H$12=0,0,H203/H$12)</f>
        <v>0</v>
      </c>
      <c r="K203" s="1"/>
      <c r="L203" s="1">
        <f t="shared" ref="L203:L211" si="90">+D203-H203</f>
        <v>0</v>
      </c>
      <c r="M203" s="1"/>
      <c r="N203" s="5">
        <f t="shared" ref="N203:N211" si="91">IF(H203=0,0,L203/H203)</f>
        <v>0</v>
      </c>
      <c r="O203" s="12"/>
      <c r="P203" s="1">
        <f>SUM(OSRRefP22_7x_0)</f>
        <v>360.9</v>
      </c>
      <c r="Q203" s="1"/>
      <c r="R203" s="5">
        <f t="shared" ref="R203:R211" si="92">IF(P$12=0,0,P203/P$12)</f>
        <v>6.593098309613995E-5</v>
      </c>
      <c r="S203" s="1"/>
      <c r="T203" s="1">
        <f>SUM(OSRRefT22_7x_0)</f>
        <v>10985.64</v>
      </c>
      <c r="U203" s="1"/>
      <c r="V203" s="5">
        <f t="shared" ref="V203:V211" si="93">IF(T$12=0,0,T203/T$12)</f>
        <v>1.1891978379713797E-3</v>
      </c>
      <c r="W203" s="1"/>
      <c r="X203" s="1">
        <f t="shared" ref="X203:X211" si="94">+P203-T203</f>
        <v>-10624.74</v>
      </c>
      <c r="Y203" s="1"/>
      <c r="Z203" s="5">
        <f t="shared" ref="Z203:Z211" si="95">IF(T203=0,0,X203/T203)</f>
        <v>-0.96714802232732922</v>
      </c>
    </row>
    <row r="204" spans="1:26" s="23" customFormat="1" hidden="1" outlineLevel="2" x14ac:dyDescent="0.25">
      <c r="A204" s="25"/>
      <c r="B204" s="10" t="str">
        <f>CONCATENATE("          ", "6399", " - ", "DONATION-ON CAMPUS")</f>
        <v xml:space="preserve">          6399 - DONATION-ON CAMPUS</v>
      </c>
      <c r="C204" s="10"/>
      <c r="D204" s="6"/>
      <c r="E204" s="2"/>
      <c r="F204" s="7">
        <f t="shared" si="88"/>
        <v>0</v>
      </c>
      <c r="G204" s="2"/>
      <c r="H204" s="6"/>
      <c r="I204" s="2"/>
      <c r="J204" s="7">
        <f t="shared" si="89"/>
        <v>0</v>
      </c>
      <c r="K204" s="2"/>
      <c r="L204" s="6">
        <f t="shared" si="90"/>
        <v>0</v>
      </c>
      <c r="M204" s="2"/>
      <c r="N204" s="7">
        <f t="shared" si="91"/>
        <v>0</v>
      </c>
      <c r="O204" s="10"/>
      <c r="P204" s="6">
        <v>360.9</v>
      </c>
      <c r="Q204" s="2"/>
      <c r="R204" s="7">
        <f t="shared" si="92"/>
        <v>6.593098309613995E-5</v>
      </c>
      <c r="S204" s="2"/>
      <c r="T204" s="6">
        <v>10985.64</v>
      </c>
      <c r="U204" s="2"/>
      <c r="V204" s="7">
        <f t="shared" si="93"/>
        <v>1.1891978379713797E-3</v>
      </c>
      <c r="W204" s="2"/>
      <c r="X204" s="6">
        <f t="shared" si="94"/>
        <v>-10624.74</v>
      </c>
      <c r="Y204" s="2"/>
      <c r="Z204" s="7">
        <f t="shared" si="95"/>
        <v>-0.96714802232732922</v>
      </c>
    </row>
    <row r="205" spans="1:26" s="27" customFormat="1" outlineLevel="1" collapsed="1" x14ac:dyDescent="0.25">
      <c r="A205" s="26"/>
      <c r="B205" s="12" t="str">
        <f>CONCATENATE("     ","Employees' Appreciation                           ")</f>
        <v xml:space="preserve">     Employees' Appreciation                           </v>
      </c>
      <c r="C205" s="12"/>
      <c r="D205" s="1">
        <f>SUM(OSRRefD22_8x_0)</f>
        <v>522.86</v>
      </c>
      <c r="E205" s="1"/>
      <c r="F205" s="5">
        <f t="shared" si="88"/>
        <v>1.9767551499564207E-3</v>
      </c>
      <c r="G205" s="1"/>
      <c r="H205" s="1">
        <f>SUM(OSRRefH22_8x_0)</f>
        <v>57</v>
      </c>
      <c r="I205" s="1"/>
      <c r="J205" s="5">
        <f t="shared" si="89"/>
        <v>2.7001094965456359E-4</v>
      </c>
      <c r="K205" s="1"/>
      <c r="L205" s="1">
        <f t="shared" si="90"/>
        <v>465.86</v>
      </c>
      <c r="M205" s="1"/>
      <c r="N205" s="5">
        <f t="shared" si="91"/>
        <v>8.1729824561403515</v>
      </c>
      <c r="O205" s="12"/>
      <c r="P205" s="1">
        <f>SUM(OSRRefP22_8x_0)</f>
        <v>708.89</v>
      </c>
      <c r="Q205" s="1"/>
      <c r="R205" s="5">
        <f t="shared" si="92"/>
        <v>1.2950350403719216E-4</v>
      </c>
      <c r="S205" s="1"/>
      <c r="T205" s="1">
        <f>SUM(OSRRefT22_8x_0)</f>
        <v>1611.27</v>
      </c>
      <c r="U205" s="1"/>
      <c r="V205" s="5">
        <f t="shared" si="93"/>
        <v>1.744203160114609E-4</v>
      </c>
      <c r="W205" s="1"/>
      <c r="X205" s="1">
        <f t="shared" si="94"/>
        <v>-902.38</v>
      </c>
      <c r="Y205" s="1"/>
      <c r="Z205" s="5">
        <f t="shared" si="95"/>
        <v>-0.56004269923724759</v>
      </c>
    </row>
    <row r="206" spans="1:26" s="23" customFormat="1" hidden="1" outlineLevel="2" x14ac:dyDescent="0.25">
      <c r="A206" s="25"/>
      <c r="B206" s="10" t="str">
        <f>CONCATENATE("          ", "6277", " - ", "EMPLOYEE APPRECIATION")</f>
        <v xml:space="preserve">          6277 - EMPLOYEE APPRECIATION</v>
      </c>
      <c r="C206" s="10"/>
      <c r="D206" s="6">
        <v>522.86</v>
      </c>
      <c r="E206" s="2"/>
      <c r="F206" s="7">
        <f t="shared" si="88"/>
        <v>1.9767551499564207E-3</v>
      </c>
      <c r="G206" s="2"/>
      <c r="H206" s="6">
        <v>57</v>
      </c>
      <c r="I206" s="2"/>
      <c r="J206" s="7">
        <f t="shared" si="89"/>
        <v>2.7001094965456359E-4</v>
      </c>
      <c r="K206" s="2"/>
      <c r="L206" s="6">
        <f t="shared" si="90"/>
        <v>465.86</v>
      </c>
      <c r="M206" s="2"/>
      <c r="N206" s="7">
        <f t="shared" si="91"/>
        <v>8.1729824561403515</v>
      </c>
      <c r="O206" s="10"/>
      <c r="P206" s="6">
        <v>708.89</v>
      </c>
      <c r="Q206" s="2"/>
      <c r="R206" s="7">
        <f t="shared" si="92"/>
        <v>1.2950350403719216E-4</v>
      </c>
      <c r="S206" s="2"/>
      <c r="T206" s="6">
        <v>1611.27</v>
      </c>
      <c r="U206" s="2"/>
      <c r="V206" s="7">
        <f t="shared" si="93"/>
        <v>1.744203160114609E-4</v>
      </c>
      <c r="W206" s="2"/>
      <c r="X206" s="6">
        <f t="shared" si="94"/>
        <v>-902.38</v>
      </c>
      <c r="Y206" s="2"/>
      <c r="Z206" s="7">
        <f t="shared" si="95"/>
        <v>-0.56004269923724759</v>
      </c>
    </row>
    <row r="207" spans="1:26" s="27" customFormat="1" outlineLevel="1" collapsed="1" x14ac:dyDescent="0.25">
      <c r="A207" s="26"/>
      <c r="B207" s="12" t="str">
        <f>CONCATENATE("     ","Equipment Rental                                  ")</f>
        <v xml:space="preserve">     Equipment Rental                                  </v>
      </c>
      <c r="C207" s="12"/>
      <c r="D207" s="1">
        <f>SUM(OSRRefD22_9x_0)</f>
        <v>2220.81</v>
      </c>
      <c r="E207" s="1"/>
      <c r="F207" s="5">
        <f t="shared" si="88"/>
        <v>8.3961244015122952E-3</v>
      </c>
      <c r="G207" s="1"/>
      <c r="H207" s="1">
        <f>SUM(OSRRefH22_9x_0)</f>
        <v>1388.16</v>
      </c>
      <c r="I207" s="1"/>
      <c r="J207" s="5">
        <f t="shared" si="89"/>
        <v>6.5757614012715614E-3</v>
      </c>
      <c r="K207" s="1"/>
      <c r="L207" s="1">
        <f t="shared" si="90"/>
        <v>832.64999999999986</v>
      </c>
      <c r="M207" s="1"/>
      <c r="N207" s="5">
        <f t="shared" si="91"/>
        <v>0.59982278699861669</v>
      </c>
      <c r="O207" s="12"/>
      <c r="P207" s="1">
        <f>SUM(OSRRefP22_9x_0)</f>
        <v>18767.03</v>
      </c>
      <c r="Q207" s="1"/>
      <c r="R207" s="5">
        <f t="shared" si="92"/>
        <v>3.4284531385279896E-3</v>
      </c>
      <c r="S207" s="1"/>
      <c r="T207" s="1">
        <f>SUM(OSRRefT22_9x_0)</f>
        <v>19839.79</v>
      </c>
      <c r="U207" s="1"/>
      <c r="V207" s="5">
        <f t="shared" si="93"/>
        <v>2.1476614356383608E-3</v>
      </c>
      <c r="W207" s="1"/>
      <c r="X207" s="1">
        <f t="shared" si="94"/>
        <v>-1072.760000000002</v>
      </c>
      <c r="Y207" s="1"/>
      <c r="Z207" s="5">
        <f t="shared" si="95"/>
        <v>-5.4071136841670302E-2</v>
      </c>
    </row>
    <row r="208" spans="1:26" s="23" customFormat="1" hidden="1" outlineLevel="2" x14ac:dyDescent="0.25">
      <c r="A208" s="25"/>
      <c r="B208" s="10" t="str">
        <f>CONCATENATE("          ", "6351", " - ", "EQUIPMENT RENTAL")</f>
        <v xml:space="preserve">          6351 - EQUIPMENT RENTAL</v>
      </c>
      <c r="C208" s="10"/>
      <c r="D208" s="6">
        <v>2220.81</v>
      </c>
      <c r="E208" s="2"/>
      <c r="F208" s="7">
        <f t="shared" si="88"/>
        <v>8.3961244015122952E-3</v>
      </c>
      <c r="G208" s="2"/>
      <c r="H208" s="6">
        <v>1388.16</v>
      </c>
      <c r="I208" s="2"/>
      <c r="J208" s="7">
        <f t="shared" si="89"/>
        <v>6.5757614012715614E-3</v>
      </c>
      <c r="K208" s="2"/>
      <c r="L208" s="6">
        <f t="shared" si="90"/>
        <v>832.64999999999986</v>
      </c>
      <c r="M208" s="2"/>
      <c r="N208" s="7">
        <f t="shared" si="91"/>
        <v>0.59982278699861669</v>
      </c>
      <c r="O208" s="10"/>
      <c r="P208" s="6">
        <v>18767.03</v>
      </c>
      <c r="Q208" s="2"/>
      <c r="R208" s="7">
        <f t="shared" si="92"/>
        <v>3.4284531385279896E-3</v>
      </c>
      <c r="S208" s="2"/>
      <c r="T208" s="6">
        <v>19839.79</v>
      </c>
      <c r="U208" s="2"/>
      <c r="V208" s="7">
        <f t="shared" si="93"/>
        <v>2.1476614356383608E-3</v>
      </c>
      <c r="W208" s="2"/>
      <c r="X208" s="6">
        <f t="shared" si="94"/>
        <v>-1072.760000000002</v>
      </c>
      <c r="Y208" s="2"/>
      <c r="Z208" s="7">
        <f t="shared" si="95"/>
        <v>-5.4071136841670302E-2</v>
      </c>
    </row>
    <row r="209" spans="1:26" s="27" customFormat="1" outlineLevel="1" collapsed="1" x14ac:dyDescent="0.25">
      <c r="A209" s="26"/>
      <c r="B209" s="12" t="str">
        <f>CONCATENATE("     ","Freight out/Postage                               ")</f>
        <v xml:space="preserve">     Freight out/Postage                               </v>
      </c>
      <c r="C209" s="12"/>
      <c r="D209" s="1">
        <f>SUM(OSRRefD22_10x_0)</f>
        <v>-7501.3200000000006</v>
      </c>
      <c r="E209" s="1"/>
      <c r="F209" s="5">
        <f t="shared" si="88"/>
        <v>-2.8359929888442603E-2</v>
      </c>
      <c r="G209" s="1"/>
      <c r="H209" s="1">
        <f>SUM(OSRRefH22_10x_0)</f>
        <v>25658.55</v>
      </c>
      <c r="I209" s="1"/>
      <c r="J209" s="5">
        <f t="shared" si="89"/>
        <v>0.12154542898700178</v>
      </c>
      <c r="K209" s="1"/>
      <c r="L209" s="1">
        <f t="shared" si="90"/>
        <v>-33159.870000000003</v>
      </c>
      <c r="M209" s="1"/>
      <c r="N209" s="5">
        <f t="shared" si="91"/>
        <v>-1.2923516722496011</v>
      </c>
      <c r="O209" s="12"/>
      <c r="P209" s="1">
        <f>SUM(OSRRefP22_10x_0)</f>
        <v>-75388.09</v>
      </c>
      <c r="Q209" s="1"/>
      <c r="R209" s="5">
        <f t="shared" si="92"/>
        <v>-1.377226624394646E-2</v>
      </c>
      <c r="S209" s="1"/>
      <c r="T209" s="1">
        <f>SUM(OSRRefT22_10x_0)</f>
        <v>41650.92</v>
      </c>
      <c r="U209" s="1"/>
      <c r="V209" s="5">
        <f t="shared" si="93"/>
        <v>4.5087208404352317E-3</v>
      </c>
      <c r="W209" s="1"/>
      <c r="X209" s="1">
        <f t="shared" si="94"/>
        <v>-117039.01</v>
      </c>
      <c r="Y209" s="1"/>
      <c r="Z209" s="5">
        <f t="shared" si="95"/>
        <v>-2.809998194517672</v>
      </c>
    </row>
    <row r="210" spans="1:26" s="23" customFormat="1" hidden="1" outlineLevel="2" x14ac:dyDescent="0.25">
      <c r="A210" s="25"/>
      <c r="B210" s="10" t="str">
        <f>CONCATENATE("          ", "6305", " - ", "FREIGHT OUT")</f>
        <v xml:space="preserve">          6305 - FREIGHT OUT</v>
      </c>
      <c r="C210" s="10"/>
      <c r="D210" s="6">
        <v>7012.69</v>
      </c>
      <c r="E210" s="2"/>
      <c r="F210" s="7">
        <f t="shared" si="88"/>
        <v>2.6512586681994976E-2</v>
      </c>
      <c r="G210" s="2"/>
      <c r="H210" s="6">
        <v>32756.98</v>
      </c>
      <c r="I210" s="2"/>
      <c r="J210" s="7">
        <f t="shared" si="89"/>
        <v>0.15517093469500956</v>
      </c>
      <c r="K210" s="2"/>
      <c r="L210" s="6">
        <f t="shared" si="90"/>
        <v>-25744.29</v>
      </c>
      <c r="M210" s="2"/>
      <c r="N210" s="7">
        <f t="shared" si="91"/>
        <v>-0.78591768838275078</v>
      </c>
      <c r="O210" s="10"/>
      <c r="P210" s="6">
        <v>231396.33</v>
      </c>
      <c r="Q210" s="2"/>
      <c r="R210" s="7">
        <f t="shared" si="92"/>
        <v>4.2272617128675041E-2</v>
      </c>
      <c r="S210" s="2"/>
      <c r="T210" s="6">
        <v>102668.17</v>
      </c>
      <c r="U210" s="2"/>
      <c r="V210" s="7">
        <f t="shared" si="93"/>
        <v>1.1113850972039688E-2</v>
      </c>
      <c r="W210" s="2"/>
      <c r="X210" s="6">
        <f t="shared" si="94"/>
        <v>128728.15999999999</v>
      </c>
      <c r="Y210" s="2"/>
      <c r="Z210" s="7">
        <f t="shared" si="95"/>
        <v>1.253827354670878</v>
      </c>
    </row>
    <row r="211" spans="1:26" s="23" customFormat="1" hidden="1" outlineLevel="2" x14ac:dyDescent="0.25">
      <c r="A211" s="25"/>
      <c r="B211" s="10" t="str">
        <f>CONCATENATE("          ", "6307", " - ", "POSTAGE")</f>
        <v xml:space="preserve">          6307 - POSTAGE</v>
      </c>
      <c r="C211" s="10"/>
      <c r="D211" s="6">
        <v>-14514.01</v>
      </c>
      <c r="E211" s="2"/>
      <c r="F211" s="7">
        <f t="shared" si="88"/>
        <v>-5.4872516570437575E-2</v>
      </c>
      <c r="G211" s="2"/>
      <c r="H211" s="6">
        <v>-7098.43</v>
      </c>
      <c r="I211" s="2"/>
      <c r="J211" s="7">
        <f t="shared" si="89"/>
        <v>-3.3625505708007784E-2</v>
      </c>
      <c r="K211" s="2"/>
      <c r="L211" s="6">
        <f t="shared" si="90"/>
        <v>-7415.58</v>
      </c>
      <c r="M211" s="2"/>
      <c r="N211" s="7">
        <f t="shared" si="91"/>
        <v>1.0446788937835549</v>
      </c>
      <c r="O211" s="10"/>
      <c r="P211" s="6">
        <v>-306784.42</v>
      </c>
      <c r="Q211" s="2"/>
      <c r="R211" s="7">
        <f t="shared" si="92"/>
        <v>-5.60448833726215E-2</v>
      </c>
      <c r="S211" s="2"/>
      <c r="T211" s="6">
        <v>-61017.25</v>
      </c>
      <c r="U211" s="2"/>
      <c r="V211" s="7">
        <f t="shared" si="93"/>
        <v>-6.6051301316044555E-3</v>
      </c>
      <c r="W211" s="2"/>
      <c r="X211" s="6">
        <f t="shared" si="94"/>
        <v>-245767.16999999998</v>
      </c>
      <c r="Y211" s="2"/>
      <c r="Z211" s="7">
        <f t="shared" si="95"/>
        <v>4.0278309822222402</v>
      </c>
    </row>
    <row r="212" spans="1:26" s="27" customFormat="1" outlineLevel="1" collapsed="1" x14ac:dyDescent="0.25">
      <c r="A212" s="26"/>
      <c r="B212" s="12" t="str">
        <f>CONCATENATE("     ","General                                           ")</f>
        <v xml:space="preserve">     General                                           </v>
      </c>
      <c r="C212" s="12"/>
      <c r="D212" s="1">
        <f>SUM(OSRRefD22_11x_0)</f>
        <v>-3391.74</v>
      </c>
      <c r="E212" s="1"/>
      <c r="F212" s="5">
        <f t="shared" ref="F212:F250" si="96">IF(D$12=0,0,D212/D$12)</f>
        <v>-1.2823010963380619E-2</v>
      </c>
      <c r="G212" s="1"/>
      <c r="H212" s="1">
        <f>SUM(OSRRefH22_11x_0)</f>
        <v>-1613.24</v>
      </c>
      <c r="I212" s="1"/>
      <c r="J212" s="5">
        <f t="shared" ref="J212:J250" si="97">IF(H$12=0,0,H212/H$12)</f>
        <v>-7.6419730600127741E-3</v>
      </c>
      <c r="K212" s="1"/>
      <c r="L212" s="1">
        <f t="shared" ref="L212:L250" si="98">+D212-H212</f>
        <v>-1778.4999999999998</v>
      </c>
      <c r="M212" s="1"/>
      <c r="N212" s="5">
        <f t="shared" ref="N212:N250" si="99">IF(H212=0,0,L212/H212)</f>
        <v>1.1024398105675532</v>
      </c>
      <c r="O212" s="12"/>
      <c r="P212" s="1">
        <f>SUM(OSRRefP22_11x_0)</f>
        <v>-788.11</v>
      </c>
      <c r="Q212" s="1"/>
      <c r="R212" s="5">
        <f t="shared" ref="R212:R250" si="100">IF(P$12=0,0,P212/P$12)</f>
        <v>-1.4397580240481812E-4</v>
      </c>
      <c r="S212" s="1"/>
      <c r="T212" s="1">
        <f>SUM(OSRRefT22_11x_0)</f>
        <v>-3183.87</v>
      </c>
      <c r="U212" s="1"/>
      <c r="V212" s="5">
        <f t="shared" ref="V212:V250" si="101">IF(T$12=0,0,T212/T$12)</f>
        <v>-3.4465459639874756E-4</v>
      </c>
      <c r="W212" s="1"/>
      <c r="X212" s="1">
        <f t="shared" ref="X212:X250" si="102">+P212-T212</f>
        <v>2395.7599999999998</v>
      </c>
      <c r="Y212" s="1"/>
      <c r="Z212" s="5">
        <f t="shared" ref="Z212:Z250" si="103">IF(T212=0,0,X212/T212)</f>
        <v>-0.75246790855154255</v>
      </c>
    </row>
    <row r="213" spans="1:26" s="23" customFormat="1" hidden="1" outlineLevel="2" x14ac:dyDescent="0.25">
      <c r="A213" s="25"/>
      <c r="B213" s="10" t="str">
        <f>CONCATENATE("          ", "6279", " - ", "GENERAL EXPENSE")</f>
        <v xml:space="preserve">          6279 - GENERAL EXPENSE</v>
      </c>
      <c r="C213" s="10"/>
      <c r="D213" s="6">
        <v>-3391.74</v>
      </c>
      <c r="E213" s="2"/>
      <c r="F213" s="7">
        <f t="shared" si="96"/>
        <v>-1.2823010963380619E-2</v>
      </c>
      <c r="G213" s="2"/>
      <c r="H213" s="6">
        <v>-1613.24</v>
      </c>
      <c r="I213" s="2"/>
      <c r="J213" s="7">
        <f t="shared" si="97"/>
        <v>-7.6419730600127741E-3</v>
      </c>
      <c r="K213" s="2"/>
      <c r="L213" s="6">
        <f t="shared" si="98"/>
        <v>-1778.4999999999998</v>
      </c>
      <c r="M213" s="2"/>
      <c r="N213" s="7">
        <f t="shared" si="99"/>
        <v>1.1024398105675532</v>
      </c>
      <c r="O213" s="10"/>
      <c r="P213" s="6">
        <v>-788.11</v>
      </c>
      <c r="Q213" s="2"/>
      <c r="R213" s="7">
        <f t="shared" si="100"/>
        <v>-1.4397580240481812E-4</v>
      </c>
      <c r="S213" s="2"/>
      <c r="T213" s="6">
        <v>-3183.87</v>
      </c>
      <c r="U213" s="2"/>
      <c r="V213" s="7">
        <f t="shared" si="101"/>
        <v>-3.4465459639874756E-4</v>
      </c>
      <c r="W213" s="2"/>
      <c r="X213" s="6">
        <f t="shared" si="102"/>
        <v>2395.7599999999998</v>
      </c>
      <c r="Y213" s="2"/>
      <c r="Z213" s="7">
        <f t="shared" si="103"/>
        <v>-0.75246790855154255</v>
      </c>
    </row>
    <row r="214" spans="1:26" s="27" customFormat="1" outlineLevel="1" collapsed="1" x14ac:dyDescent="0.25">
      <c r="A214" s="26"/>
      <c r="B214" s="12" t="str">
        <f>CONCATENATE("     ","Insurance                                         ")</f>
        <v xml:space="preserve">     Insurance                                         </v>
      </c>
      <c r="C214" s="12"/>
      <c r="D214" s="1">
        <f>SUM(OSRRefD22_12x_0)</f>
        <v>8663.02</v>
      </c>
      <c r="E214" s="1"/>
      <c r="F214" s="5">
        <f t="shared" si="96"/>
        <v>3.2751920971532483E-2</v>
      </c>
      <c r="G214" s="1"/>
      <c r="H214" s="1">
        <f>SUM(OSRRefH22_12x_0)</f>
        <v>4044.74</v>
      </c>
      <c r="I214" s="1"/>
      <c r="J214" s="5">
        <f t="shared" si="97"/>
        <v>1.9160071728171919E-2</v>
      </c>
      <c r="K214" s="1"/>
      <c r="L214" s="1">
        <f t="shared" si="98"/>
        <v>4618.2800000000007</v>
      </c>
      <c r="M214" s="1"/>
      <c r="N214" s="5">
        <f t="shared" si="99"/>
        <v>1.1417989784263021</v>
      </c>
      <c r="O214" s="12"/>
      <c r="P214" s="1">
        <f>SUM(OSRRefP22_12x_0)</f>
        <v>53155.16</v>
      </c>
      <c r="Q214" s="1"/>
      <c r="R214" s="5">
        <f t="shared" si="100"/>
        <v>9.7106454847121493E-3</v>
      </c>
      <c r="S214" s="1"/>
      <c r="T214" s="1">
        <f>SUM(OSRRefT22_12x_0)</f>
        <v>48536.88</v>
      </c>
      <c r="U214" s="1"/>
      <c r="V214" s="5">
        <f t="shared" si="101"/>
        <v>5.2541274571054853E-3</v>
      </c>
      <c r="W214" s="1"/>
      <c r="X214" s="1">
        <f t="shared" si="102"/>
        <v>4618.2800000000061</v>
      </c>
      <c r="Y214" s="1"/>
      <c r="Z214" s="5">
        <f t="shared" si="103"/>
        <v>9.5149914868858612E-2</v>
      </c>
    </row>
    <row r="215" spans="1:26" s="23" customFormat="1" hidden="1" outlineLevel="2" x14ac:dyDescent="0.25">
      <c r="A215" s="25"/>
      <c r="B215" s="10" t="str">
        <f>CONCATENATE("          ", "6314", " - ", "LIABILITY INSURANCE")</f>
        <v xml:space="preserve">          6314 - LIABILITY INSURANCE</v>
      </c>
      <c r="C215" s="10"/>
      <c r="D215" s="6">
        <v>8663.02</v>
      </c>
      <c r="E215" s="2"/>
      <c r="F215" s="7">
        <f t="shared" si="96"/>
        <v>3.2751920971532483E-2</v>
      </c>
      <c r="G215" s="2"/>
      <c r="H215" s="6">
        <v>4044.74</v>
      </c>
      <c r="I215" s="2"/>
      <c r="J215" s="7">
        <f t="shared" si="97"/>
        <v>1.9160071728171919E-2</v>
      </c>
      <c r="K215" s="2"/>
      <c r="L215" s="6">
        <f t="shared" si="98"/>
        <v>4618.2800000000007</v>
      </c>
      <c r="M215" s="2"/>
      <c r="N215" s="7">
        <f t="shared" si="99"/>
        <v>1.1417989784263021</v>
      </c>
      <c r="O215" s="10"/>
      <c r="P215" s="6">
        <v>53155.16</v>
      </c>
      <c r="Q215" s="2"/>
      <c r="R215" s="7">
        <f t="shared" si="100"/>
        <v>9.7106454847121493E-3</v>
      </c>
      <c r="S215" s="2"/>
      <c r="T215" s="6">
        <v>48536.88</v>
      </c>
      <c r="U215" s="2"/>
      <c r="V215" s="7">
        <f t="shared" si="101"/>
        <v>5.2541274571054853E-3</v>
      </c>
      <c r="W215" s="2"/>
      <c r="X215" s="6">
        <f t="shared" si="102"/>
        <v>4618.2800000000061</v>
      </c>
      <c r="Y215" s="2"/>
      <c r="Z215" s="7">
        <f t="shared" si="103"/>
        <v>9.5149914868858612E-2</v>
      </c>
    </row>
    <row r="216" spans="1:26" s="27" customFormat="1" outlineLevel="1" collapsed="1" x14ac:dyDescent="0.25">
      <c r="A216" s="26"/>
      <c r="B216" s="12" t="str">
        <f>CONCATENATE("     ","Inventory Adjustment                              ")</f>
        <v xml:space="preserve">     Inventory Adjustment                              </v>
      </c>
      <c r="C216" s="12"/>
      <c r="D216" s="1">
        <f>SUM(OSRRefD22_13x_0)</f>
        <v>-28100</v>
      </c>
      <c r="E216" s="1"/>
      <c r="F216" s="5">
        <f t="shared" si="96"/>
        <v>-0.1062365063569128</v>
      </c>
      <c r="G216" s="1"/>
      <c r="H216" s="1">
        <f>SUM(OSRRefH22_13x_0)</f>
        <v>-10114</v>
      </c>
      <c r="I216" s="1"/>
      <c r="J216" s="5">
        <f t="shared" si="97"/>
        <v>-4.79103639439694E-2</v>
      </c>
      <c r="K216" s="1"/>
      <c r="L216" s="1">
        <f t="shared" si="98"/>
        <v>-17986</v>
      </c>
      <c r="M216" s="1"/>
      <c r="N216" s="5">
        <f t="shared" si="99"/>
        <v>1.7783270713861974</v>
      </c>
      <c r="O216" s="12"/>
      <c r="P216" s="1">
        <f>SUM(OSRRefP22_13x_0)</f>
        <v>0</v>
      </c>
      <c r="Q216" s="1"/>
      <c r="R216" s="5">
        <f t="shared" si="100"/>
        <v>0</v>
      </c>
      <c r="S216" s="1"/>
      <c r="T216" s="1">
        <f>SUM(OSRRefT22_13x_0)</f>
        <v>43236</v>
      </c>
      <c r="U216" s="1"/>
      <c r="V216" s="5">
        <f t="shared" si="101"/>
        <v>4.6803060834444401E-3</v>
      </c>
      <c r="W216" s="1"/>
      <c r="X216" s="1">
        <f t="shared" si="102"/>
        <v>-43236</v>
      </c>
      <c r="Y216" s="1"/>
      <c r="Z216" s="5">
        <f t="shared" si="103"/>
        <v>-1</v>
      </c>
    </row>
    <row r="217" spans="1:26" s="23" customFormat="1" hidden="1" outlineLevel="2" x14ac:dyDescent="0.25">
      <c r="A217" s="25"/>
      <c r="B217" s="10" t="str">
        <f>CONCATENATE("          ", "6408", " - ", "INVENTORY ADJUSTMENT")</f>
        <v xml:space="preserve">          6408 - INVENTORY ADJUSTMENT</v>
      </c>
      <c r="C217" s="10"/>
      <c r="D217" s="6">
        <v>-28100</v>
      </c>
      <c r="E217" s="2"/>
      <c r="F217" s="7">
        <f t="shared" si="96"/>
        <v>-0.1062365063569128</v>
      </c>
      <c r="G217" s="2"/>
      <c r="H217" s="6">
        <v>-53350</v>
      </c>
      <c r="I217" s="2"/>
      <c r="J217" s="7">
        <f t="shared" si="97"/>
        <v>-0.25272077480826255</v>
      </c>
      <c r="K217" s="2"/>
      <c r="L217" s="6">
        <f t="shared" si="98"/>
        <v>25250</v>
      </c>
      <c r="M217" s="2"/>
      <c r="N217" s="7">
        <f t="shared" si="99"/>
        <v>-0.4732895970009372</v>
      </c>
      <c r="O217" s="10"/>
      <c r="P217" s="6">
        <v>0</v>
      </c>
      <c r="Q217" s="2"/>
      <c r="R217" s="7">
        <f t="shared" si="100"/>
        <v>0</v>
      </c>
      <c r="S217" s="2"/>
      <c r="T217" s="6">
        <v>0</v>
      </c>
      <c r="U217" s="2"/>
      <c r="V217" s="7">
        <f t="shared" si="101"/>
        <v>0</v>
      </c>
      <c r="W217" s="2"/>
      <c r="X217" s="6">
        <f t="shared" si="102"/>
        <v>0</v>
      </c>
      <c r="Y217" s="2"/>
      <c r="Z217" s="7">
        <f t="shared" si="103"/>
        <v>0</v>
      </c>
    </row>
    <row r="218" spans="1:26" s="23" customFormat="1" hidden="1" outlineLevel="2" x14ac:dyDescent="0.25">
      <c r="A218" s="25"/>
      <c r="B218" s="10" t="str">
        <f>CONCATENATE("          ", "7700", " - ", "INV. SHRINKAGE @ RETAIL-CONTRA")</f>
        <v xml:space="preserve">          7700 - INV. SHRINKAGE @ RETAIL-CONTRA</v>
      </c>
      <c r="C218" s="10"/>
      <c r="D218" s="6"/>
      <c r="E218" s="2"/>
      <c r="F218" s="7">
        <f t="shared" si="96"/>
        <v>0</v>
      </c>
      <c r="G218" s="2"/>
      <c r="H218" s="6">
        <v>-99781</v>
      </c>
      <c r="I218" s="2"/>
      <c r="J218" s="7">
        <f t="shared" si="97"/>
        <v>-0.4726660099558247</v>
      </c>
      <c r="K218" s="2"/>
      <c r="L218" s="6">
        <f t="shared" si="98"/>
        <v>99781</v>
      </c>
      <c r="M218" s="2"/>
      <c r="N218" s="7">
        <f t="shared" si="99"/>
        <v>-1</v>
      </c>
      <c r="O218" s="10"/>
      <c r="P218" s="6"/>
      <c r="Q218" s="2"/>
      <c r="R218" s="7">
        <f t="shared" si="100"/>
        <v>0</v>
      </c>
      <c r="S218" s="2"/>
      <c r="T218" s="6">
        <v>-99781</v>
      </c>
      <c r="U218" s="2"/>
      <c r="V218" s="7">
        <f t="shared" si="101"/>
        <v>-1.0801314212974597E-2</v>
      </c>
      <c r="W218" s="2"/>
      <c r="X218" s="6">
        <f t="shared" si="102"/>
        <v>99781</v>
      </c>
      <c r="Y218" s="2"/>
      <c r="Z218" s="7">
        <f t="shared" si="103"/>
        <v>-1</v>
      </c>
    </row>
    <row r="219" spans="1:26" s="23" customFormat="1" hidden="1" outlineLevel="2" x14ac:dyDescent="0.25">
      <c r="A219" s="25"/>
      <c r="B219" s="10" t="str">
        <f>CONCATENATE("          ", "7701", " - ", "INV. SHRINKAGE-NEW TEXT")</f>
        <v xml:space="preserve">          7701 - INV. SHRINKAGE-NEW TEXT</v>
      </c>
      <c r="C219" s="10"/>
      <c r="D219" s="6"/>
      <c r="E219" s="2"/>
      <c r="F219" s="7">
        <f t="shared" si="96"/>
        <v>0</v>
      </c>
      <c r="G219" s="2"/>
      <c r="H219" s="6">
        <v>-4346</v>
      </c>
      <c r="I219" s="2"/>
      <c r="J219" s="7">
        <f t="shared" si="97"/>
        <v>-2.0587150652609354E-2</v>
      </c>
      <c r="K219" s="2"/>
      <c r="L219" s="6">
        <f t="shared" si="98"/>
        <v>4346</v>
      </c>
      <c r="M219" s="2"/>
      <c r="N219" s="7">
        <f t="shared" si="99"/>
        <v>-1</v>
      </c>
      <c r="O219" s="10"/>
      <c r="P219" s="6"/>
      <c r="Q219" s="2"/>
      <c r="R219" s="7">
        <f t="shared" si="100"/>
        <v>0</v>
      </c>
      <c r="S219" s="2"/>
      <c r="T219" s="6">
        <v>-4346</v>
      </c>
      <c r="U219" s="2"/>
      <c r="V219" s="7">
        <f t="shared" si="101"/>
        <v>-4.7045541305045646E-4</v>
      </c>
      <c r="W219" s="2"/>
      <c r="X219" s="6">
        <f t="shared" si="102"/>
        <v>4346</v>
      </c>
      <c r="Y219" s="2"/>
      <c r="Z219" s="7">
        <f t="shared" si="103"/>
        <v>-1</v>
      </c>
    </row>
    <row r="220" spans="1:26" s="23" customFormat="1" hidden="1" outlineLevel="2" x14ac:dyDescent="0.25">
      <c r="A220" s="25"/>
      <c r="B220" s="10" t="str">
        <f>CONCATENATE("          ", "7702", " - ", "INV. SHRINKAGE-USED TEXT")</f>
        <v xml:space="preserve">          7702 - INV. SHRINKAGE-USED TEXT</v>
      </c>
      <c r="C220" s="10"/>
      <c r="D220" s="6"/>
      <c r="E220" s="2"/>
      <c r="F220" s="7">
        <f t="shared" si="96"/>
        <v>0</v>
      </c>
      <c r="G220" s="2"/>
      <c r="H220" s="6">
        <v>-29494</v>
      </c>
      <c r="I220" s="2"/>
      <c r="J220" s="7">
        <f t="shared" si="97"/>
        <v>-0.13971408682652101</v>
      </c>
      <c r="K220" s="2"/>
      <c r="L220" s="6">
        <f t="shared" si="98"/>
        <v>29494</v>
      </c>
      <c r="M220" s="2"/>
      <c r="N220" s="7">
        <f t="shared" si="99"/>
        <v>-1</v>
      </c>
      <c r="O220" s="10"/>
      <c r="P220" s="6"/>
      <c r="Q220" s="2"/>
      <c r="R220" s="7">
        <f t="shared" si="100"/>
        <v>0</v>
      </c>
      <c r="S220" s="2"/>
      <c r="T220" s="6">
        <v>-29494</v>
      </c>
      <c r="U220" s="2"/>
      <c r="V220" s="7">
        <f t="shared" si="101"/>
        <v>-3.1927316963898211E-3</v>
      </c>
      <c r="W220" s="2"/>
      <c r="X220" s="6">
        <f t="shared" si="102"/>
        <v>29494</v>
      </c>
      <c r="Y220" s="2"/>
      <c r="Z220" s="7">
        <f t="shared" si="103"/>
        <v>-1</v>
      </c>
    </row>
    <row r="221" spans="1:26" s="23" customFormat="1" hidden="1" outlineLevel="2" x14ac:dyDescent="0.25">
      <c r="A221" s="25"/>
      <c r="B221" s="10" t="str">
        <f>CONCATENATE("          ", "7703", " - ", "INV. SHRINKAGE-RENTAL TEXT")</f>
        <v xml:space="preserve">          7703 - INV. SHRINKAGE-RENTAL TEXT</v>
      </c>
      <c r="C221" s="10"/>
      <c r="D221" s="6"/>
      <c r="E221" s="2"/>
      <c r="F221" s="7">
        <f t="shared" si="96"/>
        <v>0</v>
      </c>
      <c r="G221" s="2"/>
      <c r="H221" s="6">
        <v>526</v>
      </c>
      <c r="I221" s="2"/>
      <c r="J221" s="7">
        <f t="shared" si="97"/>
        <v>2.4916799915491302E-3</v>
      </c>
      <c r="K221" s="2"/>
      <c r="L221" s="6">
        <f t="shared" si="98"/>
        <v>-526</v>
      </c>
      <c r="M221" s="2"/>
      <c r="N221" s="7">
        <f t="shared" si="99"/>
        <v>-1</v>
      </c>
      <c r="O221" s="10"/>
      <c r="P221" s="6"/>
      <c r="Q221" s="2"/>
      <c r="R221" s="7">
        <f t="shared" si="100"/>
        <v>0</v>
      </c>
      <c r="S221" s="2"/>
      <c r="T221" s="6">
        <v>526</v>
      </c>
      <c r="U221" s="2"/>
      <c r="V221" s="7">
        <f t="shared" si="101"/>
        <v>5.6939610507257275E-5</v>
      </c>
      <c r="W221" s="2"/>
      <c r="X221" s="6">
        <f t="shared" si="102"/>
        <v>-526</v>
      </c>
      <c r="Y221" s="2"/>
      <c r="Z221" s="7">
        <f t="shared" si="103"/>
        <v>-1</v>
      </c>
    </row>
    <row r="222" spans="1:26" s="23" customFormat="1" hidden="1" outlineLevel="2" x14ac:dyDescent="0.25">
      <c r="A222" s="25"/>
      <c r="B222" s="10" t="str">
        <f>CONCATENATE("          ", "7704", " - ", "INV. SHRINKAGE-DIGITAL TEXT")</f>
        <v xml:space="preserve">          7704 - INV. SHRINKAGE-DIGITAL TEXT</v>
      </c>
      <c r="C222" s="10"/>
      <c r="D222" s="6"/>
      <c r="E222" s="2"/>
      <c r="F222" s="7">
        <f t="shared" si="96"/>
        <v>0</v>
      </c>
      <c r="G222" s="2"/>
      <c r="H222" s="6">
        <v>816</v>
      </c>
      <c r="I222" s="2"/>
      <c r="J222" s="7">
        <f t="shared" si="97"/>
        <v>3.8654199108442782E-3</v>
      </c>
      <c r="K222" s="2"/>
      <c r="L222" s="6">
        <f t="shared" si="98"/>
        <v>-816</v>
      </c>
      <c r="M222" s="2"/>
      <c r="N222" s="7">
        <f t="shared" si="99"/>
        <v>-1</v>
      </c>
      <c r="O222" s="10"/>
      <c r="P222" s="6"/>
      <c r="Q222" s="2"/>
      <c r="R222" s="7">
        <f t="shared" si="100"/>
        <v>0</v>
      </c>
      <c r="S222" s="2"/>
      <c r="T222" s="6">
        <v>816</v>
      </c>
      <c r="U222" s="2"/>
      <c r="V222" s="7">
        <f t="shared" si="101"/>
        <v>8.8332171433311659E-5</v>
      </c>
      <c r="W222" s="2"/>
      <c r="X222" s="6">
        <f t="shared" si="102"/>
        <v>-816</v>
      </c>
      <c r="Y222" s="2"/>
      <c r="Z222" s="7">
        <f t="shared" si="103"/>
        <v>-1</v>
      </c>
    </row>
    <row r="223" spans="1:26" s="23" customFormat="1" hidden="1" outlineLevel="2" x14ac:dyDescent="0.25">
      <c r="A223" s="25"/>
      <c r="B223" s="10" t="str">
        <f>CONCATENATE("          ", "7711", " - ", "INV. SHRINKAGE-NO VALUE TEXT")</f>
        <v xml:space="preserve">          7711 - INV. SHRINKAGE-NO VALUE TEXT</v>
      </c>
      <c r="C223" s="10"/>
      <c r="D223" s="6"/>
      <c r="E223" s="2"/>
      <c r="F223" s="7">
        <f t="shared" si="96"/>
        <v>0</v>
      </c>
      <c r="G223" s="2"/>
      <c r="H223" s="6">
        <v>-1126</v>
      </c>
      <c r="I223" s="2"/>
      <c r="J223" s="7">
        <f t="shared" si="97"/>
        <v>-5.3339005142287472E-3</v>
      </c>
      <c r="K223" s="2"/>
      <c r="L223" s="6">
        <f t="shared" si="98"/>
        <v>1126</v>
      </c>
      <c r="M223" s="2"/>
      <c r="N223" s="7">
        <f t="shared" si="99"/>
        <v>-1</v>
      </c>
      <c r="O223" s="10"/>
      <c r="P223" s="6"/>
      <c r="Q223" s="2"/>
      <c r="R223" s="7">
        <f t="shared" si="100"/>
        <v>0</v>
      </c>
      <c r="S223" s="2"/>
      <c r="T223" s="6">
        <v>-1126</v>
      </c>
      <c r="U223" s="2"/>
      <c r="V223" s="7">
        <f t="shared" si="101"/>
        <v>-1.218897365611629E-4</v>
      </c>
      <c r="W223" s="2"/>
      <c r="X223" s="6">
        <f t="shared" si="102"/>
        <v>1126</v>
      </c>
      <c r="Y223" s="2"/>
      <c r="Z223" s="7">
        <f t="shared" si="103"/>
        <v>-1</v>
      </c>
    </row>
    <row r="224" spans="1:26" s="23" customFormat="1" hidden="1" outlineLevel="2" x14ac:dyDescent="0.25">
      <c r="A224" s="25"/>
      <c r="B224" s="10" t="str">
        <f>CONCATENATE("          ", "7713", " - ", "INV. SHRINKAGE-TRADE BOOKS")</f>
        <v xml:space="preserve">          7713 - INV. SHRINKAGE-TRADE BOOKS</v>
      </c>
      <c r="C224" s="10"/>
      <c r="D224" s="6"/>
      <c r="E224" s="2"/>
      <c r="F224" s="7">
        <f t="shared" si="96"/>
        <v>0</v>
      </c>
      <c r="G224" s="2"/>
      <c r="H224" s="6">
        <v>-385</v>
      </c>
      <c r="I224" s="2"/>
      <c r="J224" s="7">
        <f t="shared" si="97"/>
        <v>-1.8237581687194206E-3</v>
      </c>
      <c r="K224" s="2"/>
      <c r="L224" s="6">
        <f t="shared" si="98"/>
        <v>385</v>
      </c>
      <c r="M224" s="2"/>
      <c r="N224" s="7">
        <f t="shared" si="99"/>
        <v>-1</v>
      </c>
      <c r="O224" s="10"/>
      <c r="P224" s="6"/>
      <c r="Q224" s="2"/>
      <c r="R224" s="7">
        <f t="shared" si="100"/>
        <v>0</v>
      </c>
      <c r="S224" s="2"/>
      <c r="T224" s="6">
        <v>-385</v>
      </c>
      <c r="U224" s="2"/>
      <c r="V224" s="7">
        <f t="shared" si="101"/>
        <v>-4.1676330884589448E-5</v>
      </c>
      <c r="W224" s="2"/>
      <c r="X224" s="6">
        <f t="shared" si="102"/>
        <v>385</v>
      </c>
      <c r="Y224" s="2"/>
      <c r="Z224" s="7">
        <f t="shared" si="103"/>
        <v>-1</v>
      </c>
    </row>
    <row r="225" spans="1:26" s="23" customFormat="1" hidden="1" outlineLevel="2" x14ac:dyDescent="0.25">
      <c r="A225" s="25"/>
      <c r="B225" s="10" t="str">
        <f>CONCATENATE("          ", "7714", " - ", "INV. SHRINKAGE-REMAINDERS")</f>
        <v xml:space="preserve">          7714 - INV. SHRINKAGE-REMAINDERS</v>
      </c>
      <c r="C225" s="10"/>
      <c r="D225" s="6"/>
      <c r="E225" s="2"/>
      <c r="F225" s="7">
        <f t="shared" si="96"/>
        <v>0</v>
      </c>
      <c r="G225" s="2"/>
      <c r="H225" s="6">
        <v>204</v>
      </c>
      <c r="I225" s="2"/>
      <c r="J225" s="7">
        <f t="shared" si="97"/>
        <v>9.6635497771106955E-4</v>
      </c>
      <c r="K225" s="2"/>
      <c r="L225" s="6">
        <f t="shared" si="98"/>
        <v>-204</v>
      </c>
      <c r="M225" s="2"/>
      <c r="N225" s="7">
        <f t="shared" si="99"/>
        <v>-1</v>
      </c>
      <c r="O225" s="10"/>
      <c r="P225" s="6"/>
      <c r="Q225" s="2"/>
      <c r="R225" s="7">
        <f t="shared" si="100"/>
        <v>0</v>
      </c>
      <c r="S225" s="2"/>
      <c r="T225" s="6">
        <v>204</v>
      </c>
      <c r="U225" s="2"/>
      <c r="V225" s="7">
        <f t="shared" si="101"/>
        <v>2.2083042858327915E-5</v>
      </c>
      <c r="W225" s="2"/>
      <c r="X225" s="6">
        <f t="shared" si="102"/>
        <v>-204</v>
      </c>
      <c r="Y225" s="2"/>
      <c r="Z225" s="7">
        <f t="shared" si="103"/>
        <v>-1</v>
      </c>
    </row>
    <row r="226" spans="1:26" s="23" customFormat="1" hidden="1" outlineLevel="2" x14ac:dyDescent="0.25">
      <c r="A226" s="25"/>
      <c r="B226" s="10" t="str">
        <f>CONCATENATE("          ", "7717", " - ", "INV. SHRINKAGE-DORM/HOUSEWARES")</f>
        <v xml:space="preserve">          7717 - INV. SHRINKAGE-DORM/HOUSEWARES</v>
      </c>
      <c r="C226" s="10"/>
      <c r="D226" s="6"/>
      <c r="E226" s="2"/>
      <c r="F226" s="7">
        <f t="shared" si="96"/>
        <v>0</v>
      </c>
      <c r="G226" s="2"/>
      <c r="H226" s="6">
        <v>-254</v>
      </c>
      <c r="I226" s="2"/>
      <c r="J226" s="7">
        <f t="shared" si="97"/>
        <v>-1.203206687934371E-3</v>
      </c>
      <c r="K226" s="2"/>
      <c r="L226" s="6">
        <f t="shared" si="98"/>
        <v>254</v>
      </c>
      <c r="M226" s="2"/>
      <c r="N226" s="7">
        <f t="shared" si="99"/>
        <v>-1</v>
      </c>
      <c r="O226" s="10"/>
      <c r="P226" s="6"/>
      <c r="Q226" s="2"/>
      <c r="R226" s="7">
        <f t="shared" si="100"/>
        <v>0</v>
      </c>
      <c r="S226" s="2"/>
      <c r="T226" s="6">
        <v>-254</v>
      </c>
      <c r="U226" s="2"/>
      <c r="V226" s="7">
        <f t="shared" si="101"/>
        <v>-2.7495553362820051E-5</v>
      </c>
      <c r="W226" s="2"/>
      <c r="X226" s="6">
        <f t="shared" si="102"/>
        <v>254</v>
      </c>
      <c r="Y226" s="2"/>
      <c r="Z226" s="7">
        <f t="shared" si="103"/>
        <v>-1</v>
      </c>
    </row>
    <row r="227" spans="1:26" s="23" customFormat="1" hidden="1" outlineLevel="2" x14ac:dyDescent="0.25">
      <c r="A227" s="25"/>
      <c r="B227" s="10" t="str">
        <f>CONCATENATE("          ", "7718", " - ", "INV. SHRINKAGE-STUDY GUIDES")</f>
        <v xml:space="preserve">          7718 - INV. SHRINKAGE-STUDY GUIDES</v>
      </c>
      <c r="C227" s="10"/>
      <c r="D227" s="6"/>
      <c r="E227" s="2"/>
      <c r="F227" s="7">
        <f t="shared" si="96"/>
        <v>0</v>
      </c>
      <c r="G227" s="2"/>
      <c r="H227" s="6">
        <v>458</v>
      </c>
      <c r="I227" s="2"/>
      <c r="J227" s="7">
        <f t="shared" si="97"/>
        <v>2.1695616656454406E-3</v>
      </c>
      <c r="K227" s="2"/>
      <c r="L227" s="6">
        <f t="shared" si="98"/>
        <v>-458</v>
      </c>
      <c r="M227" s="2"/>
      <c r="N227" s="7">
        <f t="shared" si="99"/>
        <v>-1</v>
      </c>
      <c r="O227" s="10"/>
      <c r="P227" s="6"/>
      <c r="Q227" s="2"/>
      <c r="R227" s="7">
        <f t="shared" si="100"/>
        <v>0</v>
      </c>
      <c r="S227" s="2"/>
      <c r="T227" s="6">
        <v>458</v>
      </c>
      <c r="U227" s="2"/>
      <c r="V227" s="7">
        <f t="shared" si="101"/>
        <v>4.9578596221147965E-5</v>
      </c>
      <c r="W227" s="2"/>
      <c r="X227" s="6">
        <f t="shared" si="102"/>
        <v>-458</v>
      </c>
      <c r="Y227" s="2"/>
      <c r="Z227" s="7">
        <f t="shared" si="103"/>
        <v>-1</v>
      </c>
    </row>
    <row r="228" spans="1:26" s="23" customFormat="1" hidden="1" outlineLevel="2" x14ac:dyDescent="0.25">
      <c r="A228" s="25"/>
      <c r="B228" s="10" t="str">
        <f>CONCATENATE("          ", "7719", " - ", "INV. SHRINKAGE-BOOK RELATED")</f>
        <v xml:space="preserve">          7719 - INV. SHRINKAGE-BOOK RELATED</v>
      </c>
      <c r="C228" s="10"/>
      <c r="D228" s="6"/>
      <c r="E228" s="2"/>
      <c r="F228" s="7">
        <f t="shared" si="96"/>
        <v>0</v>
      </c>
      <c r="G228" s="2"/>
      <c r="H228" s="6">
        <v>-43</v>
      </c>
      <c r="I228" s="2"/>
      <c r="J228" s="7">
        <f t="shared" si="97"/>
        <v>-2.0369247079203917E-4</v>
      </c>
      <c r="K228" s="2"/>
      <c r="L228" s="6">
        <f t="shared" si="98"/>
        <v>43</v>
      </c>
      <c r="M228" s="2"/>
      <c r="N228" s="7">
        <f t="shared" si="99"/>
        <v>-1</v>
      </c>
      <c r="O228" s="10"/>
      <c r="P228" s="6"/>
      <c r="Q228" s="2"/>
      <c r="R228" s="7">
        <f t="shared" si="100"/>
        <v>0</v>
      </c>
      <c r="S228" s="2"/>
      <c r="T228" s="6">
        <v>-43</v>
      </c>
      <c r="U228" s="2"/>
      <c r="V228" s="7">
        <f t="shared" si="101"/>
        <v>-4.6547590338632374E-6</v>
      </c>
      <c r="W228" s="2"/>
      <c r="X228" s="6">
        <f t="shared" si="102"/>
        <v>43</v>
      </c>
      <c r="Y228" s="2"/>
      <c r="Z228" s="7">
        <f t="shared" si="103"/>
        <v>-1</v>
      </c>
    </row>
    <row r="229" spans="1:26" s="23" customFormat="1" hidden="1" outlineLevel="2" x14ac:dyDescent="0.25">
      <c r="A229" s="25"/>
      <c r="B229" s="10" t="str">
        <f>CONCATENATE("          ", "7725", " - ", "INV. SHRINKAGE-TEST FORMS")</f>
        <v xml:space="preserve">          7725 - INV. SHRINKAGE-TEST FORMS</v>
      </c>
      <c r="C229" s="10"/>
      <c r="D229" s="6"/>
      <c r="E229" s="2"/>
      <c r="F229" s="7">
        <f t="shared" si="96"/>
        <v>0</v>
      </c>
      <c r="G229" s="2"/>
      <c r="H229" s="6">
        <v>3987</v>
      </c>
      <c r="I229" s="2"/>
      <c r="J229" s="7">
        <f t="shared" si="97"/>
        <v>1.8886555373206052E-2</v>
      </c>
      <c r="K229" s="2"/>
      <c r="L229" s="6">
        <f t="shared" si="98"/>
        <v>-3987</v>
      </c>
      <c r="M229" s="2"/>
      <c r="N229" s="7">
        <f t="shared" si="99"/>
        <v>-1</v>
      </c>
      <c r="O229" s="10"/>
      <c r="P229" s="6"/>
      <c r="Q229" s="2"/>
      <c r="R229" s="7">
        <f t="shared" si="100"/>
        <v>0</v>
      </c>
      <c r="S229" s="2"/>
      <c r="T229" s="6">
        <v>3987</v>
      </c>
      <c r="U229" s="2"/>
      <c r="V229" s="7">
        <f t="shared" si="101"/>
        <v>4.3159358762820296E-4</v>
      </c>
      <c r="W229" s="2"/>
      <c r="X229" s="6">
        <f t="shared" si="102"/>
        <v>-3987</v>
      </c>
      <c r="Y229" s="2"/>
      <c r="Z229" s="7">
        <f t="shared" si="103"/>
        <v>-1</v>
      </c>
    </row>
    <row r="230" spans="1:26" s="23" customFormat="1" hidden="1" outlineLevel="2" x14ac:dyDescent="0.25">
      <c r="A230" s="25"/>
      <c r="B230" s="10" t="str">
        <f>CONCATENATE("          ", "7726", " - ", "INV. SHRINKAGE-WRITING INSTRUM")</f>
        <v xml:space="preserve">          7726 - INV. SHRINKAGE-WRITING INSTRUM</v>
      </c>
      <c r="C230" s="10"/>
      <c r="D230" s="6"/>
      <c r="E230" s="2"/>
      <c r="F230" s="7">
        <f t="shared" si="96"/>
        <v>0</v>
      </c>
      <c r="G230" s="2"/>
      <c r="H230" s="6">
        <v>9153</v>
      </c>
      <c r="I230" s="2"/>
      <c r="J230" s="7">
        <f t="shared" si="97"/>
        <v>4.3358074073477547E-2</v>
      </c>
      <c r="K230" s="2"/>
      <c r="L230" s="6">
        <f t="shared" si="98"/>
        <v>-9153</v>
      </c>
      <c r="M230" s="2"/>
      <c r="N230" s="7">
        <f t="shared" si="99"/>
        <v>-1</v>
      </c>
      <c r="O230" s="10"/>
      <c r="P230" s="6"/>
      <c r="Q230" s="2"/>
      <c r="R230" s="7">
        <f t="shared" si="100"/>
        <v>0</v>
      </c>
      <c r="S230" s="2"/>
      <c r="T230" s="6">
        <v>9153</v>
      </c>
      <c r="U230" s="2"/>
      <c r="V230" s="7">
        <f t="shared" si="101"/>
        <v>9.9081417295233043E-4</v>
      </c>
      <c r="W230" s="2"/>
      <c r="X230" s="6">
        <f t="shared" si="102"/>
        <v>-9153</v>
      </c>
      <c r="Y230" s="2"/>
      <c r="Z230" s="7">
        <f t="shared" si="103"/>
        <v>-1</v>
      </c>
    </row>
    <row r="231" spans="1:26" s="23" customFormat="1" hidden="1" outlineLevel="2" x14ac:dyDescent="0.25">
      <c r="A231" s="25"/>
      <c r="B231" s="10" t="str">
        <f>CONCATENATE("          ", "7727", " - ", "INV. SHRINKAGE-SCHOOL SUPPLIES")</f>
        <v xml:space="preserve">          7727 - INV. SHRINKAGE-SCHOOL SUPPLIES</v>
      </c>
      <c r="C231" s="10"/>
      <c r="D231" s="6"/>
      <c r="E231" s="2"/>
      <c r="F231" s="7">
        <f t="shared" si="96"/>
        <v>0</v>
      </c>
      <c r="G231" s="2"/>
      <c r="H231" s="6">
        <v>9822</v>
      </c>
      <c r="I231" s="2"/>
      <c r="J231" s="7">
        <f t="shared" si="97"/>
        <v>4.6527149956265321E-2</v>
      </c>
      <c r="K231" s="2"/>
      <c r="L231" s="6">
        <f t="shared" si="98"/>
        <v>-9822</v>
      </c>
      <c r="M231" s="2"/>
      <c r="N231" s="7">
        <f t="shared" si="99"/>
        <v>-1</v>
      </c>
      <c r="O231" s="10"/>
      <c r="P231" s="6"/>
      <c r="Q231" s="2"/>
      <c r="R231" s="7">
        <f t="shared" si="100"/>
        <v>0</v>
      </c>
      <c r="S231" s="2"/>
      <c r="T231" s="6">
        <v>9822</v>
      </c>
      <c r="U231" s="2"/>
      <c r="V231" s="7">
        <f t="shared" si="101"/>
        <v>1.0632335635024353E-3</v>
      </c>
      <c r="W231" s="2"/>
      <c r="X231" s="6">
        <f t="shared" si="102"/>
        <v>-9822</v>
      </c>
      <c r="Y231" s="2"/>
      <c r="Z231" s="7">
        <f t="shared" si="103"/>
        <v>-1</v>
      </c>
    </row>
    <row r="232" spans="1:26" s="23" customFormat="1" hidden="1" outlineLevel="2" x14ac:dyDescent="0.25">
      <c r="A232" s="25"/>
      <c r="B232" s="10" t="str">
        <f>CONCATENATE("          ", "7728", " - ", "INV. SHRINKAGE-ART/TECH")</f>
        <v xml:space="preserve">          7728 - INV. SHRINKAGE-ART/TECH</v>
      </c>
      <c r="C232" s="10"/>
      <c r="D232" s="6"/>
      <c r="E232" s="2"/>
      <c r="F232" s="7">
        <f t="shared" si="96"/>
        <v>0</v>
      </c>
      <c r="G232" s="2"/>
      <c r="H232" s="6">
        <v>8990</v>
      </c>
      <c r="I232" s="2"/>
      <c r="J232" s="7">
        <f t="shared" si="97"/>
        <v>4.2585937498149588E-2</v>
      </c>
      <c r="K232" s="2"/>
      <c r="L232" s="6">
        <f t="shared" si="98"/>
        <v>-8990</v>
      </c>
      <c r="M232" s="2"/>
      <c r="N232" s="7">
        <f t="shared" si="99"/>
        <v>-1</v>
      </c>
      <c r="O232" s="10"/>
      <c r="P232" s="6"/>
      <c r="Q232" s="2"/>
      <c r="R232" s="7">
        <f t="shared" si="100"/>
        <v>0</v>
      </c>
      <c r="S232" s="2"/>
      <c r="T232" s="6">
        <v>8990</v>
      </c>
      <c r="U232" s="2"/>
      <c r="V232" s="7">
        <f t="shared" si="101"/>
        <v>9.7316938870768612E-4</v>
      </c>
      <c r="W232" s="2"/>
      <c r="X232" s="6">
        <f t="shared" si="102"/>
        <v>-8990</v>
      </c>
      <c r="Y232" s="2"/>
      <c r="Z232" s="7">
        <f t="shared" si="103"/>
        <v>-1</v>
      </c>
    </row>
    <row r="233" spans="1:26" s="23" customFormat="1" hidden="1" outlineLevel="2" x14ac:dyDescent="0.25">
      <c r="A233" s="25"/>
      <c r="B233" s="10" t="str">
        <f>CONCATENATE("          ", "7731", " - ", "INV. SHRINKAGE-FOOD")</f>
        <v xml:space="preserve">          7731 - INV. SHRINKAGE-FOOD</v>
      </c>
      <c r="C233" s="10"/>
      <c r="D233" s="6"/>
      <c r="E233" s="2"/>
      <c r="F233" s="7">
        <f t="shared" si="96"/>
        <v>0</v>
      </c>
      <c r="G233" s="2"/>
      <c r="H233" s="6">
        <v>6964</v>
      </c>
      <c r="I233" s="2"/>
      <c r="J233" s="7">
        <f t="shared" si="97"/>
        <v>3.2988706199901414E-2</v>
      </c>
      <c r="K233" s="2"/>
      <c r="L233" s="6">
        <f t="shared" si="98"/>
        <v>-6964</v>
      </c>
      <c r="M233" s="2"/>
      <c r="N233" s="7">
        <f t="shared" si="99"/>
        <v>-1</v>
      </c>
      <c r="O233" s="10"/>
      <c r="P233" s="6"/>
      <c r="Q233" s="2"/>
      <c r="R233" s="7">
        <f t="shared" si="100"/>
        <v>0</v>
      </c>
      <c r="S233" s="2"/>
      <c r="T233" s="6">
        <v>6964</v>
      </c>
      <c r="U233" s="2"/>
      <c r="V233" s="7">
        <f t="shared" si="101"/>
        <v>7.5385446306566468E-4</v>
      </c>
      <c r="W233" s="2"/>
      <c r="X233" s="6">
        <f t="shared" si="102"/>
        <v>-6964</v>
      </c>
      <c r="Y233" s="2"/>
      <c r="Z233" s="7">
        <f t="shared" si="103"/>
        <v>-1</v>
      </c>
    </row>
    <row r="234" spans="1:26" s="23" customFormat="1" hidden="1" outlineLevel="2" x14ac:dyDescent="0.25">
      <c r="A234" s="25"/>
      <c r="B234" s="10" t="str">
        <f>CONCATENATE("          ", "7732", " - ", "INV. SHRINKAGE-JUICE")</f>
        <v xml:space="preserve">          7732 - INV. SHRINKAGE-JUICE</v>
      </c>
      <c r="C234" s="10"/>
      <c r="D234" s="6"/>
      <c r="E234" s="2"/>
      <c r="F234" s="7">
        <f t="shared" si="96"/>
        <v>0</v>
      </c>
      <c r="G234" s="2"/>
      <c r="H234" s="6">
        <v>-1942</v>
      </c>
      <c r="I234" s="2"/>
      <c r="J234" s="7">
        <f t="shared" si="97"/>
        <v>-9.1993204250730258E-3</v>
      </c>
      <c r="K234" s="2"/>
      <c r="L234" s="6">
        <f t="shared" si="98"/>
        <v>1942</v>
      </c>
      <c r="M234" s="2"/>
      <c r="N234" s="7">
        <f t="shared" si="99"/>
        <v>-1</v>
      </c>
      <c r="O234" s="10"/>
      <c r="P234" s="6"/>
      <c r="Q234" s="2"/>
      <c r="R234" s="7">
        <f t="shared" si="100"/>
        <v>0</v>
      </c>
      <c r="S234" s="2"/>
      <c r="T234" s="6">
        <v>-1942</v>
      </c>
      <c r="U234" s="2"/>
      <c r="V234" s="7">
        <f t="shared" si="101"/>
        <v>-2.1022190799447458E-4</v>
      </c>
      <c r="W234" s="2"/>
      <c r="X234" s="6">
        <f t="shared" si="102"/>
        <v>1942</v>
      </c>
      <c r="Y234" s="2"/>
      <c r="Z234" s="7">
        <f t="shared" si="103"/>
        <v>-1</v>
      </c>
    </row>
    <row r="235" spans="1:26" s="23" customFormat="1" hidden="1" outlineLevel="2" x14ac:dyDescent="0.25">
      <c r="A235" s="25"/>
      <c r="B235" s="10" t="str">
        <f>CONCATENATE("          ", "7733", " - ", "INV. SHRINKAGE-CANDY")</f>
        <v xml:space="preserve">          7733 - INV. SHRINKAGE-CANDY</v>
      </c>
      <c r="C235" s="10"/>
      <c r="D235" s="6"/>
      <c r="E235" s="2"/>
      <c r="F235" s="7">
        <f t="shared" si="96"/>
        <v>0</v>
      </c>
      <c r="G235" s="2"/>
      <c r="H235" s="6">
        <v>2710</v>
      </c>
      <c r="I235" s="2"/>
      <c r="J235" s="7">
        <f t="shared" si="97"/>
        <v>1.2837362694102935E-2</v>
      </c>
      <c r="K235" s="2"/>
      <c r="L235" s="6">
        <f t="shared" si="98"/>
        <v>-2710</v>
      </c>
      <c r="M235" s="2"/>
      <c r="N235" s="7">
        <f t="shared" si="99"/>
        <v>-1</v>
      </c>
      <c r="O235" s="10"/>
      <c r="P235" s="6"/>
      <c r="Q235" s="2"/>
      <c r="R235" s="7">
        <f t="shared" si="100"/>
        <v>0</v>
      </c>
      <c r="S235" s="2"/>
      <c r="T235" s="6">
        <v>2710</v>
      </c>
      <c r="U235" s="2"/>
      <c r="V235" s="7">
        <f t="shared" si="101"/>
        <v>2.933580693434738E-4</v>
      </c>
      <c r="W235" s="2"/>
      <c r="X235" s="6">
        <f t="shared" si="102"/>
        <v>-2710</v>
      </c>
      <c r="Y235" s="2"/>
      <c r="Z235" s="7">
        <f t="shared" si="103"/>
        <v>-1</v>
      </c>
    </row>
    <row r="236" spans="1:26" s="23" customFormat="1" hidden="1" outlineLevel="2" x14ac:dyDescent="0.25">
      <c r="A236" s="25"/>
      <c r="B236" s="10" t="str">
        <f>CONCATENATE("          ", "7734", " - ", "INV. SHRINKAGE-SODA")</f>
        <v xml:space="preserve">          7734 - INV. SHRINKAGE-SODA</v>
      </c>
      <c r="C236" s="10"/>
      <c r="D236" s="6"/>
      <c r="E236" s="2"/>
      <c r="F236" s="7">
        <f t="shared" si="96"/>
        <v>0</v>
      </c>
      <c r="G236" s="2"/>
      <c r="H236" s="6">
        <v>1253</v>
      </c>
      <c r="I236" s="2"/>
      <c r="J236" s="7">
        <f t="shared" si="97"/>
        <v>5.9355038581959327E-3</v>
      </c>
      <c r="K236" s="2"/>
      <c r="L236" s="6">
        <f t="shared" si="98"/>
        <v>-1253</v>
      </c>
      <c r="M236" s="2"/>
      <c r="N236" s="7">
        <f t="shared" si="99"/>
        <v>-1</v>
      </c>
      <c r="O236" s="10"/>
      <c r="P236" s="6"/>
      <c r="Q236" s="2"/>
      <c r="R236" s="7">
        <f t="shared" si="100"/>
        <v>0</v>
      </c>
      <c r="S236" s="2"/>
      <c r="T236" s="6">
        <v>1253</v>
      </c>
      <c r="U236" s="2"/>
      <c r="V236" s="7">
        <f t="shared" si="101"/>
        <v>1.3563751324257293E-4</v>
      </c>
      <c r="W236" s="2"/>
      <c r="X236" s="6">
        <f t="shared" si="102"/>
        <v>-1253</v>
      </c>
      <c r="Y236" s="2"/>
      <c r="Z236" s="7">
        <f t="shared" si="103"/>
        <v>-1</v>
      </c>
    </row>
    <row r="237" spans="1:26" s="23" customFormat="1" hidden="1" outlineLevel="2" x14ac:dyDescent="0.25">
      <c r="A237" s="25"/>
      <c r="B237" s="10" t="str">
        <f>CONCATENATE("          ", "7735", " - ", "INV. SHRINKAGE-HEALTH/BEAUTY")</f>
        <v xml:space="preserve">          7735 - INV. SHRINKAGE-HEALTH/BEAUTY</v>
      </c>
      <c r="C237" s="10"/>
      <c r="D237" s="6"/>
      <c r="E237" s="2"/>
      <c r="F237" s="7">
        <f t="shared" si="96"/>
        <v>0</v>
      </c>
      <c r="G237" s="2"/>
      <c r="H237" s="6">
        <v>369</v>
      </c>
      <c r="I237" s="2"/>
      <c r="J237" s="7">
        <f t="shared" si="97"/>
        <v>1.747965621447964E-3</v>
      </c>
      <c r="K237" s="2"/>
      <c r="L237" s="6">
        <f t="shared" si="98"/>
        <v>-369</v>
      </c>
      <c r="M237" s="2"/>
      <c r="N237" s="7">
        <f t="shared" si="99"/>
        <v>-1</v>
      </c>
      <c r="O237" s="10"/>
      <c r="P237" s="6"/>
      <c r="Q237" s="2"/>
      <c r="R237" s="7">
        <f t="shared" si="100"/>
        <v>0</v>
      </c>
      <c r="S237" s="2"/>
      <c r="T237" s="6">
        <v>369</v>
      </c>
      <c r="U237" s="2"/>
      <c r="V237" s="7">
        <f t="shared" si="101"/>
        <v>3.9944327523151967E-5</v>
      </c>
      <c r="W237" s="2"/>
      <c r="X237" s="6">
        <f t="shared" si="102"/>
        <v>-369</v>
      </c>
      <c r="Y237" s="2"/>
      <c r="Z237" s="7">
        <f t="shared" si="103"/>
        <v>-1</v>
      </c>
    </row>
    <row r="238" spans="1:26" s="23" customFormat="1" hidden="1" outlineLevel="2" x14ac:dyDescent="0.25">
      <c r="A238" s="25"/>
      <c r="B238" s="10" t="str">
        <f>CONCATENATE("          ", "7737", " - ", "INV. SHRINKAGE-WATER")</f>
        <v xml:space="preserve">          7737 - INV. SHRINKAGE-WATER</v>
      </c>
      <c r="C238" s="10"/>
      <c r="D238" s="6"/>
      <c r="E238" s="2"/>
      <c r="F238" s="7">
        <f t="shared" si="96"/>
        <v>0</v>
      </c>
      <c r="G238" s="2"/>
      <c r="H238" s="6">
        <v>763</v>
      </c>
      <c r="I238" s="2"/>
      <c r="J238" s="7">
        <f t="shared" si="97"/>
        <v>3.6143570980075789E-3</v>
      </c>
      <c r="K238" s="2"/>
      <c r="L238" s="6">
        <f t="shared" si="98"/>
        <v>-763</v>
      </c>
      <c r="M238" s="2"/>
      <c r="N238" s="7">
        <f t="shared" si="99"/>
        <v>-1</v>
      </c>
      <c r="O238" s="10"/>
      <c r="P238" s="6"/>
      <c r="Q238" s="2"/>
      <c r="R238" s="7">
        <f t="shared" si="100"/>
        <v>0</v>
      </c>
      <c r="S238" s="2"/>
      <c r="T238" s="6">
        <v>763</v>
      </c>
      <c r="U238" s="2"/>
      <c r="V238" s="7">
        <f t="shared" si="101"/>
        <v>8.2594910298550001E-5</v>
      </c>
      <c r="W238" s="2"/>
      <c r="X238" s="6">
        <f t="shared" si="102"/>
        <v>-763</v>
      </c>
      <c r="Y238" s="2"/>
      <c r="Z238" s="7">
        <f t="shared" si="103"/>
        <v>-1</v>
      </c>
    </row>
    <row r="239" spans="1:26" s="23" customFormat="1" hidden="1" outlineLevel="2" x14ac:dyDescent="0.25">
      <c r="A239" s="25"/>
      <c r="B239" s="10" t="str">
        <f>CONCATENATE("          ", "7740", " - ", "INV. SHRINKAGE-LOGO CLOTHING")</f>
        <v xml:space="preserve">          7740 - INV. SHRINKAGE-LOGO CLOTHING</v>
      </c>
      <c r="C239" s="10"/>
      <c r="D239" s="6"/>
      <c r="E239" s="2"/>
      <c r="F239" s="7">
        <f t="shared" si="96"/>
        <v>0</v>
      </c>
      <c r="G239" s="2"/>
      <c r="H239" s="6">
        <v>62007</v>
      </c>
      <c r="I239" s="2"/>
      <c r="J239" s="7">
        <f t="shared" si="97"/>
        <v>0.29372927991632497</v>
      </c>
      <c r="K239" s="2"/>
      <c r="L239" s="6">
        <f t="shared" si="98"/>
        <v>-62007</v>
      </c>
      <c r="M239" s="2"/>
      <c r="N239" s="7">
        <f t="shared" si="99"/>
        <v>-1</v>
      </c>
      <c r="O239" s="10"/>
      <c r="P239" s="6"/>
      <c r="Q239" s="2"/>
      <c r="R239" s="7">
        <f t="shared" si="100"/>
        <v>0</v>
      </c>
      <c r="S239" s="2"/>
      <c r="T239" s="6">
        <v>62007</v>
      </c>
      <c r="U239" s="2"/>
      <c r="V239" s="7">
        <f t="shared" si="101"/>
        <v>6.712270777040878E-3</v>
      </c>
      <c r="W239" s="2"/>
      <c r="X239" s="6">
        <f t="shared" si="102"/>
        <v>-62007</v>
      </c>
      <c r="Y239" s="2"/>
      <c r="Z239" s="7">
        <f t="shared" si="103"/>
        <v>-1</v>
      </c>
    </row>
    <row r="240" spans="1:26" s="23" customFormat="1" hidden="1" outlineLevel="2" x14ac:dyDescent="0.25">
      <c r="A240" s="25"/>
      <c r="B240" s="10" t="str">
        <f>CONCATENATE("          ", "7741", " - ", "INV. SHRINKAGE-LOGO GIFTS")</f>
        <v xml:space="preserve">          7741 - INV. SHRINKAGE-LOGO GIFTS</v>
      </c>
      <c r="C240" s="10"/>
      <c r="D240" s="6"/>
      <c r="E240" s="2"/>
      <c r="F240" s="7">
        <f t="shared" si="96"/>
        <v>0</v>
      </c>
      <c r="G240" s="2"/>
      <c r="H240" s="6">
        <v>30707</v>
      </c>
      <c r="I240" s="2"/>
      <c r="J240" s="7">
        <f t="shared" si="97"/>
        <v>0.1454601093165383</v>
      </c>
      <c r="K240" s="2"/>
      <c r="L240" s="6">
        <f t="shared" si="98"/>
        <v>-30707</v>
      </c>
      <c r="M240" s="2"/>
      <c r="N240" s="7">
        <f t="shared" si="99"/>
        <v>-1</v>
      </c>
      <c r="O240" s="10"/>
      <c r="P240" s="6">
        <v>0</v>
      </c>
      <c r="Q240" s="2"/>
      <c r="R240" s="7">
        <f t="shared" si="100"/>
        <v>0</v>
      </c>
      <c r="S240" s="2"/>
      <c r="T240" s="6">
        <v>30707</v>
      </c>
      <c r="U240" s="2"/>
      <c r="V240" s="7">
        <f t="shared" si="101"/>
        <v>3.3240392012288005E-3</v>
      </c>
      <c r="W240" s="2"/>
      <c r="X240" s="6">
        <f t="shared" si="102"/>
        <v>-30707</v>
      </c>
      <c r="Y240" s="2"/>
      <c r="Z240" s="7">
        <f t="shared" si="103"/>
        <v>-1</v>
      </c>
    </row>
    <row r="241" spans="1:26" s="23" customFormat="1" hidden="1" outlineLevel="2" x14ac:dyDescent="0.25">
      <c r="A241" s="25"/>
      <c r="B241" s="10" t="str">
        <f>CONCATENATE("          ", "7742", " - ", "INV. SHRINKAGE-EVERYDAY GIFTS")</f>
        <v xml:space="preserve">          7742 - INV. SHRINKAGE-EVERYDAY GIFTS</v>
      </c>
      <c r="C241" s="10"/>
      <c r="D241" s="6"/>
      <c r="E241" s="2"/>
      <c r="F241" s="7">
        <f t="shared" si="96"/>
        <v>0</v>
      </c>
      <c r="G241" s="2"/>
      <c r="H241" s="6">
        <v>26197</v>
      </c>
      <c r="I241" s="2"/>
      <c r="J241" s="7">
        <f t="shared" si="97"/>
        <v>0.12409608505439652</v>
      </c>
      <c r="K241" s="2"/>
      <c r="L241" s="6">
        <f t="shared" si="98"/>
        <v>-26197</v>
      </c>
      <c r="M241" s="2"/>
      <c r="N241" s="7">
        <f t="shared" si="99"/>
        <v>-1</v>
      </c>
      <c r="O241" s="10"/>
      <c r="P241" s="6"/>
      <c r="Q241" s="2"/>
      <c r="R241" s="7">
        <f t="shared" si="100"/>
        <v>0</v>
      </c>
      <c r="S241" s="2"/>
      <c r="T241" s="6">
        <v>26197</v>
      </c>
      <c r="U241" s="2"/>
      <c r="V241" s="7">
        <f t="shared" si="101"/>
        <v>2.8358307537236097E-3</v>
      </c>
      <c r="W241" s="2"/>
      <c r="X241" s="6">
        <f t="shared" si="102"/>
        <v>-26197</v>
      </c>
      <c r="Y241" s="2"/>
      <c r="Z241" s="7">
        <f t="shared" si="103"/>
        <v>-1</v>
      </c>
    </row>
    <row r="242" spans="1:26" s="23" customFormat="1" hidden="1" outlineLevel="2" x14ac:dyDescent="0.25">
      <c r="A242" s="25"/>
      <c r="B242" s="10" t="str">
        <f>CONCATENATE("          ", "7743", " - ", "INV. SHRINKAGE-CARDS")</f>
        <v xml:space="preserve">          7743 - INV. SHRINKAGE-CARDS</v>
      </c>
      <c r="C242" s="10"/>
      <c r="D242" s="6"/>
      <c r="E242" s="2"/>
      <c r="F242" s="7">
        <f t="shared" si="96"/>
        <v>0</v>
      </c>
      <c r="G242" s="2"/>
      <c r="H242" s="6">
        <v>-12818</v>
      </c>
      <c r="I242" s="2"/>
      <c r="J242" s="7">
        <f t="shared" si="97"/>
        <v>-6.0719304432845539E-2</v>
      </c>
      <c r="K242" s="2"/>
      <c r="L242" s="6">
        <f t="shared" si="98"/>
        <v>12818</v>
      </c>
      <c r="M242" s="2"/>
      <c r="N242" s="7">
        <f t="shared" si="99"/>
        <v>-1</v>
      </c>
      <c r="O242" s="10"/>
      <c r="P242" s="6"/>
      <c r="Q242" s="2"/>
      <c r="R242" s="7">
        <f t="shared" si="100"/>
        <v>0</v>
      </c>
      <c r="S242" s="2"/>
      <c r="T242" s="6">
        <v>-12818</v>
      </c>
      <c r="U242" s="2"/>
      <c r="V242" s="7">
        <f t="shared" si="101"/>
        <v>-1.387551192931604E-3</v>
      </c>
      <c r="W242" s="2"/>
      <c r="X242" s="6">
        <f t="shared" si="102"/>
        <v>12818</v>
      </c>
      <c r="Y242" s="2"/>
      <c r="Z242" s="7">
        <f t="shared" si="103"/>
        <v>-1</v>
      </c>
    </row>
    <row r="243" spans="1:26" s="23" customFormat="1" hidden="1" outlineLevel="2" x14ac:dyDescent="0.25">
      <c r="A243" s="25"/>
      <c r="B243" s="10" t="str">
        <f>CONCATENATE("          ", "7744", " - ", "INV. SHRINKAGE-ACCESSORIES")</f>
        <v xml:space="preserve">          7744 - INV. SHRINKAGE-ACCESSORIES</v>
      </c>
      <c r="C243" s="10"/>
      <c r="D243" s="6"/>
      <c r="E243" s="2"/>
      <c r="F243" s="7">
        <f t="shared" si="96"/>
        <v>0</v>
      </c>
      <c r="G243" s="2"/>
      <c r="H243" s="6">
        <v>-16780</v>
      </c>
      <c r="I243" s="2"/>
      <c r="J243" s="7">
        <f t="shared" si="97"/>
        <v>-7.9487433950939934E-2</v>
      </c>
      <c r="K243" s="2"/>
      <c r="L243" s="6">
        <f t="shared" si="98"/>
        <v>16780</v>
      </c>
      <c r="M243" s="2"/>
      <c r="N243" s="7">
        <f t="shared" si="99"/>
        <v>-1</v>
      </c>
      <c r="O243" s="10"/>
      <c r="P243" s="6"/>
      <c r="Q243" s="2"/>
      <c r="R243" s="7">
        <f t="shared" si="100"/>
        <v>0</v>
      </c>
      <c r="S243" s="2"/>
      <c r="T243" s="6">
        <v>-16780</v>
      </c>
      <c r="U243" s="2"/>
      <c r="V243" s="7">
        <f t="shared" si="101"/>
        <v>-1.816438525307561E-3</v>
      </c>
      <c r="W243" s="2"/>
      <c r="X243" s="6">
        <f t="shared" si="102"/>
        <v>16780</v>
      </c>
      <c r="Y243" s="2"/>
      <c r="Z243" s="7">
        <f t="shared" si="103"/>
        <v>-1</v>
      </c>
    </row>
    <row r="244" spans="1:26" s="23" customFormat="1" hidden="1" outlineLevel="2" x14ac:dyDescent="0.25">
      <c r="A244" s="25"/>
      <c r="B244" s="10" t="str">
        <f>CONCATENATE("          ", "7745", " - ", "INV. SHRINKAGE-SPECIAL ORDERS")</f>
        <v xml:space="preserve">          7745 - INV. SHRINKAGE-SPECIAL ORDERS</v>
      </c>
      <c r="C244" s="10"/>
      <c r="D244" s="6"/>
      <c r="E244" s="2"/>
      <c r="F244" s="7">
        <f t="shared" si="96"/>
        <v>0</v>
      </c>
      <c r="G244" s="2"/>
      <c r="H244" s="6">
        <v>44531</v>
      </c>
      <c r="I244" s="2"/>
      <c r="J244" s="7">
        <f t="shared" si="97"/>
        <v>0.21094487015907668</v>
      </c>
      <c r="K244" s="2"/>
      <c r="L244" s="6">
        <f t="shared" si="98"/>
        <v>-44531</v>
      </c>
      <c r="M244" s="2"/>
      <c r="N244" s="7">
        <f t="shared" si="99"/>
        <v>-1</v>
      </c>
      <c r="O244" s="10"/>
      <c r="P244" s="6"/>
      <c r="Q244" s="2"/>
      <c r="R244" s="7">
        <f t="shared" si="100"/>
        <v>0</v>
      </c>
      <c r="S244" s="2"/>
      <c r="T244" s="6">
        <v>44531</v>
      </c>
      <c r="U244" s="2"/>
      <c r="V244" s="7">
        <f t="shared" si="101"/>
        <v>4.8204901055107861E-3</v>
      </c>
      <c r="W244" s="2"/>
      <c r="X244" s="6">
        <f t="shared" si="102"/>
        <v>-44531</v>
      </c>
      <c r="Y244" s="2"/>
      <c r="Z244" s="7">
        <f t="shared" si="103"/>
        <v>-1</v>
      </c>
    </row>
    <row r="245" spans="1:26" s="23" customFormat="1" hidden="1" outlineLevel="2" x14ac:dyDescent="0.25">
      <c r="A245" s="25"/>
      <c r="B245" s="10" t="str">
        <f>CONCATENATE("          ", "7781", " - ", "INV. SHRINKAGE-ELECTRONICS")</f>
        <v xml:space="preserve">          7781 - INV. SHRINKAGE-ELECTRONICS</v>
      </c>
      <c r="C245" s="10"/>
      <c r="D245" s="6"/>
      <c r="E245" s="2"/>
      <c r="F245" s="7">
        <f t="shared" si="96"/>
        <v>0</v>
      </c>
      <c r="G245" s="2"/>
      <c r="H245" s="6">
        <v>-28</v>
      </c>
      <c r="I245" s="2"/>
      <c r="J245" s="7">
        <f t="shared" si="97"/>
        <v>-1.3263695772504876E-4</v>
      </c>
      <c r="K245" s="2"/>
      <c r="L245" s="6">
        <f t="shared" si="98"/>
        <v>28</v>
      </c>
      <c r="M245" s="2"/>
      <c r="N245" s="7">
        <f t="shared" si="99"/>
        <v>-1</v>
      </c>
      <c r="O245" s="10"/>
      <c r="P245" s="6"/>
      <c r="Q245" s="2"/>
      <c r="R245" s="7">
        <f t="shared" si="100"/>
        <v>0</v>
      </c>
      <c r="S245" s="2"/>
      <c r="T245" s="6">
        <v>-28</v>
      </c>
      <c r="U245" s="2"/>
      <c r="V245" s="7">
        <f t="shared" si="101"/>
        <v>-3.0310058825155964E-6</v>
      </c>
      <c r="W245" s="2"/>
      <c r="X245" s="6">
        <f t="shared" si="102"/>
        <v>28</v>
      </c>
      <c r="Y245" s="2"/>
      <c r="Z245" s="7">
        <f t="shared" si="103"/>
        <v>-1</v>
      </c>
    </row>
    <row r="246" spans="1:26" s="23" customFormat="1" hidden="1" outlineLevel="2" x14ac:dyDescent="0.25">
      <c r="A246" s="25"/>
      <c r="B246" s="10" t="str">
        <f>CONCATENATE("          ", "7782", " - ", "INV. SHRINKAGE-COMPUTER HARDWA")</f>
        <v xml:space="preserve">          7782 - INV. SHRINKAGE-COMPUTER HARDWA</v>
      </c>
      <c r="C246" s="10"/>
      <c r="D246" s="6"/>
      <c r="E246" s="2"/>
      <c r="F246" s="7">
        <f t="shared" si="96"/>
        <v>0</v>
      </c>
      <c r="G246" s="2"/>
      <c r="H246" s="6">
        <v>69</v>
      </c>
      <c r="I246" s="2"/>
      <c r="J246" s="7">
        <f t="shared" si="97"/>
        <v>3.2685536010815589E-4</v>
      </c>
      <c r="K246" s="2"/>
      <c r="L246" s="6">
        <f t="shared" si="98"/>
        <v>-69</v>
      </c>
      <c r="M246" s="2"/>
      <c r="N246" s="7">
        <f t="shared" si="99"/>
        <v>-1</v>
      </c>
      <c r="O246" s="10"/>
      <c r="P246" s="6"/>
      <c r="Q246" s="2"/>
      <c r="R246" s="7">
        <f t="shared" si="100"/>
        <v>0</v>
      </c>
      <c r="S246" s="2"/>
      <c r="T246" s="6">
        <v>69</v>
      </c>
      <c r="U246" s="2"/>
      <c r="V246" s="7">
        <f t="shared" si="101"/>
        <v>7.4692644961991482E-6</v>
      </c>
      <c r="W246" s="2"/>
      <c r="X246" s="6">
        <f t="shared" si="102"/>
        <v>-69</v>
      </c>
      <c r="Y246" s="2"/>
      <c r="Z246" s="7">
        <f t="shared" si="103"/>
        <v>-1</v>
      </c>
    </row>
    <row r="247" spans="1:26" s="23" customFormat="1" hidden="1" outlineLevel="2" x14ac:dyDescent="0.25">
      <c r="A247" s="25"/>
      <c r="B247" s="10" t="str">
        <f>CONCATENATE("          ", "7783", " - ", "INV. SHRINKAGE-COMPUTER EQUIPM")</f>
        <v xml:space="preserve">          7783 - INV. SHRINKAGE-COMPUTER EQUIPM</v>
      </c>
      <c r="C247" s="10"/>
      <c r="D247" s="6"/>
      <c r="E247" s="2"/>
      <c r="F247" s="7">
        <f t="shared" si="96"/>
        <v>0</v>
      </c>
      <c r="G247" s="2"/>
      <c r="H247" s="6">
        <v>266</v>
      </c>
      <c r="I247" s="2"/>
      <c r="J247" s="7">
        <f t="shared" si="97"/>
        <v>1.2600510983879632E-3</v>
      </c>
      <c r="K247" s="2"/>
      <c r="L247" s="6">
        <f t="shared" si="98"/>
        <v>-266</v>
      </c>
      <c r="M247" s="2"/>
      <c r="N247" s="7">
        <f t="shared" si="99"/>
        <v>-1</v>
      </c>
      <c r="O247" s="10"/>
      <c r="P247" s="6"/>
      <c r="Q247" s="2"/>
      <c r="R247" s="7">
        <f t="shared" si="100"/>
        <v>0</v>
      </c>
      <c r="S247" s="2"/>
      <c r="T247" s="6">
        <v>266</v>
      </c>
      <c r="U247" s="2"/>
      <c r="V247" s="7">
        <f t="shared" si="101"/>
        <v>2.8794555883898163E-5</v>
      </c>
      <c r="W247" s="2"/>
      <c r="X247" s="6">
        <f t="shared" si="102"/>
        <v>-266</v>
      </c>
      <c r="Y247" s="2"/>
      <c r="Z247" s="7">
        <f t="shared" si="103"/>
        <v>-1</v>
      </c>
    </row>
    <row r="248" spans="1:26" s="23" customFormat="1" hidden="1" outlineLevel="2" x14ac:dyDescent="0.25">
      <c r="A248" s="25"/>
      <c r="B248" s="10" t="str">
        <f>CONCATENATE("          ", "7786", " - ", "INV. SHRINKAGE-COMPUTER SUPPLI")</f>
        <v xml:space="preserve">          7786 - INV. SHRINKAGE-COMPUTER SUPPLI</v>
      </c>
      <c r="C248" s="10"/>
      <c r="D248" s="6"/>
      <c r="E248" s="2"/>
      <c r="F248" s="7">
        <f t="shared" si="96"/>
        <v>0</v>
      </c>
      <c r="G248" s="2"/>
      <c r="H248" s="6">
        <v>38</v>
      </c>
      <c r="I248" s="2"/>
      <c r="J248" s="7">
        <f t="shared" si="97"/>
        <v>1.8000729976970904E-4</v>
      </c>
      <c r="K248" s="2"/>
      <c r="L248" s="6">
        <f t="shared" si="98"/>
        <v>-38</v>
      </c>
      <c r="M248" s="2"/>
      <c r="N248" s="7">
        <f t="shared" si="99"/>
        <v>-1</v>
      </c>
      <c r="O248" s="10"/>
      <c r="P248" s="6"/>
      <c r="Q248" s="2"/>
      <c r="R248" s="7">
        <f t="shared" si="100"/>
        <v>0</v>
      </c>
      <c r="S248" s="2"/>
      <c r="T248" s="6">
        <v>38</v>
      </c>
      <c r="U248" s="2"/>
      <c r="V248" s="7">
        <f t="shared" si="101"/>
        <v>4.1135079834140233E-6</v>
      </c>
      <c r="W248" s="2"/>
      <c r="X248" s="6">
        <f t="shared" si="102"/>
        <v>-38</v>
      </c>
      <c r="Y248" s="2"/>
      <c r="Z248" s="7">
        <f t="shared" si="103"/>
        <v>-1</v>
      </c>
    </row>
    <row r="249" spans="1:26" s="23" customFormat="1" hidden="1" outlineLevel="2" x14ac:dyDescent="0.25">
      <c r="A249" s="25"/>
      <c r="B249" s="10" t="str">
        <f>CONCATENATE("          ", "7792", " - ", "INV. SHRINKAGE-GRAD MERCH")</f>
        <v xml:space="preserve">          7792 - INV. SHRINKAGE-GRAD MERCH</v>
      </c>
      <c r="C249" s="10"/>
      <c r="D249" s="6"/>
      <c r="E249" s="2"/>
      <c r="F249" s="7">
        <f t="shared" si="96"/>
        <v>0</v>
      </c>
      <c r="G249" s="2"/>
      <c r="H249" s="6">
        <v>535</v>
      </c>
      <c r="I249" s="2"/>
      <c r="J249" s="7">
        <f t="shared" si="97"/>
        <v>2.5343132993893248E-3</v>
      </c>
      <c r="K249" s="2"/>
      <c r="L249" s="6">
        <f t="shared" si="98"/>
        <v>-535</v>
      </c>
      <c r="M249" s="2"/>
      <c r="N249" s="7">
        <f t="shared" si="99"/>
        <v>-1</v>
      </c>
      <c r="O249" s="10"/>
      <c r="P249" s="6"/>
      <c r="Q249" s="2"/>
      <c r="R249" s="7">
        <f t="shared" si="100"/>
        <v>0</v>
      </c>
      <c r="S249" s="2"/>
      <c r="T249" s="6">
        <v>535</v>
      </c>
      <c r="U249" s="2"/>
      <c r="V249" s="7">
        <f t="shared" si="101"/>
        <v>5.7913862398065855E-5</v>
      </c>
      <c r="W249" s="2"/>
      <c r="X249" s="6">
        <f t="shared" si="102"/>
        <v>-535</v>
      </c>
      <c r="Y249" s="2"/>
      <c r="Z249" s="7">
        <f t="shared" si="103"/>
        <v>-1</v>
      </c>
    </row>
    <row r="250" spans="1:26" s="23" customFormat="1" hidden="1" outlineLevel="2" x14ac:dyDescent="0.25">
      <c r="A250" s="25"/>
      <c r="B250" s="10" t="str">
        <f>CONCATENATE("          ", "7795", " - ", "INV. SHRINKAGE-CUSTOMER SERVIC")</f>
        <v xml:space="preserve">          7795 - INV. SHRINKAGE-CUSTOMER SERVIC</v>
      </c>
      <c r="C250" s="10"/>
      <c r="D250" s="6"/>
      <c r="E250" s="2"/>
      <c r="F250" s="7">
        <f t="shared" si="96"/>
        <v>0</v>
      </c>
      <c r="G250" s="2"/>
      <c r="H250" s="6">
        <v>-132</v>
      </c>
      <c r="I250" s="2"/>
      <c r="J250" s="7">
        <f t="shared" si="97"/>
        <v>-6.2528851498951565E-4</v>
      </c>
      <c r="K250" s="2"/>
      <c r="L250" s="6">
        <f t="shared" si="98"/>
        <v>132</v>
      </c>
      <c r="M250" s="2"/>
      <c r="N250" s="7">
        <f t="shared" si="99"/>
        <v>-1</v>
      </c>
      <c r="O250" s="10"/>
      <c r="P250" s="6"/>
      <c r="Q250" s="2"/>
      <c r="R250" s="7">
        <f t="shared" si="100"/>
        <v>0</v>
      </c>
      <c r="S250" s="2"/>
      <c r="T250" s="6">
        <v>-132</v>
      </c>
      <c r="U250" s="2"/>
      <c r="V250" s="7">
        <f t="shared" si="101"/>
        <v>-1.428902773185924E-5</v>
      </c>
      <c r="W250" s="2"/>
      <c r="X250" s="6">
        <f t="shared" si="102"/>
        <v>132</v>
      </c>
      <c r="Y250" s="2"/>
      <c r="Z250" s="7">
        <f t="shared" si="103"/>
        <v>-1</v>
      </c>
    </row>
    <row r="251" spans="1:26" s="27" customFormat="1" outlineLevel="1" collapsed="1" x14ac:dyDescent="0.25">
      <c r="A251" s="26"/>
      <c r="B251" s="12" t="str">
        <f>CONCATENATE("     ","Professional Services                             ")</f>
        <v xml:space="preserve">     Professional Services                             </v>
      </c>
      <c r="C251" s="12"/>
      <c r="D251" s="1">
        <f>SUM(OSRRefD22_14x_0)</f>
        <v>1966.87</v>
      </c>
      <c r="E251" s="1"/>
      <c r="F251" s="5">
        <f t="shared" ref="F251:F259" si="104">IF(D$12=0,0,D251/D$12)</f>
        <v>7.436063959367298E-3</v>
      </c>
      <c r="G251" s="1"/>
      <c r="H251" s="1">
        <f>SUM(OSRRefH22_14x_0)</f>
        <v>8441.9599999999991</v>
      </c>
      <c r="I251" s="1"/>
      <c r="J251" s="5">
        <f t="shared" ref="J251:J259" si="105">IF(H$12=0,0,H251/H$12)</f>
        <v>3.9989853272734022E-2</v>
      </c>
      <c r="K251" s="1"/>
      <c r="L251" s="1">
        <f t="shared" ref="L251:L259" si="106">+D251-H251</f>
        <v>-6475.0899999999992</v>
      </c>
      <c r="M251" s="1"/>
      <c r="N251" s="5">
        <f t="shared" ref="N251:N259" si="107">IF(H251=0,0,L251/H251)</f>
        <v>-0.76701263687579657</v>
      </c>
      <c r="O251" s="12"/>
      <c r="P251" s="1">
        <f>SUM(OSRRefP22_14x_0)</f>
        <v>1966.87</v>
      </c>
      <c r="Q251" s="1"/>
      <c r="R251" s="5">
        <f t="shared" ref="R251:R259" si="108">IF(P$12=0,0,P251/P$12)</f>
        <v>3.5931746390220224E-4</v>
      </c>
      <c r="S251" s="1"/>
      <c r="T251" s="1">
        <f>SUM(OSRRefT22_14x_0)</f>
        <v>17571.52</v>
      </c>
      <c r="U251" s="1"/>
      <c r="V251" s="5">
        <f t="shared" ref="V251:V259" si="109">IF(T$12=0,0,T251/T$12)</f>
        <v>1.9021207315978732E-3</v>
      </c>
      <c r="W251" s="1"/>
      <c r="X251" s="1">
        <f t="shared" ref="X251:X259" si="110">+P251-T251</f>
        <v>-15604.650000000001</v>
      </c>
      <c r="Y251" s="1"/>
      <c r="Z251" s="5">
        <f t="shared" ref="Z251:Z259" si="111">IF(T251=0,0,X251/T251)</f>
        <v>-0.88806489136967093</v>
      </c>
    </row>
    <row r="252" spans="1:26" s="23" customFormat="1" hidden="1" outlineLevel="2" x14ac:dyDescent="0.25">
      <c r="A252" s="25"/>
      <c r="B252" s="10" t="str">
        <f>CONCATENATE("          ", "6336", " - ", "PROFESSIONAL SERVICES")</f>
        <v xml:space="preserve">          6336 - PROFESSIONAL SERVICES</v>
      </c>
      <c r="C252" s="10"/>
      <c r="D252" s="6">
        <v>1966.87</v>
      </c>
      <c r="E252" s="2"/>
      <c r="F252" s="7">
        <f t="shared" si="104"/>
        <v>7.436063959367298E-3</v>
      </c>
      <c r="G252" s="2"/>
      <c r="H252" s="6">
        <v>8441.9599999999991</v>
      </c>
      <c r="I252" s="2"/>
      <c r="J252" s="7">
        <f t="shared" si="105"/>
        <v>3.9989853272734022E-2</v>
      </c>
      <c r="K252" s="2"/>
      <c r="L252" s="6">
        <f t="shared" si="106"/>
        <v>-6475.0899999999992</v>
      </c>
      <c r="M252" s="2"/>
      <c r="N252" s="7">
        <f t="shared" si="107"/>
        <v>-0.76701263687579657</v>
      </c>
      <c r="O252" s="10"/>
      <c r="P252" s="6">
        <v>1966.87</v>
      </c>
      <c r="Q252" s="2"/>
      <c r="R252" s="7">
        <f t="shared" si="108"/>
        <v>3.5931746390220224E-4</v>
      </c>
      <c r="S252" s="2"/>
      <c r="T252" s="6">
        <v>17571.52</v>
      </c>
      <c r="U252" s="2"/>
      <c r="V252" s="7">
        <f t="shared" si="109"/>
        <v>1.9021207315978732E-3</v>
      </c>
      <c r="W252" s="2"/>
      <c r="X252" s="6">
        <f t="shared" si="110"/>
        <v>-15604.650000000001</v>
      </c>
      <c r="Y252" s="2"/>
      <c r="Z252" s="7">
        <f t="shared" si="111"/>
        <v>-0.88806489136967093</v>
      </c>
    </row>
    <row r="253" spans="1:26" s="27" customFormat="1" outlineLevel="1" collapsed="1" x14ac:dyDescent="0.25">
      <c r="A253" s="26"/>
      <c r="B253" s="12" t="str">
        <f>CONCATENATE("     ","Rent                                              ")</f>
        <v xml:space="preserve">     Rent                                              </v>
      </c>
      <c r="C253" s="12"/>
      <c r="D253" s="1">
        <f>SUM(OSRRefD22_15x_0)</f>
        <v>6100</v>
      </c>
      <c r="E253" s="1"/>
      <c r="F253" s="5">
        <f t="shared" si="104"/>
        <v>2.306201739420527E-2</v>
      </c>
      <c r="G253" s="1"/>
      <c r="H253" s="1">
        <f>SUM(OSRRefH22_15x_0)</f>
        <v>6100</v>
      </c>
      <c r="I253" s="1"/>
      <c r="J253" s="5">
        <f t="shared" si="105"/>
        <v>2.8895908647242768E-2</v>
      </c>
      <c r="K253" s="1"/>
      <c r="L253" s="1">
        <f t="shared" si="106"/>
        <v>0</v>
      </c>
      <c r="M253" s="1"/>
      <c r="N253" s="5">
        <f t="shared" si="107"/>
        <v>0</v>
      </c>
      <c r="O253" s="12"/>
      <c r="P253" s="1">
        <f>SUM(OSRRefP22_15x_0)</f>
        <v>73200</v>
      </c>
      <c r="Q253" s="1"/>
      <c r="R253" s="5">
        <f t="shared" si="108"/>
        <v>1.3372535224819742E-2</v>
      </c>
      <c r="S253" s="1"/>
      <c r="T253" s="1">
        <f>SUM(OSRRefT22_15x_0)</f>
        <v>74800</v>
      </c>
      <c r="U253" s="1"/>
      <c r="V253" s="5">
        <f t="shared" si="109"/>
        <v>8.0971157147202363E-3</v>
      </c>
      <c r="W253" s="1"/>
      <c r="X253" s="1">
        <f t="shared" si="110"/>
        <v>-1600</v>
      </c>
      <c r="Y253" s="1"/>
      <c r="Z253" s="5">
        <f t="shared" si="111"/>
        <v>-2.1390374331550801E-2</v>
      </c>
    </row>
    <row r="254" spans="1:26" s="23" customFormat="1" hidden="1" outlineLevel="2" x14ac:dyDescent="0.25">
      <c r="A254" s="25"/>
      <c r="B254" s="10" t="str">
        <f>CONCATENATE("          ", "6273", " - ", "RENT")</f>
        <v xml:space="preserve">          6273 - RENT</v>
      </c>
      <c r="C254" s="10"/>
      <c r="D254" s="6">
        <v>6100</v>
      </c>
      <c r="E254" s="2"/>
      <c r="F254" s="7">
        <f t="shared" si="104"/>
        <v>2.306201739420527E-2</v>
      </c>
      <c r="G254" s="2"/>
      <c r="H254" s="6">
        <v>6100</v>
      </c>
      <c r="I254" s="2"/>
      <c r="J254" s="7">
        <f t="shared" si="105"/>
        <v>2.8895908647242768E-2</v>
      </c>
      <c r="K254" s="2"/>
      <c r="L254" s="6">
        <f t="shared" si="106"/>
        <v>0</v>
      </c>
      <c r="M254" s="2"/>
      <c r="N254" s="7">
        <f t="shared" si="107"/>
        <v>0</v>
      </c>
      <c r="O254" s="10"/>
      <c r="P254" s="6">
        <v>73200</v>
      </c>
      <c r="Q254" s="2"/>
      <c r="R254" s="7">
        <f t="shared" si="108"/>
        <v>1.3372535224819742E-2</v>
      </c>
      <c r="S254" s="2"/>
      <c r="T254" s="6">
        <v>74800</v>
      </c>
      <c r="U254" s="2"/>
      <c r="V254" s="7">
        <f t="shared" si="109"/>
        <v>8.0971157147202363E-3</v>
      </c>
      <c r="W254" s="2"/>
      <c r="X254" s="6">
        <f t="shared" si="110"/>
        <v>-1600</v>
      </c>
      <c r="Y254" s="2"/>
      <c r="Z254" s="7">
        <f t="shared" si="111"/>
        <v>-2.1390374331550801E-2</v>
      </c>
    </row>
    <row r="255" spans="1:26" s="27" customFormat="1" outlineLevel="1" collapsed="1" x14ac:dyDescent="0.25">
      <c r="A255" s="26"/>
      <c r="B255" s="12" t="str">
        <f>CONCATENATE("     ","Repair and Maintenance                            ")</f>
        <v xml:space="preserve">     Repair and Maintenance                            </v>
      </c>
      <c r="C255" s="12"/>
      <c r="D255" s="1">
        <f>SUM(OSRRefD22_16x_0)</f>
        <v>17771.3</v>
      </c>
      <c r="E255" s="1"/>
      <c r="F255" s="5">
        <f t="shared" si="104"/>
        <v>6.7187217986498377E-2</v>
      </c>
      <c r="G255" s="1"/>
      <c r="H255" s="1">
        <f>SUM(OSRRefH22_16x_0)</f>
        <v>26294.07</v>
      </c>
      <c r="I255" s="1"/>
      <c r="J255" s="5">
        <f t="shared" si="105"/>
        <v>0.12455590896462404</v>
      </c>
      <c r="K255" s="1"/>
      <c r="L255" s="1">
        <f t="shared" si="106"/>
        <v>-8522.77</v>
      </c>
      <c r="M255" s="1"/>
      <c r="N255" s="5">
        <f t="shared" si="107"/>
        <v>-0.32413277974843757</v>
      </c>
      <c r="O255" s="12"/>
      <c r="P255" s="1">
        <f>SUM(OSRRefP22_16x_0)</f>
        <v>159926.21000000002</v>
      </c>
      <c r="Q255" s="1"/>
      <c r="R255" s="5">
        <f t="shared" si="108"/>
        <v>2.9216104871542616E-2</v>
      </c>
      <c r="S255" s="1"/>
      <c r="T255" s="1">
        <f>SUM(OSRRefT22_16x_0)</f>
        <v>159933.66</v>
      </c>
      <c r="U255" s="1"/>
      <c r="V255" s="5">
        <f t="shared" si="109"/>
        <v>1.7312852295437477E-2</v>
      </c>
      <c r="W255" s="1"/>
      <c r="X255" s="1">
        <f t="shared" si="110"/>
        <v>-7.4499999999825377</v>
      </c>
      <c r="Y255" s="1"/>
      <c r="Z255" s="5">
        <f t="shared" si="111"/>
        <v>-4.6581813984514191E-5</v>
      </c>
    </row>
    <row r="256" spans="1:26" s="23" customFormat="1" hidden="1" outlineLevel="2" x14ac:dyDescent="0.25">
      <c r="A256" s="25"/>
      <c r="B256" s="10" t="str">
        <f>CONCATENATE("          ", "6371", " - ", "COMPUTER SOFTWARE MAINTENANCE")</f>
        <v xml:space="preserve">          6371 - COMPUTER SOFTWARE MAINTENANCE</v>
      </c>
      <c r="C256" s="10"/>
      <c r="D256" s="6"/>
      <c r="E256" s="2"/>
      <c r="F256" s="7">
        <f t="shared" si="104"/>
        <v>0</v>
      </c>
      <c r="G256" s="2"/>
      <c r="H256" s="6">
        <v>12181.05</v>
      </c>
      <c r="I256" s="2"/>
      <c r="J256" s="7">
        <f t="shared" si="105"/>
        <v>5.77020504963109E-2</v>
      </c>
      <c r="K256" s="2"/>
      <c r="L256" s="6">
        <f t="shared" si="106"/>
        <v>-12181.05</v>
      </c>
      <c r="M256" s="2"/>
      <c r="N256" s="7">
        <f t="shared" si="107"/>
        <v>-1</v>
      </c>
      <c r="O256" s="10"/>
      <c r="P256" s="6">
        <v>59767.72</v>
      </c>
      <c r="Q256" s="2"/>
      <c r="R256" s="7">
        <f t="shared" si="108"/>
        <v>1.0918660396272723E-2</v>
      </c>
      <c r="S256" s="2"/>
      <c r="T256" s="6">
        <v>28598.55</v>
      </c>
      <c r="U256" s="2"/>
      <c r="V256" s="7">
        <f t="shared" si="109"/>
        <v>3.0957990457648717E-3</v>
      </c>
      <c r="W256" s="2"/>
      <c r="X256" s="6">
        <f t="shared" si="110"/>
        <v>31169.170000000002</v>
      </c>
      <c r="Y256" s="2"/>
      <c r="Z256" s="7">
        <f t="shared" si="111"/>
        <v>1.0898863753581913</v>
      </c>
    </row>
    <row r="257" spans="1:26" s="23" customFormat="1" hidden="1" outlineLevel="2" x14ac:dyDescent="0.25">
      <c r="A257" s="25"/>
      <c r="B257" s="10" t="str">
        <f>CONCATENATE("          ", "6372", " - ", "COMPUTER HARDWARE MAINTENANCE")</f>
        <v xml:space="preserve">          6372 - COMPUTER HARDWARE MAINTENANCE</v>
      </c>
      <c r="C257" s="10"/>
      <c r="D257" s="6"/>
      <c r="E257" s="2"/>
      <c r="F257" s="7">
        <f t="shared" si="104"/>
        <v>0</v>
      </c>
      <c r="G257" s="2"/>
      <c r="H257" s="6">
        <v>-2</v>
      </c>
      <c r="I257" s="2"/>
      <c r="J257" s="7">
        <f t="shared" si="105"/>
        <v>-9.4740684089320541E-6</v>
      </c>
      <c r="K257" s="2"/>
      <c r="L257" s="6">
        <f t="shared" si="106"/>
        <v>2</v>
      </c>
      <c r="M257" s="2"/>
      <c r="N257" s="7">
        <f t="shared" si="107"/>
        <v>-1</v>
      </c>
      <c r="O257" s="10"/>
      <c r="P257" s="6">
        <v>-1.1499999999999999</v>
      </c>
      <c r="Q257" s="2"/>
      <c r="R257" s="7">
        <f t="shared" si="108"/>
        <v>-2.1008764355932653E-7</v>
      </c>
      <c r="S257" s="2"/>
      <c r="T257" s="6">
        <v>50.32</v>
      </c>
      <c r="U257" s="2"/>
      <c r="V257" s="7">
        <f t="shared" si="109"/>
        <v>5.4471505717208857E-6</v>
      </c>
      <c r="W257" s="2"/>
      <c r="X257" s="6">
        <f t="shared" si="110"/>
        <v>-51.47</v>
      </c>
      <c r="Y257" s="2"/>
      <c r="Z257" s="7">
        <f t="shared" si="111"/>
        <v>-1.0228537360890302</v>
      </c>
    </row>
    <row r="258" spans="1:26" s="23" customFormat="1" hidden="1" outlineLevel="2" x14ac:dyDescent="0.25">
      <c r="A258" s="25"/>
      <c r="B258" s="10" t="str">
        <f>CONCATENATE("          ", "6373", " - ", "MAINTENANCE CONTRACTS")</f>
        <v xml:space="preserve">          6373 - MAINTENANCE CONTRACTS</v>
      </c>
      <c r="C258" s="10"/>
      <c r="D258" s="6">
        <v>2085.3200000000002</v>
      </c>
      <c r="E258" s="2"/>
      <c r="F258" s="7">
        <f t="shared" si="104"/>
        <v>7.8838829692596951E-3</v>
      </c>
      <c r="G258" s="2"/>
      <c r="H258" s="6">
        <v>12461.73</v>
      </c>
      <c r="I258" s="2"/>
      <c r="J258" s="7">
        <f t="shared" si="105"/>
        <v>5.9031641256820429E-2</v>
      </c>
      <c r="K258" s="2"/>
      <c r="L258" s="6">
        <f t="shared" si="106"/>
        <v>-10376.41</v>
      </c>
      <c r="M258" s="2"/>
      <c r="N258" s="7">
        <f t="shared" si="107"/>
        <v>-0.83266207821867433</v>
      </c>
      <c r="O258" s="10"/>
      <c r="P258" s="6">
        <v>51391.34</v>
      </c>
      <c r="Q258" s="2"/>
      <c r="R258" s="7">
        <f t="shared" si="108"/>
        <v>9.3884221912662255E-3</v>
      </c>
      <c r="S258" s="2"/>
      <c r="T258" s="6">
        <v>91135.78</v>
      </c>
      <c r="U258" s="2"/>
      <c r="V258" s="7">
        <f t="shared" si="109"/>
        <v>9.8654673317016862E-3</v>
      </c>
      <c r="W258" s="2"/>
      <c r="X258" s="6">
        <f t="shared" si="110"/>
        <v>-39744.44</v>
      </c>
      <c r="Y258" s="2"/>
      <c r="Z258" s="7">
        <f t="shared" si="111"/>
        <v>-0.43610138630513728</v>
      </c>
    </row>
    <row r="259" spans="1:26" s="23" customFormat="1" hidden="1" outlineLevel="2" x14ac:dyDescent="0.25">
      <c r="A259" s="25"/>
      <c r="B259" s="10" t="str">
        <f>CONCATENATE("          ", "6375", " - ", "OUTSIDE REPAIRS &amp; MAINTENANCE")</f>
        <v xml:space="preserve">          6375 - OUTSIDE REPAIRS &amp; MAINTENANCE</v>
      </c>
      <c r="C259" s="10"/>
      <c r="D259" s="6">
        <v>15685.98</v>
      </c>
      <c r="E259" s="2"/>
      <c r="F259" s="7">
        <f t="shared" si="104"/>
        <v>5.9303335017238681E-2</v>
      </c>
      <c r="G259" s="2"/>
      <c r="H259" s="6">
        <v>1653.29</v>
      </c>
      <c r="I259" s="2"/>
      <c r="J259" s="7">
        <f t="shared" si="105"/>
        <v>7.8316912799016383E-3</v>
      </c>
      <c r="K259" s="2"/>
      <c r="L259" s="6">
        <f t="shared" si="106"/>
        <v>14032.689999999999</v>
      </c>
      <c r="M259" s="2"/>
      <c r="N259" s="7">
        <f t="shared" si="107"/>
        <v>8.4877365737408432</v>
      </c>
      <c r="O259" s="10"/>
      <c r="P259" s="6">
        <v>48768.3</v>
      </c>
      <c r="Q259" s="2"/>
      <c r="R259" s="7">
        <f t="shared" si="108"/>
        <v>8.9092323716472212E-3</v>
      </c>
      <c r="S259" s="2"/>
      <c r="T259" s="6">
        <v>40149.01</v>
      </c>
      <c r="U259" s="2"/>
      <c r="V259" s="7">
        <f t="shared" si="109"/>
        <v>4.3461387673991965E-3</v>
      </c>
      <c r="W259" s="2"/>
      <c r="X259" s="6">
        <f t="shared" si="110"/>
        <v>8619.2900000000009</v>
      </c>
      <c r="Y259" s="2"/>
      <c r="Z259" s="7">
        <f t="shared" si="111"/>
        <v>0.21468250400196667</v>
      </c>
    </row>
    <row r="260" spans="1:26" s="27" customFormat="1" outlineLevel="1" collapsed="1" x14ac:dyDescent="0.25">
      <c r="A260" s="26"/>
      <c r="B260" s="12" t="str">
        <f>CONCATENATE("     ","Royalty &amp; Commissions                             ")</f>
        <v xml:space="preserve">     Royalty &amp; Commissions                             </v>
      </c>
      <c r="C260" s="12"/>
      <c r="D260" s="1">
        <f>SUM(OSRRefD22_17x_0)</f>
        <v>2549.25</v>
      </c>
      <c r="E260" s="1"/>
      <c r="F260" s="5">
        <f t="shared" ref="F260:F263" si="112">IF(D$12=0,0,D260/D$12)</f>
        <v>9.6378439085537341E-3</v>
      </c>
      <c r="G260" s="1"/>
      <c r="H260" s="1">
        <f>SUM(OSRRefH22_17x_0)</f>
        <v>0</v>
      </c>
      <c r="I260" s="1"/>
      <c r="J260" s="5">
        <f t="shared" ref="J260:J263" si="113">IF(H$12=0,0,H260/H$12)</f>
        <v>0</v>
      </c>
      <c r="K260" s="1"/>
      <c r="L260" s="1">
        <f t="shared" ref="L260:L263" si="114">+D260-H260</f>
        <v>2549.25</v>
      </c>
      <c r="M260" s="1"/>
      <c r="N260" s="5">
        <f t="shared" ref="N260:N263" si="115">IF(H260=0,0,L260/H260)</f>
        <v>0</v>
      </c>
      <c r="O260" s="12"/>
      <c r="P260" s="1">
        <f>SUM(OSRRefP22_17x_0)</f>
        <v>51336.18</v>
      </c>
      <c r="Q260" s="1"/>
      <c r="R260" s="5">
        <f t="shared" ref="R260:R263" si="116">IF(P$12=0,0,P260/P$12)</f>
        <v>9.378345291771676E-3</v>
      </c>
      <c r="S260" s="1"/>
      <c r="T260" s="1">
        <f>SUM(OSRRefT22_17x_0)</f>
        <v>123449.40000000001</v>
      </c>
      <c r="U260" s="1"/>
      <c r="V260" s="5">
        <f t="shared" ref="V260:V263" si="117">IF(T$12=0,0,T260/T$12)</f>
        <v>1.3363423485465032E-2</v>
      </c>
      <c r="W260" s="1"/>
      <c r="X260" s="1">
        <f t="shared" ref="X260:X263" si="118">+P260-T260</f>
        <v>-72113.22</v>
      </c>
      <c r="Y260" s="1"/>
      <c r="Z260" s="5">
        <f t="shared" ref="Z260:Z263" si="119">IF(T260=0,0,X260/T260)</f>
        <v>-0.58415204934167353</v>
      </c>
    </row>
    <row r="261" spans="1:26" s="23" customFormat="1" hidden="1" outlineLevel="2" x14ac:dyDescent="0.25">
      <c r="A261" s="25"/>
      <c r="B261" s="10" t="str">
        <f>CONCATENATE("          ", "6253", " - ", "ROYALTY DUE ATHLETICS-LRG")</f>
        <v xml:space="preserve">          6253 - ROYALTY DUE ATHLETICS-LRG</v>
      </c>
      <c r="C261" s="10"/>
      <c r="D261" s="6"/>
      <c r="E261" s="2"/>
      <c r="F261" s="7">
        <f t="shared" si="112"/>
        <v>0</v>
      </c>
      <c r="G261" s="2"/>
      <c r="H261" s="6"/>
      <c r="I261" s="2"/>
      <c r="J261" s="7">
        <f t="shared" si="113"/>
        <v>0</v>
      </c>
      <c r="K261" s="2"/>
      <c r="L261" s="6">
        <f t="shared" si="114"/>
        <v>0</v>
      </c>
      <c r="M261" s="2"/>
      <c r="N261" s="7">
        <f t="shared" si="115"/>
        <v>0</v>
      </c>
      <c r="O261" s="10"/>
      <c r="P261" s="6">
        <v>35159.06</v>
      </c>
      <c r="Q261" s="2"/>
      <c r="R261" s="7">
        <f t="shared" si="116"/>
        <v>6.4230296218791083E-3</v>
      </c>
      <c r="S261" s="2"/>
      <c r="T261" s="6">
        <v>32870.44</v>
      </c>
      <c r="U261" s="2"/>
      <c r="V261" s="7">
        <f t="shared" si="117"/>
        <v>3.5582320357455703E-3</v>
      </c>
      <c r="W261" s="2"/>
      <c r="X261" s="6">
        <f t="shared" si="118"/>
        <v>2288.6199999999953</v>
      </c>
      <c r="Y261" s="2"/>
      <c r="Z261" s="7">
        <f t="shared" si="119"/>
        <v>6.962547504688088E-2</v>
      </c>
    </row>
    <row r="262" spans="1:26" s="23" customFormat="1" hidden="1" outlineLevel="2" x14ac:dyDescent="0.25">
      <c r="A262" s="25"/>
      <c r="B262" s="10" t="str">
        <f>CONCATENATE("          ", "6254", " - ", "ROYALTY &amp; COMMISSIONS")</f>
        <v xml:space="preserve">          6254 - ROYALTY &amp; COMMISSIONS</v>
      </c>
      <c r="C262" s="10"/>
      <c r="D262" s="6"/>
      <c r="E262" s="2"/>
      <c r="F262" s="7">
        <f t="shared" si="112"/>
        <v>0</v>
      </c>
      <c r="G262" s="2"/>
      <c r="H262" s="6"/>
      <c r="I262" s="2"/>
      <c r="J262" s="7">
        <f t="shared" si="113"/>
        <v>0</v>
      </c>
      <c r="K262" s="2"/>
      <c r="L262" s="6">
        <f t="shared" si="114"/>
        <v>0</v>
      </c>
      <c r="M262" s="2"/>
      <c r="N262" s="7">
        <f t="shared" si="115"/>
        <v>0</v>
      </c>
      <c r="O262" s="10"/>
      <c r="P262" s="6"/>
      <c r="Q262" s="2"/>
      <c r="R262" s="7">
        <f t="shared" si="116"/>
        <v>0</v>
      </c>
      <c r="S262" s="2"/>
      <c r="T262" s="6">
        <v>7971.22</v>
      </c>
      <c r="U262" s="2"/>
      <c r="V262" s="7">
        <f t="shared" si="117"/>
        <v>8.6288623967235617E-4</v>
      </c>
      <c r="W262" s="2"/>
      <c r="X262" s="6">
        <f t="shared" si="118"/>
        <v>-7971.22</v>
      </c>
      <c r="Y262" s="2"/>
      <c r="Z262" s="7">
        <f t="shared" si="119"/>
        <v>-1</v>
      </c>
    </row>
    <row r="263" spans="1:26" s="23" customFormat="1" hidden="1" outlineLevel="2" x14ac:dyDescent="0.25">
      <c r="A263" s="25"/>
      <c r="B263" s="10" t="str">
        <f>CONCATENATE("          ", "6259", " - ", "ROYALTY &amp; COMMISSIONS")</f>
        <v xml:space="preserve">          6259 - ROYALTY &amp; COMMISSIONS</v>
      </c>
      <c r="C263" s="10"/>
      <c r="D263" s="6">
        <v>2549.25</v>
      </c>
      <c r="E263" s="2"/>
      <c r="F263" s="7">
        <f t="shared" si="112"/>
        <v>9.6378439085537341E-3</v>
      </c>
      <c r="G263" s="2"/>
      <c r="H263" s="6"/>
      <c r="I263" s="2"/>
      <c r="J263" s="7">
        <f t="shared" si="113"/>
        <v>0</v>
      </c>
      <c r="K263" s="2"/>
      <c r="L263" s="6">
        <f t="shared" si="114"/>
        <v>2549.25</v>
      </c>
      <c r="M263" s="2"/>
      <c r="N263" s="7">
        <f t="shared" si="115"/>
        <v>0</v>
      </c>
      <c r="O263" s="10"/>
      <c r="P263" s="6">
        <v>16177.12</v>
      </c>
      <c r="Q263" s="2"/>
      <c r="R263" s="7">
        <f t="shared" si="116"/>
        <v>2.9553156698925677E-3</v>
      </c>
      <c r="S263" s="2"/>
      <c r="T263" s="6">
        <v>82607.740000000005</v>
      </c>
      <c r="U263" s="2"/>
      <c r="V263" s="7">
        <f t="shared" si="117"/>
        <v>8.9423052100471041E-3</v>
      </c>
      <c r="W263" s="2"/>
      <c r="X263" s="6">
        <f t="shared" si="118"/>
        <v>-66430.62000000001</v>
      </c>
      <c r="Y263" s="2"/>
      <c r="Z263" s="7">
        <f t="shared" si="119"/>
        <v>-0.80416943981278277</v>
      </c>
    </row>
    <row r="264" spans="1:26" s="27" customFormat="1" outlineLevel="1" collapsed="1" x14ac:dyDescent="0.25">
      <c r="A264" s="26"/>
      <c r="B264" s="12" t="str">
        <f>CONCATENATE("     ","Services                                          ")</f>
        <v xml:space="preserve">     Services                                          </v>
      </c>
      <c r="C264" s="12"/>
      <c r="D264" s="1">
        <f>SUM(OSRRefD22_18x_0)</f>
        <v>4588.32</v>
      </c>
      <c r="E264" s="1"/>
      <c r="F264" s="5">
        <f t="shared" ref="F264:F268" si="120">IF(D$12=0,0,D264/D$12)</f>
        <v>1.7346871418062283E-2</v>
      </c>
      <c r="G264" s="1"/>
      <c r="H264" s="1">
        <f>SUM(OSRRefH22_18x_0)</f>
        <v>8372.83</v>
      </c>
      <c r="I264" s="1"/>
      <c r="J264" s="5">
        <f t="shared" ref="J264:J268" si="121">IF(H$12=0,0,H264/H$12)</f>
        <v>3.9662382098179287E-2</v>
      </c>
      <c r="K264" s="1"/>
      <c r="L264" s="1">
        <f t="shared" ref="L264:L268" si="122">+D264-H264</f>
        <v>-3784.51</v>
      </c>
      <c r="M264" s="1"/>
      <c r="N264" s="5">
        <f t="shared" ref="N264:N268" si="123">IF(H264=0,0,L264/H264)</f>
        <v>-0.4519989059851926</v>
      </c>
      <c r="O264" s="12"/>
      <c r="P264" s="1">
        <f>SUM(OSRRefP22_18x_0)</f>
        <v>49029.62</v>
      </c>
      <c r="Q264" s="1"/>
      <c r="R264" s="5">
        <f t="shared" ref="R264:R268" si="124">IF(P$12=0,0,P264/P$12)</f>
        <v>8.9569715916601993E-3</v>
      </c>
      <c r="S264" s="1"/>
      <c r="T264" s="1">
        <f>SUM(OSRRefT22_18x_0)</f>
        <v>59006.079999999994</v>
      </c>
      <c r="U264" s="1"/>
      <c r="V264" s="5">
        <f t="shared" ref="V264:V268" si="125">IF(T$12=0,0,T264/T$12)</f>
        <v>6.3874205565780662E-3</v>
      </c>
      <c r="W264" s="1"/>
      <c r="X264" s="1">
        <f t="shared" ref="X264:X268" si="126">+P264-T264</f>
        <v>-9976.4599999999919</v>
      </c>
      <c r="Y264" s="1"/>
      <c r="Z264" s="5">
        <f t="shared" ref="Z264:Z268" si="127">IF(T264=0,0,X264/T264)</f>
        <v>-0.1690751190385803</v>
      </c>
    </row>
    <row r="265" spans="1:26" s="23" customFormat="1" hidden="1" outlineLevel="2" x14ac:dyDescent="0.25">
      <c r="A265" s="25"/>
      <c r="B265" s="10" t="str">
        <f>CONCATENATE("          ", "6282", " - ", "JANITORIAL/EXTERMINATOR EXPENS")</f>
        <v xml:space="preserve">          6282 - JANITORIAL/EXTERMINATOR EXPENS</v>
      </c>
      <c r="C265" s="10"/>
      <c r="D265" s="6">
        <v>582</v>
      </c>
      <c r="E265" s="2"/>
      <c r="F265" s="7">
        <f t="shared" si="120"/>
        <v>2.2003432989225356E-3</v>
      </c>
      <c r="G265" s="2"/>
      <c r="H265" s="6">
        <v>816.86</v>
      </c>
      <c r="I265" s="2"/>
      <c r="J265" s="7">
        <f t="shared" si="121"/>
        <v>3.8694937602601191E-3</v>
      </c>
      <c r="K265" s="2"/>
      <c r="L265" s="6">
        <f t="shared" si="122"/>
        <v>-234.86</v>
      </c>
      <c r="M265" s="2"/>
      <c r="N265" s="7">
        <f t="shared" si="123"/>
        <v>-0.28751560854981273</v>
      </c>
      <c r="O265" s="10"/>
      <c r="P265" s="6">
        <v>8279.1200000000008</v>
      </c>
      <c r="Q265" s="2"/>
      <c r="R265" s="7">
        <f t="shared" si="124"/>
        <v>1.5124702709086015E-3</v>
      </c>
      <c r="S265" s="2"/>
      <c r="T265" s="6">
        <v>3502.88</v>
      </c>
      <c r="U265" s="2"/>
      <c r="V265" s="7">
        <f t="shared" si="125"/>
        <v>3.7918749591950827E-4</v>
      </c>
      <c r="W265" s="2"/>
      <c r="X265" s="6">
        <f t="shared" si="126"/>
        <v>4776.2400000000007</v>
      </c>
      <c r="Y265" s="2"/>
      <c r="Z265" s="7">
        <f t="shared" si="127"/>
        <v>1.3635180194582746</v>
      </c>
    </row>
    <row r="266" spans="1:26" s="23" customFormat="1" hidden="1" outlineLevel="2" x14ac:dyDescent="0.25">
      <c r="A266" s="25"/>
      <c r="B266" s="10" t="str">
        <f>CONCATENATE("          ", "6283", " - ", "PLANT SERVICE")</f>
        <v xml:space="preserve">          6283 - PLANT SERVICE</v>
      </c>
      <c r="C266" s="10"/>
      <c r="D266" s="6"/>
      <c r="E266" s="2"/>
      <c r="F266" s="7">
        <f t="shared" si="120"/>
        <v>0</v>
      </c>
      <c r="G266" s="2"/>
      <c r="H266" s="6"/>
      <c r="I266" s="2"/>
      <c r="J266" s="7">
        <f t="shared" si="121"/>
        <v>0</v>
      </c>
      <c r="K266" s="2"/>
      <c r="L266" s="6">
        <f t="shared" si="122"/>
        <v>0</v>
      </c>
      <c r="M266" s="2"/>
      <c r="N266" s="7">
        <f t="shared" si="123"/>
        <v>0</v>
      </c>
      <c r="O266" s="10"/>
      <c r="P266" s="6">
        <v>171.31</v>
      </c>
      <c r="Q266" s="2"/>
      <c r="R266" s="7">
        <f t="shared" si="124"/>
        <v>3.129575149404194E-5</v>
      </c>
      <c r="S266" s="2"/>
      <c r="T266" s="6">
        <v>541.98</v>
      </c>
      <c r="U266" s="2"/>
      <c r="V266" s="7">
        <f t="shared" si="125"/>
        <v>5.8669448864492962E-5</v>
      </c>
      <c r="W266" s="2"/>
      <c r="X266" s="6">
        <f t="shared" si="126"/>
        <v>-370.67</v>
      </c>
      <c r="Y266" s="2"/>
      <c r="Z266" s="7">
        <f t="shared" si="127"/>
        <v>-0.68391822576478833</v>
      </c>
    </row>
    <row r="267" spans="1:26" s="23" customFormat="1" hidden="1" outlineLevel="2" x14ac:dyDescent="0.25">
      <c r="A267" s="25"/>
      <c r="B267" s="10" t="str">
        <f>CONCATENATE("          ", "6284", " - ", "TRASH REMOVAL EXPENSE")</f>
        <v xml:space="preserve">          6284 - TRASH REMOVAL EXPENSE</v>
      </c>
      <c r="C267" s="10"/>
      <c r="D267" s="6">
        <v>142.57</v>
      </c>
      <c r="E267" s="2"/>
      <c r="F267" s="7">
        <f t="shared" si="120"/>
        <v>5.3900849506423689E-4</v>
      </c>
      <c r="G267" s="2"/>
      <c r="H267" s="6">
        <v>134.82</v>
      </c>
      <c r="I267" s="2"/>
      <c r="J267" s="7">
        <f t="shared" si="121"/>
        <v>6.3864695144610982E-4</v>
      </c>
      <c r="K267" s="2"/>
      <c r="L267" s="6">
        <f t="shared" si="122"/>
        <v>7.75</v>
      </c>
      <c r="M267" s="2"/>
      <c r="N267" s="7">
        <f t="shared" si="123"/>
        <v>5.7484052811155616E-2</v>
      </c>
      <c r="O267" s="10"/>
      <c r="P267" s="6">
        <v>1725.86</v>
      </c>
      <c r="Q267" s="2"/>
      <c r="R267" s="7">
        <f t="shared" si="124"/>
        <v>3.1528857435939066E-4</v>
      </c>
      <c r="S267" s="2"/>
      <c r="T267" s="6">
        <v>1617.84</v>
      </c>
      <c r="U267" s="2"/>
      <c r="V267" s="7">
        <f t="shared" si="125"/>
        <v>1.7513151989175115E-4</v>
      </c>
      <c r="W267" s="2"/>
      <c r="X267" s="6">
        <f t="shared" si="126"/>
        <v>108.01999999999998</v>
      </c>
      <c r="Y267" s="2"/>
      <c r="Z267" s="7">
        <f t="shared" si="127"/>
        <v>6.6768036394204616E-2</v>
      </c>
    </row>
    <row r="268" spans="1:26" s="23" customFormat="1" hidden="1" outlineLevel="2" x14ac:dyDescent="0.25">
      <c r="A268" s="25"/>
      <c r="B268" s="10" t="str">
        <f>CONCATENATE("          ", "6285", " - ", "JANITORIAL SERVICES")</f>
        <v xml:space="preserve">          6285 - JANITORIAL SERVICES</v>
      </c>
      <c r="C268" s="10"/>
      <c r="D268" s="6">
        <v>3863.75</v>
      </c>
      <c r="E268" s="2"/>
      <c r="F268" s="7">
        <f t="shared" si="120"/>
        <v>1.4607519624075509E-2</v>
      </c>
      <c r="G268" s="2"/>
      <c r="H268" s="6">
        <v>7421.15</v>
      </c>
      <c r="I268" s="2"/>
      <c r="J268" s="7">
        <f t="shared" si="121"/>
        <v>3.5154241386473058E-2</v>
      </c>
      <c r="K268" s="2"/>
      <c r="L268" s="6">
        <f t="shared" si="122"/>
        <v>-3557.3999999999996</v>
      </c>
      <c r="M268" s="2"/>
      <c r="N268" s="7">
        <f t="shared" si="123"/>
        <v>-0.4793596679759875</v>
      </c>
      <c r="O268" s="10"/>
      <c r="P268" s="6">
        <v>38853.33</v>
      </c>
      <c r="Q268" s="2"/>
      <c r="R268" s="7">
        <f t="shared" si="124"/>
        <v>7.0979169948981648E-3</v>
      </c>
      <c r="S268" s="2"/>
      <c r="T268" s="6">
        <v>53343.38</v>
      </c>
      <c r="U268" s="2"/>
      <c r="V268" s="7">
        <f t="shared" si="125"/>
        <v>5.7744320919023142E-3</v>
      </c>
      <c r="W268" s="2"/>
      <c r="X268" s="6">
        <f t="shared" si="126"/>
        <v>-14490.049999999996</v>
      </c>
      <c r="Y268" s="2"/>
      <c r="Z268" s="7">
        <f t="shared" si="127"/>
        <v>-0.27163726782967251</v>
      </c>
    </row>
    <row r="269" spans="1:26" s="27" customFormat="1" outlineLevel="1" collapsed="1" x14ac:dyDescent="0.25">
      <c r="A269" s="26"/>
      <c r="B269" s="12" t="str">
        <f>CONCATENATE("     ","Subscriptions &amp; Dues                              ")</f>
        <v xml:space="preserve">     Subscriptions &amp; Dues                              </v>
      </c>
      <c r="C269" s="12"/>
      <c r="D269" s="1">
        <f>SUM(OSRRefD22_19x_0)</f>
        <v>694</v>
      </c>
      <c r="E269" s="1"/>
      <c r="F269" s="5">
        <f t="shared" ref="F269:F271" si="128">IF(D$12=0,0,D269/D$12)</f>
        <v>2.6237770609145012E-3</v>
      </c>
      <c r="G269" s="1"/>
      <c r="H269" s="1">
        <f>SUM(OSRRefH22_19x_0)</f>
        <v>1101.25</v>
      </c>
      <c r="I269" s="1"/>
      <c r="J269" s="5">
        <f t="shared" ref="J269:J271" si="129">IF(H$12=0,0,H269/H$12)</f>
        <v>5.216658917668213E-3</v>
      </c>
      <c r="K269" s="1"/>
      <c r="L269" s="1">
        <f t="shared" ref="L269:L271" si="130">+D269-H269</f>
        <v>-407.25</v>
      </c>
      <c r="M269" s="1"/>
      <c r="N269" s="5">
        <f t="shared" ref="N269:N271" si="131">IF(H269=0,0,L269/H269)</f>
        <v>-0.36980703745743471</v>
      </c>
      <c r="O269" s="12"/>
      <c r="P269" s="1">
        <f>SUM(OSRRefP22_19x_0)</f>
        <v>7983.13</v>
      </c>
      <c r="Q269" s="1"/>
      <c r="R269" s="5">
        <f t="shared" ref="R269:R271" si="132">IF(P$12=0,0,P269/P$12)</f>
        <v>1.4583973651545795E-3</v>
      </c>
      <c r="S269" s="1"/>
      <c r="T269" s="1">
        <f>SUM(OSRRefT22_19x_0)</f>
        <v>8460.1</v>
      </c>
      <c r="U269" s="1"/>
      <c r="V269" s="5">
        <f t="shared" ref="V269:V271" si="133">IF(T$12=0,0,T269/T$12)</f>
        <v>9.1580760238107843E-4</v>
      </c>
      <c r="W269" s="1"/>
      <c r="X269" s="1">
        <f t="shared" ref="X269:X271" si="134">+P269-T269</f>
        <v>-476.97000000000025</v>
      </c>
      <c r="Y269" s="1"/>
      <c r="Z269" s="5">
        <f t="shared" ref="Z269:Z271" si="135">IF(T269=0,0,X269/T269)</f>
        <v>-5.6378766208437278E-2</v>
      </c>
    </row>
    <row r="270" spans="1:26" s="23" customFormat="1" hidden="1" outlineLevel="2" x14ac:dyDescent="0.25">
      <c r="A270" s="25"/>
      <c r="B270" s="10" t="str">
        <f>CONCATENATE("          ", "6258", " - ", "MEMBERSHIP DUES")</f>
        <v xml:space="preserve">          6258 - MEMBERSHIP DUES</v>
      </c>
      <c r="C270" s="10"/>
      <c r="D270" s="6">
        <v>609</v>
      </c>
      <c r="E270" s="2"/>
      <c r="F270" s="7">
        <f t="shared" si="128"/>
        <v>2.3024210808313128E-3</v>
      </c>
      <c r="G270" s="2"/>
      <c r="H270" s="6">
        <v>1101.25</v>
      </c>
      <c r="I270" s="2"/>
      <c r="J270" s="7">
        <f t="shared" si="129"/>
        <v>5.216658917668213E-3</v>
      </c>
      <c r="K270" s="2"/>
      <c r="L270" s="6">
        <f t="shared" si="130"/>
        <v>-492.25</v>
      </c>
      <c r="M270" s="2"/>
      <c r="N270" s="7">
        <f t="shared" si="131"/>
        <v>-0.44699205448354146</v>
      </c>
      <c r="O270" s="10"/>
      <c r="P270" s="6">
        <v>3655.45</v>
      </c>
      <c r="Q270" s="2"/>
      <c r="R270" s="7">
        <f t="shared" si="132"/>
        <v>6.6779554491212193E-4</v>
      </c>
      <c r="S270" s="2"/>
      <c r="T270" s="6">
        <v>5667.66</v>
      </c>
      <c r="U270" s="2"/>
      <c r="V270" s="7">
        <f t="shared" si="133"/>
        <v>6.1352538571779794E-4</v>
      </c>
      <c r="W270" s="2"/>
      <c r="X270" s="6">
        <f t="shared" si="134"/>
        <v>-2012.21</v>
      </c>
      <c r="Y270" s="2"/>
      <c r="Z270" s="7">
        <f t="shared" si="135"/>
        <v>-0.35503364704304774</v>
      </c>
    </row>
    <row r="271" spans="1:26" s="23" customFormat="1" hidden="1" outlineLevel="2" x14ac:dyDescent="0.25">
      <c r="A271" s="25"/>
      <c r="B271" s="10" t="str">
        <f>CONCATENATE("          ", "6275", " - ", "SUBSCRIPTIONS")</f>
        <v xml:space="preserve">          6275 - SUBSCRIPTIONS</v>
      </c>
      <c r="C271" s="10"/>
      <c r="D271" s="6">
        <v>85</v>
      </c>
      <c r="E271" s="2"/>
      <c r="F271" s="7">
        <f t="shared" si="128"/>
        <v>3.2135598008318817E-4</v>
      </c>
      <c r="G271" s="2"/>
      <c r="H271" s="6"/>
      <c r="I271" s="2"/>
      <c r="J271" s="7">
        <f t="shared" si="129"/>
        <v>0</v>
      </c>
      <c r="K271" s="2"/>
      <c r="L271" s="6">
        <f t="shared" si="130"/>
        <v>85</v>
      </c>
      <c r="M271" s="2"/>
      <c r="N271" s="7">
        <f t="shared" si="131"/>
        <v>0</v>
      </c>
      <c r="O271" s="10"/>
      <c r="P271" s="6">
        <v>4327.68</v>
      </c>
      <c r="Q271" s="2"/>
      <c r="R271" s="7">
        <f t="shared" si="132"/>
        <v>7.9060182024245766E-4</v>
      </c>
      <c r="S271" s="2"/>
      <c r="T271" s="6">
        <v>2792.44</v>
      </c>
      <c r="U271" s="2"/>
      <c r="V271" s="7">
        <f t="shared" si="133"/>
        <v>3.0228221666328043E-4</v>
      </c>
      <c r="W271" s="2"/>
      <c r="X271" s="6">
        <f t="shared" si="134"/>
        <v>1535.2400000000002</v>
      </c>
      <c r="Y271" s="2"/>
      <c r="Z271" s="7">
        <f t="shared" si="135"/>
        <v>0.54978441792840682</v>
      </c>
    </row>
    <row r="272" spans="1:26" s="27" customFormat="1" outlineLevel="1" collapsed="1" x14ac:dyDescent="0.25">
      <c r="A272" s="26"/>
      <c r="B272" s="12" t="str">
        <f>CONCATENATE("     ","Supplies                                          ")</f>
        <v xml:space="preserve">     Supplies                                          </v>
      </c>
      <c r="C272" s="12"/>
      <c r="D272" s="1">
        <f>SUM(OSRRefD22_20x_0)</f>
        <v>12432.029999999999</v>
      </c>
      <c r="E272" s="1"/>
      <c r="F272" s="5">
        <f t="shared" ref="F272:F280" si="136">IF(D$12=0,0,D272/D$12)</f>
        <v>4.7001261000865852E-2</v>
      </c>
      <c r="G272" s="1"/>
      <c r="H272" s="1">
        <f>SUM(OSRRefH22_20x_0)</f>
        <v>15976.59</v>
      </c>
      <c r="I272" s="1"/>
      <c r="J272" s="5">
        <f t="shared" ref="J272:J280" si="137">IF(H$12=0,0,H272/H$12)</f>
        <v>7.5681653300729887E-2</v>
      </c>
      <c r="K272" s="1"/>
      <c r="L272" s="1">
        <f t="shared" ref="L272:L280" si="138">+D272-H272</f>
        <v>-3544.5600000000013</v>
      </c>
      <c r="M272" s="1"/>
      <c r="N272" s="5">
        <f t="shared" ref="N272:N280" si="139">IF(H272=0,0,L272/H272)</f>
        <v>-0.22185960833945173</v>
      </c>
      <c r="O272" s="12"/>
      <c r="P272" s="1">
        <f>SUM(OSRRefP22_20x_0)</f>
        <v>134330.78000000003</v>
      </c>
      <c r="Q272" s="1"/>
      <c r="R272" s="5">
        <f t="shared" ref="R272:R280" si="140">IF(P$12=0,0,P272/P$12)</f>
        <v>2.4540206111031578E-2</v>
      </c>
      <c r="S272" s="1"/>
      <c r="T272" s="1">
        <f>SUM(OSRRefT22_20x_0)</f>
        <v>109079.15000000001</v>
      </c>
      <c r="U272" s="1"/>
      <c r="V272" s="5">
        <f t="shared" ref="V272:V280" si="141">IF(T$12=0,0,T272/T$12)</f>
        <v>1.1807840903921469E-2</v>
      </c>
      <c r="W272" s="1"/>
      <c r="X272" s="1">
        <f t="shared" ref="X272:X280" si="142">+P272-T272</f>
        <v>25251.630000000019</v>
      </c>
      <c r="Y272" s="1"/>
      <c r="Z272" s="5">
        <f t="shared" ref="Z272:Z280" si="143">IF(T272=0,0,X272/T272)</f>
        <v>0.23149822857988916</v>
      </c>
    </row>
    <row r="273" spans="1:26" s="23" customFormat="1" hidden="1" outlineLevel="2" x14ac:dyDescent="0.25">
      <c r="A273" s="25"/>
      <c r="B273" s="10" t="str">
        <f>CONCATENATE("          ", "6234", " - ", "EXPENDABLE SUPPLIES &amp; EQUIPMEN")</f>
        <v xml:space="preserve">          6234 - EXPENDABLE SUPPLIES &amp; EQUIPMEN</v>
      </c>
      <c r="C273" s="10"/>
      <c r="D273" s="6"/>
      <c r="E273" s="2"/>
      <c r="F273" s="7">
        <f t="shared" si="136"/>
        <v>0</v>
      </c>
      <c r="G273" s="2"/>
      <c r="H273" s="6">
        <v>4356.1000000000004</v>
      </c>
      <c r="I273" s="2"/>
      <c r="J273" s="7">
        <f t="shared" si="137"/>
        <v>2.0634994698074463E-2</v>
      </c>
      <c r="K273" s="2"/>
      <c r="L273" s="6">
        <f t="shared" si="138"/>
        <v>-4356.1000000000004</v>
      </c>
      <c r="M273" s="2"/>
      <c r="N273" s="7">
        <f t="shared" si="139"/>
        <v>-1</v>
      </c>
      <c r="O273" s="10"/>
      <c r="P273" s="6">
        <v>0.16</v>
      </c>
      <c r="Q273" s="2"/>
      <c r="R273" s="7">
        <f t="shared" si="140"/>
        <v>2.9229585190862825E-8</v>
      </c>
      <c r="S273" s="2"/>
      <c r="T273" s="6">
        <v>8498.66</v>
      </c>
      <c r="U273" s="2"/>
      <c r="V273" s="7">
        <f t="shared" si="141"/>
        <v>9.1998173048214271E-4</v>
      </c>
      <c r="W273" s="2"/>
      <c r="X273" s="6">
        <f t="shared" si="142"/>
        <v>-8498.5</v>
      </c>
      <c r="Y273" s="2"/>
      <c r="Z273" s="7">
        <f t="shared" si="143"/>
        <v>-0.99998117350264637</v>
      </c>
    </row>
    <row r="274" spans="1:26" s="23" customFormat="1" hidden="1" outlineLevel="2" x14ac:dyDescent="0.25">
      <c r="A274" s="25"/>
      <c r="B274" s="10" t="str">
        <f>CONCATENATE("          ", "6235", " - ", "COVID-19 EXPENSES")</f>
        <v xml:space="preserve">          6235 - COVID-19 EXPENSES</v>
      </c>
      <c r="C274" s="10"/>
      <c r="D274" s="6">
        <v>957.91</v>
      </c>
      <c r="E274" s="2"/>
      <c r="F274" s="7">
        <f t="shared" si="136"/>
        <v>3.6215306691939619E-3</v>
      </c>
      <c r="G274" s="2"/>
      <c r="H274" s="6">
        <v>3511.67</v>
      </c>
      <c r="I274" s="2"/>
      <c r="J274" s="7">
        <f t="shared" si="137"/>
        <v>1.6634900904797214E-2</v>
      </c>
      <c r="K274" s="2"/>
      <c r="L274" s="6">
        <f t="shared" si="138"/>
        <v>-2553.7600000000002</v>
      </c>
      <c r="M274" s="2"/>
      <c r="N274" s="7">
        <f t="shared" si="139"/>
        <v>-0.72722095185481561</v>
      </c>
      <c r="O274" s="10"/>
      <c r="P274" s="6">
        <v>44955.97</v>
      </c>
      <c r="Q274" s="2"/>
      <c r="R274" s="7">
        <f t="shared" si="140"/>
        <v>8.2127772184554595E-3</v>
      </c>
      <c r="S274" s="2"/>
      <c r="T274" s="6">
        <v>5061.67</v>
      </c>
      <c r="U274" s="2"/>
      <c r="V274" s="7">
        <f t="shared" si="141"/>
        <v>5.4792684090545422E-4</v>
      </c>
      <c r="W274" s="2"/>
      <c r="X274" s="6">
        <f t="shared" si="142"/>
        <v>39894.300000000003</v>
      </c>
      <c r="Y274" s="2"/>
      <c r="Z274" s="7">
        <f t="shared" si="143"/>
        <v>7.8816477565704606</v>
      </c>
    </row>
    <row r="275" spans="1:26" s="23" customFormat="1" hidden="1" outlineLevel="2" x14ac:dyDescent="0.25">
      <c r="A275" s="25"/>
      <c r="B275" s="10" t="str">
        <f>CONCATENATE("          ", "6237", " - ", "JANITORIAL SUPPLIES")</f>
        <v xml:space="preserve">          6237 - JANITORIAL SUPPLIES</v>
      </c>
      <c r="C275" s="10"/>
      <c r="D275" s="6">
        <v>321.05</v>
      </c>
      <c r="E275" s="2"/>
      <c r="F275" s="7">
        <f t="shared" si="136"/>
        <v>1.2137804400671479E-3</v>
      </c>
      <c r="G275" s="2"/>
      <c r="H275" s="6">
        <v>1763.02</v>
      </c>
      <c r="I275" s="2"/>
      <c r="J275" s="7">
        <f t="shared" si="137"/>
        <v>8.3514860431576961E-3</v>
      </c>
      <c r="K275" s="2"/>
      <c r="L275" s="6">
        <f t="shared" si="138"/>
        <v>-1441.97</v>
      </c>
      <c r="M275" s="2"/>
      <c r="N275" s="7">
        <f t="shared" si="139"/>
        <v>-0.81789769826774517</v>
      </c>
      <c r="O275" s="10"/>
      <c r="P275" s="6">
        <v>4201.33</v>
      </c>
      <c r="Q275" s="2"/>
      <c r="R275" s="7">
        <f t="shared" si="140"/>
        <v>7.6751958218704817E-4</v>
      </c>
      <c r="S275" s="2"/>
      <c r="T275" s="6">
        <v>7068.06</v>
      </c>
      <c r="U275" s="2"/>
      <c r="V275" s="7">
        <f t="shared" si="141"/>
        <v>7.6511897992761384E-4</v>
      </c>
      <c r="W275" s="2"/>
      <c r="X275" s="6">
        <f t="shared" si="142"/>
        <v>-2866.7300000000005</v>
      </c>
      <c r="Y275" s="2"/>
      <c r="Z275" s="7">
        <f t="shared" si="143"/>
        <v>-0.40558936964315528</v>
      </c>
    </row>
    <row r="276" spans="1:26" s="23" customFormat="1" hidden="1" outlineLevel="2" x14ac:dyDescent="0.25">
      <c r="A276" s="25"/>
      <c r="B276" s="10" t="str">
        <f>CONCATENATE("          ", "6241", " - ", "OFFICE EXPENSE")</f>
        <v xml:space="preserve">          6241 - OFFICE EXPENSE</v>
      </c>
      <c r="C276" s="10"/>
      <c r="D276" s="6">
        <v>983.08</v>
      </c>
      <c r="E276" s="2"/>
      <c r="F276" s="7">
        <f t="shared" si="136"/>
        <v>3.7166898458844784E-3</v>
      </c>
      <c r="G276" s="2"/>
      <c r="H276" s="6">
        <v>652.34</v>
      </c>
      <c r="I276" s="2"/>
      <c r="J276" s="7">
        <f t="shared" si="137"/>
        <v>3.0901568929413686E-3</v>
      </c>
      <c r="K276" s="2"/>
      <c r="L276" s="6">
        <f t="shared" si="138"/>
        <v>330.74</v>
      </c>
      <c r="M276" s="2"/>
      <c r="N276" s="7">
        <f t="shared" si="139"/>
        <v>0.50700554925345676</v>
      </c>
      <c r="O276" s="10"/>
      <c r="P276" s="6">
        <v>11988.5</v>
      </c>
      <c r="Q276" s="2"/>
      <c r="R276" s="7">
        <f t="shared" si="140"/>
        <v>2.1901180128791184E-3</v>
      </c>
      <c r="S276" s="2"/>
      <c r="T276" s="6">
        <v>25032.89</v>
      </c>
      <c r="U276" s="2"/>
      <c r="V276" s="7">
        <f t="shared" si="141"/>
        <v>2.709815601655923E-3</v>
      </c>
      <c r="W276" s="2"/>
      <c r="X276" s="6">
        <f t="shared" si="142"/>
        <v>-13044.39</v>
      </c>
      <c r="Y276" s="2"/>
      <c r="Z276" s="7">
        <f t="shared" si="143"/>
        <v>-0.52109005392505614</v>
      </c>
    </row>
    <row r="277" spans="1:26" s="23" customFormat="1" hidden="1" outlineLevel="2" x14ac:dyDescent="0.25">
      <c r="A277" s="25"/>
      <c r="B277" s="10" t="str">
        <f>CONCATENATE("          ", "6243", " - ", "PAPER SUPPLIES")</f>
        <v xml:space="preserve">          6243 - PAPER SUPPLIES</v>
      </c>
      <c r="C277" s="10"/>
      <c r="D277" s="6">
        <v>548.02</v>
      </c>
      <c r="E277" s="2"/>
      <c r="F277" s="7">
        <f t="shared" si="136"/>
        <v>2.0718765200610444E-3</v>
      </c>
      <c r="G277" s="2"/>
      <c r="H277" s="6">
        <v>508.47</v>
      </c>
      <c r="I277" s="2"/>
      <c r="J277" s="7">
        <f t="shared" si="137"/>
        <v>2.4086397819448411E-3</v>
      </c>
      <c r="K277" s="2"/>
      <c r="L277" s="6">
        <f t="shared" si="138"/>
        <v>39.549999999999955</v>
      </c>
      <c r="M277" s="2"/>
      <c r="N277" s="7">
        <f t="shared" si="139"/>
        <v>7.7782366707966941E-2</v>
      </c>
      <c r="O277" s="10"/>
      <c r="P277" s="6">
        <v>7230.6</v>
      </c>
      <c r="Q277" s="2"/>
      <c r="R277" s="7">
        <f t="shared" si="140"/>
        <v>1.3209214917565795E-3</v>
      </c>
      <c r="S277" s="2"/>
      <c r="T277" s="6">
        <v>18447.68</v>
      </c>
      <c r="U277" s="2"/>
      <c r="V277" s="7">
        <f t="shared" si="141"/>
        <v>1.9969652356701898E-3</v>
      </c>
      <c r="W277" s="2"/>
      <c r="X277" s="6">
        <f t="shared" si="142"/>
        <v>-11217.08</v>
      </c>
      <c r="Y277" s="2"/>
      <c r="Z277" s="7">
        <f t="shared" si="143"/>
        <v>-0.60804827490502866</v>
      </c>
    </row>
    <row r="278" spans="1:26" s="23" customFormat="1" hidden="1" outlineLevel="2" x14ac:dyDescent="0.25">
      <c r="A278" s="25"/>
      <c r="B278" s="10" t="str">
        <f>CONCATENATE("          ", "6245", " - ", "PRINTING")</f>
        <v xml:space="preserve">          6245 - PRINTING</v>
      </c>
      <c r="C278" s="10"/>
      <c r="D278" s="6">
        <v>2921.89</v>
      </c>
      <c r="E278" s="2"/>
      <c r="F278" s="7">
        <f t="shared" si="136"/>
        <v>1.1046668525238432E-2</v>
      </c>
      <c r="G278" s="2"/>
      <c r="H278" s="6">
        <v>158.76</v>
      </c>
      <c r="I278" s="2"/>
      <c r="J278" s="7">
        <f t="shared" si="137"/>
        <v>7.5205155030102643E-4</v>
      </c>
      <c r="K278" s="2"/>
      <c r="L278" s="6">
        <f t="shared" si="138"/>
        <v>2763.13</v>
      </c>
      <c r="M278" s="2"/>
      <c r="N278" s="7">
        <f t="shared" si="139"/>
        <v>17.404446963970774</v>
      </c>
      <c r="O278" s="10"/>
      <c r="P278" s="6">
        <v>12006.27</v>
      </c>
      <c r="Q278" s="2"/>
      <c r="R278" s="7">
        <f t="shared" si="140"/>
        <v>2.1933643236843789E-3</v>
      </c>
      <c r="S278" s="2"/>
      <c r="T278" s="6">
        <v>10786.36</v>
      </c>
      <c r="U278" s="2"/>
      <c r="V278" s="7">
        <f t="shared" si="141"/>
        <v>1.167625736104676E-3</v>
      </c>
      <c r="W278" s="2"/>
      <c r="X278" s="6">
        <f t="shared" si="142"/>
        <v>1219.9099999999999</v>
      </c>
      <c r="Y278" s="2"/>
      <c r="Z278" s="7">
        <f t="shared" si="143"/>
        <v>0.11309746754234049</v>
      </c>
    </row>
    <row r="279" spans="1:26" s="23" customFormat="1" hidden="1" outlineLevel="2" x14ac:dyDescent="0.25">
      <c r="A279" s="25"/>
      <c r="B279" s="10" t="str">
        <f>CONCATENATE("          ", "6247", " - ", "STORE SUPPLIES")</f>
        <v xml:space="preserve">          6247 - STORE SUPPLIES</v>
      </c>
      <c r="C279" s="10"/>
      <c r="D279" s="6">
        <v>6700.08</v>
      </c>
      <c r="E279" s="2"/>
      <c r="F279" s="7">
        <f t="shared" si="136"/>
        <v>2.5330715000420792E-2</v>
      </c>
      <c r="G279" s="2"/>
      <c r="H279" s="6">
        <v>5026.2299999999996</v>
      </c>
      <c r="I279" s="2"/>
      <c r="J279" s="7">
        <f t="shared" si="137"/>
        <v>2.3809423429513279E-2</v>
      </c>
      <c r="K279" s="2"/>
      <c r="L279" s="6">
        <f t="shared" si="138"/>
        <v>1673.8500000000004</v>
      </c>
      <c r="M279" s="2"/>
      <c r="N279" s="7">
        <f t="shared" si="139"/>
        <v>0.33302296154374161</v>
      </c>
      <c r="O279" s="10"/>
      <c r="P279" s="6">
        <v>53947.95</v>
      </c>
      <c r="Q279" s="2"/>
      <c r="R279" s="7">
        <f t="shared" si="140"/>
        <v>9.8554762524837997E-3</v>
      </c>
      <c r="S279" s="2"/>
      <c r="T279" s="6">
        <v>34139.919999999998</v>
      </c>
      <c r="U279" s="2"/>
      <c r="V279" s="7">
        <f t="shared" si="141"/>
        <v>3.6956535124504234E-3</v>
      </c>
      <c r="W279" s="2"/>
      <c r="X279" s="6">
        <f t="shared" si="142"/>
        <v>19808.03</v>
      </c>
      <c r="Y279" s="2"/>
      <c r="Z279" s="7">
        <f t="shared" si="143"/>
        <v>0.58020141816383874</v>
      </c>
    </row>
    <row r="280" spans="1:26" s="23" customFormat="1" hidden="1" outlineLevel="2" x14ac:dyDescent="0.25">
      <c r="A280" s="25"/>
      <c r="B280" s="10" t="str">
        <f>CONCATENATE("          ", "6248", " - ", "UNIFORMS")</f>
        <v xml:space="preserve">          6248 - UNIFORMS</v>
      </c>
      <c r="C280" s="10"/>
      <c r="D280" s="6"/>
      <c r="E280" s="2"/>
      <c r="F280" s="7">
        <f t="shared" si="136"/>
        <v>0</v>
      </c>
      <c r="G280" s="2"/>
      <c r="H280" s="6"/>
      <c r="I280" s="2"/>
      <c r="J280" s="7">
        <f t="shared" si="137"/>
        <v>0</v>
      </c>
      <c r="K280" s="2"/>
      <c r="L280" s="6">
        <f t="shared" si="138"/>
        <v>0</v>
      </c>
      <c r="M280" s="2"/>
      <c r="N280" s="7">
        <f t="shared" si="139"/>
        <v>0</v>
      </c>
      <c r="O280" s="10"/>
      <c r="P280" s="6"/>
      <c r="Q280" s="2"/>
      <c r="R280" s="7">
        <f t="shared" si="140"/>
        <v>0</v>
      </c>
      <c r="S280" s="2"/>
      <c r="T280" s="6">
        <v>43.91</v>
      </c>
      <c r="U280" s="2"/>
      <c r="V280" s="7">
        <f t="shared" si="141"/>
        <v>4.7532667250449937E-6</v>
      </c>
      <c r="W280" s="2"/>
      <c r="X280" s="6">
        <f t="shared" si="142"/>
        <v>-43.91</v>
      </c>
      <c r="Y280" s="2"/>
      <c r="Z280" s="7">
        <f t="shared" si="143"/>
        <v>-1</v>
      </c>
    </row>
    <row r="281" spans="1:26" s="27" customFormat="1" outlineLevel="1" collapsed="1" x14ac:dyDescent="0.25">
      <c r="A281" s="26"/>
      <c r="B281" s="12" t="str">
        <f>CONCATENATE("     ","Telephone/Data Lines                              ")</f>
        <v xml:space="preserve">     Telephone/Data Lines                              </v>
      </c>
      <c r="C281" s="12"/>
      <c r="D281" s="1">
        <f>SUM(OSRRefD22_21x_0)</f>
        <v>2502.3200000000002</v>
      </c>
      <c r="E281" s="1"/>
      <c r="F281" s="5">
        <f t="shared" ref="F281:F283" si="144">IF(D$12=0,0,D281/D$12)</f>
        <v>9.4604176009619231E-3</v>
      </c>
      <c r="G281" s="1"/>
      <c r="H281" s="1">
        <f>SUM(OSRRefH22_21x_0)</f>
        <v>678.84</v>
      </c>
      <c r="I281" s="1"/>
      <c r="J281" s="5">
        <f t="shared" ref="J281:J283" si="145">IF(H$12=0,0,H281/H$12)</f>
        <v>3.2156882993597184E-3</v>
      </c>
      <c r="K281" s="1"/>
      <c r="L281" s="1">
        <f t="shared" ref="L281:L283" si="146">+D281-H281</f>
        <v>1823.48</v>
      </c>
      <c r="M281" s="1"/>
      <c r="N281" s="5">
        <f t="shared" ref="N281:N283" si="147">IF(H281=0,0,L281/H281)</f>
        <v>2.6861705261917388</v>
      </c>
      <c r="O281" s="12"/>
      <c r="P281" s="1">
        <f>SUM(OSRRefP22_21x_0)</f>
        <v>26185.1</v>
      </c>
      <c r="Q281" s="1"/>
      <c r="R281" s="5">
        <f t="shared" ref="R281:R283" si="148">IF(P$12=0,0,P281/P$12)</f>
        <v>4.7836225698828878E-3</v>
      </c>
      <c r="S281" s="1"/>
      <c r="T281" s="1">
        <f>SUM(OSRRefT22_21x_0)</f>
        <v>28535.31</v>
      </c>
      <c r="U281" s="1"/>
      <c r="V281" s="5">
        <f t="shared" ref="V281:V283" si="149">IF(T$12=0,0,T281/T$12)</f>
        <v>3.08895330247879E-3</v>
      </c>
      <c r="W281" s="1"/>
      <c r="X281" s="1">
        <f t="shared" ref="X281:X283" si="150">+P281-T281</f>
        <v>-2350.2100000000028</v>
      </c>
      <c r="Y281" s="1"/>
      <c r="Z281" s="5">
        <f t="shared" ref="Z281:Z283" si="151">IF(T281=0,0,X281/T281)</f>
        <v>-8.2361467248822692E-2</v>
      </c>
    </row>
    <row r="282" spans="1:26" s="23" customFormat="1" hidden="1" outlineLevel="2" x14ac:dyDescent="0.25">
      <c r="A282" s="25"/>
      <c r="B282" s="10" t="str">
        <f>CONCATENATE("          ", "6303", " - ", "DATA PHONE LINES")</f>
        <v xml:space="preserve">          6303 - DATA PHONE LINES</v>
      </c>
      <c r="C282" s="10"/>
      <c r="D282" s="6"/>
      <c r="E282" s="2"/>
      <c r="F282" s="7">
        <f t="shared" si="144"/>
        <v>0</v>
      </c>
      <c r="G282" s="2"/>
      <c r="H282" s="6"/>
      <c r="I282" s="2"/>
      <c r="J282" s="7">
        <f t="shared" si="145"/>
        <v>0</v>
      </c>
      <c r="K282" s="2"/>
      <c r="L282" s="6">
        <f t="shared" si="146"/>
        <v>0</v>
      </c>
      <c r="M282" s="2"/>
      <c r="N282" s="7">
        <f t="shared" si="147"/>
        <v>0</v>
      </c>
      <c r="O282" s="10"/>
      <c r="P282" s="6">
        <v>3540</v>
      </c>
      <c r="Q282" s="2"/>
      <c r="R282" s="7">
        <f t="shared" si="148"/>
        <v>6.4670457234783992E-4</v>
      </c>
      <c r="S282" s="2"/>
      <c r="T282" s="6">
        <v>2950</v>
      </c>
      <c r="U282" s="2"/>
      <c r="V282" s="7">
        <f t="shared" si="149"/>
        <v>3.1933811976503601E-4</v>
      </c>
      <c r="W282" s="2"/>
      <c r="X282" s="6">
        <f t="shared" si="150"/>
        <v>590</v>
      </c>
      <c r="Y282" s="2"/>
      <c r="Z282" s="7">
        <f t="shared" si="151"/>
        <v>0.2</v>
      </c>
    </row>
    <row r="283" spans="1:26" s="23" customFormat="1" hidden="1" outlineLevel="2" x14ac:dyDescent="0.25">
      <c r="A283" s="25"/>
      <c r="B283" s="10" t="str">
        <f>CONCATENATE("          ", "6309", " - ", "TELEPHONE")</f>
        <v xml:space="preserve">          6309 - TELEPHONE</v>
      </c>
      <c r="C283" s="10"/>
      <c r="D283" s="6">
        <v>2502.3200000000002</v>
      </c>
      <c r="E283" s="2"/>
      <c r="F283" s="7">
        <f t="shared" si="144"/>
        <v>9.4604176009619231E-3</v>
      </c>
      <c r="G283" s="2"/>
      <c r="H283" s="6">
        <v>678.84</v>
      </c>
      <c r="I283" s="2"/>
      <c r="J283" s="7">
        <f t="shared" si="145"/>
        <v>3.2156882993597184E-3</v>
      </c>
      <c r="K283" s="2"/>
      <c r="L283" s="6">
        <f t="shared" si="146"/>
        <v>1823.48</v>
      </c>
      <c r="M283" s="2"/>
      <c r="N283" s="7">
        <f t="shared" si="147"/>
        <v>2.6861705261917388</v>
      </c>
      <c r="O283" s="10"/>
      <c r="P283" s="6">
        <v>22645.1</v>
      </c>
      <c r="Q283" s="2"/>
      <c r="R283" s="7">
        <f t="shared" si="148"/>
        <v>4.136917997535048E-3</v>
      </c>
      <c r="S283" s="2"/>
      <c r="T283" s="6">
        <v>25585.31</v>
      </c>
      <c r="U283" s="2"/>
      <c r="V283" s="7">
        <f t="shared" si="149"/>
        <v>2.7696151827137539E-3</v>
      </c>
      <c r="W283" s="2"/>
      <c r="X283" s="6">
        <f t="shared" si="150"/>
        <v>-2940.2100000000028</v>
      </c>
      <c r="Y283" s="2"/>
      <c r="Z283" s="7">
        <f t="shared" si="151"/>
        <v>-0.11491789624593185</v>
      </c>
    </row>
    <row r="284" spans="1:26" s="27" customFormat="1" outlineLevel="1" collapsed="1" x14ac:dyDescent="0.25">
      <c r="A284" s="26"/>
      <c r="B284" s="12" t="str">
        <f>CONCATENATE("     ","Training                                          ")</f>
        <v xml:space="preserve">     Training                                          </v>
      </c>
      <c r="C284" s="12"/>
      <c r="D284" s="1">
        <f>SUM(OSRRefD22_22x_0)</f>
        <v>0</v>
      </c>
      <c r="E284" s="1"/>
      <c r="F284" s="5">
        <f t="shared" ref="F284:F289" si="152">IF(D$12=0,0,D284/D$12)</f>
        <v>0</v>
      </c>
      <c r="G284" s="1"/>
      <c r="H284" s="1">
        <f>SUM(OSRRefH22_22x_0)</f>
        <v>0</v>
      </c>
      <c r="I284" s="1"/>
      <c r="J284" s="5">
        <f t="shared" ref="J284:J289" si="153">IF(H$12=0,0,H284/H$12)</f>
        <v>0</v>
      </c>
      <c r="K284" s="1"/>
      <c r="L284" s="1">
        <f t="shared" ref="L284:L289" si="154">+D284-H284</f>
        <v>0</v>
      </c>
      <c r="M284" s="1"/>
      <c r="N284" s="5">
        <f t="shared" ref="N284:N289" si="155">IF(H284=0,0,L284/H284)</f>
        <v>0</v>
      </c>
      <c r="O284" s="12"/>
      <c r="P284" s="1">
        <f>SUM(OSRRefP22_22x_0)</f>
        <v>895.63</v>
      </c>
      <c r="Q284" s="1"/>
      <c r="R284" s="5">
        <f t="shared" ref="R284:R289" si="156">IF(P$12=0,0,P284/P$12)</f>
        <v>1.6361808365307793E-4</v>
      </c>
      <c r="S284" s="1"/>
      <c r="T284" s="1">
        <f>SUM(OSRRefT22_22x_0)</f>
        <v>23857.01</v>
      </c>
      <c r="U284" s="1"/>
      <c r="V284" s="5">
        <f t="shared" ref="V284:V289" si="157">IF(T$12=0,0,T284/T$12)</f>
        <v>2.5825263446154784E-3</v>
      </c>
      <c r="W284" s="1"/>
      <c r="X284" s="1">
        <f t="shared" ref="X284:X289" si="158">+P284-T284</f>
        <v>-22961.379999999997</v>
      </c>
      <c r="Y284" s="1"/>
      <c r="Z284" s="5">
        <f t="shared" ref="Z284:Z289" si="159">IF(T284=0,0,X284/T284)</f>
        <v>-0.96245841369056717</v>
      </c>
    </row>
    <row r="285" spans="1:26" s="23" customFormat="1" hidden="1" outlineLevel="2" x14ac:dyDescent="0.25">
      <c r="A285" s="25"/>
      <c r="B285" s="10" t="str">
        <f>CONCATENATE("          ", "6376", " - ", "TRAINING")</f>
        <v xml:space="preserve">          6376 - TRAINING</v>
      </c>
      <c r="C285" s="10"/>
      <c r="D285" s="6"/>
      <c r="E285" s="2"/>
      <c r="F285" s="7">
        <f t="shared" si="152"/>
        <v>0</v>
      </c>
      <c r="G285" s="2"/>
      <c r="H285" s="6"/>
      <c r="I285" s="2"/>
      <c r="J285" s="7">
        <f t="shared" si="153"/>
        <v>0</v>
      </c>
      <c r="K285" s="2"/>
      <c r="L285" s="6">
        <f t="shared" si="154"/>
        <v>0</v>
      </c>
      <c r="M285" s="2"/>
      <c r="N285" s="7">
        <f t="shared" si="155"/>
        <v>0</v>
      </c>
      <c r="O285" s="10"/>
      <c r="P285" s="6">
        <v>895.63</v>
      </c>
      <c r="Q285" s="2"/>
      <c r="R285" s="7">
        <f t="shared" si="156"/>
        <v>1.6361808365307793E-4</v>
      </c>
      <c r="S285" s="2"/>
      <c r="T285" s="6">
        <v>23857.01</v>
      </c>
      <c r="U285" s="2"/>
      <c r="V285" s="7">
        <f t="shared" si="157"/>
        <v>2.5825263446154784E-3</v>
      </c>
      <c r="W285" s="2"/>
      <c r="X285" s="6">
        <f t="shared" si="158"/>
        <v>-22961.379999999997</v>
      </c>
      <c r="Y285" s="2"/>
      <c r="Z285" s="7">
        <f t="shared" si="159"/>
        <v>-0.96245841369056717</v>
      </c>
    </row>
    <row r="286" spans="1:26" s="27" customFormat="1" outlineLevel="1" collapsed="1" x14ac:dyDescent="0.25">
      <c r="A286" s="26"/>
      <c r="B286" s="12" t="str">
        <f>CONCATENATE("     ","Travel                                            ")</f>
        <v xml:space="preserve">     Travel                                            </v>
      </c>
      <c r="C286" s="12"/>
      <c r="D286" s="1">
        <f>SUM(OSRRefD22_23x_0)</f>
        <v>67.62</v>
      </c>
      <c r="E286" s="1"/>
      <c r="F286" s="5">
        <f t="shared" si="152"/>
        <v>2.5564813380264927E-4</v>
      </c>
      <c r="G286" s="1"/>
      <c r="H286" s="1">
        <f>SUM(OSRRefH22_23x_0)</f>
        <v>0</v>
      </c>
      <c r="I286" s="1"/>
      <c r="J286" s="5">
        <f t="shared" si="153"/>
        <v>0</v>
      </c>
      <c r="K286" s="1"/>
      <c r="L286" s="1">
        <f t="shared" si="154"/>
        <v>67.62</v>
      </c>
      <c r="M286" s="1"/>
      <c r="N286" s="5">
        <f t="shared" si="155"/>
        <v>0</v>
      </c>
      <c r="O286" s="12"/>
      <c r="P286" s="1">
        <f>SUM(OSRRefP22_23x_0)</f>
        <v>1040.0200000000002</v>
      </c>
      <c r="Q286" s="1"/>
      <c r="R286" s="5">
        <f t="shared" si="156"/>
        <v>1.8999595743875725E-4</v>
      </c>
      <c r="S286" s="1"/>
      <c r="T286" s="1">
        <f>SUM(OSRRefT22_23x_0)</f>
        <v>1317.79</v>
      </c>
      <c r="U286" s="1"/>
      <c r="V286" s="5">
        <f t="shared" si="157"/>
        <v>1.4265104435429385E-4</v>
      </c>
      <c r="W286" s="1"/>
      <c r="X286" s="1">
        <f t="shared" si="158"/>
        <v>-277.76999999999975</v>
      </c>
      <c r="Y286" s="1"/>
      <c r="Z286" s="5">
        <f t="shared" si="159"/>
        <v>-0.21078472290729158</v>
      </c>
    </row>
    <row r="287" spans="1:26" s="23" customFormat="1" hidden="1" outlineLevel="2" x14ac:dyDescent="0.25">
      <c r="A287" s="25"/>
      <c r="B287" s="10" t="str">
        <f>CONCATENATE("          ", "6292", " - ", "TRAVEL/CONFERENCE")</f>
        <v xml:space="preserve">          6292 - TRAVEL/CONFERENCE</v>
      </c>
      <c r="C287" s="10"/>
      <c r="D287" s="6"/>
      <c r="E287" s="2"/>
      <c r="F287" s="7">
        <f t="shared" si="152"/>
        <v>0</v>
      </c>
      <c r="G287" s="2"/>
      <c r="H287" s="6"/>
      <c r="I287" s="2"/>
      <c r="J287" s="7">
        <f t="shared" si="153"/>
        <v>0</v>
      </c>
      <c r="K287" s="2"/>
      <c r="L287" s="6">
        <f t="shared" si="154"/>
        <v>0</v>
      </c>
      <c r="M287" s="2"/>
      <c r="N287" s="7">
        <f t="shared" si="155"/>
        <v>0</v>
      </c>
      <c r="O287" s="10"/>
      <c r="P287" s="6">
        <v>299.16000000000003</v>
      </c>
      <c r="Q287" s="2"/>
      <c r="R287" s="7">
        <f t="shared" si="156"/>
        <v>5.4652016910615768E-5</v>
      </c>
      <c r="S287" s="2"/>
      <c r="T287" s="6">
        <v>504.66</v>
      </c>
      <c r="U287" s="2"/>
      <c r="V287" s="7">
        <f t="shared" si="157"/>
        <v>5.4629551023940033E-5</v>
      </c>
      <c r="W287" s="2"/>
      <c r="X287" s="6">
        <f t="shared" si="158"/>
        <v>-205.5</v>
      </c>
      <c r="Y287" s="2"/>
      <c r="Z287" s="7">
        <f t="shared" si="159"/>
        <v>-0.40720485079063129</v>
      </c>
    </row>
    <row r="288" spans="1:26" s="23" customFormat="1" hidden="1" outlineLevel="2" x14ac:dyDescent="0.25">
      <c r="A288" s="25"/>
      <c r="B288" s="10" t="str">
        <f>CONCATENATE("          ", "6294", " - ", "TRAVEL OPERATIONAL")</f>
        <v xml:space="preserve">          6294 - TRAVEL OPERATIONAL</v>
      </c>
      <c r="C288" s="10"/>
      <c r="D288" s="6">
        <v>67.62</v>
      </c>
      <c r="E288" s="2"/>
      <c r="F288" s="7">
        <f t="shared" si="152"/>
        <v>2.5564813380264927E-4</v>
      </c>
      <c r="G288" s="2"/>
      <c r="H288" s="6"/>
      <c r="I288" s="2"/>
      <c r="J288" s="7">
        <f t="shared" si="153"/>
        <v>0</v>
      </c>
      <c r="K288" s="2"/>
      <c r="L288" s="6">
        <f t="shared" si="154"/>
        <v>67.62</v>
      </c>
      <c r="M288" s="2"/>
      <c r="N288" s="7">
        <f t="shared" si="155"/>
        <v>0</v>
      </c>
      <c r="O288" s="10"/>
      <c r="P288" s="6">
        <v>680.97</v>
      </c>
      <c r="Q288" s="2"/>
      <c r="R288" s="7">
        <f t="shared" si="156"/>
        <v>1.2440294142138661E-4</v>
      </c>
      <c r="S288" s="2"/>
      <c r="T288" s="6">
        <v>361.61</v>
      </c>
      <c r="U288" s="2"/>
      <c r="V288" s="7">
        <f t="shared" si="157"/>
        <v>3.9144358470588028E-5</v>
      </c>
      <c r="W288" s="2"/>
      <c r="X288" s="6">
        <f t="shared" si="158"/>
        <v>319.36</v>
      </c>
      <c r="Y288" s="2"/>
      <c r="Z288" s="7">
        <f t="shared" si="159"/>
        <v>0.88316141699621142</v>
      </c>
    </row>
    <row r="289" spans="1:26" s="23" customFormat="1" hidden="1" outlineLevel="2" x14ac:dyDescent="0.25">
      <c r="A289" s="25"/>
      <c r="B289" s="10" t="str">
        <f>CONCATENATE("          ", "6298", " - ", "VEHICLE MILEAGE")</f>
        <v xml:space="preserve">          6298 - VEHICLE MILEAGE</v>
      </c>
      <c r="C289" s="10"/>
      <c r="D289" s="6"/>
      <c r="E289" s="2"/>
      <c r="F289" s="7">
        <f t="shared" si="152"/>
        <v>0</v>
      </c>
      <c r="G289" s="2"/>
      <c r="H289" s="6"/>
      <c r="I289" s="2"/>
      <c r="J289" s="7">
        <f t="shared" si="153"/>
        <v>0</v>
      </c>
      <c r="K289" s="2"/>
      <c r="L289" s="6">
        <f t="shared" si="154"/>
        <v>0</v>
      </c>
      <c r="M289" s="2"/>
      <c r="N289" s="7">
        <f t="shared" si="155"/>
        <v>0</v>
      </c>
      <c r="O289" s="10"/>
      <c r="P289" s="6">
        <v>59.89</v>
      </c>
      <c r="Q289" s="2"/>
      <c r="R289" s="7">
        <f t="shared" si="156"/>
        <v>1.094099910675484E-5</v>
      </c>
      <c r="S289" s="2"/>
      <c r="T289" s="6">
        <v>451.52</v>
      </c>
      <c r="U289" s="2"/>
      <c r="V289" s="7">
        <f t="shared" si="157"/>
        <v>4.8877134859765783E-5</v>
      </c>
      <c r="W289" s="2"/>
      <c r="X289" s="6">
        <f t="shared" si="158"/>
        <v>-391.63</v>
      </c>
      <c r="Y289" s="2"/>
      <c r="Z289" s="7">
        <f t="shared" si="159"/>
        <v>-0.86735914245216161</v>
      </c>
    </row>
    <row r="290" spans="1:26" s="27" customFormat="1" outlineLevel="1" collapsed="1" x14ac:dyDescent="0.25">
      <c r="A290" s="26"/>
      <c r="B290" s="12" t="str">
        <f>CONCATENATE("     ","Utilities                                         ")</f>
        <v xml:space="preserve">     Utilities                                         </v>
      </c>
      <c r="C290" s="12"/>
      <c r="D290" s="1">
        <f>SUM(OSRRefD22_24x_0)</f>
        <v>5512.94</v>
      </c>
      <c r="E290" s="1"/>
      <c r="F290" s="5">
        <f t="shared" ref="F290:F291" si="160">IF(D$12=0,0,D290/D$12)</f>
        <v>2.084254396282131E-2</v>
      </c>
      <c r="G290" s="1"/>
      <c r="H290" s="1">
        <f>SUM(OSRRefH22_24x_0)</f>
        <v>12846.8</v>
      </c>
      <c r="I290" s="1"/>
      <c r="J290" s="5">
        <f t="shared" ref="J290:J291" si="161">IF(H$12=0,0,H290/H$12)</f>
        <v>6.0855731017934157E-2</v>
      </c>
      <c r="K290" s="1"/>
      <c r="L290" s="1">
        <f t="shared" ref="L290:L291" si="162">+D290-H290</f>
        <v>-7333.86</v>
      </c>
      <c r="M290" s="1"/>
      <c r="N290" s="5">
        <f t="shared" ref="N290:N291" si="163">IF(H290=0,0,L290/H290)</f>
        <v>-0.57087056698944483</v>
      </c>
      <c r="O290" s="12"/>
      <c r="P290" s="1">
        <f>SUM(OSRRefP22_24x_0)</f>
        <v>70355.39</v>
      </c>
      <c r="Q290" s="1"/>
      <c r="R290" s="5">
        <f t="shared" ref="R290:R291" si="164">IF(P$12=0,0,P290/P$12)</f>
        <v>1.2852867910258615E-2</v>
      </c>
      <c r="S290" s="1"/>
      <c r="T290" s="1">
        <f>SUM(OSRRefT22_24x_0)</f>
        <v>78211.58</v>
      </c>
      <c r="U290" s="1"/>
      <c r="V290" s="5">
        <f t="shared" ref="V290:V291" si="165">IF(T$12=0,0,T290/T$12)</f>
        <v>8.466419966458541E-3</v>
      </c>
      <c r="W290" s="1"/>
      <c r="X290" s="1">
        <f t="shared" ref="X290:X291" si="166">+P290-T290</f>
        <v>-7856.1900000000023</v>
      </c>
      <c r="Y290" s="1"/>
      <c r="Z290" s="5">
        <f t="shared" ref="Z290:Z291" si="167">IF(T290=0,0,X290/T290)</f>
        <v>-0.10044791321182876</v>
      </c>
    </row>
    <row r="291" spans="1:26" s="23" customFormat="1" hidden="1" outlineLevel="2" x14ac:dyDescent="0.25">
      <c r="A291" s="25"/>
      <c r="B291" s="10" t="str">
        <f>CONCATENATE("          ", "6274", " - ", "UTILITIES")</f>
        <v xml:space="preserve">          6274 - UTILITIES</v>
      </c>
      <c r="C291" s="10"/>
      <c r="D291" s="6">
        <v>5512.94</v>
      </c>
      <c r="E291" s="2"/>
      <c r="F291" s="7">
        <f t="shared" si="160"/>
        <v>2.084254396282131E-2</v>
      </c>
      <c r="G291" s="2"/>
      <c r="H291" s="6">
        <v>12846.8</v>
      </c>
      <c r="I291" s="2"/>
      <c r="J291" s="7">
        <f t="shared" si="161"/>
        <v>6.0855731017934157E-2</v>
      </c>
      <c r="K291" s="2"/>
      <c r="L291" s="6">
        <f t="shared" si="162"/>
        <v>-7333.86</v>
      </c>
      <c r="M291" s="2"/>
      <c r="N291" s="7">
        <f t="shared" si="163"/>
        <v>-0.57087056698944483</v>
      </c>
      <c r="O291" s="10"/>
      <c r="P291" s="6">
        <v>70355.39</v>
      </c>
      <c r="Q291" s="2"/>
      <c r="R291" s="7">
        <f t="shared" si="164"/>
        <v>1.2852867910258615E-2</v>
      </c>
      <c r="S291" s="2"/>
      <c r="T291" s="6">
        <v>78211.58</v>
      </c>
      <c r="U291" s="2"/>
      <c r="V291" s="7">
        <f t="shared" si="165"/>
        <v>8.466419966458541E-3</v>
      </c>
      <c r="W291" s="2"/>
      <c r="X291" s="6">
        <f t="shared" si="166"/>
        <v>-7856.1900000000023</v>
      </c>
      <c r="Y291" s="2"/>
      <c r="Z291" s="7">
        <f t="shared" si="167"/>
        <v>-0.10044791321182876</v>
      </c>
    </row>
    <row r="292" spans="1:26" s="52" customFormat="1" x14ac:dyDescent="0.25">
      <c r="A292" s="37"/>
      <c r="B292" s="37"/>
      <c r="C292" s="37"/>
      <c r="D292" s="1"/>
      <c r="E292" s="1"/>
      <c r="F292" s="5"/>
      <c r="G292" s="1"/>
      <c r="H292" s="1"/>
      <c r="I292" s="1"/>
      <c r="J292" s="5"/>
      <c r="K292" s="1"/>
      <c r="L292" s="1"/>
      <c r="M292" s="1"/>
      <c r="N292" s="5"/>
      <c r="O292" s="37"/>
      <c r="P292" s="1"/>
      <c r="Q292" s="1"/>
      <c r="R292" s="5"/>
      <c r="S292" s="1"/>
      <c r="T292" s="1"/>
      <c r="U292" s="1"/>
      <c r="V292" s="5"/>
      <c r="W292" s="1"/>
      <c r="X292" s="1"/>
      <c r="Y292" s="1"/>
      <c r="Z292" s="5"/>
    </row>
    <row r="293" spans="1:26" s="24" customFormat="1" collapsed="1" x14ac:dyDescent="0.25">
      <c r="A293" s="11"/>
      <c r="B293" s="29" t="s">
        <v>292</v>
      </c>
      <c r="C293" s="11"/>
      <c r="D293" s="4">
        <f>SUM(OSRRefD25x_0)</f>
        <v>401496.27999999997</v>
      </c>
      <c r="E293" s="4"/>
      <c r="F293" s="13">
        <f t="shared" ref="F293:F302" si="168">IF(D$12=0,0,D293/D$12)</f>
        <v>1.5179203595194604</v>
      </c>
      <c r="G293" s="4"/>
      <c r="H293" s="4">
        <f>SUM(OSRRefH25x_0)</f>
        <v>38229.74</v>
      </c>
      <c r="I293" s="4"/>
      <c r="J293" s="13">
        <f t="shared" ref="J293:J302" si="169">IF(H$12=0,0,H293/H$12)</f>
        <v>0.18109558600784306</v>
      </c>
      <c r="K293" s="4"/>
      <c r="L293" s="4">
        <f t="shared" ref="L293:L302" si="170">+D293-H293</f>
        <v>363266.54</v>
      </c>
      <c r="M293" s="4"/>
      <c r="N293" s="13">
        <f t="shared" ref="N293:N302" si="171">IF(H293=0,0,L293/H293)</f>
        <v>9.502197503828171</v>
      </c>
      <c r="O293" s="11"/>
      <c r="P293" s="4">
        <f>SUM(OSRRefP25x_0)</f>
        <v>1454588.11</v>
      </c>
      <c r="Q293" s="4"/>
      <c r="R293" s="13">
        <f t="shared" ref="R293:R302" si="172">IF(P$12=0,0,P293/P$12)</f>
        <v>0.26573129424288217</v>
      </c>
      <c r="S293" s="4"/>
      <c r="T293" s="4">
        <f>SUM(OSRRefT25x_0)</f>
        <v>1207334.8899999999</v>
      </c>
      <c r="U293" s="4"/>
      <c r="V293" s="13">
        <f t="shared" ref="V293:V302" si="173">IF(T$12=0,0,T293/T$12)</f>
        <v>0.13069425549129715</v>
      </c>
      <c r="W293" s="4"/>
      <c r="X293" s="4">
        <f t="shared" ref="X293:X302" si="174">+P293-T293</f>
        <v>247253.2200000002</v>
      </c>
      <c r="Y293" s="4"/>
      <c r="Z293" s="13">
        <f t="shared" ref="Z293:Z302" si="175">IF(T293=0,0,X293/T293)</f>
        <v>0.204792574163081</v>
      </c>
    </row>
    <row r="294" spans="1:26" s="23" customFormat="1" hidden="1" outlineLevel="1" x14ac:dyDescent="0.25">
      <c r="A294" s="44"/>
      <c r="B294" s="10" t="str">
        <f>CONCATENATE("          ", "4098", " - ", "TAXABLE SALES-GRAD RENTALS")</f>
        <v xml:space="preserve">          4098 - TAXABLE SALES-GRAD RENTALS</v>
      </c>
      <c r="C294" s="10"/>
      <c r="D294" s="2">
        <f>--1017.7</f>
        <v>1017.7</v>
      </c>
      <c r="E294" s="2"/>
      <c r="F294" s="19">
        <f t="shared" si="168"/>
        <v>3.847576246243066E-3</v>
      </c>
      <c r="G294" s="2"/>
      <c r="H294" s="2">
        <f t="shared" ref="H294:H296" si="176">0</f>
        <v>0</v>
      </c>
      <c r="I294" s="2"/>
      <c r="J294" s="19">
        <f t="shared" si="169"/>
        <v>0</v>
      </c>
      <c r="K294" s="2"/>
      <c r="L294" s="2">
        <f t="shared" si="170"/>
        <v>1017.7</v>
      </c>
      <c r="M294" s="2"/>
      <c r="N294" s="19">
        <f t="shared" si="171"/>
        <v>0</v>
      </c>
      <c r="O294" s="10"/>
      <c r="P294" s="2">
        <f>--1067.65</f>
        <v>1067.6500000000001</v>
      </c>
      <c r="Q294" s="2"/>
      <c r="R294" s="19">
        <f t="shared" si="172"/>
        <v>1.9504354143140435E-4</v>
      </c>
      <c r="S294" s="2"/>
      <c r="T294" s="2">
        <f>--1946.85</f>
        <v>1946.85</v>
      </c>
      <c r="U294" s="2"/>
      <c r="V294" s="19">
        <f t="shared" si="173"/>
        <v>2.107469215134103E-4</v>
      </c>
      <c r="W294" s="2"/>
      <c r="X294" s="2">
        <f t="shared" si="174"/>
        <v>-879.19999999999982</v>
      </c>
      <c r="Y294" s="2"/>
      <c r="Z294" s="19">
        <f t="shared" si="175"/>
        <v>-0.451601304671649</v>
      </c>
    </row>
    <row r="295" spans="1:26" s="23" customFormat="1" hidden="1" outlineLevel="1" x14ac:dyDescent="0.25">
      <c r="A295" s="44"/>
      <c r="B295" s="10" t="str">
        <f>CONCATENATE("          ", "4197", " - ", "NON-TAXABLE SALES-RETURNED CHE")</f>
        <v xml:space="preserve">          4197 - NON-TAXABLE SALES-RETURNED CHE</v>
      </c>
      <c r="C295" s="10"/>
      <c r="D295" s="2">
        <f t="shared" ref="D295:D296" si="177">0</f>
        <v>0</v>
      </c>
      <c r="E295" s="2"/>
      <c r="F295" s="19">
        <f t="shared" si="168"/>
        <v>0</v>
      </c>
      <c r="G295" s="2"/>
      <c r="H295" s="2">
        <f t="shared" si="176"/>
        <v>0</v>
      </c>
      <c r="I295" s="2"/>
      <c r="J295" s="19">
        <f t="shared" si="169"/>
        <v>0</v>
      </c>
      <c r="K295" s="2"/>
      <c r="L295" s="2">
        <f t="shared" si="170"/>
        <v>0</v>
      </c>
      <c r="M295" s="2"/>
      <c r="N295" s="19">
        <f t="shared" si="171"/>
        <v>0</v>
      </c>
      <c r="O295" s="10"/>
      <c r="P295" s="2">
        <f t="shared" ref="P295:P296" si="178">0</f>
        <v>0</v>
      </c>
      <c r="Q295" s="2"/>
      <c r="R295" s="19">
        <f t="shared" si="172"/>
        <v>0</v>
      </c>
      <c r="S295" s="2"/>
      <c r="T295" s="2">
        <f>--30</f>
        <v>30</v>
      </c>
      <c r="U295" s="2"/>
      <c r="V295" s="19">
        <f t="shared" si="173"/>
        <v>3.2475063026952815E-6</v>
      </c>
      <c r="W295" s="2"/>
      <c r="X295" s="2">
        <f t="shared" si="174"/>
        <v>-30</v>
      </c>
      <c r="Y295" s="2"/>
      <c r="Z295" s="19">
        <f t="shared" si="175"/>
        <v>-1</v>
      </c>
    </row>
    <row r="296" spans="1:26" s="23" customFormat="1" hidden="1" outlineLevel="1" x14ac:dyDescent="0.25">
      <c r="A296" s="44"/>
      <c r="B296" s="10" t="str">
        <f>CONCATENATE("          ", "4198", " - ", "NON-TAXABLE SALES-GRAD RENTALS")</f>
        <v xml:space="preserve">          4198 - NON-TAXABLE SALES-GRAD RENTALS</v>
      </c>
      <c r="C296" s="10"/>
      <c r="D296" s="2">
        <f t="shared" si="177"/>
        <v>0</v>
      </c>
      <c r="E296" s="2"/>
      <c r="F296" s="19">
        <f t="shared" si="168"/>
        <v>0</v>
      </c>
      <c r="G296" s="2"/>
      <c r="H296" s="2">
        <f t="shared" si="176"/>
        <v>0</v>
      </c>
      <c r="I296" s="2"/>
      <c r="J296" s="19">
        <f t="shared" si="169"/>
        <v>0</v>
      </c>
      <c r="K296" s="2"/>
      <c r="L296" s="2">
        <f t="shared" si="170"/>
        <v>0</v>
      </c>
      <c r="M296" s="2"/>
      <c r="N296" s="19">
        <f t="shared" si="171"/>
        <v>0</v>
      </c>
      <c r="O296" s="10"/>
      <c r="P296" s="2">
        <f t="shared" si="178"/>
        <v>0</v>
      </c>
      <c r="Q296" s="2"/>
      <c r="R296" s="19">
        <f t="shared" si="172"/>
        <v>0</v>
      </c>
      <c r="S296" s="2"/>
      <c r="T296" s="2">
        <f>--163.76</f>
        <v>163.76</v>
      </c>
      <c r="U296" s="2"/>
      <c r="V296" s="19">
        <f t="shared" si="173"/>
        <v>1.7727054404312644E-5</v>
      </c>
      <c r="W296" s="2"/>
      <c r="X296" s="2">
        <f t="shared" si="174"/>
        <v>-163.76</v>
      </c>
      <c r="Y296" s="2"/>
      <c r="Z296" s="19">
        <f t="shared" si="175"/>
        <v>-1</v>
      </c>
    </row>
    <row r="297" spans="1:26" s="23" customFormat="1" hidden="1" outlineLevel="1" x14ac:dyDescent="0.25">
      <c r="A297" s="44"/>
      <c r="B297" s="10" t="str">
        <f>CONCATENATE("          ", "9150", " - ", "MISC. INCOME")</f>
        <v xml:space="preserve">          9150 - MISC. INCOME</v>
      </c>
      <c r="C297" s="10"/>
      <c r="D297" s="2">
        <f>--19962.55</f>
        <v>19962.55</v>
      </c>
      <c r="E297" s="2"/>
      <c r="F297" s="19">
        <f t="shared" si="168"/>
        <v>7.547158612011351E-2</v>
      </c>
      <c r="G297" s="2"/>
      <c r="H297" s="2">
        <f>--56165.1</f>
        <v>56165.1</v>
      </c>
      <c r="I297" s="2"/>
      <c r="J297" s="19">
        <f t="shared" si="169"/>
        <v>0.26605599979725486</v>
      </c>
      <c r="K297" s="2"/>
      <c r="L297" s="2">
        <f t="shared" si="170"/>
        <v>-36202.550000000003</v>
      </c>
      <c r="M297" s="2"/>
      <c r="N297" s="19">
        <f t="shared" si="171"/>
        <v>-0.64457376555903945</v>
      </c>
      <c r="O297" s="10"/>
      <c r="P297" s="2">
        <f>--423382.84</f>
        <v>423382.84</v>
      </c>
      <c r="Q297" s="2"/>
      <c r="R297" s="19">
        <f t="shared" si="172"/>
        <v>7.7345654938309027E-2</v>
      </c>
      <c r="S297" s="2"/>
      <c r="T297" s="2">
        <f>--532203.21</f>
        <v>532203.21</v>
      </c>
      <c r="U297" s="2"/>
      <c r="V297" s="19">
        <f t="shared" si="173"/>
        <v>5.7611109292988683E-2</v>
      </c>
      <c r="W297" s="2"/>
      <c r="X297" s="2">
        <f t="shared" si="174"/>
        <v>-108820.36999999994</v>
      </c>
      <c r="Y297" s="2"/>
      <c r="Z297" s="19">
        <f t="shared" si="175"/>
        <v>-0.20447146495038981</v>
      </c>
    </row>
    <row r="298" spans="1:26" s="23" customFormat="1" hidden="1" outlineLevel="1" x14ac:dyDescent="0.25">
      <c r="A298" s="44"/>
      <c r="B298" s="10" t="str">
        <f>CONCATENATE("          ", "9151", " - ", "MISC. INCOME")</f>
        <v xml:space="preserve">          9151 - MISC. INCOME</v>
      </c>
      <c r="C298" s="10"/>
      <c r="D298" s="2">
        <f>0</f>
        <v>0</v>
      </c>
      <c r="E298" s="2"/>
      <c r="F298" s="19">
        <f t="shared" si="168"/>
        <v>0</v>
      </c>
      <c r="G298" s="2"/>
      <c r="H298" s="2">
        <f>-18698.07</f>
        <v>-18698.07</v>
      </c>
      <c r="I298" s="2"/>
      <c r="J298" s="19">
        <f t="shared" si="169"/>
        <v>-8.8573397147500094E-2</v>
      </c>
      <c r="K298" s="2"/>
      <c r="L298" s="2">
        <f t="shared" si="170"/>
        <v>18698.07</v>
      </c>
      <c r="M298" s="2"/>
      <c r="N298" s="19">
        <f t="shared" si="171"/>
        <v>-1</v>
      </c>
      <c r="O298" s="10"/>
      <c r="P298" s="2">
        <f>--295628.46</f>
        <v>295628.46000000002</v>
      </c>
      <c r="Q298" s="2"/>
      <c r="R298" s="19">
        <f t="shared" si="172"/>
        <v>5.4006857852584897E-2</v>
      </c>
      <c r="S298" s="2"/>
      <c r="T298" s="2">
        <f>--150694.63</f>
        <v>150694.63</v>
      </c>
      <c r="U298" s="2"/>
      <c r="V298" s="19">
        <f t="shared" si="173"/>
        <v>1.6312725356911115E-2</v>
      </c>
      <c r="W298" s="2"/>
      <c r="X298" s="2">
        <f t="shared" si="174"/>
        <v>144933.83000000002</v>
      </c>
      <c r="Y298" s="2"/>
      <c r="Z298" s="19">
        <f t="shared" si="175"/>
        <v>0.96177169684148678</v>
      </c>
    </row>
    <row r="299" spans="1:26" s="23" customFormat="1" hidden="1" outlineLevel="1" x14ac:dyDescent="0.25">
      <c r="A299" s="44"/>
      <c r="B299" s="10" t="str">
        <f>CONCATENATE("          ", "9152", " - ", "MISC. INCOME")</f>
        <v xml:space="preserve">          9152 - MISC. INCOME</v>
      </c>
      <c r="C299" s="10"/>
      <c r="D299" s="2">
        <f>--1755.54</f>
        <v>1755.54</v>
      </c>
      <c r="E299" s="2"/>
      <c r="F299" s="19">
        <f t="shared" si="168"/>
        <v>6.6370973797087078E-3</v>
      </c>
      <c r="G299" s="2"/>
      <c r="H299" s="2">
        <f>--762.71</f>
        <v>762.71</v>
      </c>
      <c r="I299" s="2"/>
      <c r="J299" s="19">
        <f t="shared" si="169"/>
        <v>3.612983358088284E-3</v>
      </c>
      <c r="K299" s="2"/>
      <c r="L299" s="2">
        <f t="shared" si="170"/>
        <v>992.82999999999993</v>
      </c>
      <c r="M299" s="2"/>
      <c r="N299" s="19">
        <f t="shared" si="171"/>
        <v>1.3017136264110867</v>
      </c>
      <c r="O299" s="10"/>
      <c r="P299" s="2">
        <f>--7408.11</f>
        <v>7408.11</v>
      </c>
      <c r="Q299" s="2"/>
      <c r="R299" s="19">
        <f t="shared" si="172"/>
        <v>1.3533498896767674E-3</v>
      </c>
      <c r="S299" s="2"/>
      <c r="T299" s="2">
        <f>--10637.6</f>
        <v>10637.6</v>
      </c>
      <c r="U299" s="2"/>
      <c r="V299" s="19">
        <f t="shared" si="173"/>
        <v>1.1515224348517109E-3</v>
      </c>
      <c r="W299" s="2"/>
      <c r="X299" s="2">
        <f t="shared" si="174"/>
        <v>-3229.4900000000007</v>
      </c>
      <c r="Y299" s="2"/>
      <c r="Z299" s="19">
        <f t="shared" si="175"/>
        <v>-0.30359197563360163</v>
      </c>
    </row>
    <row r="300" spans="1:26" s="23" customFormat="1" hidden="1" outlineLevel="1" x14ac:dyDescent="0.25">
      <c r="A300" s="44"/>
      <c r="B300" s="10" t="str">
        <f>CONCATENATE("          ", "9153", " - ", "MISC. INCOME")</f>
        <v xml:space="preserve">          9153 - MISC. INCOME</v>
      </c>
      <c r="C300" s="10"/>
      <c r="D300" s="2">
        <f t="shared" ref="D300:D301" si="179">0</f>
        <v>0</v>
      </c>
      <c r="E300" s="2"/>
      <c r="F300" s="19">
        <f t="shared" si="168"/>
        <v>0</v>
      </c>
      <c r="G300" s="2"/>
      <c r="H300" s="2">
        <f t="shared" ref="H300:H302" si="180">0</f>
        <v>0</v>
      </c>
      <c r="I300" s="2"/>
      <c r="J300" s="19">
        <f t="shared" si="169"/>
        <v>0</v>
      </c>
      <c r="K300" s="2"/>
      <c r="L300" s="2">
        <f t="shared" si="170"/>
        <v>0</v>
      </c>
      <c r="M300" s="2"/>
      <c r="N300" s="19">
        <f t="shared" si="171"/>
        <v>0</v>
      </c>
      <c r="O300" s="10"/>
      <c r="P300" s="2">
        <f t="shared" ref="P300:P301" si="181">0</f>
        <v>0</v>
      </c>
      <c r="Q300" s="2"/>
      <c r="R300" s="19">
        <f t="shared" si="172"/>
        <v>0</v>
      </c>
      <c r="S300" s="2"/>
      <c r="T300" s="2">
        <f>--450</f>
        <v>450</v>
      </c>
      <c r="U300" s="2"/>
      <c r="V300" s="19">
        <f t="shared" si="173"/>
        <v>4.8712594540429228E-5</v>
      </c>
      <c r="W300" s="2"/>
      <c r="X300" s="2">
        <f t="shared" si="174"/>
        <v>-450</v>
      </c>
      <c r="Y300" s="2"/>
      <c r="Z300" s="19">
        <f t="shared" si="175"/>
        <v>-1</v>
      </c>
    </row>
    <row r="301" spans="1:26" s="23" customFormat="1" hidden="1" outlineLevel="1" x14ac:dyDescent="0.25">
      <c r="A301" s="44"/>
      <c r="B301" s="10" t="str">
        <f>CONCATENATE("          ", "9160", " - ", "MISC. INCOME")</f>
        <v xml:space="preserve">          9160 - MISC. INCOME</v>
      </c>
      <c r="C301" s="10"/>
      <c r="D301" s="2">
        <f t="shared" si="179"/>
        <v>0</v>
      </c>
      <c r="E301" s="2"/>
      <c r="F301" s="19">
        <f t="shared" si="168"/>
        <v>0</v>
      </c>
      <c r="G301" s="2"/>
      <c r="H301" s="2">
        <f t="shared" si="180"/>
        <v>0</v>
      </c>
      <c r="I301" s="2"/>
      <c r="J301" s="19">
        <f t="shared" si="169"/>
        <v>0</v>
      </c>
      <c r="K301" s="2"/>
      <c r="L301" s="2">
        <f t="shared" si="170"/>
        <v>0</v>
      </c>
      <c r="M301" s="2"/>
      <c r="N301" s="19">
        <f t="shared" si="171"/>
        <v>0</v>
      </c>
      <c r="O301" s="10"/>
      <c r="P301" s="2">
        <f t="shared" si="181"/>
        <v>0</v>
      </c>
      <c r="Q301" s="2"/>
      <c r="R301" s="19">
        <f t="shared" si="172"/>
        <v>0</v>
      </c>
      <c r="S301" s="2"/>
      <c r="T301" s="2">
        <f>--22475</f>
        <v>22475</v>
      </c>
      <c r="U301" s="2"/>
      <c r="V301" s="19">
        <f t="shared" si="173"/>
        <v>2.4329234717692153E-3</v>
      </c>
      <c r="W301" s="2"/>
      <c r="X301" s="2">
        <f t="shared" si="174"/>
        <v>-22475</v>
      </c>
      <c r="Y301" s="2"/>
      <c r="Z301" s="19">
        <f t="shared" si="175"/>
        <v>-1</v>
      </c>
    </row>
    <row r="302" spans="1:26" s="23" customFormat="1" hidden="1" outlineLevel="1" x14ac:dyDescent="0.25">
      <c r="A302" s="44"/>
      <c r="B302" s="10" t="str">
        <f>CONCATENATE("          ", "9163", " - ", "MISC. INCOME")</f>
        <v xml:space="preserve">          9163 - MISC. INCOME</v>
      </c>
      <c r="C302" s="10"/>
      <c r="D302" s="2">
        <f>--378760.49</f>
        <v>378760.49</v>
      </c>
      <c r="E302" s="2"/>
      <c r="F302" s="19">
        <f t="shared" si="168"/>
        <v>1.4319640997733951</v>
      </c>
      <c r="G302" s="2"/>
      <c r="H302" s="2">
        <f t="shared" si="180"/>
        <v>0</v>
      </c>
      <c r="I302" s="2"/>
      <c r="J302" s="19">
        <f t="shared" si="169"/>
        <v>0</v>
      </c>
      <c r="K302" s="2"/>
      <c r="L302" s="2">
        <f t="shared" si="170"/>
        <v>378760.49</v>
      </c>
      <c r="M302" s="2"/>
      <c r="N302" s="19">
        <f t="shared" si="171"/>
        <v>0</v>
      </c>
      <c r="O302" s="10"/>
      <c r="P302" s="2">
        <f>--727101.05</f>
        <v>727101.05</v>
      </c>
      <c r="Q302" s="2"/>
      <c r="R302" s="19">
        <f t="shared" si="172"/>
        <v>0.13283038802088007</v>
      </c>
      <c r="S302" s="2"/>
      <c r="T302" s="2">
        <f>--488733.84</f>
        <v>488733.84</v>
      </c>
      <c r="U302" s="2"/>
      <c r="V302" s="19">
        <f t="shared" si="173"/>
        <v>5.2905540858015583E-2</v>
      </c>
      <c r="W302" s="2"/>
      <c r="X302" s="2">
        <f t="shared" si="174"/>
        <v>238367.21000000002</v>
      </c>
      <c r="Y302" s="2"/>
      <c r="Z302" s="19">
        <f t="shared" si="175"/>
        <v>0.48772397262280837</v>
      </c>
    </row>
    <row r="303" spans="1:26" x14ac:dyDescent="0.25">
      <c r="A303" s="9"/>
      <c r="B303" s="11"/>
      <c r="C303" s="11"/>
      <c r="D303" s="3"/>
      <c r="E303" s="3"/>
      <c r="F303" s="8"/>
      <c r="G303" s="3"/>
      <c r="H303" s="3"/>
      <c r="I303" s="3"/>
      <c r="J303" s="8"/>
      <c r="K303" s="3"/>
      <c r="L303" s="3"/>
      <c r="M303" s="3"/>
      <c r="N303" s="8"/>
      <c r="O303" s="11"/>
      <c r="P303" s="3"/>
      <c r="Q303" s="3"/>
      <c r="R303" s="8"/>
      <c r="S303" s="3"/>
      <c r="T303" s="3"/>
      <c r="U303" s="3"/>
      <c r="V303" s="8"/>
      <c r="W303" s="3"/>
      <c r="X303" s="3"/>
      <c r="Y303" s="3"/>
      <c r="Z303" s="8"/>
    </row>
    <row r="304" spans="1:26" s="24" customFormat="1" x14ac:dyDescent="0.25">
      <c r="A304" s="11"/>
      <c r="B304" s="28" t="s">
        <v>276</v>
      </c>
      <c r="C304" s="28"/>
      <c r="D304" s="21">
        <f>+D167-D169+D293</f>
        <v>153233.36000000007</v>
      </c>
      <c r="E304" s="14"/>
      <c r="F304" s="22">
        <f>IF(D$12=0,0,D304/D$12)</f>
        <v>0.57932301863811797</v>
      </c>
      <c r="G304" s="14"/>
      <c r="H304" s="21">
        <f>+H167-H169+H293</f>
        <v>-315113.76</v>
      </c>
      <c r="I304" s="14"/>
      <c r="J304" s="22">
        <f>IF(H$12=0,0,H304/H$12)</f>
        <v>-1.4927046594178988</v>
      </c>
      <c r="K304" s="15"/>
      <c r="L304" s="21">
        <f>+D304-H304</f>
        <v>468347.12000000011</v>
      </c>
      <c r="M304" s="15"/>
      <c r="N304" s="22">
        <f>IF(H304=0,0,L304/H304)</f>
        <v>-1.4862794947450093</v>
      </c>
      <c r="O304" s="29"/>
      <c r="P304" s="21">
        <f>+P167-P169+P293</f>
        <v>353880.28999999608</v>
      </c>
      <c r="Q304" s="14"/>
      <c r="R304" s="22">
        <f>IF(P$12=0,0,P304/P$12)</f>
        <v>6.4648588024513287E-2</v>
      </c>
      <c r="S304" s="14"/>
      <c r="T304" s="21">
        <f>+T167-T169+T293</f>
        <v>737137.42000000202</v>
      </c>
      <c r="U304" s="14"/>
      <c r="V304" s="22">
        <f>IF(T$12=0,0,T304/T$12)</f>
        <v>7.9795280580084851E-2</v>
      </c>
      <c r="W304" s="15"/>
      <c r="X304" s="21">
        <f>+P304-T304</f>
        <v>-383257.13000000594</v>
      </c>
      <c r="Y304" s="15"/>
      <c r="Z304" s="22">
        <f>IF(T304=0,0,X304/T304)</f>
        <v>-0.51992629813855451</v>
      </c>
    </row>
    <row r="305" spans="1:26" x14ac:dyDescent="0.25">
      <c r="A305" s="9"/>
      <c r="B305" s="11"/>
      <c r="C305" s="9"/>
      <c r="D305" s="3"/>
      <c r="E305" s="3"/>
      <c r="F305" s="8"/>
      <c r="G305" s="3"/>
      <c r="H305" s="3"/>
      <c r="I305" s="3"/>
      <c r="J305" s="8"/>
      <c r="K305" s="3"/>
      <c r="L305" s="3"/>
      <c r="M305" s="3"/>
      <c r="N305" s="8"/>
      <c r="P305" s="3"/>
      <c r="Q305" s="3"/>
      <c r="R305" s="8"/>
      <c r="S305" s="3"/>
      <c r="T305" s="3"/>
      <c r="U305" s="3"/>
      <c r="V305" s="8"/>
      <c r="W305" s="3"/>
      <c r="X305" s="3"/>
      <c r="Y305" s="3"/>
      <c r="Z305" s="8"/>
    </row>
    <row r="306" spans="1:26" s="24" customFormat="1" x14ac:dyDescent="0.25">
      <c r="A306" s="51"/>
      <c r="B306" s="11" t="s">
        <v>127</v>
      </c>
      <c r="C306" s="11"/>
      <c r="D306" s="4">
        <v>401948.11</v>
      </c>
      <c r="E306" s="4"/>
      <c r="F306" s="13">
        <f>IF(D$12=0,0,D306/D$12)</f>
        <v>1.519628574489825</v>
      </c>
      <c r="G306" s="4"/>
      <c r="H306" s="4">
        <v>329867.09999999998</v>
      </c>
      <c r="I306" s="4"/>
      <c r="J306" s="13">
        <f>IF(H$12=0,0,H306/H$12)</f>
        <v>1.5625917356280155</v>
      </c>
      <c r="K306" s="4"/>
      <c r="L306" s="4">
        <f>+D306-H306</f>
        <v>72081.010000000009</v>
      </c>
      <c r="M306" s="4"/>
      <c r="N306" s="13">
        <f>IF(H306=0,0,L306/H306)</f>
        <v>0.21851530510317643</v>
      </c>
      <c r="O306" s="11"/>
      <c r="P306" s="4">
        <v>1515147.88</v>
      </c>
      <c r="Q306" s="4"/>
      <c r="R306" s="13">
        <f>IF(P$12=0,0,P306/P$12)</f>
        <v>0.27679465022009497</v>
      </c>
      <c r="S306" s="4"/>
      <c r="T306" s="4">
        <v>1398820.59</v>
      </c>
      <c r="U306" s="4"/>
      <c r="V306" s="13">
        <f>IF(T$12=0,0,T306/T$12)</f>
        <v>0.15142262274549775</v>
      </c>
      <c r="W306" s="4"/>
      <c r="X306" s="4">
        <f>+P306-T306</f>
        <v>116327.2899999998</v>
      </c>
      <c r="Y306" s="4"/>
      <c r="Z306" s="13">
        <f>IF(T306=0,0,X306/T306)</f>
        <v>8.3160979207490646E-2</v>
      </c>
    </row>
    <row r="307" spans="1:26" x14ac:dyDescent="0.25">
      <c r="A307" s="9"/>
      <c r="B307" s="11"/>
      <c r="C307" s="11"/>
      <c r="D307" s="3"/>
      <c r="E307" s="3"/>
      <c r="F307" s="8"/>
      <c r="G307" s="3"/>
      <c r="H307" s="3"/>
      <c r="I307" s="3"/>
      <c r="J307" s="8"/>
      <c r="K307" s="3"/>
      <c r="L307" s="3"/>
      <c r="M307" s="3"/>
      <c r="N307" s="8"/>
      <c r="O307" s="11"/>
      <c r="P307" s="3"/>
      <c r="Q307" s="3"/>
      <c r="R307" s="8"/>
      <c r="S307" s="3"/>
      <c r="T307" s="3"/>
      <c r="U307" s="3"/>
      <c r="V307" s="8"/>
      <c r="W307" s="3"/>
      <c r="X307" s="3"/>
      <c r="Y307" s="3"/>
      <c r="Z307" s="8"/>
    </row>
    <row r="308" spans="1:26" s="24" customFormat="1" ht="15.75" thickBot="1" x14ac:dyDescent="0.3">
      <c r="A308" s="11"/>
      <c r="B308" s="28" t="s">
        <v>125</v>
      </c>
      <c r="C308" s="28"/>
      <c r="D308" s="34">
        <f>+D304-D306</f>
        <v>-248714.74999999991</v>
      </c>
      <c r="E308" s="14"/>
      <c r="F308" s="31">
        <f>IF(D$12=0,0,D308/D$12)</f>
        <v>-0.94030555585170705</v>
      </c>
      <c r="G308" s="14"/>
      <c r="H308" s="34">
        <f>+H304-H306</f>
        <v>-644980.86</v>
      </c>
      <c r="I308" s="14"/>
      <c r="J308" s="31">
        <f>IF(H$12=0,0,H308/H$12)</f>
        <v>-3.055296395045914</v>
      </c>
      <c r="K308" s="15"/>
      <c r="L308" s="34">
        <f>D308-H308</f>
        <v>396266.1100000001</v>
      </c>
      <c r="M308" s="15"/>
      <c r="N308" s="31">
        <f>IF(H308=0,0,L308/H308)</f>
        <v>-0.6143842935122138</v>
      </c>
      <c r="O308" s="29"/>
      <c r="P308" s="34">
        <f>+P304-P306</f>
        <v>-1161267.5900000038</v>
      </c>
      <c r="Q308" s="14"/>
      <c r="R308" s="31">
        <f>IF(P$12=0,0,P308/P$12)</f>
        <v>-0.21214606219558171</v>
      </c>
      <c r="S308" s="14"/>
      <c r="T308" s="34">
        <f>+T304-T306</f>
        <v>-661683.16999999806</v>
      </c>
      <c r="U308" s="14"/>
      <c r="V308" s="31">
        <f>IF(T$12=0,0,T308/T$12)</f>
        <v>-7.1627342165412902E-2</v>
      </c>
      <c r="W308" s="15"/>
      <c r="X308" s="34">
        <f>P308-T308</f>
        <v>-499584.42000000575</v>
      </c>
      <c r="Y308" s="15"/>
      <c r="Z308" s="31">
        <f>IF(T308=0,0,X308/T308)</f>
        <v>0.75502059391960541</v>
      </c>
    </row>
    <row r="309" spans="1:26" ht="15.75" thickTop="1" x14ac:dyDescent="0.25">
      <c r="A309" s="9"/>
      <c r="B309" s="9"/>
      <c r="C309" s="9"/>
      <c r="D309" s="3"/>
      <c r="E309" s="3"/>
      <c r="F309" s="8"/>
      <c r="G309" s="3"/>
      <c r="H309" s="3"/>
      <c r="I309" s="3"/>
      <c r="J309" s="8"/>
      <c r="K309" s="3"/>
      <c r="L309" s="3"/>
      <c r="M309" s="3"/>
      <c r="N309" s="8"/>
      <c r="P309" s="3"/>
      <c r="Q309" s="3"/>
      <c r="R309" s="8"/>
      <c r="S309" s="3"/>
      <c r="T309" s="3"/>
      <c r="U309" s="3"/>
      <c r="V309" s="8"/>
      <c r="W309" s="3"/>
      <c r="X309" s="3"/>
      <c r="Y309" s="3"/>
      <c r="Z309" s="8"/>
    </row>
    <row r="310" spans="1:26" x14ac:dyDescent="0.25">
      <c r="A310" s="9"/>
      <c r="B310" s="9"/>
      <c r="C310" s="9"/>
      <c r="D310" s="3"/>
      <c r="E310" s="3"/>
      <c r="F310" s="8"/>
      <c r="G310" s="3"/>
      <c r="H310" s="3"/>
      <c r="I310" s="3"/>
      <c r="J310" s="8"/>
      <c r="K310" s="3"/>
      <c r="L310" s="3"/>
      <c r="M310" s="3"/>
      <c r="N310" s="8"/>
      <c r="P310" s="3"/>
      <c r="Q310" s="3"/>
      <c r="R310" s="8"/>
      <c r="S310" s="3"/>
      <c r="T310" s="3"/>
      <c r="U310" s="3"/>
      <c r="V310" s="8"/>
      <c r="W310" s="3"/>
      <c r="X310" s="3"/>
      <c r="Y310" s="3"/>
      <c r="Z310" s="8"/>
    </row>
    <row r="311" spans="1:26" s="24" customFormat="1" ht="15.75" thickBot="1" x14ac:dyDescent="0.3">
      <c r="A311" s="11"/>
      <c r="B311" s="28" t="s">
        <v>293</v>
      </c>
      <c r="C311" s="28"/>
      <c r="D311" s="33">
        <f>SUM(D308:D310)</f>
        <v>-248714.74999999991</v>
      </c>
      <c r="E311" s="14"/>
      <c r="F311" s="35">
        <f>IF(D$12=0,0,D311/D$12)</f>
        <v>-0.94030555585170705</v>
      </c>
      <c r="G311" s="14"/>
      <c r="H311" s="33">
        <f>SUM(H308:H310)</f>
        <v>-644980.86</v>
      </c>
      <c r="I311" s="14"/>
      <c r="J311" s="35">
        <f>IF(H$12=0,0,H311/H$12)</f>
        <v>-3.055296395045914</v>
      </c>
      <c r="K311" s="15"/>
      <c r="L311" s="33">
        <f>+D311-H311</f>
        <v>396266.1100000001</v>
      </c>
      <c r="M311" s="15"/>
      <c r="N311" s="35">
        <f>IF(H311=0,0,L311/H311)</f>
        <v>-0.6143842935122138</v>
      </c>
      <c r="O311" s="29"/>
      <c r="P311" s="33">
        <f>SUM(P308:P310)</f>
        <v>-1161267.5900000038</v>
      </c>
      <c r="Q311" s="14"/>
      <c r="R311" s="35">
        <f>IF(P$12=0,0,P311/P$12)</f>
        <v>-0.21214606219558171</v>
      </c>
      <c r="S311" s="14"/>
      <c r="T311" s="33">
        <f>SUM(T308:T310)</f>
        <v>-661683.16999999806</v>
      </c>
      <c r="U311" s="14"/>
      <c r="V311" s="35">
        <f>IF(T$12=0,0,T311/T$12)</f>
        <v>-7.1627342165412902E-2</v>
      </c>
      <c r="W311" s="15"/>
      <c r="X311" s="33">
        <f>+P311-T311</f>
        <v>-499584.42000000575</v>
      </c>
      <c r="Y311" s="15"/>
      <c r="Z311" s="35">
        <f>IF(T311=0,0,X311/T311)</f>
        <v>0.75502059391960541</v>
      </c>
    </row>
    <row r="312" spans="1:26" ht="15.75" thickTop="1" x14ac:dyDescent="0.25">
      <c r="A312" s="9"/>
      <c r="C312" s="9"/>
      <c r="D312" s="18"/>
      <c r="E312" s="18"/>
      <c r="G312" s="18"/>
      <c r="H312" s="18"/>
      <c r="I312" s="18"/>
      <c r="J312" s="43"/>
      <c r="K312" s="18"/>
      <c r="L312" s="18"/>
      <c r="M312" s="18"/>
      <c r="P312" s="18"/>
      <c r="Q312" s="18"/>
      <c r="R312" s="43"/>
      <c r="S312" s="18"/>
      <c r="T312" s="18"/>
      <c r="U312" s="18"/>
      <c r="V312" s="43"/>
      <c r="W312" s="18"/>
      <c r="X312" s="18"/>
    </row>
    <row r="313" spans="1:26" x14ac:dyDescent="0.25">
      <c r="A313" s="9"/>
      <c r="B313" s="56">
        <v>44454.698477430553</v>
      </c>
      <c r="D313" s="18"/>
      <c r="E313" s="18"/>
      <c r="G313" s="18"/>
      <c r="H313" s="18"/>
      <c r="I313" s="18"/>
      <c r="J313" s="43"/>
      <c r="K313" s="18"/>
      <c r="L313" s="18"/>
      <c r="M313" s="18"/>
      <c r="P313" s="18"/>
      <c r="Q313" s="18"/>
      <c r="R313" s="43"/>
      <c r="S313" s="18"/>
      <c r="T313" s="18"/>
      <c r="U313" s="18"/>
      <c r="V313" s="43"/>
      <c r="W313" s="18"/>
      <c r="X313" s="18"/>
    </row>
    <row r="314" spans="1:26" x14ac:dyDescent="0.25">
      <c r="A314" s="9"/>
      <c r="B314" s="55" t="s">
        <v>56</v>
      </c>
      <c r="D314" s="18"/>
      <c r="E314" s="18"/>
      <c r="G314" s="18"/>
      <c r="H314" s="18"/>
      <c r="I314" s="18"/>
      <c r="J314" s="43"/>
      <c r="K314" s="18"/>
      <c r="L314" s="18"/>
      <c r="M314" s="18"/>
      <c r="P314" s="18"/>
      <c r="Q314" s="18"/>
      <c r="R314" s="43"/>
      <c r="S314" s="18"/>
      <c r="T314" s="18"/>
      <c r="U314" s="18"/>
      <c r="V314" s="43"/>
      <c r="W314" s="18"/>
      <c r="X314" s="18"/>
    </row>
    <row r="315" spans="1:26" x14ac:dyDescent="0.25">
      <c r="A315" s="9"/>
      <c r="B315" s="60"/>
      <c r="D315" s="18"/>
      <c r="E315" s="18"/>
      <c r="G315" s="18"/>
      <c r="H315" s="18"/>
      <c r="I315" s="18"/>
      <c r="J315" s="43"/>
      <c r="K315" s="18"/>
      <c r="L315" s="18"/>
      <c r="M315" s="18"/>
      <c r="P315" s="18"/>
      <c r="Q315" s="18"/>
      <c r="R315" s="43"/>
      <c r="S315" s="18"/>
      <c r="T315" s="18"/>
      <c r="U315" s="18"/>
      <c r="V315" s="43"/>
      <c r="W315" s="18"/>
      <c r="X315" s="18"/>
    </row>
    <row r="316" spans="1:26" x14ac:dyDescent="0.25">
      <c r="D316" s="18"/>
      <c r="E316" s="18"/>
      <c r="G316" s="18"/>
      <c r="H316" s="18"/>
      <c r="I316" s="18"/>
      <c r="J316" s="43"/>
      <c r="K316" s="18"/>
      <c r="L316" s="18"/>
      <c r="M316" s="18"/>
      <c r="P316" s="18"/>
      <c r="Q316" s="18"/>
      <c r="R316" s="43"/>
      <c r="S316" s="18"/>
      <c r="T316" s="18"/>
      <c r="U316" s="18"/>
      <c r="V316" s="43"/>
      <c r="W316" s="18"/>
      <c r="X316" s="18"/>
    </row>
  </sheetData>
  <pageMargins left="0.25" right="0.25" top="0.75" bottom="0.75" header="0.3" footer="0.3"/>
  <pageSetup scale="55" fitToWidth="2" orientation="landscape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00B0F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62" t="s">
        <v>23</v>
      </c>
    </row>
    <row r="3" spans="1:26" x14ac:dyDescent="0.25">
      <c r="D3" s="62" t="s">
        <v>236</v>
      </c>
      <c r="E3" s="17"/>
      <c r="F3" s="46"/>
      <c r="G3" s="17"/>
      <c r="H3" s="17"/>
      <c r="I3" s="17"/>
      <c r="J3" s="38"/>
      <c r="K3" s="17"/>
      <c r="L3" s="17"/>
      <c r="M3" s="17"/>
      <c r="N3" s="46"/>
      <c r="O3" s="53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2" t="e">
        <f ca="1">CONCATENATE("Period ",RIGHT(_xll.OneStop.ReportPlayer.OSRFunctions.OSRGet("Period","PeriodId"),2),", ",_xll.OneStop.ReportPlayer.OSRFunctions.OSRGet("Period","Year"))</f>
        <v>#NAME?</v>
      </c>
      <c r="E4" s="17"/>
      <c r="F4" s="46"/>
      <c r="G4" s="17"/>
      <c r="H4" s="17"/>
      <c r="I4" s="17"/>
      <c r="J4" s="38"/>
      <c r="K4" s="17"/>
      <c r="L4" s="17"/>
      <c r="M4" s="17"/>
      <c r="N4" s="46"/>
      <c r="O4" s="53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4"/>
      <c r="D5" s="64" t="e">
        <f ca="1">_xll.OneStop.ReportPlayer.OSRFunctions.OSRGet("Period","PeriodEnd")</f>
        <v>#NAME?</v>
      </c>
      <c r="E5" s="17"/>
      <c r="F5" s="46"/>
      <c r="G5" s="17"/>
      <c r="H5" s="17"/>
      <c r="I5" s="17"/>
      <c r="J5" s="38"/>
      <c r="K5" s="17"/>
      <c r="L5" s="17"/>
      <c r="M5" s="17"/>
      <c r="N5" s="46"/>
      <c r="O5" s="53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4"/>
      <c r="B6" s="48"/>
      <c r="C6" s="48"/>
      <c r="D6" s="24" t="s">
        <v>312</v>
      </c>
      <c r="E6" s="17"/>
      <c r="F6" s="46"/>
      <c r="G6" s="17"/>
      <c r="H6" s="17"/>
      <c r="I6" s="17"/>
      <c r="J6" s="38"/>
      <c r="K6" s="17"/>
      <c r="L6" s="17"/>
      <c r="M6" s="17"/>
      <c r="N6" s="46"/>
      <c r="O6" s="54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9"/>
    </row>
    <row r="8" spans="1:26" x14ac:dyDescent="0.25">
      <c r="B8" s="59"/>
    </row>
    <row r="9" spans="1:26" x14ac:dyDescent="0.25">
      <c r="B9" s="9"/>
      <c r="C9" s="9"/>
      <c r="D9" s="16" t="s">
        <v>291</v>
      </c>
      <c r="E9" s="16"/>
      <c r="F9" s="39"/>
      <c r="G9" s="16"/>
      <c r="H9" s="16"/>
      <c r="I9" s="16"/>
      <c r="J9" s="49"/>
      <c r="K9" s="16"/>
      <c r="L9" s="16"/>
      <c r="M9" s="16"/>
      <c r="N9" s="39"/>
      <c r="P9" s="16" t="s">
        <v>39</v>
      </c>
      <c r="Q9" s="16"/>
      <c r="R9" s="39"/>
      <c r="S9" s="16"/>
      <c r="T9" s="16"/>
      <c r="U9" s="16"/>
      <c r="V9" s="49"/>
      <c r="W9" s="16"/>
      <c r="X9" s="16"/>
      <c r="Y9" s="16"/>
      <c r="Z9" s="39"/>
    </row>
    <row r="10" spans="1:26" x14ac:dyDescent="0.25">
      <c r="A10" s="11"/>
      <c r="B10" s="58"/>
      <c r="C10" s="11"/>
      <c r="D10" s="42" t="s">
        <v>57</v>
      </c>
      <c r="E10" s="36"/>
      <c r="F10" s="30" t="s">
        <v>40</v>
      </c>
      <c r="G10" s="36"/>
      <c r="H10" s="50" t="s">
        <v>237</v>
      </c>
      <c r="I10" s="36"/>
      <c r="J10" s="30" t="s">
        <v>40</v>
      </c>
      <c r="K10" s="11"/>
      <c r="L10" s="42" t="s">
        <v>126</v>
      </c>
      <c r="M10" s="11"/>
      <c r="N10" s="30" t="s">
        <v>257</v>
      </c>
      <c r="O10" s="11"/>
      <c r="P10" s="61" t="s">
        <v>57</v>
      </c>
      <c r="Q10" s="36"/>
      <c r="R10" s="30" t="s">
        <v>40</v>
      </c>
      <c r="S10" s="36"/>
      <c r="T10" s="50" t="s">
        <v>237</v>
      </c>
      <c r="U10" s="36"/>
      <c r="V10" s="30" t="s">
        <v>40</v>
      </c>
      <c r="W10" s="11"/>
      <c r="X10" s="42" t="s">
        <v>126</v>
      </c>
      <c r="Y10" s="11"/>
      <c r="Z10" s="30" t="s">
        <v>257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4" customFormat="1" collapsed="1" x14ac:dyDescent="0.25">
      <c r="A12" s="11"/>
      <c r="B12" s="29" t="s">
        <v>139</v>
      </c>
      <c r="C12" s="11"/>
      <c r="D12" s="4" t="e">
        <f ca="1">SUM(_xll.OneStop.ReportPlayer.OSRFunctions.OSRRef(D13))</f>
        <v>#NAME?</v>
      </c>
      <c r="E12" s="4"/>
      <c r="F12" s="13"/>
      <c r="G12" s="4"/>
      <c r="H12" s="4" t="e">
        <f ca="1">SUM(_xll.OneStop.ReportPlayer.OSRFunctions.OSRRef(H13))</f>
        <v>#NAME?</v>
      </c>
      <c r="I12" s="4"/>
      <c r="J12" s="13"/>
      <c r="K12" s="4"/>
      <c r="L12" s="4" t="e">
        <f t="shared" ref="L12:L13" ca="1" si="0">+D12-H12</f>
        <v>#NAME?</v>
      </c>
      <c r="M12" s="4"/>
      <c r="N12" s="13" t="e">
        <f t="shared" ref="N12:N13" ca="1" si="1">IF(H12=0,0,L12/H12)</f>
        <v>#NAME?</v>
      </c>
      <c r="O12" s="11"/>
      <c r="P12" s="4" t="e">
        <f ca="1">SUM(_xll.OneStop.ReportPlayer.OSRFunctions.OSRRef(P13))</f>
        <v>#NAME?</v>
      </c>
      <c r="Q12" s="4"/>
      <c r="R12" s="13"/>
      <c r="S12" s="4"/>
      <c r="T12" s="4" t="e">
        <f ca="1">SUM(_xll.OneStop.ReportPlayer.OSRFunctions.OSRRef(T13))</f>
        <v>#NAME?</v>
      </c>
      <c r="U12" s="4"/>
      <c r="V12" s="13"/>
      <c r="W12" s="4"/>
      <c r="X12" s="4" t="e">
        <f t="shared" ref="X12:X13" ca="1" si="2">+P12-T12</f>
        <v>#NAME?</v>
      </c>
      <c r="Y12" s="4"/>
      <c r="Z12" s="13" t="e">
        <f t="shared" ref="Z12:Z13" ca="1" si="3">IF(T12=0,0,X12/T12)</f>
        <v>#NAME?</v>
      </c>
    </row>
    <row r="13" spans="1:26" s="23" customFormat="1" hidden="1" outlineLevel="1" x14ac:dyDescent="0.25">
      <c r="A13" s="44"/>
      <c r="B13" s="10" t="e">
        <f ca="1">CONCATENATE("          ", _xll.OneStop.ReportPlayer.OSRFunctions.OSRGet("d_Account","Code"), " - ", _xll.OneStop.ReportPlayer.OSRFunctions.OSRGet("d_Account","Description"))</f>
        <v>#NAME?</v>
      </c>
      <c r="C13" s="10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0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1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4" customFormat="1" collapsed="1" x14ac:dyDescent="0.25">
      <c r="A15" s="11"/>
      <c r="B15" s="29" t="s">
        <v>256</v>
      </c>
      <c r="C15" s="11"/>
      <c r="D15" s="4" t="e">
        <f ca="1">SUM(_xll.OneStop.ReportPlayer.OSRFunctions.OSRRef(D16))</f>
        <v>#NAME?</v>
      </c>
      <c r="E15" s="4"/>
      <c r="F15" s="13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3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3" t="e">
        <f t="shared" ref="N15:N16" ca="1" si="7">IF(H15=0,0,L15/H15)</f>
        <v>#NAME?</v>
      </c>
      <c r="O15" s="11"/>
      <c r="P15" s="4" t="e">
        <f ca="1">SUM(_xll.OneStop.ReportPlayer.OSRFunctions.OSRRef(P16))</f>
        <v>#NAME?</v>
      </c>
      <c r="Q15" s="4"/>
      <c r="R15" s="13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3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3" t="e">
        <f t="shared" ref="Z15:Z16" ca="1" si="11">IF(T15=0,0,X15/T15)</f>
        <v>#NAME?</v>
      </c>
    </row>
    <row r="16" spans="1:26" s="23" customFormat="1" hidden="1" outlineLevel="1" x14ac:dyDescent="0.25">
      <c r="A16" s="44"/>
      <c r="B16" s="10" t="e">
        <f ca="1">CONCATENATE("          ", _xll.OneStop.ReportPlayer.OSRFunctions.OSRGet("d_Account","Code"), " - ", _xll.OneStop.ReportPlayer.OSRFunctions.OSRGet("d_Account","Description"))</f>
        <v>#NAME?</v>
      </c>
      <c r="C16" s="10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0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1"/>
      <c r="C17" s="11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1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4" customFormat="1" x14ac:dyDescent="0.25">
      <c r="A18" s="11"/>
      <c r="B18" s="28" t="s">
        <v>107</v>
      </c>
      <c r="C18" s="28"/>
      <c r="D18" s="21" t="e">
        <f ca="1">D12-D15</f>
        <v>#NAME?</v>
      </c>
      <c r="E18" s="14"/>
      <c r="F18" s="22" t="e">
        <f ca="1">IF(D$12=0,0,D18/D$12)</f>
        <v>#NAME?</v>
      </c>
      <c r="G18" s="14"/>
      <c r="H18" s="21" t="e">
        <f ca="1">H12-H15</f>
        <v>#NAME?</v>
      </c>
      <c r="I18" s="14"/>
      <c r="J18" s="22" t="e">
        <f ca="1">IF(H$12=0,0,H18/H$12)</f>
        <v>#NAME?</v>
      </c>
      <c r="K18" s="15"/>
      <c r="L18" s="21" t="e">
        <f ca="1">+D18-H18</f>
        <v>#NAME?</v>
      </c>
      <c r="M18" s="15"/>
      <c r="N18" s="22" t="e">
        <f ca="1">IF(H18=0,0,L18/H18)</f>
        <v>#NAME?</v>
      </c>
      <c r="O18" s="29"/>
      <c r="P18" s="21" t="e">
        <f ca="1">P12-P15</f>
        <v>#NAME?</v>
      </c>
      <c r="Q18" s="14"/>
      <c r="R18" s="22" t="e">
        <f ca="1">IF(P$12=0,0,P18/P$12)</f>
        <v>#NAME?</v>
      </c>
      <c r="S18" s="14"/>
      <c r="T18" s="21" t="e">
        <f ca="1">T12-T15</f>
        <v>#NAME?</v>
      </c>
      <c r="U18" s="14"/>
      <c r="V18" s="22" t="e">
        <f ca="1">IF(T$12=0,0,T18/T$12)</f>
        <v>#NAME?</v>
      </c>
      <c r="W18" s="15"/>
      <c r="X18" s="21" t="e">
        <f ca="1">+P18-T18</f>
        <v>#NAME?</v>
      </c>
      <c r="Y18" s="15"/>
      <c r="Z18" s="22" t="e">
        <f ca="1">IF(T18=0,0,X18/T18)</f>
        <v>#NAME?</v>
      </c>
    </row>
    <row r="19" spans="1:26" x14ac:dyDescent="0.25">
      <c r="A19" s="9"/>
      <c r="B19" s="11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4" customFormat="1" x14ac:dyDescent="0.25">
      <c r="A20" s="11"/>
      <c r="B20" s="29" t="s">
        <v>294</v>
      </c>
      <c r="C20" s="11"/>
      <c r="D20" s="20" t="e">
        <f ca="1">SUM(_xll.OneStop.ReportPlayer.OSRFunctions.OSRRef(D22))</f>
        <v>#NAME?</v>
      </c>
      <c r="E20" s="20"/>
      <c r="F20" s="32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2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2" t="e">
        <f t="shared" ref="N20:N22" ca="1" si="15">IF(H20=0,0,L20/H20)</f>
        <v>#NAME?</v>
      </c>
      <c r="O20" s="11"/>
      <c r="P20" s="20" t="e">
        <f ca="1">SUM(_xll.OneStop.ReportPlayer.OSRFunctions.OSRRef(P22))</f>
        <v>#NAME?</v>
      </c>
      <c r="Q20" s="20"/>
      <c r="R20" s="32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2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2" t="e">
        <f t="shared" ref="Z20:Z22" ca="1" si="19">IF(T20=0,0,X20/T20)</f>
        <v>#NAME?</v>
      </c>
    </row>
    <row r="21" spans="1:26" s="27" customFormat="1" outlineLevel="1" collapsed="1" x14ac:dyDescent="0.25">
      <c r="A21" s="26"/>
      <c r="B21" s="12" t="e">
        <f ca="1">CONCATENATE("     ",_xll.OneStop.ReportPlayer.OSRFunctions.OSRGet("d_Account","AccountCategory"))</f>
        <v>#NAME?</v>
      </c>
      <c r="C21" s="12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2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3" customFormat="1" hidden="1" outlineLevel="2" x14ac:dyDescent="0.25">
      <c r="A22" s="25"/>
      <c r="B22" s="10" t="e">
        <f ca="1">CONCATENATE("          ", _xll.OneStop.ReportPlayer.OSRFunctions.OSRGet("d_Account","Code"), " - ", _xll.OneStop.ReportPlayer.OSRFunctions.OSRGet("d_Account","Description"))</f>
        <v>#NAME?</v>
      </c>
      <c r="C22" s="10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0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2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4" customFormat="1" collapsed="1" x14ac:dyDescent="0.25">
      <c r="A24" s="11"/>
      <c r="B24" s="29" t="s">
        <v>292</v>
      </c>
      <c r="C24" s="11"/>
      <c r="D24" s="4" t="e">
        <f ca="1">SUM(_xll.OneStop.ReportPlayer.OSRFunctions.OSRRef(D25))</f>
        <v>#NAME?</v>
      </c>
      <c r="E24" s="4"/>
      <c r="F24" s="13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3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3" t="e">
        <f t="shared" ref="N24:N25" ca="1" si="23">IF(H24=0,0,L24/H24)</f>
        <v>#NAME?</v>
      </c>
      <c r="O24" s="11"/>
      <c r="P24" s="4" t="e">
        <f ca="1">SUM(_xll.OneStop.ReportPlayer.OSRFunctions.OSRRef(P25))</f>
        <v>#NAME?</v>
      </c>
      <c r="Q24" s="4"/>
      <c r="R24" s="13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3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3" t="e">
        <f t="shared" ref="Z24:Z25" ca="1" si="27">IF(T24=0,0,X24/T24)</f>
        <v>#NAME?</v>
      </c>
    </row>
    <row r="25" spans="1:26" s="23" customFormat="1" hidden="1" outlineLevel="1" x14ac:dyDescent="0.25">
      <c r="A25" s="44"/>
      <c r="B25" s="10" t="e">
        <f ca="1">CONCATENATE("          ", _xll.OneStop.ReportPlayer.OSRFunctions.OSRGet("d_Account","Code"), " - ", _xll.OneStop.ReportPlayer.OSRFunctions.OSRGet("d_Account","Description"))</f>
        <v>#NAME?</v>
      </c>
      <c r="C25" s="10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0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1"/>
      <c r="C26" s="11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1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4" customFormat="1" x14ac:dyDescent="0.25">
      <c r="A27" s="11"/>
      <c r="B27" s="28" t="s">
        <v>276</v>
      </c>
      <c r="C27" s="28"/>
      <c r="D27" s="21" t="e">
        <f ca="1">+D18-D20+D24</f>
        <v>#NAME?</v>
      </c>
      <c r="E27" s="14"/>
      <c r="F27" s="22" t="e">
        <f ca="1">IF(D$12=0,0,D27/D$12)</f>
        <v>#NAME?</v>
      </c>
      <c r="G27" s="14"/>
      <c r="H27" s="21" t="e">
        <f ca="1">+H18-H20+H24</f>
        <v>#NAME?</v>
      </c>
      <c r="I27" s="14"/>
      <c r="J27" s="22" t="e">
        <f ca="1">IF(H$12=0,0,H27/H$12)</f>
        <v>#NAME?</v>
      </c>
      <c r="K27" s="15"/>
      <c r="L27" s="21" t="e">
        <f ca="1">+D27-H27</f>
        <v>#NAME?</v>
      </c>
      <c r="M27" s="15"/>
      <c r="N27" s="22" t="e">
        <f ca="1">IF(H27=0,0,L27/H27)</f>
        <v>#NAME?</v>
      </c>
      <c r="O27" s="29"/>
      <c r="P27" s="21" t="e">
        <f ca="1">+P18-P20+P24</f>
        <v>#NAME?</v>
      </c>
      <c r="Q27" s="14"/>
      <c r="R27" s="22" t="e">
        <f ca="1">IF(P$12=0,0,P27/P$12)</f>
        <v>#NAME?</v>
      </c>
      <c r="S27" s="14"/>
      <c r="T27" s="21" t="e">
        <f ca="1">+T18-T20+T24</f>
        <v>#NAME?</v>
      </c>
      <c r="U27" s="14"/>
      <c r="V27" s="22" t="e">
        <f ca="1">IF(T$12=0,0,T27/T$12)</f>
        <v>#NAME?</v>
      </c>
      <c r="W27" s="15"/>
      <c r="X27" s="21" t="e">
        <f ca="1">+P27-T27</f>
        <v>#NAME?</v>
      </c>
      <c r="Y27" s="15"/>
      <c r="Z27" s="22" t="e">
        <f ca="1">IF(T27=0,0,X27/T27)</f>
        <v>#NAME?</v>
      </c>
    </row>
    <row r="28" spans="1:26" x14ac:dyDescent="0.25">
      <c r="A28" s="9"/>
      <c r="B28" s="11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4" customFormat="1" x14ac:dyDescent="0.25">
      <c r="A29" s="51"/>
      <c r="B29" s="11" t="s">
        <v>127</v>
      </c>
      <c r="C29" s="11"/>
      <c r="D29" s="4" t="e">
        <f ca="1">_xll.OneStop.ReportPlayer.OSRFunctions.OSRGet("GL_F_Trans","Value1")</f>
        <v>#NAME?</v>
      </c>
      <c r="E29" s="4"/>
      <c r="F29" s="13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3" t="e">
        <f ca="1">IF(H$12=0,0,H29/H$12)</f>
        <v>#NAME?</v>
      </c>
      <c r="K29" s="4"/>
      <c r="L29" s="4" t="e">
        <f ca="1">+D29-H29</f>
        <v>#NAME?</v>
      </c>
      <c r="M29" s="4"/>
      <c r="N29" s="13" t="e">
        <f ca="1">IF(H29=0,0,L29/H29)</f>
        <v>#NAME?</v>
      </c>
      <c r="O29" s="11"/>
      <c r="P29" s="4" t="e">
        <f ca="1">_xll.OneStop.ReportPlayer.OSRFunctions.OSRGet("GL_F_Trans","Value1")</f>
        <v>#NAME?</v>
      </c>
      <c r="Q29" s="4"/>
      <c r="R29" s="13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3" t="e">
        <f ca="1">IF(T$12=0,0,T29/T$12)</f>
        <v>#NAME?</v>
      </c>
      <c r="W29" s="4"/>
      <c r="X29" s="4" t="e">
        <f ca="1">+P29-T29</f>
        <v>#NAME?</v>
      </c>
      <c r="Y29" s="4"/>
      <c r="Z29" s="13" t="e">
        <f ca="1">IF(T29=0,0,X29/T29)</f>
        <v>#NAME?</v>
      </c>
    </row>
    <row r="30" spans="1:26" x14ac:dyDescent="0.25">
      <c r="A30" s="9"/>
      <c r="B30" s="11"/>
      <c r="C30" s="11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1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4" customFormat="1" ht="15.75" thickBot="1" x14ac:dyDescent="0.3">
      <c r="A31" s="11"/>
      <c r="B31" s="28" t="s">
        <v>125</v>
      </c>
      <c r="C31" s="28"/>
      <c r="D31" s="34" t="e">
        <f ca="1">+D27-D29</f>
        <v>#NAME?</v>
      </c>
      <c r="E31" s="14"/>
      <c r="F31" s="31" t="e">
        <f ca="1">IF(D$12=0,0,D31/D$12)</f>
        <v>#NAME?</v>
      </c>
      <c r="G31" s="14"/>
      <c r="H31" s="34" t="e">
        <f ca="1">+H27-H29</f>
        <v>#NAME?</v>
      </c>
      <c r="I31" s="14"/>
      <c r="J31" s="31" t="e">
        <f ca="1">IF(H$12=0,0,H31/H$12)</f>
        <v>#NAME?</v>
      </c>
      <c r="K31" s="15"/>
      <c r="L31" s="34" t="e">
        <f ca="1">D31-H31</f>
        <v>#NAME?</v>
      </c>
      <c r="M31" s="15"/>
      <c r="N31" s="31" t="e">
        <f ca="1">IF(H31=0,0,L31/H31)</f>
        <v>#NAME?</v>
      </c>
      <c r="O31" s="29"/>
      <c r="P31" s="34" t="e">
        <f ca="1">+P27-P29</f>
        <v>#NAME?</v>
      </c>
      <c r="Q31" s="14"/>
      <c r="R31" s="31" t="e">
        <f ca="1">IF(P$12=0,0,P31/P$12)</f>
        <v>#NAME?</v>
      </c>
      <c r="S31" s="14"/>
      <c r="T31" s="34" t="e">
        <f ca="1">+T27-T29</f>
        <v>#NAME?</v>
      </c>
      <c r="U31" s="14"/>
      <c r="V31" s="31" t="e">
        <f ca="1">IF(T$12=0,0,T31/T$12)</f>
        <v>#NAME?</v>
      </c>
      <c r="W31" s="15"/>
      <c r="X31" s="34" t="e">
        <f ca="1">P31-T31</f>
        <v>#NAME?</v>
      </c>
      <c r="Y31" s="15"/>
      <c r="Z31" s="31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4" customFormat="1" x14ac:dyDescent="0.25">
      <c r="A33" s="51"/>
      <c r="B33" s="11" t="s">
        <v>183</v>
      </c>
      <c r="C33" s="11"/>
      <c r="D33" s="4" t="e">
        <f ca="1">-_xll.OneStop.ReportPlayer.OSRFunctions.OSRGet("GL_F_Trans","Value1")</f>
        <v>#NAME?</v>
      </c>
      <c r="E33" s="4"/>
      <c r="F33" s="13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3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3" t="e">
        <f t="shared" ref="N33:N34" ca="1" si="31">IF(H33=0,0,L33/H33)</f>
        <v>#NAME?</v>
      </c>
      <c r="O33" s="11"/>
      <c r="P33" s="4" t="e">
        <f ca="1">-_xll.OneStop.ReportPlayer.OSRFunctions.OSRGet("GL_F_Trans","Value1")</f>
        <v>#NAME?</v>
      </c>
      <c r="Q33" s="4"/>
      <c r="R33" s="13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3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3" t="e">
        <f t="shared" ref="Z33:Z34" ca="1" si="35">IF(T33=0,0,X33/T33)</f>
        <v>#NAME?</v>
      </c>
    </row>
    <row r="34" spans="1:26" s="24" customFormat="1" x14ac:dyDescent="0.25">
      <c r="A34" s="51"/>
      <c r="B34" s="11" t="s">
        <v>81</v>
      </c>
      <c r="C34" s="11"/>
      <c r="D34" s="4" t="e">
        <f ca="1">-_xll.OneStop.ReportPlayer.OSRFunctions.OSRGet("GL_F_Trans","Value1")</f>
        <v>#NAME?</v>
      </c>
      <c r="E34" s="4"/>
      <c r="F34" s="13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3" t="e">
        <f t="shared" ca="1" si="29"/>
        <v>#NAME?</v>
      </c>
      <c r="K34" s="4"/>
      <c r="L34" s="4" t="e">
        <f t="shared" ca="1" si="30"/>
        <v>#NAME?</v>
      </c>
      <c r="M34" s="4"/>
      <c r="N34" s="13" t="e">
        <f t="shared" ca="1" si="31"/>
        <v>#NAME?</v>
      </c>
      <c r="O34" s="11"/>
      <c r="P34" s="4" t="e">
        <f ca="1">-_xll.OneStop.ReportPlayer.OSRFunctions.OSRGet("GL_F_Trans","Value1")</f>
        <v>#NAME?</v>
      </c>
      <c r="Q34" s="4"/>
      <c r="R34" s="13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3" t="e">
        <f t="shared" ca="1" si="33"/>
        <v>#NAME?</v>
      </c>
      <c r="W34" s="4"/>
      <c r="X34" s="4" t="e">
        <f t="shared" ca="1" si="34"/>
        <v>#NAME?</v>
      </c>
      <c r="Y34" s="4"/>
      <c r="Z34" s="13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4" customFormat="1" ht="15.75" thickBot="1" x14ac:dyDescent="0.3">
      <c r="A36" s="11"/>
      <c r="B36" s="28" t="s">
        <v>293</v>
      </c>
      <c r="C36" s="28"/>
      <c r="D36" s="33" t="e">
        <f ca="1">SUM(D31:D35)</f>
        <v>#NAME?</v>
      </c>
      <c r="E36" s="14"/>
      <c r="F36" s="35" t="e">
        <f ca="1">IF(D$12=0,0,D36/D$12)</f>
        <v>#NAME?</v>
      </c>
      <c r="G36" s="14"/>
      <c r="H36" s="33" t="e">
        <f ca="1">SUM(H31:H35)</f>
        <v>#NAME?</v>
      </c>
      <c r="I36" s="14"/>
      <c r="J36" s="35" t="e">
        <f ca="1">IF(H$12=0,0,H36/H$12)</f>
        <v>#NAME?</v>
      </c>
      <c r="K36" s="15"/>
      <c r="L36" s="33" t="e">
        <f ca="1">+D36-H36</f>
        <v>#NAME?</v>
      </c>
      <c r="M36" s="15"/>
      <c r="N36" s="35" t="e">
        <f ca="1">IF(H36=0,0,L36/H36)</f>
        <v>#NAME?</v>
      </c>
      <c r="O36" s="29"/>
      <c r="P36" s="33" t="e">
        <f ca="1">SUM(P31:P35)</f>
        <v>#NAME?</v>
      </c>
      <c r="Q36" s="14"/>
      <c r="R36" s="35" t="e">
        <f ca="1">IF(P$12=0,0,P36/P$12)</f>
        <v>#NAME?</v>
      </c>
      <c r="S36" s="14"/>
      <c r="T36" s="33" t="e">
        <f ca="1">SUM(T31:T35)</f>
        <v>#NAME?</v>
      </c>
      <c r="U36" s="14"/>
      <c r="V36" s="35" t="e">
        <f ca="1">IF(T$12=0,0,T36/T$12)</f>
        <v>#NAME?</v>
      </c>
      <c r="W36" s="15"/>
      <c r="X36" s="33" t="e">
        <f ca="1">+P36-T36</f>
        <v>#NAME?</v>
      </c>
      <c r="Y36" s="15"/>
      <c r="Z36" s="35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56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55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60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theme="5" tint="0.39997558519241921"/>
    <outlinePr summaryBelow="0" summaryRight="0"/>
  </sheetPr>
  <dimension ref="A2:Z348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62" t="s">
        <v>23</v>
      </c>
    </row>
    <row r="3" spans="1:26" x14ac:dyDescent="0.25">
      <c r="D3" s="62" t="s">
        <v>236</v>
      </c>
      <c r="E3" s="17"/>
      <c r="F3" s="46"/>
      <c r="G3" s="17"/>
      <c r="H3" s="17"/>
      <c r="I3" s="17"/>
      <c r="J3" s="38"/>
      <c r="K3" s="17"/>
      <c r="L3" s="17"/>
      <c r="M3" s="17"/>
      <c r="N3" s="46"/>
      <c r="O3" s="53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2" t="str">
        <f>CONCATENATE("Period ",RIGHT(202112,2),", ",2021)</f>
        <v>Period 12, 2021</v>
      </c>
      <c r="E4" s="17"/>
      <c r="F4" s="46"/>
      <c r="G4" s="17"/>
      <c r="H4" s="17"/>
      <c r="I4" s="17"/>
      <c r="J4" s="38"/>
      <c r="K4" s="17"/>
      <c r="L4" s="17"/>
      <c r="M4" s="17"/>
      <c r="N4" s="46"/>
      <c r="O4" s="53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4"/>
      <c r="D5" s="63">
        <v>44377</v>
      </c>
      <c r="E5" s="17"/>
      <c r="F5" s="46"/>
      <c r="G5" s="17"/>
      <c r="H5" s="17"/>
      <c r="I5" s="17"/>
      <c r="J5" s="38"/>
      <c r="K5" s="17"/>
      <c r="L5" s="17"/>
      <c r="M5" s="17"/>
      <c r="N5" s="46"/>
      <c r="O5" s="53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4"/>
      <c r="B6" s="48"/>
      <c r="C6" s="48"/>
      <c r="D6" s="24" t="s">
        <v>313</v>
      </c>
      <c r="E6" s="17"/>
      <c r="F6" s="46"/>
      <c r="G6" s="17"/>
      <c r="H6" s="17"/>
      <c r="I6" s="17"/>
      <c r="J6" s="38"/>
      <c r="K6" s="17"/>
      <c r="L6" s="17"/>
      <c r="M6" s="17"/>
      <c r="N6" s="46"/>
      <c r="O6" s="54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9"/>
    </row>
    <row r="8" spans="1:26" x14ac:dyDescent="0.25">
      <c r="B8" s="59"/>
    </row>
    <row r="9" spans="1:26" x14ac:dyDescent="0.25">
      <c r="B9" s="9"/>
      <c r="C9" s="9"/>
      <c r="D9" s="16" t="s">
        <v>291</v>
      </c>
      <c r="E9" s="16"/>
      <c r="F9" s="39"/>
      <c r="G9" s="16"/>
      <c r="H9" s="16"/>
      <c r="I9" s="16"/>
      <c r="J9" s="49"/>
      <c r="K9" s="16"/>
      <c r="L9" s="16"/>
      <c r="M9" s="16"/>
      <c r="N9" s="39"/>
      <c r="P9" s="16" t="s">
        <v>39</v>
      </c>
      <c r="Q9" s="16"/>
      <c r="R9" s="39"/>
      <c r="S9" s="16"/>
      <c r="T9" s="16"/>
      <c r="U9" s="16"/>
      <c r="V9" s="49"/>
      <c r="W9" s="16"/>
      <c r="X9" s="16"/>
      <c r="Y9" s="16"/>
      <c r="Z9" s="39"/>
    </row>
    <row r="10" spans="1:26" x14ac:dyDescent="0.25">
      <c r="A10" s="11"/>
      <c r="B10" s="58"/>
      <c r="C10" s="11"/>
      <c r="D10" s="42" t="s">
        <v>57</v>
      </c>
      <c r="E10" s="36"/>
      <c r="F10" s="30" t="s">
        <v>40</v>
      </c>
      <c r="G10" s="36"/>
      <c r="H10" s="50" t="s">
        <v>237</v>
      </c>
      <c r="I10" s="36"/>
      <c r="J10" s="30" t="s">
        <v>40</v>
      </c>
      <c r="K10" s="11"/>
      <c r="L10" s="42" t="s">
        <v>126</v>
      </c>
      <c r="M10" s="11"/>
      <c r="N10" s="30" t="s">
        <v>257</v>
      </c>
      <c r="O10" s="11"/>
      <c r="P10" s="61" t="s">
        <v>57</v>
      </c>
      <c r="Q10" s="36"/>
      <c r="R10" s="30" t="s">
        <v>40</v>
      </c>
      <c r="S10" s="36"/>
      <c r="T10" s="50" t="s">
        <v>237</v>
      </c>
      <c r="U10" s="36"/>
      <c r="V10" s="30" t="s">
        <v>40</v>
      </c>
      <c r="W10" s="11"/>
      <c r="X10" s="42" t="s">
        <v>126</v>
      </c>
      <c r="Y10" s="11"/>
      <c r="Z10" s="30" t="s">
        <v>257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4" customFormat="1" collapsed="1" x14ac:dyDescent="0.25">
      <c r="A12" s="11"/>
      <c r="B12" s="29" t="s">
        <v>139</v>
      </c>
      <c r="C12" s="11"/>
      <c r="D12" s="4">
        <f>SUM(OSRRefD13x_0)</f>
        <v>329186.08999999997</v>
      </c>
      <c r="E12" s="4"/>
      <c r="F12" s="13"/>
      <c r="G12" s="4"/>
      <c r="H12" s="4">
        <f>SUM(OSRRefH13x_0)</f>
        <v>658713.48999999976</v>
      </c>
      <c r="I12" s="4"/>
      <c r="J12" s="13"/>
      <c r="K12" s="4"/>
      <c r="L12" s="4">
        <f t="shared" ref="L12:L130" si="0">+D12-H12</f>
        <v>-329527.39999999979</v>
      </c>
      <c r="M12" s="4"/>
      <c r="N12" s="13">
        <f t="shared" ref="N12:N130" si="1">IF(H12=0,0,L12/H12)</f>
        <v>-0.5002590731821811</v>
      </c>
      <c r="O12" s="11"/>
      <c r="P12" s="4">
        <f>SUM(OSRRefP13x_0)</f>
        <v>8111152.3499999968</v>
      </c>
      <c r="Q12" s="4"/>
      <c r="R12" s="13"/>
      <c r="S12" s="4"/>
      <c r="T12" s="4">
        <f>SUM(OSRRefT13x_0)</f>
        <v>12122947.720000001</v>
      </c>
      <c r="U12" s="4"/>
      <c r="V12" s="13"/>
      <c r="W12" s="4"/>
      <c r="X12" s="4">
        <f t="shared" ref="X12:X130" si="2">+P12-T12</f>
        <v>-4011795.3700000038</v>
      </c>
      <c r="Y12" s="4"/>
      <c r="Z12" s="13">
        <f t="shared" ref="Z12:Z130" si="3">IF(T12=0,0,X12/T12)</f>
        <v>-0.33092573379504797</v>
      </c>
    </row>
    <row r="13" spans="1:26" s="23" customFormat="1" hidden="1" outlineLevel="1" x14ac:dyDescent="0.25">
      <c r="A13" s="44"/>
      <c r="B13" s="10" t="str">
        <f>CONCATENATE("          ", "4000", " - ", "TAXABLE SALES")</f>
        <v xml:space="preserve">          4000 - TAXABLE SALES</v>
      </c>
      <c r="C13" s="10"/>
      <c r="D13" s="2">
        <f>-6674.19</f>
        <v>-6674.19</v>
      </c>
      <c r="E13" s="2"/>
      <c r="F13" s="19"/>
      <c r="G13" s="2"/>
      <c r="H13" s="2">
        <f>0</f>
        <v>0</v>
      </c>
      <c r="I13" s="2"/>
      <c r="J13" s="19"/>
      <c r="K13" s="2"/>
      <c r="L13" s="2">
        <f t="shared" si="0"/>
        <v>-6674.19</v>
      </c>
      <c r="M13" s="2"/>
      <c r="N13" s="19">
        <f t="shared" si="1"/>
        <v>0</v>
      </c>
      <c r="O13" s="10"/>
      <c r="P13" s="2">
        <f>-154087.13</f>
        <v>-154087.13</v>
      </c>
      <c r="Q13" s="2"/>
      <c r="R13" s="19"/>
      <c r="S13" s="2"/>
      <c r="T13" s="2">
        <f>0</f>
        <v>0</v>
      </c>
      <c r="U13" s="2"/>
      <c r="V13" s="19"/>
      <c r="W13" s="2"/>
      <c r="X13" s="2">
        <f t="shared" si="2"/>
        <v>-154087.13</v>
      </c>
      <c r="Y13" s="2"/>
      <c r="Z13" s="19">
        <f t="shared" si="3"/>
        <v>0</v>
      </c>
    </row>
    <row r="14" spans="1:26" s="23" customFormat="1" hidden="1" outlineLevel="1" x14ac:dyDescent="0.25">
      <c r="A14" s="44"/>
      <c r="B14" s="10" t="str">
        <f>CONCATENATE("          ", "4001", " - ", "TAXABLE SALES-NEW TEXT")</f>
        <v xml:space="preserve">          4001 - TAXABLE SALES-NEW TEXT</v>
      </c>
      <c r="C14" s="10"/>
      <c r="D14" s="2">
        <f>--9691.34</f>
        <v>9691.34</v>
      </c>
      <c r="E14" s="2"/>
      <c r="F14" s="19"/>
      <c r="G14" s="2"/>
      <c r="H14" s="2">
        <f>--15904.07</f>
        <v>15904.07</v>
      </c>
      <c r="I14" s="2"/>
      <c r="J14" s="19"/>
      <c r="K14" s="2"/>
      <c r="L14" s="2">
        <f t="shared" si="0"/>
        <v>-6212.73</v>
      </c>
      <c r="M14" s="2"/>
      <c r="N14" s="19">
        <f t="shared" si="1"/>
        <v>-0.39063774241436311</v>
      </c>
      <c r="O14" s="10"/>
      <c r="P14" s="2">
        <f>--1308779.9</f>
        <v>1308779.8999999999</v>
      </c>
      <c r="Q14" s="2"/>
      <c r="R14" s="19"/>
      <c r="S14" s="2"/>
      <c r="T14" s="2">
        <f>--2451163.71</f>
        <v>2451163.71</v>
      </c>
      <c r="U14" s="2"/>
      <c r="V14" s="19"/>
      <c r="W14" s="2"/>
      <c r="X14" s="2">
        <f t="shared" si="2"/>
        <v>-1142383.81</v>
      </c>
      <c r="Y14" s="2"/>
      <c r="Z14" s="19">
        <f t="shared" si="3"/>
        <v>-0.46605773630680919</v>
      </c>
    </row>
    <row r="15" spans="1:26" s="23" customFormat="1" hidden="1" outlineLevel="1" x14ac:dyDescent="0.25">
      <c r="A15" s="44"/>
      <c r="B15" s="10" t="str">
        <f>CONCATENATE("          ", "4002", " - ", "TAXABLE SALES-USED TEXT")</f>
        <v xml:space="preserve">          4002 - TAXABLE SALES-USED TEXT</v>
      </c>
      <c r="C15" s="10"/>
      <c r="D15" s="2">
        <f>--6642.8</f>
        <v>6642.8</v>
      </c>
      <c r="E15" s="2"/>
      <c r="F15" s="19"/>
      <c r="G15" s="2"/>
      <c r="H15" s="2">
        <f>--15376.45</f>
        <v>15376.45</v>
      </c>
      <c r="I15" s="2"/>
      <c r="J15" s="19"/>
      <c r="K15" s="2"/>
      <c r="L15" s="2">
        <f t="shared" si="0"/>
        <v>-8733.6500000000015</v>
      </c>
      <c r="M15" s="2"/>
      <c r="N15" s="19">
        <f t="shared" si="1"/>
        <v>-0.56798871000783668</v>
      </c>
      <c r="O15" s="10"/>
      <c r="P15" s="2">
        <f>--596913.27</f>
        <v>596913.27</v>
      </c>
      <c r="Q15" s="2"/>
      <c r="R15" s="19"/>
      <c r="S15" s="2"/>
      <c r="T15" s="2">
        <f>--1271803.19</f>
        <v>1271803.19</v>
      </c>
      <c r="U15" s="2"/>
      <c r="V15" s="19"/>
      <c r="W15" s="2"/>
      <c r="X15" s="2">
        <f t="shared" si="2"/>
        <v>-674889.91999999993</v>
      </c>
      <c r="Y15" s="2"/>
      <c r="Z15" s="19">
        <f t="shared" si="3"/>
        <v>-0.53065594213519773</v>
      </c>
    </row>
    <row r="16" spans="1:26" s="23" customFormat="1" hidden="1" outlineLevel="1" x14ac:dyDescent="0.25">
      <c r="A16" s="44"/>
      <c r="B16" s="10" t="str">
        <f>CONCATENATE("          ", "4003", " - ", "TAXABLE SALES-RENTAL TEXT")</f>
        <v xml:space="preserve">          4003 - TAXABLE SALES-RENTAL TEXT</v>
      </c>
      <c r="C16" s="10"/>
      <c r="D16" s="2">
        <f>--1103.98</f>
        <v>1103.98</v>
      </c>
      <c r="E16" s="2"/>
      <c r="F16" s="19"/>
      <c r="G16" s="2"/>
      <c r="H16" s="2">
        <f>--895</f>
        <v>895</v>
      </c>
      <c r="I16" s="2"/>
      <c r="J16" s="19"/>
      <c r="K16" s="2"/>
      <c r="L16" s="2">
        <f t="shared" si="0"/>
        <v>208.98000000000002</v>
      </c>
      <c r="M16" s="2"/>
      <c r="N16" s="19">
        <f t="shared" si="1"/>
        <v>0.23349720670391064</v>
      </c>
      <c r="O16" s="10"/>
      <c r="P16" s="2">
        <f>--19596.82</f>
        <v>19596.82</v>
      </c>
      <c r="Q16" s="2"/>
      <c r="R16" s="19"/>
      <c r="S16" s="2"/>
      <c r="T16" s="2">
        <f>--34659.88</f>
        <v>34659.879999999997</v>
      </c>
      <c r="U16" s="2"/>
      <c r="V16" s="19"/>
      <c r="W16" s="2"/>
      <c r="X16" s="2">
        <f t="shared" si="2"/>
        <v>-15063.059999999998</v>
      </c>
      <c r="Y16" s="2"/>
      <c r="Z16" s="19">
        <f t="shared" si="3"/>
        <v>-0.43459642676200838</v>
      </c>
    </row>
    <row r="17" spans="1:26" s="23" customFormat="1" hidden="1" outlineLevel="1" x14ac:dyDescent="0.25">
      <c r="A17" s="44"/>
      <c r="B17" s="10" t="str">
        <f>CONCATENATE("          ", "4004", " - ", "TAXABLE SALES-DIGITAL TEXT")</f>
        <v xml:space="preserve">          4004 - TAXABLE SALES-DIGITAL TEXT</v>
      </c>
      <c r="C17" s="10"/>
      <c r="D17" s="2">
        <f t="shared" ref="D17:D18" si="4">0</f>
        <v>0</v>
      </c>
      <c r="E17" s="2"/>
      <c r="F17" s="19"/>
      <c r="G17" s="2"/>
      <c r="H17" s="2">
        <f t="shared" ref="H17:H18" si="5">0</f>
        <v>0</v>
      </c>
      <c r="I17" s="2"/>
      <c r="J17" s="19"/>
      <c r="K17" s="2"/>
      <c r="L17" s="2">
        <f t="shared" si="0"/>
        <v>0</v>
      </c>
      <c r="M17" s="2"/>
      <c r="N17" s="19">
        <f t="shared" si="1"/>
        <v>0</v>
      </c>
      <c r="O17" s="10"/>
      <c r="P17" s="2">
        <f>--2659.66</f>
        <v>2659.66</v>
      </c>
      <c r="Q17" s="2"/>
      <c r="R17" s="19"/>
      <c r="S17" s="2"/>
      <c r="T17" s="2">
        <f>--42195.3</f>
        <v>42195.3</v>
      </c>
      <c r="U17" s="2"/>
      <c r="V17" s="19"/>
      <c r="W17" s="2"/>
      <c r="X17" s="2">
        <f t="shared" si="2"/>
        <v>-39535.64</v>
      </c>
      <c r="Y17" s="2"/>
      <c r="Z17" s="19">
        <f t="shared" si="3"/>
        <v>-0.93696786134948673</v>
      </c>
    </row>
    <row r="18" spans="1:26" s="23" customFormat="1" hidden="1" outlineLevel="1" x14ac:dyDescent="0.25">
      <c r="A18" s="44"/>
      <c r="B18" s="10" t="str">
        <f>CONCATENATE("          ", "4011", " - ", "TAXABLE SALES-NO VALUE TEXT")</f>
        <v xml:space="preserve">          4011 - TAXABLE SALES-NO VALUE TEXT</v>
      </c>
      <c r="C18" s="10"/>
      <c r="D18" s="2">
        <f t="shared" si="4"/>
        <v>0</v>
      </c>
      <c r="E18" s="2"/>
      <c r="F18" s="19"/>
      <c r="G18" s="2"/>
      <c r="H18" s="2">
        <f t="shared" si="5"/>
        <v>0</v>
      </c>
      <c r="I18" s="2"/>
      <c r="J18" s="19"/>
      <c r="K18" s="2"/>
      <c r="L18" s="2">
        <f t="shared" si="0"/>
        <v>0</v>
      </c>
      <c r="M18" s="2"/>
      <c r="N18" s="19">
        <f t="shared" si="1"/>
        <v>0</v>
      </c>
      <c r="O18" s="10"/>
      <c r="P18" s="2">
        <f>0</f>
        <v>0</v>
      </c>
      <c r="Q18" s="2"/>
      <c r="R18" s="19"/>
      <c r="S18" s="2"/>
      <c r="T18" s="2">
        <f>--1052.48</f>
        <v>1052.48</v>
      </c>
      <c r="U18" s="2"/>
      <c r="V18" s="19"/>
      <c r="W18" s="2"/>
      <c r="X18" s="2">
        <f t="shared" si="2"/>
        <v>-1052.48</v>
      </c>
      <c r="Y18" s="2"/>
      <c r="Z18" s="19">
        <f t="shared" si="3"/>
        <v>-1</v>
      </c>
    </row>
    <row r="19" spans="1:26" s="23" customFormat="1" hidden="1" outlineLevel="1" x14ac:dyDescent="0.25">
      <c r="A19" s="44"/>
      <c r="B19" s="10" t="str">
        <f>CONCATENATE("          ", "4013", " - ", "TAXABLE SALES-TRADE BOOKS")</f>
        <v xml:space="preserve">          4013 - TAXABLE SALES-TRADE BOOKS</v>
      </c>
      <c r="C19" s="10"/>
      <c r="D19" s="2">
        <f>--92.84</f>
        <v>92.84</v>
      </c>
      <c r="E19" s="2"/>
      <c r="F19" s="19"/>
      <c r="G19" s="2"/>
      <c r="H19" s="2">
        <f>--64.99</f>
        <v>64.989999999999995</v>
      </c>
      <c r="I19" s="2"/>
      <c r="J19" s="19"/>
      <c r="K19" s="2"/>
      <c r="L19" s="2">
        <f t="shared" si="0"/>
        <v>27.850000000000009</v>
      </c>
      <c r="M19" s="2"/>
      <c r="N19" s="19">
        <f t="shared" si="1"/>
        <v>0.42852746576396383</v>
      </c>
      <c r="O19" s="10"/>
      <c r="P19" s="2">
        <f>--1418.63</f>
        <v>1418.63</v>
      </c>
      <c r="Q19" s="2"/>
      <c r="R19" s="19"/>
      <c r="S19" s="2"/>
      <c r="T19" s="2">
        <f>--2778.35</f>
        <v>2778.35</v>
      </c>
      <c r="U19" s="2"/>
      <c r="V19" s="19"/>
      <c r="W19" s="2"/>
      <c r="X19" s="2">
        <f t="shared" si="2"/>
        <v>-1359.7199999999998</v>
      </c>
      <c r="Y19" s="2"/>
      <c r="Z19" s="19">
        <f t="shared" si="3"/>
        <v>-0.48939838393290974</v>
      </c>
    </row>
    <row r="20" spans="1:26" s="23" customFormat="1" hidden="1" outlineLevel="1" x14ac:dyDescent="0.25">
      <c r="A20" s="44"/>
      <c r="B20" s="10" t="str">
        <f>CONCATENATE("          ", "4014", " - ", "TAXABLE SALES-REMAINDERS")</f>
        <v xml:space="preserve">          4014 - TAXABLE SALES-REMAINDERS</v>
      </c>
      <c r="C20" s="10"/>
      <c r="D20" s="2">
        <f>--31.84</f>
        <v>31.84</v>
      </c>
      <c r="E20" s="2"/>
      <c r="F20" s="19"/>
      <c r="G20" s="2"/>
      <c r="H20" s="2">
        <f>--13.9</f>
        <v>13.9</v>
      </c>
      <c r="I20" s="2"/>
      <c r="J20" s="19"/>
      <c r="K20" s="2"/>
      <c r="L20" s="2">
        <f t="shared" si="0"/>
        <v>17.939999999999998</v>
      </c>
      <c r="M20" s="2"/>
      <c r="N20" s="19">
        <f t="shared" si="1"/>
        <v>1.2906474820143883</v>
      </c>
      <c r="O20" s="10"/>
      <c r="P20" s="2">
        <f>--547.56</f>
        <v>547.55999999999995</v>
      </c>
      <c r="Q20" s="2"/>
      <c r="R20" s="19"/>
      <c r="S20" s="2"/>
      <c r="T20" s="2">
        <f>--1233.88</f>
        <v>1233.8800000000001</v>
      </c>
      <c r="U20" s="2"/>
      <c r="V20" s="19"/>
      <c r="W20" s="2"/>
      <c r="X20" s="2">
        <f t="shared" si="2"/>
        <v>-686.32000000000016</v>
      </c>
      <c r="Y20" s="2"/>
      <c r="Z20" s="19">
        <f t="shared" si="3"/>
        <v>-0.55622913087172177</v>
      </c>
    </row>
    <row r="21" spans="1:26" s="23" customFormat="1" hidden="1" outlineLevel="1" x14ac:dyDescent="0.25">
      <c r="A21" s="44"/>
      <c r="B21" s="10" t="str">
        <f>CONCATENATE("          ", "4017", " - ", "TAXABLE SALES-DORM/HOUSEWARES")</f>
        <v xml:space="preserve">          4017 - TAXABLE SALES-DORM/HOUSEWARES</v>
      </c>
      <c r="C21" s="10"/>
      <c r="D21" s="2">
        <f>0</f>
        <v>0</v>
      </c>
      <c r="E21" s="2"/>
      <c r="F21" s="19"/>
      <c r="G21" s="2"/>
      <c r="H21" s="2">
        <f t="shared" ref="H21:H23" si="6">0</f>
        <v>0</v>
      </c>
      <c r="I21" s="2"/>
      <c r="J21" s="19"/>
      <c r="K21" s="2"/>
      <c r="L21" s="2">
        <f t="shared" si="0"/>
        <v>0</v>
      </c>
      <c r="M21" s="2"/>
      <c r="N21" s="19">
        <f t="shared" si="1"/>
        <v>0</v>
      </c>
      <c r="O21" s="10"/>
      <c r="P21" s="2">
        <f>0</f>
        <v>0</v>
      </c>
      <c r="Q21" s="2"/>
      <c r="R21" s="19"/>
      <c r="S21" s="2"/>
      <c r="T21" s="2">
        <f>--347.52</f>
        <v>347.52</v>
      </c>
      <c r="U21" s="2"/>
      <c r="V21" s="19"/>
      <c r="W21" s="2"/>
      <c r="X21" s="2">
        <f t="shared" si="2"/>
        <v>-347.52</v>
      </c>
      <c r="Y21" s="2"/>
      <c r="Z21" s="19">
        <f t="shared" si="3"/>
        <v>-1</v>
      </c>
    </row>
    <row r="22" spans="1:26" s="23" customFormat="1" hidden="1" outlineLevel="1" x14ac:dyDescent="0.25">
      <c r="A22" s="44"/>
      <c r="B22" s="10" t="str">
        <f>CONCATENATE("          ", "4018", " - ", "TAXABLE SALES-STUDY GUIDES")</f>
        <v xml:space="preserve">          4018 - TAXABLE SALES-STUDY GUIDES</v>
      </c>
      <c r="C22" s="10"/>
      <c r="D22" s="2">
        <f>--114.01</f>
        <v>114.01</v>
      </c>
      <c r="E22" s="2"/>
      <c r="F22" s="19"/>
      <c r="G22" s="2"/>
      <c r="H22" s="2">
        <f t="shared" si="6"/>
        <v>0</v>
      </c>
      <c r="I22" s="2"/>
      <c r="J22" s="19"/>
      <c r="K22" s="2"/>
      <c r="L22" s="2">
        <f t="shared" si="0"/>
        <v>114.01</v>
      </c>
      <c r="M22" s="2"/>
      <c r="N22" s="19">
        <f t="shared" si="1"/>
        <v>0</v>
      </c>
      <c r="O22" s="10"/>
      <c r="P22" s="2">
        <f>--622.49</f>
        <v>622.49</v>
      </c>
      <c r="Q22" s="2"/>
      <c r="R22" s="19"/>
      <c r="S22" s="2"/>
      <c r="T22" s="2">
        <f>--4179.3</f>
        <v>4179.3</v>
      </c>
      <c r="U22" s="2"/>
      <c r="V22" s="19"/>
      <c r="W22" s="2"/>
      <c r="X22" s="2">
        <f t="shared" si="2"/>
        <v>-3556.8100000000004</v>
      </c>
      <c r="Y22" s="2"/>
      <c r="Z22" s="19">
        <f t="shared" si="3"/>
        <v>-0.85105400425908651</v>
      </c>
    </row>
    <row r="23" spans="1:26" s="23" customFormat="1" hidden="1" outlineLevel="1" x14ac:dyDescent="0.25">
      <c r="A23" s="44"/>
      <c r="B23" s="10" t="str">
        <f>CONCATENATE("          ", "4019", " - ", "TAXABLE SALES-BOOK RELATED")</f>
        <v xml:space="preserve">          4019 - TAXABLE SALES-BOOK RELATED</v>
      </c>
      <c r="C23" s="10"/>
      <c r="D23" s="2">
        <f t="shared" ref="D23:D24" si="7">0</f>
        <v>0</v>
      </c>
      <c r="E23" s="2"/>
      <c r="F23" s="19"/>
      <c r="G23" s="2"/>
      <c r="H23" s="2">
        <f t="shared" si="6"/>
        <v>0</v>
      </c>
      <c r="I23" s="2"/>
      <c r="J23" s="19"/>
      <c r="K23" s="2"/>
      <c r="L23" s="2">
        <f t="shared" si="0"/>
        <v>0</v>
      </c>
      <c r="M23" s="2"/>
      <c r="N23" s="19">
        <f t="shared" si="1"/>
        <v>0</v>
      </c>
      <c r="O23" s="10"/>
      <c r="P23" s="2">
        <f t="shared" ref="P23:P24" si="8">0</f>
        <v>0</v>
      </c>
      <c r="Q23" s="2"/>
      <c r="R23" s="19"/>
      <c r="S23" s="2"/>
      <c r="T23" s="2">
        <f>--42.85</f>
        <v>42.85</v>
      </c>
      <c r="U23" s="2"/>
      <c r="V23" s="19"/>
      <c r="W23" s="2"/>
      <c r="X23" s="2">
        <f t="shared" si="2"/>
        <v>-42.85</v>
      </c>
      <c r="Y23" s="2"/>
      <c r="Z23" s="19">
        <f t="shared" si="3"/>
        <v>-1</v>
      </c>
    </row>
    <row r="24" spans="1:26" s="23" customFormat="1" hidden="1" outlineLevel="1" x14ac:dyDescent="0.25">
      <c r="A24" s="44"/>
      <c r="B24" s="10" t="str">
        <f>CONCATENATE("          ", "4025", " - ", "TAXABLE SALES-TEST FORMS")</f>
        <v xml:space="preserve">          4025 - TAXABLE SALES-TEST FORMS</v>
      </c>
      <c r="C24" s="10"/>
      <c r="D24" s="2">
        <f t="shared" si="7"/>
        <v>0</v>
      </c>
      <c r="E24" s="2"/>
      <c r="F24" s="19"/>
      <c r="G24" s="2"/>
      <c r="H24" s="2">
        <f>--3099.74</f>
        <v>3099.74</v>
      </c>
      <c r="I24" s="2"/>
      <c r="J24" s="19"/>
      <c r="K24" s="2"/>
      <c r="L24" s="2">
        <f t="shared" si="0"/>
        <v>-3099.74</v>
      </c>
      <c r="M24" s="2"/>
      <c r="N24" s="19">
        <f t="shared" si="1"/>
        <v>-1</v>
      </c>
      <c r="O24" s="10"/>
      <c r="P24" s="2">
        <f t="shared" si="8"/>
        <v>0</v>
      </c>
      <c r="Q24" s="2"/>
      <c r="R24" s="19"/>
      <c r="S24" s="2"/>
      <c r="T24" s="2">
        <f>--57819.85</f>
        <v>57819.85</v>
      </c>
      <c r="U24" s="2"/>
      <c r="V24" s="19"/>
      <c r="W24" s="2"/>
      <c r="X24" s="2">
        <f t="shared" si="2"/>
        <v>-57819.85</v>
      </c>
      <c r="Y24" s="2"/>
      <c r="Z24" s="19">
        <f t="shared" si="3"/>
        <v>-1</v>
      </c>
    </row>
    <row r="25" spans="1:26" s="23" customFormat="1" hidden="1" outlineLevel="1" x14ac:dyDescent="0.25">
      <c r="A25" s="44"/>
      <c r="B25" s="10" t="str">
        <f>CONCATENATE("          ", "4026", " - ", "TAXABLE SALES-WRITING INSTRUME")</f>
        <v xml:space="preserve">          4026 - TAXABLE SALES-WRITING INSTRUME</v>
      </c>
      <c r="C25" s="10"/>
      <c r="D25" s="2">
        <f>--25.1</f>
        <v>25.1</v>
      </c>
      <c r="E25" s="2"/>
      <c r="F25" s="19"/>
      <c r="G25" s="2"/>
      <c r="H25" s="2">
        <f>--2531.99</f>
        <v>2531.9899999999998</v>
      </c>
      <c r="I25" s="2"/>
      <c r="J25" s="19"/>
      <c r="K25" s="2"/>
      <c r="L25" s="2">
        <f t="shared" si="0"/>
        <v>-2506.89</v>
      </c>
      <c r="M25" s="2"/>
      <c r="N25" s="19">
        <f t="shared" si="1"/>
        <v>-0.99008684868423658</v>
      </c>
      <c r="O25" s="10"/>
      <c r="P25" s="2">
        <f>--547.64</f>
        <v>547.64</v>
      </c>
      <c r="Q25" s="2"/>
      <c r="R25" s="19"/>
      <c r="S25" s="2"/>
      <c r="T25" s="2">
        <f>--83341.48</f>
        <v>83341.48</v>
      </c>
      <c r="U25" s="2"/>
      <c r="V25" s="19"/>
      <c r="W25" s="2"/>
      <c r="X25" s="2">
        <f t="shared" si="2"/>
        <v>-82793.84</v>
      </c>
      <c r="Y25" s="2"/>
      <c r="Z25" s="19">
        <f t="shared" si="3"/>
        <v>-0.99342896238463729</v>
      </c>
    </row>
    <row r="26" spans="1:26" s="23" customFormat="1" hidden="1" outlineLevel="1" x14ac:dyDescent="0.25">
      <c r="A26" s="44"/>
      <c r="B26" s="10" t="str">
        <f>CONCATENATE("          ", "4027", " - ", "TAXABLE SALES-SCHOOL SUPPLIES")</f>
        <v xml:space="preserve">          4027 - TAXABLE SALES-SCHOOL SUPPLIES</v>
      </c>
      <c r="C26" s="10"/>
      <c r="D26" s="2">
        <f>--3459.71</f>
        <v>3459.71</v>
      </c>
      <c r="E26" s="2"/>
      <c r="F26" s="19"/>
      <c r="G26" s="2"/>
      <c r="H26" s="2">
        <f>--4073.06</f>
        <v>4073.06</v>
      </c>
      <c r="I26" s="2"/>
      <c r="J26" s="19"/>
      <c r="K26" s="2"/>
      <c r="L26" s="2">
        <f t="shared" si="0"/>
        <v>-613.34999999999991</v>
      </c>
      <c r="M26" s="2"/>
      <c r="N26" s="19">
        <f t="shared" si="1"/>
        <v>-0.15058702793477138</v>
      </c>
      <c r="O26" s="10"/>
      <c r="P26" s="2">
        <f>--73564</f>
        <v>73564</v>
      </c>
      <c r="Q26" s="2"/>
      <c r="R26" s="19"/>
      <c r="S26" s="2"/>
      <c r="T26" s="2">
        <f>--280850.13</f>
        <v>280850.13</v>
      </c>
      <c r="U26" s="2"/>
      <c r="V26" s="19"/>
      <c r="W26" s="2"/>
      <c r="X26" s="2">
        <f t="shared" si="2"/>
        <v>-207286.13</v>
      </c>
      <c r="Y26" s="2"/>
      <c r="Z26" s="19">
        <f t="shared" si="3"/>
        <v>-0.73806670482936931</v>
      </c>
    </row>
    <row r="27" spans="1:26" s="23" customFormat="1" hidden="1" outlineLevel="1" x14ac:dyDescent="0.25">
      <c r="A27" s="44"/>
      <c r="B27" s="10" t="str">
        <f>CONCATENATE("          ", "4028", " - ", "TAXABLE SALES-ART/TECH")</f>
        <v xml:space="preserve">          4028 - TAXABLE SALES-ART/TECH</v>
      </c>
      <c r="C27" s="10"/>
      <c r="D27" s="2">
        <f>--2312.88</f>
        <v>2312.88</v>
      </c>
      <c r="E27" s="2"/>
      <c r="F27" s="19"/>
      <c r="G27" s="2"/>
      <c r="H27" s="2">
        <f>--386.59</f>
        <v>386.59</v>
      </c>
      <c r="I27" s="2"/>
      <c r="J27" s="19"/>
      <c r="K27" s="2"/>
      <c r="L27" s="2">
        <f t="shared" si="0"/>
        <v>1926.2900000000002</v>
      </c>
      <c r="M27" s="2"/>
      <c r="N27" s="19">
        <f t="shared" si="1"/>
        <v>4.9827724462608973</v>
      </c>
      <c r="O27" s="10"/>
      <c r="P27" s="2">
        <f>--50708.2</f>
        <v>50708.2</v>
      </c>
      <c r="Q27" s="2"/>
      <c r="R27" s="19"/>
      <c r="S27" s="2"/>
      <c r="T27" s="2">
        <f>--293577.64</f>
        <v>293577.64</v>
      </c>
      <c r="U27" s="2"/>
      <c r="V27" s="19"/>
      <c r="W27" s="2"/>
      <c r="X27" s="2">
        <f t="shared" si="2"/>
        <v>-242869.44</v>
      </c>
      <c r="Y27" s="2"/>
      <c r="Z27" s="19">
        <f t="shared" si="3"/>
        <v>-0.82727499274127281</v>
      </c>
    </row>
    <row r="28" spans="1:26" s="23" customFormat="1" hidden="1" outlineLevel="1" x14ac:dyDescent="0.25">
      <c r="A28" s="44"/>
      <c r="B28" s="10" t="str">
        <f>CONCATENATE("          ", "4031", " - ", "TAXABLE SALES-FOOD")</f>
        <v xml:space="preserve">          4031 - TAXABLE SALES-FOOD</v>
      </c>
      <c r="C28" s="10"/>
      <c r="D28" s="2">
        <f>--380.76</f>
        <v>380.76</v>
      </c>
      <c r="E28" s="2"/>
      <c r="F28" s="19"/>
      <c r="G28" s="2"/>
      <c r="H28" s="2">
        <f t="shared" ref="H28:H33" si="9">0</f>
        <v>0</v>
      </c>
      <c r="I28" s="2"/>
      <c r="J28" s="19"/>
      <c r="K28" s="2"/>
      <c r="L28" s="2">
        <f t="shared" si="0"/>
        <v>380.76</v>
      </c>
      <c r="M28" s="2"/>
      <c r="N28" s="19">
        <f t="shared" si="1"/>
        <v>0</v>
      </c>
      <c r="O28" s="10"/>
      <c r="P28" s="2">
        <f>--5081.47</f>
        <v>5081.47</v>
      </c>
      <c r="Q28" s="2"/>
      <c r="R28" s="19"/>
      <c r="S28" s="2"/>
      <c r="T28" s="2">
        <f>--486.34</f>
        <v>486.34</v>
      </c>
      <c r="U28" s="2"/>
      <c r="V28" s="19"/>
      <c r="W28" s="2"/>
      <c r="X28" s="2">
        <f t="shared" si="2"/>
        <v>4595.13</v>
      </c>
      <c r="Y28" s="2"/>
      <c r="Z28" s="19">
        <f t="shared" si="3"/>
        <v>9.4483900152156934</v>
      </c>
    </row>
    <row r="29" spans="1:26" s="23" customFormat="1" hidden="1" outlineLevel="1" x14ac:dyDescent="0.25">
      <c r="A29" s="44"/>
      <c r="B29" s="10" t="str">
        <f>CONCATENATE("          ", "4032", " - ", "TAXABLE SALES-JUICE")</f>
        <v xml:space="preserve">          4032 - TAXABLE SALES-JUICE</v>
      </c>
      <c r="C29" s="10"/>
      <c r="D29" s="2">
        <f t="shared" ref="D29:D33" si="10">0</f>
        <v>0</v>
      </c>
      <c r="E29" s="2"/>
      <c r="F29" s="19"/>
      <c r="G29" s="2"/>
      <c r="H29" s="2">
        <f t="shared" si="9"/>
        <v>0</v>
      </c>
      <c r="I29" s="2"/>
      <c r="J29" s="19"/>
      <c r="K29" s="2"/>
      <c r="L29" s="2">
        <f t="shared" si="0"/>
        <v>0</v>
      </c>
      <c r="M29" s="2"/>
      <c r="N29" s="19">
        <f t="shared" si="1"/>
        <v>0</v>
      </c>
      <c r="O29" s="10"/>
      <c r="P29" s="2">
        <f t="shared" ref="P29:P30" si="11">0</f>
        <v>0</v>
      </c>
      <c r="Q29" s="2"/>
      <c r="R29" s="19"/>
      <c r="S29" s="2"/>
      <c r="T29" s="2">
        <f>--1905.06</f>
        <v>1905.06</v>
      </c>
      <c r="U29" s="2"/>
      <c r="V29" s="19"/>
      <c r="W29" s="2"/>
      <c r="X29" s="2">
        <f t="shared" si="2"/>
        <v>-1905.06</v>
      </c>
      <c r="Y29" s="2"/>
      <c r="Z29" s="19">
        <f t="shared" si="3"/>
        <v>-1</v>
      </c>
    </row>
    <row r="30" spans="1:26" s="23" customFormat="1" hidden="1" outlineLevel="1" x14ac:dyDescent="0.25">
      <c r="A30" s="44"/>
      <c r="B30" s="10" t="str">
        <f>CONCATENATE("          ", "4033", " - ", "TAXABLE SALES-CANDY")</f>
        <v xml:space="preserve">          4033 - TAXABLE SALES-CANDY</v>
      </c>
      <c r="C30" s="10"/>
      <c r="D30" s="2">
        <f t="shared" si="10"/>
        <v>0</v>
      </c>
      <c r="E30" s="2"/>
      <c r="F30" s="19"/>
      <c r="G30" s="2"/>
      <c r="H30" s="2">
        <f t="shared" si="9"/>
        <v>0</v>
      </c>
      <c r="I30" s="2"/>
      <c r="J30" s="19"/>
      <c r="K30" s="2"/>
      <c r="L30" s="2">
        <f t="shared" si="0"/>
        <v>0</v>
      </c>
      <c r="M30" s="2"/>
      <c r="N30" s="19">
        <f t="shared" si="1"/>
        <v>0</v>
      </c>
      <c r="O30" s="10"/>
      <c r="P30" s="2">
        <f t="shared" si="11"/>
        <v>0</v>
      </c>
      <c r="Q30" s="2"/>
      <c r="R30" s="19"/>
      <c r="S30" s="2"/>
      <c r="T30" s="2">
        <f>--205.53</f>
        <v>205.53</v>
      </c>
      <c r="U30" s="2"/>
      <c r="V30" s="19"/>
      <c r="W30" s="2"/>
      <c r="X30" s="2">
        <f t="shared" si="2"/>
        <v>-205.53</v>
      </c>
      <c r="Y30" s="2"/>
      <c r="Z30" s="19">
        <f t="shared" si="3"/>
        <v>-1</v>
      </c>
    </row>
    <row r="31" spans="1:26" s="23" customFormat="1" hidden="1" outlineLevel="1" x14ac:dyDescent="0.25">
      <c r="A31" s="44"/>
      <c r="B31" s="10" t="str">
        <f>CONCATENATE("          ", "4034", " - ", "TAXABLE SALES-SODA")</f>
        <v xml:space="preserve">          4034 - TAXABLE SALES-SODA</v>
      </c>
      <c r="C31" s="10"/>
      <c r="D31" s="2">
        <f t="shared" si="10"/>
        <v>0</v>
      </c>
      <c r="E31" s="2"/>
      <c r="F31" s="19"/>
      <c r="G31" s="2"/>
      <c r="H31" s="2">
        <f t="shared" si="9"/>
        <v>0</v>
      </c>
      <c r="I31" s="2"/>
      <c r="J31" s="19"/>
      <c r="K31" s="2"/>
      <c r="L31" s="2">
        <f t="shared" si="0"/>
        <v>0</v>
      </c>
      <c r="M31" s="2"/>
      <c r="N31" s="19">
        <f t="shared" si="1"/>
        <v>0</v>
      </c>
      <c r="O31" s="10"/>
      <c r="P31" s="2">
        <f>--6.78</f>
        <v>6.78</v>
      </c>
      <c r="Q31" s="2"/>
      <c r="R31" s="19"/>
      <c r="S31" s="2"/>
      <c r="T31" s="2">
        <f>--7803.51</f>
        <v>7803.51</v>
      </c>
      <c r="U31" s="2"/>
      <c r="V31" s="19"/>
      <c r="W31" s="2"/>
      <c r="X31" s="2">
        <f t="shared" si="2"/>
        <v>-7796.7300000000005</v>
      </c>
      <c r="Y31" s="2"/>
      <c r="Z31" s="19">
        <f t="shared" si="3"/>
        <v>-0.99913116020867532</v>
      </c>
    </row>
    <row r="32" spans="1:26" s="23" customFormat="1" hidden="1" outlineLevel="1" x14ac:dyDescent="0.25">
      <c r="A32" s="44"/>
      <c r="B32" s="10" t="str">
        <f>CONCATENATE("          ", "4035", " - ", "TAXABLE SALES-HEALTH &amp; BEAUTY")</f>
        <v xml:space="preserve">          4035 - TAXABLE SALES-HEALTH &amp; BEAUTY</v>
      </c>
      <c r="C32" s="10"/>
      <c r="D32" s="2">
        <f t="shared" si="10"/>
        <v>0</v>
      </c>
      <c r="E32" s="2"/>
      <c r="F32" s="19"/>
      <c r="G32" s="2"/>
      <c r="H32" s="2">
        <f t="shared" si="9"/>
        <v>0</v>
      </c>
      <c r="I32" s="2"/>
      <c r="J32" s="19"/>
      <c r="K32" s="2"/>
      <c r="L32" s="2">
        <f t="shared" si="0"/>
        <v>0</v>
      </c>
      <c r="M32" s="2"/>
      <c r="N32" s="19">
        <f t="shared" si="1"/>
        <v>0</v>
      </c>
      <c r="O32" s="10"/>
      <c r="P32" s="2">
        <f t="shared" ref="P32:P33" si="12">0</f>
        <v>0</v>
      </c>
      <c r="Q32" s="2"/>
      <c r="R32" s="19"/>
      <c r="S32" s="2"/>
      <c r="T32" s="2">
        <f>--1981.84</f>
        <v>1981.84</v>
      </c>
      <c r="U32" s="2"/>
      <c r="V32" s="19"/>
      <c r="W32" s="2"/>
      <c r="X32" s="2">
        <f t="shared" si="2"/>
        <v>-1981.84</v>
      </c>
      <c r="Y32" s="2"/>
      <c r="Z32" s="19">
        <f t="shared" si="3"/>
        <v>-1</v>
      </c>
    </row>
    <row r="33" spans="1:26" s="23" customFormat="1" hidden="1" outlineLevel="1" x14ac:dyDescent="0.25">
      <c r="A33" s="44"/>
      <c r="B33" s="10" t="str">
        <f>CONCATENATE("          ", "4037", " - ", "TAXABLE SALES-WATER")</f>
        <v xml:space="preserve">          4037 - TAXABLE SALES-WATER</v>
      </c>
      <c r="C33" s="10"/>
      <c r="D33" s="2">
        <f t="shared" si="10"/>
        <v>0</v>
      </c>
      <c r="E33" s="2"/>
      <c r="F33" s="19"/>
      <c r="G33" s="2"/>
      <c r="H33" s="2">
        <f t="shared" si="9"/>
        <v>0</v>
      </c>
      <c r="I33" s="2"/>
      <c r="J33" s="19"/>
      <c r="K33" s="2"/>
      <c r="L33" s="2">
        <f t="shared" si="0"/>
        <v>0</v>
      </c>
      <c r="M33" s="2"/>
      <c r="N33" s="19">
        <f t="shared" si="1"/>
        <v>0</v>
      </c>
      <c r="O33" s="10"/>
      <c r="P33" s="2">
        <f t="shared" si="12"/>
        <v>0</v>
      </c>
      <c r="Q33" s="2"/>
      <c r="R33" s="19"/>
      <c r="S33" s="2"/>
      <c r="T33" s="2">
        <f>--513.51</f>
        <v>513.51</v>
      </c>
      <c r="U33" s="2"/>
      <c r="V33" s="19"/>
      <c r="W33" s="2"/>
      <c r="X33" s="2">
        <f t="shared" si="2"/>
        <v>-513.51</v>
      </c>
      <c r="Y33" s="2"/>
      <c r="Z33" s="19">
        <f t="shared" si="3"/>
        <v>-1</v>
      </c>
    </row>
    <row r="34" spans="1:26" s="23" customFormat="1" hidden="1" outlineLevel="1" x14ac:dyDescent="0.25">
      <c r="A34" s="44"/>
      <c r="B34" s="10" t="str">
        <f>CONCATENATE("          ", "4040", " - ", "TAXABLE SALES-LOGO CLOTHING")</f>
        <v xml:space="preserve">          4040 - TAXABLE SALES-LOGO CLOTHING</v>
      </c>
      <c r="C34" s="10"/>
      <c r="D34" s="2">
        <f>--109798.76</f>
        <v>109798.76</v>
      </c>
      <c r="E34" s="2"/>
      <c r="F34" s="19"/>
      <c r="G34" s="2"/>
      <c r="H34" s="2">
        <f>--46364.3</f>
        <v>46364.3</v>
      </c>
      <c r="I34" s="2"/>
      <c r="J34" s="19"/>
      <c r="K34" s="2"/>
      <c r="L34" s="2">
        <f t="shared" si="0"/>
        <v>63434.459999999992</v>
      </c>
      <c r="M34" s="2"/>
      <c r="N34" s="19">
        <f t="shared" si="1"/>
        <v>1.3681746516177316</v>
      </c>
      <c r="O34" s="10"/>
      <c r="P34" s="2">
        <f>--1210378.91</f>
        <v>1210378.9099999999</v>
      </c>
      <c r="Q34" s="2"/>
      <c r="R34" s="19"/>
      <c r="S34" s="2"/>
      <c r="T34" s="2">
        <f>--1941274.42</f>
        <v>1941274.42</v>
      </c>
      <c r="U34" s="2"/>
      <c r="V34" s="19"/>
      <c r="W34" s="2"/>
      <c r="X34" s="2">
        <f t="shared" si="2"/>
        <v>-730895.51</v>
      </c>
      <c r="Y34" s="2"/>
      <c r="Z34" s="19">
        <f t="shared" si="3"/>
        <v>-0.37650293151238251</v>
      </c>
    </row>
    <row r="35" spans="1:26" s="23" customFormat="1" hidden="1" outlineLevel="1" x14ac:dyDescent="0.25">
      <c r="A35" s="44"/>
      <c r="B35" s="10" t="str">
        <f>CONCATENATE("          ", "4041", " - ", "TAXABLE SALES-LOGO GIFTS")</f>
        <v xml:space="preserve">          4041 - TAXABLE SALES-LOGO GIFTS</v>
      </c>
      <c r="C35" s="10"/>
      <c r="D35" s="2">
        <f>--80467.62</f>
        <v>80467.62</v>
      </c>
      <c r="E35" s="2"/>
      <c r="F35" s="19"/>
      <c r="G35" s="2"/>
      <c r="H35" s="2">
        <f>--29904.23</f>
        <v>29904.23</v>
      </c>
      <c r="I35" s="2"/>
      <c r="J35" s="19"/>
      <c r="K35" s="2"/>
      <c r="L35" s="2">
        <f t="shared" si="0"/>
        <v>50563.39</v>
      </c>
      <c r="M35" s="2"/>
      <c r="N35" s="19">
        <f t="shared" si="1"/>
        <v>1.6908440712233688</v>
      </c>
      <c r="O35" s="10"/>
      <c r="P35" s="2">
        <f>--712240.21</f>
        <v>712240.21</v>
      </c>
      <c r="Q35" s="2"/>
      <c r="R35" s="19"/>
      <c r="S35" s="2"/>
      <c r="T35" s="2">
        <f>--556536.79</f>
        <v>556536.79</v>
      </c>
      <c r="U35" s="2"/>
      <c r="V35" s="19"/>
      <c r="W35" s="2"/>
      <c r="X35" s="2">
        <f t="shared" si="2"/>
        <v>155703.41999999993</v>
      </c>
      <c r="Y35" s="2"/>
      <c r="Z35" s="19">
        <f t="shared" si="3"/>
        <v>0.27977201650945649</v>
      </c>
    </row>
    <row r="36" spans="1:26" s="23" customFormat="1" hidden="1" outlineLevel="1" x14ac:dyDescent="0.25">
      <c r="A36" s="44"/>
      <c r="B36" s="10" t="str">
        <f>CONCATENATE("          ", "4042", " - ", "TAXABLE SALES-EVERYDAY GIFTS")</f>
        <v xml:space="preserve">          4042 - TAXABLE SALES-EVERYDAY GIFTS</v>
      </c>
      <c r="C36" s="10"/>
      <c r="D36" s="2">
        <f>--7345.28</f>
        <v>7345.28</v>
      </c>
      <c r="E36" s="2"/>
      <c r="F36" s="19"/>
      <c r="G36" s="2"/>
      <c r="H36" s="2">
        <f>--2836.85</f>
        <v>2836.85</v>
      </c>
      <c r="I36" s="2"/>
      <c r="J36" s="19"/>
      <c r="K36" s="2"/>
      <c r="L36" s="2">
        <f t="shared" si="0"/>
        <v>4508.43</v>
      </c>
      <c r="M36" s="2"/>
      <c r="N36" s="19">
        <f t="shared" si="1"/>
        <v>1.5892380633449072</v>
      </c>
      <c r="O36" s="10"/>
      <c r="P36" s="2">
        <f>--116251.83</f>
        <v>116251.83</v>
      </c>
      <c r="Q36" s="2"/>
      <c r="R36" s="19"/>
      <c r="S36" s="2"/>
      <c r="T36" s="2">
        <f>--285558.05</f>
        <v>285558.05</v>
      </c>
      <c r="U36" s="2"/>
      <c r="V36" s="19"/>
      <c r="W36" s="2"/>
      <c r="X36" s="2">
        <f t="shared" si="2"/>
        <v>-169306.21999999997</v>
      </c>
      <c r="Y36" s="2"/>
      <c r="Z36" s="19">
        <f t="shared" si="3"/>
        <v>-0.59289598034445179</v>
      </c>
    </row>
    <row r="37" spans="1:26" s="23" customFormat="1" hidden="1" outlineLevel="1" x14ac:dyDescent="0.25">
      <c r="A37" s="44"/>
      <c r="B37" s="10" t="str">
        <f>CONCATENATE("          ", "4043", " - ", "TAXABLE SALES-CARDS")</f>
        <v xml:space="preserve">          4043 - TAXABLE SALES-CARDS</v>
      </c>
      <c r="C37" s="10"/>
      <c r="D37" s="2">
        <f>--2949.38</f>
        <v>2949.38</v>
      </c>
      <c r="E37" s="2"/>
      <c r="F37" s="19"/>
      <c r="G37" s="2"/>
      <c r="H37" s="2">
        <f>--54.96</f>
        <v>54.96</v>
      </c>
      <c r="I37" s="2"/>
      <c r="J37" s="19"/>
      <c r="K37" s="2"/>
      <c r="L37" s="2">
        <f t="shared" si="0"/>
        <v>2894.42</v>
      </c>
      <c r="M37" s="2"/>
      <c r="N37" s="19">
        <f t="shared" si="1"/>
        <v>52.664119359534205</v>
      </c>
      <c r="O37" s="10"/>
      <c r="P37" s="2">
        <f>--147027.05</f>
        <v>147027.04999999999</v>
      </c>
      <c r="Q37" s="2"/>
      <c r="R37" s="19"/>
      <c r="S37" s="2"/>
      <c r="T37" s="2">
        <f>--77324.14</f>
        <v>77324.14</v>
      </c>
      <c r="U37" s="2"/>
      <c r="V37" s="19"/>
      <c r="W37" s="2"/>
      <c r="X37" s="2">
        <f t="shared" si="2"/>
        <v>69702.909999999989</v>
      </c>
      <c r="Y37" s="2"/>
      <c r="Z37" s="19">
        <f t="shared" si="3"/>
        <v>0.90143789507390559</v>
      </c>
    </row>
    <row r="38" spans="1:26" s="23" customFormat="1" hidden="1" outlineLevel="1" x14ac:dyDescent="0.25">
      <c r="A38" s="44"/>
      <c r="B38" s="10" t="str">
        <f>CONCATENATE("          ", "4044", " - ", "TAXABLE SALES-ACCESSORIES")</f>
        <v xml:space="preserve">          4044 - TAXABLE SALES-ACCESSORIES</v>
      </c>
      <c r="C38" s="10"/>
      <c r="D38" s="2">
        <f>--2172.33</f>
        <v>2172.33</v>
      </c>
      <c r="E38" s="2"/>
      <c r="F38" s="19"/>
      <c r="G38" s="2"/>
      <c r="H38" s="2">
        <f>--2524.8</f>
        <v>2524.8000000000002</v>
      </c>
      <c r="I38" s="2"/>
      <c r="J38" s="19"/>
      <c r="K38" s="2"/>
      <c r="L38" s="2">
        <f t="shared" si="0"/>
        <v>-352.47000000000025</v>
      </c>
      <c r="M38" s="2"/>
      <c r="N38" s="19">
        <f t="shared" si="1"/>
        <v>-0.13960313688212936</v>
      </c>
      <c r="O38" s="10"/>
      <c r="P38" s="2">
        <f>--43288.66</f>
        <v>43288.66</v>
      </c>
      <c r="Q38" s="2"/>
      <c r="R38" s="19"/>
      <c r="S38" s="2"/>
      <c r="T38" s="2">
        <f>--73780.56</f>
        <v>73780.56</v>
      </c>
      <c r="U38" s="2"/>
      <c r="V38" s="19"/>
      <c r="W38" s="2"/>
      <c r="X38" s="2">
        <f t="shared" si="2"/>
        <v>-30491.899999999994</v>
      </c>
      <c r="Y38" s="2"/>
      <c r="Z38" s="19">
        <f t="shared" si="3"/>
        <v>-0.41327824023021775</v>
      </c>
    </row>
    <row r="39" spans="1:26" s="23" customFormat="1" hidden="1" outlineLevel="1" x14ac:dyDescent="0.25">
      <c r="A39" s="44"/>
      <c r="B39" s="10" t="str">
        <f>CONCATENATE("          ", "4045", " - ", "TAXABLE SALES-SPECIAL ORDERS")</f>
        <v xml:space="preserve">          4045 - TAXABLE SALES-SPECIAL ORDERS</v>
      </c>
      <c r="C39" s="10"/>
      <c r="D39" s="2">
        <f>--81300.55</f>
        <v>81300.55</v>
      </c>
      <c r="E39" s="2"/>
      <c r="F39" s="19"/>
      <c r="G39" s="2"/>
      <c r="H39" s="2">
        <f>--26263.53</f>
        <v>26263.53</v>
      </c>
      <c r="I39" s="2"/>
      <c r="J39" s="19"/>
      <c r="K39" s="2"/>
      <c r="L39" s="2">
        <f t="shared" si="0"/>
        <v>55037.020000000004</v>
      </c>
      <c r="M39" s="2"/>
      <c r="N39" s="19">
        <f t="shared" si="1"/>
        <v>2.0955682651951206</v>
      </c>
      <c r="O39" s="10"/>
      <c r="P39" s="2">
        <f>--314878.48</f>
        <v>314878.48</v>
      </c>
      <c r="Q39" s="2"/>
      <c r="R39" s="19"/>
      <c r="S39" s="2"/>
      <c r="T39" s="2">
        <f>--123103.09</f>
        <v>123103.09</v>
      </c>
      <c r="U39" s="2"/>
      <c r="V39" s="19"/>
      <c r="W39" s="2"/>
      <c r="X39" s="2">
        <f t="shared" si="2"/>
        <v>191775.38999999998</v>
      </c>
      <c r="Y39" s="2"/>
      <c r="Z39" s="19">
        <f t="shared" si="3"/>
        <v>1.5578438364138543</v>
      </c>
    </row>
    <row r="40" spans="1:26" s="23" customFormat="1" hidden="1" outlineLevel="1" x14ac:dyDescent="0.25">
      <c r="A40" s="44"/>
      <c r="B40" s="10" t="str">
        <f>CONCATENATE("          ", "4047", " - ", "TAXABLE SALES-MISC")</f>
        <v xml:space="preserve">          4047 - TAXABLE SALES-MISC</v>
      </c>
      <c r="C40" s="10"/>
      <c r="D40" s="2">
        <f>0</f>
        <v>0</v>
      </c>
      <c r="E40" s="2"/>
      <c r="F40" s="19"/>
      <c r="G40" s="2"/>
      <c r="H40" s="2">
        <f>0</f>
        <v>0</v>
      </c>
      <c r="I40" s="2"/>
      <c r="J40" s="19"/>
      <c r="K40" s="2"/>
      <c r="L40" s="2">
        <f t="shared" si="0"/>
        <v>0</v>
      </c>
      <c r="M40" s="2"/>
      <c r="N40" s="19">
        <f t="shared" si="1"/>
        <v>0</v>
      </c>
      <c r="O40" s="10"/>
      <c r="P40" s="2">
        <f>0</f>
        <v>0</v>
      </c>
      <c r="Q40" s="2"/>
      <c r="R40" s="19"/>
      <c r="S40" s="2"/>
      <c r="T40" s="2">
        <f>--2676.14</f>
        <v>2676.14</v>
      </c>
      <c r="U40" s="2"/>
      <c r="V40" s="19"/>
      <c r="W40" s="2"/>
      <c r="X40" s="2">
        <f t="shared" si="2"/>
        <v>-2676.14</v>
      </c>
      <c r="Y40" s="2"/>
      <c r="Z40" s="19">
        <f t="shared" si="3"/>
        <v>-1</v>
      </c>
    </row>
    <row r="41" spans="1:26" s="23" customFormat="1" hidden="1" outlineLevel="1" x14ac:dyDescent="0.25">
      <c r="A41" s="44"/>
      <c r="B41" s="10" t="str">
        <f>CONCATENATE("          ", "4081", " - ", "TAXABLE SALES-ELECTRONICS")</f>
        <v xml:space="preserve">          4081 - TAXABLE SALES-ELECTRONICS</v>
      </c>
      <c r="C41" s="10"/>
      <c r="D41" s="2">
        <f>--1743.92</f>
        <v>1743.92</v>
      </c>
      <c r="E41" s="2"/>
      <c r="F41" s="19"/>
      <c r="G41" s="2"/>
      <c r="H41" s="2">
        <f>--1708.99</f>
        <v>1708.99</v>
      </c>
      <c r="I41" s="2"/>
      <c r="J41" s="19"/>
      <c r="K41" s="2"/>
      <c r="L41" s="2">
        <f t="shared" si="0"/>
        <v>34.930000000000064</v>
      </c>
      <c r="M41" s="2"/>
      <c r="N41" s="19">
        <f t="shared" si="1"/>
        <v>2.0438972726581236E-2</v>
      </c>
      <c r="O41" s="10"/>
      <c r="P41" s="2">
        <f>--65769.85</f>
        <v>65769.850000000006</v>
      </c>
      <c r="Q41" s="2"/>
      <c r="R41" s="19"/>
      <c r="S41" s="2"/>
      <c r="T41" s="2">
        <f>--318043.95</f>
        <v>318043.95</v>
      </c>
      <c r="U41" s="2"/>
      <c r="V41" s="19"/>
      <c r="W41" s="2"/>
      <c r="X41" s="2">
        <f t="shared" si="2"/>
        <v>-252274.1</v>
      </c>
      <c r="Y41" s="2"/>
      <c r="Z41" s="19">
        <f t="shared" si="3"/>
        <v>-0.7932051529356241</v>
      </c>
    </row>
    <row r="42" spans="1:26" s="23" customFormat="1" hidden="1" outlineLevel="1" x14ac:dyDescent="0.25">
      <c r="A42" s="44"/>
      <c r="B42" s="10" t="str">
        <f>CONCATENATE("          ", "4082", " - ", "TAXABLE SALES-COMPUTER HARDWAR")</f>
        <v xml:space="preserve">          4082 - TAXABLE SALES-COMPUTER HARDWAR</v>
      </c>
      <c r="C42" s="10"/>
      <c r="D42" s="2">
        <f>--78232.49</f>
        <v>78232.490000000005</v>
      </c>
      <c r="E42" s="2"/>
      <c r="F42" s="19"/>
      <c r="G42" s="2"/>
      <c r="H42" s="2">
        <f>--391247.66</f>
        <v>391247.66</v>
      </c>
      <c r="I42" s="2"/>
      <c r="J42" s="19"/>
      <c r="K42" s="2"/>
      <c r="L42" s="2">
        <f t="shared" si="0"/>
        <v>-313015.17</v>
      </c>
      <c r="M42" s="2"/>
      <c r="N42" s="19">
        <f t="shared" si="1"/>
        <v>-0.80004355808798955</v>
      </c>
      <c r="O42" s="10"/>
      <c r="P42" s="2">
        <f>--2207891.11</f>
        <v>2207891.11</v>
      </c>
      <c r="Q42" s="2"/>
      <c r="R42" s="19"/>
      <c r="S42" s="2"/>
      <c r="T42" s="2">
        <f>--2373850.38</f>
        <v>2373850.38</v>
      </c>
      <c r="U42" s="2"/>
      <c r="V42" s="19"/>
      <c r="W42" s="2"/>
      <c r="X42" s="2">
        <f t="shared" si="2"/>
        <v>-165959.27000000002</v>
      </c>
      <c r="Y42" s="2"/>
      <c r="Z42" s="19">
        <f t="shared" si="3"/>
        <v>-6.9911428031955422E-2</v>
      </c>
    </row>
    <row r="43" spans="1:26" s="23" customFormat="1" hidden="1" outlineLevel="1" x14ac:dyDescent="0.25">
      <c r="A43" s="44"/>
      <c r="B43" s="10" t="str">
        <f>CONCATENATE("          ", "4083", " - ", "TAXABLE SALES-COMPUTER EQUIPME")</f>
        <v xml:space="preserve">          4083 - TAXABLE SALES-COMPUTER EQUIPME</v>
      </c>
      <c r="C43" s="10"/>
      <c r="D43" s="2">
        <f>--3971.25</f>
        <v>3971.25</v>
      </c>
      <c r="E43" s="2"/>
      <c r="F43" s="19"/>
      <c r="G43" s="2"/>
      <c r="H43" s="2">
        <f>--32731.49</f>
        <v>32731.49</v>
      </c>
      <c r="I43" s="2"/>
      <c r="J43" s="19"/>
      <c r="K43" s="2"/>
      <c r="L43" s="2">
        <f t="shared" si="0"/>
        <v>-28760.240000000002</v>
      </c>
      <c r="M43" s="2"/>
      <c r="N43" s="19">
        <f t="shared" si="1"/>
        <v>-0.87867188447577549</v>
      </c>
      <c r="O43" s="10"/>
      <c r="P43" s="2">
        <f>--141118.23</f>
        <v>141118.23000000001</v>
      </c>
      <c r="Q43" s="2"/>
      <c r="R43" s="19"/>
      <c r="S43" s="2"/>
      <c r="T43" s="2">
        <f>--139149.89</f>
        <v>139149.89000000001</v>
      </c>
      <c r="U43" s="2"/>
      <c r="V43" s="19"/>
      <c r="W43" s="2"/>
      <c r="X43" s="2">
        <f t="shared" si="2"/>
        <v>1968.3399999999965</v>
      </c>
      <c r="Y43" s="2"/>
      <c r="Z43" s="19">
        <f t="shared" si="3"/>
        <v>1.4145465727640865E-2</v>
      </c>
    </row>
    <row r="44" spans="1:26" s="23" customFormat="1" hidden="1" outlineLevel="1" x14ac:dyDescent="0.25">
      <c r="A44" s="44"/>
      <c r="B44" s="10" t="str">
        <f>CONCATENATE("          ", "4084", " - ", "TAXABLE SALES-SOFTWARE LICENSE")</f>
        <v xml:space="preserve">          4084 - TAXABLE SALES-SOFTWARE LICENSE</v>
      </c>
      <c r="C44" s="10"/>
      <c r="D44" s="2">
        <f t="shared" ref="D44:D45" si="13">0</f>
        <v>0</v>
      </c>
      <c r="E44" s="2"/>
      <c r="F44" s="19"/>
      <c r="G44" s="2"/>
      <c r="H44" s="2">
        <f t="shared" ref="H44:H45" si="14">0</f>
        <v>0</v>
      </c>
      <c r="I44" s="2"/>
      <c r="J44" s="19"/>
      <c r="K44" s="2"/>
      <c r="L44" s="2">
        <f t="shared" si="0"/>
        <v>0</v>
      </c>
      <c r="M44" s="2"/>
      <c r="N44" s="19">
        <f t="shared" si="1"/>
        <v>0</v>
      </c>
      <c r="O44" s="10"/>
      <c r="P44" s="2">
        <f>0</f>
        <v>0</v>
      </c>
      <c r="Q44" s="2"/>
      <c r="R44" s="19"/>
      <c r="S44" s="2"/>
      <c r="T44" s="2">
        <f>--129</f>
        <v>129</v>
      </c>
      <c r="U44" s="2"/>
      <c r="V44" s="19"/>
      <c r="W44" s="2"/>
      <c r="X44" s="2">
        <f t="shared" si="2"/>
        <v>-129</v>
      </c>
      <c r="Y44" s="2"/>
      <c r="Z44" s="19">
        <f t="shared" si="3"/>
        <v>-1</v>
      </c>
    </row>
    <row r="45" spans="1:26" s="23" customFormat="1" hidden="1" outlineLevel="1" x14ac:dyDescent="0.25">
      <c r="A45" s="44"/>
      <c r="B45" s="10" t="str">
        <f>CONCATENATE("          ", "4085", " - ", "TAXABLE SALES-SOFTWARE")</f>
        <v xml:space="preserve">          4085 - TAXABLE SALES-SOFTWARE</v>
      </c>
      <c r="C45" s="10"/>
      <c r="D45" s="2">
        <f t="shared" si="13"/>
        <v>0</v>
      </c>
      <c r="E45" s="2"/>
      <c r="F45" s="19"/>
      <c r="G45" s="2"/>
      <c r="H45" s="2">
        <f t="shared" si="14"/>
        <v>0</v>
      </c>
      <c r="I45" s="2"/>
      <c r="J45" s="19"/>
      <c r="K45" s="2"/>
      <c r="L45" s="2">
        <f t="shared" si="0"/>
        <v>0</v>
      </c>
      <c r="M45" s="2"/>
      <c r="N45" s="19">
        <f t="shared" si="1"/>
        <v>0</v>
      </c>
      <c r="O45" s="10"/>
      <c r="P45" s="2">
        <f>--4870.79</f>
        <v>4870.79</v>
      </c>
      <c r="Q45" s="2"/>
      <c r="R45" s="19"/>
      <c r="S45" s="2"/>
      <c r="T45" s="2">
        <f>--4587.93</f>
        <v>4587.93</v>
      </c>
      <c r="U45" s="2"/>
      <c r="V45" s="19"/>
      <c r="W45" s="2"/>
      <c r="X45" s="2">
        <f t="shared" si="2"/>
        <v>282.85999999999967</v>
      </c>
      <c r="Y45" s="2"/>
      <c r="Z45" s="19">
        <f t="shared" si="3"/>
        <v>6.165307665984434E-2</v>
      </c>
    </row>
    <row r="46" spans="1:26" s="23" customFormat="1" hidden="1" outlineLevel="1" x14ac:dyDescent="0.25">
      <c r="A46" s="44"/>
      <c r="B46" s="10" t="str">
        <f>CONCATENATE("          ", "4086", " - ", "TAXABLE SALES-COMPUTER SUPPLIE")</f>
        <v xml:space="preserve">          4086 - TAXABLE SALES-COMPUTER SUPPLIE</v>
      </c>
      <c r="C46" s="10"/>
      <c r="D46" s="2">
        <f>--850.72</f>
        <v>850.72</v>
      </c>
      <c r="E46" s="2"/>
      <c r="F46" s="19"/>
      <c r="G46" s="2"/>
      <c r="H46" s="2">
        <f>--114.95</f>
        <v>114.95</v>
      </c>
      <c r="I46" s="2"/>
      <c r="J46" s="19"/>
      <c r="K46" s="2"/>
      <c r="L46" s="2">
        <f t="shared" si="0"/>
        <v>735.77</v>
      </c>
      <c r="M46" s="2"/>
      <c r="N46" s="19">
        <f t="shared" si="1"/>
        <v>6.4007829491083079</v>
      </c>
      <c r="O46" s="10"/>
      <c r="P46" s="2">
        <f>--67783.14</f>
        <v>67783.14</v>
      </c>
      <c r="Q46" s="2"/>
      <c r="R46" s="19"/>
      <c r="S46" s="2"/>
      <c r="T46" s="2">
        <f>--49644.41</f>
        <v>49644.41</v>
      </c>
      <c r="U46" s="2"/>
      <c r="V46" s="19"/>
      <c r="W46" s="2"/>
      <c r="X46" s="2">
        <f t="shared" si="2"/>
        <v>18138.729999999996</v>
      </c>
      <c r="Y46" s="2"/>
      <c r="Z46" s="19">
        <f t="shared" si="3"/>
        <v>0.36537306012902548</v>
      </c>
    </row>
    <row r="47" spans="1:26" s="23" customFormat="1" hidden="1" outlineLevel="1" x14ac:dyDescent="0.25">
      <c r="A47" s="44"/>
      <c r="B47" s="10" t="str">
        <f>CONCATENATE("          ", "4088", " - ", "TAXABLE SALES-MUSIC")</f>
        <v xml:space="preserve">          4088 - TAXABLE SALES-MUSIC</v>
      </c>
      <c r="C47" s="10"/>
      <c r="D47" s="2">
        <f t="shared" ref="D47:D48" si="15">0</f>
        <v>0</v>
      </c>
      <c r="E47" s="2"/>
      <c r="F47" s="19"/>
      <c r="G47" s="2"/>
      <c r="H47" s="2">
        <f>--356</f>
        <v>356</v>
      </c>
      <c r="I47" s="2"/>
      <c r="J47" s="19"/>
      <c r="K47" s="2"/>
      <c r="L47" s="2">
        <f t="shared" si="0"/>
        <v>-356</v>
      </c>
      <c r="M47" s="2"/>
      <c r="N47" s="19">
        <f t="shared" si="1"/>
        <v>-1</v>
      </c>
      <c r="O47" s="10"/>
      <c r="P47" s="2">
        <f t="shared" ref="P47:P48" si="16">0</f>
        <v>0</v>
      </c>
      <c r="Q47" s="2"/>
      <c r="R47" s="19"/>
      <c r="S47" s="2"/>
      <c r="T47" s="2">
        <f>--3151.75</f>
        <v>3151.75</v>
      </c>
      <c r="U47" s="2"/>
      <c r="V47" s="19"/>
      <c r="W47" s="2"/>
      <c r="X47" s="2">
        <f t="shared" si="2"/>
        <v>-3151.75</v>
      </c>
      <c r="Y47" s="2"/>
      <c r="Z47" s="19">
        <f t="shared" si="3"/>
        <v>-1</v>
      </c>
    </row>
    <row r="48" spans="1:26" s="23" customFormat="1" hidden="1" outlineLevel="1" x14ac:dyDescent="0.25">
      <c r="A48" s="44"/>
      <c r="B48" s="10" t="str">
        <f>CONCATENATE("          ", "4092", " - ", "TAXABLE SALES-GRAD MERCH")</f>
        <v xml:space="preserve">          4092 - TAXABLE SALES-GRAD MERCH</v>
      </c>
      <c r="C48" s="10"/>
      <c r="D48" s="2">
        <f t="shared" si="15"/>
        <v>0</v>
      </c>
      <c r="E48" s="2"/>
      <c r="F48" s="19"/>
      <c r="G48" s="2"/>
      <c r="H48" s="2">
        <f>--6332.23</f>
        <v>6332.23</v>
      </c>
      <c r="I48" s="2"/>
      <c r="J48" s="19"/>
      <c r="K48" s="2"/>
      <c r="L48" s="2">
        <f t="shared" si="0"/>
        <v>-6332.23</v>
      </c>
      <c r="M48" s="2"/>
      <c r="N48" s="19">
        <f t="shared" si="1"/>
        <v>-1</v>
      </c>
      <c r="O48" s="10"/>
      <c r="P48" s="2">
        <f t="shared" si="16"/>
        <v>0</v>
      </c>
      <c r="Q48" s="2"/>
      <c r="R48" s="19"/>
      <c r="S48" s="2"/>
      <c r="T48" s="2">
        <f>--41685.94</f>
        <v>41685.94</v>
      </c>
      <c r="U48" s="2"/>
      <c r="V48" s="19"/>
      <c r="W48" s="2"/>
      <c r="X48" s="2">
        <f t="shared" si="2"/>
        <v>-41685.94</v>
      </c>
      <c r="Y48" s="2"/>
      <c r="Z48" s="19">
        <f t="shared" si="3"/>
        <v>-1</v>
      </c>
    </row>
    <row r="49" spans="1:26" s="23" customFormat="1" hidden="1" outlineLevel="1" x14ac:dyDescent="0.25">
      <c r="A49" s="44"/>
      <c r="B49" s="10" t="str">
        <f>CONCATENATE("          ", "4095", " - ", "TAXABLE SALES-CUSTOMER SERVICE")</f>
        <v xml:space="preserve">          4095 - TAXABLE SALES-CUSTOMER SERVICE</v>
      </c>
      <c r="C49" s="10"/>
      <c r="D49" s="2">
        <f>--1688.17</f>
        <v>1688.17</v>
      </c>
      <c r="E49" s="2"/>
      <c r="F49" s="19"/>
      <c r="G49" s="2"/>
      <c r="H49" s="2">
        <f>0</f>
        <v>0</v>
      </c>
      <c r="I49" s="2"/>
      <c r="J49" s="19"/>
      <c r="K49" s="2"/>
      <c r="L49" s="2">
        <f t="shared" si="0"/>
        <v>1688.17</v>
      </c>
      <c r="M49" s="2"/>
      <c r="N49" s="19">
        <f t="shared" si="1"/>
        <v>0</v>
      </c>
      <c r="O49" s="10"/>
      <c r="P49" s="2">
        <f>--15614</f>
        <v>15614</v>
      </c>
      <c r="Q49" s="2"/>
      <c r="R49" s="19"/>
      <c r="S49" s="2"/>
      <c r="T49" s="2">
        <f>--309.26</f>
        <v>309.26</v>
      </c>
      <c r="U49" s="2"/>
      <c r="V49" s="19"/>
      <c r="W49" s="2"/>
      <c r="X49" s="2">
        <f t="shared" si="2"/>
        <v>15304.74</v>
      </c>
      <c r="Y49" s="2"/>
      <c r="Z49" s="19">
        <f t="shared" si="3"/>
        <v>49.488262303563346</v>
      </c>
    </row>
    <row r="50" spans="1:26" s="23" customFormat="1" hidden="1" outlineLevel="1" x14ac:dyDescent="0.25">
      <c r="A50" s="44"/>
      <c r="B50" s="10" t="str">
        <f>CONCATENATE("          ", "4100", " - ", "NON-TAXABLE SALES")</f>
        <v xml:space="preserve">          4100 - NON-TAXABLE SALES</v>
      </c>
      <c r="C50" s="10"/>
      <c r="D50" s="2">
        <f>-14487.2</f>
        <v>-14487.2</v>
      </c>
      <c r="E50" s="2"/>
      <c r="F50" s="19"/>
      <c r="G50" s="2"/>
      <c r="H50" s="2">
        <f>-16200.52</f>
        <v>-16200.52</v>
      </c>
      <c r="I50" s="2"/>
      <c r="J50" s="19"/>
      <c r="K50" s="2"/>
      <c r="L50" s="2">
        <f t="shared" si="0"/>
        <v>1713.3199999999997</v>
      </c>
      <c r="M50" s="2"/>
      <c r="N50" s="19">
        <f t="shared" si="1"/>
        <v>-0.10575709915484192</v>
      </c>
      <c r="O50" s="10"/>
      <c r="P50" s="2">
        <f>--262897.78</f>
        <v>262897.78000000003</v>
      </c>
      <c r="Q50" s="2"/>
      <c r="R50" s="19"/>
      <c r="S50" s="2"/>
      <c r="T50" s="2">
        <f>--591246.5</f>
        <v>591246.5</v>
      </c>
      <c r="U50" s="2"/>
      <c r="V50" s="19"/>
      <c r="W50" s="2"/>
      <c r="X50" s="2">
        <f t="shared" si="2"/>
        <v>-328348.71999999997</v>
      </c>
      <c r="Y50" s="2"/>
      <c r="Z50" s="19">
        <f t="shared" si="3"/>
        <v>-0.55534995978834545</v>
      </c>
    </row>
    <row r="51" spans="1:26" s="23" customFormat="1" hidden="1" outlineLevel="1" x14ac:dyDescent="0.25">
      <c r="A51" s="44"/>
      <c r="B51" s="10" t="str">
        <f>CONCATENATE("          ", "4101", " - ", "NON-TAXABLE SALES-NEW TEXT")</f>
        <v xml:space="preserve">          4101 - NON-TAXABLE SALES-NEW TEXT</v>
      </c>
      <c r="C51" s="10"/>
      <c r="D51" s="2">
        <f>--1301.39</f>
        <v>1301.3900000000001</v>
      </c>
      <c r="E51" s="2"/>
      <c r="F51" s="19"/>
      <c r="G51" s="2"/>
      <c r="H51" s="2">
        <f>--2671.34</f>
        <v>2671.34</v>
      </c>
      <c r="I51" s="2"/>
      <c r="J51" s="19"/>
      <c r="K51" s="2"/>
      <c r="L51" s="2">
        <f t="shared" si="0"/>
        <v>-1369.95</v>
      </c>
      <c r="M51" s="2"/>
      <c r="N51" s="19">
        <f t="shared" si="1"/>
        <v>-0.51283251102442973</v>
      </c>
      <c r="O51" s="10"/>
      <c r="P51" s="2">
        <f>--120548.46</f>
        <v>120548.46</v>
      </c>
      <c r="Q51" s="2"/>
      <c r="R51" s="19"/>
      <c r="S51" s="2"/>
      <c r="T51" s="2">
        <f>--153953.68</f>
        <v>153953.68</v>
      </c>
      <c r="U51" s="2"/>
      <c r="V51" s="19"/>
      <c r="W51" s="2"/>
      <c r="X51" s="2">
        <f t="shared" si="2"/>
        <v>-33405.219999999987</v>
      </c>
      <c r="Y51" s="2"/>
      <c r="Z51" s="19">
        <f t="shared" si="3"/>
        <v>-0.21698227674713583</v>
      </c>
    </row>
    <row r="52" spans="1:26" s="23" customFormat="1" hidden="1" outlineLevel="1" x14ac:dyDescent="0.25">
      <c r="A52" s="44"/>
      <c r="B52" s="10" t="str">
        <f>CONCATENATE("          ", "4102", " - ", "NON-TAXABLE SALES-USED TEXT")</f>
        <v xml:space="preserve">          4102 - NON-TAXABLE SALES-USED TEXT</v>
      </c>
      <c r="C52" s="10"/>
      <c r="D52" s="2">
        <f>--540.91</f>
        <v>540.91</v>
      </c>
      <c r="E52" s="2"/>
      <c r="F52" s="19"/>
      <c r="G52" s="2"/>
      <c r="H52" s="2">
        <f>--1718.15</f>
        <v>1718.15</v>
      </c>
      <c r="I52" s="2"/>
      <c r="J52" s="19"/>
      <c r="K52" s="2"/>
      <c r="L52" s="2">
        <f t="shared" si="0"/>
        <v>-1177.2400000000002</v>
      </c>
      <c r="M52" s="2"/>
      <c r="N52" s="19">
        <f t="shared" si="1"/>
        <v>-0.68517882606291658</v>
      </c>
      <c r="O52" s="10"/>
      <c r="P52" s="2">
        <f>--51587.64</f>
        <v>51587.64</v>
      </c>
      <c r="Q52" s="2"/>
      <c r="R52" s="19"/>
      <c r="S52" s="2"/>
      <c r="T52" s="2">
        <f>--71943.61</f>
        <v>71943.61</v>
      </c>
      <c r="U52" s="2"/>
      <c r="V52" s="19"/>
      <c r="W52" s="2"/>
      <c r="X52" s="2">
        <f t="shared" si="2"/>
        <v>-20355.97</v>
      </c>
      <c r="Y52" s="2"/>
      <c r="Z52" s="19">
        <f t="shared" si="3"/>
        <v>-0.28294340525864631</v>
      </c>
    </row>
    <row r="53" spans="1:26" s="23" customFormat="1" hidden="1" outlineLevel="1" x14ac:dyDescent="0.25">
      <c r="A53" s="44"/>
      <c r="B53" s="10" t="str">
        <f>CONCATENATE("          ", "4103", " - ", "NON-TAXABLE SALES-RENTAL TEXT")</f>
        <v xml:space="preserve">          4103 - NON-TAXABLE SALES-RENTAL TEXT</v>
      </c>
      <c r="C53" s="10"/>
      <c r="D53" s="2">
        <f>0</f>
        <v>0</v>
      </c>
      <c r="E53" s="2"/>
      <c r="F53" s="19"/>
      <c r="G53" s="2"/>
      <c r="H53" s="2">
        <f>0</f>
        <v>0</v>
      </c>
      <c r="I53" s="2"/>
      <c r="J53" s="19"/>
      <c r="K53" s="2"/>
      <c r="L53" s="2">
        <f t="shared" si="0"/>
        <v>0</v>
      </c>
      <c r="M53" s="2"/>
      <c r="N53" s="19">
        <f t="shared" si="1"/>
        <v>0</v>
      </c>
      <c r="O53" s="10"/>
      <c r="P53" s="2">
        <f>--1138.95</f>
        <v>1138.95</v>
      </c>
      <c r="Q53" s="2"/>
      <c r="R53" s="19"/>
      <c r="S53" s="2"/>
      <c r="T53" s="2">
        <f>--664.97</f>
        <v>664.97</v>
      </c>
      <c r="U53" s="2"/>
      <c r="V53" s="19"/>
      <c r="W53" s="2"/>
      <c r="X53" s="2">
        <f t="shared" si="2"/>
        <v>473.98</v>
      </c>
      <c r="Y53" s="2"/>
      <c r="Z53" s="19">
        <f t="shared" si="3"/>
        <v>0.71278403537001667</v>
      </c>
    </row>
    <row r="54" spans="1:26" s="23" customFormat="1" hidden="1" outlineLevel="1" x14ac:dyDescent="0.25">
      <c r="A54" s="44"/>
      <c r="B54" s="10" t="str">
        <f>CONCATENATE("          ", "4104", " - ", "NON-TAXABLE SALES-DIGITAL TEXT")</f>
        <v xml:space="preserve">          4104 - NON-TAXABLE SALES-DIGITAL TEXT</v>
      </c>
      <c r="C54" s="10"/>
      <c r="D54" s="2">
        <f>--695.53</f>
        <v>695.53</v>
      </c>
      <c r="E54" s="2"/>
      <c r="F54" s="19"/>
      <c r="G54" s="2"/>
      <c r="H54" s="2">
        <f>--1836.93</f>
        <v>1836.93</v>
      </c>
      <c r="I54" s="2"/>
      <c r="J54" s="19"/>
      <c r="K54" s="2"/>
      <c r="L54" s="2">
        <f t="shared" si="0"/>
        <v>-1141.4000000000001</v>
      </c>
      <c r="M54" s="2"/>
      <c r="N54" s="19">
        <f t="shared" si="1"/>
        <v>-0.62136281730931497</v>
      </c>
      <c r="O54" s="10"/>
      <c r="P54" s="2">
        <f>--491583.26</f>
        <v>491583.26</v>
      </c>
      <c r="Q54" s="2"/>
      <c r="R54" s="19"/>
      <c r="S54" s="2"/>
      <c r="T54" s="2">
        <f>--533640.31</f>
        <v>533640.31000000006</v>
      </c>
      <c r="U54" s="2"/>
      <c r="V54" s="19"/>
      <c r="W54" s="2"/>
      <c r="X54" s="2">
        <f t="shared" si="2"/>
        <v>-42057.050000000047</v>
      </c>
      <c r="Y54" s="2"/>
      <c r="Z54" s="19">
        <f t="shared" si="3"/>
        <v>-7.8811606267150322E-2</v>
      </c>
    </row>
    <row r="55" spans="1:26" s="23" customFormat="1" hidden="1" outlineLevel="1" x14ac:dyDescent="0.25">
      <c r="A55" s="44"/>
      <c r="B55" s="10" t="str">
        <f>CONCATENATE("          ", "4111", " - ", "NON-TAXABLE SALES-NO VALUE TEX")</f>
        <v xml:space="preserve">          4111 - NON-TAXABLE SALES-NO VALUE TEX</v>
      </c>
      <c r="C55" s="10"/>
      <c r="D55" s="2">
        <f t="shared" ref="D55:D57" si="17">0</f>
        <v>0</v>
      </c>
      <c r="E55" s="2"/>
      <c r="F55" s="19"/>
      <c r="G55" s="2"/>
      <c r="H55" s="2">
        <f>--679.21</f>
        <v>679.21</v>
      </c>
      <c r="I55" s="2"/>
      <c r="J55" s="19"/>
      <c r="K55" s="2"/>
      <c r="L55" s="2">
        <f t="shared" si="0"/>
        <v>-679.21</v>
      </c>
      <c r="M55" s="2"/>
      <c r="N55" s="19">
        <f t="shared" si="1"/>
        <v>-1</v>
      </c>
      <c r="O55" s="10"/>
      <c r="P55" s="2">
        <f>0</f>
        <v>0</v>
      </c>
      <c r="Q55" s="2"/>
      <c r="R55" s="19"/>
      <c r="S55" s="2"/>
      <c r="T55" s="2">
        <f>--16342.67</f>
        <v>16342.67</v>
      </c>
      <c r="U55" s="2"/>
      <c r="V55" s="19"/>
      <c r="W55" s="2"/>
      <c r="X55" s="2">
        <f t="shared" si="2"/>
        <v>-16342.67</v>
      </c>
      <c r="Y55" s="2"/>
      <c r="Z55" s="19">
        <f t="shared" si="3"/>
        <v>-1</v>
      </c>
    </row>
    <row r="56" spans="1:26" s="23" customFormat="1" hidden="1" outlineLevel="1" x14ac:dyDescent="0.25">
      <c r="A56" s="44"/>
      <c r="B56" s="10" t="str">
        <f>CONCATENATE("          ", "4113", " - ", "NON-TAXABLE SALES-TRADE BOOKS")</f>
        <v xml:space="preserve">          4113 - NON-TAXABLE SALES-TRADE BOOKS</v>
      </c>
      <c r="C56" s="10"/>
      <c r="D56" s="2">
        <f t="shared" si="17"/>
        <v>0</v>
      </c>
      <c r="E56" s="2"/>
      <c r="F56" s="19"/>
      <c r="G56" s="2"/>
      <c r="H56" s="2">
        <f t="shared" ref="H56:H57" si="18">0</f>
        <v>0</v>
      </c>
      <c r="I56" s="2"/>
      <c r="J56" s="19"/>
      <c r="K56" s="2"/>
      <c r="L56" s="2">
        <f t="shared" si="0"/>
        <v>0</v>
      </c>
      <c r="M56" s="2"/>
      <c r="N56" s="19">
        <f t="shared" si="1"/>
        <v>0</v>
      </c>
      <c r="O56" s="10"/>
      <c r="P56" s="2">
        <f>--12127.25</f>
        <v>12127.25</v>
      </c>
      <c r="Q56" s="2"/>
      <c r="R56" s="19"/>
      <c r="S56" s="2"/>
      <c r="T56" s="2">
        <f>--8266.16</f>
        <v>8266.16</v>
      </c>
      <c r="U56" s="2"/>
      <c r="V56" s="19"/>
      <c r="W56" s="2"/>
      <c r="X56" s="2">
        <f t="shared" si="2"/>
        <v>3861.09</v>
      </c>
      <c r="Y56" s="2"/>
      <c r="Z56" s="19">
        <f t="shared" si="3"/>
        <v>0.46709596717218155</v>
      </c>
    </row>
    <row r="57" spans="1:26" s="23" customFormat="1" hidden="1" outlineLevel="1" x14ac:dyDescent="0.25">
      <c r="A57" s="44"/>
      <c r="B57" s="10" t="str">
        <f>CONCATENATE("          ", "4114", " - ", "NON-TAXABLE SALES-REMAINDERS")</f>
        <v xml:space="preserve">          4114 - NON-TAXABLE SALES-REMAINDERS</v>
      </c>
      <c r="C57" s="10"/>
      <c r="D57" s="2">
        <f t="shared" si="17"/>
        <v>0</v>
      </c>
      <c r="E57" s="2"/>
      <c r="F57" s="19"/>
      <c r="G57" s="2"/>
      <c r="H57" s="2">
        <f t="shared" si="18"/>
        <v>0</v>
      </c>
      <c r="I57" s="2"/>
      <c r="J57" s="19"/>
      <c r="K57" s="2"/>
      <c r="L57" s="2">
        <f t="shared" si="0"/>
        <v>0</v>
      </c>
      <c r="M57" s="2"/>
      <c r="N57" s="19">
        <f t="shared" si="1"/>
        <v>0</v>
      </c>
      <c r="O57" s="10"/>
      <c r="P57" s="2">
        <f>0</f>
        <v>0</v>
      </c>
      <c r="Q57" s="2"/>
      <c r="R57" s="19"/>
      <c r="S57" s="2"/>
      <c r="T57" s="2">
        <f>--3.19</f>
        <v>3.19</v>
      </c>
      <c r="U57" s="2"/>
      <c r="V57" s="19"/>
      <c r="W57" s="2"/>
      <c r="X57" s="2">
        <f t="shared" si="2"/>
        <v>-3.19</v>
      </c>
      <c r="Y57" s="2"/>
      <c r="Z57" s="19">
        <f t="shared" si="3"/>
        <v>-1</v>
      </c>
    </row>
    <row r="58" spans="1:26" s="23" customFormat="1" hidden="1" outlineLevel="1" x14ac:dyDescent="0.25">
      <c r="A58" s="44"/>
      <c r="B58" s="10" t="str">
        <f>CONCATENATE("          ", "4118", " - ", "NON-TAXABLE SALES-STUDY GUIDES")</f>
        <v xml:space="preserve">          4118 - NON-TAXABLE SALES-STUDY GUIDES</v>
      </c>
      <c r="C58" s="10"/>
      <c r="D58" s="2">
        <f>--594.22</f>
        <v>594.22</v>
      </c>
      <c r="E58" s="2"/>
      <c r="F58" s="19"/>
      <c r="G58" s="2"/>
      <c r="H58" s="2">
        <f>--10.09</f>
        <v>10.09</v>
      </c>
      <c r="I58" s="2"/>
      <c r="J58" s="19"/>
      <c r="K58" s="2"/>
      <c r="L58" s="2">
        <f t="shared" si="0"/>
        <v>584.13</v>
      </c>
      <c r="M58" s="2"/>
      <c r="N58" s="19">
        <f t="shared" si="1"/>
        <v>57.891972249752229</v>
      </c>
      <c r="O58" s="10"/>
      <c r="P58" s="2">
        <f>--1365.95</f>
        <v>1365.95</v>
      </c>
      <c r="Q58" s="2"/>
      <c r="R58" s="19"/>
      <c r="S58" s="2"/>
      <c r="T58" s="2">
        <f>--126.03</f>
        <v>126.03</v>
      </c>
      <c r="U58" s="2"/>
      <c r="V58" s="19"/>
      <c r="W58" s="2"/>
      <c r="X58" s="2">
        <f t="shared" si="2"/>
        <v>1239.92</v>
      </c>
      <c r="Y58" s="2"/>
      <c r="Z58" s="19">
        <f t="shared" si="3"/>
        <v>9.8382924700468148</v>
      </c>
    </row>
    <row r="59" spans="1:26" s="23" customFormat="1" hidden="1" outlineLevel="1" x14ac:dyDescent="0.25">
      <c r="A59" s="44"/>
      <c r="B59" s="10" t="str">
        <f>CONCATENATE("          ", "4125", " - ", "NON-TAXABLE SALES-TEST FORMS")</f>
        <v xml:space="preserve">          4125 - NON-TAXABLE SALES-TEST FORMS</v>
      </c>
      <c r="C59" s="10"/>
      <c r="D59" s="2">
        <f t="shared" ref="D59:D60" si="19">0</f>
        <v>0</v>
      </c>
      <c r="E59" s="2"/>
      <c r="F59" s="19"/>
      <c r="G59" s="2"/>
      <c r="H59" s="2">
        <f>--185</f>
        <v>185</v>
      </c>
      <c r="I59" s="2"/>
      <c r="J59" s="19"/>
      <c r="K59" s="2"/>
      <c r="L59" s="2">
        <f t="shared" si="0"/>
        <v>-185</v>
      </c>
      <c r="M59" s="2"/>
      <c r="N59" s="19">
        <f t="shared" si="1"/>
        <v>-1</v>
      </c>
      <c r="O59" s="10"/>
      <c r="P59" s="2">
        <f>0</f>
        <v>0</v>
      </c>
      <c r="Q59" s="2"/>
      <c r="R59" s="19"/>
      <c r="S59" s="2"/>
      <c r="T59" s="2">
        <f>--452.61</f>
        <v>452.61</v>
      </c>
      <c r="U59" s="2"/>
      <c r="V59" s="19"/>
      <c r="W59" s="2"/>
      <c r="X59" s="2">
        <f t="shared" si="2"/>
        <v>-452.61</v>
      </c>
      <c r="Y59" s="2"/>
      <c r="Z59" s="19">
        <f t="shared" si="3"/>
        <v>-1</v>
      </c>
    </row>
    <row r="60" spans="1:26" s="23" customFormat="1" hidden="1" outlineLevel="1" x14ac:dyDescent="0.25">
      <c r="A60" s="44"/>
      <c r="B60" s="10" t="str">
        <f>CONCATENATE("          ", "4126", " - ", "NON-TAXABLE SALES-WRITING INST")</f>
        <v xml:space="preserve">          4126 - NON-TAXABLE SALES-WRITING INST</v>
      </c>
      <c r="C60" s="10"/>
      <c r="D60" s="2">
        <f t="shared" si="19"/>
        <v>0</v>
      </c>
      <c r="E60" s="2"/>
      <c r="F60" s="19"/>
      <c r="G60" s="2"/>
      <c r="H60" s="2">
        <f>--168.02</f>
        <v>168.02</v>
      </c>
      <c r="I60" s="2"/>
      <c r="J60" s="19"/>
      <c r="K60" s="2"/>
      <c r="L60" s="2">
        <f t="shared" si="0"/>
        <v>-168.02</v>
      </c>
      <c r="M60" s="2"/>
      <c r="N60" s="19">
        <f t="shared" si="1"/>
        <v>-1</v>
      </c>
      <c r="O60" s="10"/>
      <c r="P60" s="2">
        <f>--52.68</f>
        <v>52.68</v>
      </c>
      <c r="Q60" s="2"/>
      <c r="R60" s="19"/>
      <c r="S60" s="2"/>
      <c r="T60" s="2">
        <f>--3301.44</f>
        <v>3301.44</v>
      </c>
      <c r="U60" s="2"/>
      <c r="V60" s="19"/>
      <c r="W60" s="2"/>
      <c r="X60" s="2">
        <f t="shared" si="2"/>
        <v>-3248.76</v>
      </c>
      <c r="Y60" s="2"/>
      <c r="Z60" s="19">
        <f t="shared" si="3"/>
        <v>-0.98404332654841531</v>
      </c>
    </row>
    <row r="61" spans="1:26" s="23" customFormat="1" hidden="1" outlineLevel="1" x14ac:dyDescent="0.25">
      <c r="A61" s="44"/>
      <c r="B61" s="10" t="str">
        <f>CONCATENATE("          ", "4127", " - ", "NON-TAXABLE SALES-SCHOOL SUPPL")</f>
        <v xml:space="preserve">          4127 - NON-TAXABLE SALES-SCHOOL SUPPL</v>
      </c>
      <c r="C61" s="10"/>
      <c r="D61" s="2">
        <f>--99.87</f>
        <v>99.87</v>
      </c>
      <c r="E61" s="2"/>
      <c r="F61" s="19"/>
      <c r="G61" s="2"/>
      <c r="H61" s="2">
        <f>--97.62</f>
        <v>97.62</v>
      </c>
      <c r="I61" s="2"/>
      <c r="J61" s="19"/>
      <c r="K61" s="2"/>
      <c r="L61" s="2">
        <f t="shared" si="0"/>
        <v>2.25</v>
      </c>
      <c r="M61" s="2"/>
      <c r="N61" s="19">
        <f t="shared" si="1"/>
        <v>2.3048555623847573E-2</v>
      </c>
      <c r="O61" s="10"/>
      <c r="P61" s="2">
        <f>--7748.6</f>
        <v>7748.6</v>
      </c>
      <c r="Q61" s="2"/>
      <c r="R61" s="19"/>
      <c r="S61" s="2"/>
      <c r="T61" s="2">
        <f>--6471.33</f>
        <v>6471.33</v>
      </c>
      <c r="U61" s="2"/>
      <c r="V61" s="19"/>
      <c r="W61" s="2"/>
      <c r="X61" s="2">
        <f t="shared" si="2"/>
        <v>1277.2700000000004</v>
      </c>
      <c r="Y61" s="2"/>
      <c r="Z61" s="19">
        <f t="shared" si="3"/>
        <v>0.19737364653015693</v>
      </c>
    </row>
    <row r="62" spans="1:26" s="23" customFormat="1" hidden="1" outlineLevel="1" x14ac:dyDescent="0.25">
      <c r="A62" s="44"/>
      <c r="B62" s="10" t="str">
        <f>CONCATENATE("          ", "4128", " - ", "NON-TAXABLE SALES-ART/TECH")</f>
        <v xml:space="preserve">          4128 - NON-TAXABLE SALES-ART/TECH</v>
      </c>
      <c r="C62" s="10"/>
      <c r="D62" s="2">
        <f>0</f>
        <v>0</v>
      </c>
      <c r="E62" s="2"/>
      <c r="F62" s="19"/>
      <c r="G62" s="2"/>
      <c r="H62" s="2">
        <f>--0.74</f>
        <v>0.74</v>
      </c>
      <c r="I62" s="2"/>
      <c r="J62" s="19"/>
      <c r="K62" s="2"/>
      <c r="L62" s="2">
        <f t="shared" si="0"/>
        <v>-0.74</v>
      </c>
      <c r="M62" s="2"/>
      <c r="N62" s="19">
        <f t="shared" si="1"/>
        <v>-1</v>
      </c>
      <c r="O62" s="10"/>
      <c r="P62" s="2">
        <f>--115.91</f>
        <v>115.91</v>
      </c>
      <c r="Q62" s="2"/>
      <c r="R62" s="19"/>
      <c r="S62" s="2"/>
      <c r="T62" s="2">
        <f>--731.36</f>
        <v>731.36</v>
      </c>
      <c r="U62" s="2"/>
      <c r="V62" s="19"/>
      <c r="W62" s="2"/>
      <c r="X62" s="2">
        <f t="shared" si="2"/>
        <v>-615.45000000000005</v>
      </c>
      <c r="Y62" s="2"/>
      <c r="Z62" s="19">
        <f t="shared" si="3"/>
        <v>-0.84151443885364252</v>
      </c>
    </row>
    <row r="63" spans="1:26" s="23" customFormat="1" hidden="1" outlineLevel="1" x14ac:dyDescent="0.25">
      <c r="A63" s="44"/>
      <c r="B63" s="10" t="str">
        <f>CONCATENATE("          ", "4131", " - ", "NON-TAXABLE SALES-FOOD")</f>
        <v xml:space="preserve">          4131 - NON-TAXABLE SALES-FOOD</v>
      </c>
      <c r="C63" s="10"/>
      <c r="D63" s="2">
        <f>--540.62</f>
        <v>540.62</v>
      </c>
      <c r="E63" s="2"/>
      <c r="F63" s="19"/>
      <c r="G63" s="2"/>
      <c r="H63" s="2">
        <f>--64.14</f>
        <v>64.14</v>
      </c>
      <c r="I63" s="2"/>
      <c r="J63" s="19"/>
      <c r="K63" s="2"/>
      <c r="L63" s="2">
        <f t="shared" si="0"/>
        <v>476.48</v>
      </c>
      <c r="M63" s="2"/>
      <c r="N63" s="19">
        <f t="shared" si="1"/>
        <v>7.4287496102276274</v>
      </c>
      <c r="O63" s="10"/>
      <c r="P63" s="2">
        <f>--12696.76</f>
        <v>12696.76</v>
      </c>
      <c r="Q63" s="2"/>
      <c r="R63" s="19"/>
      <c r="S63" s="2"/>
      <c r="T63" s="2">
        <f>--57957.84</f>
        <v>57957.84</v>
      </c>
      <c r="U63" s="2"/>
      <c r="V63" s="19"/>
      <c r="W63" s="2"/>
      <c r="X63" s="2">
        <f t="shared" si="2"/>
        <v>-45261.079999999994</v>
      </c>
      <c r="Y63" s="2"/>
      <c r="Z63" s="19">
        <f t="shared" si="3"/>
        <v>-0.78093110440278657</v>
      </c>
    </row>
    <row r="64" spans="1:26" s="23" customFormat="1" hidden="1" outlineLevel="1" x14ac:dyDescent="0.25">
      <c r="A64" s="44"/>
      <c r="B64" s="10" t="str">
        <f>CONCATENATE("          ", "4132", " - ", "NON-TAXABLE SALES-JUICE")</f>
        <v xml:space="preserve">          4132 - NON-TAXABLE SALES-JUICE</v>
      </c>
      <c r="C64" s="10"/>
      <c r="D64" s="2">
        <f t="shared" ref="D64:D68" si="20">0</f>
        <v>0</v>
      </c>
      <c r="E64" s="2"/>
      <c r="F64" s="19"/>
      <c r="G64" s="2"/>
      <c r="H64" s="2">
        <f>0</f>
        <v>0</v>
      </c>
      <c r="I64" s="2"/>
      <c r="J64" s="19"/>
      <c r="K64" s="2"/>
      <c r="L64" s="2">
        <f t="shared" si="0"/>
        <v>0</v>
      </c>
      <c r="M64" s="2"/>
      <c r="N64" s="19">
        <f t="shared" si="1"/>
        <v>0</v>
      </c>
      <c r="O64" s="10"/>
      <c r="P64" s="2">
        <f>--22.49</f>
        <v>22.49</v>
      </c>
      <c r="Q64" s="2"/>
      <c r="R64" s="19"/>
      <c r="S64" s="2"/>
      <c r="T64" s="2">
        <f>--16199.63</f>
        <v>16199.63</v>
      </c>
      <c r="U64" s="2"/>
      <c r="V64" s="19"/>
      <c r="W64" s="2"/>
      <c r="X64" s="2">
        <f t="shared" si="2"/>
        <v>-16177.14</v>
      </c>
      <c r="Y64" s="2"/>
      <c r="Z64" s="19">
        <f t="shared" si="3"/>
        <v>-0.99861169668689964</v>
      </c>
    </row>
    <row r="65" spans="1:26" s="23" customFormat="1" hidden="1" outlineLevel="1" x14ac:dyDescent="0.25">
      <c r="A65" s="44"/>
      <c r="B65" s="10" t="str">
        <f>CONCATENATE("          ", "4133", " - ", "NON-TAXABLE SALES-CANDY")</f>
        <v xml:space="preserve">          4133 - NON-TAXABLE SALES-CANDY</v>
      </c>
      <c r="C65" s="10"/>
      <c r="D65" s="2">
        <f t="shared" si="20"/>
        <v>0</v>
      </c>
      <c r="E65" s="2"/>
      <c r="F65" s="19"/>
      <c r="G65" s="2"/>
      <c r="H65" s="2">
        <f>--13.47</f>
        <v>13.47</v>
      </c>
      <c r="I65" s="2"/>
      <c r="J65" s="19"/>
      <c r="K65" s="2"/>
      <c r="L65" s="2">
        <f t="shared" si="0"/>
        <v>-13.47</v>
      </c>
      <c r="M65" s="2"/>
      <c r="N65" s="19">
        <f t="shared" si="1"/>
        <v>-1</v>
      </c>
      <c r="O65" s="10"/>
      <c r="P65" s="2">
        <f>--80.71</f>
        <v>80.709999999999994</v>
      </c>
      <c r="Q65" s="2"/>
      <c r="R65" s="19"/>
      <c r="S65" s="2"/>
      <c r="T65" s="2">
        <f>--18150.2</f>
        <v>18150.2</v>
      </c>
      <c r="U65" s="2"/>
      <c r="V65" s="19"/>
      <c r="W65" s="2"/>
      <c r="X65" s="2">
        <f t="shared" si="2"/>
        <v>-18069.490000000002</v>
      </c>
      <c r="Y65" s="2"/>
      <c r="Z65" s="19">
        <f t="shared" si="3"/>
        <v>-0.99555321704444033</v>
      </c>
    </row>
    <row r="66" spans="1:26" s="23" customFormat="1" hidden="1" outlineLevel="1" x14ac:dyDescent="0.25">
      <c r="A66" s="44"/>
      <c r="B66" s="10" t="str">
        <f>CONCATENATE("          ", "4134", " - ", "NON-TAXABLE SALES-SODA")</f>
        <v xml:space="preserve">          4134 - NON-TAXABLE SALES-SODA</v>
      </c>
      <c r="C66" s="10"/>
      <c r="D66" s="2">
        <f t="shared" si="20"/>
        <v>0</v>
      </c>
      <c r="E66" s="2"/>
      <c r="F66" s="19"/>
      <c r="G66" s="2"/>
      <c r="H66" s="2">
        <f t="shared" ref="H66:H68" si="21">0</f>
        <v>0</v>
      </c>
      <c r="I66" s="2"/>
      <c r="J66" s="19"/>
      <c r="K66" s="2"/>
      <c r="L66" s="2">
        <f t="shared" si="0"/>
        <v>0</v>
      </c>
      <c r="M66" s="2"/>
      <c r="N66" s="19">
        <f t="shared" si="1"/>
        <v>0</v>
      </c>
      <c r="O66" s="10"/>
      <c r="P66" s="2">
        <f>--45.53</f>
        <v>45.53</v>
      </c>
      <c r="Q66" s="2"/>
      <c r="R66" s="19"/>
      <c r="S66" s="2"/>
      <c r="T66" s="2">
        <f>--1.89</f>
        <v>1.89</v>
      </c>
      <c r="U66" s="2"/>
      <c r="V66" s="19"/>
      <c r="W66" s="2"/>
      <c r="X66" s="2">
        <f t="shared" si="2"/>
        <v>43.64</v>
      </c>
      <c r="Y66" s="2"/>
      <c r="Z66" s="19">
        <f t="shared" si="3"/>
        <v>23.089947089947092</v>
      </c>
    </row>
    <row r="67" spans="1:26" s="23" customFormat="1" hidden="1" outlineLevel="1" x14ac:dyDescent="0.25">
      <c r="A67" s="44"/>
      <c r="B67" s="10" t="str">
        <f>CONCATENATE("          ", "4135", " - ", "NON-TAXABLE SALES")</f>
        <v xml:space="preserve">          4135 - NON-TAXABLE SALES</v>
      </c>
      <c r="C67" s="10"/>
      <c r="D67" s="2">
        <f t="shared" si="20"/>
        <v>0</v>
      </c>
      <c r="E67" s="2"/>
      <c r="F67" s="19"/>
      <c r="G67" s="2"/>
      <c r="H67" s="2">
        <f t="shared" si="21"/>
        <v>0</v>
      </c>
      <c r="I67" s="2"/>
      <c r="J67" s="19"/>
      <c r="K67" s="2"/>
      <c r="L67" s="2">
        <f t="shared" si="0"/>
        <v>0</v>
      </c>
      <c r="M67" s="2"/>
      <c r="N67" s="19">
        <f t="shared" si="1"/>
        <v>0</v>
      </c>
      <c r="O67" s="10"/>
      <c r="P67" s="2">
        <f>0</f>
        <v>0</v>
      </c>
      <c r="Q67" s="2"/>
      <c r="R67" s="19"/>
      <c r="S67" s="2"/>
      <c r="T67" s="2">
        <f>--161.4</f>
        <v>161.4</v>
      </c>
      <c r="U67" s="2"/>
      <c r="V67" s="19"/>
      <c r="W67" s="2"/>
      <c r="X67" s="2">
        <f t="shared" si="2"/>
        <v>-161.4</v>
      </c>
      <c r="Y67" s="2"/>
      <c r="Z67" s="19">
        <f t="shared" si="3"/>
        <v>-1</v>
      </c>
    </row>
    <row r="68" spans="1:26" s="23" customFormat="1" hidden="1" outlineLevel="1" x14ac:dyDescent="0.25">
      <c r="A68" s="44"/>
      <c r="B68" s="10" t="str">
        <f>CONCATENATE("          ", "4137", " - ", "NON-TAXABLE SALES-WATER")</f>
        <v xml:space="preserve">          4137 - NON-TAXABLE SALES-WATER</v>
      </c>
      <c r="C68" s="10"/>
      <c r="D68" s="2">
        <f t="shared" si="20"/>
        <v>0</v>
      </c>
      <c r="E68" s="2"/>
      <c r="F68" s="19"/>
      <c r="G68" s="2"/>
      <c r="H68" s="2">
        <f t="shared" si="21"/>
        <v>0</v>
      </c>
      <c r="I68" s="2"/>
      <c r="J68" s="19"/>
      <c r="K68" s="2"/>
      <c r="L68" s="2">
        <f t="shared" si="0"/>
        <v>0</v>
      </c>
      <c r="M68" s="2"/>
      <c r="N68" s="19">
        <f t="shared" si="1"/>
        <v>0</v>
      </c>
      <c r="O68" s="10"/>
      <c r="P68" s="2">
        <f>--68.25</f>
        <v>68.25</v>
      </c>
      <c r="Q68" s="2"/>
      <c r="R68" s="19"/>
      <c r="S68" s="2"/>
      <c r="T68" s="2">
        <f>--8519.06</f>
        <v>8519.06</v>
      </c>
      <c r="U68" s="2"/>
      <c r="V68" s="19"/>
      <c r="W68" s="2"/>
      <c r="X68" s="2">
        <f t="shared" si="2"/>
        <v>-8450.81</v>
      </c>
      <c r="Y68" s="2"/>
      <c r="Z68" s="19">
        <f t="shared" si="3"/>
        <v>-0.99198855272764841</v>
      </c>
    </row>
    <row r="69" spans="1:26" s="23" customFormat="1" hidden="1" outlineLevel="1" x14ac:dyDescent="0.25">
      <c r="A69" s="44"/>
      <c r="B69" s="10" t="str">
        <f>CONCATENATE("          ", "4140", " - ", "NON-TAXABLE SALES-LOGO CLOTHIN")</f>
        <v xml:space="preserve">          4140 - NON-TAXABLE SALES-LOGO CLOTHIN</v>
      </c>
      <c r="C69" s="10"/>
      <c r="D69" s="2">
        <f>--9520.45</f>
        <v>9520.4500000000007</v>
      </c>
      <c r="E69" s="2"/>
      <c r="F69" s="19"/>
      <c r="G69" s="2"/>
      <c r="H69" s="2">
        <f>--40740.37</f>
        <v>40740.370000000003</v>
      </c>
      <c r="I69" s="2"/>
      <c r="J69" s="19"/>
      <c r="K69" s="2"/>
      <c r="L69" s="2">
        <f t="shared" si="0"/>
        <v>-31219.920000000002</v>
      </c>
      <c r="M69" s="2"/>
      <c r="N69" s="19">
        <f t="shared" si="1"/>
        <v>-0.76631410073104389</v>
      </c>
      <c r="O69" s="10"/>
      <c r="P69" s="2">
        <f>--181046.21</f>
        <v>181046.21</v>
      </c>
      <c r="Q69" s="2"/>
      <c r="R69" s="19"/>
      <c r="S69" s="2"/>
      <c r="T69" s="2">
        <f>--176221.13</f>
        <v>176221.13</v>
      </c>
      <c r="U69" s="2"/>
      <c r="V69" s="19"/>
      <c r="W69" s="2"/>
      <c r="X69" s="2">
        <f t="shared" si="2"/>
        <v>4825.0799999999872</v>
      </c>
      <c r="Y69" s="2"/>
      <c r="Z69" s="19">
        <f t="shared" si="3"/>
        <v>2.7380825443577551E-2</v>
      </c>
    </row>
    <row r="70" spans="1:26" s="23" customFormat="1" hidden="1" outlineLevel="1" x14ac:dyDescent="0.25">
      <c r="A70" s="44"/>
      <c r="B70" s="10" t="str">
        <f>CONCATENATE("          ", "4141", " - ", "NON-TAXABLE SALES-LOGO GIFTS")</f>
        <v xml:space="preserve">          4141 - NON-TAXABLE SALES-LOGO GIFTS</v>
      </c>
      <c r="C70" s="10"/>
      <c r="D70" s="2">
        <f>-25127.54</f>
        <v>-25127.54</v>
      </c>
      <c r="E70" s="2"/>
      <c r="F70" s="19"/>
      <c r="G70" s="2"/>
      <c r="H70" s="2">
        <f>--6641.14</f>
        <v>6641.14</v>
      </c>
      <c r="I70" s="2"/>
      <c r="J70" s="19"/>
      <c r="K70" s="2"/>
      <c r="L70" s="2">
        <f t="shared" si="0"/>
        <v>-31768.68</v>
      </c>
      <c r="M70" s="2"/>
      <c r="N70" s="19">
        <f t="shared" si="1"/>
        <v>-4.7836184751413162</v>
      </c>
      <c r="O70" s="10"/>
      <c r="P70" s="2">
        <f>--14028.49</f>
        <v>14028.49</v>
      </c>
      <c r="Q70" s="2"/>
      <c r="R70" s="19"/>
      <c r="S70" s="2"/>
      <c r="T70" s="2">
        <f>--23601.45</f>
        <v>23601.45</v>
      </c>
      <c r="U70" s="2"/>
      <c r="V70" s="19"/>
      <c r="W70" s="2"/>
      <c r="X70" s="2">
        <f t="shared" si="2"/>
        <v>-9572.9600000000009</v>
      </c>
      <c r="Y70" s="2"/>
      <c r="Z70" s="19">
        <f t="shared" si="3"/>
        <v>-0.40560897741452329</v>
      </c>
    </row>
    <row r="71" spans="1:26" s="23" customFormat="1" hidden="1" outlineLevel="1" x14ac:dyDescent="0.25">
      <c r="A71" s="44"/>
      <c r="B71" s="10" t="str">
        <f>CONCATENATE("          ", "4142", " - ", "NON-TAXABLE SALES-EVERYDAY GIF")</f>
        <v xml:space="preserve">          4142 - NON-TAXABLE SALES-EVERYDAY GIF</v>
      </c>
      <c r="C71" s="10"/>
      <c r="D71" s="2">
        <f>--54.07</f>
        <v>54.07</v>
      </c>
      <c r="E71" s="2"/>
      <c r="F71" s="19"/>
      <c r="G71" s="2"/>
      <c r="H71" s="2">
        <f>--4067.95</f>
        <v>4067.95</v>
      </c>
      <c r="I71" s="2"/>
      <c r="J71" s="19"/>
      <c r="K71" s="2"/>
      <c r="L71" s="2">
        <f t="shared" si="0"/>
        <v>-4013.8799999999997</v>
      </c>
      <c r="M71" s="2"/>
      <c r="N71" s="19">
        <f t="shared" si="1"/>
        <v>-0.98670829287478945</v>
      </c>
      <c r="O71" s="10"/>
      <c r="P71" s="2">
        <f>--2658.52</f>
        <v>2658.52</v>
      </c>
      <c r="Q71" s="2"/>
      <c r="R71" s="19"/>
      <c r="S71" s="2"/>
      <c r="T71" s="2">
        <f>--19400.17</f>
        <v>19400.169999999998</v>
      </c>
      <c r="U71" s="2"/>
      <c r="V71" s="19"/>
      <c r="W71" s="2"/>
      <c r="X71" s="2">
        <f t="shared" si="2"/>
        <v>-16741.649999999998</v>
      </c>
      <c r="Y71" s="2"/>
      <c r="Z71" s="19">
        <f t="shared" si="3"/>
        <v>-0.86296408742809982</v>
      </c>
    </row>
    <row r="72" spans="1:26" s="23" customFormat="1" hidden="1" outlineLevel="1" x14ac:dyDescent="0.25">
      <c r="A72" s="44"/>
      <c r="B72" s="10" t="str">
        <f>CONCATENATE("          ", "4143", " - ", "NON-TAXABLE SALES-CARDS")</f>
        <v xml:space="preserve">          4143 - NON-TAXABLE SALES-CARDS</v>
      </c>
      <c r="C72" s="10"/>
      <c r="D72" s="2">
        <f>--9.95</f>
        <v>9.9499999999999993</v>
      </c>
      <c r="E72" s="2"/>
      <c r="F72" s="19"/>
      <c r="G72" s="2"/>
      <c r="H72" s="2">
        <f>0</f>
        <v>0</v>
      </c>
      <c r="I72" s="2"/>
      <c r="J72" s="19"/>
      <c r="K72" s="2"/>
      <c r="L72" s="2">
        <f t="shared" si="0"/>
        <v>9.9499999999999993</v>
      </c>
      <c r="M72" s="2"/>
      <c r="N72" s="19">
        <f t="shared" si="1"/>
        <v>0</v>
      </c>
      <c r="O72" s="10"/>
      <c r="P72" s="2">
        <f>--2562.11</f>
        <v>2562.11</v>
      </c>
      <c r="Q72" s="2"/>
      <c r="R72" s="19"/>
      <c r="S72" s="2"/>
      <c r="T72" s="2">
        <f>--19.98</f>
        <v>19.98</v>
      </c>
      <c r="U72" s="2"/>
      <c r="V72" s="19"/>
      <c r="W72" s="2"/>
      <c r="X72" s="2">
        <f t="shared" si="2"/>
        <v>2542.13</v>
      </c>
      <c r="Y72" s="2"/>
      <c r="Z72" s="19">
        <f t="shared" si="3"/>
        <v>127.23373373373374</v>
      </c>
    </row>
    <row r="73" spans="1:26" s="23" customFormat="1" hidden="1" outlineLevel="1" x14ac:dyDescent="0.25">
      <c r="A73" s="44"/>
      <c r="B73" s="10" t="str">
        <f>CONCATENATE("          ", "4144", " - ", "NON-TAXABLE SALES-ACCESSORIES")</f>
        <v xml:space="preserve">          4144 - NON-TAXABLE SALES-ACCESSORIES</v>
      </c>
      <c r="C73" s="10"/>
      <c r="D73" s="2">
        <f>--129.75</f>
        <v>129.75</v>
      </c>
      <c r="E73" s="2"/>
      <c r="F73" s="19"/>
      <c r="G73" s="2"/>
      <c r="H73" s="2">
        <f>--386.9</f>
        <v>386.9</v>
      </c>
      <c r="I73" s="2"/>
      <c r="J73" s="19"/>
      <c r="K73" s="2"/>
      <c r="L73" s="2">
        <f t="shared" si="0"/>
        <v>-257.14999999999998</v>
      </c>
      <c r="M73" s="2"/>
      <c r="N73" s="19">
        <f t="shared" si="1"/>
        <v>-0.66464202636340142</v>
      </c>
      <c r="O73" s="10"/>
      <c r="P73" s="2">
        <f>--1003.55</f>
        <v>1003.55</v>
      </c>
      <c r="Q73" s="2"/>
      <c r="R73" s="19"/>
      <c r="S73" s="2"/>
      <c r="T73" s="2">
        <f>--3710.92</f>
        <v>3710.92</v>
      </c>
      <c r="U73" s="2"/>
      <c r="V73" s="19"/>
      <c r="W73" s="2"/>
      <c r="X73" s="2">
        <f t="shared" si="2"/>
        <v>-2707.37</v>
      </c>
      <c r="Y73" s="2"/>
      <c r="Z73" s="19">
        <f t="shared" si="3"/>
        <v>-0.72956840891207564</v>
      </c>
    </row>
    <row r="74" spans="1:26" s="23" customFormat="1" hidden="1" outlineLevel="1" x14ac:dyDescent="0.25">
      <c r="A74" s="44"/>
      <c r="B74" s="10" t="str">
        <f>CONCATENATE("          ", "4145", " - ", "NON-TAXABLE SALES-SPECIAL ORDE")</f>
        <v xml:space="preserve">          4145 - NON-TAXABLE SALES-SPECIAL ORDE</v>
      </c>
      <c r="C74" s="10"/>
      <c r="D74" s="2">
        <f>--30</f>
        <v>30</v>
      </c>
      <c r="E74" s="2"/>
      <c r="F74" s="19"/>
      <c r="G74" s="2"/>
      <c r="H74" s="2">
        <f>--19379.5</f>
        <v>19379.5</v>
      </c>
      <c r="I74" s="2"/>
      <c r="J74" s="19"/>
      <c r="K74" s="2"/>
      <c r="L74" s="2">
        <f t="shared" si="0"/>
        <v>-19349.5</v>
      </c>
      <c r="M74" s="2"/>
      <c r="N74" s="19">
        <f t="shared" si="1"/>
        <v>-0.99845197244510953</v>
      </c>
      <c r="O74" s="10"/>
      <c r="P74" s="2">
        <f>--74096.89</f>
        <v>74096.89</v>
      </c>
      <c r="Q74" s="2"/>
      <c r="R74" s="19"/>
      <c r="S74" s="2"/>
      <c r="T74" s="2">
        <f>--27208.18</f>
        <v>27208.18</v>
      </c>
      <c r="U74" s="2"/>
      <c r="V74" s="19"/>
      <c r="W74" s="2"/>
      <c r="X74" s="2">
        <f t="shared" si="2"/>
        <v>46888.71</v>
      </c>
      <c r="Y74" s="2"/>
      <c r="Z74" s="19">
        <f t="shared" si="3"/>
        <v>1.7233313657877887</v>
      </c>
    </row>
    <row r="75" spans="1:26" s="23" customFormat="1" hidden="1" outlineLevel="1" x14ac:dyDescent="0.25">
      <c r="A75" s="44"/>
      <c r="B75" s="10" t="str">
        <f>CONCATENATE("          ", "4146", " - ", "NON-TAXABLE SALES-COIN OP MACH")</f>
        <v xml:space="preserve">          4146 - NON-TAXABLE SALES-COIN OP MACH</v>
      </c>
      <c r="C75" s="10"/>
      <c r="D75" s="2">
        <f>--282.2</f>
        <v>282.2</v>
      </c>
      <c r="E75" s="2"/>
      <c r="F75" s="19"/>
      <c r="G75" s="2"/>
      <c r="H75" s="2">
        <f t="shared" ref="H75:H76" si="22">0</f>
        <v>0</v>
      </c>
      <c r="I75" s="2"/>
      <c r="J75" s="19"/>
      <c r="K75" s="2"/>
      <c r="L75" s="2">
        <f t="shared" si="0"/>
        <v>282.2</v>
      </c>
      <c r="M75" s="2"/>
      <c r="N75" s="19">
        <f t="shared" si="1"/>
        <v>0</v>
      </c>
      <c r="O75" s="10"/>
      <c r="P75" s="2">
        <f>--668.1</f>
        <v>668.1</v>
      </c>
      <c r="Q75" s="2"/>
      <c r="R75" s="19"/>
      <c r="S75" s="2"/>
      <c r="T75" s="2">
        <f>--205908.65</f>
        <v>205908.65</v>
      </c>
      <c r="U75" s="2"/>
      <c r="V75" s="19"/>
      <c r="W75" s="2"/>
      <c r="X75" s="2">
        <f t="shared" si="2"/>
        <v>-205240.55</v>
      </c>
      <c r="Y75" s="2"/>
      <c r="Z75" s="19">
        <f t="shared" si="3"/>
        <v>-0.99675535729072084</v>
      </c>
    </row>
    <row r="76" spans="1:26" s="23" customFormat="1" hidden="1" outlineLevel="1" x14ac:dyDescent="0.25">
      <c r="A76" s="44"/>
      <c r="B76" s="10" t="str">
        <f>CONCATENATE("          ", "4147", " - ", "NON-TAXABLE SALES-MISC")</f>
        <v xml:space="preserve">          4147 - NON-TAXABLE SALES-MISC</v>
      </c>
      <c r="C76" s="10"/>
      <c r="D76" s="2">
        <f>--4</f>
        <v>4</v>
      </c>
      <c r="E76" s="2"/>
      <c r="F76" s="19"/>
      <c r="G76" s="2"/>
      <c r="H76" s="2">
        <f t="shared" si="22"/>
        <v>0</v>
      </c>
      <c r="I76" s="2"/>
      <c r="J76" s="19"/>
      <c r="K76" s="2"/>
      <c r="L76" s="2">
        <f t="shared" si="0"/>
        <v>4</v>
      </c>
      <c r="M76" s="2"/>
      <c r="N76" s="19">
        <f t="shared" si="1"/>
        <v>0</v>
      </c>
      <c r="O76" s="10"/>
      <c r="P76" s="2">
        <f>--172</f>
        <v>172</v>
      </c>
      <c r="Q76" s="2"/>
      <c r="R76" s="19"/>
      <c r="S76" s="2"/>
      <c r="T76" s="2">
        <f>--3446.37</f>
        <v>3446.37</v>
      </c>
      <c r="U76" s="2"/>
      <c r="V76" s="19"/>
      <c r="W76" s="2"/>
      <c r="X76" s="2">
        <f t="shared" si="2"/>
        <v>-3274.37</v>
      </c>
      <c r="Y76" s="2"/>
      <c r="Z76" s="19">
        <f t="shared" si="3"/>
        <v>-0.95009241607836648</v>
      </c>
    </row>
    <row r="77" spans="1:26" s="23" customFormat="1" hidden="1" outlineLevel="1" x14ac:dyDescent="0.25">
      <c r="A77" s="44"/>
      <c r="B77" s="10" t="str">
        <f>CONCATENATE("          ", "4181", " - ", "NON-TAXABLE SALES-ELECTRONICS")</f>
        <v xml:space="preserve">          4181 - NON-TAXABLE SALES-ELECTRONICS</v>
      </c>
      <c r="C77" s="10"/>
      <c r="D77" s="2">
        <f>--33.97</f>
        <v>33.97</v>
      </c>
      <c r="E77" s="2"/>
      <c r="F77" s="19"/>
      <c r="G77" s="2"/>
      <c r="H77" s="2">
        <f>--1267.95</f>
        <v>1267.95</v>
      </c>
      <c r="I77" s="2"/>
      <c r="J77" s="19"/>
      <c r="K77" s="2"/>
      <c r="L77" s="2">
        <f t="shared" si="0"/>
        <v>-1233.98</v>
      </c>
      <c r="M77" s="2"/>
      <c r="N77" s="19">
        <f t="shared" si="1"/>
        <v>-0.973208722741433</v>
      </c>
      <c r="O77" s="10"/>
      <c r="P77" s="2">
        <f>--14322.55</f>
        <v>14322.55</v>
      </c>
      <c r="Q77" s="2"/>
      <c r="R77" s="19"/>
      <c r="S77" s="2"/>
      <c r="T77" s="2">
        <f>--3925.74</f>
        <v>3925.74</v>
      </c>
      <c r="U77" s="2"/>
      <c r="V77" s="19"/>
      <c r="W77" s="2"/>
      <c r="X77" s="2">
        <f t="shared" si="2"/>
        <v>10396.81</v>
      </c>
      <c r="Y77" s="2"/>
      <c r="Z77" s="19">
        <f t="shared" si="3"/>
        <v>2.6483694793847783</v>
      </c>
    </row>
    <row r="78" spans="1:26" s="23" customFormat="1" hidden="1" outlineLevel="1" x14ac:dyDescent="0.25">
      <c r="A78" s="44"/>
      <c r="B78" s="10" t="str">
        <f>CONCATENATE("          ", "4182", " - ", "NON-TAXABLE SALES-COMPUTER HAR")</f>
        <v xml:space="preserve">          4182 - NON-TAXABLE SALES-COMPUTER HAR</v>
      </c>
      <c r="C78" s="10"/>
      <c r="D78" s="2">
        <f>--19892.86</f>
        <v>19892.86</v>
      </c>
      <c r="E78" s="2"/>
      <c r="F78" s="19"/>
      <c r="G78" s="2"/>
      <c r="H78" s="2">
        <f>--45022.25</f>
        <v>45022.25</v>
      </c>
      <c r="I78" s="2"/>
      <c r="J78" s="19"/>
      <c r="K78" s="2"/>
      <c r="L78" s="2">
        <f t="shared" si="0"/>
        <v>-25129.39</v>
      </c>
      <c r="M78" s="2"/>
      <c r="N78" s="19">
        <f t="shared" si="1"/>
        <v>-0.558154912293366</v>
      </c>
      <c r="O78" s="10"/>
      <c r="P78" s="2">
        <f>--367422.08</f>
        <v>367422.08</v>
      </c>
      <c r="Q78" s="2"/>
      <c r="R78" s="19"/>
      <c r="S78" s="2"/>
      <c r="T78" s="2">
        <f>--221223.79</f>
        <v>221223.79</v>
      </c>
      <c r="U78" s="2"/>
      <c r="V78" s="19"/>
      <c r="W78" s="2"/>
      <c r="X78" s="2">
        <f t="shared" si="2"/>
        <v>146198.29</v>
      </c>
      <c r="Y78" s="2"/>
      <c r="Z78" s="19">
        <f t="shared" si="3"/>
        <v>0.66086151945954819</v>
      </c>
    </row>
    <row r="79" spans="1:26" s="23" customFormat="1" hidden="1" outlineLevel="1" x14ac:dyDescent="0.25">
      <c r="A79" s="44"/>
      <c r="B79" s="10" t="str">
        <f>CONCATENATE("          ", "4183", " - ", "NON-TAXABLE SALES-COMPUTER EQU")</f>
        <v xml:space="preserve">          4183 - NON-TAXABLE SALES-COMPUTER EQU</v>
      </c>
      <c r="C79" s="10"/>
      <c r="D79" s="2">
        <f>--1441.27</f>
        <v>1441.27</v>
      </c>
      <c r="E79" s="2"/>
      <c r="F79" s="19"/>
      <c r="G79" s="2"/>
      <c r="H79" s="2">
        <f>--1394.82</f>
        <v>1394.82</v>
      </c>
      <c r="I79" s="2"/>
      <c r="J79" s="19"/>
      <c r="K79" s="2"/>
      <c r="L79" s="2">
        <f t="shared" si="0"/>
        <v>46.450000000000045</v>
      </c>
      <c r="M79" s="2"/>
      <c r="N79" s="19">
        <f t="shared" si="1"/>
        <v>3.3301788044335506E-2</v>
      </c>
      <c r="O79" s="10"/>
      <c r="P79" s="2">
        <f>--23887.02</f>
        <v>23887.02</v>
      </c>
      <c r="Q79" s="2"/>
      <c r="R79" s="19"/>
      <c r="S79" s="2"/>
      <c r="T79" s="2">
        <f>--12822.38</f>
        <v>12822.38</v>
      </c>
      <c r="U79" s="2"/>
      <c r="V79" s="19"/>
      <c r="W79" s="2"/>
      <c r="X79" s="2">
        <f t="shared" si="2"/>
        <v>11064.640000000001</v>
      </c>
      <c r="Y79" s="2"/>
      <c r="Z79" s="19">
        <f t="shared" si="3"/>
        <v>0.86291624487809615</v>
      </c>
    </row>
    <row r="80" spans="1:26" s="23" customFormat="1" hidden="1" outlineLevel="1" x14ac:dyDescent="0.25">
      <c r="A80" s="44"/>
      <c r="B80" s="10" t="str">
        <f>CONCATENATE("          ", "4184", " - ", "NON-TAXABLE SALES-SOFTWARE LIC")</f>
        <v xml:space="preserve">          4184 - NON-TAXABLE SALES-SOFTWARE LIC</v>
      </c>
      <c r="C80" s="10"/>
      <c r="D80" s="2">
        <f>0</f>
        <v>0</v>
      </c>
      <c r="E80" s="2"/>
      <c r="F80" s="19"/>
      <c r="G80" s="2"/>
      <c r="H80" s="2">
        <f>0</f>
        <v>0</v>
      </c>
      <c r="I80" s="2"/>
      <c r="J80" s="19"/>
      <c r="K80" s="2"/>
      <c r="L80" s="2">
        <f t="shared" si="0"/>
        <v>0</v>
      </c>
      <c r="M80" s="2"/>
      <c r="N80" s="19">
        <f t="shared" si="1"/>
        <v>0</v>
      </c>
      <c r="O80" s="10"/>
      <c r="P80" s="2">
        <f>0</f>
        <v>0</v>
      </c>
      <c r="Q80" s="2"/>
      <c r="R80" s="19"/>
      <c r="S80" s="2"/>
      <c r="T80" s="2">
        <f>--2728</f>
        <v>2728</v>
      </c>
      <c r="U80" s="2"/>
      <c r="V80" s="19"/>
      <c r="W80" s="2"/>
      <c r="X80" s="2">
        <f t="shared" si="2"/>
        <v>-2728</v>
      </c>
      <c r="Y80" s="2"/>
      <c r="Z80" s="19">
        <f t="shared" si="3"/>
        <v>-1</v>
      </c>
    </row>
    <row r="81" spans="1:26" s="23" customFormat="1" hidden="1" outlineLevel="1" x14ac:dyDescent="0.25">
      <c r="A81" s="44"/>
      <c r="B81" s="10" t="str">
        <f>CONCATENATE("          ", "4185", " - ", "NON-TAXABLE SALES-SOFTWARE")</f>
        <v xml:space="preserve">          4185 - NON-TAXABLE SALES-SOFTWARE</v>
      </c>
      <c r="C81" s="10"/>
      <c r="D81" s="2">
        <f>--3849.74</f>
        <v>3849.74</v>
      </c>
      <c r="E81" s="2"/>
      <c r="F81" s="19"/>
      <c r="G81" s="2"/>
      <c r="H81" s="2">
        <f>--5267.75</f>
        <v>5267.75</v>
      </c>
      <c r="I81" s="2"/>
      <c r="J81" s="19"/>
      <c r="K81" s="2"/>
      <c r="L81" s="2">
        <f t="shared" si="0"/>
        <v>-1418.0100000000002</v>
      </c>
      <c r="M81" s="2"/>
      <c r="N81" s="19">
        <f t="shared" si="1"/>
        <v>-0.26918703431256236</v>
      </c>
      <c r="O81" s="10"/>
      <c r="P81" s="2">
        <f>--59807.35</f>
        <v>59807.35</v>
      </c>
      <c r="Q81" s="2"/>
      <c r="R81" s="19"/>
      <c r="S81" s="2"/>
      <c r="T81" s="2">
        <f>--25792.1</f>
        <v>25792.1</v>
      </c>
      <c r="U81" s="2"/>
      <c r="V81" s="19"/>
      <c r="W81" s="2"/>
      <c r="X81" s="2">
        <f t="shared" si="2"/>
        <v>34015.25</v>
      </c>
      <c r="Y81" s="2"/>
      <c r="Z81" s="19">
        <f t="shared" si="3"/>
        <v>1.3188243687020444</v>
      </c>
    </row>
    <row r="82" spans="1:26" s="23" customFormat="1" hidden="1" outlineLevel="1" x14ac:dyDescent="0.25">
      <c r="A82" s="44"/>
      <c r="B82" s="10" t="str">
        <f>CONCATENATE("          ", "4186", " - ", "NON-TAXABLE SALES-COMPUTER SUP")</f>
        <v xml:space="preserve">          4186 - NON-TAXABLE SALES-COMPUTER SUP</v>
      </c>
      <c r="C82" s="10"/>
      <c r="D82" s="2">
        <f>--317.9</f>
        <v>317.89999999999998</v>
      </c>
      <c r="E82" s="2"/>
      <c r="F82" s="19"/>
      <c r="G82" s="2"/>
      <c r="H82" s="2">
        <f>--431.97</f>
        <v>431.97</v>
      </c>
      <c r="I82" s="2"/>
      <c r="J82" s="19"/>
      <c r="K82" s="2"/>
      <c r="L82" s="2">
        <f t="shared" si="0"/>
        <v>-114.07000000000005</v>
      </c>
      <c r="M82" s="2"/>
      <c r="N82" s="19">
        <f t="shared" si="1"/>
        <v>-0.26406926406926418</v>
      </c>
      <c r="O82" s="10"/>
      <c r="P82" s="2">
        <f>--3797.04</f>
        <v>3797.04</v>
      </c>
      <c r="Q82" s="2"/>
      <c r="R82" s="19"/>
      <c r="S82" s="2"/>
      <c r="T82" s="2">
        <f>--3327.08</f>
        <v>3327.08</v>
      </c>
      <c r="U82" s="2"/>
      <c r="V82" s="19"/>
      <c r="W82" s="2"/>
      <c r="X82" s="2">
        <f t="shared" si="2"/>
        <v>469.96000000000004</v>
      </c>
      <c r="Y82" s="2"/>
      <c r="Z82" s="19">
        <f t="shared" si="3"/>
        <v>0.1412529906103851</v>
      </c>
    </row>
    <row r="83" spans="1:26" s="23" customFormat="1" hidden="1" outlineLevel="1" x14ac:dyDescent="0.25">
      <c r="A83" s="44"/>
      <c r="B83" s="10" t="str">
        <f>CONCATENATE("          ", "4188", " - ", "NON-TAXABLE SALES-MUSIC")</f>
        <v xml:space="preserve">          4188 - NON-TAXABLE SALES-MUSIC</v>
      </c>
      <c r="C83" s="10"/>
      <c r="D83" s="2">
        <f t="shared" ref="D83:D84" si="23">0</f>
        <v>0</v>
      </c>
      <c r="E83" s="2"/>
      <c r="F83" s="19"/>
      <c r="G83" s="2"/>
      <c r="H83" s="2">
        <f t="shared" ref="H83:H85" si="24">0</f>
        <v>0</v>
      </c>
      <c r="I83" s="2"/>
      <c r="J83" s="19"/>
      <c r="K83" s="2"/>
      <c r="L83" s="2">
        <f t="shared" si="0"/>
        <v>0</v>
      </c>
      <c r="M83" s="2"/>
      <c r="N83" s="19">
        <f t="shared" si="1"/>
        <v>0</v>
      </c>
      <c r="O83" s="10"/>
      <c r="P83" s="2">
        <f t="shared" ref="P83:P84" si="25">0</f>
        <v>0</v>
      </c>
      <c r="Q83" s="2"/>
      <c r="R83" s="19"/>
      <c r="S83" s="2"/>
      <c r="T83" s="2">
        <f>--343.94</f>
        <v>343.94</v>
      </c>
      <c r="U83" s="2"/>
      <c r="V83" s="19"/>
      <c r="W83" s="2"/>
      <c r="X83" s="2">
        <f t="shared" si="2"/>
        <v>-343.94</v>
      </c>
      <c r="Y83" s="2"/>
      <c r="Z83" s="19">
        <f t="shared" si="3"/>
        <v>-1</v>
      </c>
    </row>
    <row r="84" spans="1:26" s="23" customFormat="1" hidden="1" outlineLevel="1" x14ac:dyDescent="0.25">
      <c r="A84" s="44"/>
      <c r="B84" s="10" t="str">
        <f>CONCATENATE("          ", "4192", " - ", "NON-TAXABLE SALES-GRAD MERCH")</f>
        <v xml:space="preserve">          4192 - NON-TAXABLE SALES-GRAD MERCH</v>
      </c>
      <c r="C84" s="10"/>
      <c r="D84" s="2">
        <f t="shared" si="23"/>
        <v>0</v>
      </c>
      <c r="E84" s="2"/>
      <c r="F84" s="19"/>
      <c r="G84" s="2"/>
      <c r="H84" s="2">
        <f t="shared" si="24"/>
        <v>0</v>
      </c>
      <c r="I84" s="2"/>
      <c r="J84" s="19"/>
      <c r="K84" s="2"/>
      <c r="L84" s="2">
        <f t="shared" si="0"/>
        <v>0</v>
      </c>
      <c r="M84" s="2"/>
      <c r="N84" s="19">
        <f t="shared" si="1"/>
        <v>0</v>
      </c>
      <c r="O84" s="10"/>
      <c r="P84" s="2">
        <f t="shared" si="25"/>
        <v>0</v>
      </c>
      <c r="Q84" s="2"/>
      <c r="R84" s="19"/>
      <c r="S84" s="2"/>
      <c r="T84" s="2">
        <f>--119.4</f>
        <v>119.4</v>
      </c>
      <c r="U84" s="2"/>
      <c r="V84" s="19"/>
      <c r="W84" s="2"/>
      <c r="X84" s="2">
        <f t="shared" si="2"/>
        <v>-119.4</v>
      </c>
      <c r="Y84" s="2"/>
      <c r="Z84" s="19">
        <f t="shared" si="3"/>
        <v>-1</v>
      </c>
    </row>
    <row r="85" spans="1:26" s="23" customFormat="1" hidden="1" outlineLevel="1" x14ac:dyDescent="0.25">
      <c r="A85" s="44"/>
      <c r="B85" s="10" t="str">
        <f>CONCATENATE("          ", "4201", " - ", "SALES RETURN TAXABLE-NEW TEXT")</f>
        <v xml:space="preserve">          4201 - SALES RETURN TAXABLE-NEW TEXT</v>
      </c>
      <c r="C85" s="10"/>
      <c r="D85" s="2">
        <f>-1101.25</f>
        <v>-1101.25</v>
      </c>
      <c r="E85" s="2"/>
      <c r="F85" s="19"/>
      <c r="G85" s="2"/>
      <c r="H85" s="2">
        <f t="shared" si="24"/>
        <v>0</v>
      </c>
      <c r="I85" s="2"/>
      <c r="J85" s="19"/>
      <c r="K85" s="2"/>
      <c r="L85" s="2">
        <f t="shared" si="0"/>
        <v>-1101.25</v>
      </c>
      <c r="M85" s="2"/>
      <c r="N85" s="19">
        <f t="shared" si="1"/>
        <v>0</v>
      </c>
      <c r="O85" s="10"/>
      <c r="P85" s="2">
        <f>-53397.67</f>
        <v>-53397.67</v>
      </c>
      <c r="Q85" s="2"/>
      <c r="R85" s="19"/>
      <c r="S85" s="2"/>
      <c r="T85" s="2">
        <f>-121451.61</f>
        <v>-121451.61</v>
      </c>
      <c r="U85" s="2"/>
      <c r="V85" s="19"/>
      <c r="W85" s="2"/>
      <c r="X85" s="2">
        <f t="shared" si="2"/>
        <v>68053.94</v>
      </c>
      <c r="Y85" s="2"/>
      <c r="Z85" s="19">
        <f t="shared" si="3"/>
        <v>-0.56033789918470411</v>
      </c>
    </row>
    <row r="86" spans="1:26" s="23" customFormat="1" hidden="1" outlineLevel="1" x14ac:dyDescent="0.25">
      <c r="A86" s="44"/>
      <c r="B86" s="10" t="str">
        <f>CONCATENATE("          ", "4202", " - ", "SALES RETURN TAXABLE-USED TEXT")</f>
        <v xml:space="preserve">          4202 - SALES RETURN TAXABLE-USED TEXT</v>
      </c>
      <c r="C86" s="10"/>
      <c r="D86" s="2">
        <f>-433.75</f>
        <v>-433.75</v>
      </c>
      <c r="E86" s="2"/>
      <c r="F86" s="19"/>
      <c r="G86" s="2"/>
      <c r="H86" s="2">
        <f>-186.35</f>
        <v>-186.35</v>
      </c>
      <c r="I86" s="2"/>
      <c r="J86" s="19"/>
      <c r="K86" s="2"/>
      <c r="L86" s="2">
        <f t="shared" si="0"/>
        <v>-247.4</v>
      </c>
      <c r="M86" s="2"/>
      <c r="N86" s="19">
        <f t="shared" si="1"/>
        <v>1.3276093372685807</v>
      </c>
      <c r="O86" s="10"/>
      <c r="P86" s="2">
        <f>-20889.41</f>
        <v>-20889.41</v>
      </c>
      <c r="Q86" s="2"/>
      <c r="R86" s="19"/>
      <c r="S86" s="2"/>
      <c r="T86" s="2">
        <f>-45799.46</f>
        <v>-45799.46</v>
      </c>
      <c r="U86" s="2"/>
      <c r="V86" s="19"/>
      <c r="W86" s="2"/>
      <c r="X86" s="2">
        <f t="shared" si="2"/>
        <v>24910.05</v>
      </c>
      <c r="Y86" s="2"/>
      <c r="Z86" s="19">
        <f t="shared" si="3"/>
        <v>-0.54389396730878481</v>
      </c>
    </row>
    <row r="87" spans="1:26" s="23" customFormat="1" hidden="1" outlineLevel="1" x14ac:dyDescent="0.25">
      <c r="A87" s="44"/>
      <c r="B87" s="10" t="str">
        <f>CONCATENATE("          ", "4203", " - ", "SALES RETURN TAXABLE-RENTAL TE")</f>
        <v xml:space="preserve">          4203 - SALES RETURN TAXABLE-RENTAL TE</v>
      </c>
      <c r="C87" s="10"/>
      <c r="D87" s="2">
        <f t="shared" ref="D87:D88" si="26">0</f>
        <v>0</v>
      </c>
      <c r="E87" s="2"/>
      <c r="F87" s="19"/>
      <c r="G87" s="2"/>
      <c r="H87" s="2">
        <f t="shared" ref="H87:H88" si="27">0</f>
        <v>0</v>
      </c>
      <c r="I87" s="2"/>
      <c r="J87" s="19"/>
      <c r="K87" s="2"/>
      <c r="L87" s="2">
        <f t="shared" si="0"/>
        <v>0</v>
      </c>
      <c r="M87" s="2"/>
      <c r="N87" s="19">
        <f t="shared" si="1"/>
        <v>0</v>
      </c>
      <c r="O87" s="10"/>
      <c r="P87" s="2">
        <f>0</f>
        <v>0</v>
      </c>
      <c r="Q87" s="2"/>
      <c r="R87" s="19"/>
      <c r="S87" s="2"/>
      <c r="T87" s="2">
        <f>-144.99</f>
        <v>-144.99</v>
      </c>
      <c r="U87" s="2"/>
      <c r="V87" s="19"/>
      <c r="W87" s="2"/>
      <c r="X87" s="2">
        <f t="shared" si="2"/>
        <v>144.99</v>
      </c>
      <c r="Y87" s="2"/>
      <c r="Z87" s="19">
        <f t="shared" si="3"/>
        <v>-1</v>
      </c>
    </row>
    <row r="88" spans="1:26" s="23" customFormat="1" hidden="1" outlineLevel="1" x14ac:dyDescent="0.25">
      <c r="A88" s="44"/>
      <c r="B88" s="10" t="str">
        <f>CONCATENATE("          ", "4204", " - ", "SALES RETURN TAXABLE-DIGITAL T")</f>
        <v xml:space="preserve">          4204 - SALES RETURN TAXABLE-DIGITAL T</v>
      </c>
      <c r="C88" s="10"/>
      <c r="D88" s="2">
        <f t="shared" si="26"/>
        <v>0</v>
      </c>
      <c r="E88" s="2"/>
      <c r="F88" s="19"/>
      <c r="G88" s="2"/>
      <c r="H88" s="2">
        <f t="shared" si="27"/>
        <v>0</v>
      </c>
      <c r="I88" s="2"/>
      <c r="J88" s="19"/>
      <c r="K88" s="2"/>
      <c r="L88" s="2">
        <f t="shared" si="0"/>
        <v>0</v>
      </c>
      <c r="M88" s="2"/>
      <c r="N88" s="19">
        <f t="shared" si="1"/>
        <v>0</v>
      </c>
      <c r="O88" s="10"/>
      <c r="P88" s="2">
        <f>-1763.1</f>
        <v>-1763.1</v>
      </c>
      <c r="Q88" s="2"/>
      <c r="R88" s="19"/>
      <c r="S88" s="2"/>
      <c r="T88" s="2">
        <f>-17255.33</f>
        <v>-17255.330000000002</v>
      </c>
      <c r="U88" s="2"/>
      <c r="V88" s="19"/>
      <c r="W88" s="2"/>
      <c r="X88" s="2">
        <f t="shared" si="2"/>
        <v>15492.230000000001</v>
      </c>
      <c r="Y88" s="2"/>
      <c r="Z88" s="19">
        <f t="shared" si="3"/>
        <v>-0.89782287559843832</v>
      </c>
    </row>
    <row r="89" spans="1:26" s="23" customFormat="1" hidden="1" outlineLevel="1" x14ac:dyDescent="0.25">
      <c r="A89" s="44"/>
      <c r="B89" s="10" t="str">
        <f>CONCATENATE("          ", "4213", " - ", "NON-TAXABLE SALES-TRADE BOOKS")</f>
        <v xml:space="preserve">          4213 - NON-TAXABLE SALES-TRADE BOOKS</v>
      </c>
      <c r="C89" s="10"/>
      <c r="D89" s="2">
        <f>-25</f>
        <v>-25</v>
      </c>
      <c r="E89" s="2"/>
      <c r="F89" s="19"/>
      <c r="G89" s="2"/>
      <c r="H89" s="2">
        <f>-100.7</f>
        <v>-100.7</v>
      </c>
      <c r="I89" s="2"/>
      <c r="J89" s="19"/>
      <c r="K89" s="2"/>
      <c r="L89" s="2">
        <f t="shared" si="0"/>
        <v>75.7</v>
      </c>
      <c r="M89" s="2"/>
      <c r="N89" s="19">
        <f t="shared" si="1"/>
        <v>-0.75173783515392256</v>
      </c>
      <c r="O89" s="10"/>
      <c r="P89" s="2">
        <f>-103.92</f>
        <v>-103.92</v>
      </c>
      <c r="Q89" s="2"/>
      <c r="R89" s="19"/>
      <c r="S89" s="2"/>
      <c r="T89" s="2">
        <f>-2869.37</f>
        <v>-2869.37</v>
      </c>
      <c r="U89" s="2"/>
      <c r="V89" s="19"/>
      <c r="W89" s="2"/>
      <c r="X89" s="2">
        <f t="shared" si="2"/>
        <v>2765.45</v>
      </c>
      <c r="Y89" s="2"/>
      <c r="Z89" s="19">
        <f t="shared" si="3"/>
        <v>-0.96378299069133644</v>
      </c>
    </row>
    <row r="90" spans="1:26" s="23" customFormat="1" hidden="1" outlineLevel="1" x14ac:dyDescent="0.25">
      <c r="A90" s="44"/>
      <c r="B90" s="10" t="str">
        <f>CONCATENATE("          ", "4214", " - ", "SALES RETURN TAXABLE-REMAINDER")</f>
        <v xml:space="preserve">          4214 - SALES RETURN TAXABLE-REMAINDER</v>
      </c>
      <c r="C90" s="10"/>
      <c r="D90" s="2">
        <f t="shared" ref="D90:D91" si="28">0</f>
        <v>0</v>
      </c>
      <c r="E90" s="2"/>
      <c r="F90" s="19"/>
      <c r="G90" s="2"/>
      <c r="H90" s="2">
        <f t="shared" ref="H90:H94" si="29">0</f>
        <v>0</v>
      </c>
      <c r="I90" s="2"/>
      <c r="J90" s="19"/>
      <c r="K90" s="2"/>
      <c r="L90" s="2">
        <f t="shared" si="0"/>
        <v>0</v>
      </c>
      <c r="M90" s="2"/>
      <c r="N90" s="19">
        <f t="shared" si="1"/>
        <v>0</v>
      </c>
      <c r="O90" s="10"/>
      <c r="P90" s="2">
        <f t="shared" ref="P90:P91" si="30">0</f>
        <v>0</v>
      </c>
      <c r="Q90" s="2"/>
      <c r="R90" s="19"/>
      <c r="S90" s="2"/>
      <c r="T90" s="2">
        <f>-11.94</f>
        <v>-11.94</v>
      </c>
      <c r="U90" s="2"/>
      <c r="V90" s="19"/>
      <c r="W90" s="2"/>
      <c r="X90" s="2">
        <f t="shared" si="2"/>
        <v>11.94</v>
      </c>
      <c r="Y90" s="2"/>
      <c r="Z90" s="19">
        <f t="shared" si="3"/>
        <v>-1</v>
      </c>
    </row>
    <row r="91" spans="1:26" s="23" customFormat="1" hidden="1" outlineLevel="1" x14ac:dyDescent="0.25">
      <c r="A91" s="44"/>
      <c r="B91" s="10" t="str">
        <f>CONCATENATE("          ", "4217", " - ", "NON-TAXABLE SALES-DORM/HOUSEWA")</f>
        <v xml:space="preserve">          4217 - NON-TAXABLE SALES-DORM/HOUSEWA</v>
      </c>
      <c r="C91" s="10"/>
      <c r="D91" s="2">
        <f t="shared" si="28"/>
        <v>0</v>
      </c>
      <c r="E91" s="2"/>
      <c r="F91" s="19"/>
      <c r="G91" s="2"/>
      <c r="H91" s="2">
        <f t="shared" si="29"/>
        <v>0</v>
      </c>
      <c r="I91" s="2"/>
      <c r="J91" s="19"/>
      <c r="K91" s="2"/>
      <c r="L91" s="2">
        <f t="shared" si="0"/>
        <v>0</v>
      </c>
      <c r="M91" s="2"/>
      <c r="N91" s="19">
        <f t="shared" si="1"/>
        <v>0</v>
      </c>
      <c r="O91" s="10"/>
      <c r="P91" s="2">
        <f t="shared" si="30"/>
        <v>0</v>
      </c>
      <c r="Q91" s="2"/>
      <c r="R91" s="19"/>
      <c r="S91" s="2"/>
      <c r="T91" s="2">
        <f>-2.98</f>
        <v>-2.98</v>
      </c>
      <c r="U91" s="2"/>
      <c r="V91" s="19"/>
      <c r="W91" s="2"/>
      <c r="X91" s="2">
        <f t="shared" si="2"/>
        <v>2.98</v>
      </c>
      <c r="Y91" s="2"/>
      <c r="Z91" s="19">
        <f t="shared" si="3"/>
        <v>-1</v>
      </c>
    </row>
    <row r="92" spans="1:26" s="23" customFormat="1" hidden="1" outlineLevel="1" x14ac:dyDescent="0.25">
      <c r="A92" s="44"/>
      <c r="B92" s="10" t="str">
        <f>CONCATENATE("          ", "4218", " - ", "SALES RETURN TAXABLE-STUDY GUI")</f>
        <v xml:space="preserve">          4218 - SALES RETURN TAXABLE-STUDY GUI</v>
      </c>
      <c r="C92" s="10"/>
      <c r="D92" s="2">
        <f>-23.44</f>
        <v>-23.44</v>
      </c>
      <c r="E92" s="2"/>
      <c r="F92" s="19"/>
      <c r="G92" s="2"/>
      <c r="H92" s="2">
        <f t="shared" si="29"/>
        <v>0</v>
      </c>
      <c r="I92" s="2"/>
      <c r="J92" s="19"/>
      <c r="K92" s="2"/>
      <c r="L92" s="2">
        <f t="shared" si="0"/>
        <v>-23.44</v>
      </c>
      <c r="M92" s="2"/>
      <c r="N92" s="19">
        <f t="shared" si="1"/>
        <v>0</v>
      </c>
      <c r="O92" s="10"/>
      <c r="P92" s="2">
        <f>-28.65</f>
        <v>-28.65</v>
      </c>
      <c r="Q92" s="2"/>
      <c r="R92" s="19"/>
      <c r="S92" s="2"/>
      <c r="T92" s="2">
        <f>-39.25</f>
        <v>-39.25</v>
      </c>
      <c r="U92" s="2"/>
      <c r="V92" s="19"/>
      <c r="W92" s="2"/>
      <c r="X92" s="2">
        <f t="shared" si="2"/>
        <v>10.600000000000001</v>
      </c>
      <c r="Y92" s="2"/>
      <c r="Z92" s="19">
        <f t="shared" si="3"/>
        <v>-0.27006369426751597</v>
      </c>
    </row>
    <row r="93" spans="1:26" s="23" customFormat="1" hidden="1" outlineLevel="1" x14ac:dyDescent="0.25">
      <c r="A93" s="44"/>
      <c r="B93" s="10" t="str">
        <f>CONCATENATE("          ", "4225", " - ", "SALES RETURN TAXABLE-TEST FORM")</f>
        <v xml:space="preserve">          4225 - SALES RETURN TAXABLE-TEST FORM</v>
      </c>
      <c r="C93" s="10"/>
      <c r="D93" s="2">
        <f t="shared" ref="D93:D94" si="31">0</f>
        <v>0</v>
      </c>
      <c r="E93" s="2"/>
      <c r="F93" s="19"/>
      <c r="G93" s="2"/>
      <c r="H93" s="2">
        <f t="shared" si="29"/>
        <v>0</v>
      </c>
      <c r="I93" s="2"/>
      <c r="J93" s="19"/>
      <c r="K93" s="2"/>
      <c r="L93" s="2">
        <f t="shared" si="0"/>
        <v>0</v>
      </c>
      <c r="M93" s="2"/>
      <c r="N93" s="19">
        <f t="shared" si="1"/>
        <v>0</v>
      </c>
      <c r="O93" s="10"/>
      <c r="P93" s="2">
        <f>0</f>
        <v>0</v>
      </c>
      <c r="Q93" s="2"/>
      <c r="R93" s="19"/>
      <c r="S93" s="2"/>
      <c r="T93" s="2">
        <f>-205.91</f>
        <v>-205.91</v>
      </c>
      <c r="U93" s="2"/>
      <c r="V93" s="19"/>
      <c r="W93" s="2"/>
      <c r="X93" s="2">
        <f t="shared" si="2"/>
        <v>205.91</v>
      </c>
      <c r="Y93" s="2"/>
      <c r="Z93" s="19">
        <f t="shared" si="3"/>
        <v>-1</v>
      </c>
    </row>
    <row r="94" spans="1:26" s="23" customFormat="1" hidden="1" outlineLevel="1" x14ac:dyDescent="0.25">
      <c r="A94" s="44"/>
      <c r="B94" s="10" t="str">
        <f>CONCATENATE("          ", "4226", " - ", "SALES RETURN TAXABLE-WRITING I")</f>
        <v xml:space="preserve">          4226 - SALES RETURN TAXABLE-WRITING I</v>
      </c>
      <c r="C94" s="10"/>
      <c r="D94" s="2">
        <f t="shared" si="31"/>
        <v>0</v>
      </c>
      <c r="E94" s="2"/>
      <c r="F94" s="19"/>
      <c r="G94" s="2"/>
      <c r="H94" s="2">
        <f t="shared" si="29"/>
        <v>0</v>
      </c>
      <c r="I94" s="2"/>
      <c r="J94" s="19"/>
      <c r="K94" s="2"/>
      <c r="L94" s="2">
        <f t="shared" si="0"/>
        <v>0</v>
      </c>
      <c r="M94" s="2"/>
      <c r="N94" s="19">
        <f t="shared" si="1"/>
        <v>0</v>
      </c>
      <c r="O94" s="10"/>
      <c r="P94" s="2">
        <f>-35.02</f>
        <v>-35.020000000000003</v>
      </c>
      <c r="Q94" s="2"/>
      <c r="R94" s="19"/>
      <c r="S94" s="2"/>
      <c r="T94" s="2">
        <f>-924.44</f>
        <v>-924.44</v>
      </c>
      <c r="U94" s="2"/>
      <c r="V94" s="19"/>
      <c r="W94" s="2"/>
      <c r="X94" s="2">
        <f t="shared" si="2"/>
        <v>889.42000000000007</v>
      </c>
      <c r="Y94" s="2"/>
      <c r="Z94" s="19">
        <f t="shared" si="3"/>
        <v>-0.96211760633464583</v>
      </c>
    </row>
    <row r="95" spans="1:26" s="23" customFormat="1" hidden="1" outlineLevel="1" x14ac:dyDescent="0.25">
      <c r="A95" s="44"/>
      <c r="B95" s="10" t="str">
        <f>CONCATENATE("          ", "4227", " - ", "SALES RETURN TAXABLE-SCHOOL SU")</f>
        <v xml:space="preserve">          4227 - SALES RETURN TAXABLE-SCHOOL SU</v>
      </c>
      <c r="C95" s="10"/>
      <c r="D95" s="2">
        <f>-80.63</f>
        <v>-80.63</v>
      </c>
      <c r="E95" s="2"/>
      <c r="F95" s="19"/>
      <c r="G95" s="2"/>
      <c r="H95" s="2">
        <f>-81.87</f>
        <v>-81.87</v>
      </c>
      <c r="I95" s="2"/>
      <c r="J95" s="19"/>
      <c r="K95" s="2"/>
      <c r="L95" s="2">
        <f t="shared" si="0"/>
        <v>1.2400000000000091</v>
      </c>
      <c r="M95" s="2"/>
      <c r="N95" s="19">
        <f t="shared" si="1"/>
        <v>-1.514596311225124E-2</v>
      </c>
      <c r="O95" s="10"/>
      <c r="P95" s="2">
        <f>-1565.11</f>
        <v>-1565.11</v>
      </c>
      <c r="Q95" s="2"/>
      <c r="R95" s="19"/>
      <c r="S95" s="2"/>
      <c r="T95" s="2">
        <f>-8728.9</f>
        <v>-8728.9</v>
      </c>
      <c r="U95" s="2"/>
      <c r="V95" s="19"/>
      <c r="W95" s="2"/>
      <c r="X95" s="2">
        <f t="shared" si="2"/>
        <v>7163.79</v>
      </c>
      <c r="Y95" s="2"/>
      <c r="Z95" s="19">
        <f t="shared" si="3"/>
        <v>-0.82069791153524507</v>
      </c>
    </row>
    <row r="96" spans="1:26" s="23" customFormat="1" hidden="1" outlineLevel="1" x14ac:dyDescent="0.25">
      <c r="A96" s="44"/>
      <c r="B96" s="10" t="str">
        <f>CONCATENATE("          ", "4228", " - ", "SALES RETURN TAXABLE-ART/TECH")</f>
        <v xml:space="preserve">          4228 - SALES RETURN TAXABLE-ART/TECH</v>
      </c>
      <c r="C96" s="10"/>
      <c r="D96" s="2">
        <f>-105.6</f>
        <v>-105.6</v>
      </c>
      <c r="E96" s="2"/>
      <c r="F96" s="19"/>
      <c r="G96" s="2"/>
      <c r="H96" s="2">
        <f t="shared" ref="H96:H97" si="32">0</f>
        <v>0</v>
      </c>
      <c r="I96" s="2"/>
      <c r="J96" s="19"/>
      <c r="K96" s="2"/>
      <c r="L96" s="2">
        <f t="shared" si="0"/>
        <v>-105.6</v>
      </c>
      <c r="M96" s="2"/>
      <c r="N96" s="19">
        <f t="shared" si="1"/>
        <v>0</v>
      </c>
      <c r="O96" s="10"/>
      <c r="P96" s="2">
        <f>-13079.33</f>
        <v>-13079.33</v>
      </c>
      <c r="Q96" s="2"/>
      <c r="R96" s="19"/>
      <c r="S96" s="2"/>
      <c r="T96" s="2">
        <f>-4739.1</f>
        <v>-4739.1000000000004</v>
      </c>
      <c r="U96" s="2"/>
      <c r="V96" s="19"/>
      <c r="W96" s="2"/>
      <c r="X96" s="2">
        <f t="shared" si="2"/>
        <v>-8340.23</v>
      </c>
      <c r="Y96" s="2"/>
      <c r="Z96" s="19">
        <f t="shared" si="3"/>
        <v>1.7598763478297565</v>
      </c>
    </row>
    <row r="97" spans="1:26" s="23" customFormat="1" hidden="1" outlineLevel="1" x14ac:dyDescent="0.25">
      <c r="A97" s="44"/>
      <c r="B97" s="10" t="str">
        <f>CONCATENATE("          ", "4233", " - ", "SALES RETURN TAXABLE-CANDY")</f>
        <v xml:space="preserve">          4233 - SALES RETURN TAXABLE-CANDY</v>
      </c>
      <c r="C97" s="10"/>
      <c r="D97" s="2">
        <f>0</f>
        <v>0</v>
      </c>
      <c r="E97" s="2"/>
      <c r="F97" s="19"/>
      <c r="G97" s="2"/>
      <c r="H97" s="2">
        <f t="shared" si="32"/>
        <v>0</v>
      </c>
      <c r="I97" s="2"/>
      <c r="J97" s="19"/>
      <c r="K97" s="2"/>
      <c r="L97" s="2">
        <f t="shared" si="0"/>
        <v>0</v>
      </c>
      <c r="M97" s="2"/>
      <c r="N97" s="19">
        <f t="shared" si="1"/>
        <v>0</v>
      </c>
      <c r="O97" s="10"/>
      <c r="P97" s="2">
        <f>0</f>
        <v>0</v>
      </c>
      <c r="Q97" s="2"/>
      <c r="R97" s="19"/>
      <c r="S97" s="2"/>
      <c r="T97" s="2">
        <f>-8.25</f>
        <v>-8.25</v>
      </c>
      <c r="U97" s="2"/>
      <c r="V97" s="19"/>
      <c r="W97" s="2"/>
      <c r="X97" s="2">
        <f t="shared" si="2"/>
        <v>8.25</v>
      </c>
      <c r="Y97" s="2"/>
      <c r="Z97" s="19">
        <f t="shared" si="3"/>
        <v>-1</v>
      </c>
    </row>
    <row r="98" spans="1:26" s="23" customFormat="1" hidden="1" outlineLevel="1" x14ac:dyDescent="0.25">
      <c r="A98" s="44"/>
      <c r="B98" s="10" t="str">
        <f>CONCATENATE("          ", "4240", " - ", "SALES RETURN TAXABLE-LOGO CLOT")</f>
        <v xml:space="preserve">          4240 - SALES RETURN TAXABLE-LOGO CLOT</v>
      </c>
      <c r="C98" s="10"/>
      <c r="D98" s="2">
        <f>-4795.71</f>
        <v>-4795.71</v>
      </c>
      <c r="E98" s="2"/>
      <c r="F98" s="19"/>
      <c r="G98" s="2"/>
      <c r="H98" s="2">
        <f>-2702.34</f>
        <v>-2702.34</v>
      </c>
      <c r="I98" s="2"/>
      <c r="J98" s="19"/>
      <c r="K98" s="2"/>
      <c r="L98" s="2">
        <f t="shared" si="0"/>
        <v>-2093.37</v>
      </c>
      <c r="M98" s="2"/>
      <c r="N98" s="19">
        <f t="shared" si="1"/>
        <v>0.77465085814516299</v>
      </c>
      <c r="O98" s="10"/>
      <c r="P98" s="2">
        <f>-51889.15</f>
        <v>-51889.15</v>
      </c>
      <c r="Q98" s="2"/>
      <c r="R98" s="19"/>
      <c r="S98" s="2"/>
      <c r="T98" s="2">
        <f>-80387.11</f>
        <v>-80387.11</v>
      </c>
      <c r="U98" s="2"/>
      <c r="V98" s="19"/>
      <c r="W98" s="2"/>
      <c r="X98" s="2">
        <f t="shared" si="2"/>
        <v>28497.96</v>
      </c>
      <c r="Y98" s="2"/>
      <c r="Z98" s="19">
        <f t="shared" si="3"/>
        <v>-0.35450907490019234</v>
      </c>
    </row>
    <row r="99" spans="1:26" s="23" customFormat="1" hidden="1" outlineLevel="1" x14ac:dyDescent="0.25">
      <c r="A99" s="44"/>
      <c r="B99" s="10" t="str">
        <f>CONCATENATE("          ", "4241", " - ", "SALES RETURN TAXABLE-LOGO GIFT")</f>
        <v xml:space="preserve">          4241 - SALES RETURN TAXABLE-LOGO GIFT</v>
      </c>
      <c r="C99" s="10"/>
      <c r="D99" s="2">
        <f>-1907.39</f>
        <v>-1907.39</v>
      </c>
      <c r="E99" s="2"/>
      <c r="F99" s="19"/>
      <c r="G99" s="2"/>
      <c r="H99" s="2">
        <f>-525.51</f>
        <v>-525.51</v>
      </c>
      <c r="I99" s="2"/>
      <c r="J99" s="19"/>
      <c r="K99" s="2"/>
      <c r="L99" s="2">
        <f t="shared" si="0"/>
        <v>-1381.88</v>
      </c>
      <c r="M99" s="2"/>
      <c r="N99" s="19">
        <f t="shared" si="1"/>
        <v>2.6295979144069572</v>
      </c>
      <c r="O99" s="10"/>
      <c r="P99" s="2">
        <f>-18587.93</f>
        <v>-18587.93</v>
      </c>
      <c r="Q99" s="2"/>
      <c r="R99" s="19"/>
      <c r="S99" s="2"/>
      <c r="T99" s="2">
        <f>-7990.78</f>
        <v>-7990.78</v>
      </c>
      <c r="U99" s="2"/>
      <c r="V99" s="19"/>
      <c r="W99" s="2"/>
      <c r="X99" s="2">
        <f t="shared" si="2"/>
        <v>-10597.150000000001</v>
      </c>
      <c r="Y99" s="2"/>
      <c r="Z99" s="19">
        <f t="shared" si="3"/>
        <v>1.3261721634183399</v>
      </c>
    </row>
    <row r="100" spans="1:26" s="23" customFormat="1" hidden="1" outlineLevel="1" x14ac:dyDescent="0.25">
      <c r="A100" s="44"/>
      <c r="B100" s="10" t="str">
        <f>CONCATENATE("          ", "4242", " - ", "SALES RETURN TAXABLE-EVERYDAY")</f>
        <v xml:space="preserve">          4242 - SALES RETURN TAXABLE-EVERYDAY</v>
      </c>
      <c r="C100" s="10"/>
      <c r="D100" s="2">
        <f>-131.98</f>
        <v>-131.97999999999999</v>
      </c>
      <c r="E100" s="2"/>
      <c r="F100" s="19"/>
      <c r="G100" s="2"/>
      <c r="H100" s="2">
        <f>-51.44</f>
        <v>-51.44</v>
      </c>
      <c r="I100" s="2"/>
      <c r="J100" s="19"/>
      <c r="K100" s="2"/>
      <c r="L100" s="2">
        <f t="shared" si="0"/>
        <v>-80.539999999999992</v>
      </c>
      <c r="M100" s="2"/>
      <c r="N100" s="19">
        <f t="shared" si="1"/>
        <v>1.5657076205287712</v>
      </c>
      <c r="O100" s="10"/>
      <c r="P100" s="2">
        <f>-2875.07</f>
        <v>-2875.07</v>
      </c>
      <c r="Q100" s="2"/>
      <c r="R100" s="19"/>
      <c r="S100" s="2"/>
      <c r="T100" s="2">
        <f>-4232.85</f>
        <v>-4232.8500000000004</v>
      </c>
      <c r="U100" s="2"/>
      <c r="V100" s="19"/>
      <c r="W100" s="2"/>
      <c r="X100" s="2">
        <f t="shared" si="2"/>
        <v>1357.7800000000002</v>
      </c>
      <c r="Y100" s="2"/>
      <c r="Z100" s="19">
        <f t="shared" si="3"/>
        <v>-0.32077205665213748</v>
      </c>
    </row>
    <row r="101" spans="1:26" s="23" customFormat="1" hidden="1" outlineLevel="1" x14ac:dyDescent="0.25">
      <c r="A101" s="44"/>
      <c r="B101" s="10" t="str">
        <f>CONCATENATE("          ", "4243", " - ", "SALES RETURN TAXABLE-CARDS")</f>
        <v xml:space="preserve">          4243 - SALES RETURN TAXABLE-CARDS</v>
      </c>
      <c r="C101" s="10"/>
      <c r="D101" s="2">
        <f>-9.99</f>
        <v>-9.99</v>
      </c>
      <c r="E101" s="2"/>
      <c r="F101" s="19"/>
      <c r="G101" s="2"/>
      <c r="H101" s="2">
        <f>-19.99</f>
        <v>-19.989999999999998</v>
      </c>
      <c r="I101" s="2"/>
      <c r="J101" s="19"/>
      <c r="K101" s="2"/>
      <c r="L101" s="2">
        <f t="shared" si="0"/>
        <v>9.9999999999999982</v>
      </c>
      <c r="M101" s="2"/>
      <c r="N101" s="19">
        <f t="shared" si="1"/>
        <v>-0.50025012506253119</v>
      </c>
      <c r="O101" s="10"/>
      <c r="P101" s="2">
        <f>-6228.98</f>
        <v>-6228.98</v>
      </c>
      <c r="Q101" s="2"/>
      <c r="R101" s="19"/>
      <c r="S101" s="2"/>
      <c r="T101" s="2">
        <f>-3026.3</f>
        <v>-3026.3</v>
      </c>
      <c r="U101" s="2"/>
      <c r="V101" s="19"/>
      <c r="W101" s="2"/>
      <c r="X101" s="2">
        <f t="shared" si="2"/>
        <v>-3202.6799999999994</v>
      </c>
      <c r="Y101" s="2"/>
      <c r="Z101" s="19">
        <f t="shared" si="3"/>
        <v>1.0582823910385617</v>
      </c>
    </row>
    <row r="102" spans="1:26" s="23" customFormat="1" hidden="1" outlineLevel="1" x14ac:dyDescent="0.25">
      <c r="A102" s="44"/>
      <c r="B102" s="10" t="str">
        <f>CONCATENATE("          ", "4244", " - ", "SALES RETURN TAXABLE-ACCESSORI")</f>
        <v xml:space="preserve">          4244 - SALES RETURN TAXABLE-ACCESSORI</v>
      </c>
      <c r="C102" s="10"/>
      <c r="D102" s="2">
        <f>-34.84</f>
        <v>-34.840000000000003</v>
      </c>
      <c r="E102" s="2"/>
      <c r="F102" s="19"/>
      <c r="G102" s="2"/>
      <c r="H102" s="2">
        <f>0</f>
        <v>0</v>
      </c>
      <c r="I102" s="2"/>
      <c r="J102" s="19"/>
      <c r="K102" s="2"/>
      <c r="L102" s="2">
        <f t="shared" si="0"/>
        <v>-34.840000000000003</v>
      </c>
      <c r="M102" s="2"/>
      <c r="N102" s="19">
        <f t="shared" si="1"/>
        <v>0</v>
      </c>
      <c r="O102" s="10"/>
      <c r="P102" s="2">
        <f>-1302.75</f>
        <v>-1302.75</v>
      </c>
      <c r="Q102" s="2"/>
      <c r="R102" s="19"/>
      <c r="S102" s="2"/>
      <c r="T102" s="2">
        <f>-2726.41</f>
        <v>-2726.41</v>
      </c>
      <c r="U102" s="2"/>
      <c r="V102" s="19"/>
      <c r="W102" s="2"/>
      <c r="X102" s="2">
        <f t="shared" si="2"/>
        <v>1423.6599999999999</v>
      </c>
      <c r="Y102" s="2"/>
      <c r="Z102" s="19">
        <f t="shared" si="3"/>
        <v>-0.52217384766047659</v>
      </c>
    </row>
    <row r="103" spans="1:26" s="23" customFormat="1" hidden="1" outlineLevel="1" x14ac:dyDescent="0.25">
      <c r="A103" s="44"/>
      <c r="B103" s="10" t="str">
        <f>CONCATENATE("          ", "4245", " - ", "SALES RETURN TAXABLE-SPECIAL O")</f>
        <v xml:space="preserve">          4245 - SALES RETURN TAXABLE-SPECIAL O</v>
      </c>
      <c r="C103" s="10"/>
      <c r="D103" s="2">
        <f>-3318.4</f>
        <v>-3318.4</v>
      </c>
      <c r="E103" s="2"/>
      <c r="F103" s="19"/>
      <c r="G103" s="2"/>
      <c r="H103" s="2">
        <f>-2187.5</f>
        <v>-2187.5</v>
      </c>
      <c r="I103" s="2"/>
      <c r="J103" s="19"/>
      <c r="K103" s="2"/>
      <c r="L103" s="2">
        <f t="shared" si="0"/>
        <v>-1130.9000000000001</v>
      </c>
      <c r="M103" s="2"/>
      <c r="N103" s="19">
        <f t="shared" si="1"/>
        <v>0.51698285714285719</v>
      </c>
      <c r="O103" s="10"/>
      <c r="P103" s="2">
        <f>-18779.13</f>
        <v>-18779.13</v>
      </c>
      <c r="Q103" s="2"/>
      <c r="R103" s="19"/>
      <c r="S103" s="2"/>
      <c r="T103" s="2">
        <f>-4097.53</f>
        <v>-4097.53</v>
      </c>
      <c r="U103" s="2"/>
      <c r="V103" s="19"/>
      <c r="W103" s="2"/>
      <c r="X103" s="2">
        <f t="shared" si="2"/>
        <v>-14681.600000000002</v>
      </c>
      <c r="Y103" s="2"/>
      <c r="Z103" s="19">
        <f t="shared" si="3"/>
        <v>3.5830366098600872</v>
      </c>
    </row>
    <row r="104" spans="1:26" s="23" customFormat="1" hidden="1" outlineLevel="1" x14ac:dyDescent="0.25">
      <c r="A104" s="44"/>
      <c r="B104" s="10" t="str">
        <f>CONCATENATE("          ", "4281", " - ", "SALES RETURN TAXABLE-ELECTRONI")</f>
        <v xml:space="preserve">          4281 - SALES RETURN TAXABLE-ELECTRONI</v>
      </c>
      <c r="C104" s="10"/>
      <c r="D104" s="2">
        <f>-529.99</f>
        <v>-529.99</v>
      </c>
      <c r="E104" s="2"/>
      <c r="F104" s="19"/>
      <c r="G104" s="2"/>
      <c r="H104" s="2">
        <f>-159</f>
        <v>-159</v>
      </c>
      <c r="I104" s="2"/>
      <c r="J104" s="19"/>
      <c r="K104" s="2"/>
      <c r="L104" s="2">
        <f t="shared" si="0"/>
        <v>-370.99</v>
      </c>
      <c r="M104" s="2"/>
      <c r="N104" s="19">
        <f t="shared" si="1"/>
        <v>2.3332704402515723</v>
      </c>
      <c r="O104" s="10"/>
      <c r="P104" s="2">
        <f>-15372.12</f>
        <v>-15372.12</v>
      </c>
      <c r="Q104" s="2"/>
      <c r="R104" s="19"/>
      <c r="S104" s="2"/>
      <c r="T104" s="2">
        <f>-8154.67</f>
        <v>-8154.67</v>
      </c>
      <c r="U104" s="2"/>
      <c r="V104" s="19"/>
      <c r="W104" s="2"/>
      <c r="X104" s="2">
        <f t="shared" si="2"/>
        <v>-7217.4500000000007</v>
      </c>
      <c r="Y104" s="2"/>
      <c r="Z104" s="19">
        <f t="shared" si="3"/>
        <v>0.88506953684207956</v>
      </c>
    </row>
    <row r="105" spans="1:26" s="23" customFormat="1" hidden="1" outlineLevel="1" x14ac:dyDescent="0.25">
      <c r="A105" s="44"/>
      <c r="B105" s="10" t="str">
        <f>CONCATENATE("          ", "4282", " - ", "SALES RETURN TAXABLE-COMPUTER")</f>
        <v xml:space="preserve">          4282 - SALES RETURN TAXABLE-COMPUTER</v>
      </c>
      <c r="C105" s="10"/>
      <c r="D105" s="2">
        <f>-44973</f>
        <v>-44973</v>
      </c>
      <c r="E105" s="2"/>
      <c r="F105" s="19"/>
      <c r="G105" s="2"/>
      <c r="H105" s="2">
        <f>-31763.9</f>
        <v>-31763.9</v>
      </c>
      <c r="I105" s="2"/>
      <c r="J105" s="19"/>
      <c r="K105" s="2"/>
      <c r="L105" s="2">
        <f t="shared" si="0"/>
        <v>-13209.099999999999</v>
      </c>
      <c r="M105" s="2"/>
      <c r="N105" s="19">
        <f t="shared" si="1"/>
        <v>0.41585258737119807</v>
      </c>
      <c r="O105" s="10"/>
      <c r="P105" s="2">
        <f>-285193.17</f>
        <v>-285193.17</v>
      </c>
      <c r="Q105" s="2"/>
      <c r="R105" s="19"/>
      <c r="S105" s="2"/>
      <c r="T105" s="2">
        <f>-247392.7</f>
        <v>-247392.7</v>
      </c>
      <c r="U105" s="2"/>
      <c r="V105" s="19"/>
      <c r="W105" s="2"/>
      <c r="X105" s="2">
        <f t="shared" si="2"/>
        <v>-37800.469999999972</v>
      </c>
      <c r="Y105" s="2"/>
      <c r="Z105" s="19">
        <f t="shared" si="3"/>
        <v>0.15279541393096874</v>
      </c>
    </row>
    <row r="106" spans="1:26" s="23" customFormat="1" hidden="1" outlineLevel="1" x14ac:dyDescent="0.25">
      <c r="A106" s="44"/>
      <c r="B106" s="10" t="str">
        <f>CONCATENATE("          ", "4283", " - ", "SALES RETURN TAXABLE-COMPUTER")</f>
        <v xml:space="preserve">          4283 - SALES RETURN TAXABLE-COMPUTER</v>
      </c>
      <c r="C106" s="10"/>
      <c r="D106" s="2">
        <f>-23.47</f>
        <v>-23.47</v>
      </c>
      <c r="E106" s="2"/>
      <c r="F106" s="19"/>
      <c r="G106" s="2"/>
      <c r="H106" s="2">
        <f>-9.99</f>
        <v>-9.99</v>
      </c>
      <c r="I106" s="2"/>
      <c r="J106" s="19"/>
      <c r="K106" s="2"/>
      <c r="L106" s="2">
        <f t="shared" si="0"/>
        <v>-13.479999999999999</v>
      </c>
      <c r="M106" s="2"/>
      <c r="N106" s="19">
        <f t="shared" si="1"/>
        <v>1.3493493493493491</v>
      </c>
      <c r="O106" s="10"/>
      <c r="P106" s="2">
        <f>-4152.64</f>
        <v>-4152.6400000000003</v>
      </c>
      <c r="Q106" s="2"/>
      <c r="R106" s="19"/>
      <c r="S106" s="2"/>
      <c r="T106" s="2">
        <f>-6718.01</f>
        <v>-6718.01</v>
      </c>
      <c r="U106" s="2"/>
      <c r="V106" s="19"/>
      <c r="W106" s="2"/>
      <c r="X106" s="2">
        <f t="shared" si="2"/>
        <v>2565.37</v>
      </c>
      <c r="Y106" s="2"/>
      <c r="Z106" s="19">
        <f t="shared" si="3"/>
        <v>-0.38186457001403684</v>
      </c>
    </row>
    <row r="107" spans="1:26" s="23" customFormat="1" hidden="1" outlineLevel="1" x14ac:dyDescent="0.25">
      <c r="A107" s="44"/>
      <c r="B107" s="10" t="str">
        <f>CONCATENATE("          ", "4284", " - ", "SALES RETURN TAXABLE-SOFTWARE")</f>
        <v xml:space="preserve">          4284 - SALES RETURN TAXABLE-SOFTWARE</v>
      </c>
      <c r="C107" s="10"/>
      <c r="D107" s="2">
        <f t="shared" ref="D107:D108" si="33">0</f>
        <v>0</v>
      </c>
      <c r="E107" s="2"/>
      <c r="F107" s="19"/>
      <c r="G107" s="2"/>
      <c r="H107" s="2">
        <f t="shared" ref="H107:H110" si="34">0</f>
        <v>0</v>
      </c>
      <c r="I107" s="2"/>
      <c r="J107" s="19"/>
      <c r="K107" s="2"/>
      <c r="L107" s="2">
        <f t="shared" si="0"/>
        <v>0</v>
      </c>
      <c r="M107" s="2"/>
      <c r="N107" s="19">
        <f t="shared" si="1"/>
        <v>0</v>
      </c>
      <c r="O107" s="10"/>
      <c r="P107" s="2">
        <f>0</f>
        <v>0</v>
      </c>
      <c r="Q107" s="2"/>
      <c r="R107" s="19"/>
      <c r="S107" s="2"/>
      <c r="T107" s="2">
        <f>-129</f>
        <v>-129</v>
      </c>
      <c r="U107" s="2"/>
      <c r="V107" s="19"/>
      <c r="W107" s="2"/>
      <c r="X107" s="2">
        <f t="shared" si="2"/>
        <v>129</v>
      </c>
      <c r="Y107" s="2"/>
      <c r="Z107" s="19">
        <f t="shared" si="3"/>
        <v>-1</v>
      </c>
    </row>
    <row r="108" spans="1:26" s="23" customFormat="1" hidden="1" outlineLevel="1" x14ac:dyDescent="0.25">
      <c r="A108" s="44"/>
      <c r="B108" s="10" t="str">
        <f>CONCATENATE("          ", "4285", " - ", "SALES RETURN TAXABLE-SOFTWARE")</f>
        <v xml:space="preserve">          4285 - SALES RETURN TAXABLE-SOFTWARE</v>
      </c>
      <c r="C108" s="10"/>
      <c r="D108" s="2">
        <f t="shared" si="33"/>
        <v>0</v>
      </c>
      <c r="E108" s="2"/>
      <c r="F108" s="19"/>
      <c r="G108" s="2"/>
      <c r="H108" s="2">
        <f t="shared" si="34"/>
        <v>0</v>
      </c>
      <c r="I108" s="2"/>
      <c r="J108" s="19"/>
      <c r="K108" s="2"/>
      <c r="L108" s="2">
        <f t="shared" si="0"/>
        <v>0</v>
      </c>
      <c r="M108" s="2"/>
      <c r="N108" s="19">
        <f t="shared" si="1"/>
        <v>0</v>
      </c>
      <c r="O108" s="10"/>
      <c r="P108" s="2">
        <f>-1091.79</f>
        <v>-1091.79</v>
      </c>
      <c r="Q108" s="2"/>
      <c r="R108" s="19"/>
      <c r="S108" s="2"/>
      <c r="T108" s="2">
        <f>-805.97</f>
        <v>-805.97</v>
      </c>
      <c r="U108" s="2"/>
      <c r="V108" s="19"/>
      <c r="W108" s="2"/>
      <c r="X108" s="2">
        <f t="shared" si="2"/>
        <v>-285.81999999999994</v>
      </c>
      <c r="Y108" s="2"/>
      <c r="Z108" s="19">
        <f t="shared" si="3"/>
        <v>0.35462858419047844</v>
      </c>
    </row>
    <row r="109" spans="1:26" s="23" customFormat="1" hidden="1" outlineLevel="1" x14ac:dyDescent="0.25">
      <c r="A109" s="44"/>
      <c r="B109" s="10" t="str">
        <f>CONCATENATE("          ", "4286", " - ", "SALES RETURN TAXABLE-COMPUTER")</f>
        <v xml:space="preserve">          4286 - SALES RETURN TAXABLE-COMPUTER</v>
      </c>
      <c r="C109" s="10"/>
      <c r="D109" s="2">
        <f>-9.99</f>
        <v>-9.99</v>
      </c>
      <c r="E109" s="2"/>
      <c r="F109" s="19"/>
      <c r="G109" s="2"/>
      <c r="H109" s="2">
        <f t="shared" si="34"/>
        <v>0</v>
      </c>
      <c r="I109" s="2"/>
      <c r="J109" s="19"/>
      <c r="K109" s="2"/>
      <c r="L109" s="2">
        <f t="shared" si="0"/>
        <v>-9.99</v>
      </c>
      <c r="M109" s="2"/>
      <c r="N109" s="19">
        <f t="shared" si="1"/>
        <v>0</v>
      </c>
      <c r="O109" s="10"/>
      <c r="P109" s="2">
        <f>-4812.28</f>
        <v>-4812.28</v>
      </c>
      <c r="Q109" s="2"/>
      <c r="R109" s="19"/>
      <c r="S109" s="2"/>
      <c r="T109" s="2">
        <f>-3660.86</f>
        <v>-3660.86</v>
      </c>
      <c r="U109" s="2"/>
      <c r="V109" s="19"/>
      <c r="W109" s="2"/>
      <c r="X109" s="2">
        <f t="shared" si="2"/>
        <v>-1151.4199999999996</v>
      </c>
      <c r="Y109" s="2"/>
      <c r="Z109" s="19">
        <f t="shared" si="3"/>
        <v>0.31452172440355536</v>
      </c>
    </row>
    <row r="110" spans="1:26" s="23" customFormat="1" hidden="1" outlineLevel="1" x14ac:dyDescent="0.25">
      <c r="A110" s="44"/>
      <c r="B110" s="10" t="str">
        <f>CONCATENATE("          ", "4288", " - ", "TAXABLE SALES RETURN-MUSIC")</f>
        <v xml:space="preserve">          4288 - TAXABLE SALES RETURN-MUSIC</v>
      </c>
      <c r="C110" s="10"/>
      <c r="D110" s="2">
        <f t="shared" ref="D110:D112" si="35">0</f>
        <v>0</v>
      </c>
      <c r="E110" s="2"/>
      <c r="F110" s="19"/>
      <c r="G110" s="2"/>
      <c r="H110" s="2">
        <f t="shared" si="34"/>
        <v>0</v>
      </c>
      <c r="I110" s="2"/>
      <c r="J110" s="19"/>
      <c r="K110" s="2"/>
      <c r="L110" s="2">
        <f t="shared" si="0"/>
        <v>0</v>
      </c>
      <c r="M110" s="2"/>
      <c r="N110" s="19">
        <f t="shared" si="1"/>
        <v>0</v>
      </c>
      <c r="O110" s="10"/>
      <c r="P110" s="2">
        <f t="shared" ref="P110:P112" si="36">0</f>
        <v>0</v>
      </c>
      <c r="Q110" s="2"/>
      <c r="R110" s="19"/>
      <c r="S110" s="2"/>
      <c r="T110" s="2">
        <f>-152.99</f>
        <v>-152.99</v>
      </c>
      <c r="U110" s="2"/>
      <c r="V110" s="19"/>
      <c r="W110" s="2"/>
      <c r="X110" s="2">
        <f t="shared" si="2"/>
        <v>152.99</v>
      </c>
      <c r="Y110" s="2"/>
      <c r="Z110" s="19">
        <f t="shared" si="3"/>
        <v>-1</v>
      </c>
    </row>
    <row r="111" spans="1:26" s="23" customFormat="1" hidden="1" outlineLevel="1" x14ac:dyDescent="0.25">
      <c r="A111" s="44"/>
      <c r="B111" s="10" t="str">
        <f>CONCATENATE("          ", "4292", " - ", "SALES RETURN TAXABLE-GRAD MERC")</f>
        <v xml:space="preserve">          4292 - SALES RETURN TAXABLE-GRAD MERC</v>
      </c>
      <c r="C111" s="10"/>
      <c r="D111" s="2">
        <f t="shared" si="35"/>
        <v>0</v>
      </c>
      <c r="E111" s="2"/>
      <c r="F111" s="19"/>
      <c r="G111" s="2"/>
      <c r="H111" s="2">
        <f>-214.68</f>
        <v>-214.68</v>
      </c>
      <c r="I111" s="2"/>
      <c r="J111" s="19"/>
      <c r="K111" s="2"/>
      <c r="L111" s="2">
        <f t="shared" si="0"/>
        <v>214.68</v>
      </c>
      <c r="M111" s="2"/>
      <c r="N111" s="19">
        <f t="shared" si="1"/>
        <v>-1</v>
      </c>
      <c r="O111" s="10"/>
      <c r="P111" s="2">
        <f t="shared" si="36"/>
        <v>0</v>
      </c>
      <c r="Q111" s="2"/>
      <c r="R111" s="19"/>
      <c r="S111" s="2"/>
      <c r="T111" s="2">
        <f>-793.52</f>
        <v>-793.52</v>
      </c>
      <c r="U111" s="2"/>
      <c r="V111" s="19"/>
      <c r="W111" s="2"/>
      <c r="X111" s="2">
        <f t="shared" si="2"/>
        <v>793.52</v>
      </c>
      <c r="Y111" s="2"/>
      <c r="Z111" s="19">
        <f t="shared" si="3"/>
        <v>-1</v>
      </c>
    </row>
    <row r="112" spans="1:26" s="23" customFormat="1" hidden="1" outlineLevel="1" x14ac:dyDescent="0.25">
      <c r="A112" s="44"/>
      <c r="B112" s="10" t="str">
        <f>CONCATENATE("          ", "4295", " - ", "SALES RETURN TAXABLE-CUSTOMER")</f>
        <v xml:space="preserve">          4295 - SALES RETURN TAXABLE-CUSTOMER</v>
      </c>
      <c r="C112" s="10"/>
      <c r="D112" s="2">
        <f t="shared" si="35"/>
        <v>0</v>
      </c>
      <c r="E112" s="2"/>
      <c r="F112" s="19"/>
      <c r="G112" s="2"/>
      <c r="H112" s="2">
        <f>0</f>
        <v>0</v>
      </c>
      <c r="I112" s="2"/>
      <c r="J112" s="19"/>
      <c r="K112" s="2"/>
      <c r="L112" s="2">
        <f t="shared" si="0"/>
        <v>0</v>
      </c>
      <c r="M112" s="2"/>
      <c r="N112" s="19">
        <f t="shared" si="1"/>
        <v>0</v>
      </c>
      <c r="O112" s="10"/>
      <c r="P112" s="2">
        <f t="shared" si="36"/>
        <v>0</v>
      </c>
      <c r="Q112" s="2"/>
      <c r="R112" s="19"/>
      <c r="S112" s="2"/>
      <c r="T112" s="2">
        <f>--0.99</f>
        <v>0.99</v>
      </c>
      <c r="U112" s="2"/>
      <c r="V112" s="19"/>
      <c r="W112" s="2"/>
      <c r="X112" s="2">
        <f t="shared" si="2"/>
        <v>-0.99</v>
      </c>
      <c r="Y112" s="2"/>
      <c r="Z112" s="19">
        <f t="shared" si="3"/>
        <v>-1</v>
      </c>
    </row>
    <row r="113" spans="1:26" s="23" customFormat="1" hidden="1" outlineLevel="1" x14ac:dyDescent="0.25">
      <c r="A113" s="44"/>
      <c r="B113" s="10" t="str">
        <f>CONCATENATE("          ", "4301", " - ", "SALES RETURN NON TAXABLE-NEW T")</f>
        <v xml:space="preserve">          4301 - SALES RETURN NON TAXABLE-NEW T</v>
      </c>
      <c r="C113" s="10"/>
      <c r="D113" s="2">
        <f>-169.32</f>
        <v>-169.32</v>
      </c>
      <c r="E113" s="2"/>
      <c r="F113" s="19"/>
      <c r="G113" s="2"/>
      <c r="H113" s="2">
        <f>-253.49</f>
        <v>-253.49</v>
      </c>
      <c r="I113" s="2"/>
      <c r="J113" s="19"/>
      <c r="K113" s="2"/>
      <c r="L113" s="2">
        <f t="shared" si="0"/>
        <v>84.170000000000016</v>
      </c>
      <c r="M113" s="2"/>
      <c r="N113" s="19">
        <f t="shared" si="1"/>
        <v>-0.33204465659394855</v>
      </c>
      <c r="O113" s="10"/>
      <c r="P113" s="2">
        <f>-4965.68</f>
        <v>-4965.68</v>
      </c>
      <c r="Q113" s="2"/>
      <c r="R113" s="19"/>
      <c r="S113" s="2"/>
      <c r="T113" s="2">
        <f>-21543.36</f>
        <v>-21543.360000000001</v>
      </c>
      <c r="U113" s="2"/>
      <c r="V113" s="19"/>
      <c r="W113" s="2"/>
      <c r="X113" s="2">
        <f t="shared" si="2"/>
        <v>16577.68</v>
      </c>
      <c r="Y113" s="2"/>
      <c r="Z113" s="19">
        <f t="shared" si="3"/>
        <v>-0.76950299303358438</v>
      </c>
    </row>
    <row r="114" spans="1:26" s="23" customFormat="1" hidden="1" outlineLevel="1" x14ac:dyDescent="0.25">
      <c r="A114" s="44"/>
      <c r="B114" s="10" t="str">
        <f>CONCATENATE("          ", "4302", " - ", "SALES RETURN NON TAXABLE-TEXT")</f>
        <v xml:space="preserve">          4302 - SALES RETURN NON TAXABLE-TEXT</v>
      </c>
      <c r="C114" s="10"/>
      <c r="D114" s="2">
        <f>-111.43</f>
        <v>-111.43</v>
      </c>
      <c r="E114" s="2"/>
      <c r="F114" s="19"/>
      <c r="G114" s="2"/>
      <c r="H114" s="2">
        <f>-95.75</f>
        <v>-95.75</v>
      </c>
      <c r="I114" s="2"/>
      <c r="J114" s="19"/>
      <c r="K114" s="2"/>
      <c r="L114" s="2">
        <f t="shared" si="0"/>
        <v>-15.680000000000007</v>
      </c>
      <c r="M114" s="2"/>
      <c r="N114" s="19">
        <f t="shared" si="1"/>
        <v>0.16375979112271546</v>
      </c>
      <c r="O114" s="10"/>
      <c r="P114" s="2">
        <f>-2688.97</f>
        <v>-2688.97</v>
      </c>
      <c r="Q114" s="2"/>
      <c r="R114" s="19"/>
      <c r="S114" s="2"/>
      <c r="T114" s="2">
        <f>-1475.62</f>
        <v>-1475.62</v>
      </c>
      <c r="U114" s="2"/>
      <c r="V114" s="19"/>
      <c r="W114" s="2"/>
      <c r="X114" s="2">
        <f t="shared" si="2"/>
        <v>-1213.3499999999999</v>
      </c>
      <c r="Y114" s="2"/>
      <c r="Z114" s="19">
        <f t="shared" si="3"/>
        <v>0.82226453965112967</v>
      </c>
    </row>
    <row r="115" spans="1:26" s="23" customFormat="1" hidden="1" outlineLevel="1" x14ac:dyDescent="0.25">
      <c r="A115" s="44"/>
      <c r="B115" s="10" t="str">
        <f>CONCATENATE("          ", "4303", " - ", "SALES RETURN NON-TAXABLE-RENTA")</f>
        <v xml:space="preserve">          4303 - SALES RETURN NON-TAXABLE-RENTA</v>
      </c>
      <c r="C115" s="10"/>
      <c r="D115" s="2">
        <f>0</f>
        <v>0</v>
      </c>
      <c r="E115" s="2"/>
      <c r="F115" s="19"/>
      <c r="G115" s="2"/>
      <c r="H115" s="2">
        <f>0</f>
        <v>0</v>
      </c>
      <c r="I115" s="2"/>
      <c r="J115" s="19"/>
      <c r="K115" s="2"/>
      <c r="L115" s="2">
        <f t="shared" si="0"/>
        <v>0</v>
      </c>
      <c r="M115" s="2"/>
      <c r="N115" s="19">
        <f t="shared" si="1"/>
        <v>0</v>
      </c>
      <c r="O115" s="10"/>
      <c r="P115" s="2">
        <f>0</f>
        <v>0</v>
      </c>
      <c r="Q115" s="2"/>
      <c r="R115" s="19"/>
      <c r="S115" s="2"/>
      <c r="T115" s="2">
        <f>-184.99</f>
        <v>-184.99</v>
      </c>
      <c r="U115" s="2"/>
      <c r="V115" s="19"/>
      <c r="W115" s="2"/>
      <c r="X115" s="2">
        <f t="shared" si="2"/>
        <v>184.99</v>
      </c>
      <c r="Y115" s="2"/>
      <c r="Z115" s="19">
        <f t="shared" si="3"/>
        <v>-1</v>
      </c>
    </row>
    <row r="116" spans="1:26" s="23" customFormat="1" hidden="1" outlineLevel="1" x14ac:dyDescent="0.25">
      <c r="A116" s="44"/>
      <c r="B116" s="10" t="str">
        <f>CONCATENATE("          ", "4304", " - ", "SALES RETURN NON TAXABLE-DIGIT")</f>
        <v xml:space="preserve">          4304 - SALES RETURN NON TAXABLE-DIGIT</v>
      </c>
      <c r="C116" s="10"/>
      <c r="D116" s="2">
        <f>-144.89</f>
        <v>-144.88999999999999</v>
      </c>
      <c r="E116" s="2"/>
      <c r="F116" s="19"/>
      <c r="G116" s="2"/>
      <c r="H116" s="2">
        <f>-398.87</f>
        <v>-398.87</v>
      </c>
      <c r="I116" s="2"/>
      <c r="J116" s="19"/>
      <c r="K116" s="2"/>
      <c r="L116" s="2">
        <f t="shared" si="0"/>
        <v>253.98000000000002</v>
      </c>
      <c r="M116" s="2"/>
      <c r="N116" s="19">
        <f t="shared" si="1"/>
        <v>-0.63674881540351502</v>
      </c>
      <c r="O116" s="10"/>
      <c r="P116" s="2">
        <f>-31026.87</f>
        <v>-31026.87</v>
      </c>
      <c r="Q116" s="2"/>
      <c r="R116" s="19"/>
      <c r="S116" s="2"/>
      <c r="T116" s="2">
        <f>-19873.2</f>
        <v>-19873.2</v>
      </c>
      <c r="U116" s="2"/>
      <c r="V116" s="19"/>
      <c r="W116" s="2"/>
      <c r="X116" s="2">
        <f t="shared" si="2"/>
        <v>-11153.669999999998</v>
      </c>
      <c r="Y116" s="2"/>
      <c r="Z116" s="19">
        <f t="shared" si="3"/>
        <v>0.56124177283980425</v>
      </c>
    </row>
    <row r="117" spans="1:26" s="23" customFormat="1" hidden="1" outlineLevel="1" x14ac:dyDescent="0.25">
      <c r="A117" s="44"/>
      <c r="B117" s="10" t="str">
        <f>CONCATENATE("          ", "4311", " - ", "SALES RETURN NON TAXABLE-NO VA")</f>
        <v xml:space="preserve">          4311 - SALES RETURN NON TAXABLE-NO VA</v>
      </c>
      <c r="C117" s="10"/>
      <c r="D117" s="2">
        <f t="shared" ref="D117:D122" si="37">0</f>
        <v>0</v>
      </c>
      <c r="E117" s="2"/>
      <c r="F117" s="19"/>
      <c r="G117" s="2"/>
      <c r="H117" s="2">
        <f>-70.37</f>
        <v>-70.37</v>
      </c>
      <c r="I117" s="2"/>
      <c r="J117" s="19"/>
      <c r="K117" s="2"/>
      <c r="L117" s="2">
        <f t="shared" si="0"/>
        <v>70.37</v>
      </c>
      <c r="M117" s="2"/>
      <c r="N117" s="19">
        <f t="shared" si="1"/>
        <v>-1</v>
      </c>
      <c r="O117" s="10"/>
      <c r="P117" s="2">
        <f t="shared" ref="P117:P119" si="38">0</f>
        <v>0</v>
      </c>
      <c r="Q117" s="2"/>
      <c r="R117" s="19"/>
      <c r="S117" s="2"/>
      <c r="T117" s="2">
        <f>-1011.65</f>
        <v>-1011.65</v>
      </c>
      <c r="U117" s="2"/>
      <c r="V117" s="19"/>
      <c r="W117" s="2"/>
      <c r="X117" s="2">
        <f t="shared" si="2"/>
        <v>1011.65</v>
      </c>
      <c r="Y117" s="2"/>
      <c r="Z117" s="19">
        <f t="shared" si="3"/>
        <v>-1</v>
      </c>
    </row>
    <row r="118" spans="1:26" s="23" customFormat="1" hidden="1" outlineLevel="1" x14ac:dyDescent="0.25">
      <c r="A118" s="44"/>
      <c r="B118" s="10" t="str">
        <f>CONCATENATE("          ", "4313", " - ", "SALES RETURN NON TAXABLE-TRADE")</f>
        <v xml:space="preserve">          4313 - SALES RETURN NON TAXABLE-TRADE</v>
      </c>
      <c r="C118" s="10"/>
      <c r="D118" s="2">
        <f t="shared" si="37"/>
        <v>0</v>
      </c>
      <c r="E118" s="2"/>
      <c r="F118" s="19"/>
      <c r="G118" s="2"/>
      <c r="H118" s="2">
        <f>0</f>
        <v>0</v>
      </c>
      <c r="I118" s="2"/>
      <c r="J118" s="19"/>
      <c r="K118" s="2"/>
      <c r="L118" s="2">
        <f t="shared" si="0"/>
        <v>0</v>
      </c>
      <c r="M118" s="2"/>
      <c r="N118" s="19">
        <f t="shared" si="1"/>
        <v>0</v>
      </c>
      <c r="O118" s="10"/>
      <c r="P118" s="2">
        <f t="shared" si="38"/>
        <v>0</v>
      </c>
      <c r="Q118" s="2"/>
      <c r="R118" s="19"/>
      <c r="S118" s="2"/>
      <c r="T118" s="2">
        <f>-2481.44</f>
        <v>-2481.44</v>
      </c>
      <c r="U118" s="2"/>
      <c r="V118" s="19"/>
      <c r="W118" s="2"/>
      <c r="X118" s="2">
        <f t="shared" si="2"/>
        <v>2481.44</v>
      </c>
      <c r="Y118" s="2"/>
      <c r="Z118" s="19">
        <f t="shared" si="3"/>
        <v>-1</v>
      </c>
    </row>
    <row r="119" spans="1:26" s="23" customFormat="1" hidden="1" outlineLevel="1" x14ac:dyDescent="0.25">
      <c r="A119" s="44"/>
      <c r="B119" s="10" t="str">
        <f>CONCATENATE("          ", "4326", " - ", "SALES RETURN NON TAXABLE-WRITI")</f>
        <v xml:space="preserve">          4326 - SALES RETURN NON TAXABLE-WRITI</v>
      </c>
      <c r="C119" s="10"/>
      <c r="D119" s="2">
        <f t="shared" si="37"/>
        <v>0</v>
      </c>
      <c r="E119" s="2"/>
      <c r="F119" s="19"/>
      <c r="G119" s="2"/>
      <c r="H119" s="2">
        <f>-2.98</f>
        <v>-2.98</v>
      </c>
      <c r="I119" s="2"/>
      <c r="J119" s="19"/>
      <c r="K119" s="2"/>
      <c r="L119" s="2">
        <f t="shared" si="0"/>
        <v>2.98</v>
      </c>
      <c r="M119" s="2"/>
      <c r="N119" s="19">
        <f t="shared" si="1"/>
        <v>-1</v>
      </c>
      <c r="O119" s="10"/>
      <c r="P119" s="2">
        <f t="shared" si="38"/>
        <v>0</v>
      </c>
      <c r="Q119" s="2"/>
      <c r="R119" s="19"/>
      <c r="S119" s="2"/>
      <c r="T119" s="2">
        <f>-2.98</f>
        <v>-2.98</v>
      </c>
      <c r="U119" s="2"/>
      <c r="V119" s="19"/>
      <c r="W119" s="2"/>
      <c r="X119" s="2">
        <f t="shared" si="2"/>
        <v>2.98</v>
      </c>
      <c r="Y119" s="2"/>
      <c r="Z119" s="19">
        <f t="shared" si="3"/>
        <v>-1</v>
      </c>
    </row>
    <row r="120" spans="1:26" s="23" customFormat="1" hidden="1" outlineLevel="1" x14ac:dyDescent="0.25">
      <c r="A120" s="44"/>
      <c r="B120" s="10" t="str">
        <f>CONCATENATE("          ", "4327", " - ", "SALES RETURN NON TAXABLE-SCHOO")</f>
        <v xml:space="preserve">          4327 - SALES RETURN NON TAXABLE-SCHOO</v>
      </c>
      <c r="C120" s="10"/>
      <c r="D120" s="2">
        <f t="shared" si="37"/>
        <v>0</v>
      </c>
      <c r="E120" s="2"/>
      <c r="F120" s="19"/>
      <c r="G120" s="2"/>
      <c r="H120" s="2">
        <f t="shared" ref="H120:H122" si="39">0</f>
        <v>0</v>
      </c>
      <c r="I120" s="2"/>
      <c r="J120" s="19"/>
      <c r="K120" s="2"/>
      <c r="L120" s="2">
        <f t="shared" si="0"/>
        <v>0</v>
      </c>
      <c r="M120" s="2"/>
      <c r="N120" s="19">
        <f t="shared" si="1"/>
        <v>0</v>
      </c>
      <c r="O120" s="10"/>
      <c r="P120" s="2">
        <f>-17.41</f>
        <v>-17.41</v>
      </c>
      <c r="Q120" s="2"/>
      <c r="R120" s="19"/>
      <c r="S120" s="2"/>
      <c r="T120" s="2">
        <f>-21.87</f>
        <v>-21.87</v>
      </c>
      <c r="U120" s="2"/>
      <c r="V120" s="19"/>
      <c r="W120" s="2"/>
      <c r="X120" s="2">
        <f t="shared" si="2"/>
        <v>4.4600000000000009</v>
      </c>
      <c r="Y120" s="2"/>
      <c r="Z120" s="19">
        <f t="shared" si="3"/>
        <v>-0.20393232738911754</v>
      </c>
    </row>
    <row r="121" spans="1:26" s="23" customFormat="1" hidden="1" outlineLevel="1" x14ac:dyDescent="0.25">
      <c r="A121" s="44"/>
      <c r="B121" s="10" t="str">
        <f>CONCATENATE("          ", "4331", " - ", "SALES RETURN NON TAXABLE-FOOD")</f>
        <v xml:space="preserve">          4331 - SALES RETURN NON TAXABLE-FOOD</v>
      </c>
      <c r="C121" s="10"/>
      <c r="D121" s="2">
        <f t="shared" si="37"/>
        <v>0</v>
      </c>
      <c r="E121" s="2"/>
      <c r="F121" s="19"/>
      <c r="G121" s="2"/>
      <c r="H121" s="2">
        <f t="shared" si="39"/>
        <v>0</v>
      </c>
      <c r="I121" s="2"/>
      <c r="J121" s="19"/>
      <c r="K121" s="2"/>
      <c r="L121" s="2">
        <f t="shared" si="0"/>
        <v>0</v>
      </c>
      <c r="M121" s="2"/>
      <c r="N121" s="19">
        <f t="shared" si="1"/>
        <v>0</v>
      </c>
      <c r="O121" s="10"/>
      <c r="P121" s="2">
        <f t="shared" ref="P121:P122" si="40">0</f>
        <v>0</v>
      </c>
      <c r="Q121" s="2"/>
      <c r="R121" s="19"/>
      <c r="S121" s="2"/>
      <c r="T121" s="2">
        <f>-12.57</f>
        <v>-12.57</v>
      </c>
      <c r="U121" s="2"/>
      <c r="V121" s="19"/>
      <c r="W121" s="2"/>
      <c r="X121" s="2">
        <f t="shared" si="2"/>
        <v>12.57</v>
      </c>
      <c r="Y121" s="2"/>
      <c r="Z121" s="19">
        <f t="shared" si="3"/>
        <v>-1</v>
      </c>
    </row>
    <row r="122" spans="1:26" s="23" customFormat="1" hidden="1" outlineLevel="1" x14ac:dyDescent="0.25">
      <c r="A122" s="44"/>
      <c r="B122" s="10" t="str">
        <f>CONCATENATE("          ", "4332", " - ", "SALES RETURN NON TAXABLE-JUICE")</f>
        <v xml:space="preserve">          4332 - SALES RETURN NON TAXABLE-JUICE</v>
      </c>
      <c r="C122" s="10"/>
      <c r="D122" s="2">
        <f t="shared" si="37"/>
        <v>0</v>
      </c>
      <c r="E122" s="2"/>
      <c r="F122" s="19"/>
      <c r="G122" s="2"/>
      <c r="H122" s="2">
        <f t="shared" si="39"/>
        <v>0</v>
      </c>
      <c r="I122" s="2"/>
      <c r="J122" s="19"/>
      <c r="K122" s="2"/>
      <c r="L122" s="2">
        <f t="shared" si="0"/>
        <v>0</v>
      </c>
      <c r="M122" s="2"/>
      <c r="N122" s="19">
        <f t="shared" si="1"/>
        <v>0</v>
      </c>
      <c r="O122" s="10"/>
      <c r="P122" s="2">
        <f t="shared" si="40"/>
        <v>0</v>
      </c>
      <c r="Q122" s="2"/>
      <c r="R122" s="19"/>
      <c r="S122" s="2"/>
      <c r="T122" s="2">
        <f>-2.79</f>
        <v>-2.79</v>
      </c>
      <c r="U122" s="2"/>
      <c r="V122" s="19"/>
      <c r="W122" s="2"/>
      <c r="X122" s="2">
        <f t="shared" si="2"/>
        <v>2.79</v>
      </c>
      <c r="Y122" s="2"/>
      <c r="Z122" s="19">
        <f t="shared" si="3"/>
        <v>-1</v>
      </c>
    </row>
    <row r="123" spans="1:26" s="23" customFormat="1" hidden="1" outlineLevel="1" x14ac:dyDescent="0.25">
      <c r="A123" s="44"/>
      <c r="B123" s="10" t="str">
        <f>CONCATENATE("          ", "4340", " - ", "SALES RETURN NON TAXABLE-LOGO")</f>
        <v xml:space="preserve">          4340 - SALES RETURN NON TAXABLE-LOGO</v>
      </c>
      <c r="C123" s="10"/>
      <c r="D123" s="2">
        <f>-286.5</f>
        <v>-286.5</v>
      </c>
      <c r="E123" s="2"/>
      <c r="F123" s="19"/>
      <c r="G123" s="2"/>
      <c r="H123" s="2">
        <f>-1045.65</f>
        <v>-1045.6500000000001</v>
      </c>
      <c r="I123" s="2"/>
      <c r="J123" s="19"/>
      <c r="K123" s="2"/>
      <c r="L123" s="2">
        <f t="shared" si="0"/>
        <v>759.15000000000009</v>
      </c>
      <c r="M123" s="2"/>
      <c r="N123" s="19">
        <f t="shared" si="1"/>
        <v>-0.72600774637785115</v>
      </c>
      <c r="O123" s="10"/>
      <c r="P123" s="2">
        <f>-3737.76</f>
        <v>-3737.76</v>
      </c>
      <c r="Q123" s="2"/>
      <c r="R123" s="19"/>
      <c r="S123" s="2"/>
      <c r="T123" s="2">
        <f>-2664.48</f>
        <v>-2664.48</v>
      </c>
      <c r="U123" s="2"/>
      <c r="V123" s="19"/>
      <c r="W123" s="2"/>
      <c r="X123" s="2">
        <f t="shared" si="2"/>
        <v>-1073.2800000000002</v>
      </c>
      <c r="Y123" s="2"/>
      <c r="Z123" s="19">
        <f t="shared" si="3"/>
        <v>0.40281030444964877</v>
      </c>
    </row>
    <row r="124" spans="1:26" s="23" customFormat="1" hidden="1" outlineLevel="1" x14ac:dyDescent="0.25">
      <c r="A124" s="44"/>
      <c r="B124" s="10" t="str">
        <f>CONCATENATE("          ", "4341", " - ", "SALES RETURN NON TAXABLE-LOGO")</f>
        <v xml:space="preserve">          4341 - SALES RETURN NON TAXABLE-LOGO</v>
      </c>
      <c r="C124" s="10"/>
      <c r="D124" s="2">
        <f>-20.85</f>
        <v>-20.85</v>
      </c>
      <c r="E124" s="2"/>
      <c r="F124" s="19"/>
      <c r="G124" s="2"/>
      <c r="H124" s="2">
        <f>-9.9</f>
        <v>-9.9</v>
      </c>
      <c r="I124" s="2"/>
      <c r="J124" s="19"/>
      <c r="K124" s="2"/>
      <c r="L124" s="2">
        <f t="shared" si="0"/>
        <v>-10.950000000000001</v>
      </c>
      <c r="M124" s="2"/>
      <c r="N124" s="19">
        <f t="shared" si="1"/>
        <v>1.1060606060606062</v>
      </c>
      <c r="O124" s="10"/>
      <c r="P124" s="2">
        <f>-527.59</f>
        <v>-527.59</v>
      </c>
      <c r="Q124" s="2"/>
      <c r="R124" s="19"/>
      <c r="S124" s="2"/>
      <c r="T124" s="2">
        <f>-295.35</f>
        <v>-295.35000000000002</v>
      </c>
      <c r="U124" s="2"/>
      <c r="V124" s="19"/>
      <c r="W124" s="2"/>
      <c r="X124" s="2">
        <f t="shared" si="2"/>
        <v>-232.24</v>
      </c>
      <c r="Y124" s="2"/>
      <c r="Z124" s="19">
        <f t="shared" si="3"/>
        <v>0.78632131369561531</v>
      </c>
    </row>
    <row r="125" spans="1:26" s="23" customFormat="1" hidden="1" outlineLevel="1" x14ac:dyDescent="0.25">
      <c r="A125" s="44"/>
      <c r="B125" s="10" t="str">
        <f>CONCATENATE("          ", "4342", " - ", "SALES RETURN NON TAXABLE-EVERY")</f>
        <v xml:space="preserve">          4342 - SALES RETURN NON TAXABLE-EVERY</v>
      </c>
      <c r="C125" s="10"/>
      <c r="D125" s="2">
        <f t="shared" ref="D125:D127" si="41">0</f>
        <v>0</v>
      </c>
      <c r="E125" s="2"/>
      <c r="F125" s="19"/>
      <c r="G125" s="2"/>
      <c r="H125" s="2">
        <f>-36.8</f>
        <v>-36.799999999999997</v>
      </c>
      <c r="I125" s="2"/>
      <c r="J125" s="19"/>
      <c r="K125" s="2"/>
      <c r="L125" s="2">
        <f t="shared" si="0"/>
        <v>36.799999999999997</v>
      </c>
      <c r="M125" s="2"/>
      <c r="N125" s="19">
        <f t="shared" si="1"/>
        <v>-1</v>
      </c>
      <c r="O125" s="10"/>
      <c r="P125" s="2">
        <f>-118.7</f>
        <v>-118.7</v>
      </c>
      <c r="Q125" s="2"/>
      <c r="R125" s="19"/>
      <c r="S125" s="2"/>
      <c r="T125" s="2">
        <f>-186.02</f>
        <v>-186.02</v>
      </c>
      <c r="U125" s="2"/>
      <c r="V125" s="19"/>
      <c r="W125" s="2"/>
      <c r="X125" s="2">
        <f t="shared" si="2"/>
        <v>67.320000000000007</v>
      </c>
      <c r="Y125" s="2"/>
      <c r="Z125" s="19">
        <f t="shared" si="3"/>
        <v>-0.36189657026126226</v>
      </c>
    </row>
    <row r="126" spans="1:26" s="23" customFormat="1" hidden="1" outlineLevel="1" x14ac:dyDescent="0.25">
      <c r="A126" s="44"/>
      <c r="B126" s="10" t="str">
        <f>CONCATENATE("          ", "4346", " - ", "SALES RETURN NON TAXABLE-COIN-")</f>
        <v xml:space="preserve">          4346 - SALES RETURN NON TAXABLE-COIN-</v>
      </c>
      <c r="C126" s="10"/>
      <c r="D126" s="2">
        <f t="shared" si="41"/>
        <v>0</v>
      </c>
      <c r="E126" s="2"/>
      <c r="F126" s="19"/>
      <c r="G126" s="2"/>
      <c r="H126" s="2">
        <f t="shared" ref="H126:H130" si="42">0</f>
        <v>0</v>
      </c>
      <c r="I126" s="2"/>
      <c r="J126" s="19"/>
      <c r="K126" s="2"/>
      <c r="L126" s="2">
        <f t="shared" si="0"/>
        <v>0</v>
      </c>
      <c r="M126" s="2"/>
      <c r="N126" s="19">
        <f t="shared" si="1"/>
        <v>0</v>
      </c>
      <c r="O126" s="10"/>
      <c r="P126" s="2">
        <f t="shared" ref="P126:P127" si="43">0</f>
        <v>0</v>
      </c>
      <c r="Q126" s="2"/>
      <c r="R126" s="19"/>
      <c r="S126" s="2"/>
      <c r="T126" s="2">
        <f>-8.15</f>
        <v>-8.15</v>
      </c>
      <c r="U126" s="2"/>
      <c r="V126" s="19"/>
      <c r="W126" s="2"/>
      <c r="X126" s="2">
        <f t="shared" si="2"/>
        <v>8.15</v>
      </c>
      <c r="Y126" s="2"/>
      <c r="Z126" s="19">
        <f t="shared" si="3"/>
        <v>-1</v>
      </c>
    </row>
    <row r="127" spans="1:26" s="23" customFormat="1" hidden="1" outlineLevel="1" x14ac:dyDescent="0.25">
      <c r="A127" s="44"/>
      <c r="B127" s="10" t="str">
        <f>CONCATENATE("          ", "4347", " - ", "SALES RETURN NON TAXABLE-MISC")</f>
        <v xml:space="preserve">          4347 - SALES RETURN NON TAXABLE-MISC</v>
      </c>
      <c r="C127" s="10"/>
      <c r="D127" s="2">
        <f t="shared" si="41"/>
        <v>0</v>
      </c>
      <c r="E127" s="2"/>
      <c r="F127" s="19"/>
      <c r="G127" s="2"/>
      <c r="H127" s="2">
        <f t="shared" si="42"/>
        <v>0</v>
      </c>
      <c r="I127" s="2"/>
      <c r="J127" s="19"/>
      <c r="K127" s="2"/>
      <c r="L127" s="2">
        <f t="shared" si="0"/>
        <v>0</v>
      </c>
      <c r="M127" s="2"/>
      <c r="N127" s="19">
        <f t="shared" si="1"/>
        <v>0</v>
      </c>
      <c r="O127" s="10"/>
      <c r="P127" s="2">
        <f t="shared" si="43"/>
        <v>0</v>
      </c>
      <c r="Q127" s="2"/>
      <c r="R127" s="19"/>
      <c r="S127" s="2"/>
      <c r="T127" s="2">
        <f>-84</f>
        <v>-84</v>
      </c>
      <c r="U127" s="2"/>
      <c r="V127" s="19"/>
      <c r="W127" s="2"/>
      <c r="X127" s="2">
        <f t="shared" si="2"/>
        <v>84</v>
      </c>
      <c r="Y127" s="2"/>
      <c r="Z127" s="19">
        <f t="shared" si="3"/>
        <v>-1</v>
      </c>
    </row>
    <row r="128" spans="1:26" s="23" customFormat="1" hidden="1" outlineLevel="1" x14ac:dyDescent="0.25">
      <c r="A128" s="44"/>
      <c r="B128" s="10" t="str">
        <f>CONCATENATE("          ", "4381", " - ", "SALES RETURN NON TAXABLE-ELECT")</f>
        <v xml:space="preserve">          4381 - SALES RETURN NON TAXABLE-ELECT</v>
      </c>
      <c r="C128" s="10"/>
      <c r="D128" s="2">
        <f>-1.99</f>
        <v>-1.99</v>
      </c>
      <c r="E128" s="2"/>
      <c r="F128" s="19"/>
      <c r="G128" s="2"/>
      <c r="H128" s="2">
        <f t="shared" si="42"/>
        <v>0</v>
      </c>
      <c r="I128" s="2"/>
      <c r="J128" s="19"/>
      <c r="K128" s="2"/>
      <c r="L128" s="2">
        <f t="shared" si="0"/>
        <v>-1.99</v>
      </c>
      <c r="M128" s="2"/>
      <c r="N128" s="19">
        <f t="shared" si="1"/>
        <v>0</v>
      </c>
      <c r="O128" s="10"/>
      <c r="P128" s="2">
        <f>-5626.14</f>
        <v>-5626.14</v>
      </c>
      <c r="Q128" s="2"/>
      <c r="R128" s="19"/>
      <c r="S128" s="2"/>
      <c r="T128" s="2">
        <f>-1279.84</f>
        <v>-1279.8399999999999</v>
      </c>
      <c r="U128" s="2"/>
      <c r="V128" s="19"/>
      <c r="W128" s="2"/>
      <c r="X128" s="2">
        <f t="shared" si="2"/>
        <v>-4346.3</v>
      </c>
      <c r="Y128" s="2"/>
      <c r="Z128" s="19">
        <f t="shared" si="3"/>
        <v>3.3959713714214281</v>
      </c>
    </row>
    <row r="129" spans="1:26" s="23" customFormat="1" hidden="1" outlineLevel="1" x14ac:dyDescent="0.25">
      <c r="A129" s="44"/>
      <c r="B129" s="10" t="str">
        <f>CONCATENATE("          ", "4383", " - ", "SALES RETURN NON TAXABLE-COMPU")</f>
        <v xml:space="preserve">          4383 - SALES RETURN NON TAXABLE-COMPU</v>
      </c>
      <c r="C129" s="10"/>
      <c r="D129" s="2">
        <f t="shared" ref="D129:D130" si="44">0</f>
        <v>0</v>
      </c>
      <c r="E129" s="2"/>
      <c r="F129" s="19"/>
      <c r="G129" s="2"/>
      <c r="H129" s="2">
        <f t="shared" si="42"/>
        <v>0</v>
      </c>
      <c r="I129" s="2"/>
      <c r="J129" s="19"/>
      <c r="K129" s="2"/>
      <c r="L129" s="2">
        <f t="shared" si="0"/>
        <v>0</v>
      </c>
      <c r="M129" s="2"/>
      <c r="N129" s="19">
        <f t="shared" si="1"/>
        <v>0</v>
      </c>
      <c r="O129" s="10"/>
      <c r="P129" s="2">
        <f>-14.99</f>
        <v>-14.99</v>
      </c>
      <c r="Q129" s="2"/>
      <c r="R129" s="19"/>
      <c r="S129" s="2"/>
      <c r="T129" s="2">
        <f>-49.98</f>
        <v>-49.98</v>
      </c>
      <c r="U129" s="2"/>
      <c r="V129" s="19"/>
      <c r="W129" s="2"/>
      <c r="X129" s="2">
        <f t="shared" si="2"/>
        <v>34.989999999999995</v>
      </c>
      <c r="Y129" s="2"/>
      <c r="Z129" s="19">
        <f t="shared" si="3"/>
        <v>-0.70008003201280511</v>
      </c>
    </row>
    <row r="130" spans="1:26" s="23" customFormat="1" hidden="1" outlineLevel="1" x14ac:dyDescent="0.25">
      <c r="A130" s="44"/>
      <c r="B130" s="10" t="str">
        <f>CONCATENATE("          ", "4386", " - ", "SALES RETURN NON TAXABLE-COMPU")</f>
        <v xml:space="preserve">          4386 - SALES RETURN NON TAXABLE-COMPU</v>
      </c>
      <c r="C130" s="10"/>
      <c r="D130" s="2">
        <f t="shared" si="44"/>
        <v>0</v>
      </c>
      <c r="E130" s="2"/>
      <c r="F130" s="19"/>
      <c r="G130" s="2"/>
      <c r="H130" s="2">
        <f t="shared" si="42"/>
        <v>0</v>
      </c>
      <c r="I130" s="2"/>
      <c r="J130" s="19"/>
      <c r="K130" s="2"/>
      <c r="L130" s="2">
        <f t="shared" si="0"/>
        <v>0</v>
      </c>
      <c r="M130" s="2"/>
      <c r="N130" s="19">
        <f t="shared" si="1"/>
        <v>0</v>
      </c>
      <c r="O130" s="10"/>
      <c r="P130" s="2">
        <f>0</f>
        <v>0</v>
      </c>
      <c r="Q130" s="2"/>
      <c r="R130" s="19"/>
      <c r="S130" s="2"/>
      <c r="T130" s="2">
        <f>-104.96</f>
        <v>-104.96</v>
      </c>
      <c r="U130" s="2"/>
      <c r="V130" s="19"/>
      <c r="W130" s="2"/>
      <c r="X130" s="2">
        <f t="shared" si="2"/>
        <v>104.96</v>
      </c>
      <c r="Y130" s="2"/>
      <c r="Z130" s="19">
        <f t="shared" si="3"/>
        <v>-1</v>
      </c>
    </row>
    <row r="131" spans="1:26" x14ac:dyDescent="0.25">
      <c r="A131" s="9"/>
      <c r="B131" s="11"/>
      <c r="C131" s="9"/>
      <c r="D131" s="3"/>
      <c r="E131" s="3"/>
      <c r="F131" s="8"/>
      <c r="G131" s="3"/>
      <c r="H131" s="3"/>
      <c r="I131" s="3"/>
      <c r="J131" s="8"/>
      <c r="K131" s="3"/>
      <c r="L131" s="3"/>
      <c r="M131" s="3"/>
      <c r="N131" s="8"/>
      <c r="P131" s="3"/>
      <c r="Q131" s="3"/>
      <c r="R131" s="8"/>
      <c r="S131" s="3"/>
      <c r="T131" s="3"/>
      <c r="U131" s="3"/>
      <c r="V131" s="8"/>
      <c r="W131" s="3"/>
      <c r="X131" s="3"/>
      <c r="Y131" s="3"/>
      <c r="Z131" s="8"/>
    </row>
    <row r="132" spans="1:26" s="24" customFormat="1" collapsed="1" x14ac:dyDescent="0.25">
      <c r="A132" s="11"/>
      <c r="B132" s="29" t="s">
        <v>256</v>
      </c>
      <c r="C132" s="11"/>
      <c r="D132" s="4">
        <f>SUM(OSRRefD16x_0)</f>
        <v>288585.3299999999</v>
      </c>
      <c r="E132" s="4"/>
      <c r="F132" s="13">
        <f t="shared" ref="F132:F191" si="45">IF(D$12=0,0,D132/D$12)</f>
        <v>0.87666319679546578</v>
      </c>
      <c r="G132" s="4"/>
      <c r="H132" s="4">
        <f>SUM(OSRRefH16x_0)</f>
        <v>589971.81000000006</v>
      </c>
      <c r="I132" s="4"/>
      <c r="J132" s="13">
        <f t="shared" ref="J132:J191" si="46">IF(H$12=0,0,H132/H$12)</f>
        <v>0.89564251978504383</v>
      </c>
      <c r="K132" s="4"/>
      <c r="L132" s="4">
        <f t="shared" ref="L132:L191" si="47">+D132-H132</f>
        <v>-301386.48000000016</v>
      </c>
      <c r="M132" s="4"/>
      <c r="N132" s="13">
        <f t="shared" ref="N132:N191" si="48">IF(H132=0,0,L132/H132)</f>
        <v>-0.51084895056257029</v>
      </c>
      <c r="O132" s="11"/>
      <c r="P132" s="4">
        <f>SUM(OSRRefP16x_0)</f>
        <v>5771855.9900000012</v>
      </c>
      <c r="Q132" s="4"/>
      <c r="R132" s="13">
        <f t="shared" ref="R132:R191" si="49">IF(P$12=0,0,P132/P$12)</f>
        <v>0.71159506577385434</v>
      </c>
      <c r="S132" s="4"/>
      <c r="T132" s="4">
        <f>SUM(OSRRefT16x_0)</f>
        <v>7960436.9500000011</v>
      </c>
      <c r="U132" s="4"/>
      <c r="V132" s="13">
        <f t="shared" ref="V132:V191" si="50">IF(T$12=0,0,T132/T$12)</f>
        <v>0.65664202583891051</v>
      </c>
      <c r="W132" s="4"/>
      <c r="X132" s="4">
        <f t="shared" ref="X132:X191" si="51">+P132-T132</f>
        <v>-2188580.96</v>
      </c>
      <c r="Y132" s="4"/>
      <c r="Z132" s="13">
        <f t="shared" ref="Z132:Z191" si="52">IF(T132=0,0,X132/T132)</f>
        <v>-0.27493226486769667</v>
      </c>
    </row>
    <row r="133" spans="1:26" s="23" customFormat="1" hidden="1" outlineLevel="1" x14ac:dyDescent="0.25">
      <c r="A133" s="44"/>
      <c r="B133" s="10" t="str">
        <f>CONCATENATE("          ", "5000", " - ", "PURCHASES @ COST")</f>
        <v xml:space="preserve">          5000 - PURCHASES @ COST</v>
      </c>
      <c r="C133" s="10"/>
      <c r="D133" s="2"/>
      <c r="E133" s="2"/>
      <c r="F133" s="19">
        <f t="shared" si="45"/>
        <v>0</v>
      </c>
      <c r="G133" s="2"/>
      <c r="H133" s="2">
        <v>0</v>
      </c>
      <c r="I133" s="2"/>
      <c r="J133" s="19">
        <f t="shared" si="46"/>
        <v>0</v>
      </c>
      <c r="K133" s="2"/>
      <c r="L133" s="2">
        <f t="shared" si="47"/>
        <v>0</v>
      </c>
      <c r="M133" s="2"/>
      <c r="N133" s="19">
        <f t="shared" si="48"/>
        <v>0</v>
      </c>
      <c r="O133" s="10"/>
      <c r="P133" s="2">
        <v>0</v>
      </c>
      <c r="Q133" s="2"/>
      <c r="R133" s="19">
        <f t="shared" si="49"/>
        <v>0</v>
      </c>
      <c r="S133" s="2"/>
      <c r="T133" s="2">
        <v>0</v>
      </c>
      <c r="U133" s="2"/>
      <c r="V133" s="19">
        <f t="shared" si="50"/>
        <v>0</v>
      </c>
      <c r="W133" s="2"/>
      <c r="X133" s="2">
        <f t="shared" si="51"/>
        <v>0</v>
      </c>
      <c r="Y133" s="2"/>
      <c r="Z133" s="19">
        <f t="shared" si="52"/>
        <v>0</v>
      </c>
    </row>
    <row r="134" spans="1:26" s="23" customFormat="1" hidden="1" outlineLevel="1" x14ac:dyDescent="0.25">
      <c r="A134" s="44"/>
      <c r="B134" s="10" t="str">
        <f>CONCATENATE("          ", "5001", " - ", "PURCHASES @ COST-NEW TEXT")</f>
        <v xml:space="preserve">          5001 - PURCHASES @ COST-NEW TEXT</v>
      </c>
      <c r="C134" s="10"/>
      <c r="D134" s="2">
        <v>142777.26</v>
      </c>
      <c r="E134" s="2"/>
      <c r="F134" s="19">
        <f t="shared" si="45"/>
        <v>0.43372810801331252</v>
      </c>
      <c r="G134" s="2"/>
      <c r="H134" s="2">
        <v>21388.81</v>
      </c>
      <c r="I134" s="2"/>
      <c r="J134" s="19">
        <f t="shared" si="46"/>
        <v>3.2470581405581976E-2</v>
      </c>
      <c r="K134" s="2"/>
      <c r="L134" s="2">
        <f t="shared" si="47"/>
        <v>121388.45000000001</v>
      </c>
      <c r="M134" s="2"/>
      <c r="N134" s="19">
        <f t="shared" si="48"/>
        <v>5.6753250882120136</v>
      </c>
      <c r="O134" s="10"/>
      <c r="P134" s="2">
        <v>1214343.74</v>
      </c>
      <c r="Q134" s="2"/>
      <c r="R134" s="19">
        <f t="shared" si="49"/>
        <v>0.14971285060377401</v>
      </c>
      <c r="S134" s="2"/>
      <c r="T134" s="2">
        <v>1662669.27</v>
      </c>
      <c r="U134" s="2"/>
      <c r="V134" s="19">
        <f t="shared" si="50"/>
        <v>0.13715057660910213</v>
      </c>
      <c r="W134" s="2"/>
      <c r="X134" s="2">
        <f t="shared" si="51"/>
        <v>-448325.53</v>
      </c>
      <c r="Y134" s="2"/>
      <c r="Z134" s="19">
        <f t="shared" si="52"/>
        <v>-0.26964203770964024</v>
      </c>
    </row>
    <row r="135" spans="1:26" s="23" customFormat="1" hidden="1" outlineLevel="1" x14ac:dyDescent="0.25">
      <c r="A135" s="44"/>
      <c r="B135" s="10" t="str">
        <f>CONCATENATE("          ", "5002", " - ", "PURCHASES @ COST-USED TEXT")</f>
        <v xml:space="preserve">          5002 - PURCHASES @ COST-USED TEXT</v>
      </c>
      <c r="C135" s="10"/>
      <c r="D135" s="2">
        <v>-17366.759999999998</v>
      </c>
      <c r="E135" s="2"/>
      <c r="F135" s="19">
        <f t="shared" si="45"/>
        <v>-5.2756664171320237E-2</v>
      </c>
      <c r="G135" s="2"/>
      <c r="H135" s="2">
        <v>121021.81</v>
      </c>
      <c r="I135" s="2"/>
      <c r="J135" s="19">
        <f t="shared" si="46"/>
        <v>0.1837245051714366</v>
      </c>
      <c r="K135" s="2"/>
      <c r="L135" s="2">
        <f t="shared" si="47"/>
        <v>-138388.57</v>
      </c>
      <c r="M135" s="2"/>
      <c r="N135" s="19">
        <f t="shared" si="48"/>
        <v>-1.1435010763762334</v>
      </c>
      <c r="O135" s="10"/>
      <c r="P135" s="2">
        <v>262546.52</v>
      </c>
      <c r="Q135" s="2"/>
      <c r="R135" s="19">
        <f t="shared" si="49"/>
        <v>3.2368584471231157E-2</v>
      </c>
      <c r="S135" s="2"/>
      <c r="T135" s="2">
        <v>731343.19</v>
      </c>
      <c r="U135" s="2"/>
      <c r="V135" s="19">
        <f t="shared" si="50"/>
        <v>6.0327175113809688E-2</v>
      </c>
      <c r="W135" s="2"/>
      <c r="X135" s="2">
        <f t="shared" si="51"/>
        <v>-468796.66999999993</v>
      </c>
      <c r="Y135" s="2"/>
      <c r="Z135" s="19">
        <f t="shared" si="52"/>
        <v>-0.64100777365548445</v>
      </c>
    </row>
    <row r="136" spans="1:26" s="23" customFormat="1" hidden="1" outlineLevel="1" x14ac:dyDescent="0.25">
      <c r="A136" s="44"/>
      <c r="B136" s="10" t="str">
        <f>CONCATENATE("          ", "5003", " - ", "PURCHASES @ COST-RENTAL TEXT")</f>
        <v xml:space="preserve">          5003 - PURCHASES @ COST-RENTAL TEXT</v>
      </c>
      <c r="C136" s="10"/>
      <c r="D136" s="2">
        <v>6024.36</v>
      </c>
      <c r="E136" s="2"/>
      <c r="F136" s="19">
        <f t="shared" si="45"/>
        <v>1.830077327994023E-2</v>
      </c>
      <c r="G136" s="2"/>
      <c r="H136" s="2">
        <v>24656.6</v>
      </c>
      <c r="I136" s="2"/>
      <c r="J136" s="19">
        <f t="shared" si="46"/>
        <v>3.7431448382816646E-2</v>
      </c>
      <c r="K136" s="2"/>
      <c r="L136" s="2">
        <f t="shared" si="47"/>
        <v>-18632.239999999998</v>
      </c>
      <c r="M136" s="2"/>
      <c r="N136" s="19">
        <f t="shared" si="48"/>
        <v>-0.75566947592125433</v>
      </c>
      <c r="O136" s="10"/>
      <c r="P136" s="2">
        <v>13236.44</v>
      </c>
      <c r="Q136" s="2"/>
      <c r="R136" s="19">
        <f t="shared" si="49"/>
        <v>1.6318815661254353E-3</v>
      </c>
      <c r="S136" s="2"/>
      <c r="T136" s="2">
        <v>24578.2</v>
      </c>
      <c r="U136" s="2"/>
      <c r="V136" s="19">
        <f t="shared" si="50"/>
        <v>2.0274112012750641E-3</v>
      </c>
      <c r="W136" s="2"/>
      <c r="X136" s="2">
        <f t="shared" si="51"/>
        <v>-11341.76</v>
      </c>
      <c r="Y136" s="2"/>
      <c r="Z136" s="19">
        <f t="shared" si="52"/>
        <v>-0.46145608710157782</v>
      </c>
    </row>
    <row r="137" spans="1:26" s="23" customFormat="1" hidden="1" outlineLevel="1" x14ac:dyDescent="0.25">
      <c r="A137" s="44"/>
      <c r="B137" s="10" t="str">
        <f>CONCATENATE("          ", "5004", " - ", "PURCHASES @ COST-DIGITAL TEXT")</f>
        <v xml:space="preserve">          5004 - PURCHASES @ COST-DIGITAL TEXT</v>
      </c>
      <c r="C137" s="10"/>
      <c r="D137" s="2">
        <v>178285.37</v>
      </c>
      <c r="E137" s="2"/>
      <c r="F137" s="19">
        <f t="shared" si="45"/>
        <v>0.5415944823184965</v>
      </c>
      <c r="G137" s="2"/>
      <c r="H137" s="2">
        <v>5038.95</v>
      </c>
      <c r="I137" s="2"/>
      <c r="J137" s="19">
        <f t="shared" si="46"/>
        <v>7.6496839316286076E-3</v>
      </c>
      <c r="K137" s="2"/>
      <c r="L137" s="2">
        <f t="shared" si="47"/>
        <v>173246.41999999998</v>
      </c>
      <c r="M137" s="2"/>
      <c r="N137" s="19">
        <f t="shared" si="48"/>
        <v>34.381452485140748</v>
      </c>
      <c r="O137" s="10"/>
      <c r="P137" s="2">
        <v>377891.8</v>
      </c>
      <c r="Q137" s="2"/>
      <c r="R137" s="19">
        <f t="shared" si="49"/>
        <v>4.6589163129206926E-2</v>
      </c>
      <c r="S137" s="2"/>
      <c r="T137" s="2">
        <v>451308.6</v>
      </c>
      <c r="U137" s="2"/>
      <c r="V137" s="19">
        <f t="shared" si="50"/>
        <v>3.7227628991210397E-2</v>
      </c>
      <c r="W137" s="2"/>
      <c r="X137" s="2">
        <f t="shared" si="51"/>
        <v>-73416.799999999988</v>
      </c>
      <c r="Y137" s="2"/>
      <c r="Z137" s="19">
        <f t="shared" si="52"/>
        <v>-0.16267538442653207</v>
      </c>
    </row>
    <row r="138" spans="1:26" s="23" customFormat="1" hidden="1" outlineLevel="1" x14ac:dyDescent="0.25">
      <c r="A138" s="44"/>
      <c r="B138" s="10" t="str">
        <f>CONCATENATE("          ", "5011", " - ", "PURCHASES @ COST-NO VALUE TEXT")</f>
        <v xml:space="preserve">          5011 - PURCHASES @ COST-NO VALUE TEXT</v>
      </c>
      <c r="C138" s="10"/>
      <c r="D138" s="2">
        <v>63.17</v>
      </c>
      <c r="E138" s="2"/>
      <c r="F138" s="19">
        <f t="shared" si="45"/>
        <v>1.9189753734734054E-4</v>
      </c>
      <c r="G138" s="2"/>
      <c r="H138" s="2">
        <v>99</v>
      </c>
      <c r="I138" s="2"/>
      <c r="J138" s="19">
        <f t="shared" si="46"/>
        <v>1.5029295969025931E-4</v>
      </c>
      <c r="K138" s="2"/>
      <c r="L138" s="2">
        <f t="shared" si="47"/>
        <v>-35.83</v>
      </c>
      <c r="M138" s="2"/>
      <c r="N138" s="19">
        <f t="shared" si="48"/>
        <v>-0.36191919191919192</v>
      </c>
      <c r="O138" s="10"/>
      <c r="P138" s="2">
        <v>130.34</v>
      </c>
      <c r="Q138" s="2"/>
      <c r="R138" s="19">
        <f t="shared" si="49"/>
        <v>1.6069233368548435E-5</v>
      </c>
      <c r="S138" s="2"/>
      <c r="T138" s="2">
        <v>6462</v>
      </c>
      <c r="U138" s="2"/>
      <c r="V138" s="19">
        <f t="shared" si="50"/>
        <v>5.3303867584442567E-4</v>
      </c>
      <c r="W138" s="2"/>
      <c r="X138" s="2">
        <f t="shared" si="51"/>
        <v>-6331.66</v>
      </c>
      <c r="Y138" s="2"/>
      <c r="Z138" s="19">
        <f t="shared" si="52"/>
        <v>-0.97982977406375737</v>
      </c>
    </row>
    <row r="139" spans="1:26" s="23" customFormat="1" hidden="1" outlineLevel="1" x14ac:dyDescent="0.25">
      <c r="A139" s="44"/>
      <c r="B139" s="10" t="str">
        <f>CONCATENATE("          ", "5013", " - ", "PURCHASES @ COST-TRADE BOOKS")</f>
        <v xml:space="preserve">          5013 - PURCHASES @ COST-TRADE BOOKS</v>
      </c>
      <c r="C139" s="10"/>
      <c r="D139" s="2">
        <v>1964.92</v>
      </c>
      <c r="E139" s="2"/>
      <c r="F139" s="19">
        <f t="shared" si="45"/>
        <v>5.9690249973806614E-3</v>
      </c>
      <c r="G139" s="2"/>
      <c r="H139" s="2">
        <v>-420.76</v>
      </c>
      <c r="I139" s="2"/>
      <c r="J139" s="19">
        <f t="shared" si="46"/>
        <v>-6.3876025979064152E-4</v>
      </c>
      <c r="K139" s="2"/>
      <c r="L139" s="2">
        <f t="shared" si="47"/>
        <v>2385.6800000000003</v>
      </c>
      <c r="M139" s="2"/>
      <c r="N139" s="19">
        <f t="shared" si="48"/>
        <v>-5.6699306017682298</v>
      </c>
      <c r="O139" s="10"/>
      <c r="P139" s="2">
        <v>11634.94</v>
      </c>
      <c r="Q139" s="2"/>
      <c r="R139" s="19">
        <f t="shared" si="49"/>
        <v>1.4344373645009893E-3</v>
      </c>
      <c r="S139" s="2"/>
      <c r="T139" s="2">
        <v>2777.09</v>
      </c>
      <c r="U139" s="2"/>
      <c r="V139" s="19">
        <f t="shared" si="50"/>
        <v>2.290771241567311E-4</v>
      </c>
      <c r="W139" s="2"/>
      <c r="X139" s="2">
        <f t="shared" si="51"/>
        <v>8857.85</v>
      </c>
      <c r="Y139" s="2"/>
      <c r="Z139" s="19">
        <f t="shared" si="52"/>
        <v>3.1896157488594175</v>
      </c>
    </row>
    <row r="140" spans="1:26" s="23" customFormat="1" hidden="1" outlineLevel="1" x14ac:dyDescent="0.25">
      <c r="A140" s="44"/>
      <c r="B140" s="10" t="str">
        <f>CONCATENATE("          ", "5014", " - ", "PURCHASES @ COST-REMAINDERS")</f>
        <v xml:space="preserve">          5014 - PURCHASES @ COST-REMAINDERS</v>
      </c>
      <c r="C140" s="10"/>
      <c r="D140" s="2">
        <v>-161.43</v>
      </c>
      <c r="E140" s="2"/>
      <c r="F140" s="19">
        <f t="shared" si="45"/>
        <v>-4.9039131635240127E-4</v>
      </c>
      <c r="G140" s="2"/>
      <c r="H140" s="2">
        <v>132</v>
      </c>
      <c r="I140" s="2"/>
      <c r="J140" s="19">
        <f t="shared" si="46"/>
        <v>2.0039061292034577E-4</v>
      </c>
      <c r="K140" s="2"/>
      <c r="L140" s="2">
        <f t="shared" si="47"/>
        <v>-293.43</v>
      </c>
      <c r="M140" s="2"/>
      <c r="N140" s="19">
        <f t="shared" si="48"/>
        <v>-2.2229545454545456</v>
      </c>
      <c r="O140" s="10"/>
      <c r="P140" s="2">
        <v>-49.86</v>
      </c>
      <c r="Q140" s="2"/>
      <c r="R140" s="19">
        <f t="shared" si="49"/>
        <v>-6.1470920343396116E-6</v>
      </c>
      <c r="S140" s="2"/>
      <c r="T140" s="2">
        <v>747.07</v>
      </c>
      <c r="U140" s="2"/>
      <c r="V140" s="19">
        <f t="shared" si="50"/>
        <v>6.1624451185870489E-5</v>
      </c>
      <c r="W140" s="2"/>
      <c r="X140" s="2">
        <f t="shared" si="51"/>
        <v>-796.93000000000006</v>
      </c>
      <c r="Y140" s="2"/>
      <c r="Z140" s="19">
        <f t="shared" si="52"/>
        <v>-1.0667407338000454</v>
      </c>
    </row>
    <row r="141" spans="1:26" s="23" customFormat="1" hidden="1" outlineLevel="1" x14ac:dyDescent="0.25">
      <c r="A141" s="44"/>
      <c r="B141" s="10" t="str">
        <f>CONCATENATE("          ", "5017", " - ", "PURCHASES @ COST-DORM/HOUSEWAR")</f>
        <v xml:space="preserve">          5017 - PURCHASES @ COST-DORM/HOUSEWAR</v>
      </c>
      <c r="C141" s="10"/>
      <c r="D141" s="2"/>
      <c r="E141" s="2"/>
      <c r="F141" s="19">
        <f t="shared" si="45"/>
        <v>0</v>
      </c>
      <c r="G141" s="2"/>
      <c r="H141" s="2"/>
      <c r="I141" s="2"/>
      <c r="J141" s="19">
        <f t="shared" si="46"/>
        <v>0</v>
      </c>
      <c r="K141" s="2"/>
      <c r="L141" s="2">
        <f t="shared" si="47"/>
        <v>0</v>
      </c>
      <c r="M141" s="2"/>
      <c r="N141" s="19">
        <f t="shared" si="48"/>
        <v>0</v>
      </c>
      <c r="O141" s="10"/>
      <c r="P141" s="2"/>
      <c r="Q141" s="2"/>
      <c r="R141" s="19">
        <f t="shared" si="49"/>
        <v>0</v>
      </c>
      <c r="S141" s="2"/>
      <c r="T141" s="2">
        <v>14.46</v>
      </c>
      <c r="U141" s="2"/>
      <c r="V141" s="19">
        <f t="shared" si="50"/>
        <v>1.1927792096425868E-6</v>
      </c>
      <c r="W141" s="2"/>
      <c r="X141" s="2">
        <f t="shared" si="51"/>
        <v>-14.46</v>
      </c>
      <c r="Y141" s="2"/>
      <c r="Z141" s="19">
        <f t="shared" si="52"/>
        <v>-1</v>
      </c>
    </row>
    <row r="142" spans="1:26" s="23" customFormat="1" hidden="1" outlineLevel="1" x14ac:dyDescent="0.25">
      <c r="A142" s="44"/>
      <c r="B142" s="10" t="str">
        <f>CONCATENATE("          ", "5018", " - ", "PURCHASES @ COST-STUDY GUIDES")</f>
        <v xml:space="preserve">          5018 - PURCHASES @ COST-STUDY GUIDES</v>
      </c>
      <c r="C142" s="10"/>
      <c r="D142" s="2">
        <v>476.17</v>
      </c>
      <c r="E142" s="2"/>
      <c r="F142" s="19">
        <f t="shared" si="45"/>
        <v>1.4465070501612023E-3</v>
      </c>
      <c r="G142" s="2"/>
      <c r="H142" s="2">
        <v>-249.38</v>
      </c>
      <c r="I142" s="2"/>
      <c r="J142" s="19">
        <f t="shared" si="46"/>
        <v>-3.7858644734905926E-4</v>
      </c>
      <c r="K142" s="2"/>
      <c r="L142" s="2">
        <f t="shared" si="47"/>
        <v>725.55</v>
      </c>
      <c r="M142" s="2"/>
      <c r="N142" s="19">
        <f t="shared" si="48"/>
        <v>-2.9094153500681688</v>
      </c>
      <c r="O142" s="10"/>
      <c r="P142" s="2">
        <v>1443.38</v>
      </c>
      <c r="Q142" s="2"/>
      <c r="R142" s="19">
        <f t="shared" si="49"/>
        <v>1.7795005416215622E-4</v>
      </c>
      <c r="S142" s="2"/>
      <c r="T142" s="2">
        <v>-454.52</v>
      </c>
      <c r="U142" s="2"/>
      <c r="V142" s="19">
        <f t="shared" si="50"/>
        <v>-3.7492531560632675E-5</v>
      </c>
      <c r="W142" s="2"/>
      <c r="X142" s="2">
        <f t="shared" si="51"/>
        <v>1897.9</v>
      </c>
      <c r="Y142" s="2"/>
      <c r="Z142" s="19">
        <f t="shared" si="52"/>
        <v>-4.1756138343747251</v>
      </c>
    </row>
    <row r="143" spans="1:26" s="23" customFormat="1" hidden="1" outlineLevel="1" x14ac:dyDescent="0.25">
      <c r="A143" s="44"/>
      <c r="B143" s="10" t="str">
        <f>CONCATENATE("          ", "5025", " - ", "PURCHASES @ COST-TEST FORMS")</f>
        <v xml:space="preserve">          5025 - PURCHASES @ COST-TEST FORMS</v>
      </c>
      <c r="C143" s="10"/>
      <c r="D143" s="2">
        <v>161</v>
      </c>
      <c r="E143" s="2"/>
      <c r="F143" s="19">
        <f t="shared" si="45"/>
        <v>4.8908506431726809E-4</v>
      </c>
      <c r="G143" s="2"/>
      <c r="H143" s="2"/>
      <c r="I143" s="2"/>
      <c r="J143" s="19">
        <f t="shared" si="46"/>
        <v>0</v>
      </c>
      <c r="K143" s="2"/>
      <c r="L143" s="2">
        <f t="shared" si="47"/>
        <v>161</v>
      </c>
      <c r="M143" s="2"/>
      <c r="N143" s="19">
        <f t="shared" si="48"/>
        <v>0</v>
      </c>
      <c r="O143" s="10"/>
      <c r="P143" s="2">
        <v>760.29</v>
      </c>
      <c r="Q143" s="2"/>
      <c r="R143" s="19">
        <f t="shared" si="49"/>
        <v>9.373390699534823E-5</v>
      </c>
      <c r="S143" s="2"/>
      <c r="T143" s="2">
        <v>26400.39</v>
      </c>
      <c r="U143" s="2"/>
      <c r="V143" s="19">
        <f t="shared" si="50"/>
        <v>2.1777203539734475E-3</v>
      </c>
      <c r="W143" s="2"/>
      <c r="X143" s="2">
        <f t="shared" si="51"/>
        <v>-25640.1</v>
      </c>
      <c r="Y143" s="2"/>
      <c r="Z143" s="19">
        <f t="shared" si="52"/>
        <v>-0.97120156179510986</v>
      </c>
    </row>
    <row r="144" spans="1:26" s="23" customFormat="1" hidden="1" outlineLevel="1" x14ac:dyDescent="0.25">
      <c r="A144" s="44"/>
      <c r="B144" s="10" t="str">
        <f>CONCATENATE("          ", "5026", " - ", "PURCHASES @ COST-WRITING INSTR")</f>
        <v xml:space="preserve">          5026 - PURCHASES @ COST-WRITING INSTR</v>
      </c>
      <c r="C144" s="10"/>
      <c r="D144" s="2">
        <v>1361.75</v>
      </c>
      <c r="E144" s="2"/>
      <c r="F144" s="19">
        <f t="shared" si="45"/>
        <v>4.1367179275406205E-3</v>
      </c>
      <c r="G144" s="2"/>
      <c r="H144" s="2"/>
      <c r="I144" s="2"/>
      <c r="J144" s="19">
        <f t="shared" si="46"/>
        <v>0</v>
      </c>
      <c r="K144" s="2"/>
      <c r="L144" s="2">
        <f t="shared" si="47"/>
        <v>1361.75</v>
      </c>
      <c r="M144" s="2"/>
      <c r="N144" s="19">
        <f t="shared" si="48"/>
        <v>0</v>
      </c>
      <c r="O144" s="10"/>
      <c r="P144" s="2">
        <v>1944.25</v>
      </c>
      <c r="Q144" s="2"/>
      <c r="R144" s="19">
        <f t="shared" si="49"/>
        <v>2.3970083609636562E-4</v>
      </c>
      <c r="S144" s="2"/>
      <c r="T144" s="2">
        <v>44186.57</v>
      </c>
      <c r="U144" s="2"/>
      <c r="V144" s="19">
        <f t="shared" si="50"/>
        <v>3.6448701273455626E-3</v>
      </c>
      <c r="W144" s="2"/>
      <c r="X144" s="2">
        <f t="shared" si="51"/>
        <v>-42242.32</v>
      </c>
      <c r="Y144" s="2"/>
      <c r="Z144" s="19">
        <f t="shared" si="52"/>
        <v>-0.95599907392676098</v>
      </c>
    </row>
    <row r="145" spans="1:26" s="23" customFormat="1" hidden="1" outlineLevel="1" x14ac:dyDescent="0.25">
      <c r="A145" s="44"/>
      <c r="B145" s="10" t="str">
        <f>CONCATENATE("          ", "5027", " - ", "PURCHASES @ COST-SCHOOL SUPPLI")</f>
        <v xml:space="preserve">          5027 - PURCHASES @ COST-SCHOOL SUPPLI</v>
      </c>
      <c r="C145" s="10"/>
      <c r="D145" s="2">
        <v>-23546.66</v>
      </c>
      <c r="E145" s="2"/>
      <c r="F145" s="19">
        <f t="shared" si="45"/>
        <v>-7.1529936152526979E-2</v>
      </c>
      <c r="G145" s="2"/>
      <c r="H145" s="2">
        <v>11947.58</v>
      </c>
      <c r="I145" s="2"/>
      <c r="J145" s="19">
        <f t="shared" si="46"/>
        <v>1.8137749084203521E-2</v>
      </c>
      <c r="K145" s="2"/>
      <c r="L145" s="2">
        <f t="shared" si="47"/>
        <v>-35494.239999999998</v>
      </c>
      <c r="M145" s="2"/>
      <c r="N145" s="19">
        <f t="shared" si="48"/>
        <v>-2.9708309130384563</v>
      </c>
      <c r="O145" s="10"/>
      <c r="P145" s="2">
        <v>188.33</v>
      </c>
      <c r="Q145" s="2"/>
      <c r="R145" s="19">
        <f t="shared" si="49"/>
        <v>2.3218649073950644E-5</v>
      </c>
      <c r="S145" s="2"/>
      <c r="T145" s="2">
        <v>153162.12</v>
      </c>
      <c r="U145" s="2"/>
      <c r="V145" s="19">
        <f t="shared" si="50"/>
        <v>1.2634065867274068E-2</v>
      </c>
      <c r="W145" s="2"/>
      <c r="X145" s="2">
        <f t="shared" si="51"/>
        <v>-152973.79</v>
      </c>
      <c r="Y145" s="2"/>
      <c r="Z145" s="19">
        <f t="shared" si="52"/>
        <v>-0.9987703878739731</v>
      </c>
    </row>
    <row r="146" spans="1:26" s="23" customFormat="1" hidden="1" outlineLevel="1" x14ac:dyDescent="0.25">
      <c r="A146" s="44"/>
      <c r="B146" s="10" t="str">
        <f>CONCATENATE("          ", "5028", " - ", "PURCHASES @ COST-ART/TECH")</f>
        <v xml:space="preserve">          5028 - PURCHASES @ COST-ART/TECH</v>
      </c>
      <c r="C146" s="10"/>
      <c r="D146" s="2">
        <v>4965.34</v>
      </c>
      <c r="E146" s="2"/>
      <c r="F146" s="19">
        <f t="shared" si="45"/>
        <v>1.5083687163087604E-2</v>
      </c>
      <c r="G146" s="2"/>
      <c r="H146" s="2">
        <v>-1073.3800000000001</v>
      </c>
      <c r="I146" s="2"/>
      <c r="J146" s="19">
        <f t="shared" si="46"/>
        <v>-1.6295096673972784E-3</v>
      </c>
      <c r="K146" s="2"/>
      <c r="L146" s="2">
        <f t="shared" si="47"/>
        <v>6038.72</v>
      </c>
      <c r="M146" s="2"/>
      <c r="N146" s="19">
        <f t="shared" si="48"/>
        <v>-5.625892041960908</v>
      </c>
      <c r="O146" s="10"/>
      <c r="P146" s="2">
        <v>52646.080000000002</v>
      </c>
      <c r="Q146" s="2"/>
      <c r="R146" s="19">
        <f t="shared" si="49"/>
        <v>6.4905796030326098E-3</v>
      </c>
      <c r="S146" s="2"/>
      <c r="T146" s="2">
        <v>158554.31</v>
      </c>
      <c r="U146" s="2"/>
      <c r="V146" s="19">
        <f t="shared" si="50"/>
        <v>1.307885785388836E-2</v>
      </c>
      <c r="W146" s="2"/>
      <c r="X146" s="2">
        <f t="shared" si="51"/>
        <v>-105908.23</v>
      </c>
      <c r="Y146" s="2"/>
      <c r="Z146" s="19">
        <f t="shared" si="52"/>
        <v>-0.6679618485300084</v>
      </c>
    </row>
    <row r="147" spans="1:26" s="23" customFormat="1" hidden="1" outlineLevel="1" x14ac:dyDescent="0.25">
      <c r="A147" s="44"/>
      <c r="B147" s="10" t="str">
        <f>CONCATENATE("          ", "5031", " - ", "PURCHASES @ COST-FOOD")</f>
        <v xml:space="preserve">          5031 - PURCHASES @ COST-FOOD</v>
      </c>
      <c r="C147" s="10"/>
      <c r="D147" s="2">
        <v>75599.55</v>
      </c>
      <c r="E147" s="2"/>
      <c r="F147" s="19">
        <f t="shared" si="45"/>
        <v>0.22965596754103434</v>
      </c>
      <c r="G147" s="2"/>
      <c r="H147" s="2"/>
      <c r="I147" s="2"/>
      <c r="J147" s="19">
        <f t="shared" si="46"/>
        <v>0</v>
      </c>
      <c r="K147" s="2"/>
      <c r="L147" s="2">
        <f t="shared" si="47"/>
        <v>75599.55</v>
      </c>
      <c r="M147" s="2"/>
      <c r="N147" s="19">
        <f t="shared" si="48"/>
        <v>0</v>
      </c>
      <c r="O147" s="10"/>
      <c r="P147" s="2">
        <v>83665.64</v>
      </c>
      <c r="Q147" s="2"/>
      <c r="R147" s="19">
        <f t="shared" si="49"/>
        <v>1.0314889474366738E-2</v>
      </c>
      <c r="S147" s="2"/>
      <c r="T147" s="2">
        <v>33239.879999999997</v>
      </c>
      <c r="U147" s="2"/>
      <c r="V147" s="19">
        <f t="shared" si="50"/>
        <v>2.7418974961974014E-3</v>
      </c>
      <c r="W147" s="2"/>
      <c r="X147" s="2">
        <f t="shared" si="51"/>
        <v>50425.760000000002</v>
      </c>
      <c r="Y147" s="2"/>
      <c r="Z147" s="19">
        <f t="shared" si="52"/>
        <v>1.5170259339083054</v>
      </c>
    </row>
    <row r="148" spans="1:26" s="23" customFormat="1" hidden="1" outlineLevel="1" x14ac:dyDescent="0.25">
      <c r="A148" s="44"/>
      <c r="B148" s="10" t="str">
        <f>CONCATENATE("          ", "5032", " - ", "PURCHASES @ COST-JUICE")</f>
        <v xml:space="preserve">          5032 - PURCHASES @ COST-JUICE</v>
      </c>
      <c r="C148" s="10"/>
      <c r="D148" s="2">
        <v>291</v>
      </c>
      <c r="E148" s="2"/>
      <c r="F148" s="19">
        <f t="shared" si="45"/>
        <v>8.8399847028773312E-4</v>
      </c>
      <c r="G148" s="2"/>
      <c r="H148" s="2"/>
      <c r="I148" s="2"/>
      <c r="J148" s="19">
        <f t="shared" si="46"/>
        <v>0</v>
      </c>
      <c r="K148" s="2"/>
      <c r="L148" s="2">
        <f t="shared" si="47"/>
        <v>291</v>
      </c>
      <c r="M148" s="2"/>
      <c r="N148" s="19">
        <f t="shared" si="48"/>
        <v>0</v>
      </c>
      <c r="O148" s="10"/>
      <c r="P148" s="2">
        <v>291</v>
      </c>
      <c r="Q148" s="2"/>
      <c r="R148" s="19">
        <f t="shared" si="49"/>
        <v>3.5876529923642741E-5</v>
      </c>
      <c r="S148" s="2"/>
      <c r="T148" s="2">
        <v>7802.45</v>
      </c>
      <c r="U148" s="2"/>
      <c r="V148" s="19">
        <f t="shared" si="50"/>
        <v>6.4360996848380364E-4</v>
      </c>
      <c r="W148" s="2"/>
      <c r="X148" s="2">
        <f t="shared" si="51"/>
        <v>-7511.45</v>
      </c>
      <c r="Y148" s="2"/>
      <c r="Z148" s="19">
        <f t="shared" si="52"/>
        <v>-0.9627040224544855</v>
      </c>
    </row>
    <row r="149" spans="1:26" s="23" customFormat="1" hidden="1" outlineLevel="1" x14ac:dyDescent="0.25">
      <c r="A149" s="44"/>
      <c r="B149" s="10" t="str">
        <f>CONCATENATE("          ", "5033", " - ", "PURCHASES @ COST-CANDY")</f>
        <v xml:space="preserve">          5033 - PURCHASES @ COST-CANDY</v>
      </c>
      <c r="C149" s="10"/>
      <c r="D149" s="2">
        <v>1266</v>
      </c>
      <c r="E149" s="2"/>
      <c r="F149" s="19">
        <f t="shared" si="45"/>
        <v>3.8458490150662201E-3</v>
      </c>
      <c r="G149" s="2"/>
      <c r="H149" s="2"/>
      <c r="I149" s="2"/>
      <c r="J149" s="19">
        <f t="shared" si="46"/>
        <v>0</v>
      </c>
      <c r="K149" s="2"/>
      <c r="L149" s="2">
        <f t="shared" si="47"/>
        <v>1266</v>
      </c>
      <c r="M149" s="2"/>
      <c r="N149" s="19">
        <f t="shared" si="48"/>
        <v>0</v>
      </c>
      <c r="O149" s="10"/>
      <c r="P149" s="2">
        <v>1266</v>
      </c>
      <c r="Q149" s="2"/>
      <c r="R149" s="19">
        <f t="shared" si="49"/>
        <v>1.5608139822450759E-4</v>
      </c>
      <c r="S149" s="2"/>
      <c r="T149" s="2">
        <v>9998.41</v>
      </c>
      <c r="U149" s="2"/>
      <c r="V149" s="19">
        <f t="shared" si="50"/>
        <v>8.2475073149948378E-4</v>
      </c>
      <c r="W149" s="2"/>
      <c r="X149" s="2">
        <f t="shared" si="51"/>
        <v>-8732.41</v>
      </c>
      <c r="Y149" s="2"/>
      <c r="Z149" s="19">
        <f t="shared" si="52"/>
        <v>-0.87337986739891638</v>
      </c>
    </row>
    <row r="150" spans="1:26" s="23" customFormat="1" hidden="1" outlineLevel="1" x14ac:dyDescent="0.25">
      <c r="A150" s="44"/>
      <c r="B150" s="10" t="str">
        <f>CONCATENATE("          ", "5034", " - ", "PURCHASES @ COST-SODA")</f>
        <v xml:space="preserve">          5034 - PURCHASES @ COST-SODA</v>
      </c>
      <c r="C150" s="10"/>
      <c r="D150" s="2">
        <v>567</v>
      </c>
      <c r="E150" s="2"/>
      <c r="F150" s="19">
        <f t="shared" si="45"/>
        <v>1.7224300091173356E-3</v>
      </c>
      <c r="G150" s="2"/>
      <c r="H150" s="2"/>
      <c r="I150" s="2"/>
      <c r="J150" s="19">
        <f t="shared" si="46"/>
        <v>0</v>
      </c>
      <c r="K150" s="2"/>
      <c r="L150" s="2">
        <f t="shared" si="47"/>
        <v>567</v>
      </c>
      <c r="M150" s="2"/>
      <c r="N150" s="19">
        <f t="shared" si="48"/>
        <v>0</v>
      </c>
      <c r="O150" s="10"/>
      <c r="P150" s="2">
        <v>567</v>
      </c>
      <c r="Q150" s="2"/>
      <c r="R150" s="19">
        <f t="shared" si="49"/>
        <v>6.9903754181118325E-5</v>
      </c>
      <c r="S150" s="2"/>
      <c r="T150" s="2">
        <v>4033.88</v>
      </c>
      <c r="U150" s="2"/>
      <c r="V150" s="19">
        <f t="shared" si="50"/>
        <v>3.3274745492344661E-4</v>
      </c>
      <c r="W150" s="2"/>
      <c r="X150" s="2">
        <f t="shared" si="51"/>
        <v>-3466.88</v>
      </c>
      <c r="Y150" s="2"/>
      <c r="Z150" s="19">
        <f t="shared" si="52"/>
        <v>-0.85944053863773839</v>
      </c>
    </row>
    <row r="151" spans="1:26" s="23" customFormat="1" hidden="1" outlineLevel="1" x14ac:dyDescent="0.25">
      <c r="A151" s="44"/>
      <c r="B151" s="10" t="str">
        <f>CONCATENATE("          ", "5035", " - ", "PURCHASES @ COST-HEALTH &amp; BEAU")</f>
        <v xml:space="preserve">          5035 - PURCHASES @ COST-HEALTH &amp; BEAU</v>
      </c>
      <c r="C151" s="10"/>
      <c r="D151" s="2">
        <v>339</v>
      </c>
      <c r="E151" s="2"/>
      <c r="F151" s="19">
        <f t="shared" si="45"/>
        <v>1.0298126509537509E-3</v>
      </c>
      <c r="G151" s="2"/>
      <c r="H151" s="2"/>
      <c r="I151" s="2"/>
      <c r="J151" s="19">
        <f t="shared" si="46"/>
        <v>0</v>
      </c>
      <c r="K151" s="2"/>
      <c r="L151" s="2">
        <f t="shared" si="47"/>
        <v>339</v>
      </c>
      <c r="M151" s="2"/>
      <c r="N151" s="19">
        <f t="shared" si="48"/>
        <v>0</v>
      </c>
      <c r="O151" s="10"/>
      <c r="P151" s="2">
        <v>339</v>
      </c>
      <c r="Q151" s="2"/>
      <c r="R151" s="19">
        <f t="shared" si="49"/>
        <v>4.1794308055377621E-5</v>
      </c>
      <c r="S151" s="2"/>
      <c r="T151" s="2">
        <v>1117.6500000000001</v>
      </c>
      <c r="U151" s="2"/>
      <c r="V151" s="19">
        <f t="shared" si="50"/>
        <v>9.219292418098459E-5</v>
      </c>
      <c r="W151" s="2"/>
      <c r="X151" s="2">
        <f t="shared" si="51"/>
        <v>-778.65000000000009</v>
      </c>
      <c r="Y151" s="2"/>
      <c r="Z151" s="19">
        <f t="shared" si="52"/>
        <v>-0.69668500872366124</v>
      </c>
    </row>
    <row r="152" spans="1:26" s="23" customFormat="1" hidden="1" outlineLevel="1" x14ac:dyDescent="0.25">
      <c r="A152" s="44"/>
      <c r="B152" s="10" t="str">
        <f>CONCATENATE("          ", "5037", " - ", "PURCHASES @ COST-WATER")</f>
        <v xml:space="preserve">          5037 - PURCHASES @ COST-WATER</v>
      </c>
      <c r="C152" s="10"/>
      <c r="D152" s="2">
        <v>190.95</v>
      </c>
      <c r="E152" s="2"/>
      <c r="F152" s="19">
        <f t="shared" si="45"/>
        <v>5.8006703746200212E-4</v>
      </c>
      <c r="G152" s="2"/>
      <c r="H152" s="2"/>
      <c r="I152" s="2"/>
      <c r="J152" s="19">
        <f t="shared" si="46"/>
        <v>0</v>
      </c>
      <c r="K152" s="2"/>
      <c r="L152" s="2">
        <f t="shared" si="47"/>
        <v>190.95</v>
      </c>
      <c r="M152" s="2"/>
      <c r="N152" s="19">
        <f t="shared" si="48"/>
        <v>0</v>
      </c>
      <c r="O152" s="10"/>
      <c r="P152" s="2">
        <v>190.95</v>
      </c>
      <c r="Q152" s="2"/>
      <c r="R152" s="19">
        <f t="shared" si="49"/>
        <v>2.3541661130307835E-5</v>
      </c>
      <c r="S152" s="2"/>
      <c r="T152" s="2">
        <v>5693.57</v>
      </c>
      <c r="U152" s="2"/>
      <c r="V152" s="19">
        <f t="shared" si="50"/>
        <v>4.6965227694638605E-4</v>
      </c>
      <c r="W152" s="2"/>
      <c r="X152" s="2">
        <f t="shared" si="51"/>
        <v>-5502.62</v>
      </c>
      <c r="Y152" s="2"/>
      <c r="Z152" s="19">
        <f t="shared" si="52"/>
        <v>-0.966462166970811</v>
      </c>
    </row>
    <row r="153" spans="1:26" s="23" customFormat="1" hidden="1" outlineLevel="1" x14ac:dyDescent="0.25">
      <c r="A153" s="44"/>
      <c r="B153" s="10" t="str">
        <f>CONCATENATE("          ", "5040", " - ", "PURCHASES @ COST-LOGO CLOTHING")</f>
        <v xml:space="preserve">          5040 - PURCHASES @ COST-LOGO CLOTHING</v>
      </c>
      <c r="C153" s="10"/>
      <c r="D153" s="2">
        <v>65486.18</v>
      </c>
      <c r="E153" s="2"/>
      <c r="F153" s="19">
        <f t="shared" si="45"/>
        <v>0.19893361836765341</v>
      </c>
      <c r="G153" s="2"/>
      <c r="H153" s="2">
        <v>6472.18</v>
      </c>
      <c r="I153" s="2"/>
      <c r="J153" s="19">
        <f t="shared" si="46"/>
        <v>9.8254857358394208E-3</v>
      </c>
      <c r="K153" s="2"/>
      <c r="L153" s="2">
        <f t="shared" si="47"/>
        <v>59014</v>
      </c>
      <c r="M153" s="2"/>
      <c r="N153" s="19">
        <f t="shared" si="48"/>
        <v>9.1181024013547205</v>
      </c>
      <c r="O153" s="10"/>
      <c r="P153" s="2">
        <v>392865.16</v>
      </c>
      <c r="Q153" s="2"/>
      <c r="R153" s="19">
        <f t="shared" si="49"/>
        <v>4.8435184428510969E-2</v>
      </c>
      <c r="S153" s="2"/>
      <c r="T153" s="2">
        <v>982941.51</v>
      </c>
      <c r="U153" s="2"/>
      <c r="V153" s="19">
        <f t="shared" si="50"/>
        <v>8.1081064828678481E-2</v>
      </c>
      <c r="W153" s="2"/>
      <c r="X153" s="2">
        <f t="shared" si="51"/>
        <v>-590076.35000000009</v>
      </c>
      <c r="Y153" s="2"/>
      <c r="Z153" s="19">
        <f t="shared" si="52"/>
        <v>-0.60031684896489934</v>
      </c>
    </row>
    <row r="154" spans="1:26" s="23" customFormat="1" hidden="1" outlineLevel="1" x14ac:dyDescent="0.25">
      <c r="A154" s="44"/>
      <c r="B154" s="10" t="str">
        <f>CONCATENATE("          ", "5041", " - ", "PURCHASES @ COST-LOGO GIFTS")</f>
        <v xml:space="preserve">          5041 - PURCHASES @ COST-LOGO GIFTS</v>
      </c>
      <c r="C154" s="10"/>
      <c r="D154" s="2">
        <v>115476.79</v>
      </c>
      <c r="E154" s="2"/>
      <c r="F154" s="19">
        <f t="shared" si="45"/>
        <v>0.35079486499566248</v>
      </c>
      <c r="G154" s="2"/>
      <c r="H154" s="2">
        <v>13093.79</v>
      </c>
      <c r="I154" s="2"/>
      <c r="J154" s="19">
        <f t="shared" si="46"/>
        <v>1.9877822754168897E-2</v>
      </c>
      <c r="K154" s="2"/>
      <c r="L154" s="2">
        <f t="shared" si="47"/>
        <v>102383</v>
      </c>
      <c r="M154" s="2"/>
      <c r="N154" s="19">
        <f t="shared" si="48"/>
        <v>7.8192028434853462</v>
      </c>
      <c r="O154" s="10"/>
      <c r="P154" s="2">
        <v>221875.64</v>
      </c>
      <c r="Q154" s="2"/>
      <c r="R154" s="19">
        <f t="shared" si="49"/>
        <v>2.7354391882430874E-2</v>
      </c>
      <c r="S154" s="2"/>
      <c r="T154" s="2">
        <v>162844.63</v>
      </c>
      <c r="U154" s="2"/>
      <c r="V154" s="19">
        <f t="shared" si="50"/>
        <v>1.3432758579940489E-2</v>
      </c>
      <c r="W154" s="2"/>
      <c r="X154" s="2">
        <f t="shared" si="51"/>
        <v>59031.010000000009</v>
      </c>
      <c r="Y154" s="2"/>
      <c r="Z154" s="19">
        <f t="shared" si="52"/>
        <v>0.36249896603897841</v>
      </c>
    </row>
    <row r="155" spans="1:26" s="23" customFormat="1" hidden="1" outlineLevel="1" x14ac:dyDescent="0.25">
      <c r="A155" s="44"/>
      <c r="B155" s="10" t="str">
        <f>CONCATENATE("          ", "5042", " - ", "PURCHASES @ COST-EVERYDAY GIFT")</f>
        <v xml:space="preserve">          5042 - PURCHASES @ COST-EVERYDAY GIFT</v>
      </c>
      <c r="C155" s="10"/>
      <c r="D155" s="2">
        <v>-39.200000000000003</v>
      </c>
      <c r="E155" s="2"/>
      <c r="F155" s="19">
        <f t="shared" si="45"/>
        <v>-1.1908158087724791E-4</v>
      </c>
      <c r="G155" s="2"/>
      <c r="H155" s="2">
        <v>-836.65</v>
      </c>
      <c r="I155" s="2"/>
      <c r="J155" s="19">
        <f t="shared" si="46"/>
        <v>-1.2701273204530855E-3</v>
      </c>
      <c r="K155" s="2"/>
      <c r="L155" s="2">
        <f t="shared" si="47"/>
        <v>797.44999999999993</v>
      </c>
      <c r="M155" s="2"/>
      <c r="N155" s="19">
        <f t="shared" si="48"/>
        <v>-0.95314647702145461</v>
      </c>
      <c r="O155" s="10"/>
      <c r="P155" s="2">
        <v>18708.87</v>
      </c>
      <c r="Q155" s="2"/>
      <c r="R155" s="19">
        <f t="shared" si="49"/>
        <v>2.3065612865723088E-3</v>
      </c>
      <c r="S155" s="2"/>
      <c r="T155" s="2">
        <v>125778.55</v>
      </c>
      <c r="U155" s="2"/>
      <c r="V155" s="19">
        <f t="shared" si="50"/>
        <v>1.0375244775863803E-2</v>
      </c>
      <c r="W155" s="2"/>
      <c r="X155" s="2">
        <f t="shared" si="51"/>
        <v>-107069.68000000001</v>
      </c>
      <c r="Y155" s="2"/>
      <c r="Z155" s="19">
        <f t="shared" si="52"/>
        <v>-0.85125548036608789</v>
      </c>
    </row>
    <row r="156" spans="1:26" s="23" customFormat="1" hidden="1" outlineLevel="1" x14ac:dyDescent="0.25">
      <c r="A156" s="44"/>
      <c r="B156" s="10" t="str">
        <f>CONCATENATE("          ", "5043", " - ", "PURCHASES @ COST-CARDS")</f>
        <v xml:space="preserve">          5043 - PURCHASES @ COST-CARDS</v>
      </c>
      <c r="C156" s="10"/>
      <c r="D156" s="2">
        <v>-4615.6499999999996</v>
      </c>
      <c r="E156" s="2"/>
      <c r="F156" s="19">
        <f t="shared" si="45"/>
        <v>-1.4021400478981356E-2</v>
      </c>
      <c r="G156" s="2"/>
      <c r="H156" s="2">
        <v>0</v>
      </c>
      <c r="I156" s="2"/>
      <c r="J156" s="19">
        <f t="shared" si="46"/>
        <v>0</v>
      </c>
      <c r="K156" s="2"/>
      <c r="L156" s="2">
        <f t="shared" si="47"/>
        <v>-4615.6499999999996</v>
      </c>
      <c r="M156" s="2"/>
      <c r="N156" s="19">
        <f t="shared" si="48"/>
        <v>0</v>
      </c>
      <c r="O156" s="10"/>
      <c r="P156" s="2">
        <v>50967.68</v>
      </c>
      <c r="Q156" s="2"/>
      <c r="R156" s="19">
        <f t="shared" si="49"/>
        <v>6.2836546276929467E-3</v>
      </c>
      <c r="S156" s="2"/>
      <c r="T156" s="2">
        <v>30914.66</v>
      </c>
      <c r="U156" s="2"/>
      <c r="V156" s="19">
        <f t="shared" si="50"/>
        <v>2.5500943099010577E-3</v>
      </c>
      <c r="W156" s="2"/>
      <c r="X156" s="2">
        <f t="shared" si="51"/>
        <v>20053.02</v>
      </c>
      <c r="Y156" s="2"/>
      <c r="Z156" s="19">
        <f t="shared" si="52"/>
        <v>0.6486573036869886</v>
      </c>
    </row>
    <row r="157" spans="1:26" s="23" customFormat="1" hidden="1" outlineLevel="1" x14ac:dyDescent="0.25">
      <c r="A157" s="44"/>
      <c r="B157" s="10" t="str">
        <f>CONCATENATE("          ", "5044", " - ", "PURCHASES @ COST-ACCESSORIES")</f>
        <v xml:space="preserve">          5044 - PURCHASES @ COST-ACCESSORIES</v>
      </c>
      <c r="C157" s="10"/>
      <c r="D157" s="2">
        <v>4371.2</v>
      </c>
      <c r="E157" s="2"/>
      <c r="F157" s="19">
        <f t="shared" si="45"/>
        <v>1.3278811385985356E-2</v>
      </c>
      <c r="G157" s="2"/>
      <c r="H157" s="2">
        <v>0</v>
      </c>
      <c r="I157" s="2"/>
      <c r="J157" s="19">
        <f t="shared" si="46"/>
        <v>0</v>
      </c>
      <c r="K157" s="2"/>
      <c r="L157" s="2">
        <f t="shared" si="47"/>
        <v>4371.2</v>
      </c>
      <c r="M157" s="2"/>
      <c r="N157" s="19">
        <f t="shared" si="48"/>
        <v>0</v>
      </c>
      <c r="O157" s="10"/>
      <c r="P157" s="2">
        <v>6926.91</v>
      </c>
      <c r="Q157" s="2"/>
      <c r="R157" s="19">
        <f t="shared" si="49"/>
        <v>8.5399826080199352E-4</v>
      </c>
      <c r="S157" s="2"/>
      <c r="T157" s="2">
        <v>37869.03</v>
      </c>
      <c r="U157" s="2"/>
      <c r="V157" s="19">
        <f t="shared" si="50"/>
        <v>3.1237476952511345E-3</v>
      </c>
      <c r="W157" s="2"/>
      <c r="X157" s="2">
        <f t="shared" si="51"/>
        <v>-30942.12</v>
      </c>
      <c r="Y157" s="2"/>
      <c r="Z157" s="19">
        <f t="shared" si="52"/>
        <v>-0.81708245497706178</v>
      </c>
    </row>
    <row r="158" spans="1:26" s="23" customFormat="1" hidden="1" outlineLevel="1" x14ac:dyDescent="0.25">
      <c r="A158" s="44"/>
      <c r="B158" s="10" t="str">
        <f>CONCATENATE("          ", "5045", " - ", "PURCHASES @ COST-SPECIAL ORDER")</f>
        <v xml:space="preserve">          5045 - PURCHASES @ COST-SPECIAL ORDER</v>
      </c>
      <c r="C158" s="10"/>
      <c r="D158" s="2">
        <v>33785.81</v>
      </c>
      <c r="E158" s="2"/>
      <c r="F158" s="19">
        <f t="shared" si="45"/>
        <v>0.10263437923516149</v>
      </c>
      <c r="G158" s="2"/>
      <c r="H158" s="2">
        <v>52772.41</v>
      </c>
      <c r="I158" s="2"/>
      <c r="J158" s="19">
        <f t="shared" si="46"/>
        <v>8.0114360493816553E-2</v>
      </c>
      <c r="K158" s="2"/>
      <c r="L158" s="2">
        <f t="shared" si="47"/>
        <v>-18986.600000000006</v>
      </c>
      <c r="M158" s="2"/>
      <c r="N158" s="19">
        <f t="shared" si="48"/>
        <v>-0.3597826970570418</v>
      </c>
      <c r="O158" s="10"/>
      <c r="P158" s="2">
        <v>172925.05</v>
      </c>
      <c r="Q158" s="2"/>
      <c r="R158" s="19">
        <f t="shared" si="49"/>
        <v>2.1319418319149196E-2</v>
      </c>
      <c r="S158" s="2"/>
      <c r="T158" s="2">
        <v>131614.81</v>
      </c>
      <c r="U158" s="2"/>
      <c r="V158" s="19">
        <f t="shared" si="50"/>
        <v>1.085666729246606E-2</v>
      </c>
      <c r="W158" s="2"/>
      <c r="X158" s="2">
        <f t="shared" si="51"/>
        <v>41310.239999999991</v>
      </c>
      <c r="Y158" s="2"/>
      <c r="Z158" s="19">
        <f t="shared" si="52"/>
        <v>0.31387227622788039</v>
      </c>
    </row>
    <row r="159" spans="1:26" s="23" customFormat="1" hidden="1" outlineLevel="1" x14ac:dyDescent="0.25">
      <c r="A159" s="44"/>
      <c r="B159" s="10" t="str">
        <f>CONCATENATE("          ", "5081", " - ", "PURCHASES @ COST-ELECTRONICS")</f>
        <v xml:space="preserve">          5081 - PURCHASES @ COST-ELECTRONICS</v>
      </c>
      <c r="C159" s="10"/>
      <c r="D159" s="2">
        <v>-4801.84</v>
      </c>
      <c r="E159" s="2"/>
      <c r="F159" s="19">
        <f t="shared" si="45"/>
        <v>-1.4587007610193981E-2</v>
      </c>
      <c r="G159" s="2"/>
      <c r="H159" s="2">
        <v>-173.28</v>
      </c>
      <c r="I159" s="2"/>
      <c r="J159" s="19">
        <f t="shared" si="46"/>
        <v>-2.6305822277907209E-4</v>
      </c>
      <c r="K159" s="2"/>
      <c r="L159" s="2">
        <f t="shared" si="47"/>
        <v>-4628.5600000000004</v>
      </c>
      <c r="M159" s="2"/>
      <c r="N159" s="19">
        <f t="shared" si="48"/>
        <v>26.711449676823641</v>
      </c>
      <c r="O159" s="10"/>
      <c r="P159" s="2">
        <v>27617.62</v>
      </c>
      <c r="Q159" s="2"/>
      <c r="R159" s="19">
        <f t="shared" si="49"/>
        <v>3.4048947434700827E-3</v>
      </c>
      <c r="S159" s="2"/>
      <c r="T159" s="2">
        <v>260296.33</v>
      </c>
      <c r="U159" s="2"/>
      <c r="V159" s="19">
        <f t="shared" si="50"/>
        <v>2.1471372805689205E-2</v>
      </c>
      <c r="W159" s="2"/>
      <c r="X159" s="2">
        <f t="shared" si="51"/>
        <v>-232678.71</v>
      </c>
      <c r="Y159" s="2"/>
      <c r="Z159" s="19">
        <f t="shared" si="52"/>
        <v>-0.89389931083546204</v>
      </c>
    </row>
    <row r="160" spans="1:26" s="23" customFormat="1" hidden="1" outlineLevel="1" x14ac:dyDescent="0.25">
      <c r="A160" s="44"/>
      <c r="B160" s="10" t="str">
        <f>CONCATENATE("          ", "5082", " - ", "PURCHASES @ COST-COMPUTER HARD")</f>
        <v xml:space="preserve">          5082 - PURCHASES @ COST-COMPUTER HARD</v>
      </c>
      <c r="C160" s="10"/>
      <c r="D160" s="2">
        <v>153062.79</v>
      </c>
      <c r="E160" s="2"/>
      <c r="F160" s="19">
        <f t="shared" si="45"/>
        <v>0.46497344404801561</v>
      </c>
      <c r="G160" s="2"/>
      <c r="H160" s="2">
        <v>190200.93</v>
      </c>
      <c r="I160" s="2"/>
      <c r="J160" s="19">
        <f t="shared" si="46"/>
        <v>0.2887460677327256</v>
      </c>
      <c r="K160" s="2"/>
      <c r="L160" s="2">
        <f t="shared" si="47"/>
        <v>-37138.139999999985</v>
      </c>
      <c r="M160" s="2"/>
      <c r="N160" s="19">
        <f t="shared" si="48"/>
        <v>-0.19525740489281512</v>
      </c>
      <c r="O160" s="10"/>
      <c r="P160" s="2">
        <v>1955597.66</v>
      </c>
      <c r="Q160" s="2"/>
      <c r="R160" s="19">
        <f t="shared" si="49"/>
        <v>0.24109985555874816</v>
      </c>
      <c r="S160" s="2"/>
      <c r="T160" s="2">
        <v>1831850.83</v>
      </c>
      <c r="U160" s="2"/>
      <c r="V160" s="19">
        <f t="shared" si="50"/>
        <v>0.15110605706711733</v>
      </c>
      <c r="W160" s="2"/>
      <c r="X160" s="2">
        <f t="shared" si="51"/>
        <v>123746.82999999984</v>
      </c>
      <c r="Y160" s="2"/>
      <c r="Z160" s="19">
        <f t="shared" si="52"/>
        <v>6.7552896760703945E-2</v>
      </c>
    </row>
    <row r="161" spans="1:26" s="23" customFormat="1" hidden="1" outlineLevel="1" x14ac:dyDescent="0.25">
      <c r="A161" s="44"/>
      <c r="B161" s="10" t="str">
        <f>CONCATENATE("          ", "5083", " - ", "PURCHASES @ COST-COMPUTER EQUI")</f>
        <v xml:space="preserve">          5083 - PURCHASES @ COST-COMPUTER EQUI</v>
      </c>
      <c r="C161" s="10"/>
      <c r="D161" s="2">
        <v>24791.69</v>
      </c>
      <c r="E161" s="2"/>
      <c r="F161" s="19">
        <f t="shared" si="45"/>
        <v>7.5312082597414731E-2</v>
      </c>
      <c r="G161" s="2"/>
      <c r="H161" s="2">
        <v>12873.49</v>
      </c>
      <c r="I161" s="2"/>
      <c r="J161" s="19">
        <f t="shared" si="46"/>
        <v>1.954338296609047E-2</v>
      </c>
      <c r="K161" s="2"/>
      <c r="L161" s="2">
        <f t="shared" si="47"/>
        <v>11918.199999999999</v>
      </c>
      <c r="M161" s="2"/>
      <c r="N161" s="19">
        <f t="shared" si="48"/>
        <v>0.92579401545346285</v>
      </c>
      <c r="O161" s="10"/>
      <c r="P161" s="2">
        <v>151821.63</v>
      </c>
      <c r="Q161" s="2"/>
      <c r="R161" s="19">
        <f t="shared" si="49"/>
        <v>1.8717640040382188E-2</v>
      </c>
      <c r="S161" s="2"/>
      <c r="T161" s="2">
        <v>107819.31</v>
      </c>
      <c r="U161" s="2"/>
      <c r="V161" s="19">
        <f t="shared" si="50"/>
        <v>8.8938195965428107E-3</v>
      </c>
      <c r="W161" s="2"/>
      <c r="X161" s="2">
        <f t="shared" si="51"/>
        <v>44002.320000000007</v>
      </c>
      <c r="Y161" s="2"/>
      <c r="Z161" s="19">
        <f t="shared" si="52"/>
        <v>0.40811168240642615</v>
      </c>
    </row>
    <row r="162" spans="1:26" s="23" customFormat="1" hidden="1" outlineLevel="1" x14ac:dyDescent="0.25">
      <c r="A162" s="44"/>
      <c r="B162" s="10" t="str">
        <f>CONCATENATE("          ", "5084", " - ", "PURCHASES @ COST-SOFTWARE LICE")</f>
        <v xml:space="preserve">          5084 - PURCHASES @ COST-SOFTWARE LICE</v>
      </c>
      <c r="C162" s="10"/>
      <c r="D162" s="2">
        <v>2421</v>
      </c>
      <c r="E162" s="2"/>
      <c r="F162" s="19">
        <f t="shared" si="45"/>
        <v>7.3545027373422738E-3</v>
      </c>
      <c r="G162" s="2"/>
      <c r="H162" s="2"/>
      <c r="I162" s="2"/>
      <c r="J162" s="19">
        <f t="shared" si="46"/>
        <v>0</v>
      </c>
      <c r="K162" s="2"/>
      <c r="L162" s="2">
        <f t="shared" si="47"/>
        <v>2421</v>
      </c>
      <c r="M162" s="2"/>
      <c r="N162" s="19">
        <f t="shared" si="48"/>
        <v>0</v>
      </c>
      <c r="O162" s="10"/>
      <c r="P162" s="2">
        <v>2421</v>
      </c>
      <c r="Q162" s="2"/>
      <c r="R162" s="19">
        <f t="shared" si="49"/>
        <v>2.9847793451937823E-4</v>
      </c>
      <c r="S162" s="2"/>
      <c r="T162" s="2">
        <v>2728</v>
      </c>
      <c r="U162" s="2"/>
      <c r="V162" s="19">
        <f t="shared" si="50"/>
        <v>2.2502777896991541E-4</v>
      </c>
      <c r="W162" s="2"/>
      <c r="X162" s="2">
        <f t="shared" si="51"/>
        <v>-307</v>
      </c>
      <c r="Y162" s="2"/>
      <c r="Z162" s="19">
        <f t="shared" si="52"/>
        <v>-0.1125366568914956</v>
      </c>
    </row>
    <row r="163" spans="1:26" s="23" customFormat="1" hidden="1" outlineLevel="1" x14ac:dyDescent="0.25">
      <c r="A163" s="44"/>
      <c r="B163" s="10" t="str">
        <f>CONCATENATE("          ", "5085", " - ", "PURCHASES @ COST-SOFTWARE")</f>
        <v xml:space="preserve">          5085 - PURCHASES @ COST-SOFTWARE</v>
      </c>
      <c r="C163" s="10"/>
      <c r="D163" s="2">
        <v>10694.79</v>
      </c>
      <c r="E163" s="2"/>
      <c r="F163" s="19">
        <f t="shared" si="45"/>
        <v>3.2488584192606688E-2</v>
      </c>
      <c r="G163" s="2"/>
      <c r="H163" s="2">
        <v>1996.51</v>
      </c>
      <c r="I163" s="2"/>
      <c r="J163" s="19">
        <f t="shared" si="46"/>
        <v>3.0309232015272689E-3</v>
      </c>
      <c r="K163" s="2"/>
      <c r="L163" s="2">
        <f t="shared" si="47"/>
        <v>8698.2800000000007</v>
      </c>
      <c r="M163" s="2"/>
      <c r="N163" s="19">
        <f t="shared" si="48"/>
        <v>4.3567425156898789</v>
      </c>
      <c r="O163" s="10"/>
      <c r="P163" s="2">
        <v>56981.16</v>
      </c>
      <c r="Q163" s="2"/>
      <c r="R163" s="19">
        <f t="shared" si="49"/>
        <v>7.0250388035184696E-3</v>
      </c>
      <c r="S163" s="2"/>
      <c r="T163" s="2">
        <v>17324.650000000001</v>
      </c>
      <c r="U163" s="2"/>
      <c r="V163" s="19">
        <f t="shared" si="50"/>
        <v>1.429078999608191E-3</v>
      </c>
      <c r="W163" s="2"/>
      <c r="X163" s="2">
        <f t="shared" si="51"/>
        <v>39656.51</v>
      </c>
      <c r="Y163" s="2"/>
      <c r="Z163" s="19">
        <f t="shared" si="52"/>
        <v>2.2890222890505725</v>
      </c>
    </row>
    <row r="164" spans="1:26" s="23" customFormat="1" hidden="1" outlineLevel="1" x14ac:dyDescent="0.25">
      <c r="A164" s="44"/>
      <c r="B164" s="10" t="str">
        <f>CONCATENATE("          ", "5086", " - ", "PURCHASES @ COST-COMPUTER SUPP")</f>
        <v xml:space="preserve">          5086 - PURCHASES @ COST-COMPUTER SUPP</v>
      </c>
      <c r="C164" s="10"/>
      <c r="D164" s="2">
        <v>853.49</v>
      </c>
      <c r="E164" s="2"/>
      <c r="F164" s="19">
        <f t="shared" si="45"/>
        <v>2.5927280220133242E-3</v>
      </c>
      <c r="G164" s="2"/>
      <c r="H164" s="2">
        <v>127.27</v>
      </c>
      <c r="I164" s="2"/>
      <c r="J164" s="19">
        <f t="shared" si="46"/>
        <v>1.9320994929070004E-4</v>
      </c>
      <c r="K164" s="2"/>
      <c r="L164" s="2">
        <f t="shared" si="47"/>
        <v>726.22</v>
      </c>
      <c r="M164" s="2"/>
      <c r="N164" s="19">
        <f t="shared" si="48"/>
        <v>5.7061365600691447</v>
      </c>
      <c r="O164" s="10"/>
      <c r="P164" s="2">
        <v>24629.71</v>
      </c>
      <c r="Q164" s="2"/>
      <c r="R164" s="19">
        <f t="shared" si="49"/>
        <v>3.0365241506035835E-3</v>
      </c>
      <c r="S164" s="2"/>
      <c r="T164" s="2">
        <v>30436.54</v>
      </c>
      <c r="U164" s="2"/>
      <c r="V164" s="19">
        <f t="shared" si="50"/>
        <v>2.5106550570854064E-3</v>
      </c>
      <c r="W164" s="2"/>
      <c r="X164" s="2">
        <f t="shared" si="51"/>
        <v>-5806.8300000000017</v>
      </c>
      <c r="Y164" s="2"/>
      <c r="Z164" s="19">
        <f t="shared" si="52"/>
        <v>-0.19078482639616728</v>
      </c>
    </row>
    <row r="165" spans="1:26" s="23" customFormat="1" hidden="1" outlineLevel="1" x14ac:dyDescent="0.25">
      <c r="A165" s="44"/>
      <c r="B165" s="10" t="str">
        <f>CONCATENATE("          ", "5088", " - ", "PURCHASES @ COST-MUSIC")</f>
        <v xml:space="preserve">          5088 - PURCHASES @ COST-MUSIC</v>
      </c>
      <c r="C165" s="10"/>
      <c r="D165" s="2"/>
      <c r="E165" s="2"/>
      <c r="F165" s="19">
        <f t="shared" si="45"/>
        <v>0</v>
      </c>
      <c r="G165" s="2"/>
      <c r="H165" s="2"/>
      <c r="I165" s="2"/>
      <c r="J165" s="19">
        <f t="shared" si="46"/>
        <v>0</v>
      </c>
      <c r="K165" s="2"/>
      <c r="L165" s="2">
        <f t="shared" si="47"/>
        <v>0</v>
      </c>
      <c r="M165" s="2"/>
      <c r="N165" s="19">
        <f t="shared" si="48"/>
        <v>0</v>
      </c>
      <c r="O165" s="10"/>
      <c r="P165" s="2"/>
      <c r="Q165" s="2"/>
      <c r="R165" s="19">
        <f t="shared" si="49"/>
        <v>0</v>
      </c>
      <c r="S165" s="2"/>
      <c r="T165" s="2">
        <v>95.65</v>
      </c>
      <c r="U165" s="2"/>
      <c r="V165" s="19">
        <f t="shared" si="50"/>
        <v>7.8899952560382736E-6</v>
      </c>
      <c r="W165" s="2"/>
      <c r="X165" s="2">
        <f t="shared" si="51"/>
        <v>-95.65</v>
      </c>
      <c r="Y165" s="2"/>
      <c r="Z165" s="19">
        <f t="shared" si="52"/>
        <v>-1</v>
      </c>
    </row>
    <row r="166" spans="1:26" s="23" customFormat="1" hidden="1" outlineLevel="1" x14ac:dyDescent="0.25">
      <c r="A166" s="44"/>
      <c r="B166" s="10" t="str">
        <f>CONCATENATE("          ", "5092", " - ", "PURCHASES @ COST-GRAD MERCH")</f>
        <v xml:space="preserve">          5092 - PURCHASES @ COST-GRAD MERCH</v>
      </c>
      <c r="C166" s="10"/>
      <c r="D166" s="2"/>
      <c r="E166" s="2"/>
      <c r="F166" s="19">
        <f t="shared" si="45"/>
        <v>0</v>
      </c>
      <c r="G166" s="2"/>
      <c r="H166" s="2">
        <v>9354.1</v>
      </c>
      <c r="I166" s="2"/>
      <c r="J166" s="19">
        <f t="shared" si="46"/>
        <v>1.4200559335743988E-2</v>
      </c>
      <c r="K166" s="2"/>
      <c r="L166" s="2">
        <f t="shared" si="47"/>
        <v>-9354.1</v>
      </c>
      <c r="M166" s="2"/>
      <c r="N166" s="19">
        <f t="shared" si="48"/>
        <v>-1</v>
      </c>
      <c r="O166" s="10"/>
      <c r="P166" s="2">
        <v>0</v>
      </c>
      <c r="Q166" s="2"/>
      <c r="R166" s="19">
        <f t="shared" si="49"/>
        <v>0</v>
      </c>
      <c r="S166" s="2"/>
      <c r="T166" s="2">
        <v>13839.98</v>
      </c>
      <c r="U166" s="2"/>
      <c r="V166" s="19">
        <f t="shared" si="50"/>
        <v>1.1416348828401941E-3</v>
      </c>
      <c r="W166" s="2"/>
      <c r="X166" s="2">
        <f t="shared" si="51"/>
        <v>-13839.98</v>
      </c>
      <c r="Y166" s="2"/>
      <c r="Z166" s="19">
        <f t="shared" si="52"/>
        <v>-1</v>
      </c>
    </row>
    <row r="167" spans="1:26" s="23" customFormat="1" hidden="1" outlineLevel="1" x14ac:dyDescent="0.25">
      <c r="A167" s="44"/>
      <c r="B167" s="10" t="str">
        <f>CONCATENATE("          ", "5095", " - ", "PURCHASES @ COST-CUSTOMER SERV")</f>
        <v xml:space="preserve">          5095 - PURCHASES @ COST-CUSTOMER SERV</v>
      </c>
      <c r="C167" s="10"/>
      <c r="D167" s="2"/>
      <c r="E167" s="2"/>
      <c r="F167" s="19">
        <f t="shared" si="45"/>
        <v>0</v>
      </c>
      <c r="G167" s="2"/>
      <c r="H167" s="2">
        <v>0</v>
      </c>
      <c r="I167" s="2"/>
      <c r="J167" s="19">
        <f t="shared" si="46"/>
        <v>0</v>
      </c>
      <c r="K167" s="2"/>
      <c r="L167" s="2">
        <f t="shared" si="47"/>
        <v>0</v>
      </c>
      <c r="M167" s="2"/>
      <c r="N167" s="19">
        <f t="shared" si="48"/>
        <v>0</v>
      </c>
      <c r="O167" s="10"/>
      <c r="P167" s="2"/>
      <c r="Q167" s="2"/>
      <c r="R167" s="19">
        <f t="shared" si="49"/>
        <v>0</v>
      </c>
      <c r="S167" s="2"/>
      <c r="T167" s="2">
        <v>0</v>
      </c>
      <c r="U167" s="2"/>
      <c r="V167" s="19">
        <f t="shared" si="50"/>
        <v>0</v>
      </c>
      <c r="W167" s="2"/>
      <c r="X167" s="2">
        <f t="shared" si="51"/>
        <v>0</v>
      </c>
      <c r="Y167" s="2"/>
      <c r="Z167" s="19">
        <f t="shared" si="52"/>
        <v>0</v>
      </c>
    </row>
    <row r="168" spans="1:26" s="23" customFormat="1" hidden="1" outlineLevel="1" x14ac:dyDescent="0.25">
      <c r="A168" s="44"/>
      <c r="B168" s="10" t="str">
        <f>CONCATENATE("          ", "5200", " - ", "PURCHASES OFFSET")</f>
        <v xml:space="preserve">          5200 - PURCHASES OFFSET</v>
      </c>
      <c r="C168" s="10"/>
      <c r="D168" s="2">
        <v>-715181.51</v>
      </c>
      <c r="E168" s="2"/>
      <c r="F168" s="19">
        <f t="shared" si="45"/>
        <v>-2.1725751230861547</v>
      </c>
      <c r="G168" s="2"/>
      <c r="H168" s="2">
        <v>-508944</v>
      </c>
      <c r="I168" s="2"/>
      <c r="J168" s="19">
        <f t="shared" si="46"/>
        <v>-0.77263333410706403</v>
      </c>
      <c r="K168" s="2"/>
      <c r="L168" s="2">
        <f t="shared" si="47"/>
        <v>-206237.51</v>
      </c>
      <c r="M168" s="2"/>
      <c r="N168" s="19">
        <f t="shared" si="48"/>
        <v>0.40522633138419945</v>
      </c>
      <c r="O168" s="10"/>
      <c r="P168" s="2">
        <v>-4591688.47</v>
      </c>
      <c r="Q168" s="2"/>
      <c r="R168" s="19">
        <f t="shared" si="49"/>
        <v>-0.56609570032302514</v>
      </c>
      <c r="S168" s="2"/>
      <c r="T168" s="2">
        <v>-6025314</v>
      </c>
      <c r="U168" s="2"/>
      <c r="V168" s="19">
        <f t="shared" si="50"/>
        <v>-0.4970172386423522</v>
      </c>
      <c r="W168" s="2"/>
      <c r="X168" s="2">
        <f t="shared" si="51"/>
        <v>1433625.5300000003</v>
      </c>
      <c r="Y168" s="2"/>
      <c r="Z168" s="19">
        <f t="shared" si="52"/>
        <v>-0.23793374585955193</v>
      </c>
    </row>
    <row r="169" spans="1:26" s="23" customFormat="1" hidden="1" outlineLevel="1" x14ac:dyDescent="0.25">
      <c r="A169" s="44"/>
      <c r="B169" s="10" t="str">
        <f>CONCATENATE("          ", "5300", " - ", "COG$ OFFSET")</f>
        <v xml:space="preserve">          5300 - COG$ OFFSET</v>
      </c>
      <c r="C169" s="10"/>
      <c r="D169" s="2">
        <v>223946</v>
      </c>
      <c r="E169" s="2"/>
      <c r="F169" s="19">
        <f t="shared" si="45"/>
        <v>0.68030213548816731</v>
      </c>
      <c r="G169" s="2"/>
      <c r="H169" s="2">
        <v>626650.53</v>
      </c>
      <c r="I169" s="2"/>
      <c r="J169" s="19">
        <f t="shared" si="46"/>
        <v>0.95132487722393577</v>
      </c>
      <c r="K169" s="2"/>
      <c r="L169" s="2">
        <f t="shared" si="47"/>
        <v>-402704.53</v>
      </c>
      <c r="M169" s="2"/>
      <c r="N169" s="19">
        <f t="shared" si="48"/>
        <v>-0.64263015942873292</v>
      </c>
      <c r="O169" s="10"/>
      <c r="P169" s="2">
        <v>5152122</v>
      </c>
      <c r="Q169" s="2"/>
      <c r="R169" s="19">
        <f t="shared" si="49"/>
        <v>0.63518989382562907</v>
      </c>
      <c r="S169" s="2"/>
      <c r="T169" s="2">
        <v>6784339</v>
      </c>
      <c r="U169" s="2"/>
      <c r="V169" s="19">
        <f t="shared" si="50"/>
        <v>0.55962783612499156</v>
      </c>
      <c r="W169" s="2"/>
      <c r="X169" s="2">
        <f t="shared" si="51"/>
        <v>-1632217</v>
      </c>
      <c r="Y169" s="2"/>
      <c r="Z169" s="19">
        <f t="shared" si="52"/>
        <v>-0.24058600255677082</v>
      </c>
    </row>
    <row r="170" spans="1:26" s="23" customFormat="1" hidden="1" outlineLevel="1" x14ac:dyDescent="0.25">
      <c r="A170" s="44"/>
      <c r="B170" s="10" t="str">
        <f>CONCATENATE("          ", "5500", " - ", "FREIGHT-IN")</f>
        <v xml:space="preserve">          5500 - FREIGHT-IN</v>
      </c>
      <c r="C170" s="10"/>
      <c r="D170" s="2">
        <v>65</v>
      </c>
      <c r="E170" s="2"/>
      <c r="F170" s="19">
        <f t="shared" si="45"/>
        <v>1.9745670298523249E-4</v>
      </c>
      <c r="G170" s="2"/>
      <c r="H170" s="2">
        <v>83.13</v>
      </c>
      <c r="I170" s="2"/>
      <c r="J170" s="19">
        <f t="shared" si="46"/>
        <v>1.2620054281869955E-4</v>
      </c>
      <c r="K170" s="2"/>
      <c r="L170" s="2">
        <f t="shared" si="47"/>
        <v>-18.129999999999995</v>
      </c>
      <c r="M170" s="2"/>
      <c r="N170" s="19">
        <f t="shared" si="48"/>
        <v>-0.21809214483339343</v>
      </c>
      <c r="O170" s="10"/>
      <c r="P170" s="2">
        <v>65</v>
      </c>
      <c r="Q170" s="2"/>
      <c r="R170" s="19">
        <f t="shared" si="49"/>
        <v>8.0136578867243232E-6</v>
      </c>
      <c r="S170" s="2"/>
      <c r="T170" s="2">
        <v>239.61</v>
      </c>
      <c r="U170" s="2"/>
      <c r="V170" s="19">
        <f t="shared" si="50"/>
        <v>1.9764994911650084E-5</v>
      </c>
      <c r="W170" s="2"/>
      <c r="X170" s="2">
        <f t="shared" si="51"/>
        <v>-174.61</v>
      </c>
      <c r="Y170" s="2"/>
      <c r="Z170" s="19">
        <f t="shared" si="52"/>
        <v>-0.72872584616668756</v>
      </c>
    </row>
    <row r="171" spans="1:26" s="23" customFormat="1" hidden="1" outlineLevel="1" x14ac:dyDescent="0.25">
      <c r="A171" s="44"/>
      <c r="B171" s="10" t="str">
        <f>CONCATENATE("          ", "5501", " - ", "FREIGHT-IN-NEW TEXT")</f>
        <v xml:space="preserve">          5501 - FREIGHT-IN-NEW TEXT</v>
      </c>
      <c r="C171" s="10"/>
      <c r="D171" s="2">
        <v>1565.85</v>
      </c>
      <c r="E171" s="2"/>
      <c r="F171" s="19">
        <f t="shared" si="45"/>
        <v>4.7567319749142502E-3</v>
      </c>
      <c r="G171" s="2"/>
      <c r="H171" s="2">
        <v>2483.06</v>
      </c>
      <c r="I171" s="2"/>
      <c r="J171" s="19">
        <f t="shared" si="46"/>
        <v>3.7695599645302556E-3</v>
      </c>
      <c r="K171" s="2"/>
      <c r="L171" s="2">
        <f t="shared" si="47"/>
        <v>-917.21</v>
      </c>
      <c r="M171" s="2"/>
      <c r="N171" s="19">
        <f t="shared" si="48"/>
        <v>-0.36938696608217281</v>
      </c>
      <c r="O171" s="10"/>
      <c r="P171" s="2">
        <v>53401.99</v>
      </c>
      <c r="Q171" s="2"/>
      <c r="R171" s="19">
        <f t="shared" si="49"/>
        <v>6.5837735127734368E-3</v>
      </c>
      <c r="S171" s="2"/>
      <c r="T171" s="2">
        <v>72230.789999999994</v>
      </c>
      <c r="U171" s="2"/>
      <c r="V171" s="19">
        <f t="shared" si="50"/>
        <v>5.9581870406680256E-3</v>
      </c>
      <c r="W171" s="2"/>
      <c r="X171" s="2">
        <f t="shared" si="51"/>
        <v>-18828.799999999996</v>
      </c>
      <c r="Y171" s="2"/>
      <c r="Z171" s="19">
        <f t="shared" si="52"/>
        <v>-0.26067553739894023</v>
      </c>
    </row>
    <row r="172" spans="1:26" s="23" customFormat="1" hidden="1" outlineLevel="1" x14ac:dyDescent="0.25">
      <c r="A172" s="44"/>
      <c r="B172" s="10" t="str">
        <f>CONCATENATE("          ", "5502", " - ", "FREIGHT-IN-USED TEXT")</f>
        <v xml:space="preserve">          5502 - FREIGHT-IN-USED TEXT</v>
      </c>
      <c r="C172" s="10"/>
      <c r="D172" s="2">
        <v>149.80000000000001</v>
      </c>
      <c r="E172" s="2"/>
      <c r="F172" s="19">
        <f t="shared" si="45"/>
        <v>4.5506175549519737E-4</v>
      </c>
      <c r="G172" s="2"/>
      <c r="H172" s="2">
        <v>519.36</v>
      </c>
      <c r="I172" s="2"/>
      <c r="J172" s="19">
        <f t="shared" si="46"/>
        <v>7.884459751993241E-4</v>
      </c>
      <c r="K172" s="2"/>
      <c r="L172" s="2">
        <f t="shared" si="47"/>
        <v>-369.56</v>
      </c>
      <c r="M172" s="2"/>
      <c r="N172" s="19">
        <f t="shared" si="48"/>
        <v>-0.71156808379544056</v>
      </c>
      <c r="O172" s="10"/>
      <c r="P172" s="2">
        <v>18142.669999999998</v>
      </c>
      <c r="Q172" s="2"/>
      <c r="R172" s="19">
        <f t="shared" si="49"/>
        <v>2.2367561620267192E-3</v>
      </c>
      <c r="S172" s="2"/>
      <c r="T172" s="2">
        <v>16200.12</v>
      </c>
      <c r="U172" s="2"/>
      <c r="V172" s="19">
        <f t="shared" si="50"/>
        <v>1.3363185566884553E-3</v>
      </c>
      <c r="W172" s="2"/>
      <c r="X172" s="2">
        <f t="shared" si="51"/>
        <v>1942.5499999999975</v>
      </c>
      <c r="Y172" s="2"/>
      <c r="Z172" s="19">
        <f t="shared" si="52"/>
        <v>0.11990960560785953</v>
      </c>
    </row>
    <row r="173" spans="1:26" s="23" customFormat="1" hidden="1" outlineLevel="1" x14ac:dyDescent="0.25">
      <c r="A173" s="44"/>
      <c r="B173" s="10" t="str">
        <f>CONCATENATE("          ", "5504", " - ", "FREIGHT-IN-DIGITAL TEXT")</f>
        <v xml:space="preserve">          5504 - FREIGHT-IN-DIGITAL TEXT</v>
      </c>
      <c r="C173" s="10"/>
      <c r="D173" s="2">
        <v>4.28</v>
      </c>
      <c r="E173" s="2"/>
      <c r="F173" s="19">
        <f t="shared" si="45"/>
        <v>1.3001764442719923E-5</v>
      </c>
      <c r="G173" s="2"/>
      <c r="H173" s="2"/>
      <c r="I173" s="2"/>
      <c r="J173" s="19">
        <f t="shared" si="46"/>
        <v>0</v>
      </c>
      <c r="K173" s="2"/>
      <c r="L173" s="2">
        <f t="shared" si="47"/>
        <v>4.28</v>
      </c>
      <c r="M173" s="2"/>
      <c r="N173" s="19">
        <f t="shared" si="48"/>
        <v>0</v>
      </c>
      <c r="O173" s="10"/>
      <c r="P173" s="2">
        <v>33.200000000000003</v>
      </c>
      <c r="Q173" s="2"/>
      <c r="R173" s="19">
        <f t="shared" si="49"/>
        <v>4.0931298744499621E-6</v>
      </c>
      <c r="S173" s="2"/>
      <c r="T173" s="2">
        <v>118.75</v>
      </c>
      <c r="U173" s="2"/>
      <c r="V173" s="19">
        <f t="shared" si="50"/>
        <v>9.7954724166706209E-6</v>
      </c>
      <c r="W173" s="2"/>
      <c r="X173" s="2">
        <f t="shared" si="51"/>
        <v>-85.55</v>
      </c>
      <c r="Y173" s="2"/>
      <c r="Z173" s="19">
        <f t="shared" si="52"/>
        <v>-0.72042105263157896</v>
      </c>
    </row>
    <row r="174" spans="1:26" s="23" customFormat="1" hidden="1" outlineLevel="1" x14ac:dyDescent="0.25">
      <c r="A174" s="44"/>
      <c r="B174" s="10" t="str">
        <f>CONCATENATE("          ", "5513", " - ", "FREIGHT-IN-TRADE BOOKS")</f>
        <v xml:space="preserve">          5513 - FREIGHT-IN-TRADE BOOKS</v>
      </c>
      <c r="C174" s="10"/>
      <c r="D174" s="2"/>
      <c r="E174" s="2"/>
      <c r="F174" s="19">
        <f t="shared" si="45"/>
        <v>0</v>
      </c>
      <c r="G174" s="2"/>
      <c r="H174" s="2"/>
      <c r="I174" s="2"/>
      <c r="J174" s="19">
        <f t="shared" si="46"/>
        <v>0</v>
      </c>
      <c r="K174" s="2"/>
      <c r="L174" s="2">
        <f t="shared" si="47"/>
        <v>0</v>
      </c>
      <c r="M174" s="2"/>
      <c r="N174" s="19">
        <f t="shared" si="48"/>
        <v>0</v>
      </c>
      <c r="O174" s="10"/>
      <c r="P174" s="2">
        <v>85.28</v>
      </c>
      <c r="Q174" s="2"/>
      <c r="R174" s="19">
        <f t="shared" si="49"/>
        <v>1.0513919147382311E-5</v>
      </c>
      <c r="S174" s="2"/>
      <c r="T174" s="2">
        <v>30.24</v>
      </c>
      <c r="U174" s="2"/>
      <c r="V174" s="19">
        <f t="shared" si="50"/>
        <v>2.4944428284641649E-6</v>
      </c>
      <c r="W174" s="2"/>
      <c r="X174" s="2">
        <f t="shared" si="51"/>
        <v>55.040000000000006</v>
      </c>
      <c r="Y174" s="2"/>
      <c r="Z174" s="19">
        <f t="shared" si="52"/>
        <v>1.8201058201058204</v>
      </c>
    </row>
    <row r="175" spans="1:26" s="23" customFormat="1" hidden="1" outlineLevel="1" x14ac:dyDescent="0.25">
      <c r="A175" s="44"/>
      <c r="B175" s="10" t="str">
        <f>CONCATENATE("          ", "5518", " - ", "FREIGHT-IN-STUDY GUIDES")</f>
        <v xml:space="preserve">          5518 - FREIGHT-IN-STUDY GUIDES</v>
      </c>
      <c r="C175" s="10"/>
      <c r="D175" s="2"/>
      <c r="E175" s="2"/>
      <c r="F175" s="19">
        <f t="shared" si="45"/>
        <v>0</v>
      </c>
      <c r="G175" s="2"/>
      <c r="H175" s="2"/>
      <c r="I175" s="2"/>
      <c r="J175" s="19">
        <f t="shared" si="46"/>
        <v>0</v>
      </c>
      <c r="K175" s="2"/>
      <c r="L175" s="2">
        <f t="shared" si="47"/>
        <v>0</v>
      </c>
      <c r="M175" s="2"/>
      <c r="N175" s="19">
        <f t="shared" si="48"/>
        <v>0</v>
      </c>
      <c r="O175" s="10"/>
      <c r="P175" s="2"/>
      <c r="Q175" s="2"/>
      <c r="R175" s="19">
        <f t="shared" si="49"/>
        <v>0</v>
      </c>
      <c r="S175" s="2"/>
      <c r="T175" s="2">
        <v>21.13</v>
      </c>
      <c r="U175" s="2"/>
      <c r="V175" s="19">
        <f t="shared" si="50"/>
        <v>1.7429754287515807E-6</v>
      </c>
      <c r="W175" s="2"/>
      <c r="X175" s="2">
        <f t="shared" si="51"/>
        <v>-21.13</v>
      </c>
      <c r="Y175" s="2"/>
      <c r="Z175" s="19">
        <f t="shared" si="52"/>
        <v>-1</v>
      </c>
    </row>
    <row r="176" spans="1:26" s="23" customFormat="1" hidden="1" outlineLevel="1" x14ac:dyDescent="0.25">
      <c r="A176" s="44"/>
      <c r="B176" s="10" t="str">
        <f>CONCATENATE("          ", "5525", " - ", "FREIGHT-IN-TEST FORMS")</f>
        <v xml:space="preserve">          5525 - FREIGHT-IN-TEST FORMS</v>
      </c>
      <c r="C176" s="10"/>
      <c r="D176" s="2"/>
      <c r="E176" s="2"/>
      <c r="F176" s="19">
        <f t="shared" si="45"/>
        <v>0</v>
      </c>
      <c r="G176" s="2"/>
      <c r="H176" s="2"/>
      <c r="I176" s="2"/>
      <c r="J176" s="19">
        <f t="shared" si="46"/>
        <v>0</v>
      </c>
      <c r="K176" s="2"/>
      <c r="L176" s="2">
        <f t="shared" si="47"/>
        <v>0</v>
      </c>
      <c r="M176" s="2"/>
      <c r="N176" s="19">
        <f t="shared" si="48"/>
        <v>0</v>
      </c>
      <c r="O176" s="10"/>
      <c r="P176" s="2">
        <v>48.14</v>
      </c>
      <c r="Q176" s="2"/>
      <c r="R176" s="19">
        <f t="shared" si="49"/>
        <v>5.9350383179524444E-6</v>
      </c>
      <c r="S176" s="2"/>
      <c r="T176" s="2">
        <v>1614.32</v>
      </c>
      <c r="U176" s="2"/>
      <c r="V176" s="19">
        <f t="shared" si="50"/>
        <v>1.3316233289835551E-4</v>
      </c>
      <c r="W176" s="2"/>
      <c r="X176" s="2">
        <f t="shared" si="51"/>
        <v>-1566.1799999999998</v>
      </c>
      <c r="Y176" s="2"/>
      <c r="Z176" s="19">
        <f t="shared" si="52"/>
        <v>-0.9701793944199415</v>
      </c>
    </row>
    <row r="177" spans="1:26" s="23" customFormat="1" hidden="1" outlineLevel="1" x14ac:dyDescent="0.25">
      <c r="A177" s="44"/>
      <c r="B177" s="10" t="str">
        <f>CONCATENATE("          ", "5526", " - ", "FREIGHT-IN-WRITING INSTRUMENTS")</f>
        <v xml:space="preserve">          5526 - FREIGHT-IN-WRITING INSTRUMENTS</v>
      </c>
      <c r="C177" s="10"/>
      <c r="D177" s="2"/>
      <c r="E177" s="2"/>
      <c r="F177" s="19">
        <f t="shared" si="45"/>
        <v>0</v>
      </c>
      <c r="G177" s="2"/>
      <c r="H177" s="2"/>
      <c r="I177" s="2"/>
      <c r="J177" s="19">
        <f t="shared" si="46"/>
        <v>0</v>
      </c>
      <c r="K177" s="2"/>
      <c r="L177" s="2">
        <f t="shared" si="47"/>
        <v>0</v>
      </c>
      <c r="M177" s="2"/>
      <c r="N177" s="19">
        <f t="shared" si="48"/>
        <v>0</v>
      </c>
      <c r="O177" s="10"/>
      <c r="P177" s="2">
        <v>0</v>
      </c>
      <c r="Q177" s="2"/>
      <c r="R177" s="19">
        <f t="shared" si="49"/>
        <v>0</v>
      </c>
      <c r="S177" s="2"/>
      <c r="T177" s="2">
        <v>274.5</v>
      </c>
      <c r="U177" s="2"/>
      <c r="V177" s="19">
        <f t="shared" si="50"/>
        <v>2.2643007817903876E-5</v>
      </c>
      <c r="W177" s="2"/>
      <c r="X177" s="2">
        <f t="shared" si="51"/>
        <v>-274.5</v>
      </c>
      <c r="Y177" s="2"/>
      <c r="Z177" s="19">
        <f t="shared" si="52"/>
        <v>-1</v>
      </c>
    </row>
    <row r="178" spans="1:26" s="23" customFormat="1" hidden="1" outlineLevel="1" x14ac:dyDescent="0.25">
      <c r="A178" s="44"/>
      <c r="B178" s="10" t="str">
        <f>CONCATENATE("          ", "5527", " - ", "FREIGHT-IN-SCHOOL SUPPLIES")</f>
        <v xml:space="preserve">          5527 - FREIGHT-IN-SCHOOL SUPPLIES</v>
      </c>
      <c r="C178" s="10"/>
      <c r="D178" s="2">
        <v>58.29</v>
      </c>
      <c r="E178" s="2"/>
      <c r="F178" s="19">
        <f t="shared" si="45"/>
        <v>1.7707309564629539E-4</v>
      </c>
      <c r="G178" s="2"/>
      <c r="H178" s="2"/>
      <c r="I178" s="2"/>
      <c r="J178" s="19">
        <f t="shared" si="46"/>
        <v>0</v>
      </c>
      <c r="K178" s="2"/>
      <c r="L178" s="2">
        <f t="shared" si="47"/>
        <v>58.29</v>
      </c>
      <c r="M178" s="2"/>
      <c r="N178" s="19">
        <f t="shared" si="48"/>
        <v>0</v>
      </c>
      <c r="O178" s="10"/>
      <c r="P178" s="2">
        <v>276.91000000000003</v>
      </c>
      <c r="Q178" s="2"/>
      <c r="R178" s="19">
        <f t="shared" si="49"/>
        <v>3.4139415467889733E-5</v>
      </c>
      <c r="S178" s="2"/>
      <c r="T178" s="2">
        <v>1808</v>
      </c>
      <c r="U178" s="2"/>
      <c r="V178" s="19">
        <f t="shared" si="50"/>
        <v>1.4913864529970933E-4</v>
      </c>
      <c r="W178" s="2"/>
      <c r="X178" s="2">
        <f t="shared" si="51"/>
        <v>-1531.09</v>
      </c>
      <c r="Y178" s="2"/>
      <c r="Z178" s="19">
        <f t="shared" si="52"/>
        <v>-0.84684181415929194</v>
      </c>
    </row>
    <row r="179" spans="1:26" s="23" customFormat="1" hidden="1" outlineLevel="1" x14ac:dyDescent="0.25">
      <c r="A179" s="44"/>
      <c r="B179" s="10" t="str">
        <f>CONCATENATE("          ", "5528", " - ", "FREIGHT-IN-ART/TECH")</f>
        <v xml:space="preserve">          5528 - FREIGHT-IN-ART/TECH</v>
      </c>
      <c r="C179" s="10"/>
      <c r="D179" s="2">
        <v>102.68</v>
      </c>
      <c r="E179" s="2"/>
      <c r="F179" s="19">
        <f t="shared" si="45"/>
        <v>3.1192083480805649E-4</v>
      </c>
      <c r="G179" s="2"/>
      <c r="H179" s="2">
        <v>13.33</v>
      </c>
      <c r="I179" s="2"/>
      <c r="J179" s="19">
        <f t="shared" si="46"/>
        <v>2.0236415683547039E-5</v>
      </c>
      <c r="K179" s="2"/>
      <c r="L179" s="2">
        <f t="shared" si="47"/>
        <v>89.350000000000009</v>
      </c>
      <c r="M179" s="2"/>
      <c r="N179" s="19">
        <f t="shared" si="48"/>
        <v>6.7029257314328587</v>
      </c>
      <c r="O179" s="10"/>
      <c r="P179" s="2">
        <v>675.64</v>
      </c>
      <c r="Q179" s="2"/>
      <c r="R179" s="19">
        <f t="shared" si="49"/>
        <v>8.3297658685944938E-5</v>
      </c>
      <c r="S179" s="2"/>
      <c r="T179" s="2">
        <v>2837.7</v>
      </c>
      <c r="U179" s="2"/>
      <c r="V179" s="19">
        <f t="shared" si="50"/>
        <v>2.3407673327819974E-4</v>
      </c>
      <c r="W179" s="2"/>
      <c r="X179" s="2">
        <f t="shared" si="51"/>
        <v>-2162.06</v>
      </c>
      <c r="Y179" s="2"/>
      <c r="Z179" s="19">
        <f t="shared" si="52"/>
        <v>-0.76190576875638727</v>
      </c>
    </row>
    <row r="180" spans="1:26" s="23" customFormat="1" hidden="1" outlineLevel="1" x14ac:dyDescent="0.25">
      <c r="A180" s="44"/>
      <c r="B180" s="10" t="str">
        <f>CONCATENATE("          ", "5540", " - ", "FREIGHT-IN-LOGO CLOTHING")</f>
        <v xml:space="preserve">          5540 - FREIGHT-IN-LOGO CLOTHING</v>
      </c>
      <c r="C180" s="10"/>
      <c r="D180" s="2">
        <v>1384.09</v>
      </c>
      <c r="E180" s="2"/>
      <c r="F180" s="19">
        <f t="shared" si="45"/>
        <v>4.2045822774589292E-3</v>
      </c>
      <c r="G180" s="2"/>
      <c r="H180" s="2">
        <v>29.98</v>
      </c>
      <c r="I180" s="2"/>
      <c r="J180" s="19">
        <f t="shared" si="46"/>
        <v>4.5512958904181564E-5</v>
      </c>
      <c r="K180" s="2"/>
      <c r="L180" s="2">
        <f t="shared" si="47"/>
        <v>1354.11</v>
      </c>
      <c r="M180" s="2"/>
      <c r="N180" s="19">
        <f t="shared" si="48"/>
        <v>45.167111407605063</v>
      </c>
      <c r="O180" s="10"/>
      <c r="P180" s="2">
        <v>11883.79</v>
      </c>
      <c r="Q180" s="2"/>
      <c r="R180" s="19">
        <f t="shared" si="49"/>
        <v>1.4651173455027023E-3</v>
      </c>
      <c r="S180" s="2"/>
      <c r="T180" s="2">
        <v>32548.98</v>
      </c>
      <c r="U180" s="2"/>
      <c r="V180" s="19">
        <f t="shared" si="50"/>
        <v>2.6849064065748523E-3</v>
      </c>
      <c r="W180" s="2"/>
      <c r="X180" s="2">
        <f t="shared" si="51"/>
        <v>-20665.189999999999</v>
      </c>
      <c r="Y180" s="2"/>
      <c r="Z180" s="19">
        <f t="shared" si="52"/>
        <v>-0.63489516414953706</v>
      </c>
    </row>
    <row r="181" spans="1:26" s="23" customFormat="1" hidden="1" outlineLevel="1" x14ac:dyDescent="0.25">
      <c r="A181" s="44"/>
      <c r="B181" s="10" t="str">
        <f>CONCATENATE("          ", "5541", " - ", "FREIGHT-IN-LOGO GIFTS")</f>
        <v xml:space="preserve">          5541 - FREIGHT-IN-LOGO GIFTS</v>
      </c>
      <c r="C181" s="10"/>
      <c r="D181" s="2">
        <v>1606.81</v>
      </c>
      <c r="E181" s="2"/>
      <c r="F181" s="19">
        <f t="shared" si="45"/>
        <v>4.8811600757492522E-3</v>
      </c>
      <c r="G181" s="2"/>
      <c r="H181" s="2">
        <v>348.31</v>
      </c>
      <c r="I181" s="2"/>
      <c r="J181" s="19">
        <f t="shared" si="46"/>
        <v>5.2877313929004268E-4</v>
      </c>
      <c r="K181" s="2"/>
      <c r="L181" s="2">
        <f t="shared" si="47"/>
        <v>1258.5</v>
      </c>
      <c r="M181" s="2"/>
      <c r="N181" s="19">
        <f t="shared" si="48"/>
        <v>3.6131606901897735</v>
      </c>
      <c r="O181" s="10"/>
      <c r="P181" s="2">
        <v>7584.01</v>
      </c>
      <c r="Q181" s="2"/>
      <c r="R181" s="19">
        <f t="shared" si="49"/>
        <v>9.3501017768455588E-4</v>
      </c>
      <c r="S181" s="2"/>
      <c r="T181" s="2">
        <v>5574.41</v>
      </c>
      <c r="U181" s="2"/>
      <c r="V181" s="19">
        <f t="shared" si="50"/>
        <v>4.5982298437231893E-4</v>
      </c>
      <c r="W181" s="2"/>
      <c r="X181" s="2">
        <f t="shared" si="51"/>
        <v>2009.6000000000004</v>
      </c>
      <c r="Y181" s="2"/>
      <c r="Z181" s="19">
        <f t="shared" si="52"/>
        <v>0.36050451976083575</v>
      </c>
    </row>
    <row r="182" spans="1:26" s="23" customFormat="1" hidden="1" outlineLevel="1" x14ac:dyDescent="0.25">
      <c r="A182" s="44"/>
      <c r="B182" s="10" t="str">
        <f>CONCATENATE("          ", "5542", " - ", "FREIGHT-IN-EVERYDAY GIFTS")</f>
        <v xml:space="preserve">          5542 - FREIGHT-IN-EVERYDAY GIFTS</v>
      </c>
      <c r="C182" s="10"/>
      <c r="D182" s="2"/>
      <c r="E182" s="2"/>
      <c r="F182" s="19">
        <f t="shared" si="45"/>
        <v>0</v>
      </c>
      <c r="G182" s="2"/>
      <c r="H182" s="2"/>
      <c r="I182" s="2"/>
      <c r="J182" s="19">
        <f t="shared" si="46"/>
        <v>0</v>
      </c>
      <c r="K182" s="2"/>
      <c r="L182" s="2">
        <f t="shared" si="47"/>
        <v>0</v>
      </c>
      <c r="M182" s="2"/>
      <c r="N182" s="19">
        <f t="shared" si="48"/>
        <v>0</v>
      </c>
      <c r="O182" s="10"/>
      <c r="P182" s="2">
        <v>681.72</v>
      </c>
      <c r="Q182" s="2"/>
      <c r="R182" s="19">
        <f t="shared" si="49"/>
        <v>8.40472439159647E-5</v>
      </c>
      <c r="S182" s="2"/>
      <c r="T182" s="2">
        <v>2223.5100000000002</v>
      </c>
      <c r="U182" s="2"/>
      <c r="V182" s="19">
        <f t="shared" si="50"/>
        <v>1.8341331261634774E-4</v>
      </c>
      <c r="W182" s="2"/>
      <c r="X182" s="2">
        <f t="shared" si="51"/>
        <v>-1541.7900000000002</v>
      </c>
      <c r="Y182" s="2"/>
      <c r="Z182" s="19">
        <f t="shared" si="52"/>
        <v>-0.69340367257174473</v>
      </c>
    </row>
    <row r="183" spans="1:26" s="23" customFormat="1" hidden="1" outlineLevel="1" x14ac:dyDescent="0.25">
      <c r="A183" s="44"/>
      <c r="B183" s="10" t="str">
        <f>CONCATENATE("          ", "5543", " - ", "FREIGHT-IN-CARDS")</f>
        <v xml:space="preserve">          5543 - FREIGHT-IN-CARDS</v>
      </c>
      <c r="C183" s="10"/>
      <c r="D183" s="2"/>
      <c r="E183" s="2"/>
      <c r="F183" s="19">
        <f t="shared" si="45"/>
        <v>0</v>
      </c>
      <c r="G183" s="2"/>
      <c r="H183" s="2"/>
      <c r="I183" s="2"/>
      <c r="J183" s="19">
        <f t="shared" si="46"/>
        <v>0</v>
      </c>
      <c r="K183" s="2"/>
      <c r="L183" s="2">
        <f t="shared" si="47"/>
        <v>0</v>
      </c>
      <c r="M183" s="2"/>
      <c r="N183" s="19">
        <f t="shared" si="48"/>
        <v>0</v>
      </c>
      <c r="O183" s="10"/>
      <c r="P183" s="2">
        <v>9110.5300000000007</v>
      </c>
      <c r="Q183" s="2"/>
      <c r="R183" s="19">
        <f t="shared" si="49"/>
        <v>1.1232103167190545E-3</v>
      </c>
      <c r="S183" s="2"/>
      <c r="T183" s="2">
        <v>2926.76</v>
      </c>
      <c r="U183" s="2"/>
      <c r="V183" s="19">
        <f t="shared" si="50"/>
        <v>2.414231313702308E-4</v>
      </c>
      <c r="W183" s="2"/>
      <c r="X183" s="2">
        <f t="shared" si="51"/>
        <v>6183.77</v>
      </c>
      <c r="Y183" s="2"/>
      <c r="Z183" s="19">
        <f t="shared" si="52"/>
        <v>2.112838087168063</v>
      </c>
    </row>
    <row r="184" spans="1:26" s="23" customFormat="1" hidden="1" outlineLevel="1" x14ac:dyDescent="0.25">
      <c r="A184" s="44"/>
      <c r="B184" s="10" t="str">
        <f>CONCATENATE("          ", "5544", " - ", "FREIGHT-IN-ACCESSORIES")</f>
        <v xml:space="preserve">          5544 - FREIGHT-IN-ACCESSORIES</v>
      </c>
      <c r="C184" s="10"/>
      <c r="D184" s="2">
        <v>48.59</v>
      </c>
      <c r="E184" s="2"/>
      <c r="F184" s="19">
        <f t="shared" si="45"/>
        <v>1.4760647997003764E-4</v>
      </c>
      <c r="G184" s="2"/>
      <c r="H184" s="2"/>
      <c r="I184" s="2"/>
      <c r="J184" s="19">
        <f t="shared" si="46"/>
        <v>0</v>
      </c>
      <c r="K184" s="2"/>
      <c r="L184" s="2">
        <f t="shared" si="47"/>
        <v>48.59</v>
      </c>
      <c r="M184" s="2"/>
      <c r="N184" s="19">
        <f t="shared" si="48"/>
        <v>0</v>
      </c>
      <c r="O184" s="10"/>
      <c r="P184" s="2">
        <v>48.59</v>
      </c>
      <c r="Q184" s="2"/>
      <c r="R184" s="19">
        <f t="shared" si="49"/>
        <v>5.9905174879374597E-6</v>
      </c>
      <c r="S184" s="2"/>
      <c r="T184" s="2">
        <v>483.44</v>
      </c>
      <c r="U184" s="2"/>
      <c r="V184" s="19">
        <f t="shared" si="50"/>
        <v>3.9878089979917851E-5</v>
      </c>
      <c r="W184" s="2"/>
      <c r="X184" s="2">
        <f t="shared" si="51"/>
        <v>-434.85</v>
      </c>
      <c r="Y184" s="2"/>
      <c r="Z184" s="19">
        <f t="shared" si="52"/>
        <v>-0.89949114678139996</v>
      </c>
    </row>
    <row r="185" spans="1:26" s="23" customFormat="1" hidden="1" outlineLevel="1" x14ac:dyDescent="0.25">
      <c r="A185" s="44"/>
      <c r="B185" s="10" t="str">
        <f>CONCATENATE("          ", "5545", " - ", "FREIGHT-IN-SPECIAL ORDERS")</f>
        <v xml:space="preserve">          5545 - FREIGHT-IN-SPECIAL ORDERS</v>
      </c>
      <c r="C185" s="10"/>
      <c r="D185" s="2">
        <v>90.41</v>
      </c>
      <c r="E185" s="2"/>
      <c r="F185" s="19">
        <f t="shared" si="45"/>
        <v>2.7464708487530566E-4</v>
      </c>
      <c r="G185" s="2"/>
      <c r="H185" s="2">
        <v>355.3</v>
      </c>
      <c r="I185" s="2"/>
      <c r="J185" s="19">
        <f t="shared" si="46"/>
        <v>5.3938473311059736E-4</v>
      </c>
      <c r="K185" s="2"/>
      <c r="L185" s="2">
        <f t="shared" si="47"/>
        <v>-264.89</v>
      </c>
      <c r="M185" s="2"/>
      <c r="N185" s="19">
        <f t="shared" si="48"/>
        <v>-0.74553898114269623</v>
      </c>
      <c r="O185" s="10"/>
      <c r="P185" s="2">
        <v>2559.0700000000002</v>
      </c>
      <c r="Q185" s="2"/>
      <c r="R185" s="19">
        <f t="shared" si="49"/>
        <v>3.1550017674122482E-4</v>
      </c>
      <c r="S185" s="2"/>
      <c r="T185" s="2">
        <v>1420.62</v>
      </c>
      <c r="U185" s="2"/>
      <c r="V185" s="19">
        <f t="shared" si="50"/>
        <v>1.1718437073322624E-4</v>
      </c>
      <c r="W185" s="2"/>
      <c r="X185" s="2">
        <f t="shared" si="51"/>
        <v>1138.4500000000003</v>
      </c>
      <c r="Y185" s="2"/>
      <c r="Z185" s="19">
        <f t="shared" si="52"/>
        <v>0.80137545578691016</v>
      </c>
    </row>
    <row r="186" spans="1:26" s="23" customFormat="1" hidden="1" outlineLevel="1" x14ac:dyDescent="0.25">
      <c r="A186" s="44"/>
      <c r="B186" s="10" t="str">
        <f>CONCATENATE("          ", "5581", " - ", "FREIGHT-IN-ELECTRONICS")</f>
        <v xml:space="preserve">          5581 - FREIGHT-IN-ELECTRONICS</v>
      </c>
      <c r="C186" s="10"/>
      <c r="D186" s="2">
        <v>0</v>
      </c>
      <c r="E186" s="2"/>
      <c r="F186" s="19">
        <f t="shared" si="45"/>
        <v>0</v>
      </c>
      <c r="G186" s="2"/>
      <c r="H186" s="2"/>
      <c r="I186" s="2"/>
      <c r="J186" s="19">
        <f t="shared" si="46"/>
        <v>0</v>
      </c>
      <c r="K186" s="2"/>
      <c r="L186" s="2">
        <f t="shared" si="47"/>
        <v>0</v>
      </c>
      <c r="M186" s="2"/>
      <c r="N186" s="19">
        <f t="shared" si="48"/>
        <v>0</v>
      </c>
      <c r="O186" s="10"/>
      <c r="P186" s="2">
        <v>31</v>
      </c>
      <c r="Q186" s="2"/>
      <c r="R186" s="19">
        <f t="shared" si="49"/>
        <v>3.8218983767454464E-6</v>
      </c>
      <c r="S186" s="2"/>
      <c r="T186" s="2">
        <v>137</v>
      </c>
      <c r="U186" s="2"/>
      <c r="V186" s="19">
        <f t="shared" si="50"/>
        <v>1.1300881861758947E-5</v>
      </c>
      <c r="W186" s="2"/>
      <c r="X186" s="2">
        <f t="shared" si="51"/>
        <v>-106</v>
      </c>
      <c r="Y186" s="2"/>
      <c r="Z186" s="19">
        <f t="shared" si="52"/>
        <v>-0.77372262773722633</v>
      </c>
    </row>
    <row r="187" spans="1:26" s="23" customFormat="1" hidden="1" outlineLevel="1" x14ac:dyDescent="0.25">
      <c r="A187" s="44"/>
      <c r="B187" s="10" t="str">
        <f>CONCATENATE("          ", "5582", " - ", "FREIGHT-IN-COMPUTER HARDWARE")</f>
        <v xml:space="preserve">          5582 - FREIGHT-IN-COMPUTER HARDWARE</v>
      </c>
      <c r="C187" s="10"/>
      <c r="D187" s="2"/>
      <c r="E187" s="2"/>
      <c r="F187" s="19">
        <f t="shared" si="45"/>
        <v>0</v>
      </c>
      <c r="G187" s="2"/>
      <c r="H187" s="2"/>
      <c r="I187" s="2"/>
      <c r="J187" s="19">
        <f t="shared" si="46"/>
        <v>0</v>
      </c>
      <c r="K187" s="2"/>
      <c r="L187" s="2">
        <f t="shared" si="47"/>
        <v>0</v>
      </c>
      <c r="M187" s="2"/>
      <c r="N187" s="19">
        <f t="shared" si="48"/>
        <v>0</v>
      </c>
      <c r="O187" s="10"/>
      <c r="P187" s="2">
        <v>145</v>
      </c>
      <c r="Q187" s="2"/>
      <c r="R187" s="19">
        <f t="shared" si="49"/>
        <v>1.7876621439615797E-5</v>
      </c>
      <c r="S187" s="2"/>
      <c r="T187" s="2">
        <v>154.30000000000001</v>
      </c>
      <c r="U187" s="2"/>
      <c r="V187" s="19">
        <f t="shared" si="50"/>
        <v>1.2727927527513911E-5</v>
      </c>
      <c r="W187" s="2"/>
      <c r="X187" s="2">
        <f t="shared" si="51"/>
        <v>-9.3000000000000114</v>
      </c>
      <c r="Y187" s="2"/>
      <c r="Z187" s="19">
        <f t="shared" si="52"/>
        <v>-6.0272197018794625E-2</v>
      </c>
    </row>
    <row r="188" spans="1:26" s="23" customFormat="1" hidden="1" outlineLevel="1" x14ac:dyDescent="0.25">
      <c r="A188" s="44"/>
      <c r="B188" s="10" t="str">
        <f>CONCATENATE("          ", "5583", " - ", "FREIGHT-IN-COMPUTER EQUIPMENT")</f>
        <v xml:space="preserve">          5583 - FREIGHT-IN-COMPUTER EQUIPMENT</v>
      </c>
      <c r="C188" s="10"/>
      <c r="D188" s="2"/>
      <c r="E188" s="2"/>
      <c r="F188" s="19">
        <f t="shared" si="45"/>
        <v>0</v>
      </c>
      <c r="G188" s="2"/>
      <c r="H188" s="2"/>
      <c r="I188" s="2"/>
      <c r="J188" s="19">
        <f t="shared" si="46"/>
        <v>0</v>
      </c>
      <c r="K188" s="2"/>
      <c r="L188" s="2">
        <f t="shared" si="47"/>
        <v>0</v>
      </c>
      <c r="M188" s="2"/>
      <c r="N188" s="19">
        <f t="shared" si="48"/>
        <v>0</v>
      </c>
      <c r="O188" s="10"/>
      <c r="P188" s="2">
        <v>242.46</v>
      </c>
      <c r="Q188" s="2"/>
      <c r="R188" s="19">
        <f t="shared" si="49"/>
        <v>2.9892176787925835E-5</v>
      </c>
      <c r="S188" s="2"/>
      <c r="T188" s="2">
        <v>96.55</v>
      </c>
      <c r="U188" s="2"/>
      <c r="V188" s="19">
        <f t="shared" si="50"/>
        <v>7.9642346259330386E-6</v>
      </c>
      <c r="W188" s="2"/>
      <c r="X188" s="2">
        <f t="shared" si="51"/>
        <v>145.91000000000003</v>
      </c>
      <c r="Y188" s="2"/>
      <c r="Z188" s="19">
        <f t="shared" si="52"/>
        <v>1.5112377006732267</v>
      </c>
    </row>
    <row r="189" spans="1:26" s="23" customFormat="1" hidden="1" outlineLevel="1" x14ac:dyDescent="0.25">
      <c r="A189" s="44"/>
      <c r="B189" s="10" t="str">
        <f>CONCATENATE("          ", "5585", " - ", "FREIGHT-IN-SOFTWARE")</f>
        <v xml:space="preserve">          5585 - FREIGHT-IN-SOFTWARE</v>
      </c>
      <c r="C189" s="10"/>
      <c r="D189" s="2"/>
      <c r="E189" s="2"/>
      <c r="F189" s="19">
        <f t="shared" si="45"/>
        <v>0</v>
      </c>
      <c r="G189" s="2"/>
      <c r="H189" s="2"/>
      <c r="I189" s="2"/>
      <c r="J189" s="19">
        <f t="shared" si="46"/>
        <v>0</v>
      </c>
      <c r="K189" s="2"/>
      <c r="L189" s="2">
        <f t="shared" si="47"/>
        <v>0</v>
      </c>
      <c r="M189" s="2"/>
      <c r="N189" s="19">
        <f t="shared" si="48"/>
        <v>0</v>
      </c>
      <c r="O189" s="10"/>
      <c r="P189" s="2">
        <v>9.41</v>
      </c>
      <c r="Q189" s="2"/>
      <c r="R189" s="19">
        <f t="shared" si="49"/>
        <v>1.1601310879088597E-6</v>
      </c>
      <c r="S189" s="2"/>
      <c r="T189" s="2">
        <v>10</v>
      </c>
      <c r="U189" s="2"/>
      <c r="V189" s="19">
        <f t="shared" si="50"/>
        <v>8.2488188771963123E-7</v>
      </c>
      <c r="W189" s="2"/>
      <c r="X189" s="2">
        <f t="shared" si="51"/>
        <v>-0.58999999999999986</v>
      </c>
      <c r="Y189" s="2"/>
      <c r="Z189" s="19">
        <f t="shared" si="52"/>
        <v>-5.8999999999999983E-2</v>
      </c>
    </row>
    <row r="190" spans="1:26" s="23" customFormat="1" hidden="1" outlineLevel="1" x14ac:dyDescent="0.25">
      <c r="A190" s="44"/>
      <c r="B190" s="10" t="str">
        <f>CONCATENATE("          ", "5586", " - ", "FREIGHT-IN-COMPUTER SUPPLIES")</f>
        <v xml:space="preserve">          5586 - FREIGHT-IN-COMPUTER SUPPLIES</v>
      </c>
      <c r="C190" s="10"/>
      <c r="D190" s="2"/>
      <c r="E190" s="2"/>
      <c r="F190" s="19">
        <f t="shared" si="45"/>
        <v>0</v>
      </c>
      <c r="G190" s="2"/>
      <c r="H190" s="2"/>
      <c r="I190" s="2"/>
      <c r="J190" s="19">
        <f t="shared" si="46"/>
        <v>0</v>
      </c>
      <c r="K190" s="2"/>
      <c r="L190" s="2">
        <f t="shared" si="47"/>
        <v>0</v>
      </c>
      <c r="M190" s="2"/>
      <c r="N190" s="19">
        <f t="shared" si="48"/>
        <v>0</v>
      </c>
      <c r="O190" s="10"/>
      <c r="P190" s="2">
        <v>24.12</v>
      </c>
      <c r="Q190" s="2"/>
      <c r="R190" s="19">
        <f t="shared" si="49"/>
        <v>2.9736835111967797E-6</v>
      </c>
      <c r="S190" s="2"/>
      <c r="T190" s="2">
        <v>301.27</v>
      </c>
      <c r="U190" s="2"/>
      <c r="V190" s="19">
        <f t="shared" si="50"/>
        <v>2.485121663132933E-5</v>
      </c>
      <c r="W190" s="2"/>
      <c r="X190" s="2">
        <f t="shared" si="51"/>
        <v>-277.14999999999998</v>
      </c>
      <c r="Y190" s="2"/>
      <c r="Z190" s="19">
        <f t="shared" si="52"/>
        <v>-0.91993892521658316</v>
      </c>
    </row>
    <row r="191" spans="1:26" s="23" customFormat="1" hidden="1" outlineLevel="1" x14ac:dyDescent="0.25">
      <c r="A191" s="44"/>
      <c r="B191" s="10" t="str">
        <f>CONCATENATE("          ", "5592", " - ", "FREIGHT-IN-GRAD MERCH")</f>
        <v xml:space="preserve">          5592 - FREIGHT-IN-GRAD MERCH</v>
      </c>
      <c r="C191" s="10"/>
      <c r="D191" s="2"/>
      <c r="E191" s="2"/>
      <c r="F191" s="19">
        <f t="shared" si="45"/>
        <v>0</v>
      </c>
      <c r="G191" s="2"/>
      <c r="H191" s="2">
        <v>10.83</v>
      </c>
      <c r="I191" s="2"/>
      <c r="J191" s="19">
        <f t="shared" si="46"/>
        <v>1.6441138923692005E-5</v>
      </c>
      <c r="K191" s="2"/>
      <c r="L191" s="2">
        <f t="shared" si="47"/>
        <v>-10.83</v>
      </c>
      <c r="M191" s="2"/>
      <c r="N191" s="19">
        <f t="shared" si="48"/>
        <v>-1</v>
      </c>
      <c r="O191" s="10"/>
      <c r="P191" s="2">
        <v>0</v>
      </c>
      <c r="Q191" s="2"/>
      <c r="R191" s="19">
        <f t="shared" si="49"/>
        <v>0</v>
      </c>
      <c r="S191" s="2"/>
      <c r="T191" s="2">
        <v>170.88</v>
      </c>
      <c r="U191" s="2"/>
      <c r="V191" s="19">
        <f t="shared" si="50"/>
        <v>1.4095581697353058E-5</v>
      </c>
      <c r="W191" s="2"/>
      <c r="X191" s="2">
        <f t="shared" si="51"/>
        <v>-170.88</v>
      </c>
      <c r="Y191" s="2"/>
      <c r="Z191" s="19">
        <f t="shared" si="52"/>
        <v>-1</v>
      </c>
    </row>
    <row r="192" spans="1:26" x14ac:dyDescent="0.25">
      <c r="A192" s="9"/>
      <c r="B192" s="11"/>
      <c r="C192" s="11"/>
      <c r="D192" s="3"/>
      <c r="E192" s="3"/>
      <c r="F192" s="8"/>
      <c r="G192" s="3"/>
      <c r="H192" s="3"/>
      <c r="I192" s="3"/>
      <c r="J192" s="8"/>
      <c r="K192" s="3"/>
      <c r="L192" s="3"/>
      <c r="M192" s="3"/>
      <c r="N192" s="8"/>
      <c r="O192" s="11"/>
      <c r="P192" s="3"/>
      <c r="Q192" s="3"/>
      <c r="R192" s="8"/>
      <c r="S192" s="3"/>
      <c r="T192" s="3"/>
      <c r="U192" s="3"/>
      <c r="V192" s="8"/>
      <c r="W192" s="3"/>
      <c r="X192" s="3"/>
      <c r="Y192" s="3"/>
      <c r="Z192" s="8"/>
    </row>
    <row r="193" spans="1:26" s="24" customFormat="1" x14ac:dyDescent="0.25">
      <c r="A193" s="11"/>
      <c r="B193" s="28" t="s">
        <v>107</v>
      </c>
      <c r="C193" s="28"/>
      <c r="D193" s="21">
        <f>D12-D132</f>
        <v>40600.760000000068</v>
      </c>
      <c r="E193" s="14"/>
      <c r="F193" s="22">
        <f>IF(D$12=0,0,D193/D$12)</f>
        <v>0.12333680320453416</v>
      </c>
      <c r="G193" s="14"/>
      <c r="H193" s="21">
        <f>H12-H132</f>
        <v>68741.679999999702</v>
      </c>
      <c r="I193" s="14"/>
      <c r="J193" s="22">
        <f>IF(H$12=0,0,H193/H$12)</f>
        <v>0.10435748021495617</v>
      </c>
      <c r="K193" s="15"/>
      <c r="L193" s="21">
        <f>+D193-H193</f>
        <v>-28140.919999999634</v>
      </c>
      <c r="M193" s="15"/>
      <c r="N193" s="22">
        <f>IF(H193=0,0,L193/H193)</f>
        <v>-0.40937201418411301</v>
      </c>
      <c r="O193" s="29"/>
      <c r="P193" s="21">
        <f>P12-P132</f>
        <v>2339296.3599999957</v>
      </c>
      <c r="Q193" s="14"/>
      <c r="R193" s="22">
        <f>IF(P$12=0,0,P193/P$12)</f>
        <v>0.28840493422614566</v>
      </c>
      <c r="S193" s="14"/>
      <c r="T193" s="21">
        <f>T12-T132</f>
        <v>4162510.7699999996</v>
      </c>
      <c r="U193" s="14"/>
      <c r="V193" s="22">
        <f>IF(T$12=0,0,T193/T$12)</f>
        <v>0.34335797416108954</v>
      </c>
      <c r="W193" s="15"/>
      <c r="X193" s="21">
        <f>+P193-T193</f>
        <v>-1823214.4100000039</v>
      </c>
      <c r="Y193" s="15"/>
      <c r="Z193" s="22">
        <f>IF(T193=0,0,X193/T193)</f>
        <v>-0.43800833457062843</v>
      </c>
    </row>
    <row r="194" spans="1:26" x14ac:dyDescent="0.25">
      <c r="A194" s="9"/>
      <c r="B194" s="11"/>
      <c r="C194" s="9"/>
      <c r="D194" s="1"/>
      <c r="E194" s="1"/>
      <c r="F194" s="5"/>
      <c r="G194" s="1"/>
      <c r="H194" s="1"/>
      <c r="I194" s="1"/>
      <c r="J194" s="5"/>
      <c r="K194" s="1"/>
      <c r="L194" s="1"/>
      <c r="M194" s="1"/>
      <c r="N194" s="5"/>
      <c r="O194" s="37"/>
      <c r="P194" s="1"/>
      <c r="Q194" s="1"/>
      <c r="R194" s="5"/>
      <c r="S194" s="1"/>
      <c r="T194" s="1"/>
      <c r="U194" s="1"/>
      <c r="V194" s="5"/>
      <c r="W194" s="1"/>
      <c r="X194" s="1"/>
      <c r="Y194" s="1"/>
      <c r="Z194" s="5"/>
    </row>
    <row r="195" spans="1:26" s="24" customFormat="1" x14ac:dyDescent="0.25">
      <c r="A195" s="11"/>
      <c r="B195" s="29" t="s">
        <v>294</v>
      </c>
      <c r="C195" s="11"/>
      <c r="D195" s="20">
        <f>SUM(OSRRefD22x_0)</f>
        <v>248476.36000000002</v>
      </c>
      <c r="E195" s="20"/>
      <c r="F195" s="32">
        <f t="shared" ref="F195:F206" si="53">IF(D$12=0,0,D195/D$12)</f>
        <v>0.75482035100571854</v>
      </c>
      <c r="G195" s="20"/>
      <c r="H195" s="20">
        <f>SUM(OSRRefH22x_0)</f>
        <v>267952.84000000003</v>
      </c>
      <c r="I195" s="20"/>
      <c r="J195" s="32">
        <f t="shared" ref="J195:J206" si="54">IF(H$12=0,0,H195/H$12)</f>
        <v>0.40678207455566173</v>
      </c>
      <c r="K195" s="4"/>
      <c r="L195" s="20">
        <f t="shared" ref="L195:L206" si="55">+D195-H195</f>
        <v>-19476.48000000001</v>
      </c>
      <c r="M195" s="4"/>
      <c r="N195" s="32">
        <f t="shared" ref="N195:N206" si="56">IF(H195=0,0,L195/H195)</f>
        <v>-7.2686223441408598E-2</v>
      </c>
      <c r="O195" s="11"/>
      <c r="P195" s="20">
        <f>SUM(OSRRefP22x_0)</f>
        <v>3268986.620000002</v>
      </c>
      <c r="Q195" s="20"/>
      <c r="R195" s="32">
        <f t="shared" ref="R195:R206" si="57">IF(P$12=0,0,P195/P$12)</f>
        <v>0.40302369859937387</v>
      </c>
      <c r="S195" s="20"/>
      <c r="T195" s="20">
        <f>SUM(OSRRefT22x_0)</f>
        <v>4372976.3699999992</v>
      </c>
      <c r="U195" s="20"/>
      <c r="V195" s="32">
        <f t="shared" ref="V195:V206" si="58">IF(T$12=0,0,T195/T$12)</f>
        <v>0.36071890030389397</v>
      </c>
      <c r="W195" s="4"/>
      <c r="X195" s="20">
        <f t="shared" ref="X195:X206" si="59">+P195-T195</f>
        <v>-1103989.7499999972</v>
      </c>
      <c r="Y195" s="4"/>
      <c r="Z195" s="32">
        <f t="shared" ref="Z195:Z206" si="60">IF(T195=0,0,X195/T195)</f>
        <v>-0.25245728688902047</v>
      </c>
    </row>
    <row r="196" spans="1:26" s="27" customFormat="1" outlineLevel="1" collapsed="1" x14ac:dyDescent="0.25">
      <c r="A196" s="26"/>
      <c r="B196" s="12" t="str">
        <f>CONCATENATE("     ","*Benefits                                         ")</f>
        <v xml:space="preserve">     *Benefits                                         </v>
      </c>
      <c r="C196" s="12"/>
      <c r="D196" s="1">
        <f>SUM(OSRRefD22_0x_0)</f>
        <v>56727.14</v>
      </c>
      <c r="E196" s="1"/>
      <c r="F196" s="5">
        <f t="shared" si="53"/>
        <v>0.17232544667971847</v>
      </c>
      <c r="G196" s="1"/>
      <c r="H196" s="1">
        <f>SUM(OSRRefH22_0x_0)</f>
        <v>33500.769999999997</v>
      </c>
      <c r="I196" s="1"/>
      <c r="J196" s="5">
        <f t="shared" si="54"/>
        <v>5.0857877527299478E-2</v>
      </c>
      <c r="K196" s="1"/>
      <c r="L196" s="1">
        <f t="shared" si="55"/>
        <v>23226.370000000003</v>
      </c>
      <c r="M196" s="1"/>
      <c r="N196" s="5">
        <f t="shared" si="56"/>
        <v>0.69330854186336632</v>
      </c>
      <c r="O196" s="12"/>
      <c r="P196" s="1">
        <f>SUM(OSRRefP22_0x_0)</f>
        <v>600719.17999999993</v>
      </c>
      <c r="Q196" s="1"/>
      <c r="R196" s="5">
        <f t="shared" si="57"/>
        <v>7.4060892223285657E-2</v>
      </c>
      <c r="S196" s="1"/>
      <c r="T196" s="1">
        <f>SUM(OSRRefT22_0x_0)</f>
        <v>545555.68999999994</v>
      </c>
      <c r="U196" s="1"/>
      <c r="V196" s="5">
        <f t="shared" si="58"/>
        <v>4.5001900742338591E-2</v>
      </c>
      <c r="W196" s="1"/>
      <c r="X196" s="1">
        <f t="shared" si="59"/>
        <v>55163.489999999991</v>
      </c>
      <c r="Y196" s="1"/>
      <c r="Z196" s="5">
        <f t="shared" si="60"/>
        <v>0.10111431520400785</v>
      </c>
    </row>
    <row r="197" spans="1:26" s="23" customFormat="1" hidden="1" outlineLevel="2" x14ac:dyDescent="0.25">
      <c r="A197" s="25"/>
      <c r="B197" s="10" t="str">
        <f>CONCATENATE("          ", "6111", " - ", "F.I.C.A.")</f>
        <v xml:space="preserve">          6111 - F.I.C.A.</v>
      </c>
      <c r="C197" s="10"/>
      <c r="D197" s="6">
        <v>10006.1</v>
      </c>
      <c r="E197" s="2"/>
      <c r="F197" s="7">
        <f t="shared" si="53"/>
        <v>3.0396484857546688E-2</v>
      </c>
      <c r="G197" s="2"/>
      <c r="H197" s="6">
        <v>8049.32</v>
      </c>
      <c r="I197" s="2"/>
      <c r="J197" s="7">
        <f t="shared" si="54"/>
        <v>1.2219758851454526E-2</v>
      </c>
      <c r="K197" s="2"/>
      <c r="L197" s="6">
        <f t="shared" si="55"/>
        <v>1956.7800000000007</v>
      </c>
      <c r="M197" s="2"/>
      <c r="N197" s="7">
        <f t="shared" si="56"/>
        <v>0.24309879592313396</v>
      </c>
      <c r="O197" s="10"/>
      <c r="P197" s="6">
        <v>113421.24</v>
      </c>
      <c r="Q197" s="2"/>
      <c r="R197" s="7">
        <f t="shared" si="57"/>
        <v>1.3983369453046958E-2</v>
      </c>
      <c r="S197" s="2"/>
      <c r="T197" s="6">
        <v>115508.67</v>
      </c>
      <c r="U197" s="2"/>
      <c r="V197" s="7">
        <f t="shared" si="58"/>
        <v>9.5281009757583936E-3</v>
      </c>
      <c r="W197" s="2"/>
      <c r="X197" s="6">
        <f t="shared" si="59"/>
        <v>-2087.429999999993</v>
      </c>
      <c r="Y197" s="2"/>
      <c r="Z197" s="7">
        <f t="shared" si="60"/>
        <v>-1.8071630467219414E-2</v>
      </c>
    </row>
    <row r="198" spans="1:26" s="23" customFormat="1" hidden="1" outlineLevel="2" x14ac:dyDescent="0.25">
      <c r="A198" s="25"/>
      <c r="B198" s="10" t="str">
        <f>CONCATENATE("          ", "6112", " - ", "COMPENSATION INSURANCE")</f>
        <v xml:space="preserve">          6112 - COMPENSATION INSURANCE</v>
      </c>
      <c r="C198" s="10"/>
      <c r="D198" s="6">
        <v>2119.34</v>
      </c>
      <c r="E198" s="2"/>
      <c r="F198" s="7">
        <f t="shared" si="53"/>
        <v>6.4381213677649632E-3</v>
      </c>
      <c r="G198" s="2"/>
      <c r="H198" s="6">
        <v>1768.03</v>
      </c>
      <c r="I198" s="2"/>
      <c r="J198" s="7">
        <f t="shared" si="54"/>
        <v>2.684065267890598E-3</v>
      </c>
      <c r="K198" s="2"/>
      <c r="L198" s="6">
        <f t="shared" si="55"/>
        <v>351.31000000000017</v>
      </c>
      <c r="M198" s="2"/>
      <c r="N198" s="7">
        <f t="shared" si="56"/>
        <v>0.19870137950147915</v>
      </c>
      <c r="O198" s="10"/>
      <c r="P198" s="6">
        <v>28146.639999999999</v>
      </c>
      <c r="Q198" s="2"/>
      <c r="R198" s="7">
        <f t="shared" si="57"/>
        <v>3.4701160557044659E-3</v>
      </c>
      <c r="S198" s="2"/>
      <c r="T198" s="6">
        <v>30072.52</v>
      </c>
      <c r="U198" s="2"/>
      <c r="V198" s="7">
        <f t="shared" si="58"/>
        <v>2.4806277066086366E-3</v>
      </c>
      <c r="W198" s="2"/>
      <c r="X198" s="6">
        <f t="shared" si="59"/>
        <v>-1925.880000000001</v>
      </c>
      <c r="Y198" s="2"/>
      <c r="Z198" s="7">
        <f t="shared" si="60"/>
        <v>-6.4041191094061992E-2</v>
      </c>
    </row>
    <row r="199" spans="1:26" s="23" customFormat="1" hidden="1" outlineLevel="2" x14ac:dyDescent="0.25">
      <c r="A199" s="25"/>
      <c r="B199" s="10" t="str">
        <f>CONCATENATE("          ", "6113", " - ", "GROUP INSURANCE")</f>
        <v xml:space="preserve">          6113 - GROUP INSURANCE</v>
      </c>
      <c r="C199" s="10"/>
      <c r="D199" s="6">
        <v>19337.900000000001</v>
      </c>
      <c r="E199" s="2"/>
      <c r="F199" s="7">
        <f t="shared" si="53"/>
        <v>5.8744584256278883E-2</v>
      </c>
      <c r="G199" s="2"/>
      <c r="H199" s="6">
        <v>14448.96</v>
      </c>
      <c r="I199" s="2"/>
      <c r="J199" s="7">
        <f t="shared" si="54"/>
        <v>2.1935120836829993E-2</v>
      </c>
      <c r="K199" s="2"/>
      <c r="L199" s="6">
        <f t="shared" si="55"/>
        <v>4888.9400000000023</v>
      </c>
      <c r="M199" s="2"/>
      <c r="N199" s="7">
        <f t="shared" si="56"/>
        <v>0.33835930060018177</v>
      </c>
      <c r="O199" s="10"/>
      <c r="P199" s="6">
        <v>213976.12</v>
      </c>
      <c r="Q199" s="2"/>
      <c r="R199" s="7">
        <f t="shared" si="57"/>
        <v>2.6380483409364153E-2</v>
      </c>
      <c r="S199" s="2"/>
      <c r="T199" s="6">
        <v>217069.72</v>
      </c>
      <c r="U199" s="2"/>
      <c r="V199" s="7">
        <f t="shared" si="58"/>
        <v>1.7905688040037178E-2</v>
      </c>
      <c r="W199" s="2"/>
      <c r="X199" s="6">
        <f t="shared" si="59"/>
        <v>-3093.6000000000058</v>
      </c>
      <c r="Y199" s="2"/>
      <c r="Z199" s="7">
        <f t="shared" si="60"/>
        <v>-1.4251642283410169E-2</v>
      </c>
    </row>
    <row r="200" spans="1:26" s="23" customFormat="1" hidden="1" outlineLevel="2" x14ac:dyDescent="0.25">
      <c r="A200" s="25"/>
      <c r="B200" s="10" t="str">
        <f>CONCATENATE("          ", "6114", " - ", "STATE UNEMPLOYMENT INSURANCE")</f>
        <v xml:space="preserve">          6114 - STATE UNEMPLOYMENT INSURANCE</v>
      </c>
      <c r="C200" s="10"/>
      <c r="D200" s="6">
        <v>365.33</v>
      </c>
      <c r="E200" s="2"/>
      <c r="F200" s="7">
        <f t="shared" si="53"/>
        <v>1.1097978046399227E-3</v>
      </c>
      <c r="G200" s="2"/>
      <c r="H200" s="6">
        <v>-5426.32</v>
      </c>
      <c r="I200" s="2"/>
      <c r="J200" s="7">
        <f t="shared" si="54"/>
        <v>-8.2377544750146248E-3</v>
      </c>
      <c r="K200" s="2"/>
      <c r="L200" s="6">
        <f t="shared" si="55"/>
        <v>5791.65</v>
      </c>
      <c r="M200" s="2"/>
      <c r="N200" s="7">
        <f t="shared" si="56"/>
        <v>-1.0673255539665925</v>
      </c>
      <c r="O200" s="10"/>
      <c r="P200" s="6">
        <v>4638.91</v>
      </c>
      <c r="Q200" s="2"/>
      <c r="R200" s="7">
        <f t="shared" si="57"/>
        <v>5.7191750318929732E-4</v>
      </c>
      <c r="S200" s="2"/>
      <c r="T200" s="6">
        <v>0</v>
      </c>
      <c r="U200" s="2"/>
      <c r="V200" s="7">
        <f t="shared" si="58"/>
        <v>0</v>
      </c>
      <c r="W200" s="2"/>
      <c r="X200" s="6">
        <f t="shared" si="59"/>
        <v>4638.91</v>
      </c>
      <c r="Y200" s="2"/>
      <c r="Z200" s="7">
        <f t="shared" si="60"/>
        <v>0</v>
      </c>
    </row>
    <row r="201" spans="1:26" s="23" customFormat="1" hidden="1" outlineLevel="2" x14ac:dyDescent="0.25">
      <c r="A201" s="25"/>
      <c r="B201" s="10" t="str">
        <f>CONCATENATE("          ", "6115", " - ", "P.E.R.S.")</f>
        <v xml:space="preserve">          6115 - P.E.R.S.</v>
      </c>
      <c r="C201" s="10"/>
      <c r="D201" s="6">
        <v>11941.22</v>
      </c>
      <c r="E201" s="2"/>
      <c r="F201" s="7">
        <f t="shared" si="53"/>
        <v>3.6274983551097192E-2</v>
      </c>
      <c r="G201" s="2"/>
      <c r="H201" s="6">
        <v>4823.4799999999996</v>
      </c>
      <c r="I201" s="2"/>
      <c r="J201" s="7">
        <f t="shared" si="54"/>
        <v>7.3225766182502218E-3</v>
      </c>
      <c r="K201" s="2"/>
      <c r="L201" s="6">
        <f t="shared" si="55"/>
        <v>7117.74</v>
      </c>
      <c r="M201" s="2"/>
      <c r="N201" s="7">
        <f t="shared" si="56"/>
        <v>1.4756441407448564</v>
      </c>
      <c r="O201" s="10"/>
      <c r="P201" s="6">
        <v>88758.7</v>
      </c>
      <c r="Q201" s="2"/>
      <c r="R201" s="7">
        <f t="shared" si="57"/>
        <v>1.0942797788775356E-2</v>
      </c>
      <c r="S201" s="2"/>
      <c r="T201" s="6">
        <v>81932.37</v>
      </c>
      <c r="U201" s="2"/>
      <c r="V201" s="7">
        <f t="shared" si="58"/>
        <v>6.7584528030943279E-3</v>
      </c>
      <c r="W201" s="2"/>
      <c r="X201" s="6">
        <f t="shared" si="59"/>
        <v>6826.3300000000017</v>
      </c>
      <c r="Y201" s="2"/>
      <c r="Z201" s="7">
        <f t="shared" si="60"/>
        <v>8.3316642738395119E-2</v>
      </c>
    </row>
    <row r="202" spans="1:26" s="23" customFormat="1" hidden="1" outlineLevel="2" x14ac:dyDescent="0.25">
      <c r="A202" s="25"/>
      <c r="B202" s="10" t="str">
        <f>CONCATENATE("          ", "6116", " - ", "EDUCATIONAL BENEFITS")</f>
        <v xml:space="preserve">          6116 - EDUCATIONAL BENEFITS</v>
      </c>
      <c r="C202" s="10"/>
      <c r="D202" s="6"/>
      <c r="E202" s="2"/>
      <c r="F202" s="7">
        <f t="shared" si="53"/>
        <v>0</v>
      </c>
      <c r="G202" s="2"/>
      <c r="H202" s="6"/>
      <c r="I202" s="2"/>
      <c r="J202" s="7">
        <f t="shared" si="54"/>
        <v>0</v>
      </c>
      <c r="K202" s="2"/>
      <c r="L202" s="6">
        <f t="shared" si="55"/>
        <v>0</v>
      </c>
      <c r="M202" s="2"/>
      <c r="N202" s="7">
        <f t="shared" si="56"/>
        <v>0</v>
      </c>
      <c r="O202" s="10"/>
      <c r="P202" s="6">
        <v>0</v>
      </c>
      <c r="Q202" s="2"/>
      <c r="R202" s="7">
        <f t="shared" si="57"/>
        <v>0</v>
      </c>
      <c r="S202" s="2"/>
      <c r="T202" s="6"/>
      <c r="U202" s="2"/>
      <c r="V202" s="7">
        <f t="shared" si="58"/>
        <v>0</v>
      </c>
      <c r="W202" s="2"/>
      <c r="X202" s="6">
        <f t="shared" si="59"/>
        <v>0</v>
      </c>
      <c r="Y202" s="2"/>
      <c r="Z202" s="7">
        <f t="shared" si="60"/>
        <v>0</v>
      </c>
    </row>
    <row r="203" spans="1:26" s="23" customFormat="1" hidden="1" outlineLevel="2" x14ac:dyDescent="0.25">
      <c r="A203" s="25"/>
      <c r="B203" s="10" t="str">
        <f>CONCATENATE("          ", "6117", " - ", "RETIREMENT STAFF HOURLY")</f>
        <v xml:space="preserve">          6117 - RETIREMENT STAFF HOURLY</v>
      </c>
      <c r="C203" s="10"/>
      <c r="D203" s="6">
        <v>700.53</v>
      </c>
      <c r="E203" s="2"/>
      <c r="F203" s="7">
        <f t="shared" si="53"/>
        <v>2.128066832957614E-3</v>
      </c>
      <c r="G203" s="2"/>
      <c r="H203" s="6">
        <v>375.7</v>
      </c>
      <c r="I203" s="2"/>
      <c r="J203" s="7">
        <f t="shared" si="54"/>
        <v>5.7035419147101441E-4</v>
      </c>
      <c r="K203" s="2"/>
      <c r="L203" s="6">
        <f t="shared" si="55"/>
        <v>324.83</v>
      </c>
      <c r="M203" s="2"/>
      <c r="N203" s="7">
        <f t="shared" si="56"/>
        <v>0.86459941442640398</v>
      </c>
      <c r="O203" s="10"/>
      <c r="P203" s="6">
        <v>7011.58</v>
      </c>
      <c r="Q203" s="2"/>
      <c r="R203" s="7">
        <f t="shared" si="57"/>
        <v>8.6443697485228505E-4</v>
      </c>
      <c r="S203" s="2"/>
      <c r="T203" s="6">
        <v>4115.66</v>
      </c>
      <c r="U203" s="2"/>
      <c r="V203" s="7">
        <f t="shared" si="58"/>
        <v>3.3949333900121773E-4</v>
      </c>
      <c r="W203" s="2"/>
      <c r="X203" s="6">
        <f t="shared" si="59"/>
        <v>2895.92</v>
      </c>
      <c r="Y203" s="2"/>
      <c r="Z203" s="7">
        <f t="shared" si="60"/>
        <v>0.70363441100576829</v>
      </c>
    </row>
    <row r="204" spans="1:26" s="23" customFormat="1" hidden="1" outlineLevel="2" x14ac:dyDescent="0.25">
      <c r="A204" s="25"/>
      <c r="B204" s="10" t="str">
        <f>CONCATENATE("          ", "6118", " - ", "VACATION")</f>
        <v xml:space="preserve">          6118 - VACATION</v>
      </c>
      <c r="C204" s="10"/>
      <c r="D204" s="6">
        <v>5999.91</v>
      </c>
      <c r="E204" s="2"/>
      <c r="F204" s="7">
        <f t="shared" si="53"/>
        <v>1.822649918166348E-2</v>
      </c>
      <c r="G204" s="2"/>
      <c r="H204" s="6">
        <v>5295.05</v>
      </c>
      <c r="I204" s="2"/>
      <c r="J204" s="7">
        <f t="shared" si="54"/>
        <v>8.0384720829081574E-3</v>
      </c>
      <c r="K204" s="2"/>
      <c r="L204" s="6">
        <f t="shared" si="55"/>
        <v>704.85999999999967</v>
      </c>
      <c r="M204" s="2"/>
      <c r="N204" s="7">
        <f t="shared" si="56"/>
        <v>0.13311677887838635</v>
      </c>
      <c r="O204" s="10"/>
      <c r="P204" s="6">
        <v>72282.899999999994</v>
      </c>
      <c r="Q204" s="2"/>
      <c r="R204" s="7">
        <f t="shared" si="57"/>
        <v>8.9115451024662385E-3</v>
      </c>
      <c r="S204" s="2"/>
      <c r="T204" s="6">
        <v>71053.05</v>
      </c>
      <c r="U204" s="2"/>
      <c r="V204" s="7">
        <f t="shared" si="58"/>
        <v>5.8610374012237343E-3</v>
      </c>
      <c r="W204" s="2"/>
      <c r="X204" s="6">
        <f t="shared" si="59"/>
        <v>1229.8499999999913</v>
      </c>
      <c r="Y204" s="2"/>
      <c r="Z204" s="7">
        <f t="shared" si="60"/>
        <v>1.7308898069822352E-2</v>
      </c>
    </row>
    <row r="205" spans="1:26" s="23" customFormat="1" hidden="1" outlineLevel="2" x14ac:dyDescent="0.25">
      <c r="A205" s="25"/>
      <c r="B205" s="10" t="str">
        <f>CONCATENATE("          ", "6119", " - ", "SICK LEAVE")</f>
        <v xml:space="preserve">          6119 - SICK LEAVE</v>
      </c>
      <c r="C205" s="10"/>
      <c r="D205" s="6">
        <v>4535.18</v>
      </c>
      <c r="E205" s="2"/>
      <c r="F205" s="7">
        <f t="shared" si="53"/>
        <v>1.3776949080685641E-2</v>
      </c>
      <c r="G205" s="2"/>
      <c r="H205" s="6">
        <v>3114.01</v>
      </c>
      <c r="I205" s="2"/>
      <c r="J205" s="7">
        <f t="shared" si="54"/>
        <v>4.7274119131824697E-3</v>
      </c>
      <c r="K205" s="2"/>
      <c r="L205" s="6">
        <f t="shared" si="55"/>
        <v>1421.17</v>
      </c>
      <c r="M205" s="2"/>
      <c r="N205" s="7">
        <f t="shared" si="56"/>
        <v>0.4563793950565348</v>
      </c>
      <c r="O205" s="10"/>
      <c r="P205" s="6">
        <v>52220.02</v>
      </c>
      <c r="Q205" s="2"/>
      <c r="R205" s="7">
        <f t="shared" si="57"/>
        <v>6.4380519248907978E-3</v>
      </c>
      <c r="S205" s="2"/>
      <c r="T205" s="6">
        <v>4066.99</v>
      </c>
      <c r="U205" s="2"/>
      <c r="V205" s="7">
        <f t="shared" si="58"/>
        <v>3.3547863885368626E-4</v>
      </c>
      <c r="W205" s="2"/>
      <c r="X205" s="6">
        <f t="shared" si="59"/>
        <v>48153.03</v>
      </c>
      <c r="Y205" s="2"/>
      <c r="Z205" s="7">
        <f t="shared" si="60"/>
        <v>11.839967641916996</v>
      </c>
    </row>
    <row r="206" spans="1:26" s="23" customFormat="1" hidden="1" outlineLevel="2" x14ac:dyDescent="0.25">
      <c r="A206" s="25"/>
      <c r="B206" s="10" t="str">
        <f>CONCATENATE("          ", "6156", " - ", "EMPLOYEE MEALS")</f>
        <v xml:space="preserve">          6156 - EMPLOYEE MEALS</v>
      </c>
      <c r="C206" s="10"/>
      <c r="D206" s="6">
        <v>1721.63</v>
      </c>
      <c r="E206" s="2"/>
      <c r="F206" s="7">
        <f t="shared" si="53"/>
        <v>5.2299597470840892E-3</v>
      </c>
      <c r="G206" s="2"/>
      <c r="H206" s="6">
        <v>1052.54</v>
      </c>
      <c r="I206" s="2"/>
      <c r="J206" s="7">
        <f t="shared" si="54"/>
        <v>1.5978722403271267E-3</v>
      </c>
      <c r="K206" s="2"/>
      <c r="L206" s="6">
        <f t="shared" si="55"/>
        <v>669.09000000000015</v>
      </c>
      <c r="M206" s="2"/>
      <c r="N206" s="7">
        <f t="shared" si="56"/>
        <v>0.63569080510004383</v>
      </c>
      <c r="O206" s="10"/>
      <c r="P206" s="6">
        <v>20263.07</v>
      </c>
      <c r="Q206" s="2"/>
      <c r="R206" s="7">
        <f t="shared" si="57"/>
        <v>2.4981740109961082E-3</v>
      </c>
      <c r="S206" s="2"/>
      <c r="T206" s="6">
        <v>21736.71</v>
      </c>
      <c r="U206" s="2"/>
      <c r="V206" s="7">
        <f t="shared" si="58"/>
        <v>1.7930218377614185E-3</v>
      </c>
      <c r="W206" s="2"/>
      <c r="X206" s="6">
        <f t="shared" si="59"/>
        <v>-1473.6399999999994</v>
      </c>
      <c r="Y206" s="2"/>
      <c r="Z206" s="7">
        <f t="shared" si="60"/>
        <v>-6.7794988293996633E-2</v>
      </c>
    </row>
    <row r="207" spans="1:26" s="27" customFormat="1" outlineLevel="1" collapsed="1" x14ac:dyDescent="0.25">
      <c r="A207" s="26"/>
      <c r="B207" s="12" t="str">
        <f>CONCATENATE("     ","*Payroll                                          ")</f>
        <v xml:space="preserve">     *Payroll                                          </v>
      </c>
      <c r="C207" s="12"/>
      <c r="D207" s="1">
        <f>SUM(OSRRefD22_1x_0)</f>
        <v>134424.68000000002</v>
      </c>
      <c r="E207" s="1"/>
      <c r="F207" s="5">
        <f t="shared" ref="F207:F214" si="61">IF(D$12=0,0,D207/D$12)</f>
        <v>0.40835467865607578</v>
      </c>
      <c r="G207" s="1"/>
      <c r="H207" s="1">
        <f>SUM(OSRRefH22_1x_0)</f>
        <v>103802.62999999999</v>
      </c>
      <c r="I207" s="1"/>
      <c r="J207" s="5">
        <f t="shared" ref="J207:J214" si="62">IF(H$12=0,0,H207/H$12)</f>
        <v>0.15758388370033233</v>
      </c>
      <c r="K207" s="1"/>
      <c r="L207" s="1">
        <f t="shared" ref="L207:L214" si="63">+D207-H207</f>
        <v>30622.050000000032</v>
      </c>
      <c r="M207" s="1"/>
      <c r="N207" s="5">
        <f t="shared" ref="N207:N214" si="64">IF(H207=0,0,L207/H207)</f>
        <v>0.29500264106988461</v>
      </c>
      <c r="O207" s="12"/>
      <c r="P207" s="1">
        <f>SUM(OSRRefP22_1x_0)</f>
        <v>1595184.57</v>
      </c>
      <c r="Q207" s="1"/>
      <c r="R207" s="5">
        <f t="shared" ref="R207:R214" si="65">IF(P$12=0,0,P207/P$12)</f>
        <v>0.19666559092556074</v>
      </c>
      <c r="S207" s="1"/>
      <c r="T207" s="1">
        <f>SUM(OSRRefT22_1x_0)</f>
        <v>1999534.62</v>
      </c>
      <c r="U207" s="1"/>
      <c r="V207" s="5">
        <f t="shared" ref="V207:V214" si="66">IF(T$12=0,0,T207/T$12)</f>
        <v>0.16493798919063557</v>
      </c>
      <c r="W207" s="1"/>
      <c r="X207" s="1">
        <f t="shared" ref="X207:X214" si="67">+P207-T207</f>
        <v>-404350.05000000005</v>
      </c>
      <c r="Y207" s="1"/>
      <c r="Z207" s="5">
        <f t="shared" ref="Z207:Z214" si="68">IF(T207=0,0,X207/T207)</f>
        <v>-0.20222208005580819</v>
      </c>
    </row>
    <row r="208" spans="1:26" s="23" customFormat="1" hidden="1" outlineLevel="2" x14ac:dyDescent="0.25">
      <c r="A208" s="25"/>
      <c r="B208" s="10" t="str">
        <f>CONCATENATE("          ", "6001", " - ", "ADMINISTRATIVE SALARIES")</f>
        <v xml:space="preserve">          6001 - ADMINISTRATIVE SALARIES</v>
      </c>
      <c r="C208" s="10"/>
      <c r="D208" s="6">
        <v>3583.28</v>
      </c>
      <c r="E208" s="2"/>
      <c r="F208" s="7">
        <f t="shared" si="61"/>
        <v>1.0885271610352675E-2</v>
      </c>
      <c r="G208" s="2"/>
      <c r="H208" s="6"/>
      <c r="I208" s="2"/>
      <c r="J208" s="7">
        <f t="shared" si="62"/>
        <v>0</v>
      </c>
      <c r="K208" s="2"/>
      <c r="L208" s="6">
        <f t="shared" si="63"/>
        <v>3583.28</v>
      </c>
      <c r="M208" s="2"/>
      <c r="N208" s="7">
        <f t="shared" si="64"/>
        <v>0</v>
      </c>
      <c r="O208" s="10"/>
      <c r="P208" s="6">
        <v>50981.81</v>
      </c>
      <c r="Q208" s="2"/>
      <c r="R208" s="7">
        <f t="shared" si="65"/>
        <v>6.2853966736304756E-3</v>
      </c>
      <c r="S208" s="2"/>
      <c r="T208" s="6">
        <v>93238.31</v>
      </c>
      <c r="U208" s="2"/>
      <c r="V208" s="7">
        <f t="shared" si="66"/>
        <v>7.6910593160588172E-3</v>
      </c>
      <c r="W208" s="2"/>
      <c r="X208" s="6">
        <f t="shared" si="67"/>
        <v>-42256.5</v>
      </c>
      <c r="Y208" s="2"/>
      <c r="Z208" s="7">
        <f t="shared" si="68"/>
        <v>-0.4532096302474809</v>
      </c>
    </row>
    <row r="209" spans="1:26" s="23" customFormat="1" hidden="1" outlineLevel="2" x14ac:dyDescent="0.25">
      <c r="A209" s="25"/>
      <c r="B209" s="10" t="str">
        <f>CONCATENATE("          ", "6002", " - ", "STAFF SALARIES")</f>
        <v xml:space="preserve">          6002 - STAFF SALARIES</v>
      </c>
      <c r="C209" s="10"/>
      <c r="D209" s="6">
        <v>59254.99</v>
      </c>
      <c r="E209" s="2"/>
      <c r="F209" s="7">
        <f t="shared" si="61"/>
        <v>0.18000453785881415</v>
      </c>
      <c r="G209" s="2"/>
      <c r="H209" s="6">
        <v>49223.519999999997</v>
      </c>
      <c r="I209" s="2"/>
      <c r="J209" s="7">
        <f t="shared" si="62"/>
        <v>7.4726752597703769E-2</v>
      </c>
      <c r="K209" s="2"/>
      <c r="L209" s="6">
        <f t="shared" si="63"/>
        <v>10031.470000000001</v>
      </c>
      <c r="M209" s="2"/>
      <c r="N209" s="7">
        <f t="shared" si="64"/>
        <v>0.20379424307729316</v>
      </c>
      <c r="O209" s="10"/>
      <c r="P209" s="6">
        <v>751544.25</v>
      </c>
      <c r="Q209" s="2"/>
      <c r="R209" s="7">
        <f t="shared" si="65"/>
        <v>9.2655669326689477E-2</v>
      </c>
      <c r="S209" s="2"/>
      <c r="T209" s="6">
        <v>694564.51</v>
      </c>
      <c r="U209" s="2"/>
      <c r="V209" s="7">
        <f t="shared" si="66"/>
        <v>5.729336841518607E-2</v>
      </c>
      <c r="W209" s="2"/>
      <c r="X209" s="6">
        <f t="shared" si="67"/>
        <v>56979.739999999991</v>
      </c>
      <c r="Y209" s="2"/>
      <c r="Z209" s="7">
        <f t="shared" si="68"/>
        <v>8.2036641924016523E-2</v>
      </c>
    </row>
    <row r="210" spans="1:26" s="23" customFormat="1" hidden="1" outlineLevel="2" x14ac:dyDescent="0.25">
      <c r="A210" s="25"/>
      <c r="B210" s="10" t="str">
        <f>CONCATENATE("          ", "6004", " - ", "STAFF HOURLY")</f>
        <v xml:space="preserve">          6004 - STAFF HOURLY</v>
      </c>
      <c r="C210" s="10"/>
      <c r="D210" s="6">
        <v>20449.16</v>
      </c>
      <c r="E210" s="2"/>
      <c r="F210" s="7">
        <f t="shared" si="61"/>
        <v>6.2120364806423023E-2</v>
      </c>
      <c r="G210" s="2"/>
      <c r="H210" s="6">
        <v>21472.59</v>
      </c>
      <c r="I210" s="2"/>
      <c r="J210" s="7">
        <f t="shared" si="62"/>
        <v>3.2597768720358238E-2</v>
      </c>
      <c r="K210" s="2"/>
      <c r="L210" s="6">
        <f t="shared" si="63"/>
        <v>-1023.4300000000003</v>
      </c>
      <c r="M210" s="2"/>
      <c r="N210" s="7">
        <f t="shared" si="64"/>
        <v>-4.7662159059526601E-2</v>
      </c>
      <c r="O210" s="10"/>
      <c r="P210" s="6">
        <v>228528.86</v>
      </c>
      <c r="Q210" s="2"/>
      <c r="R210" s="7">
        <f t="shared" si="65"/>
        <v>2.8174647712047977E-2</v>
      </c>
      <c r="S210" s="2"/>
      <c r="T210" s="6">
        <v>92884.72</v>
      </c>
      <c r="U210" s="2"/>
      <c r="V210" s="7">
        <f t="shared" si="66"/>
        <v>7.6618923173909391E-3</v>
      </c>
      <c r="W210" s="2"/>
      <c r="X210" s="6">
        <f t="shared" si="67"/>
        <v>135644.13999999998</v>
      </c>
      <c r="Y210" s="2"/>
      <c r="Z210" s="7">
        <f t="shared" si="68"/>
        <v>1.460349344865334</v>
      </c>
    </row>
    <row r="211" spans="1:26" s="23" customFormat="1" hidden="1" outlineLevel="2" x14ac:dyDescent="0.25">
      <c r="A211" s="25"/>
      <c r="B211" s="10" t="str">
        <f>CONCATENATE("          ", "6005", " - ", "TEMPORARY WAGES-HOURLY")</f>
        <v xml:space="preserve">          6005 - TEMPORARY WAGES-HOURLY</v>
      </c>
      <c r="C211" s="10"/>
      <c r="D211" s="6">
        <v>9126.32</v>
      </c>
      <c r="E211" s="2"/>
      <c r="F211" s="7">
        <f t="shared" si="61"/>
        <v>2.7723893193664414E-2</v>
      </c>
      <c r="G211" s="2"/>
      <c r="H211" s="6">
        <v>13347.48</v>
      </c>
      <c r="I211" s="2"/>
      <c r="J211" s="7">
        <f t="shared" si="62"/>
        <v>2.0262952258651944E-2</v>
      </c>
      <c r="K211" s="2"/>
      <c r="L211" s="6">
        <f t="shared" si="63"/>
        <v>-4221.16</v>
      </c>
      <c r="M211" s="2"/>
      <c r="N211" s="7">
        <f t="shared" si="64"/>
        <v>-0.31625145720390663</v>
      </c>
      <c r="O211" s="10"/>
      <c r="P211" s="6">
        <v>168966.08</v>
      </c>
      <c r="Q211" s="2"/>
      <c r="R211" s="7">
        <f t="shared" si="65"/>
        <v>2.083132860893681E-2</v>
      </c>
      <c r="S211" s="2"/>
      <c r="T211" s="6">
        <v>231656.27</v>
      </c>
      <c r="U211" s="2"/>
      <c r="V211" s="7">
        <f t="shared" si="66"/>
        <v>1.9108906129968857E-2</v>
      </c>
      <c r="W211" s="2"/>
      <c r="X211" s="6">
        <f t="shared" si="67"/>
        <v>-62690.19</v>
      </c>
      <c r="Y211" s="2"/>
      <c r="Z211" s="7">
        <f t="shared" si="68"/>
        <v>-0.27061728137123164</v>
      </c>
    </row>
    <row r="212" spans="1:26" s="23" customFormat="1" hidden="1" outlineLevel="2" x14ac:dyDescent="0.25">
      <c r="A212" s="25"/>
      <c r="B212" s="10" t="str">
        <f>CONCATENATE("          ", "6006", " - ", "TEMPORARY PART TIME")</f>
        <v xml:space="preserve">          6006 - TEMPORARY PART TIME</v>
      </c>
      <c r="C212" s="10"/>
      <c r="D212" s="6">
        <v>4232.72</v>
      </c>
      <c r="E212" s="2"/>
      <c r="F212" s="7">
        <f t="shared" si="61"/>
        <v>1.2858137474763897E-2</v>
      </c>
      <c r="G212" s="2"/>
      <c r="H212" s="6">
        <v>2246.59</v>
      </c>
      <c r="I212" s="2"/>
      <c r="J212" s="7">
        <f t="shared" si="62"/>
        <v>3.4105723263690882E-3</v>
      </c>
      <c r="K212" s="2"/>
      <c r="L212" s="6">
        <f t="shared" si="63"/>
        <v>1986.13</v>
      </c>
      <c r="M212" s="2"/>
      <c r="N212" s="7">
        <f t="shared" si="64"/>
        <v>0.88406429299516154</v>
      </c>
      <c r="O212" s="10"/>
      <c r="P212" s="6">
        <v>23949.45</v>
      </c>
      <c r="Q212" s="2"/>
      <c r="R212" s="7">
        <f t="shared" si="65"/>
        <v>2.9526569057724589E-3</v>
      </c>
      <c r="S212" s="2"/>
      <c r="T212" s="6">
        <v>46340.98</v>
      </c>
      <c r="U212" s="2"/>
      <c r="V212" s="7">
        <f t="shared" si="66"/>
        <v>3.822583506117768E-3</v>
      </c>
      <c r="W212" s="2"/>
      <c r="X212" s="6">
        <f t="shared" si="67"/>
        <v>-22391.530000000002</v>
      </c>
      <c r="Y212" s="2"/>
      <c r="Z212" s="7">
        <f t="shared" si="68"/>
        <v>-0.48319068781022761</v>
      </c>
    </row>
    <row r="213" spans="1:26" s="23" customFormat="1" hidden="1" outlineLevel="2" x14ac:dyDescent="0.25">
      <c r="A213" s="25"/>
      <c r="B213" s="10" t="str">
        <f>CONCATENATE("          ", "6007", " - ", "STUDENT HOURLY")</f>
        <v xml:space="preserve">          6007 - STUDENT HOURLY</v>
      </c>
      <c r="C213" s="10"/>
      <c r="D213" s="6">
        <v>30960.29</v>
      </c>
      <c r="E213" s="2"/>
      <c r="F213" s="7">
        <f t="shared" si="61"/>
        <v>9.4051027490256359E-2</v>
      </c>
      <c r="G213" s="2"/>
      <c r="H213" s="6">
        <v>17512.45</v>
      </c>
      <c r="I213" s="2"/>
      <c r="J213" s="7">
        <f t="shared" si="62"/>
        <v>2.6585837797249313E-2</v>
      </c>
      <c r="K213" s="2"/>
      <c r="L213" s="6">
        <f t="shared" si="63"/>
        <v>13447.84</v>
      </c>
      <c r="M213" s="2"/>
      <c r="N213" s="7">
        <f t="shared" si="64"/>
        <v>0.76790169279569676</v>
      </c>
      <c r="O213" s="10"/>
      <c r="P213" s="6">
        <v>351854.79</v>
      </c>
      <c r="Q213" s="2"/>
      <c r="R213" s="7">
        <f t="shared" si="65"/>
        <v>4.3379137121003546E-2</v>
      </c>
      <c r="S213" s="2"/>
      <c r="T213" s="6">
        <v>825369.91</v>
      </c>
      <c r="U213" s="2"/>
      <c r="V213" s="7">
        <f t="shared" si="66"/>
        <v>6.8083268942778219E-2</v>
      </c>
      <c r="W213" s="2"/>
      <c r="X213" s="6">
        <f t="shared" si="67"/>
        <v>-473515.12000000005</v>
      </c>
      <c r="Y213" s="2"/>
      <c r="Z213" s="7">
        <f t="shared" si="68"/>
        <v>-0.57370048782127281</v>
      </c>
    </row>
    <row r="214" spans="1:26" s="23" customFormat="1" hidden="1" outlineLevel="2" x14ac:dyDescent="0.25">
      <c r="A214" s="25"/>
      <c r="B214" s="10" t="str">
        <f>CONCATENATE("          ", "6008", " - ", "STUDENT HOURLY-FICA EXEMPT")</f>
        <v xml:space="preserve">          6008 - STUDENT HOURLY-FICA EXEMPT</v>
      </c>
      <c r="C214" s="10"/>
      <c r="D214" s="6">
        <v>6817.92</v>
      </c>
      <c r="E214" s="2"/>
      <c r="F214" s="7">
        <f t="shared" si="61"/>
        <v>2.0711446221801173E-2</v>
      </c>
      <c r="G214" s="2"/>
      <c r="H214" s="6"/>
      <c r="I214" s="2"/>
      <c r="J214" s="7">
        <f t="shared" si="62"/>
        <v>0</v>
      </c>
      <c r="K214" s="2"/>
      <c r="L214" s="6">
        <f t="shared" si="63"/>
        <v>6817.92</v>
      </c>
      <c r="M214" s="2"/>
      <c r="N214" s="7">
        <f t="shared" si="64"/>
        <v>0</v>
      </c>
      <c r="O214" s="10"/>
      <c r="P214" s="6">
        <v>19359.330000000002</v>
      </c>
      <c r="Q214" s="2"/>
      <c r="R214" s="7">
        <f t="shared" si="65"/>
        <v>2.3867545774799814E-3</v>
      </c>
      <c r="S214" s="2"/>
      <c r="T214" s="6">
        <v>15479.92</v>
      </c>
      <c r="U214" s="2"/>
      <c r="V214" s="7">
        <f t="shared" si="66"/>
        <v>1.2769105631348875E-3</v>
      </c>
      <c r="W214" s="2"/>
      <c r="X214" s="6">
        <f t="shared" si="67"/>
        <v>3879.4100000000017</v>
      </c>
      <c r="Y214" s="2"/>
      <c r="Z214" s="7">
        <f t="shared" si="68"/>
        <v>0.25060917627481288</v>
      </c>
    </row>
    <row r="215" spans="1:26" s="27" customFormat="1" outlineLevel="1" collapsed="1" x14ac:dyDescent="0.25">
      <c r="A215" s="26"/>
      <c r="B215" s="12" t="str">
        <f>CONCATENATE("     ","Advertising/Promo                                 ")</f>
        <v xml:space="preserve">     Advertising/Promo                                 </v>
      </c>
      <c r="C215" s="12"/>
      <c r="D215" s="1">
        <f>SUM(OSRRefD22_2x_0)</f>
        <v>1324.8</v>
      </c>
      <c r="E215" s="1"/>
      <c r="F215" s="5">
        <f t="shared" ref="F215:F219" si="69">IF(D$12=0,0,D215/D$12)</f>
        <v>4.0244713863820921E-3</v>
      </c>
      <c r="G215" s="1"/>
      <c r="H215" s="1">
        <f>SUM(OSRRefH22_2x_0)</f>
        <v>-2380.7399999999998</v>
      </c>
      <c r="I215" s="1"/>
      <c r="J215" s="5">
        <f t="shared" ref="J215:J219" si="70">IF(H$12=0,0,H215/H$12)</f>
        <v>-3.6142268773029086E-3</v>
      </c>
      <c r="K215" s="1"/>
      <c r="L215" s="1">
        <f t="shared" ref="L215:L219" si="71">+D215-H215</f>
        <v>3705.54</v>
      </c>
      <c r="M215" s="1"/>
      <c r="N215" s="5">
        <f t="shared" ref="N215:N219" si="72">IF(H215=0,0,L215/H215)</f>
        <v>-1.5564656367347969</v>
      </c>
      <c r="O215" s="12"/>
      <c r="P215" s="1">
        <f>SUM(OSRRefP22_2x_0)</f>
        <v>19560.95</v>
      </c>
      <c r="Q215" s="1"/>
      <c r="R215" s="5">
        <f t="shared" ref="R215:R219" si="73">IF(P$12=0,0,P215/P$12)</f>
        <v>2.4116117113741563E-3</v>
      </c>
      <c r="S215" s="1"/>
      <c r="T215" s="1">
        <f>SUM(OSRRefT22_2x_0)</f>
        <v>44836.67</v>
      </c>
      <c r="U215" s="1"/>
      <c r="V215" s="5">
        <f t="shared" ref="V215:V219" si="74">IF(T$12=0,0,T215/T$12)</f>
        <v>3.6984956988662158E-3</v>
      </c>
      <c r="W215" s="1"/>
      <c r="X215" s="1">
        <f t="shared" ref="X215:X219" si="75">+P215-T215</f>
        <v>-25275.719999999998</v>
      </c>
      <c r="Y215" s="1"/>
      <c r="Z215" s="5">
        <f t="shared" ref="Z215:Z219" si="76">IF(T215=0,0,X215/T215)</f>
        <v>-0.56372875148845791</v>
      </c>
    </row>
    <row r="216" spans="1:26" s="23" customFormat="1" hidden="1" outlineLevel="2" x14ac:dyDescent="0.25">
      <c r="A216" s="25"/>
      <c r="B216" s="10" t="str">
        <f>CONCATENATE("          ", "6362", " - ", "ADVERTISING EXPENSE")</f>
        <v xml:space="preserve">          6362 - ADVERTISING EXPENSE</v>
      </c>
      <c r="C216" s="10"/>
      <c r="D216" s="6">
        <v>1324.8</v>
      </c>
      <c r="E216" s="2"/>
      <c r="F216" s="7">
        <f t="shared" si="69"/>
        <v>4.0244713863820921E-3</v>
      </c>
      <c r="G216" s="2"/>
      <c r="H216" s="6">
        <v>-2380.7399999999998</v>
      </c>
      <c r="I216" s="2"/>
      <c r="J216" s="7">
        <f t="shared" si="70"/>
        <v>-3.6142268773029086E-3</v>
      </c>
      <c r="K216" s="2"/>
      <c r="L216" s="6">
        <f t="shared" si="71"/>
        <v>3705.54</v>
      </c>
      <c r="M216" s="2"/>
      <c r="N216" s="7">
        <f t="shared" si="72"/>
        <v>-1.5564656367347969</v>
      </c>
      <c r="O216" s="10"/>
      <c r="P216" s="6">
        <v>19560.95</v>
      </c>
      <c r="Q216" s="2"/>
      <c r="R216" s="7">
        <f t="shared" si="73"/>
        <v>2.4116117113741563E-3</v>
      </c>
      <c r="S216" s="2"/>
      <c r="T216" s="6">
        <v>44836.67</v>
      </c>
      <c r="U216" s="2"/>
      <c r="V216" s="7">
        <f t="shared" si="74"/>
        <v>3.6984956988662158E-3</v>
      </c>
      <c r="W216" s="2"/>
      <c r="X216" s="6">
        <f t="shared" si="75"/>
        <v>-25275.719999999998</v>
      </c>
      <c r="Y216" s="2"/>
      <c r="Z216" s="7">
        <f t="shared" si="76"/>
        <v>-0.56372875148845791</v>
      </c>
    </row>
    <row r="217" spans="1:26" s="27" customFormat="1" outlineLevel="1" collapsed="1" x14ac:dyDescent="0.25">
      <c r="A217" s="26"/>
      <c r="B217" s="12" t="str">
        <f>CONCATENATE("     ","Bad Debts/Over/Short                              ")</f>
        <v xml:space="preserve">     Bad Debts/Over/Short                              </v>
      </c>
      <c r="C217" s="12"/>
      <c r="D217" s="1">
        <f>SUM(OSRRefD22_3x_0)</f>
        <v>10.39</v>
      </c>
      <c r="E217" s="1"/>
      <c r="F217" s="5">
        <f t="shared" si="69"/>
        <v>3.1562694523331777E-5</v>
      </c>
      <c r="G217" s="1"/>
      <c r="H217" s="1">
        <f>SUM(OSRRefH22_3x_0)</f>
        <v>-2.48</v>
      </c>
      <c r="I217" s="1"/>
      <c r="J217" s="5">
        <f t="shared" si="70"/>
        <v>-3.7649145457761929E-6</v>
      </c>
      <c r="K217" s="1"/>
      <c r="L217" s="1">
        <f t="shared" si="71"/>
        <v>12.870000000000001</v>
      </c>
      <c r="M217" s="1"/>
      <c r="N217" s="5">
        <f t="shared" si="72"/>
        <v>-5.1895161290322589</v>
      </c>
      <c r="O217" s="12"/>
      <c r="P217" s="1">
        <f>SUM(OSRRefP22_3x_0)</f>
        <v>5214.6499999999996</v>
      </c>
      <c r="Q217" s="1"/>
      <c r="R217" s="5">
        <f t="shared" si="73"/>
        <v>6.4289878613856899E-4</v>
      </c>
      <c r="S217" s="1"/>
      <c r="T217" s="1">
        <f>SUM(OSRRefT22_3x_0)</f>
        <v>-33.400000000000006</v>
      </c>
      <c r="U217" s="1"/>
      <c r="V217" s="5">
        <f t="shared" si="74"/>
        <v>-2.7551055049835689E-6</v>
      </c>
      <c r="W217" s="1"/>
      <c r="X217" s="1">
        <f t="shared" si="75"/>
        <v>5248.0499999999993</v>
      </c>
      <c r="Y217" s="1"/>
      <c r="Z217" s="5">
        <f t="shared" si="76"/>
        <v>-157.12724550898199</v>
      </c>
    </row>
    <row r="218" spans="1:26" s="23" customFormat="1" hidden="1" outlineLevel="2" x14ac:dyDescent="0.25">
      <c r="A218" s="25"/>
      <c r="B218" s="10" t="str">
        <f>CONCATENATE("          ", "6272", " - ", "CASH (OVER/SHORT)")</f>
        <v xml:space="preserve">          6272 - CASH (OVER/SHORT)</v>
      </c>
      <c r="C218" s="10"/>
      <c r="D218" s="6">
        <v>10.39</v>
      </c>
      <c r="E218" s="2"/>
      <c r="F218" s="7">
        <f t="shared" si="69"/>
        <v>3.1562694523331777E-5</v>
      </c>
      <c r="G218" s="2"/>
      <c r="H218" s="6">
        <v>-2.48</v>
      </c>
      <c r="I218" s="2"/>
      <c r="J218" s="7">
        <f t="shared" si="70"/>
        <v>-3.7649145457761929E-6</v>
      </c>
      <c r="K218" s="2"/>
      <c r="L218" s="6">
        <f t="shared" si="71"/>
        <v>12.870000000000001</v>
      </c>
      <c r="M218" s="2"/>
      <c r="N218" s="7">
        <f t="shared" si="72"/>
        <v>-5.1895161290322589</v>
      </c>
      <c r="O218" s="10"/>
      <c r="P218" s="6">
        <v>-134.77000000000001</v>
      </c>
      <c r="Q218" s="2"/>
      <c r="R218" s="7">
        <f t="shared" si="73"/>
        <v>-1.6615394975289802E-5</v>
      </c>
      <c r="S218" s="2"/>
      <c r="T218" s="6">
        <v>-78.2</v>
      </c>
      <c r="U218" s="2"/>
      <c r="V218" s="7">
        <f t="shared" si="74"/>
        <v>-6.4505763619675164E-6</v>
      </c>
      <c r="W218" s="2"/>
      <c r="X218" s="6">
        <f t="shared" si="75"/>
        <v>-56.570000000000007</v>
      </c>
      <c r="Y218" s="2"/>
      <c r="Z218" s="7">
        <f t="shared" si="76"/>
        <v>0.7234015345268543</v>
      </c>
    </row>
    <row r="219" spans="1:26" s="23" customFormat="1" hidden="1" outlineLevel="2" x14ac:dyDescent="0.25">
      <c r="A219" s="25"/>
      <c r="B219" s="10" t="str">
        <f>CONCATENATE("          ", "6342", " - ", "BAD DEBT")</f>
        <v xml:space="preserve">          6342 - BAD DEBT</v>
      </c>
      <c r="C219" s="10"/>
      <c r="D219" s="6"/>
      <c r="E219" s="2"/>
      <c r="F219" s="7">
        <f t="shared" si="69"/>
        <v>0</v>
      </c>
      <c r="G219" s="2"/>
      <c r="H219" s="6"/>
      <c r="I219" s="2"/>
      <c r="J219" s="7">
        <f t="shared" si="70"/>
        <v>0</v>
      </c>
      <c r="K219" s="2"/>
      <c r="L219" s="6">
        <f t="shared" si="71"/>
        <v>0</v>
      </c>
      <c r="M219" s="2"/>
      <c r="N219" s="7">
        <f t="shared" si="72"/>
        <v>0</v>
      </c>
      <c r="O219" s="10"/>
      <c r="P219" s="6">
        <v>5349.42</v>
      </c>
      <c r="Q219" s="2"/>
      <c r="R219" s="7">
        <f t="shared" si="73"/>
        <v>6.5951418111385887E-4</v>
      </c>
      <c r="S219" s="2"/>
      <c r="T219" s="6">
        <v>44.8</v>
      </c>
      <c r="U219" s="2"/>
      <c r="V219" s="7">
        <f t="shared" si="74"/>
        <v>3.6954708569839475E-6</v>
      </c>
      <c r="W219" s="2"/>
      <c r="X219" s="6">
        <f t="shared" si="75"/>
        <v>5304.62</v>
      </c>
      <c r="Y219" s="2"/>
      <c r="Z219" s="7">
        <f t="shared" si="76"/>
        <v>118.40669642857144</v>
      </c>
    </row>
    <row r="220" spans="1:26" s="27" customFormat="1" outlineLevel="1" collapsed="1" x14ac:dyDescent="0.25">
      <c r="A220" s="26"/>
      <c r="B220" s="12" t="str">
        <f>CONCATENATE("     ","Bank/card Fees                                    ")</f>
        <v xml:space="preserve">     Bank/card Fees                                    </v>
      </c>
      <c r="C220" s="12"/>
      <c r="D220" s="1">
        <f>SUM(OSRRefD22_4x_0)</f>
        <v>10272.450000000001</v>
      </c>
      <c r="E220" s="1"/>
      <c r="F220" s="5">
        <f t="shared" ref="F220:F225" si="77">IF(D$12=0,0,D220/D$12)</f>
        <v>3.120560167047156E-2</v>
      </c>
      <c r="G220" s="1"/>
      <c r="H220" s="1">
        <f>SUM(OSRRefH22_4x_0)</f>
        <v>3703.6</v>
      </c>
      <c r="I220" s="1"/>
      <c r="J220" s="5">
        <f t="shared" ref="J220:J225" si="78">IF(H$12=0,0,H220/H$12)</f>
        <v>5.6224748031196408E-3</v>
      </c>
      <c r="K220" s="1"/>
      <c r="L220" s="1">
        <f t="shared" ref="L220:L225" si="79">+D220-H220</f>
        <v>6568.85</v>
      </c>
      <c r="M220" s="1"/>
      <c r="N220" s="5">
        <f t="shared" ref="N220:N225" si="80">IF(H220=0,0,L220/H220)</f>
        <v>1.7736391618965333</v>
      </c>
      <c r="O220" s="12"/>
      <c r="P220" s="1">
        <f>SUM(OSRRefP22_4x_0)</f>
        <v>88875.99</v>
      </c>
      <c r="Q220" s="1"/>
      <c r="R220" s="5">
        <f t="shared" ref="R220:R225" si="81">IF(P$12=0,0,P220/P$12)</f>
        <v>1.095725812621434E-2</v>
      </c>
      <c r="S220" s="1"/>
      <c r="T220" s="1">
        <f>SUM(OSRRefT22_4x_0)</f>
        <v>148948.63</v>
      </c>
      <c r="U220" s="1"/>
      <c r="V220" s="5">
        <f t="shared" ref="V220:V225" si="82">IF(T$12=0,0,T220/T$12)</f>
        <v>1.2286502708765291E-2</v>
      </c>
      <c r="W220" s="1"/>
      <c r="X220" s="1">
        <f t="shared" ref="X220:X225" si="83">+P220-T220</f>
        <v>-60072.639999999999</v>
      </c>
      <c r="Y220" s="1"/>
      <c r="Z220" s="5">
        <f t="shared" ref="Z220:Z225" si="84">IF(T220=0,0,X220/T220)</f>
        <v>-0.40331112813860726</v>
      </c>
    </row>
    <row r="221" spans="1:26" s="23" customFormat="1" hidden="1" outlineLevel="2" x14ac:dyDescent="0.25">
      <c r="A221" s="25"/>
      <c r="B221" s="10" t="str">
        <f>CONCATENATE("          ", "6381", " - ", "BANK/CREDIT CARD FEES")</f>
        <v xml:space="preserve">          6381 - BANK/CREDIT CARD FEES</v>
      </c>
      <c r="C221" s="10"/>
      <c r="D221" s="6">
        <v>10272.450000000001</v>
      </c>
      <c r="E221" s="2"/>
      <c r="F221" s="7">
        <f t="shared" si="77"/>
        <v>3.120560167047156E-2</v>
      </c>
      <c r="G221" s="2"/>
      <c r="H221" s="6">
        <v>3703.6</v>
      </c>
      <c r="I221" s="2"/>
      <c r="J221" s="7">
        <f t="shared" si="78"/>
        <v>5.6224748031196408E-3</v>
      </c>
      <c r="K221" s="2"/>
      <c r="L221" s="6">
        <f t="shared" si="79"/>
        <v>6568.85</v>
      </c>
      <c r="M221" s="2"/>
      <c r="N221" s="7">
        <f t="shared" si="80"/>
        <v>1.7736391618965333</v>
      </c>
      <c r="O221" s="10"/>
      <c r="P221" s="6">
        <v>88875.99</v>
      </c>
      <c r="Q221" s="2"/>
      <c r="R221" s="7">
        <f t="shared" si="81"/>
        <v>1.095725812621434E-2</v>
      </c>
      <c r="S221" s="2"/>
      <c r="T221" s="6">
        <v>148948.63</v>
      </c>
      <c r="U221" s="2"/>
      <c r="V221" s="7">
        <f t="shared" si="82"/>
        <v>1.2286502708765291E-2</v>
      </c>
      <c r="W221" s="2"/>
      <c r="X221" s="6">
        <f t="shared" si="83"/>
        <v>-60072.639999999999</v>
      </c>
      <c r="Y221" s="2"/>
      <c r="Z221" s="7">
        <f t="shared" si="84"/>
        <v>-0.40331112813860726</v>
      </c>
    </row>
    <row r="222" spans="1:26" s="27" customFormat="1" outlineLevel="1" collapsed="1" x14ac:dyDescent="0.25">
      <c r="A222" s="26"/>
      <c r="B222" s="12" t="str">
        <f>CONCATENATE("     ","Depreciation                                      ")</f>
        <v xml:space="preserve">     Depreciation                                      </v>
      </c>
      <c r="C222" s="12"/>
      <c r="D222" s="1">
        <f>SUM(OSRRefD22_5x_0)</f>
        <v>30998.91</v>
      </c>
      <c r="E222" s="1"/>
      <c r="F222" s="5">
        <f t="shared" si="77"/>
        <v>9.4168347149783893E-2</v>
      </c>
      <c r="G222" s="1"/>
      <c r="H222" s="1">
        <f>SUM(OSRRefH22_5x_0)</f>
        <v>30629.66</v>
      </c>
      <c r="I222" s="1"/>
      <c r="J222" s="5">
        <f t="shared" si="78"/>
        <v>4.6499214704104529E-2</v>
      </c>
      <c r="K222" s="1"/>
      <c r="L222" s="1">
        <f t="shared" si="79"/>
        <v>369.25</v>
      </c>
      <c r="M222" s="1"/>
      <c r="N222" s="5">
        <f t="shared" si="80"/>
        <v>1.2055308482039957E-2</v>
      </c>
      <c r="O222" s="12"/>
      <c r="P222" s="1">
        <f>SUM(OSRRefP22_5x_0)</f>
        <v>372473.58999999997</v>
      </c>
      <c r="Q222" s="1"/>
      <c r="R222" s="5">
        <f t="shared" si="81"/>
        <v>4.5921168032308023E-2</v>
      </c>
      <c r="S222" s="1"/>
      <c r="T222" s="1">
        <f>SUM(OSRRefT22_5x_0)</f>
        <v>362746.92000000004</v>
      </c>
      <c r="U222" s="1"/>
      <c r="V222" s="5">
        <f t="shared" si="82"/>
        <v>2.9922336413408208E-2</v>
      </c>
      <c r="W222" s="1"/>
      <c r="X222" s="1">
        <f t="shared" si="83"/>
        <v>9726.6699999999255</v>
      </c>
      <c r="Y222" s="1"/>
      <c r="Z222" s="5">
        <f t="shared" si="84"/>
        <v>2.6813928564851562E-2</v>
      </c>
    </row>
    <row r="223" spans="1:26" s="23" customFormat="1" hidden="1" outlineLevel="2" x14ac:dyDescent="0.25">
      <c r="A223" s="25"/>
      <c r="B223" s="10" t="str">
        <f>CONCATENATE("          ", "6321", " - ", "BUILDING DEPRECIATION")</f>
        <v xml:space="preserve">          6321 - BUILDING DEPRECIATION</v>
      </c>
      <c r="C223" s="10"/>
      <c r="D223" s="6">
        <v>16396.25</v>
      </c>
      <c r="E223" s="2"/>
      <c r="F223" s="7">
        <f t="shared" si="77"/>
        <v>4.9808453328024895E-2</v>
      </c>
      <c r="G223" s="2"/>
      <c r="H223" s="6">
        <v>16396.25</v>
      </c>
      <c r="I223" s="2"/>
      <c r="J223" s="7">
        <f t="shared" si="78"/>
        <v>2.4891322629509237E-2</v>
      </c>
      <c r="K223" s="2"/>
      <c r="L223" s="6">
        <f t="shared" si="79"/>
        <v>0</v>
      </c>
      <c r="M223" s="2"/>
      <c r="N223" s="7">
        <f t="shared" si="80"/>
        <v>0</v>
      </c>
      <c r="O223" s="10"/>
      <c r="P223" s="6">
        <v>196757.97</v>
      </c>
      <c r="Q223" s="2"/>
      <c r="R223" s="7">
        <f t="shared" si="81"/>
        <v>2.4257708585636428E-2</v>
      </c>
      <c r="S223" s="2"/>
      <c r="T223" s="6">
        <v>196757.97</v>
      </c>
      <c r="U223" s="2"/>
      <c r="V223" s="7">
        <f t="shared" si="82"/>
        <v>1.6230208571748256E-2</v>
      </c>
      <c r="W223" s="2"/>
      <c r="X223" s="6">
        <f t="shared" si="83"/>
        <v>0</v>
      </c>
      <c r="Y223" s="2"/>
      <c r="Z223" s="7">
        <f t="shared" si="84"/>
        <v>0</v>
      </c>
    </row>
    <row r="224" spans="1:26" s="23" customFormat="1" hidden="1" outlineLevel="2" x14ac:dyDescent="0.25">
      <c r="A224" s="25"/>
      <c r="B224" s="10" t="str">
        <f>CONCATENATE("          ", "6322", " - ", "EQUIPMENT DEPRECIATION EXPENSE")</f>
        <v xml:space="preserve">          6322 - EQUIPMENT DEPRECIATION EXPENSE</v>
      </c>
      <c r="C224" s="10"/>
      <c r="D224" s="6">
        <v>14602.66</v>
      </c>
      <c r="E224" s="2"/>
      <c r="F224" s="7">
        <f t="shared" si="77"/>
        <v>4.4359893821758999E-2</v>
      </c>
      <c r="G224" s="2"/>
      <c r="H224" s="6">
        <v>14233.41</v>
      </c>
      <c r="I224" s="2"/>
      <c r="J224" s="7">
        <f t="shared" si="78"/>
        <v>2.1607892074595292E-2</v>
      </c>
      <c r="K224" s="2"/>
      <c r="L224" s="6">
        <f t="shared" si="79"/>
        <v>369.25</v>
      </c>
      <c r="M224" s="2"/>
      <c r="N224" s="7">
        <f t="shared" si="80"/>
        <v>2.5942483213790651E-2</v>
      </c>
      <c r="O224" s="10"/>
      <c r="P224" s="6">
        <v>175715.62</v>
      </c>
      <c r="Q224" s="2"/>
      <c r="R224" s="7">
        <f t="shared" si="81"/>
        <v>2.1663459446671602E-2</v>
      </c>
      <c r="S224" s="2"/>
      <c r="T224" s="6">
        <v>165988.95000000001</v>
      </c>
      <c r="U224" s="2"/>
      <c r="V224" s="7">
        <f t="shared" si="82"/>
        <v>1.3692127841659948E-2</v>
      </c>
      <c r="W224" s="2"/>
      <c r="X224" s="6">
        <f t="shared" si="83"/>
        <v>9726.6699999999837</v>
      </c>
      <c r="Y224" s="2"/>
      <c r="Z224" s="7">
        <f t="shared" si="84"/>
        <v>5.8598298260215412E-2</v>
      </c>
    </row>
    <row r="225" spans="1:26" s="23" customFormat="1" hidden="1" outlineLevel="2" x14ac:dyDescent="0.25">
      <c r="A225" s="25"/>
      <c r="B225" s="10" t="str">
        <f>CONCATENATE("          ", "6324", " - ", "FURNITURE + FIXT DEPRECIATION")</f>
        <v xml:space="preserve">          6324 - FURNITURE + FIXT DEPRECIATION</v>
      </c>
      <c r="C225" s="10"/>
      <c r="D225" s="6"/>
      <c r="E225" s="2"/>
      <c r="F225" s="7">
        <f t="shared" si="77"/>
        <v>0</v>
      </c>
      <c r="G225" s="2"/>
      <c r="H225" s="6"/>
      <c r="I225" s="2"/>
      <c r="J225" s="7">
        <f t="shared" si="78"/>
        <v>0</v>
      </c>
      <c r="K225" s="2"/>
      <c r="L225" s="6">
        <f t="shared" si="79"/>
        <v>0</v>
      </c>
      <c r="M225" s="2"/>
      <c r="N225" s="7">
        <f t="shared" si="80"/>
        <v>0</v>
      </c>
      <c r="O225" s="10"/>
      <c r="P225" s="6"/>
      <c r="Q225" s="2"/>
      <c r="R225" s="7">
        <f t="shared" si="81"/>
        <v>0</v>
      </c>
      <c r="S225" s="2"/>
      <c r="T225" s="6">
        <v>0</v>
      </c>
      <c r="U225" s="2"/>
      <c r="V225" s="7">
        <f t="shared" si="82"/>
        <v>0</v>
      </c>
      <c r="W225" s="2"/>
      <c r="X225" s="6">
        <f t="shared" si="83"/>
        <v>0</v>
      </c>
      <c r="Y225" s="2"/>
      <c r="Z225" s="7">
        <f t="shared" si="84"/>
        <v>0</v>
      </c>
    </row>
    <row r="226" spans="1:26" s="27" customFormat="1" outlineLevel="1" collapsed="1" x14ac:dyDescent="0.25">
      <c r="A226" s="26"/>
      <c r="B226" s="12" t="str">
        <f>CONCATENATE("     ","Discounts and Markdowns                           ")</f>
        <v xml:space="preserve">     Discounts and Markdowns                           </v>
      </c>
      <c r="C226" s="12"/>
      <c r="D226" s="1">
        <f>SUM(OSRRefD22_6x_0)</f>
        <v>0</v>
      </c>
      <c r="E226" s="1"/>
      <c r="F226" s="5">
        <f t="shared" ref="F226:F228" si="85">IF(D$12=0,0,D226/D$12)</f>
        <v>0</v>
      </c>
      <c r="G226" s="1"/>
      <c r="H226" s="1">
        <f>SUM(OSRRefH22_6x_0)</f>
        <v>42286.42</v>
      </c>
      <c r="I226" s="1"/>
      <c r="J226" s="5">
        <f t="shared" ref="J226:J228" si="86">IF(H$12=0,0,H226/H$12)</f>
        <v>6.4195466833387629E-2</v>
      </c>
      <c r="K226" s="1"/>
      <c r="L226" s="1">
        <f t="shared" ref="L226:L228" si="87">+D226-H226</f>
        <v>-42286.42</v>
      </c>
      <c r="M226" s="1"/>
      <c r="N226" s="5">
        <f t="shared" ref="N226:N228" si="88">IF(H226=0,0,L226/H226)</f>
        <v>-1</v>
      </c>
      <c r="O226" s="12"/>
      <c r="P226" s="1">
        <f>SUM(OSRRefP22_6x_0)</f>
        <v>-15.43</v>
      </c>
      <c r="Q226" s="1"/>
      <c r="R226" s="5">
        <f t="shared" ref="R226:R228" si="89">IF(P$12=0,0,P226/P$12)</f>
        <v>-1.902319095263943E-6</v>
      </c>
      <c r="S226" s="1"/>
      <c r="T226" s="1">
        <f>SUM(OSRRefT22_6x_0)</f>
        <v>464055.9</v>
      </c>
      <c r="U226" s="1"/>
      <c r="V226" s="5">
        <f t="shared" ref="V226:V228" si="90">IF(T$12=0,0,T226/T$12)</f>
        <v>3.8279130679943242E-2</v>
      </c>
      <c r="W226" s="1"/>
      <c r="X226" s="1">
        <f t="shared" ref="X226:X228" si="91">+P226-T226</f>
        <v>-464071.33</v>
      </c>
      <c r="Y226" s="1"/>
      <c r="Z226" s="5">
        <f t="shared" ref="Z226:Z228" si="92">IF(T226=0,0,X226/T226)</f>
        <v>-1.000033250304543</v>
      </c>
    </row>
    <row r="227" spans="1:26" s="23" customFormat="1" hidden="1" outlineLevel="2" x14ac:dyDescent="0.25">
      <c r="A227" s="25"/>
      <c r="B227" s="10" t="str">
        <f>CONCATENATE("          ", "6382", " - ", "DISCOUNTS/MARK DOWNS")</f>
        <v xml:space="preserve">          6382 - DISCOUNTS/MARK DOWNS</v>
      </c>
      <c r="C227" s="10"/>
      <c r="D227" s="6">
        <v>0</v>
      </c>
      <c r="E227" s="2"/>
      <c r="F227" s="7">
        <f t="shared" si="85"/>
        <v>0</v>
      </c>
      <c r="G227" s="2"/>
      <c r="H227" s="6">
        <v>42289.279999999999</v>
      </c>
      <c r="I227" s="2"/>
      <c r="J227" s="7">
        <f t="shared" si="86"/>
        <v>6.419980863000091E-2</v>
      </c>
      <c r="K227" s="2"/>
      <c r="L227" s="6">
        <f t="shared" si="87"/>
        <v>-42289.279999999999</v>
      </c>
      <c r="M227" s="2"/>
      <c r="N227" s="7">
        <f t="shared" si="88"/>
        <v>-1</v>
      </c>
      <c r="O227" s="10"/>
      <c r="P227" s="6">
        <v>0</v>
      </c>
      <c r="Q227" s="2"/>
      <c r="R227" s="7">
        <f t="shared" si="89"/>
        <v>0</v>
      </c>
      <c r="S227" s="2"/>
      <c r="T227" s="6">
        <v>467290.38</v>
      </c>
      <c r="U227" s="2"/>
      <c r="V227" s="7">
        <f t="shared" si="90"/>
        <v>3.8545937076762384E-2</v>
      </c>
      <c r="W227" s="2"/>
      <c r="X227" s="6">
        <f t="shared" si="91"/>
        <v>-467290.38</v>
      </c>
      <c r="Y227" s="2"/>
      <c r="Z227" s="7">
        <f t="shared" si="92"/>
        <v>-1</v>
      </c>
    </row>
    <row r="228" spans="1:26" s="23" customFormat="1" hidden="1" outlineLevel="2" x14ac:dyDescent="0.25">
      <c r="A228" s="25"/>
      <c r="B228" s="10" t="str">
        <f>CONCATENATE("          ", "9175", " - ", "EARNED DISCOUNTS")</f>
        <v xml:space="preserve">          9175 - EARNED DISCOUNTS</v>
      </c>
      <c r="C228" s="10"/>
      <c r="D228" s="6">
        <v>0</v>
      </c>
      <c r="E228" s="2"/>
      <c r="F228" s="7">
        <f t="shared" si="85"/>
        <v>0</v>
      </c>
      <c r="G228" s="2"/>
      <c r="H228" s="6">
        <v>-2.86</v>
      </c>
      <c r="I228" s="2"/>
      <c r="J228" s="7">
        <f t="shared" si="86"/>
        <v>-4.3417966132741583E-6</v>
      </c>
      <c r="K228" s="2"/>
      <c r="L228" s="6">
        <f t="shared" si="87"/>
        <v>2.86</v>
      </c>
      <c r="M228" s="2"/>
      <c r="N228" s="7">
        <f t="shared" si="88"/>
        <v>-1</v>
      </c>
      <c r="O228" s="10"/>
      <c r="P228" s="6">
        <v>-15.43</v>
      </c>
      <c r="Q228" s="2"/>
      <c r="R228" s="7">
        <f t="shared" si="89"/>
        <v>-1.902319095263943E-6</v>
      </c>
      <c r="S228" s="2"/>
      <c r="T228" s="6">
        <v>-3234.48</v>
      </c>
      <c r="U228" s="2"/>
      <c r="V228" s="7">
        <f t="shared" si="90"/>
        <v>-2.6680639681913931E-4</v>
      </c>
      <c r="W228" s="2"/>
      <c r="X228" s="6">
        <f t="shared" si="91"/>
        <v>3219.05</v>
      </c>
      <c r="Y228" s="2"/>
      <c r="Z228" s="7">
        <f t="shared" si="92"/>
        <v>-0.99522952684821053</v>
      </c>
    </row>
    <row r="229" spans="1:26" s="27" customFormat="1" outlineLevel="1" collapsed="1" x14ac:dyDescent="0.25">
      <c r="A229" s="26"/>
      <c r="B229" s="12" t="str">
        <f>CONCATENATE("     ","Donations                                         ")</f>
        <v xml:space="preserve">     Donations                                         </v>
      </c>
      <c r="C229" s="12"/>
      <c r="D229" s="1">
        <f>SUM(OSRRefD22_7x_0)</f>
        <v>0</v>
      </c>
      <c r="E229" s="1"/>
      <c r="F229" s="5">
        <f t="shared" ref="F229:F237" si="93">IF(D$12=0,0,D229/D$12)</f>
        <v>0</v>
      </c>
      <c r="G229" s="1"/>
      <c r="H229" s="1">
        <f>SUM(OSRRefH22_7x_0)</f>
        <v>0</v>
      </c>
      <c r="I229" s="1"/>
      <c r="J229" s="5">
        <f t="shared" ref="J229:J237" si="94">IF(H$12=0,0,H229/H$12)</f>
        <v>0</v>
      </c>
      <c r="K229" s="1"/>
      <c r="L229" s="1">
        <f t="shared" ref="L229:L237" si="95">+D229-H229</f>
        <v>0</v>
      </c>
      <c r="M229" s="1"/>
      <c r="N229" s="5">
        <f t="shared" ref="N229:N237" si="96">IF(H229=0,0,L229/H229)</f>
        <v>0</v>
      </c>
      <c r="O229" s="12"/>
      <c r="P229" s="1">
        <f>SUM(OSRRefP22_7x_0)</f>
        <v>360.9</v>
      </c>
      <c r="Q229" s="1"/>
      <c r="R229" s="5">
        <f t="shared" ref="R229:R237" si="97">IF(P$12=0,0,P229/P$12)</f>
        <v>4.4494294327981663E-5</v>
      </c>
      <c r="S229" s="1"/>
      <c r="T229" s="1">
        <f>SUM(OSRRefT22_7x_0)</f>
        <v>10985.64</v>
      </c>
      <c r="U229" s="1"/>
      <c r="V229" s="5">
        <f t="shared" ref="V229:V237" si="98">IF(T$12=0,0,T229/T$12)</f>
        <v>9.0618554610082894E-4</v>
      </c>
      <c r="W229" s="1"/>
      <c r="X229" s="1">
        <f t="shared" ref="X229:X237" si="99">+P229-T229</f>
        <v>-10624.74</v>
      </c>
      <c r="Y229" s="1"/>
      <c r="Z229" s="5">
        <f t="shared" ref="Z229:Z237" si="100">IF(T229=0,0,X229/T229)</f>
        <v>-0.96714802232732922</v>
      </c>
    </row>
    <row r="230" spans="1:26" s="23" customFormat="1" hidden="1" outlineLevel="2" x14ac:dyDescent="0.25">
      <c r="A230" s="25"/>
      <c r="B230" s="10" t="str">
        <f>CONCATENATE("          ", "6399", " - ", "DONATION-ON CAMPUS")</f>
        <v xml:space="preserve">          6399 - DONATION-ON CAMPUS</v>
      </c>
      <c r="C230" s="10"/>
      <c r="D230" s="6"/>
      <c r="E230" s="2"/>
      <c r="F230" s="7">
        <f t="shared" si="93"/>
        <v>0</v>
      </c>
      <c r="G230" s="2"/>
      <c r="H230" s="6"/>
      <c r="I230" s="2"/>
      <c r="J230" s="7">
        <f t="shared" si="94"/>
        <v>0</v>
      </c>
      <c r="K230" s="2"/>
      <c r="L230" s="6">
        <f t="shared" si="95"/>
        <v>0</v>
      </c>
      <c r="M230" s="2"/>
      <c r="N230" s="7">
        <f t="shared" si="96"/>
        <v>0</v>
      </c>
      <c r="O230" s="10"/>
      <c r="P230" s="6">
        <v>360.9</v>
      </c>
      <c r="Q230" s="2"/>
      <c r="R230" s="7">
        <f t="shared" si="97"/>
        <v>4.4494294327981663E-5</v>
      </c>
      <c r="S230" s="2"/>
      <c r="T230" s="6">
        <v>10985.64</v>
      </c>
      <c r="U230" s="2"/>
      <c r="V230" s="7">
        <f t="shared" si="98"/>
        <v>9.0618554610082894E-4</v>
      </c>
      <c r="W230" s="2"/>
      <c r="X230" s="6">
        <f t="shared" si="99"/>
        <v>-10624.74</v>
      </c>
      <c r="Y230" s="2"/>
      <c r="Z230" s="7">
        <f t="shared" si="100"/>
        <v>-0.96714802232732922</v>
      </c>
    </row>
    <row r="231" spans="1:26" s="27" customFormat="1" outlineLevel="1" collapsed="1" x14ac:dyDescent="0.25">
      <c r="A231" s="26"/>
      <c r="B231" s="12" t="str">
        <f>CONCATENATE("     ","Employees' Appreciation                           ")</f>
        <v xml:space="preserve">     Employees' Appreciation                           </v>
      </c>
      <c r="C231" s="12"/>
      <c r="D231" s="1">
        <f>SUM(OSRRefD22_8x_0)</f>
        <v>522.86</v>
      </c>
      <c r="E231" s="1"/>
      <c r="F231" s="5">
        <f t="shared" si="93"/>
        <v>1.5883417188132102E-3</v>
      </c>
      <c r="G231" s="1"/>
      <c r="H231" s="1">
        <f>SUM(OSRRefH22_8x_0)</f>
        <v>57</v>
      </c>
      <c r="I231" s="1"/>
      <c r="J231" s="5">
        <f t="shared" si="94"/>
        <v>8.6532310124694755E-5</v>
      </c>
      <c r="K231" s="1"/>
      <c r="L231" s="1">
        <f t="shared" si="95"/>
        <v>465.86</v>
      </c>
      <c r="M231" s="1"/>
      <c r="N231" s="5">
        <f t="shared" si="96"/>
        <v>8.1729824561403515</v>
      </c>
      <c r="O231" s="12"/>
      <c r="P231" s="1">
        <f>SUM(OSRRefP22_8x_0)</f>
        <v>708.89</v>
      </c>
      <c r="Q231" s="1"/>
      <c r="R231" s="5">
        <f t="shared" si="97"/>
        <v>8.7396952912615461E-5</v>
      </c>
      <c r="S231" s="1"/>
      <c r="T231" s="1">
        <f>SUM(OSRRefT22_8x_0)</f>
        <v>1611.27</v>
      </c>
      <c r="U231" s="1"/>
      <c r="V231" s="5">
        <f t="shared" si="98"/>
        <v>1.3291074392260101E-4</v>
      </c>
      <c r="W231" s="1"/>
      <c r="X231" s="1">
        <f t="shared" si="99"/>
        <v>-902.38</v>
      </c>
      <c r="Y231" s="1"/>
      <c r="Z231" s="5">
        <f t="shared" si="100"/>
        <v>-0.56004269923724759</v>
      </c>
    </row>
    <row r="232" spans="1:26" s="23" customFormat="1" hidden="1" outlineLevel="2" x14ac:dyDescent="0.25">
      <c r="A232" s="25"/>
      <c r="B232" s="10" t="str">
        <f>CONCATENATE("          ", "6277", " - ", "EMPLOYEE APPRECIATION")</f>
        <v xml:space="preserve">          6277 - EMPLOYEE APPRECIATION</v>
      </c>
      <c r="C232" s="10"/>
      <c r="D232" s="6">
        <v>522.86</v>
      </c>
      <c r="E232" s="2"/>
      <c r="F232" s="7">
        <f t="shared" si="93"/>
        <v>1.5883417188132102E-3</v>
      </c>
      <c r="G232" s="2"/>
      <c r="H232" s="6">
        <v>57</v>
      </c>
      <c r="I232" s="2"/>
      <c r="J232" s="7">
        <f t="shared" si="94"/>
        <v>8.6532310124694755E-5</v>
      </c>
      <c r="K232" s="2"/>
      <c r="L232" s="6">
        <f t="shared" si="95"/>
        <v>465.86</v>
      </c>
      <c r="M232" s="2"/>
      <c r="N232" s="7">
        <f t="shared" si="96"/>
        <v>8.1729824561403515</v>
      </c>
      <c r="O232" s="10"/>
      <c r="P232" s="6">
        <v>708.89</v>
      </c>
      <c r="Q232" s="2"/>
      <c r="R232" s="7">
        <f t="shared" si="97"/>
        <v>8.7396952912615461E-5</v>
      </c>
      <c r="S232" s="2"/>
      <c r="T232" s="6">
        <v>1611.27</v>
      </c>
      <c r="U232" s="2"/>
      <c r="V232" s="7">
        <f t="shared" si="98"/>
        <v>1.3291074392260101E-4</v>
      </c>
      <c r="W232" s="2"/>
      <c r="X232" s="6">
        <f t="shared" si="99"/>
        <v>-902.38</v>
      </c>
      <c r="Y232" s="2"/>
      <c r="Z232" s="7">
        <f t="shared" si="100"/>
        <v>-0.56004269923724759</v>
      </c>
    </row>
    <row r="233" spans="1:26" s="27" customFormat="1" outlineLevel="1" collapsed="1" x14ac:dyDescent="0.25">
      <c r="A233" s="26"/>
      <c r="B233" s="12" t="str">
        <f>CONCATENATE("     ","Equipment Rental                                  ")</f>
        <v xml:space="preserve">     Equipment Rental                                  </v>
      </c>
      <c r="C233" s="12"/>
      <c r="D233" s="1">
        <f>SUM(OSRRefD22_9x_0)</f>
        <v>2220.81</v>
      </c>
      <c r="E233" s="1"/>
      <c r="F233" s="5">
        <f t="shared" si="93"/>
        <v>6.7463664701020633E-3</v>
      </c>
      <c r="G233" s="1"/>
      <c r="H233" s="1">
        <f>SUM(OSRRefH22_9x_0)</f>
        <v>1388.16</v>
      </c>
      <c r="I233" s="1"/>
      <c r="J233" s="5">
        <f t="shared" si="94"/>
        <v>2.1073805547841456E-3</v>
      </c>
      <c r="K233" s="1"/>
      <c r="L233" s="1">
        <f t="shared" si="95"/>
        <v>832.64999999999986</v>
      </c>
      <c r="M233" s="1"/>
      <c r="N233" s="5">
        <f t="shared" si="96"/>
        <v>0.59982278699861669</v>
      </c>
      <c r="O233" s="12"/>
      <c r="P233" s="1">
        <f>SUM(OSRRefP22_9x_0)</f>
        <v>18767.03</v>
      </c>
      <c r="Q233" s="1"/>
      <c r="R233" s="5">
        <f t="shared" si="97"/>
        <v>2.3137316610752608E-3</v>
      </c>
      <c r="S233" s="1"/>
      <c r="T233" s="1">
        <f>SUM(OSRRefT22_9x_0)</f>
        <v>19839.79</v>
      </c>
      <c r="U233" s="1"/>
      <c r="V233" s="5">
        <f t="shared" si="98"/>
        <v>1.6365483427161064E-3</v>
      </c>
      <c r="W233" s="1"/>
      <c r="X233" s="1">
        <f t="shared" si="99"/>
        <v>-1072.760000000002</v>
      </c>
      <c r="Y233" s="1"/>
      <c r="Z233" s="5">
        <f t="shared" si="100"/>
        <v>-5.4071136841670302E-2</v>
      </c>
    </row>
    <row r="234" spans="1:26" s="23" customFormat="1" hidden="1" outlineLevel="2" x14ac:dyDescent="0.25">
      <c r="A234" s="25"/>
      <c r="B234" s="10" t="str">
        <f>CONCATENATE("          ", "6351", " - ", "EQUIPMENT RENTAL")</f>
        <v xml:space="preserve">          6351 - EQUIPMENT RENTAL</v>
      </c>
      <c r="C234" s="10"/>
      <c r="D234" s="6">
        <v>2220.81</v>
      </c>
      <c r="E234" s="2"/>
      <c r="F234" s="7">
        <f t="shared" si="93"/>
        <v>6.7463664701020633E-3</v>
      </c>
      <c r="G234" s="2"/>
      <c r="H234" s="6">
        <v>1388.16</v>
      </c>
      <c r="I234" s="2"/>
      <c r="J234" s="7">
        <f t="shared" si="94"/>
        <v>2.1073805547841456E-3</v>
      </c>
      <c r="K234" s="2"/>
      <c r="L234" s="6">
        <f t="shared" si="95"/>
        <v>832.64999999999986</v>
      </c>
      <c r="M234" s="2"/>
      <c r="N234" s="7">
        <f t="shared" si="96"/>
        <v>0.59982278699861669</v>
      </c>
      <c r="O234" s="10"/>
      <c r="P234" s="6">
        <v>18767.03</v>
      </c>
      <c r="Q234" s="2"/>
      <c r="R234" s="7">
        <f t="shared" si="97"/>
        <v>2.3137316610752608E-3</v>
      </c>
      <c r="S234" s="2"/>
      <c r="T234" s="6">
        <v>19839.79</v>
      </c>
      <c r="U234" s="2"/>
      <c r="V234" s="7">
        <f t="shared" si="98"/>
        <v>1.6365483427161064E-3</v>
      </c>
      <c r="W234" s="2"/>
      <c r="X234" s="6">
        <f t="shared" si="99"/>
        <v>-1072.760000000002</v>
      </c>
      <c r="Y234" s="2"/>
      <c r="Z234" s="7">
        <f t="shared" si="100"/>
        <v>-5.4071136841670302E-2</v>
      </c>
    </row>
    <row r="235" spans="1:26" s="27" customFormat="1" outlineLevel="1" collapsed="1" x14ac:dyDescent="0.25">
      <c r="A235" s="26"/>
      <c r="B235" s="12" t="str">
        <f>CONCATENATE("     ","Freight out/Postage                               ")</f>
        <v xml:space="preserve">     Freight out/Postage                               </v>
      </c>
      <c r="C235" s="12"/>
      <c r="D235" s="1">
        <f>SUM(OSRRefD22_10x_0)</f>
        <v>-7501.3200000000006</v>
      </c>
      <c r="E235" s="1"/>
      <c r="F235" s="5">
        <f t="shared" si="93"/>
        <v>-2.2787475619033604E-2</v>
      </c>
      <c r="G235" s="1"/>
      <c r="H235" s="1">
        <f>SUM(OSRRefH22_10x_0)</f>
        <v>25801.239999999998</v>
      </c>
      <c r="I235" s="1"/>
      <c r="J235" s="5">
        <f t="shared" si="94"/>
        <v>3.9169138618976827E-2</v>
      </c>
      <c r="K235" s="1"/>
      <c r="L235" s="1">
        <f t="shared" si="95"/>
        <v>-33302.559999999998</v>
      </c>
      <c r="M235" s="1"/>
      <c r="N235" s="5">
        <f t="shared" si="96"/>
        <v>-1.2907348639057659</v>
      </c>
      <c r="O235" s="12"/>
      <c r="P235" s="1">
        <f>SUM(OSRRefP22_10x_0)</f>
        <v>-72689.53</v>
      </c>
      <c r="Q235" s="1"/>
      <c r="R235" s="5">
        <f t="shared" si="97"/>
        <v>-8.961677313335142E-3</v>
      </c>
      <c r="S235" s="1"/>
      <c r="T235" s="1">
        <f>SUM(OSRRefT22_10x_0)</f>
        <v>41914.199999999997</v>
      </c>
      <c r="U235" s="1"/>
      <c r="V235" s="5">
        <f t="shared" si="98"/>
        <v>3.4574264418258164E-3</v>
      </c>
      <c r="W235" s="1"/>
      <c r="X235" s="1">
        <f t="shared" si="99"/>
        <v>-114603.73</v>
      </c>
      <c r="Y235" s="1"/>
      <c r="Z235" s="5">
        <f t="shared" si="100"/>
        <v>-2.734245911886664</v>
      </c>
    </row>
    <row r="236" spans="1:26" s="23" customFormat="1" hidden="1" outlineLevel="2" x14ac:dyDescent="0.25">
      <c r="A236" s="25"/>
      <c r="B236" s="10" t="str">
        <f>CONCATENATE("          ", "6305", " - ", "FREIGHT OUT")</f>
        <v xml:space="preserve">          6305 - FREIGHT OUT</v>
      </c>
      <c r="C236" s="10"/>
      <c r="D236" s="6">
        <v>7012.69</v>
      </c>
      <c r="E236" s="2"/>
      <c r="F236" s="7">
        <f t="shared" si="93"/>
        <v>2.1303117637807845E-2</v>
      </c>
      <c r="G236" s="2"/>
      <c r="H236" s="6">
        <v>32899.67</v>
      </c>
      <c r="I236" s="2"/>
      <c r="J236" s="7">
        <f t="shared" si="94"/>
        <v>4.9945341183159936E-2</v>
      </c>
      <c r="K236" s="2"/>
      <c r="L236" s="6">
        <f t="shared" si="95"/>
        <v>-25886.98</v>
      </c>
      <c r="M236" s="2"/>
      <c r="N236" s="7">
        <f t="shared" si="96"/>
        <v>-0.78684619025054059</v>
      </c>
      <c r="O236" s="10"/>
      <c r="P236" s="6">
        <v>234082.29</v>
      </c>
      <c r="Q236" s="2"/>
      <c r="R236" s="7">
        <f t="shared" si="97"/>
        <v>2.8859313683092157E-2</v>
      </c>
      <c r="S236" s="2"/>
      <c r="T236" s="6">
        <v>102931.45</v>
      </c>
      <c r="U236" s="2"/>
      <c r="V236" s="7">
        <f t="shared" si="98"/>
        <v>8.4906288781718842E-3</v>
      </c>
      <c r="W236" s="2"/>
      <c r="X236" s="6">
        <f t="shared" si="99"/>
        <v>131150.84000000003</v>
      </c>
      <c r="Y236" s="2"/>
      <c r="Z236" s="7">
        <f t="shared" si="100"/>
        <v>1.2741571210742686</v>
      </c>
    </row>
    <row r="237" spans="1:26" s="23" customFormat="1" hidden="1" outlineLevel="2" x14ac:dyDescent="0.25">
      <c r="A237" s="25"/>
      <c r="B237" s="10" t="str">
        <f>CONCATENATE("          ", "6307", " - ", "POSTAGE")</f>
        <v xml:space="preserve">          6307 - POSTAGE</v>
      </c>
      <c r="C237" s="10"/>
      <c r="D237" s="6">
        <v>-14514.01</v>
      </c>
      <c r="E237" s="2"/>
      <c r="F237" s="7">
        <f t="shared" si="93"/>
        <v>-4.4090593256841448E-2</v>
      </c>
      <c r="G237" s="2"/>
      <c r="H237" s="6">
        <v>-7098.43</v>
      </c>
      <c r="I237" s="2"/>
      <c r="J237" s="7">
        <f t="shared" si="94"/>
        <v>-1.0776202564183107E-2</v>
      </c>
      <c r="K237" s="2"/>
      <c r="L237" s="6">
        <f t="shared" si="95"/>
        <v>-7415.58</v>
      </c>
      <c r="M237" s="2"/>
      <c r="N237" s="7">
        <f t="shared" si="96"/>
        <v>1.0446788937835549</v>
      </c>
      <c r="O237" s="10"/>
      <c r="P237" s="6">
        <v>-306771.82</v>
      </c>
      <c r="Q237" s="2"/>
      <c r="R237" s="7">
        <f t="shared" si="97"/>
        <v>-3.7820990996427301E-2</v>
      </c>
      <c r="S237" s="2"/>
      <c r="T237" s="6">
        <v>-61017.25</v>
      </c>
      <c r="U237" s="2"/>
      <c r="V237" s="7">
        <f t="shared" si="98"/>
        <v>-5.0332024363460666E-3</v>
      </c>
      <c r="W237" s="2"/>
      <c r="X237" s="6">
        <f t="shared" si="99"/>
        <v>-245754.57</v>
      </c>
      <c r="Y237" s="2"/>
      <c r="Z237" s="7">
        <f t="shared" si="100"/>
        <v>4.0276244832403956</v>
      </c>
    </row>
    <row r="238" spans="1:26" s="27" customFormat="1" outlineLevel="1" collapsed="1" x14ac:dyDescent="0.25">
      <c r="A238" s="26"/>
      <c r="B238" s="12" t="str">
        <f>CONCATENATE("     ","General                                           ")</f>
        <v xml:space="preserve">     General                                           </v>
      </c>
      <c r="C238" s="12"/>
      <c r="D238" s="1">
        <f>SUM(OSRRefD22_11x_0)</f>
        <v>-3391.74</v>
      </c>
      <c r="E238" s="1"/>
      <c r="F238" s="5">
        <f t="shared" ref="F238:F279" si="101">IF(D$12=0,0,D238/D$12)</f>
        <v>-1.0303412273586651E-2</v>
      </c>
      <c r="G238" s="1"/>
      <c r="H238" s="1">
        <f>SUM(OSRRefH22_11x_0)</f>
        <v>-1613.24</v>
      </c>
      <c r="I238" s="1"/>
      <c r="J238" s="5">
        <f t="shared" ref="J238:J279" si="102">IF(H$12=0,0,H238/H$12)</f>
        <v>-2.4490769120274138E-3</v>
      </c>
      <c r="K238" s="1"/>
      <c r="L238" s="1">
        <f t="shared" ref="L238:L279" si="103">+D238-H238</f>
        <v>-1778.4999999999998</v>
      </c>
      <c r="M238" s="1"/>
      <c r="N238" s="5">
        <f t="shared" ref="N238:N279" si="104">IF(H238=0,0,L238/H238)</f>
        <v>1.1024398105675532</v>
      </c>
      <c r="O238" s="12"/>
      <c r="P238" s="1">
        <f>SUM(OSRRefP22_11x_0)</f>
        <v>-533.26</v>
      </c>
      <c r="Q238" s="1"/>
      <c r="R238" s="5">
        <f t="shared" ref="R238:R279" si="105">IF(P$12=0,0,P238/P$12)</f>
        <v>-6.574404930268635E-5</v>
      </c>
      <c r="S238" s="1"/>
      <c r="T238" s="1">
        <f>SUM(OSRRefT22_11x_0)</f>
        <v>-2978.87</v>
      </c>
      <c r="U238" s="1"/>
      <c r="V238" s="5">
        <f t="shared" ref="V238:V279" si="106">IF(T$12=0,0,T238/T$12)</f>
        <v>-2.4572159088713779E-4</v>
      </c>
      <c r="W238" s="1"/>
      <c r="X238" s="1">
        <f t="shared" ref="X238:X279" si="107">+P238-T238</f>
        <v>2445.6099999999997</v>
      </c>
      <c r="Y238" s="1"/>
      <c r="Z238" s="5">
        <f t="shared" ref="Z238:Z279" si="108">IF(T238=0,0,X238/T238)</f>
        <v>-0.82098581005549076</v>
      </c>
    </row>
    <row r="239" spans="1:26" s="23" customFormat="1" hidden="1" outlineLevel="2" x14ac:dyDescent="0.25">
      <c r="A239" s="25"/>
      <c r="B239" s="10" t="str">
        <f>CONCATENATE("          ", "6279", " - ", "GENERAL EXPENSE")</f>
        <v xml:space="preserve">          6279 - GENERAL EXPENSE</v>
      </c>
      <c r="C239" s="10"/>
      <c r="D239" s="6">
        <v>-3391.74</v>
      </c>
      <c r="E239" s="2"/>
      <c r="F239" s="7">
        <f t="shared" si="101"/>
        <v>-1.0303412273586651E-2</v>
      </c>
      <c r="G239" s="2"/>
      <c r="H239" s="6">
        <v>-1613.24</v>
      </c>
      <c r="I239" s="2"/>
      <c r="J239" s="7">
        <f t="shared" si="102"/>
        <v>-2.4490769120274138E-3</v>
      </c>
      <c r="K239" s="2"/>
      <c r="L239" s="6">
        <f t="shared" si="103"/>
        <v>-1778.4999999999998</v>
      </c>
      <c r="M239" s="2"/>
      <c r="N239" s="7">
        <f t="shared" si="104"/>
        <v>1.1024398105675532</v>
      </c>
      <c r="O239" s="10"/>
      <c r="P239" s="6">
        <v>-533.26</v>
      </c>
      <c r="Q239" s="2"/>
      <c r="R239" s="7">
        <f t="shared" si="105"/>
        <v>-6.574404930268635E-5</v>
      </c>
      <c r="S239" s="2"/>
      <c r="T239" s="6">
        <v>-2978.87</v>
      </c>
      <c r="U239" s="2"/>
      <c r="V239" s="7">
        <f t="shared" si="106"/>
        <v>-2.4572159088713779E-4</v>
      </c>
      <c r="W239" s="2"/>
      <c r="X239" s="6">
        <f t="shared" si="107"/>
        <v>2445.6099999999997</v>
      </c>
      <c r="Y239" s="2"/>
      <c r="Z239" s="7">
        <f t="shared" si="108"/>
        <v>-0.82098581005549076</v>
      </c>
    </row>
    <row r="240" spans="1:26" s="27" customFormat="1" outlineLevel="1" collapsed="1" x14ac:dyDescent="0.25">
      <c r="A240" s="26"/>
      <c r="B240" s="12" t="str">
        <f>CONCATENATE("     ","Insurance                                         ")</f>
        <v xml:space="preserve">     Insurance                                         </v>
      </c>
      <c r="C240" s="12"/>
      <c r="D240" s="1">
        <f>SUM(OSRRefD22_12x_0)</f>
        <v>8663.02</v>
      </c>
      <c r="E240" s="1"/>
      <c r="F240" s="5">
        <f t="shared" si="101"/>
        <v>2.6316482570694289E-2</v>
      </c>
      <c r="G240" s="1"/>
      <c r="H240" s="1">
        <f>SUM(OSRRefH22_12x_0)</f>
        <v>4044.74</v>
      </c>
      <c r="I240" s="1"/>
      <c r="J240" s="5">
        <f t="shared" si="102"/>
        <v>6.1403630886624188E-3</v>
      </c>
      <c r="K240" s="1"/>
      <c r="L240" s="1">
        <f t="shared" si="103"/>
        <v>4618.2800000000007</v>
      </c>
      <c r="M240" s="1"/>
      <c r="N240" s="5">
        <f t="shared" si="104"/>
        <v>1.1417989784263021</v>
      </c>
      <c r="O240" s="12"/>
      <c r="P240" s="1">
        <f>SUM(OSRRefP22_12x_0)</f>
        <v>53155.16</v>
      </c>
      <c r="Q240" s="1"/>
      <c r="R240" s="5">
        <f t="shared" si="105"/>
        <v>6.5533425716014348E-3</v>
      </c>
      <c r="S240" s="1"/>
      <c r="T240" s="1">
        <f>SUM(OSRRefT22_12x_0)</f>
        <v>48536.88</v>
      </c>
      <c r="U240" s="1"/>
      <c r="V240" s="5">
        <f t="shared" si="106"/>
        <v>4.0037193198421209E-3</v>
      </c>
      <c r="W240" s="1"/>
      <c r="X240" s="1">
        <f t="shared" si="107"/>
        <v>4618.2800000000061</v>
      </c>
      <c r="Y240" s="1"/>
      <c r="Z240" s="5">
        <f t="shared" si="108"/>
        <v>9.5149914868858612E-2</v>
      </c>
    </row>
    <row r="241" spans="1:26" s="23" customFormat="1" hidden="1" outlineLevel="2" x14ac:dyDescent="0.25">
      <c r="A241" s="25"/>
      <c r="B241" s="10" t="str">
        <f>CONCATENATE("          ", "6314", " - ", "LIABILITY INSURANCE")</f>
        <v xml:space="preserve">          6314 - LIABILITY INSURANCE</v>
      </c>
      <c r="C241" s="10"/>
      <c r="D241" s="6">
        <v>8663.02</v>
      </c>
      <c r="E241" s="2"/>
      <c r="F241" s="7">
        <f t="shared" si="101"/>
        <v>2.6316482570694289E-2</v>
      </c>
      <c r="G241" s="2"/>
      <c r="H241" s="6">
        <v>4044.74</v>
      </c>
      <c r="I241" s="2"/>
      <c r="J241" s="7">
        <f t="shared" si="102"/>
        <v>6.1403630886624188E-3</v>
      </c>
      <c r="K241" s="2"/>
      <c r="L241" s="6">
        <f t="shared" si="103"/>
        <v>4618.2800000000007</v>
      </c>
      <c r="M241" s="2"/>
      <c r="N241" s="7">
        <f t="shared" si="104"/>
        <v>1.1417989784263021</v>
      </c>
      <c r="O241" s="10"/>
      <c r="P241" s="6">
        <v>53155.16</v>
      </c>
      <c r="Q241" s="2"/>
      <c r="R241" s="7">
        <f t="shared" si="105"/>
        <v>6.5533425716014348E-3</v>
      </c>
      <c r="S241" s="2"/>
      <c r="T241" s="6">
        <v>48536.88</v>
      </c>
      <c r="U241" s="2"/>
      <c r="V241" s="7">
        <f t="shared" si="106"/>
        <v>4.0037193198421209E-3</v>
      </c>
      <c r="W241" s="2"/>
      <c r="X241" s="6">
        <f t="shared" si="107"/>
        <v>4618.2800000000061</v>
      </c>
      <c r="Y241" s="2"/>
      <c r="Z241" s="7">
        <f t="shared" si="108"/>
        <v>9.5149914868858612E-2</v>
      </c>
    </row>
    <row r="242" spans="1:26" s="27" customFormat="1" outlineLevel="1" collapsed="1" x14ac:dyDescent="0.25">
      <c r="A242" s="26"/>
      <c r="B242" s="12" t="str">
        <f>CONCATENATE("     ","Inventory Adjustment                              ")</f>
        <v xml:space="preserve">     Inventory Adjustment                              </v>
      </c>
      <c r="C242" s="12"/>
      <c r="D242" s="1">
        <f>SUM(OSRRefD22_13x_0)</f>
        <v>-41850</v>
      </c>
      <c r="E242" s="1"/>
      <c r="F242" s="5">
        <f t="shared" si="101"/>
        <v>-0.12713173876818429</v>
      </c>
      <c r="G242" s="1"/>
      <c r="H242" s="1">
        <f>SUM(OSRRefH22_13x_0)</f>
        <v>-53350</v>
      </c>
      <c r="I242" s="1"/>
      <c r="J242" s="5">
        <f t="shared" si="102"/>
        <v>-8.0991206055306408E-2</v>
      </c>
      <c r="K242" s="1"/>
      <c r="L242" s="1">
        <f t="shared" si="103"/>
        <v>11500</v>
      </c>
      <c r="M242" s="1"/>
      <c r="N242" s="5">
        <f t="shared" si="104"/>
        <v>-0.2155576382380506</v>
      </c>
      <c r="O242" s="12"/>
      <c r="P242" s="1">
        <f>SUM(OSRRefP22_13x_0)</f>
        <v>0</v>
      </c>
      <c r="Q242" s="1"/>
      <c r="R242" s="5">
        <f t="shared" si="105"/>
        <v>0</v>
      </c>
      <c r="S242" s="1"/>
      <c r="T242" s="1">
        <f>SUM(OSRRefT22_13x_0)</f>
        <v>0</v>
      </c>
      <c r="U242" s="1"/>
      <c r="V242" s="5">
        <f t="shared" si="106"/>
        <v>0</v>
      </c>
      <c r="W242" s="1"/>
      <c r="X242" s="1">
        <f t="shared" si="107"/>
        <v>0</v>
      </c>
      <c r="Y242" s="1"/>
      <c r="Z242" s="5">
        <f t="shared" si="108"/>
        <v>0</v>
      </c>
    </row>
    <row r="243" spans="1:26" s="23" customFormat="1" hidden="1" outlineLevel="2" x14ac:dyDescent="0.25">
      <c r="A243" s="25"/>
      <c r="B243" s="10" t="str">
        <f>CONCATENATE("          ", "6408", " - ", "INVENTORY ADJUSTMENT")</f>
        <v xml:space="preserve">          6408 - INVENTORY ADJUSTMENT</v>
      </c>
      <c r="C243" s="10"/>
      <c r="D243" s="6">
        <v>-41850</v>
      </c>
      <c r="E243" s="2"/>
      <c r="F243" s="7">
        <f t="shared" si="101"/>
        <v>-0.12713173876818429</v>
      </c>
      <c r="G243" s="2"/>
      <c r="H243" s="6">
        <v>-53350</v>
      </c>
      <c r="I243" s="2"/>
      <c r="J243" s="7">
        <f t="shared" si="102"/>
        <v>-8.0991206055306408E-2</v>
      </c>
      <c r="K243" s="2"/>
      <c r="L243" s="6">
        <f t="shared" si="103"/>
        <v>11500</v>
      </c>
      <c r="M243" s="2"/>
      <c r="N243" s="7">
        <f t="shared" si="104"/>
        <v>-0.2155576382380506</v>
      </c>
      <c r="O243" s="10"/>
      <c r="P243" s="6">
        <v>0</v>
      </c>
      <c r="Q243" s="2"/>
      <c r="R243" s="7">
        <f t="shared" si="105"/>
        <v>0</v>
      </c>
      <c r="S243" s="2"/>
      <c r="T243" s="6">
        <v>0</v>
      </c>
      <c r="U243" s="2"/>
      <c r="V243" s="7">
        <f t="shared" si="106"/>
        <v>0</v>
      </c>
      <c r="W243" s="2"/>
      <c r="X243" s="6">
        <f t="shared" si="107"/>
        <v>0</v>
      </c>
      <c r="Y243" s="2"/>
      <c r="Z243" s="7">
        <f t="shared" si="108"/>
        <v>0</v>
      </c>
    </row>
    <row r="244" spans="1:26" s="23" customFormat="1" hidden="1" outlineLevel="2" x14ac:dyDescent="0.25">
      <c r="A244" s="25"/>
      <c r="B244" s="10" t="str">
        <f>CONCATENATE("          ", "7700", " - ", "INV. SHRINKAGE @ RETAIL-CONTRA")</f>
        <v xml:space="preserve">          7700 - INV. SHRINKAGE @ RETAIL-CONTRA</v>
      </c>
      <c r="C244" s="10"/>
      <c r="D244" s="6"/>
      <c r="E244" s="2"/>
      <c r="F244" s="7">
        <f t="shared" si="101"/>
        <v>0</v>
      </c>
      <c r="G244" s="2"/>
      <c r="H244" s="6">
        <v>-99781</v>
      </c>
      <c r="I244" s="2"/>
      <c r="J244" s="7">
        <f t="shared" si="102"/>
        <v>-0.15147860415003803</v>
      </c>
      <c r="K244" s="2"/>
      <c r="L244" s="6">
        <f t="shared" si="103"/>
        <v>99781</v>
      </c>
      <c r="M244" s="2"/>
      <c r="N244" s="7">
        <f t="shared" si="104"/>
        <v>-1</v>
      </c>
      <c r="O244" s="10"/>
      <c r="P244" s="6"/>
      <c r="Q244" s="2"/>
      <c r="R244" s="7">
        <f t="shared" si="105"/>
        <v>0</v>
      </c>
      <c r="S244" s="2"/>
      <c r="T244" s="6">
        <v>-99781</v>
      </c>
      <c r="U244" s="2"/>
      <c r="V244" s="7">
        <f t="shared" si="106"/>
        <v>-8.2307539638552529E-3</v>
      </c>
      <c r="W244" s="2"/>
      <c r="X244" s="6">
        <f t="shared" si="107"/>
        <v>99781</v>
      </c>
      <c r="Y244" s="2"/>
      <c r="Z244" s="7">
        <f t="shared" si="108"/>
        <v>-1</v>
      </c>
    </row>
    <row r="245" spans="1:26" s="23" customFormat="1" hidden="1" outlineLevel="2" x14ac:dyDescent="0.25">
      <c r="A245" s="25"/>
      <c r="B245" s="10" t="str">
        <f>CONCATENATE("          ", "7701", " - ", "INV. SHRINKAGE-NEW TEXT")</f>
        <v xml:space="preserve">          7701 - INV. SHRINKAGE-NEW TEXT</v>
      </c>
      <c r="C245" s="10"/>
      <c r="D245" s="6"/>
      <c r="E245" s="2"/>
      <c r="F245" s="7">
        <f t="shared" si="101"/>
        <v>0</v>
      </c>
      <c r="G245" s="2"/>
      <c r="H245" s="6">
        <v>-4346</v>
      </c>
      <c r="I245" s="2"/>
      <c r="J245" s="7">
        <f t="shared" si="102"/>
        <v>-6.5977091193319898E-3</v>
      </c>
      <c r="K245" s="2"/>
      <c r="L245" s="6">
        <f t="shared" si="103"/>
        <v>4346</v>
      </c>
      <c r="M245" s="2"/>
      <c r="N245" s="7">
        <f t="shared" si="104"/>
        <v>-1</v>
      </c>
      <c r="O245" s="10"/>
      <c r="P245" s="6"/>
      <c r="Q245" s="2"/>
      <c r="R245" s="7">
        <f t="shared" si="105"/>
        <v>0</v>
      </c>
      <c r="S245" s="2"/>
      <c r="T245" s="6">
        <v>-4346</v>
      </c>
      <c r="U245" s="2"/>
      <c r="V245" s="7">
        <f t="shared" si="106"/>
        <v>-3.5849366840295173E-4</v>
      </c>
      <c r="W245" s="2"/>
      <c r="X245" s="6">
        <f t="shared" si="107"/>
        <v>4346</v>
      </c>
      <c r="Y245" s="2"/>
      <c r="Z245" s="7">
        <f t="shared" si="108"/>
        <v>-1</v>
      </c>
    </row>
    <row r="246" spans="1:26" s="23" customFormat="1" hidden="1" outlineLevel="2" x14ac:dyDescent="0.25">
      <c r="A246" s="25"/>
      <c r="B246" s="10" t="str">
        <f>CONCATENATE("          ", "7702", " - ", "INV. SHRINKAGE-USED TEXT")</f>
        <v xml:space="preserve">          7702 - INV. SHRINKAGE-USED TEXT</v>
      </c>
      <c r="C246" s="10"/>
      <c r="D246" s="6"/>
      <c r="E246" s="2"/>
      <c r="F246" s="7">
        <f t="shared" si="101"/>
        <v>0</v>
      </c>
      <c r="G246" s="2"/>
      <c r="H246" s="6">
        <v>-29494</v>
      </c>
      <c r="I246" s="2"/>
      <c r="J246" s="7">
        <f t="shared" si="102"/>
        <v>-4.4775157102065741E-2</v>
      </c>
      <c r="K246" s="2"/>
      <c r="L246" s="6">
        <f t="shared" si="103"/>
        <v>29494</v>
      </c>
      <c r="M246" s="2"/>
      <c r="N246" s="7">
        <f t="shared" si="104"/>
        <v>-1</v>
      </c>
      <c r="O246" s="10"/>
      <c r="P246" s="6"/>
      <c r="Q246" s="2"/>
      <c r="R246" s="7">
        <f t="shared" si="105"/>
        <v>0</v>
      </c>
      <c r="S246" s="2"/>
      <c r="T246" s="6">
        <v>-29494</v>
      </c>
      <c r="U246" s="2"/>
      <c r="V246" s="7">
        <f t="shared" si="106"/>
        <v>-2.4329066396402803E-3</v>
      </c>
      <c r="W246" s="2"/>
      <c r="X246" s="6">
        <f t="shared" si="107"/>
        <v>29494</v>
      </c>
      <c r="Y246" s="2"/>
      <c r="Z246" s="7">
        <f t="shared" si="108"/>
        <v>-1</v>
      </c>
    </row>
    <row r="247" spans="1:26" s="23" customFormat="1" hidden="1" outlineLevel="2" x14ac:dyDescent="0.25">
      <c r="A247" s="25"/>
      <c r="B247" s="10" t="str">
        <f>CONCATENATE("          ", "7703", " - ", "INV. SHRINKAGE-RENTAL TEXT")</f>
        <v xml:space="preserve">          7703 - INV. SHRINKAGE-RENTAL TEXT</v>
      </c>
      <c r="C247" s="10"/>
      <c r="D247" s="6"/>
      <c r="E247" s="2"/>
      <c r="F247" s="7">
        <f t="shared" si="101"/>
        <v>0</v>
      </c>
      <c r="G247" s="2"/>
      <c r="H247" s="6">
        <v>526</v>
      </c>
      <c r="I247" s="2"/>
      <c r="J247" s="7">
        <f t="shared" si="102"/>
        <v>7.9852623027349898E-4</v>
      </c>
      <c r="K247" s="2"/>
      <c r="L247" s="6">
        <f t="shared" si="103"/>
        <v>-526</v>
      </c>
      <c r="M247" s="2"/>
      <c r="N247" s="7">
        <f t="shared" si="104"/>
        <v>-1</v>
      </c>
      <c r="O247" s="10"/>
      <c r="P247" s="6"/>
      <c r="Q247" s="2"/>
      <c r="R247" s="7">
        <f t="shared" si="105"/>
        <v>0</v>
      </c>
      <c r="S247" s="2"/>
      <c r="T247" s="6">
        <v>526</v>
      </c>
      <c r="U247" s="2"/>
      <c r="V247" s="7">
        <f t="shared" si="106"/>
        <v>4.3388787294052602E-5</v>
      </c>
      <c r="W247" s="2"/>
      <c r="X247" s="6">
        <f t="shared" si="107"/>
        <v>-526</v>
      </c>
      <c r="Y247" s="2"/>
      <c r="Z247" s="7">
        <f t="shared" si="108"/>
        <v>-1</v>
      </c>
    </row>
    <row r="248" spans="1:26" s="23" customFormat="1" hidden="1" outlineLevel="2" x14ac:dyDescent="0.25">
      <c r="A248" s="25"/>
      <c r="B248" s="10" t="str">
        <f>CONCATENATE("          ", "7704", " - ", "INV. SHRINKAGE-DIGITAL TEXT")</f>
        <v xml:space="preserve">          7704 - INV. SHRINKAGE-DIGITAL TEXT</v>
      </c>
      <c r="C248" s="10"/>
      <c r="D248" s="6"/>
      <c r="E248" s="2"/>
      <c r="F248" s="7">
        <f t="shared" si="101"/>
        <v>0</v>
      </c>
      <c r="G248" s="2"/>
      <c r="H248" s="6">
        <v>816</v>
      </c>
      <c r="I248" s="2"/>
      <c r="J248" s="7">
        <f t="shared" si="102"/>
        <v>1.238778334416683E-3</v>
      </c>
      <c r="K248" s="2"/>
      <c r="L248" s="6">
        <f t="shared" si="103"/>
        <v>-816</v>
      </c>
      <c r="M248" s="2"/>
      <c r="N248" s="7">
        <f t="shared" si="104"/>
        <v>-1</v>
      </c>
      <c r="O248" s="10"/>
      <c r="P248" s="6"/>
      <c r="Q248" s="2"/>
      <c r="R248" s="7">
        <f t="shared" si="105"/>
        <v>0</v>
      </c>
      <c r="S248" s="2"/>
      <c r="T248" s="6">
        <v>816</v>
      </c>
      <c r="U248" s="2"/>
      <c r="V248" s="7">
        <f t="shared" si="106"/>
        <v>6.7310362037921903E-5</v>
      </c>
      <c r="W248" s="2"/>
      <c r="X248" s="6">
        <f t="shared" si="107"/>
        <v>-816</v>
      </c>
      <c r="Y248" s="2"/>
      <c r="Z248" s="7">
        <f t="shared" si="108"/>
        <v>-1</v>
      </c>
    </row>
    <row r="249" spans="1:26" s="23" customFormat="1" hidden="1" outlineLevel="2" x14ac:dyDescent="0.25">
      <c r="A249" s="25"/>
      <c r="B249" s="10" t="str">
        <f>CONCATENATE("          ", "7711", " - ", "INV. SHRINKAGE-NO VALUE TEXT")</f>
        <v xml:space="preserve">          7711 - INV. SHRINKAGE-NO VALUE TEXT</v>
      </c>
      <c r="C249" s="10"/>
      <c r="D249" s="6"/>
      <c r="E249" s="2"/>
      <c r="F249" s="7">
        <f t="shared" si="101"/>
        <v>0</v>
      </c>
      <c r="G249" s="2"/>
      <c r="H249" s="6">
        <v>-1126</v>
      </c>
      <c r="I249" s="2"/>
      <c r="J249" s="7">
        <f t="shared" si="102"/>
        <v>-1.7093926526387071E-3</v>
      </c>
      <c r="K249" s="2"/>
      <c r="L249" s="6">
        <f t="shared" si="103"/>
        <v>1126</v>
      </c>
      <c r="M249" s="2"/>
      <c r="N249" s="7">
        <f t="shared" si="104"/>
        <v>-1</v>
      </c>
      <c r="O249" s="10"/>
      <c r="P249" s="6"/>
      <c r="Q249" s="2"/>
      <c r="R249" s="7">
        <f t="shared" si="105"/>
        <v>0</v>
      </c>
      <c r="S249" s="2"/>
      <c r="T249" s="6">
        <v>-1126</v>
      </c>
      <c r="U249" s="2"/>
      <c r="V249" s="7">
        <f t="shared" si="106"/>
        <v>-9.2881700557230479E-5</v>
      </c>
      <c r="W249" s="2"/>
      <c r="X249" s="6">
        <f t="shared" si="107"/>
        <v>1126</v>
      </c>
      <c r="Y249" s="2"/>
      <c r="Z249" s="7">
        <f t="shared" si="108"/>
        <v>-1</v>
      </c>
    </row>
    <row r="250" spans="1:26" s="23" customFormat="1" hidden="1" outlineLevel="2" x14ac:dyDescent="0.25">
      <c r="A250" s="25"/>
      <c r="B250" s="10" t="str">
        <f>CONCATENATE("          ", "7713", " - ", "INV. SHRINKAGE-TRADE BOOKS")</f>
        <v xml:space="preserve">          7713 - INV. SHRINKAGE-TRADE BOOKS</v>
      </c>
      <c r="C250" s="10"/>
      <c r="D250" s="6"/>
      <c r="E250" s="2"/>
      <c r="F250" s="7">
        <f t="shared" si="101"/>
        <v>0</v>
      </c>
      <c r="G250" s="2"/>
      <c r="H250" s="6">
        <v>-385</v>
      </c>
      <c r="I250" s="2"/>
      <c r="J250" s="7">
        <f t="shared" si="102"/>
        <v>-5.8447262101767516E-4</v>
      </c>
      <c r="K250" s="2"/>
      <c r="L250" s="6">
        <f t="shared" si="103"/>
        <v>385</v>
      </c>
      <c r="M250" s="2"/>
      <c r="N250" s="7">
        <f t="shared" si="104"/>
        <v>-1</v>
      </c>
      <c r="O250" s="10"/>
      <c r="P250" s="6"/>
      <c r="Q250" s="2"/>
      <c r="R250" s="7">
        <f t="shared" si="105"/>
        <v>0</v>
      </c>
      <c r="S250" s="2"/>
      <c r="T250" s="6">
        <v>-385</v>
      </c>
      <c r="U250" s="2"/>
      <c r="V250" s="7">
        <f t="shared" si="106"/>
        <v>-3.1757952677205801E-5</v>
      </c>
      <c r="W250" s="2"/>
      <c r="X250" s="6">
        <f t="shared" si="107"/>
        <v>385</v>
      </c>
      <c r="Y250" s="2"/>
      <c r="Z250" s="7">
        <f t="shared" si="108"/>
        <v>-1</v>
      </c>
    </row>
    <row r="251" spans="1:26" s="23" customFormat="1" hidden="1" outlineLevel="2" x14ac:dyDescent="0.25">
      <c r="A251" s="25"/>
      <c r="B251" s="10" t="str">
        <f>CONCATENATE("          ", "7714", " - ", "INV. SHRINKAGE-REMAINDERS")</f>
        <v xml:space="preserve">          7714 - INV. SHRINKAGE-REMAINDERS</v>
      </c>
      <c r="C251" s="10"/>
      <c r="D251" s="6"/>
      <c r="E251" s="2"/>
      <c r="F251" s="7">
        <f t="shared" si="101"/>
        <v>0</v>
      </c>
      <c r="G251" s="2"/>
      <c r="H251" s="6">
        <v>204</v>
      </c>
      <c r="I251" s="2"/>
      <c r="J251" s="7">
        <f t="shared" si="102"/>
        <v>3.0969458360417075E-4</v>
      </c>
      <c r="K251" s="2"/>
      <c r="L251" s="6">
        <f t="shared" si="103"/>
        <v>-204</v>
      </c>
      <c r="M251" s="2"/>
      <c r="N251" s="7">
        <f t="shared" si="104"/>
        <v>-1</v>
      </c>
      <c r="O251" s="10"/>
      <c r="P251" s="6"/>
      <c r="Q251" s="2"/>
      <c r="R251" s="7">
        <f t="shared" si="105"/>
        <v>0</v>
      </c>
      <c r="S251" s="2"/>
      <c r="T251" s="6">
        <v>204</v>
      </c>
      <c r="U251" s="2"/>
      <c r="V251" s="7">
        <f t="shared" si="106"/>
        <v>1.6827590509480476E-5</v>
      </c>
      <c r="W251" s="2"/>
      <c r="X251" s="6">
        <f t="shared" si="107"/>
        <v>-204</v>
      </c>
      <c r="Y251" s="2"/>
      <c r="Z251" s="7">
        <f t="shared" si="108"/>
        <v>-1</v>
      </c>
    </row>
    <row r="252" spans="1:26" s="23" customFormat="1" hidden="1" outlineLevel="2" x14ac:dyDescent="0.25">
      <c r="A252" s="25"/>
      <c r="B252" s="10" t="str">
        <f>CONCATENATE("          ", "7717", " - ", "INV. SHRINKAGE-DORM/HOUSEWARES")</f>
        <v xml:space="preserve">          7717 - INV. SHRINKAGE-DORM/HOUSEWARES</v>
      </c>
      <c r="C252" s="10"/>
      <c r="D252" s="6"/>
      <c r="E252" s="2"/>
      <c r="F252" s="7">
        <f t="shared" si="101"/>
        <v>0</v>
      </c>
      <c r="G252" s="2"/>
      <c r="H252" s="6">
        <v>-254</v>
      </c>
      <c r="I252" s="2"/>
      <c r="J252" s="7">
        <f t="shared" si="102"/>
        <v>-3.8560011880127139E-4</v>
      </c>
      <c r="K252" s="2"/>
      <c r="L252" s="6">
        <f t="shared" si="103"/>
        <v>254</v>
      </c>
      <c r="M252" s="2"/>
      <c r="N252" s="7">
        <f t="shared" si="104"/>
        <v>-1</v>
      </c>
      <c r="O252" s="10"/>
      <c r="P252" s="6"/>
      <c r="Q252" s="2"/>
      <c r="R252" s="7">
        <f t="shared" si="105"/>
        <v>0</v>
      </c>
      <c r="S252" s="2"/>
      <c r="T252" s="6">
        <v>-254</v>
      </c>
      <c r="U252" s="2"/>
      <c r="V252" s="7">
        <f t="shared" si="106"/>
        <v>-2.0951999948078634E-5</v>
      </c>
      <c r="W252" s="2"/>
      <c r="X252" s="6">
        <f t="shared" si="107"/>
        <v>254</v>
      </c>
      <c r="Y252" s="2"/>
      <c r="Z252" s="7">
        <f t="shared" si="108"/>
        <v>-1</v>
      </c>
    </row>
    <row r="253" spans="1:26" s="23" customFormat="1" hidden="1" outlineLevel="2" x14ac:dyDescent="0.25">
      <c r="A253" s="25"/>
      <c r="B253" s="10" t="str">
        <f>CONCATENATE("          ", "7718", " - ", "INV. SHRINKAGE-STUDY GUIDES")</f>
        <v xml:space="preserve">          7718 - INV. SHRINKAGE-STUDY GUIDES</v>
      </c>
      <c r="C253" s="10"/>
      <c r="D253" s="6"/>
      <c r="E253" s="2"/>
      <c r="F253" s="7">
        <f t="shared" si="101"/>
        <v>0</v>
      </c>
      <c r="G253" s="2"/>
      <c r="H253" s="6">
        <v>458</v>
      </c>
      <c r="I253" s="2"/>
      <c r="J253" s="7">
        <f t="shared" si="102"/>
        <v>6.9529470240544213E-4</v>
      </c>
      <c r="K253" s="2"/>
      <c r="L253" s="6">
        <f t="shared" si="103"/>
        <v>-458</v>
      </c>
      <c r="M253" s="2"/>
      <c r="N253" s="7">
        <f t="shared" si="104"/>
        <v>-1</v>
      </c>
      <c r="O253" s="10"/>
      <c r="P253" s="6"/>
      <c r="Q253" s="2"/>
      <c r="R253" s="7">
        <f t="shared" si="105"/>
        <v>0</v>
      </c>
      <c r="S253" s="2"/>
      <c r="T253" s="6">
        <v>458</v>
      </c>
      <c r="U253" s="2"/>
      <c r="V253" s="7">
        <f t="shared" si="106"/>
        <v>3.7779590457559113E-5</v>
      </c>
      <c r="W253" s="2"/>
      <c r="X253" s="6">
        <f t="shared" si="107"/>
        <v>-458</v>
      </c>
      <c r="Y253" s="2"/>
      <c r="Z253" s="7">
        <f t="shared" si="108"/>
        <v>-1</v>
      </c>
    </row>
    <row r="254" spans="1:26" s="23" customFormat="1" hidden="1" outlineLevel="2" x14ac:dyDescent="0.25">
      <c r="A254" s="25"/>
      <c r="B254" s="10" t="str">
        <f>CONCATENATE("          ", "7719", " - ", "INV. SHRINKAGE-BOOK RELATED")</f>
        <v xml:space="preserve">          7719 - INV. SHRINKAGE-BOOK RELATED</v>
      </c>
      <c r="C254" s="10"/>
      <c r="D254" s="6"/>
      <c r="E254" s="2"/>
      <c r="F254" s="7">
        <f t="shared" si="101"/>
        <v>0</v>
      </c>
      <c r="G254" s="2"/>
      <c r="H254" s="6">
        <v>-43</v>
      </c>
      <c r="I254" s="2"/>
      <c r="J254" s="7">
        <f t="shared" si="102"/>
        <v>-6.5278760269506578E-5</v>
      </c>
      <c r="K254" s="2"/>
      <c r="L254" s="6">
        <f t="shared" si="103"/>
        <v>43</v>
      </c>
      <c r="M254" s="2"/>
      <c r="N254" s="7">
        <f t="shared" si="104"/>
        <v>-1</v>
      </c>
      <c r="O254" s="10"/>
      <c r="P254" s="6"/>
      <c r="Q254" s="2"/>
      <c r="R254" s="7">
        <f t="shared" si="105"/>
        <v>0</v>
      </c>
      <c r="S254" s="2"/>
      <c r="T254" s="6">
        <v>-43</v>
      </c>
      <c r="U254" s="2"/>
      <c r="V254" s="7">
        <f t="shared" si="106"/>
        <v>-3.5469921171944142E-6</v>
      </c>
      <c r="W254" s="2"/>
      <c r="X254" s="6">
        <f t="shared" si="107"/>
        <v>43</v>
      </c>
      <c r="Y254" s="2"/>
      <c r="Z254" s="7">
        <f t="shared" si="108"/>
        <v>-1</v>
      </c>
    </row>
    <row r="255" spans="1:26" s="23" customFormat="1" hidden="1" outlineLevel="2" x14ac:dyDescent="0.25">
      <c r="A255" s="25"/>
      <c r="B255" s="10" t="str">
        <f>CONCATENATE("          ", "7725", " - ", "INV. SHRINKAGE-TEST FORMS")</f>
        <v xml:space="preserve">          7725 - INV. SHRINKAGE-TEST FORMS</v>
      </c>
      <c r="C255" s="10"/>
      <c r="D255" s="6"/>
      <c r="E255" s="2"/>
      <c r="F255" s="7">
        <f t="shared" si="101"/>
        <v>0</v>
      </c>
      <c r="G255" s="2"/>
      <c r="H255" s="6">
        <v>3987</v>
      </c>
      <c r="I255" s="2"/>
      <c r="J255" s="7">
        <f t="shared" si="102"/>
        <v>6.0527073766168072E-3</v>
      </c>
      <c r="K255" s="2"/>
      <c r="L255" s="6">
        <f t="shared" si="103"/>
        <v>-3987</v>
      </c>
      <c r="M255" s="2"/>
      <c r="N255" s="7">
        <f t="shared" si="104"/>
        <v>-1</v>
      </c>
      <c r="O255" s="10"/>
      <c r="P255" s="6"/>
      <c r="Q255" s="2"/>
      <c r="R255" s="7">
        <f t="shared" si="105"/>
        <v>0</v>
      </c>
      <c r="S255" s="2"/>
      <c r="T255" s="6">
        <v>3987</v>
      </c>
      <c r="U255" s="2"/>
      <c r="V255" s="7">
        <f t="shared" si="106"/>
        <v>3.2888040863381698E-4</v>
      </c>
      <c r="W255" s="2"/>
      <c r="X255" s="6">
        <f t="shared" si="107"/>
        <v>-3987</v>
      </c>
      <c r="Y255" s="2"/>
      <c r="Z255" s="7">
        <f t="shared" si="108"/>
        <v>-1</v>
      </c>
    </row>
    <row r="256" spans="1:26" s="23" customFormat="1" hidden="1" outlineLevel="2" x14ac:dyDescent="0.25">
      <c r="A256" s="25"/>
      <c r="B256" s="10" t="str">
        <f>CONCATENATE("          ", "7726", " - ", "INV. SHRINKAGE-WRITING INSTRUM")</f>
        <v xml:space="preserve">          7726 - INV. SHRINKAGE-WRITING INSTRUM</v>
      </c>
      <c r="C256" s="10"/>
      <c r="D256" s="6"/>
      <c r="E256" s="2"/>
      <c r="F256" s="7">
        <f t="shared" si="101"/>
        <v>0</v>
      </c>
      <c r="G256" s="2"/>
      <c r="H256" s="6">
        <v>9153</v>
      </c>
      <c r="I256" s="2"/>
      <c r="J256" s="7">
        <f t="shared" si="102"/>
        <v>1.3895267273181248E-2</v>
      </c>
      <c r="K256" s="2"/>
      <c r="L256" s="6">
        <f t="shared" si="103"/>
        <v>-9153</v>
      </c>
      <c r="M256" s="2"/>
      <c r="N256" s="7">
        <f t="shared" si="104"/>
        <v>-1</v>
      </c>
      <c r="O256" s="10"/>
      <c r="P256" s="6"/>
      <c r="Q256" s="2"/>
      <c r="R256" s="7">
        <f t="shared" si="105"/>
        <v>0</v>
      </c>
      <c r="S256" s="2"/>
      <c r="T256" s="6">
        <v>9153</v>
      </c>
      <c r="U256" s="2"/>
      <c r="V256" s="7">
        <f t="shared" si="106"/>
        <v>7.5501439182977851E-4</v>
      </c>
      <c r="W256" s="2"/>
      <c r="X256" s="6">
        <f t="shared" si="107"/>
        <v>-9153</v>
      </c>
      <c r="Y256" s="2"/>
      <c r="Z256" s="7">
        <f t="shared" si="108"/>
        <v>-1</v>
      </c>
    </row>
    <row r="257" spans="1:26" s="23" customFormat="1" hidden="1" outlineLevel="2" x14ac:dyDescent="0.25">
      <c r="A257" s="25"/>
      <c r="B257" s="10" t="str">
        <f>CONCATENATE("          ", "7727", " - ", "INV. SHRINKAGE-SCHOOL SUPPLIES")</f>
        <v xml:space="preserve">          7727 - INV. SHRINKAGE-SCHOOL SUPPLIES</v>
      </c>
      <c r="C257" s="10"/>
      <c r="D257" s="6"/>
      <c r="E257" s="2"/>
      <c r="F257" s="7">
        <f t="shared" si="101"/>
        <v>0</v>
      </c>
      <c r="G257" s="2"/>
      <c r="H257" s="6">
        <v>9822</v>
      </c>
      <c r="I257" s="2"/>
      <c r="J257" s="7">
        <f t="shared" si="102"/>
        <v>1.4910883334118455E-2</v>
      </c>
      <c r="K257" s="2"/>
      <c r="L257" s="6">
        <f t="shared" si="103"/>
        <v>-9822</v>
      </c>
      <c r="M257" s="2"/>
      <c r="N257" s="7">
        <f t="shared" si="104"/>
        <v>-1</v>
      </c>
      <c r="O257" s="10"/>
      <c r="P257" s="6"/>
      <c r="Q257" s="2"/>
      <c r="R257" s="7">
        <f t="shared" si="105"/>
        <v>0</v>
      </c>
      <c r="S257" s="2"/>
      <c r="T257" s="6">
        <v>9822</v>
      </c>
      <c r="U257" s="2"/>
      <c r="V257" s="7">
        <f t="shared" si="106"/>
        <v>8.1019899011822182E-4</v>
      </c>
      <c r="W257" s="2"/>
      <c r="X257" s="6">
        <f t="shared" si="107"/>
        <v>-9822</v>
      </c>
      <c r="Y257" s="2"/>
      <c r="Z257" s="7">
        <f t="shared" si="108"/>
        <v>-1</v>
      </c>
    </row>
    <row r="258" spans="1:26" s="23" customFormat="1" hidden="1" outlineLevel="2" x14ac:dyDescent="0.25">
      <c r="A258" s="25"/>
      <c r="B258" s="10" t="str">
        <f>CONCATENATE("          ", "7728", " - ", "INV. SHRINKAGE-ART/TECH")</f>
        <v xml:space="preserve">          7728 - INV. SHRINKAGE-ART/TECH</v>
      </c>
      <c r="C258" s="10"/>
      <c r="D258" s="6"/>
      <c r="E258" s="2"/>
      <c r="F258" s="7">
        <f t="shared" si="101"/>
        <v>0</v>
      </c>
      <c r="G258" s="2"/>
      <c r="H258" s="6">
        <v>8990</v>
      </c>
      <c r="I258" s="2"/>
      <c r="J258" s="7">
        <f t="shared" si="102"/>
        <v>1.3647815228438699E-2</v>
      </c>
      <c r="K258" s="2"/>
      <c r="L258" s="6">
        <f t="shared" si="103"/>
        <v>-8990</v>
      </c>
      <c r="M258" s="2"/>
      <c r="N258" s="7">
        <f t="shared" si="104"/>
        <v>-1</v>
      </c>
      <c r="O258" s="10"/>
      <c r="P258" s="6"/>
      <c r="Q258" s="2"/>
      <c r="R258" s="7">
        <f t="shared" si="105"/>
        <v>0</v>
      </c>
      <c r="S258" s="2"/>
      <c r="T258" s="6">
        <v>8990</v>
      </c>
      <c r="U258" s="2"/>
      <c r="V258" s="7">
        <f t="shared" si="106"/>
        <v>7.4156881705994852E-4</v>
      </c>
      <c r="W258" s="2"/>
      <c r="X258" s="6">
        <f t="shared" si="107"/>
        <v>-8990</v>
      </c>
      <c r="Y258" s="2"/>
      <c r="Z258" s="7">
        <f t="shared" si="108"/>
        <v>-1</v>
      </c>
    </row>
    <row r="259" spans="1:26" s="23" customFormat="1" hidden="1" outlineLevel="2" x14ac:dyDescent="0.25">
      <c r="A259" s="25"/>
      <c r="B259" s="10" t="str">
        <f>CONCATENATE("          ", "7731", " - ", "INV. SHRINKAGE-FOOD")</f>
        <v xml:space="preserve">          7731 - INV. SHRINKAGE-FOOD</v>
      </c>
      <c r="C259" s="10"/>
      <c r="D259" s="6"/>
      <c r="E259" s="2"/>
      <c r="F259" s="7">
        <f t="shared" si="101"/>
        <v>0</v>
      </c>
      <c r="G259" s="2"/>
      <c r="H259" s="6">
        <v>6964</v>
      </c>
      <c r="I259" s="2"/>
      <c r="J259" s="7">
        <f t="shared" si="102"/>
        <v>1.0572122942252181E-2</v>
      </c>
      <c r="K259" s="2"/>
      <c r="L259" s="6">
        <f t="shared" si="103"/>
        <v>-6964</v>
      </c>
      <c r="M259" s="2"/>
      <c r="N259" s="7">
        <f t="shared" si="104"/>
        <v>-1</v>
      </c>
      <c r="O259" s="10"/>
      <c r="P259" s="6"/>
      <c r="Q259" s="2"/>
      <c r="R259" s="7">
        <f t="shared" si="105"/>
        <v>0</v>
      </c>
      <c r="S259" s="2"/>
      <c r="T259" s="6">
        <v>6964</v>
      </c>
      <c r="U259" s="2"/>
      <c r="V259" s="7">
        <f t="shared" si="106"/>
        <v>5.744477466079512E-4</v>
      </c>
      <c r="W259" s="2"/>
      <c r="X259" s="6">
        <f t="shared" si="107"/>
        <v>-6964</v>
      </c>
      <c r="Y259" s="2"/>
      <c r="Z259" s="7">
        <f t="shared" si="108"/>
        <v>-1</v>
      </c>
    </row>
    <row r="260" spans="1:26" s="23" customFormat="1" hidden="1" outlineLevel="2" x14ac:dyDescent="0.25">
      <c r="A260" s="25"/>
      <c r="B260" s="10" t="str">
        <f>CONCATENATE("          ", "7732", " - ", "INV. SHRINKAGE-JUICE")</f>
        <v xml:space="preserve">          7732 - INV. SHRINKAGE-JUICE</v>
      </c>
      <c r="C260" s="10"/>
      <c r="D260" s="6"/>
      <c r="E260" s="2"/>
      <c r="F260" s="7">
        <f t="shared" si="101"/>
        <v>0</v>
      </c>
      <c r="G260" s="2"/>
      <c r="H260" s="6">
        <v>-1942</v>
      </c>
      <c r="I260" s="2"/>
      <c r="J260" s="7">
        <f t="shared" si="102"/>
        <v>-2.9481709870553901E-3</v>
      </c>
      <c r="K260" s="2"/>
      <c r="L260" s="6">
        <f t="shared" si="103"/>
        <v>1942</v>
      </c>
      <c r="M260" s="2"/>
      <c r="N260" s="7">
        <f t="shared" si="104"/>
        <v>-1</v>
      </c>
      <c r="O260" s="10"/>
      <c r="P260" s="6"/>
      <c r="Q260" s="2"/>
      <c r="R260" s="7">
        <f t="shared" si="105"/>
        <v>0</v>
      </c>
      <c r="S260" s="2"/>
      <c r="T260" s="6">
        <v>-1942</v>
      </c>
      <c r="U260" s="2"/>
      <c r="V260" s="7">
        <f t="shared" si="106"/>
        <v>-1.601920625951524E-4</v>
      </c>
      <c r="W260" s="2"/>
      <c r="X260" s="6">
        <f t="shared" si="107"/>
        <v>1942</v>
      </c>
      <c r="Y260" s="2"/>
      <c r="Z260" s="7">
        <f t="shared" si="108"/>
        <v>-1</v>
      </c>
    </row>
    <row r="261" spans="1:26" s="23" customFormat="1" hidden="1" outlineLevel="2" x14ac:dyDescent="0.25">
      <c r="A261" s="25"/>
      <c r="B261" s="10" t="str">
        <f>CONCATENATE("          ", "7733", " - ", "INV. SHRINKAGE-CANDY")</f>
        <v xml:space="preserve">          7733 - INV. SHRINKAGE-CANDY</v>
      </c>
      <c r="C261" s="10"/>
      <c r="D261" s="6"/>
      <c r="E261" s="2"/>
      <c r="F261" s="7">
        <f t="shared" si="101"/>
        <v>0</v>
      </c>
      <c r="G261" s="2"/>
      <c r="H261" s="6">
        <v>2710</v>
      </c>
      <c r="I261" s="2"/>
      <c r="J261" s="7">
        <f t="shared" si="102"/>
        <v>4.1140800076828561E-3</v>
      </c>
      <c r="K261" s="2"/>
      <c r="L261" s="6">
        <f t="shared" si="103"/>
        <v>-2710</v>
      </c>
      <c r="M261" s="2"/>
      <c r="N261" s="7">
        <f t="shared" si="104"/>
        <v>-1</v>
      </c>
      <c r="O261" s="10"/>
      <c r="P261" s="6"/>
      <c r="Q261" s="2"/>
      <c r="R261" s="7">
        <f t="shared" si="105"/>
        <v>0</v>
      </c>
      <c r="S261" s="2"/>
      <c r="T261" s="6">
        <v>2710</v>
      </c>
      <c r="U261" s="2"/>
      <c r="V261" s="7">
        <f t="shared" si="106"/>
        <v>2.2354299157202007E-4</v>
      </c>
      <c r="W261" s="2"/>
      <c r="X261" s="6">
        <f t="shared" si="107"/>
        <v>-2710</v>
      </c>
      <c r="Y261" s="2"/>
      <c r="Z261" s="7">
        <f t="shared" si="108"/>
        <v>-1</v>
      </c>
    </row>
    <row r="262" spans="1:26" s="23" customFormat="1" hidden="1" outlineLevel="2" x14ac:dyDescent="0.25">
      <c r="A262" s="25"/>
      <c r="B262" s="10" t="str">
        <f>CONCATENATE("          ", "7734", " - ", "INV. SHRINKAGE-SODA")</f>
        <v xml:space="preserve">          7734 - INV. SHRINKAGE-SODA</v>
      </c>
      <c r="C262" s="10"/>
      <c r="D262" s="6"/>
      <c r="E262" s="2"/>
      <c r="F262" s="7">
        <f t="shared" si="101"/>
        <v>0</v>
      </c>
      <c r="G262" s="2"/>
      <c r="H262" s="6">
        <v>1253</v>
      </c>
      <c r="I262" s="2"/>
      <c r="J262" s="7">
        <f t="shared" si="102"/>
        <v>1.9021927120393427E-3</v>
      </c>
      <c r="K262" s="2"/>
      <c r="L262" s="6">
        <f t="shared" si="103"/>
        <v>-1253</v>
      </c>
      <c r="M262" s="2"/>
      <c r="N262" s="7">
        <f t="shared" si="104"/>
        <v>-1</v>
      </c>
      <c r="O262" s="10"/>
      <c r="P262" s="6"/>
      <c r="Q262" s="2"/>
      <c r="R262" s="7">
        <f t="shared" si="105"/>
        <v>0</v>
      </c>
      <c r="S262" s="2"/>
      <c r="T262" s="6">
        <v>1253</v>
      </c>
      <c r="U262" s="2"/>
      <c r="V262" s="7">
        <f t="shared" si="106"/>
        <v>1.033577005312698E-4</v>
      </c>
      <c r="W262" s="2"/>
      <c r="X262" s="6">
        <f t="shared" si="107"/>
        <v>-1253</v>
      </c>
      <c r="Y262" s="2"/>
      <c r="Z262" s="7">
        <f t="shared" si="108"/>
        <v>-1</v>
      </c>
    </row>
    <row r="263" spans="1:26" s="23" customFormat="1" hidden="1" outlineLevel="2" x14ac:dyDescent="0.25">
      <c r="A263" s="25"/>
      <c r="B263" s="10" t="str">
        <f>CONCATENATE("          ", "7735", " - ", "INV. SHRINKAGE-HEALTH/BEAUTY")</f>
        <v xml:space="preserve">          7735 - INV. SHRINKAGE-HEALTH/BEAUTY</v>
      </c>
      <c r="C263" s="10"/>
      <c r="D263" s="6"/>
      <c r="E263" s="2"/>
      <c r="F263" s="7">
        <f t="shared" si="101"/>
        <v>0</v>
      </c>
      <c r="G263" s="2"/>
      <c r="H263" s="6">
        <v>369</v>
      </c>
      <c r="I263" s="2"/>
      <c r="J263" s="7">
        <f t="shared" si="102"/>
        <v>5.6018284975460294E-4</v>
      </c>
      <c r="K263" s="2"/>
      <c r="L263" s="6">
        <f t="shared" si="103"/>
        <v>-369</v>
      </c>
      <c r="M263" s="2"/>
      <c r="N263" s="7">
        <f t="shared" si="104"/>
        <v>-1</v>
      </c>
      <c r="O263" s="10"/>
      <c r="P263" s="6"/>
      <c r="Q263" s="2"/>
      <c r="R263" s="7">
        <f t="shared" si="105"/>
        <v>0</v>
      </c>
      <c r="S263" s="2"/>
      <c r="T263" s="6">
        <v>369</v>
      </c>
      <c r="U263" s="2"/>
      <c r="V263" s="7">
        <f t="shared" si="106"/>
        <v>3.0438141656854394E-5</v>
      </c>
      <c r="W263" s="2"/>
      <c r="X263" s="6">
        <f t="shared" si="107"/>
        <v>-369</v>
      </c>
      <c r="Y263" s="2"/>
      <c r="Z263" s="7">
        <f t="shared" si="108"/>
        <v>-1</v>
      </c>
    </row>
    <row r="264" spans="1:26" s="23" customFormat="1" hidden="1" outlineLevel="2" x14ac:dyDescent="0.25">
      <c r="A264" s="25"/>
      <c r="B264" s="10" t="str">
        <f>CONCATENATE("          ", "7737", " - ", "INV. SHRINKAGE-WATER")</f>
        <v xml:space="preserve">          7737 - INV. SHRINKAGE-WATER</v>
      </c>
      <c r="C264" s="10"/>
      <c r="D264" s="6"/>
      <c r="E264" s="2"/>
      <c r="F264" s="7">
        <f t="shared" si="101"/>
        <v>0</v>
      </c>
      <c r="G264" s="2"/>
      <c r="H264" s="6">
        <v>763</v>
      </c>
      <c r="I264" s="2"/>
      <c r="J264" s="7">
        <f t="shared" si="102"/>
        <v>1.1583184671077561E-3</v>
      </c>
      <c r="K264" s="2"/>
      <c r="L264" s="6">
        <f t="shared" si="103"/>
        <v>-763</v>
      </c>
      <c r="M264" s="2"/>
      <c r="N264" s="7">
        <f t="shared" si="104"/>
        <v>-1</v>
      </c>
      <c r="O264" s="10"/>
      <c r="P264" s="6"/>
      <c r="Q264" s="2"/>
      <c r="R264" s="7">
        <f t="shared" si="105"/>
        <v>0</v>
      </c>
      <c r="S264" s="2"/>
      <c r="T264" s="6">
        <v>763</v>
      </c>
      <c r="U264" s="2"/>
      <c r="V264" s="7">
        <f t="shared" si="106"/>
        <v>6.2938488033007859E-5</v>
      </c>
      <c r="W264" s="2"/>
      <c r="X264" s="6">
        <f t="shared" si="107"/>
        <v>-763</v>
      </c>
      <c r="Y264" s="2"/>
      <c r="Z264" s="7">
        <f t="shared" si="108"/>
        <v>-1</v>
      </c>
    </row>
    <row r="265" spans="1:26" s="23" customFormat="1" hidden="1" outlineLevel="2" x14ac:dyDescent="0.25">
      <c r="A265" s="25"/>
      <c r="B265" s="10" t="str">
        <f>CONCATENATE("          ", "7740", " - ", "INV. SHRINKAGE-LOGO CLOTHING")</f>
        <v xml:space="preserve">          7740 - INV. SHRINKAGE-LOGO CLOTHING</v>
      </c>
      <c r="C265" s="10"/>
      <c r="D265" s="6"/>
      <c r="E265" s="2"/>
      <c r="F265" s="7">
        <f t="shared" si="101"/>
        <v>0</v>
      </c>
      <c r="G265" s="2"/>
      <c r="H265" s="6">
        <v>62007</v>
      </c>
      <c r="I265" s="2"/>
      <c r="J265" s="7">
        <f t="shared" si="102"/>
        <v>9.4133490419332416E-2</v>
      </c>
      <c r="K265" s="2"/>
      <c r="L265" s="6">
        <f t="shared" si="103"/>
        <v>-62007</v>
      </c>
      <c r="M265" s="2"/>
      <c r="N265" s="7">
        <f t="shared" si="104"/>
        <v>-1</v>
      </c>
      <c r="O265" s="10"/>
      <c r="P265" s="6"/>
      <c r="Q265" s="2"/>
      <c r="R265" s="7">
        <f t="shared" si="105"/>
        <v>0</v>
      </c>
      <c r="S265" s="2"/>
      <c r="T265" s="6">
        <v>62007</v>
      </c>
      <c r="U265" s="2"/>
      <c r="V265" s="7">
        <f t="shared" si="106"/>
        <v>5.1148451211831172E-3</v>
      </c>
      <c r="W265" s="2"/>
      <c r="X265" s="6">
        <f t="shared" si="107"/>
        <v>-62007</v>
      </c>
      <c r="Y265" s="2"/>
      <c r="Z265" s="7">
        <f t="shared" si="108"/>
        <v>-1</v>
      </c>
    </row>
    <row r="266" spans="1:26" s="23" customFormat="1" hidden="1" outlineLevel="2" x14ac:dyDescent="0.25">
      <c r="A266" s="25"/>
      <c r="B266" s="10" t="str">
        <f>CONCATENATE("          ", "7741", " - ", "INV. SHRINKAGE-LOGO GIFTS")</f>
        <v xml:space="preserve">          7741 - INV. SHRINKAGE-LOGO GIFTS</v>
      </c>
      <c r="C266" s="10"/>
      <c r="D266" s="6"/>
      <c r="E266" s="2"/>
      <c r="F266" s="7">
        <f t="shared" si="101"/>
        <v>0</v>
      </c>
      <c r="G266" s="2"/>
      <c r="H266" s="6">
        <v>30707</v>
      </c>
      <c r="I266" s="2"/>
      <c r="J266" s="7">
        <f t="shared" si="102"/>
        <v>4.6616625385947401E-2</v>
      </c>
      <c r="K266" s="2"/>
      <c r="L266" s="6">
        <f t="shared" si="103"/>
        <v>-30707</v>
      </c>
      <c r="M266" s="2"/>
      <c r="N266" s="7">
        <f t="shared" si="104"/>
        <v>-1</v>
      </c>
      <c r="O266" s="10"/>
      <c r="P266" s="6">
        <v>0</v>
      </c>
      <c r="Q266" s="2"/>
      <c r="R266" s="7">
        <f t="shared" si="105"/>
        <v>0</v>
      </c>
      <c r="S266" s="2"/>
      <c r="T266" s="6">
        <v>30707</v>
      </c>
      <c r="U266" s="2"/>
      <c r="V266" s="7">
        <f t="shared" si="106"/>
        <v>2.5329648126206717E-3</v>
      </c>
      <c r="W266" s="2"/>
      <c r="X266" s="6">
        <f t="shared" si="107"/>
        <v>-30707</v>
      </c>
      <c r="Y266" s="2"/>
      <c r="Z266" s="7">
        <f t="shared" si="108"/>
        <v>-1</v>
      </c>
    </row>
    <row r="267" spans="1:26" s="23" customFormat="1" hidden="1" outlineLevel="2" x14ac:dyDescent="0.25">
      <c r="A267" s="25"/>
      <c r="B267" s="10" t="str">
        <f>CONCATENATE("          ", "7742", " - ", "INV. SHRINKAGE-EVERYDAY GIFTS")</f>
        <v xml:space="preserve">          7742 - INV. SHRINKAGE-EVERYDAY GIFTS</v>
      </c>
      <c r="C267" s="10"/>
      <c r="D267" s="6"/>
      <c r="E267" s="2"/>
      <c r="F267" s="7">
        <f t="shared" si="101"/>
        <v>0</v>
      </c>
      <c r="G267" s="2"/>
      <c r="H267" s="6">
        <v>26197</v>
      </c>
      <c r="I267" s="2"/>
      <c r="J267" s="7">
        <f t="shared" si="102"/>
        <v>3.9769946111168922E-2</v>
      </c>
      <c r="K267" s="2"/>
      <c r="L267" s="6">
        <f t="shared" si="103"/>
        <v>-26197</v>
      </c>
      <c r="M267" s="2"/>
      <c r="N267" s="7">
        <f t="shared" si="104"/>
        <v>-1</v>
      </c>
      <c r="O267" s="10"/>
      <c r="P267" s="6"/>
      <c r="Q267" s="2"/>
      <c r="R267" s="7">
        <f t="shared" si="105"/>
        <v>0</v>
      </c>
      <c r="S267" s="2"/>
      <c r="T267" s="6">
        <v>26197</v>
      </c>
      <c r="U267" s="2"/>
      <c r="V267" s="7">
        <f t="shared" si="106"/>
        <v>2.1609430812591177E-3</v>
      </c>
      <c r="W267" s="2"/>
      <c r="X267" s="6">
        <f t="shared" si="107"/>
        <v>-26197</v>
      </c>
      <c r="Y267" s="2"/>
      <c r="Z267" s="7">
        <f t="shared" si="108"/>
        <v>-1</v>
      </c>
    </row>
    <row r="268" spans="1:26" s="23" customFormat="1" hidden="1" outlineLevel="2" x14ac:dyDescent="0.25">
      <c r="A268" s="25"/>
      <c r="B268" s="10" t="str">
        <f>CONCATENATE("          ", "7743", " - ", "INV. SHRINKAGE-CARDS")</f>
        <v xml:space="preserve">          7743 - INV. SHRINKAGE-CARDS</v>
      </c>
      <c r="C268" s="10"/>
      <c r="D268" s="6"/>
      <c r="E268" s="2"/>
      <c r="F268" s="7">
        <f t="shared" si="101"/>
        <v>0</v>
      </c>
      <c r="G268" s="2"/>
      <c r="H268" s="6">
        <v>-12818</v>
      </c>
      <c r="I268" s="2"/>
      <c r="J268" s="7">
        <f t="shared" si="102"/>
        <v>-1.9459143003128728E-2</v>
      </c>
      <c r="K268" s="2"/>
      <c r="L268" s="6">
        <f t="shared" si="103"/>
        <v>12818</v>
      </c>
      <c r="M268" s="2"/>
      <c r="N268" s="7">
        <f t="shared" si="104"/>
        <v>-1</v>
      </c>
      <c r="O268" s="10"/>
      <c r="P268" s="6"/>
      <c r="Q268" s="2"/>
      <c r="R268" s="7">
        <f t="shared" si="105"/>
        <v>0</v>
      </c>
      <c r="S268" s="2"/>
      <c r="T268" s="6">
        <v>-12818</v>
      </c>
      <c r="U268" s="2"/>
      <c r="V268" s="7">
        <f t="shared" si="106"/>
        <v>-1.0573336036790234E-3</v>
      </c>
      <c r="W268" s="2"/>
      <c r="X268" s="6">
        <f t="shared" si="107"/>
        <v>12818</v>
      </c>
      <c r="Y268" s="2"/>
      <c r="Z268" s="7">
        <f t="shared" si="108"/>
        <v>-1</v>
      </c>
    </row>
    <row r="269" spans="1:26" s="23" customFormat="1" hidden="1" outlineLevel="2" x14ac:dyDescent="0.25">
      <c r="A269" s="25"/>
      <c r="B269" s="10" t="str">
        <f>CONCATENATE("          ", "7744", " - ", "INV. SHRINKAGE-ACCESSORIES")</f>
        <v xml:space="preserve">          7744 - INV. SHRINKAGE-ACCESSORIES</v>
      </c>
      <c r="C269" s="10"/>
      <c r="D269" s="6"/>
      <c r="E269" s="2"/>
      <c r="F269" s="7">
        <f t="shared" si="101"/>
        <v>0</v>
      </c>
      <c r="G269" s="2"/>
      <c r="H269" s="6">
        <v>-16780</v>
      </c>
      <c r="I269" s="2"/>
      <c r="J269" s="7">
        <f t="shared" si="102"/>
        <v>-2.5473897612146985E-2</v>
      </c>
      <c r="K269" s="2"/>
      <c r="L269" s="6">
        <f t="shared" si="103"/>
        <v>16780</v>
      </c>
      <c r="M269" s="2"/>
      <c r="N269" s="7">
        <f t="shared" si="104"/>
        <v>-1</v>
      </c>
      <c r="O269" s="10"/>
      <c r="P269" s="6"/>
      <c r="Q269" s="2"/>
      <c r="R269" s="7">
        <f t="shared" si="105"/>
        <v>0</v>
      </c>
      <c r="S269" s="2"/>
      <c r="T269" s="6">
        <v>-16780</v>
      </c>
      <c r="U269" s="2"/>
      <c r="V269" s="7">
        <f t="shared" si="106"/>
        <v>-1.3841518075935412E-3</v>
      </c>
      <c r="W269" s="2"/>
      <c r="X269" s="6">
        <f t="shared" si="107"/>
        <v>16780</v>
      </c>
      <c r="Y269" s="2"/>
      <c r="Z269" s="7">
        <f t="shared" si="108"/>
        <v>-1</v>
      </c>
    </row>
    <row r="270" spans="1:26" s="23" customFormat="1" hidden="1" outlineLevel="2" x14ac:dyDescent="0.25">
      <c r="A270" s="25"/>
      <c r="B270" s="10" t="str">
        <f>CONCATENATE("          ", "7745", " - ", "INV. SHRINKAGE-SPECIAL ORDERS")</f>
        <v xml:space="preserve">          7745 - INV. SHRINKAGE-SPECIAL ORDERS</v>
      </c>
      <c r="C270" s="10"/>
      <c r="D270" s="6"/>
      <c r="E270" s="2"/>
      <c r="F270" s="7">
        <f t="shared" si="101"/>
        <v>0</v>
      </c>
      <c r="G270" s="2"/>
      <c r="H270" s="6">
        <v>44531</v>
      </c>
      <c r="I270" s="2"/>
      <c r="J270" s="7">
        <f t="shared" si="102"/>
        <v>6.76029877572418E-2</v>
      </c>
      <c r="K270" s="2"/>
      <c r="L270" s="6">
        <f t="shared" si="103"/>
        <v>-44531</v>
      </c>
      <c r="M270" s="2"/>
      <c r="N270" s="7">
        <f t="shared" si="104"/>
        <v>-1</v>
      </c>
      <c r="O270" s="10"/>
      <c r="P270" s="6"/>
      <c r="Q270" s="2"/>
      <c r="R270" s="7">
        <f t="shared" si="105"/>
        <v>0</v>
      </c>
      <c r="S270" s="2"/>
      <c r="T270" s="6">
        <v>44531</v>
      </c>
      <c r="U270" s="2"/>
      <c r="V270" s="7">
        <f t="shared" si="106"/>
        <v>3.6732815342042898E-3</v>
      </c>
      <c r="W270" s="2"/>
      <c r="X270" s="6">
        <f t="shared" si="107"/>
        <v>-44531</v>
      </c>
      <c r="Y270" s="2"/>
      <c r="Z270" s="7">
        <f t="shared" si="108"/>
        <v>-1</v>
      </c>
    </row>
    <row r="271" spans="1:26" s="23" customFormat="1" hidden="1" outlineLevel="2" x14ac:dyDescent="0.25">
      <c r="A271" s="25"/>
      <c r="B271" s="10" t="str">
        <f>CONCATENATE("          ", "7781", " - ", "INV. SHRINKAGE-ELECTRONICS")</f>
        <v xml:space="preserve">          7781 - INV. SHRINKAGE-ELECTRONICS</v>
      </c>
      <c r="C271" s="10"/>
      <c r="D271" s="6"/>
      <c r="E271" s="2"/>
      <c r="F271" s="7">
        <f t="shared" si="101"/>
        <v>0</v>
      </c>
      <c r="G271" s="2"/>
      <c r="H271" s="6">
        <v>-18533</v>
      </c>
      <c r="I271" s="2"/>
      <c r="J271" s="7">
        <f t="shared" si="102"/>
        <v>-2.8135145676157332E-2</v>
      </c>
      <c r="K271" s="2"/>
      <c r="L271" s="6">
        <f t="shared" si="103"/>
        <v>18533</v>
      </c>
      <c r="M271" s="2"/>
      <c r="N271" s="7">
        <f t="shared" si="104"/>
        <v>-1</v>
      </c>
      <c r="O271" s="10"/>
      <c r="P271" s="6"/>
      <c r="Q271" s="2"/>
      <c r="R271" s="7">
        <f t="shared" si="105"/>
        <v>0</v>
      </c>
      <c r="S271" s="2"/>
      <c r="T271" s="6">
        <v>-18533</v>
      </c>
      <c r="U271" s="2"/>
      <c r="V271" s="7">
        <f t="shared" si="106"/>
        <v>-1.5287536025107927E-3</v>
      </c>
      <c r="W271" s="2"/>
      <c r="X271" s="6">
        <f t="shared" si="107"/>
        <v>18533</v>
      </c>
      <c r="Y271" s="2"/>
      <c r="Z271" s="7">
        <f t="shared" si="108"/>
        <v>-1</v>
      </c>
    </row>
    <row r="272" spans="1:26" s="23" customFormat="1" hidden="1" outlineLevel="2" x14ac:dyDescent="0.25">
      <c r="A272" s="25"/>
      <c r="B272" s="10" t="str">
        <f>CONCATENATE("          ", "7782", " - ", "INV. SHRINKAGE-COMPUTER HARDWA")</f>
        <v xml:space="preserve">          7782 - INV. SHRINKAGE-COMPUTER HARDWA</v>
      </c>
      <c r="C272" s="10"/>
      <c r="D272" s="6"/>
      <c r="E272" s="2"/>
      <c r="F272" s="7">
        <f t="shared" si="101"/>
        <v>0</v>
      </c>
      <c r="G272" s="2"/>
      <c r="H272" s="6">
        <v>-30194</v>
      </c>
      <c r="I272" s="2"/>
      <c r="J272" s="7">
        <f t="shared" si="102"/>
        <v>-4.5837834594825148E-2</v>
      </c>
      <c r="K272" s="2"/>
      <c r="L272" s="6">
        <f t="shared" si="103"/>
        <v>30194</v>
      </c>
      <c r="M272" s="2"/>
      <c r="N272" s="7">
        <f t="shared" si="104"/>
        <v>-1</v>
      </c>
      <c r="O272" s="10"/>
      <c r="P272" s="6"/>
      <c r="Q272" s="2"/>
      <c r="R272" s="7">
        <f t="shared" si="105"/>
        <v>0</v>
      </c>
      <c r="S272" s="2"/>
      <c r="T272" s="6">
        <v>-30194</v>
      </c>
      <c r="U272" s="2"/>
      <c r="V272" s="7">
        <f t="shared" si="106"/>
        <v>-2.4906483717806547E-3</v>
      </c>
      <c r="W272" s="2"/>
      <c r="X272" s="6">
        <f t="shared" si="107"/>
        <v>30194</v>
      </c>
      <c r="Y272" s="2"/>
      <c r="Z272" s="7">
        <f t="shared" si="108"/>
        <v>-1</v>
      </c>
    </row>
    <row r="273" spans="1:26" s="23" customFormat="1" hidden="1" outlineLevel="2" x14ac:dyDescent="0.25">
      <c r="A273" s="25"/>
      <c r="B273" s="10" t="str">
        <f>CONCATENATE("          ", "7783", " - ", "INV. SHRINKAGE-COMPUTER EQUIPM")</f>
        <v xml:space="preserve">          7783 - INV. SHRINKAGE-COMPUTER EQUIPM</v>
      </c>
      <c r="C273" s="10"/>
      <c r="D273" s="6"/>
      <c r="E273" s="2"/>
      <c r="F273" s="7">
        <f t="shared" si="101"/>
        <v>0</v>
      </c>
      <c r="G273" s="2"/>
      <c r="H273" s="6">
        <v>2995</v>
      </c>
      <c r="I273" s="2"/>
      <c r="J273" s="7">
        <f t="shared" si="102"/>
        <v>4.54674155830633E-3</v>
      </c>
      <c r="K273" s="2"/>
      <c r="L273" s="6">
        <f t="shared" si="103"/>
        <v>-2995</v>
      </c>
      <c r="M273" s="2"/>
      <c r="N273" s="7">
        <f t="shared" si="104"/>
        <v>-1</v>
      </c>
      <c r="O273" s="10"/>
      <c r="P273" s="6"/>
      <c r="Q273" s="2"/>
      <c r="R273" s="7">
        <f t="shared" si="105"/>
        <v>0</v>
      </c>
      <c r="S273" s="2"/>
      <c r="T273" s="6">
        <v>2995</v>
      </c>
      <c r="U273" s="2"/>
      <c r="V273" s="7">
        <f t="shared" si="106"/>
        <v>2.4705212537202954E-4</v>
      </c>
      <c r="W273" s="2"/>
      <c r="X273" s="6">
        <f t="shared" si="107"/>
        <v>-2995</v>
      </c>
      <c r="Y273" s="2"/>
      <c r="Z273" s="7">
        <f t="shared" si="108"/>
        <v>-1</v>
      </c>
    </row>
    <row r="274" spans="1:26" s="23" customFormat="1" hidden="1" outlineLevel="2" x14ac:dyDescent="0.25">
      <c r="A274" s="25"/>
      <c r="B274" s="10" t="str">
        <f>CONCATENATE("          ", "7784", " - ", "INV. SHRINKAGE-SOFTWARE LICENS")</f>
        <v xml:space="preserve">          7784 - INV. SHRINKAGE-SOFTWARE LICENS</v>
      </c>
      <c r="C274" s="10"/>
      <c r="D274" s="6"/>
      <c r="E274" s="2"/>
      <c r="F274" s="7">
        <f t="shared" si="101"/>
        <v>0</v>
      </c>
      <c r="G274" s="2"/>
      <c r="H274" s="6">
        <v>1394</v>
      </c>
      <c r="I274" s="2"/>
      <c r="J274" s="7">
        <f t="shared" si="102"/>
        <v>2.1162463212951667E-3</v>
      </c>
      <c r="K274" s="2"/>
      <c r="L274" s="6">
        <f t="shared" si="103"/>
        <v>-1394</v>
      </c>
      <c r="M274" s="2"/>
      <c r="N274" s="7">
        <f t="shared" si="104"/>
        <v>-1</v>
      </c>
      <c r="O274" s="10"/>
      <c r="P274" s="6"/>
      <c r="Q274" s="2"/>
      <c r="R274" s="7">
        <f t="shared" si="105"/>
        <v>0</v>
      </c>
      <c r="S274" s="2"/>
      <c r="T274" s="6">
        <v>1394</v>
      </c>
      <c r="U274" s="2"/>
      <c r="V274" s="7">
        <f t="shared" si="106"/>
        <v>1.1498853514811659E-4</v>
      </c>
      <c r="W274" s="2"/>
      <c r="X274" s="6">
        <f t="shared" si="107"/>
        <v>-1394</v>
      </c>
      <c r="Y274" s="2"/>
      <c r="Z274" s="7">
        <f t="shared" si="108"/>
        <v>-1</v>
      </c>
    </row>
    <row r="275" spans="1:26" s="23" customFormat="1" hidden="1" outlineLevel="2" x14ac:dyDescent="0.25">
      <c r="A275" s="25"/>
      <c r="B275" s="10" t="str">
        <f>CONCATENATE("          ", "7785", " - ", "INV. SHRINKAGE-SOFTWARE")</f>
        <v xml:space="preserve">          7785 - INV. SHRINKAGE-SOFTWARE</v>
      </c>
      <c r="C275" s="10"/>
      <c r="D275" s="6"/>
      <c r="E275" s="2"/>
      <c r="F275" s="7">
        <f t="shared" si="101"/>
        <v>0</v>
      </c>
      <c r="G275" s="2"/>
      <c r="H275" s="6">
        <v>-3743</v>
      </c>
      <c r="I275" s="2"/>
      <c r="J275" s="7">
        <f t="shared" si="102"/>
        <v>-5.6822883648549559E-3</v>
      </c>
      <c r="K275" s="2"/>
      <c r="L275" s="6">
        <f t="shared" si="103"/>
        <v>3743</v>
      </c>
      <c r="M275" s="2"/>
      <c r="N275" s="7">
        <f t="shared" si="104"/>
        <v>-1</v>
      </c>
      <c r="O275" s="10"/>
      <c r="P275" s="6"/>
      <c r="Q275" s="2"/>
      <c r="R275" s="7">
        <f t="shared" si="105"/>
        <v>0</v>
      </c>
      <c r="S275" s="2"/>
      <c r="T275" s="6">
        <v>-3743</v>
      </c>
      <c r="U275" s="2"/>
      <c r="V275" s="7">
        <f t="shared" si="106"/>
        <v>-3.0875329057345797E-4</v>
      </c>
      <c r="W275" s="2"/>
      <c r="X275" s="6">
        <f t="shared" si="107"/>
        <v>3743</v>
      </c>
      <c r="Y275" s="2"/>
      <c r="Z275" s="7">
        <f t="shared" si="108"/>
        <v>-1</v>
      </c>
    </row>
    <row r="276" spans="1:26" s="23" customFormat="1" hidden="1" outlineLevel="2" x14ac:dyDescent="0.25">
      <c r="A276" s="25"/>
      <c r="B276" s="10" t="str">
        <f>CONCATENATE("          ", "7786", " - ", "INV. SHRINKAGE-COMPUTER SUPPLI")</f>
        <v xml:space="preserve">          7786 - INV. SHRINKAGE-COMPUTER SUPPLI</v>
      </c>
      <c r="C276" s="10"/>
      <c r="D276" s="6"/>
      <c r="E276" s="2"/>
      <c r="F276" s="7">
        <f t="shared" si="101"/>
        <v>0</v>
      </c>
      <c r="G276" s="2"/>
      <c r="H276" s="6">
        <v>5038</v>
      </c>
      <c r="I276" s="2"/>
      <c r="J276" s="7">
        <f t="shared" si="102"/>
        <v>7.6482417264598628E-3</v>
      </c>
      <c r="K276" s="2"/>
      <c r="L276" s="6">
        <f t="shared" si="103"/>
        <v>-5038</v>
      </c>
      <c r="M276" s="2"/>
      <c r="N276" s="7">
        <f t="shared" si="104"/>
        <v>-1</v>
      </c>
      <c r="O276" s="10"/>
      <c r="P276" s="6"/>
      <c r="Q276" s="2"/>
      <c r="R276" s="7">
        <f t="shared" si="105"/>
        <v>0</v>
      </c>
      <c r="S276" s="2"/>
      <c r="T276" s="6">
        <v>5038</v>
      </c>
      <c r="U276" s="2"/>
      <c r="V276" s="7">
        <f t="shared" si="106"/>
        <v>4.1557549503315022E-4</v>
      </c>
      <c r="W276" s="2"/>
      <c r="X276" s="6">
        <f t="shared" si="107"/>
        <v>-5038</v>
      </c>
      <c r="Y276" s="2"/>
      <c r="Z276" s="7">
        <f t="shared" si="108"/>
        <v>-1</v>
      </c>
    </row>
    <row r="277" spans="1:26" s="23" customFormat="1" hidden="1" outlineLevel="2" x14ac:dyDescent="0.25">
      <c r="A277" s="25"/>
      <c r="B277" s="10" t="str">
        <f>CONCATENATE("          ", "7788", " - ", "INV. SHRINKAGE-MUSIC")</f>
        <v xml:space="preserve">          7788 - INV. SHRINKAGE-MUSIC</v>
      </c>
      <c r="C277" s="10"/>
      <c r="D277" s="6"/>
      <c r="E277" s="2"/>
      <c r="F277" s="7">
        <f t="shared" si="101"/>
        <v>0</v>
      </c>
      <c r="G277" s="2"/>
      <c r="H277" s="6">
        <v>152</v>
      </c>
      <c r="I277" s="2"/>
      <c r="J277" s="7">
        <f t="shared" si="102"/>
        <v>2.3075282699918604E-4</v>
      </c>
      <c r="K277" s="2"/>
      <c r="L277" s="6">
        <f t="shared" si="103"/>
        <v>-152</v>
      </c>
      <c r="M277" s="2"/>
      <c r="N277" s="7">
        <f t="shared" si="104"/>
        <v>-1</v>
      </c>
      <c r="O277" s="10"/>
      <c r="P277" s="6"/>
      <c r="Q277" s="2"/>
      <c r="R277" s="7">
        <f t="shared" si="105"/>
        <v>0</v>
      </c>
      <c r="S277" s="2"/>
      <c r="T277" s="6">
        <v>152</v>
      </c>
      <c r="U277" s="2"/>
      <c r="V277" s="7">
        <f t="shared" si="106"/>
        <v>1.2538204693338394E-5</v>
      </c>
      <c r="W277" s="2"/>
      <c r="X277" s="6">
        <f t="shared" si="107"/>
        <v>-152</v>
      </c>
      <c r="Y277" s="2"/>
      <c r="Z277" s="7">
        <f t="shared" si="108"/>
        <v>-1</v>
      </c>
    </row>
    <row r="278" spans="1:26" s="23" customFormat="1" hidden="1" outlineLevel="2" x14ac:dyDescent="0.25">
      <c r="A278" s="25"/>
      <c r="B278" s="10" t="str">
        <f>CONCATENATE("          ", "7792", " - ", "INV. SHRINKAGE-GRAD MERCH")</f>
        <v xml:space="preserve">          7792 - INV. SHRINKAGE-GRAD MERCH</v>
      </c>
      <c r="C278" s="10"/>
      <c r="D278" s="6"/>
      <c r="E278" s="2"/>
      <c r="F278" s="7">
        <f t="shared" si="101"/>
        <v>0</v>
      </c>
      <c r="G278" s="2"/>
      <c r="H278" s="6">
        <v>535</v>
      </c>
      <c r="I278" s="2"/>
      <c r="J278" s="7">
        <f t="shared" si="102"/>
        <v>8.1218922660897719E-4</v>
      </c>
      <c r="K278" s="2"/>
      <c r="L278" s="6">
        <f t="shared" si="103"/>
        <v>-535</v>
      </c>
      <c r="M278" s="2"/>
      <c r="N278" s="7">
        <f t="shared" si="104"/>
        <v>-1</v>
      </c>
      <c r="O278" s="10"/>
      <c r="P278" s="6"/>
      <c r="Q278" s="2"/>
      <c r="R278" s="7">
        <f t="shared" si="105"/>
        <v>0</v>
      </c>
      <c r="S278" s="2"/>
      <c r="T278" s="6">
        <v>535</v>
      </c>
      <c r="U278" s="2"/>
      <c r="V278" s="7">
        <f t="shared" si="106"/>
        <v>4.4131180993000272E-5</v>
      </c>
      <c r="W278" s="2"/>
      <c r="X278" s="6">
        <f t="shared" si="107"/>
        <v>-535</v>
      </c>
      <c r="Y278" s="2"/>
      <c r="Z278" s="7">
        <f t="shared" si="108"/>
        <v>-1</v>
      </c>
    </row>
    <row r="279" spans="1:26" s="23" customFormat="1" hidden="1" outlineLevel="2" x14ac:dyDescent="0.25">
      <c r="A279" s="25"/>
      <c r="B279" s="10" t="str">
        <f>CONCATENATE("          ", "7795", " - ", "INV. SHRINKAGE-CUSTOMER SERVIC")</f>
        <v xml:space="preserve">          7795 - INV. SHRINKAGE-CUSTOMER SERVIC</v>
      </c>
      <c r="C279" s="10"/>
      <c r="D279" s="6"/>
      <c r="E279" s="2"/>
      <c r="F279" s="7">
        <f t="shared" si="101"/>
        <v>0</v>
      </c>
      <c r="G279" s="2"/>
      <c r="H279" s="6">
        <v>-132</v>
      </c>
      <c r="I279" s="2"/>
      <c r="J279" s="7">
        <f t="shared" si="102"/>
        <v>-2.0039061292034577E-4</v>
      </c>
      <c r="K279" s="2"/>
      <c r="L279" s="6">
        <f t="shared" si="103"/>
        <v>132</v>
      </c>
      <c r="M279" s="2"/>
      <c r="N279" s="7">
        <f t="shared" si="104"/>
        <v>-1</v>
      </c>
      <c r="O279" s="10"/>
      <c r="P279" s="6"/>
      <c r="Q279" s="2"/>
      <c r="R279" s="7">
        <f t="shared" si="105"/>
        <v>0</v>
      </c>
      <c r="S279" s="2"/>
      <c r="T279" s="6">
        <v>-132</v>
      </c>
      <c r="U279" s="2"/>
      <c r="V279" s="7">
        <f t="shared" si="106"/>
        <v>-1.0888440917899132E-5</v>
      </c>
      <c r="W279" s="2"/>
      <c r="X279" s="6">
        <f t="shared" si="107"/>
        <v>132</v>
      </c>
      <c r="Y279" s="2"/>
      <c r="Z279" s="7">
        <f t="shared" si="108"/>
        <v>-1</v>
      </c>
    </row>
    <row r="280" spans="1:26" s="27" customFormat="1" outlineLevel="1" collapsed="1" x14ac:dyDescent="0.25">
      <c r="A280" s="26"/>
      <c r="B280" s="12" t="str">
        <f>CONCATENATE("     ","Professional Services                             ")</f>
        <v xml:space="preserve">     Professional Services                             </v>
      </c>
      <c r="C280" s="12"/>
      <c r="D280" s="1">
        <f>SUM(OSRRefD22_14x_0)</f>
        <v>1966.87</v>
      </c>
      <c r="E280" s="1"/>
      <c r="F280" s="5">
        <f t="shared" ref="F280:F288" si="109">IF(D$12=0,0,D280/D$12)</f>
        <v>5.9749486984702182E-3</v>
      </c>
      <c r="G280" s="1"/>
      <c r="H280" s="1">
        <f>SUM(OSRRefH22_14x_0)</f>
        <v>8441.9599999999991</v>
      </c>
      <c r="I280" s="1"/>
      <c r="J280" s="5">
        <f t="shared" ref="J280:J288" si="110">IF(H$12=0,0,H280/H$12)</f>
        <v>1.2815829838250317E-2</v>
      </c>
      <c r="K280" s="1"/>
      <c r="L280" s="1">
        <f t="shared" ref="L280:L288" si="111">+D280-H280</f>
        <v>-6475.0899999999992</v>
      </c>
      <c r="M280" s="1"/>
      <c r="N280" s="5">
        <f t="shared" ref="N280:N288" si="112">IF(H280=0,0,L280/H280)</f>
        <v>-0.76701263687579657</v>
      </c>
      <c r="O280" s="12"/>
      <c r="P280" s="1">
        <f>SUM(OSRRefP22_14x_0)</f>
        <v>1966.87</v>
      </c>
      <c r="Q280" s="1"/>
      <c r="R280" s="5">
        <f t="shared" ref="R280:R288" si="113">IF(P$12=0,0,P280/P$12)</f>
        <v>2.4248958904094566E-4</v>
      </c>
      <c r="S280" s="1"/>
      <c r="T280" s="1">
        <f>SUM(OSRRefT22_14x_0)</f>
        <v>17571.52</v>
      </c>
      <c r="U280" s="1"/>
      <c r="V280" s="5">
        <f t="shared" ref="V280:V288" si="114">IF(T$12=0,0,T280/T$12)</f>
        <v>1.4494428587703255E-3</v>
      </c>
      <c r="W280" s="1"/>
      <c r="X280" s="1">
        <f t="shared" ref="X280:X288" si="115">+P280-T280</f>
        <v>-15604.650000000001</v>
      </c>
      <c r="Y280" s="1"/>
      <c r="Z280" s="5">
        <f t="shared" ref="Z280:Z288" si="116">IF(T280=0,0,X280/T280)</f>
        <v>-0.88806489136967093</v>
      </c>
    </row>
    <row r="281" spans="1:26" s="23" customFormat="1" hidden="1" outlineLevel="2" x14ac:dyDescent="0.25">
      <c r="A281" s="25"/>
      <c r="B281" s="10" t="str">
        <f>CONCATENATE("          ", "6336", " - ", "PROFESSIONAL SERVICES")</f>
        <v xml:space="preserve">          6336 - PROFESSIONAL SERVICES</v>
      </c>
      <c r="C281" s="10"/>
      <c r="D281" s="6">
        <v>1966.87</v>
      </c>
      <c r="E281" s="2"/>
      <c r="F281" s="7">
        <f t="shared" si="109"/>
        <v>5.9749486984702182E-3</v>
      </c>
      <c r="G281" s="2"/>
      <c r="H281" s="6">
        <v>8441.9599999999991</v>
      </c>
      <c r="I281" s="2"/>
      <c r="J281" s="7">
        <f t="shared" si="110"/>
        <v>1.2815829838250317E-2</v>
      </c>
      <c r="K281" s="2"/>
      <c r="L281" s="6">
        <f t="shared" si="111"/>
        <v>-6475.0899999999992</v>
      </c>
      <c r="M281" s="2"/>
      <c r="N281" s="7">
        <f t="shared" si="112"/>
        <v>-0.76701263687579657</v>
      </c>
      <c r="O281" s="10"/>
      <c r="P281" s="6">
        <v>1966.87</v>
      </c>
      <c r="Q281" s="2"/>
      <c r="R281" s="7">
        <f t="shared" si="113"/>
        <v>2.4248958904094566E-4</v>
      </c>
      <c r="S281" s="2"/>
      <c r="T281" s="6">
        <v>17571.52</v>
      </c>
      <c r="U281" s="2"/>
      <c r="V281" s="7">
        <f t="shared" si="114"/>
        <v>1.4494428587703255E-3</v>
      </c>
      <c r="W281" s="2"/>
      <c r="X281" s="6">
        <f t="shared" si="115"/>
        <v>-15604.650000000001</v>
      </c>
      <c r="Y281" s="2"/>
      <c r="Z281" s="7">
        <f t="shared" si="116"/>
        <v>-0.88806489136967093</v>
      </c>
    </row>
    <row r="282" spans="1:26" s="27" customFormat="1" outlineLevel="1" collapsed="1" x14ac:dyDescent="0.25">
      <c r="A282" s="26"/>
      <c r="B282" s="12" t="str">
        <f>CONCATENATE("     ","Rent                                              ")</f>
        <v xml:space="preserve">     Rent                                              </v>
      </c>
      <c r="C282" s="12"/>
      <c r="D282" s="1">
        <f>SUM(OSRRefD22_15x_0)</f>
        <v>6100</v>
      </c>
      <c r="E282" s="1"/>
      <c r="F282" s="5">
        <f t="shared" si="109"/>
        <v>1.8530552126306433E-2</v>
      </c>
      <c r="G282" s="1"/>
      <c r="H282" s="1">
        <f>SUM(OSRRefH22_15x_0)</f>
        <v>6100</v>
      </c>
      <c r="I282" s="1"/>
      <c r="J282" s="5">
        <f t="shared" si="110"/>
        <v>9.260475294046281E-3</v>
      </c>
      <c r="K282" s="1"/>
      <c r="L282" s="1">
        <f t="shared" si="111"/>
        <v>0</v>
      </c>
      <c r="M282" s="1"/>
      <c r="N282" s="5">
        <f t="shared" si="112"/>
        <v>0</v>
      </c>
      <c r="O282" s="12"/>
      <c r="P282" s="1">
        <f>SUM(OSRRefP22_15x_0)</f>
        <v>73200</v>
      </c>
      <c r="Q282" s="1"/>
      <c r="R282" s="5">
        <f t="shared" si="113"/>
        <v>9.0246116508956985E-3</v>
      </c>
      <c r="S282" s="1"/>
      <c r="T282" s="1">
        <f>SUM(OSRRefT22_15x_0)</f>
        <v>74800</v>
      </c>
      <c r="U282" s="1"/>
      <c r="V282" s="5">
        <f t="shared" si="114"/>
        <v>6.1701165201428418E-3</v>
      </c>
      <c r="W282" s="1"/>
      <c r="X282" s="1">
        <f t="shared" si="115"/>
        <v>-1600</v>
      </c>
      <c r="Y282" s="1"/>
      <c r="Z282" s="5">
        <f t="shared" si="116"/>
        <v>-2.1390374331550801E-2</v>
      </c>
    </row>
    <row r="283" spans="1:26" s="23" customFormat="1" hidden="1" outlineLevel="2" x14ac:dyDescent="0.25">
      <c r="A283" s="25"/>
      <c r="B283" s="10" t="str">
        <f>CONCATENATE("          ", "6273", " - ", "RENT")</f>
        <v xml:space="preserve">          6273 - RENT</v>
      </c>
      <c r="C283" s="10"/>
      <c r="D283" s="6">
        <v>6100</v>
      </c>
      <c r="E283" s="2"/>
      <c r="F283" s="7">
        <f t="shared" si="109"/>
        <v>1.8530552126306433E-2</v>
      </c>
      <c r="G283" s="2"/>
      <c r="H283" s="6">
        <v>6100</v>
      </c>
      <c r="I283" s="2"/>
      <c r="J283" s="7">
        <f t="shared" si="110"/>
        <v>9.260475294046281E-3</v>
      </c>
      <c r="K283" s="2"/>
      <c r="L283" s="6">
        <f t="shared" si="111"/>
        <v>0</v>
      </c>
      <c r="M283" s="2"/>
      <c r="N283" s="7">
        <f t="shared" si="112"/>
        <v>0</v>
      </c>
      <c r="O283" s="10"/>
      <c r="P283" s="6">
        <v>73200</v>
      </c>
      <c r="Q283" s="2"/>
      <c r="R283" s="7">
        <f t="shared" si="113"/>
        <v>9.0246116508956985E-3</v>
      </c>
      <c r="S283" s="2"/>
      <c r="T283" s="6">
        <v>74800</v>
      </c>
      <c r="U283" s="2"/>
      <c r="V283" s="7">
        <f t="shared" si="114"/>
        <v>6.1701165201428418E-3</v>
      </c>
      <c r="W283" s="2"/>
      <c r="X283" s="6">
        <f t="shared" si="115"/>
        <v>-1600</v>
      </c>
      <c r="Y283" s="2"/>
      <c r="Z283" s="7">
        <f t="shared" si="116"/>
        <v>-2.1390374331550801E-2</v>
      </c>
    </row>
    <row r="284" spans="1:26" s="27" customFormat="1" outlineLevel="1" collapsed="1" x14ac:dyDescent="0.25">
      <c r="A284" s="26"/>
      <c r="B284" s="12" t="str">
        <f>CONCATENATE("     ","Repair and Maintenance                            ")</f>
        <v xml:space="preserve">     Repair and Maintenance                            </v>
      </c>
      <c r="C284" s="12"/>
      <c r="D284" s="1">
        <f>SUM(OSRRefD22_16x_0)</f>
        <v>17581.3</v>
      </c>
      <c r="E284" s="1"/>
      <c r="F284" s="5">
        <f t="shared" si="109"/>
        <v>5.340839280298873E-2</v>
      </c>
      <c r="G284" s="1"/>
      <c r="H284" s="1">
        <f>SUM(OSRRefH22_16x_0)</f>
        <v>26294.07</v>
      </c>
      <c r="I284" s="1"/>
      <c r="J284" s="5">
        <f t="shared" si="110"/>
        <v>3.9917309117200574E-2</v>
      </c>
      <c r="K284" s="1"/>
      <c r="L284" s="1">
        <f t="shared" si="111"/>
        <v>-8712.77</v>
      </c>
      <c r="M284" s="1"/>
      <c r="N284" s="5">
        <f t="shared" si="112"/>
        <v>-0.33135874362546386</v>
      </c>
      <c r="O284" s="12"/>
      <c r="P284" s="1">
        <f>SUM(OSRRefP22_16x_0)</f>
        <v>161286.21000000002</v>
      </c>
      <c r="Q284" s="1"/>
      <c r="R284" s="5">
        <f t="shared" si="113"/>
        <v>1.9884500135175009E-2</v>
      </c>
      <c r="S284" s="1"/>
      <c r="T284" s="1">
        <f>SUM(OSRRefT22_16x_0)</f>
        <v>160130.84</v>
      </c>
      <c r="U284" s="1"/>
      <c r="V284" s="5">
        <f t="shared" si="114"/>
        <v>1.3208902958133022E-2</v>
      </c>
      <c r="W284" s="1"/>
      <c r="X284" s="1">
        <f t="shared" si="115"/>
        <v>1155.3700000000244</v>
      </c>
      <c r="Y284" s="1"/>
      <c r="Z284" s="5">
        <f t="shared" si="116"/>
        <v>7.2151623010284867E-3</v>
      </c>
    </row>
    <row r="285" spans="1:26" s="23" customFormat="1" hidden="1" outlineLevel="2" x14ac:dyDescent="0.25">
      <c r="A285" s="25"/>
      <c r="B285" s="10" t="str">
        <f>CONCATENATE("          ", "6371", " - ", "COMPUTER SOFTWARE MAINTENANCE")</f>
        <v xml:space="preserve">          6371 - COMPUTER SOFTWARE MAINTENANCE</v>
      </c>
      <c r="C285" s="10"/>
      <c r="D285" s="6"/>
      <c r="E285" s="2"/>
      <c r="F285" s="7">
        <f t="shared" si="109"/>
        <v>0</v>
      </c>
      <c r="G285" s="2"/>
      <c r="H285" s="6">
        <v>12181.05</v>
      </c>
      <c r="I285" s="2"/>
      <c r="J285" s="7">
        <f t="shared" si="110"/>
        <v>1.8492182390252861E-2</v>
      </c>
      <c r="K285" s="2"/>
      <c r="L285" s="6">
        <f t="shared" si="111"/>
        <v>-12181.05</v>
      </c>
      <c r="M285" s="2"/>
      <c r="N285" s="7">
        <f t="shared" si="112"/>
        <v>-1</v>
      </c>
      <c r="O285" s="10"/>
      <c r="P285" s="6">
        <v>61317.72</v>
      </c>
      <c r="Q285" s="2"/>
      <c r="R285" s="7">
        <f t="shared" si="113"/>
        <v>7.5596804688300582E-3</v>
      </c>
      <c r="S285" s="2"/>
      <c r="T285" s="6">
        <v>28598.55</v>
      </c>
      <c r="U285" s="2"/>
      <c r="V285" s="7">
        <f t="shared" si="114"/>
        <v>2.359042591004426E-3</v>
      </c>
      <c r="W285" s="2"/>
      <c r="X285" s="6">
        <f t="shared" si="115"/>
        <v>32719.170000000002</v>
      </c>
      <c r="Y285" s="2"/>
      <c r="Z285" s="7">
        <f t="shared" si="116"/>
        <v>1.1440849273826821</v>
      </c>
    </row>
    <row r="286" spans="1:26" s="23" customFormat="1" hidden="1" outlineLevel="2" x14ac:dyDescent="0.25">
      <c r="A286" s="25"/>
      <c r="B286" s="10" t="str">
        <f>CONCATENATE("          ", "6372", " - ", "COMPUTER HARDWARE MAINTENANCE")</f>
        <v xml:space="preserve">          6372 - COMPUTER HARDWARE MAINTENANCE</v>
      </c>
      <c r="C286" s="10"/>
      <c r="D286" s="6"/>
      <c r="E286" s="2"/>
      <c r="F286" s="7">
        <f t="shared" si="109"/>
        <v>0</v>
      </c>
      <c r="G286" s="2"/>
      <c r="H286" s="6">
        <v>-2</v>
      </c>
      <c r="I286" s="2"/>
      <c r="J286" s="7">
        <f t="shared" si="110"/>
        <v>-3.0362214078840268E-6</v>
      </c>
      <c r="K286" s="2"/>
      <c r="L286" s="6">
        <f t="shared" si="111"/>
        <v>2</v>
      </c>
      <c r="M286" s="2"/>
      <c r="N286" s="7">
        <f t="shared" si="112"/>
        <v>-1</v>
      </c>
      <c r="O286" s="10"/>
      <c r="P286" s="6">
        <v>-1.1499999999999999</v>
      </c>
      <c r="Q286" s="2"/>
      <c r="R286" s="7">
        <f t="shared" si="113"/>
        <v>-1.4178010107281493E-7</v>
      </c>
      <c r="S286" s="2"/>
      <c r="T286" s="6">
        <v>50.32</v>
      </c>
      <c r="U286" s="2"/>
      <c r="V286" s="7">
        <f t="shared" si="114"/>
        <v>4.1508056590051843E-6</v>
      </c>
      <c r="W286" s="2"/>
      <c r="X286" s="6">
        <f t="shared" si="115"/>
        <v>-51.47</v>
      </c>
      <c r="Y286" s="2"/>
      <c r="Z286" s="7">
        <f t="shared" si="116"/>
        <v>-1.0228537360890302</v>
      </c>
    </row>
    <row r="287" spans="1:26" s="23" customFormat="1" hidden="1" outlineLevel="2" x14ac:dyDescent="0.25">
      <c r="A287" s="25"/>
      <c r="B287" s="10" t="str">
        <f>CONCATENATE("          ", "6373", " - ", "MAINTENANCE CONTRACTS")</f>
        <v xml:space="preserve">          6373 - MAINTENANCE CONTRACTS</v>
      </c>
      <c r="C287" s="10"/>
      <c r="D287" s="6">
        <v>2085.3200000000002</v>
      </c>
      <c r="E287" s="2"/>
      <c r="F287" s="7">
        <f t="shared" si="109"/>
        <v>6.3347755672179236E-3</v>
      </c>
      <c r="G287" s="2"/>
      <c r="H287" s="6">
        <v>12461.73</v>
      </c>
      <c r="I287" s="2"/>
      <c r="J287" s="7">
        <f t="shared" si="110"/>
        <v>1.8918285702635304E-2</v>
      </c>
      <c r="K287" s="2"/>
      <c r="L287" s="6">
        <f t="shared" si="111"/>
        <v>-10376.41</v>
      </c>
      <c r="M287" s="2"/>
      <c r="N287" s="7">
        <f t="shared" si="112"/>
        <v>-0.83266207821867433</v>
      </c>
      <c r="O287" s="10"/>
      <c r="P287" s="6">
        <v>51391.34</v>
      </c>
      <c r="Q287" s="2"/>
      <c r="R287" s="7">
        <f t="shared" si="113"/>
        <v>6.3358864169281714E-3</v>
      </c>
      <c r="S287" s="2"/>
      <c r="T287" s="6">
        <v>91135.78</v>
      </c>
      <c r="U287" s="2"/>
      <c r="V287" s="7">
        <f t="shared" si="114"/>
        <v>7.5176254245201014E-3</v>
      </c>
      <c r="W287" s="2"/>
      <c r="X287" s="6">
        <f t="shared" si="115"/>
        <v>-39744.44</v>
      </c>
      <c r="Y287" s="2"/>
      <c r="Z287" s="7">
        <f t="shared" si="116"/>
        <v>-0.43610138630513728</v>
      </c>
    </row>
    <row r="288" spans="1:26" s="23" customFormat="1" hidden="1" outlineLevel="2" x14ac:dyDescent="0.25">
      <c r="A288" s="25"/>
      <c r="B288" s="10" t="str">
        <f>CONCATENATE("          ", "6375", " - ", "OUTSIDE REPAIRS &amp; MAINTENANCE")</f>
        <v xml:space="preserve">          6375 - OUTSIDE REPAIRS &amp; MAINTENANCE</v>
      </c>
      <c r="C288" s="10"/>
      <c r="D288" s="6">
        <v>15495.98</v>
      </c>
      <c r="E288" s="2"/>
      <c r="F288" s="7">
        <f t="shared" si="109"/>
        <v>4.7073617235770811E-2</v>
      </c>
      <c r="G288" s="2"/>
      <c r="H288" s="6">
        <v>1653.29</v>
      </c>
      <c r="I288" s="2"/>
      <c r="J288" s="7">
        <f t="shared" si="110"/>
        <v>2.5098772457202911E-3</v>
      </c>
      <c r="K288" s="2"/>
      <c r="L288" s="6">
        <f t="shared" si="111"/>
        <v>13842.689999999999</v>
      </c>
      <c r="M288" s="2"/>
      <c r="N288" s="7">
        <f t="shared" si="112"/>
        <v>8.3728142068239677</v>
      </c>
      <c r="O288" s="10"/>
      <c r="P288" s="6">
        <v>48578.3</v>
      </c>
      <c r="Q288" s="2"/>
      <c r="R288" s="7">
        <f t="shared" si="113"/>
        <v>5.9890750295178491E-3</v>
      </c>
      <c r="S288" s="2"/>
      <c r="T288" s="6">
        <v>40346.19</v>
      </c>
      <c r="U288" s="2"/>
      <c r="V288" s="7">
        <f t="shared" si="114"/>
        <v>3.3280841369494911E-3</v>
      </c>
      <c r="W288" s="2"/>
      <c r="X288" s="6">
        <f t="shared" si="115"/>
        <v>8232.11</v>
      </c>
      <c r="Y288" s="2"/>
      <c r="Z288" s="7">
        <f t="shared" si="116"/>
        <v>0.20403686196887488</v>
      </c>
    </row>
    <row r="289" spans="1:26" s="27" customFormat="1" outlineLevel="1" collapsed="1" x14ac:dyDescent="0.25">
      <c r="A289" s="26"/>
      <c r="B289" s="12" t="str">
        <f>CONCATENATE("     ","Royalty &amp; Commissions                             ")</f>
        <v xml:space="preserve">     Royalty &amp; Commissions                             </v>
      </c>
      <c r="C289" s="12"/>
      <c r="D289" s="1">
        <f>SUM(OSRRefD22_17x_0)</f>
        <v>2549.25</v>
      </c>
      <c r="E289" s="1"/>
      <c r="F289" s="5">
        <f t="shared" ref="F289:F292" si="117">IF(D$12=0,0,D289/D$12)</f>
        <v>7.7441000013092906E-3</v>
      </c>
      <c r="G289" s="1"/>
      <c r="H289" s="1">
        <f>SUM(OSRRefH22_17x_0)</f>
        <v>0</v>
      </c>
      <c r="I289" s="1"/>
      <c r="J289" s="5">
        <f t="shared" ref="J289:J292" si="118">IF(H$12=0,0,H289/H$12)</f>
        <v>0</v>
      </c>
      <c r="K289" s="1"/>
      <c r="L289" s="1">
        <f t="shared" ref="L289:L292" si="119">+D289-H289</f>
        <v>2549.25</v>
      </c>
      <c r="M289" s="1"/>
      <c r="N289" s="5">
        <f t="shared" ref="N289:N292" si="120">IF(H289=0,0,L289/H289)</f>
        <v>0</v>
      </c>
      <c r="O289" s="12"/>
      <c r="P289" s="1">
        <f>SUM(OSRRefP22_17x_0)</f>
        <v>51336.18</v>
      </c>
      <c r="Q289" s="1"/>
      <c r="R289" s="5">
        <f t="shared" ref="R289:R292" si="121">IF(P$12=0,0,P289/P$12)</f>
        <v>6.3290859035584528E-3</v>
      </c>
      <c r="S289" s="1"/>
      <c r="T289" s="1">
        <f>SUM(OSRRefT22_17x_0)</f>
        <v>123449.40000000001</v>
      </c>
      <c r="U289" s="1"/>
      <c r="V289" s="5">
        <f t="shared" ref="V289:V292" si="122">IF(T$12=0,0,T289/T$12)</f>
        <v>1.0183117410985584E-2</v>
      </c>
      <c r="W289" s="1"/>
      <c r="X289" s="1">
        <f t="shared" ref="X289:X292" si="123">+P289-T289</f>
        <v>-72113.22</v>
      </c>
      <c r="Y289" s="1"/>
      <c r="Z289" s="5">
        <f t="shared" ref="Z289:Z292" si="124">IF(T289=0,0,X289/T289)</f>
        <v>-0.58415204934167353</v>
      </c>
    </row>
    <row r="290" spans="1:26" s="23" customFormat="1" hidden="1" outlineLevel="2" x14ac:dyDescent="0.25">
      <c r="A290" s="25"/>
      <c r="B290" s="10" t="str">
        <f>CONCATENATE("          ", "6253", " - ", "ROYALTY DUE ATHLETICS-LRG")</f>
        <v xml:space="preserve">          6253 - ROYALTY DUE ATHLETICS-LRG</v>
      </c>
      <c r="C290" s="10"/>
      <c r="D290" s="6"/>
      <c r="E290" s="2"/>
      <c r="F290" s="7">
        <f t="shared" si="117"/>
        <v>0</v>
      </c>
      <c r="G290" s="2"/>
      <c r="H290" s="6"/>
      <c r="I290" s="2"/>
      <c r="J290" s="7">
        <f t="shared" si="118"/>
        <v>0</v>
      </c>
      <c r="K290" s="2"/>
      <c r="L290" s="6">
        <f t="shared" si="119"/>
        <v>0</v>
      </c>
      <c r="M290" s="2"/>
      <c r="N290" s="7">
        <f t="shared" si="120"/>
        <v>0</v>
      </c>
      <c r="O290" s="10"/>
      <c r="P290" s="6">
        <v>35159.06</v>
      </c>
      <c r="Q290" s="2"/>
      <c r="R290" s="7">
        <f t="shared" si="121"/>
        <v>4.3346565916740562E-3</v>
      </c>
      <c r="S290" s="2"/>
      <c r="T290" s="6">
        <v>32870.44</v>
      </c>
      <c r="U290" s="2"/>
      <c r="V290" s="7">
        <f t="shared" si="122"/>
        <v>2.7114230597374877E-3</v>
      </c>
      <c r="W290" s="2"/>
      <c r="X290" s="6">
        <f t="shared" si="123"/>
        <v>2288.6199999999953</v>
      </c>
      <c r="Y290" s="2"/>
      <c r="Z290" s="7">
        <f t="shared" si="124"/>
        <v>6.962547504688088E-2</v>
      </c>
    </row>
    <row r="291" spans="1:26" s="23" customFormat="1" hidden="1" outlineLevel="2" x14ac:dyDescent="0.25">
      <c r="A291" s="25"/>
      <c r="B291" s="10" t="str">
        <f>CONCATENATE("          ", "6254", " - ", "ROYALTY &amp; COMMISSIONS")</f>
        <v xml:space="preserve">          6254 - ROYALTY &amp; COMMISSIONS</v>
      </c>
      <c r="C291" s="10"/>
      <c r="D291" s="6"/>
      <c r="E291" s="2"/>
      <c r="F291" s="7">
        <f t="shared" si="117"/>
        <v>0</v>
      </c>
      <c r="G291" s="2"/>
      <c r="H291" s="6"/>
      <c r="I291" s="2"/>
      <c r="J291" s="7">
        <f t="shared" si="118"/>
        <v>0</v>
      </c>
      <c r="K291" s="2"/>
      <c r="L291" s="6">
        <f t="shared" si="119"/>
        <v>0</v>
      </c>
      <c r="M291" s="2"/>
      <c r="N291" s="7">
        <f t="shared" si="120"/>
        <v>0</v>
      </c>
      <c r="O291" s="10"/>
      <c r="P291" s="6"/>
      <c r="Q291" s="2"/>
      <c r="R291" s="7">
        <f t="shared" si="121"/>
        <v>0</v>
      </c>
      <c r="S291" s="2"/>
      <c r="T291" s="6">
        <v>7971.22</v>
      </c>
      <c r="U291" s="2"/>
      <c r="V291" s="7">
        <f t="shared" si="122"/>
        <v>6.5753150010284796E-4</v>
      </c>
      <c r="W291" s="2"/>
      <c r="X291" s="6">
        <f t="shared" si="123"/>
        <v>-7971.22</v>
      </c>
      <c r="Y291" s="2"/>
      <c r="Z291" s="7">
        <f t="shared" si="124"/>
        <v>-1</v>
      </c>
    </row>
    <row r="292" spans="1:26" s="23" customFormat="1" hidden="1" outlineLevel="2" x14ac:dyDescent="0.25">
      <c r="A292" s="25"/>
      <c r="B292" s="10" t="str">
        <f>CONCATENATE("          ", "6259", " - ", "ROYALTY &amp; COMMISSIONS")</f>
        <v xml:space="preserve">          6259 - ROYALTY &amp; COMMISSIONS</v>
      </c>
      <c r="C292" s="10"/>
      <c r="D292" s="6">
        <v>2549.25</v>
      </c>
      <c r="E292" s="2"/>
      <c r="F292" s="7">
        <f t="shared" si="117"/>
        <v>7.7441000013092906E-3</v>
      </c>
      <c r="G292" s="2"/>
      <c r="H292" s="6"/>
      <c r="I292" s="2"/>
      <c r="J292" s="7">
        <f t="shared" si="118"/>
        <v>0</v>
      </c>
      <c r="K292" s="2"/>
      <c r="L292" s="6">
        <f t="shared" si="119"/>
        <v>2549.25</v>
      </c>
      <c r="M292" s="2"/>
      <c r="N292" s="7">
        <f t="shared" si="120"/>
        <v>0</v>
      </c>
      <c r="O292" s="10"/>
      <c r="P292" s="6">
        <v>16177.12</v>
      </c>
      <c r="Q292" s="2"/>
      <c r="R292" s="7">
        <f t="shared" si="121"/>
        <v>1.9944293118843966E-3</v>
      </c>
      <c r="S292" s="2"/>
      <c r="T292" s="6">
        <v>82607.740000000005</v>
      </c>
      <c r="U292" s="2"/>
      <c r="V292" s="7">
        <f t="shared" si="122"/>
        <v>6.8141628511452492E-3</v>
      </c>
      <c r="W292" s="2"/>
      <c r="X292" s="6">
        <f t="shared" si="123"/>
        <v>-66430.62000000001</v>
      </c>
      <c r="Y292" s="2"/>
      <c r="Z292" s="7">
        <f t="shared" si="124"/>
        <v>-0.80416943981278277</v>
      </c>
    </row>
    <row r="293" spans="1:26" s="27" customFormat="1" outlineLevel="1" collapsed="1" x14ac:dyDescent="0.25">
      <c r="A293" s="26"/>
      <c r="B293" s="12" t="str">
        <f>CONCATENATE("     ","Services                                          ")</f>
        <v xml:space="preserve">     Services                                          </v>
      </c>
      <c r="C293" s="12"/>
      <c r="D293" s="1">
        <f>SUM(OSRRefD22_18x_0)</f>
        <v>4588.32</v>
      </c>
      <c r="E293" s="1"/>
      <c r="F293" s="5">
        <f t="shared" ref="F293:F297" si="125">IF(D$12=0,0,D293/D$12)</f>
        <v>1.3938377529864644E-2</v>
      </c>
      <c r="G293" s="1"/>
      <c r="H293" s="1">
        <f>SUM(OSRRefH22_18x_0)</f>
        <v>8372.83</v>
      </c>
      <c r="I293" s="1"/>
      <c r="J293" s="5">
        <f t="shared" ref="J293:J297" si="126">IF(H$12=0,0,H293/H$12)</f>
        <v>1.2710882845286807E-2</v>
      </c>
      <c r="K293" s="1"/>
      <c r="L293" s="1">
        <f t="shared" ref="L293:L297" si="127">+D293-H293</f>
        <v>-3784.51</v>
      </c>
      <c r="M293" s="1"/>
      <c r="N293" s="5">
        <f t="shared" ref="N293:N297" si="128">IF(H293=0,0,L293/H293)</f>
        <v>-0.4519989059851926</v>
      </c>
      <c r="O293" s="12"/>
      <c r="P293" s="1">
        <f>SUM(OSRRefP22_18x_0)</f>
        <v>49029.62</v>
      </c>
      <c r="Q293" s="1"/>
      <c r="R293" s="5">
        <f t="shared" ref="R293:R297" si="129">IF(P$12=0,0,P293/P$12)</f>
        <v>6.0447169384014862E-3</v>
      </c>
      <c r="S293" s="1"/>
      <c r="T293" s="1">
        <f>SUM(OSRRefT22_18x_0)</f>
        <v>59006.079999999994</v>
      </c>
      <c r="U293" s="1"/>
      <c r="V293" s="5">
        <f t="shared" ref="V293:V297" si="130">IF(T$12=0,0,T293/T$12)</f>
        <v>4.8673046657335571E-3</v>
      </c>
      <c r="W293" s="1"/>
      <c r="X293" s="1">
        <f t="shared" ref="X293:X297" si="131">+P293-T293</f>
        <v>-9976.4599999999919</v>
      </c>
      <c r="Y293" s="1"/>
      <c r="Z293" s="5">
        <f t="shared" ref="Z293:Z297" si="132">IF(T293=0,0,X293/T293)</f>
        <v>-0.1690751190385803</v>
      </c>
    </row>
    <row r="294" spans="1:26" s="23" customFormat="1" hidden="1" outlineLevel="2" x14ac:dyDescent="0.25">
      <c r="A294" s="25"/>
      <c r="B294" s="10" t="str">
        <f>CONCATENATE("          ", "6282", " - ", "JANITORIAL/EXTERMINATOR EXPENS")</f>
        <v xml:space="preserve">          6282 - JANITORIAL/EXTERMINATOR EXPENS</v>
      </c>
      <c r="C294" s="10"/>
      <c r="D294" s="6">
        <v>582</v>
      </c>
      <c r="E294" s="2"/>
      <c r="F294" s="7">
        <f t="shared" si="125"/>
        <v>1.7679969405754662E-3</v>
      </c>
      <c r="G294" s="2"/>
      <c r="H294" s="6">
        <v>816.86</v>
      </c>
      <c r="I294" s="2"/>
      <c r="J294" s="7">
        <f t="shared" si="126"/>
        <v>1.2400839096220731E-3</v>
      </c>
      <c r="K294" s="2"/>
      <c r="L294" s="6">
        <f t="shared" si="127"/>
        <v>-234.86</v>
      </c>
      <c r="M294" s="2"/>
      <c r="N294" s="7">
        <f t="shared" si="128"/>
        <v>-0.28751560854981273</v>
      </c>
      <c r="O294" s="10"/>
      <c r="P294" s="6">
        <v>8279.1200000000008</v>
      </c>
      <c r="Q294" s="2"/>
      <c r="R294" s="7">
        <f t="shared" si="129"/>
        <v>1.020708235125186E-3</v>
      </c>
      <c r="S294" s="2"/>
      <c r="T294" s="6">
        <v>3502.88</v>
      </c>
      <c r="U294" s="2"/>
      <c r="V294" s="7">
        <f t="shared" si="130"/>
        <v>2.8894622668553422E-4</v>
      </c>
      <c r="W294" s="2"/>
      <c r="X294" s="6">
        <f t="shared" si="131"/>
        <v>4776.2400000000007</v>
      </c>
      <c r="Y294" s="2"/>
      <c r="Z294" s="7">
        <f t="shared" si="132"/>
        <v>1.3635180194582746</v>
      </c>
    </row>
    <row r="295" spans="1:26" s="23" customFormat="1" hidden="1" outlineLevel="2" x14ac:dyDescent="0.25">
      <c r="A295" s="25"/>
      <c r="B295" s="10" t="str">
        <f>CONCATENATE("          ", "6283", " - ", "PLANT SERVICE")</f>
        <v xml:space="preserve">          6283 - PLANT SERVICE</v>
      </c>
      <c r="C295" s="10"/>
      <c r="D295" s="6"/>
      <c r="E295" s="2"/>
      <c r="F295" s="7">
        <f t="shared" si="125"/>
        <v>0</v>
      </c>
      <c r="G295" s="2"/>
      <c r="H295" s="6"/>
      <c r="I295" s="2"/>
      <c r="J295" s="7">
        <f t="shared" si="126"/>
        <v>0</v>
      </c>
      <c r="K295" s="2"/>
      <c r="L295" s="6">
        <f t="shared" si="127"/>
        <v>0</v>
      </c>
      <c r="M295" s="2"/>
      <c r="N295" s="7">
        <f t="shared" si="128"/>
        <v>0</v>
      </c>
      <c r="O295" s="10"/>
      <c r="P295" s="6">
        <v>171.31</v>
      </c>
      <c r="Q295" s="2"/>
      <c r="R295" s="7">
        <f t="shared" si="129"/>
        <v>2.112030357807298E-5</v>
      </c>
      <c r="S295" s="2"/>
      <c r="T295" s="6">
        <v>541.98</v>
      </c>
      <c r="U295" s="2"/>
      <c r="V295" s="7">
        <f t="shared" si="130"/>
        <v>4.4706948550628575E-5</v>
      </c>
      <c r="W295" s="2"/>
      <c r="X295" s="6">
        <f t="shared" si="131"/>
        <v>-370.67</v>
      </c>
      <c r="Y295" s="2"/>
      <c r="Z295" s="7">
        <f t="shared" si="132"/>
        <v>-0.68391822576478833</v>
      </c>
    </row>
    <row r="296" spans="1:26" s="23" customFormat="1" hidden="1" outlineLevel="2" x14ac:dyDescent="0.25">
      <c r="A296" s="25"/>
      <c r="B296" s="10" t="str">
        <f>CONCATENATE("          ", "6284", " - ", "TRASH REMOVAL EXPENSE")</f>
        <v xml:space="preserve">          6284 - TRASH REMOVAL EXPENSE</v>
      </c>
      <c r="C296" s="10"/>
      <c r="D296" s="6">
        <v>142.57</v>
      </c>
      <c r="E296" s="2"/>
      <c r="F296" s="7">
        <f t="shared" si="125"/>
        <v>4.3309849453237835E-4</v>
      </c>
      <c r="G296" s="2"/>
      <c r="H296" s="6">
        <v>134.82</v>
      </c>
      <c r="I296" s="2"/>
      <c r="J296" s="7">
        <f t="shared" si="126"/>
        <v>2.0467168510546224E-4</v>
      </c>
      <c r="K296" s="2"/>
      <c r="L296" s="6">
        <f t="shared" si="127"/>
        <v>7.75</v>
      </c>
      <c r="M296" s="2"/>
      <c r="N296" s="7">
        <f t="shared" si="128"/>
        <v>5.7484052811155616E-2</v>
      </c>
      <c r="O296" s="10"/>
      <c r="P296" s="6">
        <v>1725.86</v>
      </c>
      <c r="Q296" s="2"/>
      <c r="R296" s="7">
        <f t="shared" si="129"/>
        <v>2.1277617846741597E-4</v>
      </c>
      <c r="S296" s="2"/>
      <c r="T296" s="6">
        <v>1617.84</v>
      </c>
      <c r="U296" s="2"/>
      <c r="V296" s="7">
        <f t="shared" si="130"/>
        <v>1.3345269132283282E-4</v>
      </c>
      <c r="W296" s="2"/>
      <c r="X296" s="6">
        <f t="shared" si="131"/>
        <v>108.01999999999998</v>
      </c>
      <c r="Y296" s="2"/>
      <c r="Z296" s="7">
        <f t="shared" si="132"/>
        <v>6.6768036394204616E-2</v>
      </c>
    </row>
    <row r="297" spans="1:26" s="23" customFormat="1" hidden="1" outlineLevel="2" x14ac:dyDescent="0.25">
      <c r="A297" s="25"/>
      <c r="B297" s="10" t="str">
        <f>CONCATENATE("          ", "6285", " - ", "JANITORIAL SERVICES")</f>
        <v xml:space="preserve">          6285 - JANITORIAL SERVICES</v>
      </c>
      <c r="C297" s="10"/>
      <c r="D297" s="6">
        <v>3863.75</v>
      </c>
      <c r="E297" s="2"/>
      <c r="F297" s="7">
        <f t="shared" si="125"/>
        <v>1.17372820947568E-2</v>
      </c>
      <c r="G297" s="2"/>
      <c r="H297" s="6">
        <v>7421.15</v>
      </c>
      <c r="I297" s="2"/>
      <c r="J297" s="7">
        <f t="shared" si="126"/>
        <v>1.1266127250559272E-2</v>
      </c>
      <c r="K297" s="2"/>
      <c r="L297" s="6">
        <f t="shared" si="127"/>
        <v>-3557.3999999999996</v>
      </c>
      <c r="M297" s="2"/>
      <c r="N297" s="7">
        <f t="shared" si="128"/>
        <v>-0.4793596679759875</v>
      </c>
      <c r="O297" s="10"/>
      <c r="P297" s="6">
        <v>38853.33</v>
      </c>
      <c r="Q297" s="2"/>
      <c r="R297" s="7">
        <f t="shared" si="129"/>
        <v>4.7901122212308115E-3</v>
      </c>
      <c r="S297" s="2"/>
      <c r="T297" s="6">
        <v>53343.38</v>
      </c>
      <c r="U297" s="2"/>
      <c r="V297" s="7">
        <f t="shared" si="130"/>
        <v>4.4001987991745617E-3</v>
      </c>
      <c r="W297" s="2"/>
      <c r="X297" s="6">
        <f t="shared" si="131"/>
        <v>-14490.049999999996</v>
      </c>
      <c r="Y297" s="2"/>
      <c r="Z297" s="7">
        <f t="shared" si="132"/>
        <v>-0.27163726782967251</v>
      </c>
    </row>
    <row r="298" spans="1:26" s="27" customFormat="1" outlineLevel="1" collapsed="1" x14ac:dyDescent="0.25">
      <c r="A298" s="26"/>
      <c r="B298" s="12" t="str">
        <f>CONCATENATE("     ","Subscriptions &amp; Dues                              ")</f>
        <v xml:space="preserve">     Subscriptions &amp; Dues                              </v>
      </c>
      <c r="C298" s="12"/>
      <c r="D298" s="1">
        <f>SUM(OSRRefD22_19x_0)</f>
        <v>694</v>
      </c>
      <c r="E298" s="1"/>
      <c r="F298" s="5">
        <f t="shared" ref="F298:F300" si="133">IF(D$12=0,0,D298/D$12)</f>
        <v>2.1082300287961746E-3</v>
      </c>
      <c r="G298" s="1"/>
      <c r="H298" s="1">
        <f>SUM(OSRRefH22_19x_0)</f>
        <v>1101.25</v>
      </c>
      <c r="I298" s="1"/>
      <c r="J298" s="5">
        <f t="shared" ref="J298:J300" si="134">IF(H$12=0,0,H298/H$12)</f>
        <v>1.6718194127161422E-3</v>
      </c>
      <c r="K298" s="1"/>
      <c r="L298" s="1">
        <f t="shared" ref="L298:L300" si="135">+D298-H298</f>
        <v>-407.25</v>
      </c>
      <c r="M298" s="1"/>
      <c r="N298" s="5">
        <f t="shared" ref="N298:N300" si="136">IF(H298=0,0,L298/H298)</f>
        <v>-0.36980703745743471</v>
      </c>
      <c r="O298" s="12"/>
      <c r="P298" s="1">
        <f>SUM(OSRRefP22_19x_0)</f>
        <v>8125.3499999999995</v>
      </c>
      <c r="Q298" s="1"/>
      <c r="R298" s="5">
        <f t="shared" ref="R298:R300" si="137">IF(P$12=0,0,P298/P$12)</f>
        <v>1.0017503863060842E-3</v>
      </c>
      <c r="S298" s="1"/>
      <c r="T298" s="1">
        <f>SUM(OSRRefT22_19x_0)</f>
        <v>3573.6</v>
      </c>
      <c r="U298" s="1"/>
      <c r="V298" s="5">
        <f t="shared" ref="V298:V300" si="138">IF(T$12=0,0,T298/T$12)</f>
        <v>2.947797913954874E-4</v>
      </c>
      <c r="W298" s="1"/>
      <c r="X298" s="1">
        <f t="shared" ref="X298:X300" si="139">+P298-T298</f>
        <v>4551.75</v>
      </c>
      <c r="Y298" s="1"/>
      <c r="Z298" s="5">
        <f t="shared" ref="Z298:Z300" si="140">IF(T298=0,0,X298/T298)</f>
        <v>1.2737155809267966</v>
      </c>
    </row>
    <row r="299" spans="1:26" s="23" customFormat="1" hidden="1" outlineLevel="2" x14ac:dyDescent="0.25">
      <c r="A299" s="25"/>
      <c r="B299" s="10" t="str">
        <f>CONCATENATE("          ", "6258", " - ", "MEMBERSHIP DUES")</f>
        <v xml:space="preserve">          6258 - MEMBERSHIP DUES</v>
      </c>
      <c r="C299" s="10"/>
      <c r="D299" s="6">
        <v>609</v>
      </c>
      <c r="E299" s="2"/>
      <c r="F299" s="7">
        <f t="shared" si="133"/>
        <v>1.8500174172001011E-3</v>
      </c>
      <c r="G299" s="2"/>
      <c r="H299" s="6">
        <v>1101.25</v>
      </c>
      <c r="I299" s="2"/>
      <c r="J299" s="7">
        <f t="shared" si="134"/>
        <v>1.6718194127161422E-3</v>
      </c>
      <c r="K299" s="2"/>
      <c r="L299" s="6">
        <f t="shared" si="135"/>
        <v>-492.25</v>
      </c>
      <c r="M299" s="2"/>
      <c r="N299" s="7">
        <f t="shared" si="136"/>
        <v>-0.44699205448354146</v>
      </c>
      <c r="O299" s="10"/>
      <c r="P299" s="6">
        <v>3655.45</v>
      </c>
      <c r="Q299" s="2"/>
      <c r="R299" s="7">
        <f t="shared" si="137"/>
        <v>4.5066962649271421E-4</v>
      </c>
      <c r="S299" s="2"/>
      <c r="T299" s="6">
        <v>781.16</v>
      </c>
      <c r="U299" s="2"/>
      <c r="V299" s="7">
        <f t="shared" si="138"/>
        <v>6.4436473541106708E-5</v>
      </c>
      <c r="W299" s="2"/>
      <c r="X299" s="6">
        <f t="shared" si="139"/>
        <v>2874.29</v>
      </c>
      <c r="Y299" s="2"/>
      <c r="Z299" s="7">
        <f t="shared" si="140"/>
        <v>3.6795150801372318</v>
      </c>
    </row>
    <row r="300" spans="1:26" s="23" customFormat="1" hidden="1" outlineLevel="2" x14ac:dyDescent="0.25">
      <c r="A300" s="25"/>
      <c r="B300" s="10" t="str">
        <f>CONCATENATE("          ", "6275", " - ", "SUBSCRIPTIONS")</f>
        <v xml:space="preserve">          6275 - SUBSCRIPTIONS</v>
      </c>
      <c r="C300" s="10"/>
      <c r="D300" s="6">
        <v>85</v>
      </c>
      <c r="E300" s="2"/>
      <c r="F300" s="7">
        <f t="shared" si="133"/>
        <v>2.5821261159607322E-4</v>
      </c>
      <c r="G300" s="2"/>
      <c r="H300" s="6"/>
      <c r="I300" s="2"/>
      <c r="J300" s="7">
        <f t="shared" si="134"/>
        <v>0</v>
      </c>
      <c r="K300" s="2"/>
      <c r="L300" s="6">
        <f t="shared" si="135"/>
        <v>85</v>
      </c>
      <c r="M300" s="2"/>
      <c r="N300" s="7">
        <f t="shared" si="136"/>
        <v>0</v>
      </c>
      <c r="O300" s="10"/>
      <c r="P300" s="6">
        <v>4469.8999999999996</v>
      </c>
      <c r="Q300" s="2"/>
      <c r="R300" s="7">
        <f t="shared" si="137"/>
        <v>5.5108075981337001E-4</v>
      </c>
      <c r="S300" s="2"/>
      <c r="T300" s="6">
        <v>2792.44</v>
      </c>
      <c r="U300" s="2"/>
      <c r="V300" s="7">
        <f t="shared" si="138"/>
        <v>2.3034331785438071E-4</v>
      </c>
      <c r="W300" s="2"/>
      <c r="X300" s="6">
        <f t="shared" si="139"/>
        <v>1677.4599999999996</v>
      </c>
      <c r="Y300" s="2"/>
      <c r="Z300" s="7">
        <f t="shared" si="140"/>
        <v>0.60071478706794046</v>
      </c>
    </row>
    <row r="301" spans="1:26" s="27" customFormat="1" outlineLevel="1" collapsed="1" x14ac:dyDescent="0.25">
      <c r="A301" s="26"/>
      <c r="B301" s="12" t="str">
        <f>CONCATENATE("     ","Supplies                                          ")</f>
        <v xml:space="preserve">     Supplies                                          </v>
      </c>
      <c r="C301" s="12"/>
      <c r="D301" s="1">
        <f>SUM(OSRRefD22_20x_0)</f>
        <v>14076.04</v>
      </c>
      <c r="E301" s="1"/>
      <c r="F301" s="5">
        <f t="shared" ref="F301:F309" si="141">IF(D$12=0,0,D301/D$12)</f>
        <v>4.2760129992126951E-2</v>
      </c>
      <c r="G301" s="1"/>
      <c r="H301" s="1">
        <f>SUM(OSRRefH22_20x_0)</f>
        <v>16042.18</v>
      </c>
      <c r="I301" s="1"/>
      <c r="J301" s="5">
        <f t="shared" ref="J301:J309" si="142">IF(H$12=0,0,H301/H$12)</f>
        <v>2.435380517256449E-2</v>
      </c>
      <c r="K301" s="1"/>
      <c r="L301" s="1">
        <f t="shared" ref="L301:L309" si="143">+D301-H301</f>
        <v>-1966.1399999999994</v>
      </c>
      <c r="M301" s="1"/>
      <c r="N301" s="5">
        <f t="shared" ref="N301:N309" si="144">IF(H301=0,0,L301/H301)</f>
        <v>-0.12256064948778778</v>
      </c>
      <c r="O301" s="12"/>
      <c r="P301" s="1">
        <f>SUM(OSRRefP22_20x_0)</f>
        <v>140007.10999999999</v>
      </c>
      <c r="Q301" s="1"/>
      <c r="R301" s="5">
        <f t="shared" ref="R301:R309" si="145">IF(P$12=0,0,P301/P$12)</f>
        <v>1.726106278844584E-2</v>
      </c>
      <c r="S301" s="1"/>
      <c r="T301" s="1">
        <f>SUM(OSRRefT22_20x_0)</f>
        <v>112339.26</v>
      </c>
      <c r="U301" s="1"/>
      <c r="V301" s="5">
        <f t="shared" ref="V301:V309" si="146">IF(T$12=0,0,T301/T$12)</f>
        <v>9.2666620853826456E-3</v>
      </c>
      <c r="W301" s="1"/>
      <c r="X301" s="1">
        <f t="shared" ref="X301:X309" si="147">+P301-T301</f>
        <v>27667.849999999991</v>
      </c>
      <c r="Y301" s="1"/>
      <c r="Z301" s="5">
        <f t="shared" ref="Z301:Z309" si="148">IF(T301=0,0,X301/T301)</f>
        <v>0.24628834122638865</v>
      </c>
    </row>
    <row r="302" spans="1:26" s="23" customFormat="1" hidden="1" outlineLevel="2" x14ac:dyDescent="0.25">
      <c r="A302" s="25"/>
      <c r="B302" s="10" t="str">
        <f>CONCATENATE("          ", "6234", " - ", "EXPENDABLE SUPPLIES &amp; EQUIPMEN")</f>
        <v xml:space="preserve">          6234 - EXPENDABLE SUPPLIES &amp; EQUIPMEN</v>
      </c>
      <c r="C302" s="10"/>
      <c r="D302" s="6"/>
      <c r="E302" s="2"/>
      <c r="F302" s="7">
        <f t="shared" si="141"/>
        <v>0</v>
      </c>
      <c r="G302" s="2"/>
      <c r="H302" s="6">
        <v>4356.1000000000004</v>
      </c>
      <c r="I302" s="2"/>
      <c r="J302" s="7">
        <f t="shared" si="142"/>
        <v>6.6130420374418053E-3</v>
      </c>
      <c r="K302" s="2"/>
      <c r="L302" s="6">
        <f t="shared" si="143"/>
        <v>-4356.1000000000004</v>
      </c>
      <c r="M302" s="2"/>
      <c r="N302" s="7">
        <f t="shared" si="144"/>
        <v>-1</v>
      </c>
      <c r="O302" s="10"/>
      <c r="P302" s="6">
        <v>1733.65</v>
      </c>
      <c r="Q302" s="2"/>
      <c r="R302" s="7">
        <f t="shared" si="145"/>
        <v>2.137365845433788E-4</v>
      </c>
      <c r="S302" s="2"/>
      <c r="T302" s="6">
        <v>8498.66</v>
      </c>
      <c r="U302" s="2"/>
      <c r="V302" s="7">
        <f t="shared" si="146"/>
        <v>7.0103907038873215E-4</v>
      </c>
      <c r="W302" s="2"/>
      <c r="X302" s="6">
        <f t="shared" si="147"/>
        <v>-6765.01</v>
      </c>
      <c r="Y302" s="2"/>
      <c r="Z302" s="7">
        <f t="shared" si="148"/>
        <v>-0.79600901789223244</v>
      </c>
    </row>
    <row r="303" spans="1:26" s="23" customFormat="1" hidden="1" outlineLevel="2" x14ac:dyDescent="0.25">
      <c r="A303" s="25"/>
      <c r="B303" s="10" t="str">
        <f>CONCATENATE("          ", "6235", " - ", "COVID-19 EXPENSES")</f>
        <v xml:space="preserve">          6235 - COVID-19 EXPENSES</v>
      </c>
      <c r="C303" s="10"/>
      <c r="D303" s="6">
        <v>957.91</v>
      </c>
      <c r="E303" s="2"/>
      <c r="F303" s="7">
        <f t="shared" si="141"/>
        <v>2.9099346208705237E-3</v>
      </c>
      <c r="G303" s="2"/>
      <c r="H303" s="6">
        <v>3511.67</v>
      </c>
      <c r="I303" s="2"/>
      <c r="J303" s="7">
        <f t="shared" si="142"/>
        <v>5.3311038157120502E-3</v>
      </c>
      <c r="K303" s="2"/>
      <c r="L303" s="6">
        <f t="shared" si="143"/>
        <v>-2553.7600000000002</v>
      </c>
      <c r="M303" s="2"/>
      <c r="N303" s="7">
        <f t="shared" si="144"/>
        <v>-0.72722095185481561</v>
      </c>
      <c r="O303" s="10"/>
      <c r="P303" s="6">
        <v>45624.09</v>
      </c>
      <c r="Q303" s="2"/>
      <c r="R303" s="7">
        <f t="shared" si="145"/>
        <v>5.6248592100480044E-3</v>
      </c>
      <c r="S303" s="2"/>
      <c r="T303" s="6">
        <v>5061.67</v>
      </c>
      <c r="U303" s="2"/>
      <c r="V303" s="7">
        <f t="shared" si="146"/>
        <v>4.1752799046138256E-4</v>
      </c>
      <c r="W303" s="2"/>
      <c r="X303" s="6">
        <f t="shared" si="147"/>
        <v>40562.42</v>
      </c>
      <c r="Y303" s="2"/>
      <c r="Z303" s="7">
        <f t="shared" si="148"/>
        <v>8.0136437183775318</v>
      </c>
    </row>
    <row r="304" spans="1:26" s="23" customFormat="1" hidden="1" outlineLevel="2" x14ac:dyDescent="0.25">
      <c r="A304" s="25"/>
      <c r="B304" s="10" t="str">
        <f>CONCATENATE("          ", "6237", " - ", "JANITORIAL SUPPLIES")</f>
        <v xml:space="preserve">          6237 - JANITORIAL SUPPLIES</v>
      </c>
      <c r="C304" s="10"/>
      <c r="D304" s="6">
        <v>321.05</v>
      </c>
      <c r="E304" s="2"/>
      <c r="F304" s="7">
        <f t="shared" si="141"/>
        <v>9.7528422297552138E-4</v>
      </c>
      <c r="G304" s="2"/>
      <c r="H304" s="6">
        <v>1763.02</v>
      </c>
      <c r="I304" s="2"/>
      <c r="J304" s="7">
        <f t="shared" si="142"/>
        <v>2.6764595332638484E-3</v>
      </c>
      <c r="K304" s="2"/>
      <c r="L304" s="6">
        <f t="shared" si="143"/>
        <v>-1441.97</v>
      </c>
      <c r="M304" s="2"/>
      <c r="N304" s="7">
        <f t="shared" si="144"/>
        <v>-0.81789769826774517</v>
      </c>
      <c r="O304" s="10"/>
      <c r="P304" s="6">
        <v>4201.33</v>
      </c>
      <c r="Q304" s="2"/>
      <c r="R304" s="7">
        <f t="shared" si="145"/>
        <v>5.1796955829586924E-4</v>
      </c>
      <c r="S304" s="2"/>
      <c r="T304" s="6">
        <v>7068.06</v>
      </c>
      <c r="U304" s="2"/>
      <c r="V304" s="7">
        <f t="shared" si="146"/>
        <v>5.8303146753156166E-4</v>
      </c>
      <c r="W304" s="2"/>
      <c r="X304" s="6">
        <f t="shared" si="147"/>
        <v>-2866.7300000000005</v>
      </c>
      <c r="Y304" s="2"/>
      <c r="Z304" s="7">
        <f t="shared" si="148"/>
        <v>-0.40558936964315528</v>
      </c>
    </row>
    <row r="305" spans="1:26" s="23" customFormat="1" hidden="1" outlineLevel="2" x14ac:dyDescent="0.25">
      <c r="A305" s="25"/>
      <c r="B305" s="10" t="str">
        <f>CONCATENATE("          ", "6241", " - ", "OFFICE EXPENSE")</f>
        <v xml:space="preserve">          6241 - OFFICE EXPENSE</v>
      </c>
      <c r="C305" s="10"/>
      <c r="D305" s="6">
        <v>1105.0899999999999</v>
      </c>
      <c r="E305" s="2"/>
      <c r="F305" s="7">
        <f t="shared" si="141"/>
        <v>3.3570373523377005E-3</v>
      </c>
      <c r="G305" s="2"/>
      <c r="H305" s="6">
        <v>717.93</v>
      </c>
      <c r="I305" s="2"/>
      <c r="J305" s="7">
        <f t="shared" si="142"/>
        <v>1.0898972176810896E-3</v>
      </c>
      <c r="K305" s="2"/>
      <c r="L305" s="6">
        <f t="shared" si="143"/>
        <v>387.15999999999997</v>
      </c>
      <c r="M305" s="2"/>
      <c r="N305" s="7">
        <f t="shared" si="144"/>
        <v>0.53927263103645207</v>
      </c>
      <c r="O305" s="10"/>
      <c r="P305" s="6">
        <v>13741.22</v>
      </c>
      <c r="Q305" s="2"/>
      <c r="R305" s="7">
        <f t="shared" si="145"/>
        <v>1.6941144004032922E-3</v>
      </c>
      <c r="S305" s="2"/>
      <c r="T305" s="6">
        <v>26283.62</v>
      </c>
      <c r="U305" s="2"/>
      <c r="V305" s="7">
        <f t="shared" si="146"/>
        <v>2.1680882081705453E-3</v>
      </c>
      <c r="W305" s="2"/>
      <c r="X305" s="6">
        <f t="shared" si="147"/>
        <v>-12542.4</v>
      </c>
      <c r="Y305" s="2"/>
      <c r="Z305" s="7">
        <f t="shared" si="148"/>
        <v>-0.47719454169555031</v>
      </c>
    </row>
    <row r="306" spans="1:26" s="23" customFormat="1" hidden="1" outlineLevel="2" x14ac:dyDescent="0.25">
      <c r="A306" s="25"/>
      <c r="B306" s="10" t="str">
        <f>CONCATENATE("          ", "6243", " - ", "PAPER SUPPLIES")</f>
        <v xml:space="preserve">          6243 - PAPER SUPPLIES</v>
      </c>
      <c r="C306" s="10"/>
      <c r="D306" s="6">
        <v>548.02</v>
      </c>
      <c r="E306" s="2"/>
      <c r="F306" s="7">
        <f t="shared" si="141"/>
        <v>1.6647726518456477E-3</v>
      </c>
      <c r="G306" s="2"/>
      <c r="H306" s="6">
        <v>508.47</v>
      </c>
      <c r="I306" s="2"/>
      <c r="J306" s="7">
        <f t="shared" si="142"/>
        <v>7.7191374963339555E-4</v>
      </c>
      <c r="K306" s="2"/>
      <c r="L306" s="6">
        <f t="shared" si="143"/>
        <v>39.549999999999955</v>
      </c>
      <c r="M306" s="2"/>
      <c r="N306" s="7">
        <f t="shared" si="144"/>
        <v>7.7782366707966941E-2</v>
      </c>
      <c r="O306" s="10"/>
      <c r="P306" s="6">
        <v>7230.6</v>
      </c>
      <c r="Q306" s="2"/>
      <c r="R306" s="7">
        <f t="shared" si="145"/>
        <v>8.9143930331921377E-4</v>
      </c>
      <c r="S306" s="2"/>
      <c r="T306" s="6">
        <v>18447.68</v>
      </c>
      <c r="U306" s="2"/>
      <c r="V306" s="7">
        <f t="shared" si="146"/>
        <v>1.5217157102447687E-3</v>
      </c>
      <c r="W306" s="2"/>
      <c r="X306" s="6">
        <f t="shared" si="147"/>
        <v>-11217.08</v>
      </c>
      <c r="Y306" s="2"/>
      <c r="Z306" s="7">
        <f t="shared" si="148"/>
        <v>-0.60804827490502866</v>
      </c>
    </row>
    <row r="307" spans="1:26" s="23" customFormat="1" hidden="1" outlineLevel="2" x14ac:dyDescent="0.25">
      <c r="A307" s="25"/>
      <c r="B307" s="10" t="str">
        <f>CONCATENATE("          ", "6245", " - ", "PRINTING")</f>
        <v xml:space="preserve">          6245 - PRINTING</v>
      </c>
      <c r="C307" s="10"/>
      <c r="D307" s="6">
        <v>2921.89</v>
      </c>
      <c r="E307" s="2"/>
      <c r="F307" s="7">
        <f t="shared" si="141"/>
        <v>8.8761040905464758E-3</v>
      </c>
      <c r="G307" s="2"/>
      <c r="H307" s="6">
        <v>158.76</v>
      </c>
      <c r="I307" s="2"/>
      <c r="J307" s="7">
        <f t="shared" si="142"/>
        <v>2.4101525535783402E-4</v>
      </c>
      <c r="K307" s="2"/>
      <c r="L307" s="6">
        <f t="shared" si="143"/>
        <v>2763.13</v>
      </c>
      <c r="M307" s="2"/>
      <c r="N307" s="7">
        <f t="shared" si="144"/>
        <v>17.404446963970774</v>
      </c>
      <c r="O307" s="10"/>
      <c r="P307" s="6">
        <v>12006.27</v>
      </c>
      <c r="Q307" s="2"/>
      <c r="R307" s="7">
        <f t="shared" si="145"/>
        <v>1.480217542702179E-3</v>
      </c>
      <c r="S307" s="2"/>
      <c r="T307" s="6">
        <v>10786.36</v>
      </c>
      <c r="U307" s="2"/>
      <c r="V307" s="7">
        <f t="shared" si="146"/>
        <v>8.897472998423522E-4</v>
      </c>
      <c r="W307" s="2"/>
      <c r="X307" s="6">
        <f t="shared" si="147"/>
        <v>1219.9099999999999</v>
      </c>
      <c r="Y307" s="2"/>
      <c r="Z307" s="7">
        <f t="shared" si="148"/>
        <v>0.11309746754234049</v>
      </c>
    </row>
    <row r="308" spans="1:26" s="23" customFormat="1" hidden="1" outlineLevel="2" x14ac:dyDescent="0.25">
      <c r="A308" s="25"/>
      <c r="B308" s="10" t="str">
        <f>CONCATENATE("          ", "6247", " - ", "STORE SUPPLIES")</f>
        <v xml:space="preserve">          6247 - STORE SUPPLIES</v>
      </c>
      <c r="C308" s="10"/>
      <c r="D308" s="6">
        <v>8222.08</v>
      </c>
      <c r="E308" s="2"/>
      <c r="F308" s="7">
        <f t="shared" si="141"/>
        <v>2.4976997053551081E-2</v>
      </c>
      <c r="G308" s="2"/>
      <c r="H308" s="6">
        <v>5026.2299999999996</v>
      </c>
      <c r="I308" s="2"/>
      <c r="J308" s="7">
        <f t="shared" si="142"/>
        <v>7.6303735634744652E-3</v>
      </c>
      <c r="K308" s="2"/>
      <c r="L308" s="6">
        <f t="shared" si="143"/>
        <v>3195.8500000000004</v>
      </c>
      <c r="M308" s="2"/>
      <c r="N308" s="7">
        <f t="shared" si="144"/>
        <v>0.63583441267112739</v>
      </c>
      <c r="O308" s="10"/>
      <c r="P308" s="6">
        <v>55469.95</v>
      </c>
      <c r="Q308" s="2"/>
      <c r="R308" s="7">
        <f t="shared" si="145"/>
        <v>6.8387261891339054E-3</v>
      </c>
      <c r="S308" s="2"/>
      <c r="T308" s="6">
        <v>36149.300000000003</v>
      </c>
      <c r="U308" s="2"/>
      <c r="V308" s="7">
        <f t="shared" si="146"/>
        <v>2.9818902823743267E-3</v>
      </c>
      <c r="W308" s="2"/>
      <c r="X308" s="6">
        <f t="shared" si="147"/>
        <v>19320.649999999994</v>
      </c>
      <c r="Y308" s="2"/>
      <c r="Z308" s="7">
        <f t="shared" si="148"/>
        <v>0.53446816397551244</v>
      </c>
    </row>
    <row r="309" spans="1:26" s="23" customFormat="1" hidden="1" outlineLevel="2" x14ac:dyDescent="0.25">
      <c r="A309" s="25"/>
      <c r="B309" s="10" t="str">
        <f>CONCATENATE("          ", "6248", " - ", "UNIFORMS")</f>
        <v xml:space="preserve">          6248 - UNIFORMS</v>
      </c>
      <c r="C309" s="10"/>
      <c r="D309" s="6"/>
      <c r="E309" s="2"/>
      <c r="F309" s="7">
        <f t="shared" si="141"/>
        <v>0</v>
      </c>
      <c r="G309" s="2"/>
      <c r="H309" s="6"/>
      <c r="I309" s="2"/>
      <c r="J309" s="7">
        <f t="shared" si="142"/>
        <v>0</v>
      </c>
      <c r="K309" s="2"/>
      <c r="L309" s="6">
        <f t="shared" si="143"/>
        <v>0</v>
      </c>
      <c r="M309" s="2"/>
      <c r="N309" s="7">
        <f t="shared" si="144"/>
        <v>0</v>
      </c>
      <c r="O309" s="10"/>
      <c r="P309" s="6"/>
      <c r="Q309" s="2"/>
      <c r="R309" s="7">
        <f t="shared" si="145"/>
        <v>0</v>
      </c>
      <c r="S309" s="2"/>
      <c r="T309" s="6">
        <v>43.91</v>
      </c>
      <c r="U309" s="2"/>
      <c r="V309" s="7">
        <f t="shared" si="146"/>
        <v>3.6220563689769006E-6</v>
      </c>
      <c r="W309" s="2"/>
      <c r="X309" s="6">
        <f t="shared" si="147"/>
        <v>-43.91</v>
      </c>
      <c r="Y309" s="2"/>
      <c r="Z309" s="7">
        <f t="shared" si="148"/>
        <v>-1</v>
      </c>
    </row>
    <row r="310" spans="1:26" s="27" customFormat="1" outlineLevel="1" collapsed="1" x14ac:dyDescent="0.25">
      <c r="A310" s="26"/>
      <c r="B310" s="12" t="str">
        <f>CONCATENATE("     ","Telephone/Data Lines                              ")</f>
        <v xml:space="preserve">     Telephone/Data Lines                              </v>
      </c>
      <c r="C310" s="12"/>
      <c r="D310" s="1">
        <f>SUM(OSRRefD22_21x_0)</f>
        <v>2918.02</v>
      </c>
      <c r="E310" s="1"/>
      <c r="F310" s="5">
        <f t="shared" ref="F310:F312" si="149">IF(D$12=0,0,D310/D$12)</f>
        <v>8.8643478222302785E-3</v>
      </c>
      <c r="G310" s="1"/>
      <c r="H310" s="1">
        <f>SUM(OSRRefH22_21x_0)</f>
        <v>885.99</v>
      </c>
      <c r="I310" s="1"/>
      <c r="J310" s="5">
        <f t="shared" ref="J310:J312" si="150">IF(H$12=0,0,H310/H$12)</f>
        <v>1.3450309025855845E-3</v>
      </c>
      <c r="K310" s="1"/>
      <c r="L310" s="1">
        <f t="shared" ref="L310:L312" si="151">+D310-H310</f>
        <v>2032.03</v>
      </c>
      <c r="M310" s="1"/>
      <c r="N310" s="5">
        <f t="shared" ref="N310:N312" si="152">IF(H310=0,0,L310/H310)</f>
        <v>2.2935134708066682</v>
      </c>
      <c r="O310" s="12"/>
      <c r="P310" s="1">
        <f>SUM(OSRRefP22_21x_0)</f>
        <v>29861.55</v>
      </c>
      <c r="Q310" s="1"/>
      <c r="R310" s="5">
        <f t="shared" ref="R310:R312" si="153">IF(P$12=0,0,P310/P$12)</f>
        <v>3.6815422410355798E-3</v>
      </c>
      <c r="S310" s="1"/>
      <c r="T310" s="1">
        <f>SUM(OSRRefT22_21x_0)</f>
        <v>31467.66</v>
      </c>
      <c r="U310" s="1"/>
      <c r="V310" s="5">
        <f t="shared" ref="V310:V312" si="154">IF(T$12=0,0,T310/T$12)</f>
        <v>2.5957102782919531E-3</v>
      </c>
      <c r="W310" s="1"/>
      <c r="X310" s="1">
        <f t="shared" ref="X310:X312" si="155">+P310-T310</f>
        <v>-1606.1100000000006</v>
      </c>
      <c r="Y310" s="1"/>
      <c r="Z310" s="5">
        <f t="shared" ref="Z310:Z312" si="156">IF(T310=0,0,X310/T310)</f>
        <v>-5.104002013495762E-2</v>
      </c>
    </row>
    <row r="311" spans="1:26" s="23" customFormat="1" hidden="1" outlineLevel="2" x14ac:dyDescent="0.25">
      <c r="A311" s="25"/>
      <c r="B311" s="10" t="str">
        <f>CONCATENATE("          ", "6303", " - ", "DATA PHONE LINES")</f>
        <v xml:space="preserve">          6303 - DATA PHONE LINES</v>
      </c>
      <c r="C311" s="10"/>
      <c r="D311" s="6"/>
      <c r="E311" s="2"/>
      <c r="F311" s="7">
        <f t="shared" si="149"/>
        <v>0</v>
      </c>
      <c r="G311" s="2"/>
      <c r="H311" s="6"/>
      <c r="I311" s="2"/>
      <c r="J311" s="7">
        <f t="shared" si="150"/>
        <v>0</v>
      </c>
      <c r="K311" s="2"/>
      <c r="L311" s="6">
        <f t="shared" si="151"/>
        <v>0</v>
      </c>
      <c r="M311" s="2"/>
      <c r="N311" s="7">
        <f t="shared" si="152"/>
        <v>0</v>
      </c>
      <c r="O311" s="10"/>
      <c r="P311" s="6">
        <v>3540</v>
      </c>
      <c r="Q311" s="2"/>
      <c r="R311" s="7">
        <f t="shared" si="153"/>
        <v>4.3643613721544772E-4</v>
      </c>
      <c r="S311" s="2"/>
      <c r="T311" s="6">
        <v>2950</v>
      </c>
      <c r="U311" s="2"/>
      <c r="V311" s="7">
        <f t="shared" si="154"/>
        <v>2.4334015687729123E-4</v>
      </c>
      <c r="W311" s="2"/>
      <c r="X311" s="6">
        <f t="shared" si="155"/>
        <v>590</v>
      </c>
      <c r="Y311" s="2"/>
      <c r="Z311" s="7">
        <f t="shared" si="156"/>
        <v>0.2</v>
      </c>
    </row>
    <row r="312" spans="1:26" s="23" customFormat="1" hidden="1" outlineLevel="2" x14ac:dyDescent="0.25">
      <c r="A312" s="25"/>
      <c r="B312" s="10" t="str">
        <f>CONCATENATE("          ", "6309", " - ", "TELEPHONE")</f>
        <v xml:space="preserve">          6309 - TELEPHONE</v>
      </c>
      <c r="C312" s="10"/>
      <c r="D312" s="6">
        <v>2918.02</v>
      </c>
      <c r="E312" s="2"/>
      <c r="F312" s="7">
        <f t="shared" si="149"/>
        <v>8.8643478222302785E-3</v>
      </c>
      <c r="G312" s="2"/>
      <c r="H312" s="6">
        <v>885.99</v>
      </c>
      <c r="I312" s="2"/>
      <c r="J312" s="7">
        <f t="shared" si="150"/>
        <v>1.3450309025855845E-3</v>
      </c>
      <c r="K312" s="2"/>
      <c r="L312" s="6">
        <f t="shared" si="151"/>
        <v>2032.03</v>
      </c>
      <c r="M312" s="2"/>
      <c r="N312" s="7">
        <f t="shared" si="152"/>
        <v>2.2935134708066682</v>
      </c>
      <c r="O312" s="10"/>
      <c r="P312" s="6">
        <v>26321.55</v>
      </c>
      <c r="Q312" s="2"/>
      <c r="R312" s="7">
        <f t="shared" si="153"/>
        <v>3.2451061038201324E-3</v>
      </c>
      <c r="S312" s="2"/>
      <c r="T312" s="6">
        <v>28517.66</v>
      </c>
      <c r="U312" s="2"/>
      <c r="V312" s="7">
        <f t="shared" si="154"/>
        <v>2.3523701214146621E-3</v>
      </c>
      <c r="W312" s="2"/>
      <c r="X312" s="6">
        <f t="shared" si="155"/>
        <v>-2196.1100000000006</v>
      </c>
      <c r="Y312" s="2"/>
      <c r="Z312" s="7">
        <f t="shared" si="156"/>
        <v>-7.7008772809550319E-2</v>
      </c>
    </row>
    <row r="313" spans="1:26" s="27" customFormat="1" outlineLevel="1" collapsed="1" x14ac:dyDescent="0.25">
      <c r="A313" s="26"/>
      <c r="B313" s="12" t="str">
        <f>CONCATENATE("     ","Training                                          ")</f>
        <v xml:space="preserve">     Training                                          </v>
      </c>
      <c r="C313" s="12"/>
      <c r="D313" s="1">
        <f>SUM(OSRRefD22_22x_0)</f>
        <v>0</v>
      </c>
      <c r="E313" s="1"/>
      <c r="F313" s="5">
        <f t="shared" ref="F313:F318" si="157">IF(D$12=0,0,D313/D$12)</f>
        <v>0</v>
      </c>
      <c r="G313" s="1"/>
      <c r="H313" s="1">
        <f>SUM(OSRRefH22_22x_0)</f>
        <v>0</v>
      </c>
      <c r="I313" s="1"/>
      <c r="J313" s="5">
        <f t="shared" ref="J313:J318" si="158">IF(H$12=0,0,H313/H$12)</f>
        <v>0</v>
      </c>
      <c r="K313" s="1"/>
      <c r="L313" s="1">
        <f t="shared" ref="L313:L318" si="159">+D313-H313</f>
        <v>0</v>
      </c>
      <c r="M313" s="1"/>
      <c r="N313" s="5">
        <f t="shared" ref="N313:N318" si="160">IF(H313=0,0,L313/H313)</f>
        <v>0</v>
      </c>
      <c r="O313" s="12"/>
      <c r="P313" s="1">
        <f>SUM(OSRRefP22_22x_0)</f>
        <v>995.63</v>
      </c>
      <c r="Q313" s="1"/>
      <c r="R313" s="5">
        <f t="shared" ref="R313:R318" si="161">IF(P$12=0,0,P313/P$12)</f>
        <v>1.2274828002706675E-4</v>
      </c>
      <c r="S313" s="1"/>
      <c r="T313" s="1">
        <f>SUM(OSRRefT22_22x_0)</f>
        <v>25732.76</v>
      </c>
      <c r="U313" s="1"/>
      <c r="V313" s="5">
        <f t="shared" ref="V313:V318" si="162">IF(T$12=0,0,T313/T$12)</f>
        <v>2.1226487645036218E-3</v>
      </c>
      <c r="W313" s="1"/>
      <c r="X313" s="1">
        <f t="shared" ref="X313:X318" si="163">+P313-T313</f>
        <v>-24737.129999999997</v>
      </c>
      <c r="Y313" s="1"/>
      <c r="Z313" s="5">
        <f t="shared" ref="Z313:Z318" si="164">IF(T313=0,0,X313/T313)</f>
        <v>-0.96130885299517033</v>
      </c>
    </row>
    <row r="314" spans="1:26" s="23" customFormat="1" hidden="1" outlineLevel="2" x14ac:dyDescent="0.25">
      <c r="A314" s="25"/>
      <c r="B314" s="10" t="str">
        <f>CONCATENATE("          ", "6376", " - ", "TRAINING")</f>
        <v xml:space="preserve">          6376 - TRAINING</v>
      </c>
      <c r="C314" s="10"/>
      <c r="D314" s="6"/>
      <c r="E314" s="2"/>
      <c r="F314" s="7">
        <f t="shared" si="157"/>
        <v>0</v>
      </c>
      <c r="G314" s="2"/>
      <c r="H314" s="6"/>
      <c r="I314" s="2"/>
      <c r="J314" s="7">
        <f t="shared" si="158"/>
        <v>0</v>
      </c>
      <c r="K314" s="2"/>
      <c r="L314" s="6">
        <f t="shared" si="159"/>
        <v>0</v>
      </c>
      <c r="M314" s="2"/>
      <c r="N314" s="7">
        <f t="shared" si="160"/>
        <v>0</v>
      </c>
      <c r="O314" s="10"/>
      <c r="P314" s="6">
        <v>995.63</v>
      </c>
      <c r="Q314" s="2"/>
      <c r="R314" s="7">
        <f t="shared" si="161"/>
        <v>1.2274828002706675E-4</v>
      </c>
      <c r="S314" s="2"/>
      <c r="T314" s="6">
        <v>25732.76</v>
      </c>
      <c r="U314" s="2"/>
      <c r="V314" s="7">
        <f t="shared" si="162"/>
        <v>2.1226487645036218E-3</v>
      </c>
      <c r="W314" s="2"/>
      <c r="X314" s="6">
        <f t="shared" si="163"/>
        <v>-24737.129999999997</v>
      </c>
      <c r="Y314" s="2"/>
      <c r="Z314" s="7">
        <f t="shared" si="164"/>
        <v>-0.96130885299517033</v>
      </c>
    </row>
    <row r="315" spans="1:26" s="27" customFormat="1" outlineLevel="1" collapsed="1" x14ac:dyDescent="0.25">
      <c r="A315" s="26"/>
      <c r="B315" s="12" t="str">
        <f>CONCATENATE("     ","Travel                                            ")</f>
        <v xml:space="preserve">     Travel                                            </v>
      </c>
      <c r="C315" s="12"/>
      <c r="D315" s="1">
        <f>SUM(OSRRefD22_23x_0)</f>
        <v>67.62</v>
      </c>
      <c r="E315" s="1"/>
      <c r="F315" s="5">
        <f t="shared" si="157"/>
        <v>2.0541572701325263E-4</v>
      </c>
      <c r="G315" s="1"/>
      <c r="H315" s="1">
        <f>SUM(OSRRefH22_23x_0)</f>
        <v>0</v>
      </c>
      <c r="I315" s="1"/>
      <c r="J315" s="5">
        <f t="shared" si="158"/>
        <v>0</v>
      </c>
      <c r="K315" s="1"/>
      <c r="L315" s="1">
        <f t="shared" si="159"/>
        <v>67.62</v>
      </c>
      <c r="M315" s="1"/>
      <c r="N315" s="5">
        <f t="shared" si="160"/>
        <v>0</v>
      </c>
      <c r="O315" s="12"/>
      <c r="P315" s="1">
        <f>SUM(OSRRefP22_23x_0)</f>
        <v>1040.0200000000002</v>
      </c>
      <c r="Q315" s="1"/>
      <c r="R315" s="5">
        <f t="shared" si="161"/>
        <v>1.2822099192847741E-4</v>
      </c>
      <c r="S315" s="1"/>
      <c r="T315" s="1">
        <f>SUM(OSRRefT22_23x_0)</f>
        <v>1139.73</v>
      </c>
      <c r="U315" s="1"/>
      <c r="V315" s="5">
        <f t="shared" si="162"/>
        <v>9.4014263389069532E-5</v>
      </c>
      <c r="W315" s="1"/>
      <c r="X315" s="1">
        <f t="shared" si="163"/>
        <v>-99.709999999999809</v>
      </c>
      <c r="Y315" s="1"/>
      <c r="Z315" s="5">
        <f t="shared" si="164"/>
        <v>-8.7485632562097876E-2</v>
      </c>
    </row>
    <row r="316" spans="1:26" s="23" customFormat="1" hidden="1" outlineLevel="2" x14ac:dyDescent="0.25">
      <c r="A316" s="25"/>
      <c r="B316" s="10" t="str">
        <f>CONCATENATE("          ", "6292", " - ", "TRAVEL/CONFERENCE")</f>
        <v xml:space="preserve">          6292 - TRAVEL/CONFERENCE</v>
      </c>
      <c r="C316" s="10"/>
      <c r="D316" s="6"/>
      <c r="E316" s="2"/>
      <c r="F316" s="7">
        <f t="shared" si="157"/>
        <v>0</v>
      </c>
      <c r="G316" s="2"/>
      <c r="H316" s="6"/>
      <c r="I316" s="2"/>
      <c r="J316" s="7">
        <f t="shared" si="158"/>
        <v>0</v>
      </c>
      <c r="K316" s="2"/>
      <c r="L316" s="6">
        <f t="shared" si="159"/>
        <v>0</v>
      </c>
      <c r="M316" s="2"/>
      <c r="N316" s="7">
        <f t="shared" si="160"/>
        <v>0</v>
      </c>
      <c r="O316" s="10"/>
      <c r="P316" s="6">
        <v>299.16000000000003</v>
      </c>
      <c r="Q316" s="2"/>
      <c r="R316" s="7">
        <f t="shared" si="161"/>
        <v>3.6882552206037668E-5</v>
      </c>
      <c r="S316" s="2"/>
      <c r="T316" s="6">
        <v>326.60000000000002</v>
      </c>
      <c r="U316" s="2"/>
      <c r="V316" s="7">
        <f t="shared" si="162"/>
        <v>2.6940642452923159E-5</v>
      </c>
      <c r="W316" s="2"/>
      <c r="X316" s="6">
        <f t="shared" si="163"/>
        <v>-27.439999999999998</v>
      </c>
      <c r="Y316" s="2"/>
      <c r="Z316" s="7">
        <f t="shared" si="164"/>
        <v>-8.4017146356399258E-2</v>
      </c>
    </row>
    <row r="317" spans="1:26" s="23" customFormat="1" hidden="1" outlineLevel="2" x14ac:dyDescent="0.25">
      <c r="A317" s="25"/>
      <c r="B317" s="10" t="str">
        <f>CONCATENATE("          ", "6294", " - ", "TRAVEL OPERATIONAL")</f>
        <v xml:space="preserve">          6294 - TRAVEL OPERATIONAL</v>
      </c>
      <c r="C317" s="10"/>
      <c r="D317" s="6">
        <v>67.62</v>
      </c>
      <c r="E317" s="2"/>
      <c r="F317" s="7">
        <f t="shared" si="157"/>
        <v>2.0541572701325263E-4</v>
      </c>
      <c r="G317" s="2"/>
      <c r="H317" s="6"/>
      <c r="I317" s="2"/>
      <c r="J317" s="7">
        <f t="shared" si="158"/>
        <v>0</v>
      </c>
      <c r="K317" s="2"/>
      <c r="L317" s="6">
        <f t="shared" si="159"/>
        <v>67.62</v>
      </c>
      <c r="M317" s="2"/>
      <c r="N317" s="7">
        <f t="shared" si="160"/>
        <v>0</v>
      </c>
      <c r="O317" s="10"/>
      <c r="P317" s="6">
        <v>680.97</v>
      </c>
      <c r="Q317" s="2"/>
      <c r="R317" s="7">
        <f t="shared" si="161"/>
        <v>8.3954778632656346E-5</v>
      </c>
      <c r="S317" s="2"/>
      <c r="T317" s="6">
        <v>361.61</v>
      </c>
      <c r="U317" s="2"/>
      <c r="V317" s="7">
        <f t="shared" si="162"/>
        <v>2.9828553941829587E-5</v>
      </c>
      <c r="W317" s="2"/>
      <c r="X317" s="6">
        <f t="shared" si="163"/>
        <v>319.36</v>
      </c>
      <c r="Y317" s="2"/>
      <c r="Z317" s="7">
        <f t="shared" si="164"/>
        <v>0.88316141699621142</v>
      </c>
    </row>
    <row r="318" spans="1:26" s="23" customFormat="1" hidden="1" outlineLevel="2" x14ac:dyDescent="0.25">
      <c r="A318" s="25"/>
      <c r="B318" s="10" t="str">
        <f>CONCATENATE("          ", "6298", " - ", "VEHICLE MILEAGE")</f>
        <v xml:space="preserve">          6298 - VEHICLE MILEAGE</v>
      </c>
      <c r="C318" s="10"/>
      <c r="D318" s="6"/>
      <c r="E318" s="2"/>
      <c r="F318" s="7">
        <f t="shared" si="157"/>
        <v>0</v>
      </c>
      <c r="G318" s="2"/>
      <c r="H318" s="6"/>
      <c r="I318" s="2"/>
      <c r="J318" s="7">
        <f t="shared" si="158"/>
        <v>0</v>
      </c>
      <c r="K318" s="2"/>
      <c r="L318" s="6">
        <f t="shared" si="159"/>
        <v>0</v>
      </c>
      <c r="M318" s="2"/>
      <c r="N318" s="7">
        <f t="shared" si="160"/>
        <v>0</v>
      </c>
      <c r="O318" s="10"/>
      <c r="P318" s="6">
        <v>59.89</v>
      </c>
      <c r="Q318" s="2"/>
      <c r="R318" s="7">
        <f t="shared" si="161"/>
        <v>7.38366108978338E-6</v>
      </c>
      <c r="S318" s="2"/>
      <c r="T318" s="6">
        <v>451.52</v>
      </c>
      <c r="U318" s="2"/>
      <c r="V318" s="7">
        <f t="shared" si="162"/>
        <v>3.7245066994316785E-5</v>
      </c>
      <c r="W318" s="2"/>
      <c r="X318" s="6">
        <f t="shared" si="163"/>
        <v>-391.63</v>
      </c>
      <c r="Y318" s="2"/>
      <c r="Z318" s="7">
        <f t="shared" si="164"/>
        <v>-0.86735914245216161</v>
      </c>
    </row>
    <row r="319" spans="1:26" s="27" customFormat="1" outlineLevel="1" collapsed="1" x14ac:dyDescent="0.25">
      <c r="A319" s="26"/>
      <c r="B319" s="12" t="str">
        <f>CONCATENATE("     ","Utilities                                         ")</f>
        <v xml:space="preserve">     Utilities                                         </v>
      </c>
      <c r="C319" s="12"/>
      <c r="D319" s="1">
        <f>SUM(OSRRefD22_24x_0)</f>
        <v>5512.94</v>
      </c>
      <c r="E319" s="1"/>
      <c r="F319" s="5">
        <f t="shared" ref="F319:F320" si="165">IF(D$12=0,0,D319/D$12)</f>
        <v>1.6747183940852423E-2</v>
      </c>
      <c r="G319" s="1"/>
      <c r="H319" s="1">
        <f>SUM(OSRRefH22_24x_0)</f>
        <v>12846.8</v>
      </c>
      <c r="I319" s="1"/>
      <c r="J319" s="5">
        <f t="shared" ref="J319:J320" si="166">IF(H$12=0,0,H319/H$12)</f>
        <v>1.9502864591402255E-2</v>
      </c>
      <c r="K319" s="1"/>
      <c r="L319" s="1">
        <f t="shared" ref="L319:L320" si="167">+D319-H319</f>
        <v>-7333.86</v>
      </c>
      <c r="M319" s="1"/>
      <c r="N319" s="5">
        <f t="shared" ref="N319:N320" si="168">IF(H319=0,0,L319/H319)</f>
        <v>-0.57087056698944483</v>
      </c>
      <c r="O319" s="12"/>
      <c r="P319" s="1">
        <f>SUM(OSRRefP22_24x_0)</f>
        <v>70355.39</v>
      </c>
      <c r="Q319" s="1"/>
      <c r="R319" s="5">
        <f t="shared" ref="R319:R320" si="169">IF(P$12=0,0,P319/P$12)</f>
        <v>8.6739080914933157E-3</v>
      </c>
      <c r="S319" s="1"/>
      <c r="T319" s="1">
        <f>SUM(OSRRefT22_24x_0)</f>
        <v>78211.58</v>
      </c>
      <c r="U319" s="1"/>
      <c r="V319" s="5">
        <f t="shared" ref="V319:V320" si="170">IF(T$12=0,0,T319/T$12)</f>
        <v>6.4515315751934961E-3</v>
      </c>
      <c r="W319" s="1"/>
      <c r="X319" s="1">
        <f t="shared" ref="X319:X320" si="171">+P319-T319</f>
        <v>-7856.1900000000023</v>
      </c>
      <c r="Y319" s="1"/>
      <c r="Z319" s="5">
        <f t="shared" ref="Z319:Z320" si="172">IF(T319=0,0,X319/T319)</f>
        <v>-0.10044791321182876</v>
      </c>
    </row>
    <row r="320" spans="1:26" s="23" customFormat="1" hidden="1" outlineLevel="2" x14ac:dyDescent="0.25">
      <c r="A320" s="25"/>
      <c r="B320" s="10" t="str">
        <f>CONCATENATE("          ", "6274", " - ", "UTILITIES")</f>
        <v xml:space="preserve">          6274 - UTILITIES</v>
      </c>
      <c r="C320" s="10"/>
      <c r="D320" s="6">
        <v>5512.94</v>
      </c>
      <c r="E320" s="2"/>
      <c r="F320" s="7">
        <f t="shared" si="165"/>
        <v>1.6747183940852423E-2</v>
      </c>
      <c r="G320" s="2"/>
      <c r="H320" s="6">
        <v>12846.8</v>
      </c>
      <c r="I320" s="2"/>
      <c r="J320" s="7">
        <f t="shared" si="166"/>
        <v>1.9502864591402255E-2</v>
      </c>
      <c r="K320" s="2"/>
      <c r="L320" s="6">
        <f t="shared" si="167"/>
        <v>-7333.86</v>
      </c>
      <c r="M320" s="2"/>
      <c r="N320" s="7">
        <f t="shared" si="168"/>
        <v>-0.57087056698944483</v>
      </c>
      <c r="O320" s="10"/>
      <c r="P320" s="6">
        <v>70355.39</v>
      </c>
      <c r="Q320" s="2"/>
      <c r="R320" s="7">
        <f t="shared" si="169"/>
        <v>8.6739080914933157E-3</v>
      </c>
      <c r="S320" s="2"/>
      <c r="T320" s="6">
        <v>78211.58</v>
      </c>
      <c r="U320" s="2"/>
      <c r="V320" s="7">
        <f t="shared" si="170"/>
        <v>6.4515315751934961E-3</v>
      </c>
      <c r="W320" s="2"/>
      <c r="X320" s="6">
        <f t="shared" si="171"/>
        <v>-7856.1900000000023</v>
      </c>
      <c r="Y320" s="2"/>
      <c r="Z320" s="7">
        <f t="shared" si="172"/>
        <v>-0.10044791321182876</v>
      </c>
    </row>
    <row r="321" spans="1:26" s="52" customFormat="1" x14ac:dyDescent="0.25">
      <c r="A321" s="37"/>
      <c r="B321" s="37"/>
      <c r="C321" s="37"/>
      <c r="D321" s="1"/>
      <c r="E321" s="1"/>
      <c r="F321" s="5"/>
      <c r="G321" s="1"/>
      <c r="H321" s="1"/>
      <c r="I321" s="1"/>
      <c r="J321" s="5"/>
      <c r="K321" s="1"/>
      <c r="L321" s="1"/>
      <c r="M321" s="1"/>
      <c r="N321" s="5"/>
      <c r="O321" s="37"/>
      <c r="P321" s="1"/>
      <c r="Q321" s="1"/>
      <c r="R321" s="5"/>
      <c r="S321" s="1"/>
      <c r="T321" s="1"/>
      <c r="U321" s="1"/>
      <c r="V321" s="5"/>
      <c r="W321" s="1"/>
      <c r="X321" s="1"/>
      <c r="Y321" s="1"/>
      <c r="Z321" s="5"/>
    </row>
    <row r="322" spans="1:26" s="24" customFormat="1" collapsed="1" x14ac:dyDescent="0.25">
      <c r="A322" s="11"/>
      <c r="B322" s="29" t="s">
        <v>292</v>
      </c>
      <c r="C322" s="11"/>
      <c r="D322" s="4">
        <f>SUM(OSRRefD25x_0)</f>
        <v>401494.1</v>
      </c>
      <c r="E322" s="4"/>
      <c r="F322" s="13">
        <f t="shared" ref="F322:F334" si="173">IF(D$12=0,0,D322/D$12)</f>
        <v>1.219656942369588</v>
      </c>
      <c r="G322" s="4"/>
      <c r="H322" s="4">
        <f>SUM(OSRRefH25x_0)</f>
        <v>38787.509999999995</v>
      </c>
      <c r="I322" s="4"/>
      <c r="J322" s="13">
        <f t="shared" ref="J322:J334" si="174">IF(H$12=0,0,H322/H$12)</f>
        <v>5.8883734110257872E-2</v>
      </c>
      <c r="K322" s="4"/>
      <c r="L322" s="4">
        <f t="shared" ref="L322:L334" si="175">+D322-H322</f>
        <v>362706.58999999997</v>
      </c>
      <c r="M322" s="4"/>
      <c r="N322" s="13">
        <f t="shared" ref="N322:N334" si="176">IF(H322=0,0,L322/H322)</f>
        <v>9.351118182115842</v>
      </c>
      <c r="O322" s="11"/>
      <c r="P322" s="4">
        <f>SUM(OSRRefP25x_0)</f>
        <v>1458618.71</v>
      </c>
      <c r="Q322" s="4"/>
      <c r="R322" s="13">
        <f t="shared" ref="R322:R334" si="177">IF(P$12=0,0,P322/P$12)</f>
        <v>0.17982878967869473</v>
      </c>
      <c r="S322" s="4"/>
      <c r="T322" s="4">
        <f>SUM(OSRRefT25x_0)</f>
        <v>1221255.24</v>
      </c>
      <c r="U322" s="4"/>
      <c r="V322" s="13">
        <f t="shared" ref="V322:V334" si="178">IF(T$12=0,0,T322/T$12)</f>
        <v>0.10073913277586913</v>
      </c>
      <c r="W322" s="4"/>
      <c r="X322" s="4">
        <f t="shared" ref="X322:X334" si="179">+P322-T322</f>
        <v>237363.46999999997</v>
      </c>
      <c r="Y322" s="4"/>
      <c r="Z322" s="13">
        <f t="shared" ref="Z322:Z334" si="180">IF(T322=0,0,X322/T322)</f>
        <v>0.19436024692102855</v>
      </c>
    </row>
    <row r="323" spans="1:26" s="23" customFormat="1" hidden="1" outlineLevel="1" x14ac:dyDescent="0.25">
      <c r="A323" s="44"/>
      <c r="B323" s="10" t="str">
        <f>CONCATENATE("          ", "4098", " - ", "TAXABLE SALES-GRAD RENTALS")</f>
        <v xml:space="preserve">          4098 - TAXABLE SALES-GRAD RENTALS</v>
      </c>
      <c r="C323" s="10"/>
      <c r="D323" s="2">
        <f>--1017.7</f>
        <v>1017.7</v>
      </c>
      <c r="E323" s="2"/>
      <c r="F323" s="19">
        <f t="shared" si="173"/>
        <v>3.0915644096626321E-3</v>
      </c>
      <c r="G323" s="2"/>
      <c r="H323" s="2">
        <f>0</f>
        <v>0</v>
      </c>
      <c r="I323" s="2"/>
      <c r="J323" s="19">
        <f t="shared" si="174"/>
        <v>0</v>
      </c>
      <c r="K323" s="2"/>
      <c r="L323" s="2">
        <f t="shared" si="175"/>
        <v>1017.7</v>
      </c>
      <c r="M323" s="2"/>
      <c r="N323" s="19">
        <f t="shared" si="176"/>
        <v>0</v>
      </c>
      <c r="O323" s="10"/>
      <c r="P323" s="2">
        <f>--1067.65</f>
        <v>1067.6500000000001</v>
      </c>
      <c r="Q323" s="2"/>
      <c r="R323" s="19">
        <f t="shared" si="177"/>
        <v>1.316274129655573E-4</v>
      </c>
      <c r="S323" s="2"/>
      <c r="T323" s="2">
        <f>--1946.85</f>
        <v>1946.85</v>
      </c>
      <c r="U323" s="2"/>
      <c r="V323" s="19">
        <f t="shared" si="178"/>
        <v>1.6059213031069641E-4</v>
      </c>
      <c r="W323" s="2"/>
      <c r="X323" s="2">
        <f t="shared" si="179"/>
        <v>-879.19999999999982</v>
      </c>
      <c r="Y323" s="2"/>
      <c r="Z323" s="19">
        <f t="shared" si="180"/>
        <v>-0.451601304671649</v>
      </c>
    </row>
    <row r="324" spans="1:26" s="23" customFormat="1" hidden="1" outlineLevel="1" x14ac:dyDescent="0.25">
      <c r="A324" s="44"/>
      <c r="B324" s="10" t="str">
        <f>CONCATENATE("          ", "4187", " - ", "NON-TAXABLE SALES-COMPUTER REP")</f>
        <v xml:space="preserve">          4187 - NON-TAXABLE SALES-COMPUTER REP</v>
      </c>
      <c r="C324" s="10"/>
      <c r="D324" s="2">
        <f>--189.31</f>
        <v>189.31</v>
      </c>
      <c r="E324" s="2"/>
      <c r="F324" s="19">
        <f t="shared" si="173"/>
        <v>5.7508505295591323E-4</v>
      </c>
      <c r="G324" s="2"/>
      <c r="H324" s="2">
        <f>--166.52</f>
        <v>166.52</v>
      </c>
      <c r="I324" s="2"/>
      <c r="J324" s="19">
        <f t="shared" si="174"/>
        <v>2.5279579442042408E-4</v>
      </c>
      <c r="K324" s="2"/>
      <c r="L324" s="2">
        <f t="shared" si="175"/>
        <v>22.789999999999992</v>
      </c>
      <c r="M324" s="2"/>
      <c r="N324" s="19">
        <f t="shared" si="176"/>
        <v>0.13686043718472249</v>
      </c>
      <c r="O324" s="10"/>
      <c r="P324" s="2">
        <f>--3769.75</f>
        <v>3769.75</v>
      </c>
      <c r="Q324" s="2"/>
      <c r="R324" s="19">
        <f t="shared" si="177"/>
        <v>4.6476133566890793E-4</v>
      </c>
      <c r="S324" s="2"/>
      <c r="T324" s="2">
        <f>--16449.71</f>
        <v>16449.71</v>
      </c>
      <c r="U324" s="2"/>
      <c r="V324" s="19">
        <f t="shared" si="178"/>
        <v>1.3569067837240494E-3</v>
      </c>
      <c r="W324" s="2"/>
      <c r="X324" s="2">
        <f t="shared" si="179"/>
        <v>-12679.96</v>
      </c>
      <c r="Y324" s="2"/>
      <c r="Z324" s="19">
        <f t="shared" si="180"/>
        <v>-0.77083182621456547</v>
      </c>
    </row>
    <row r="325" spans="1:26" s="23" customFormat="1" hidden="1" outlineLevel="1" x14ac:dyDescent="0.25">
      <c r="A325" s="44"/>
      <c r="B325" s="10" t="str">
        <f>CONCATENATE("          ", "4197", " - ", "NON-TAXABLE SALES-RETURNED CHE")</f>
        <v xml:space="preserve">          4197 - NON-TAXABLE SALES-RETURNED CHE</v>
      </c>
      <c r="C325" s="10"/>
      <c r="D325" s="2">
        <f t="shared" ref="D325:D328" si="181">0</f>
        <v>0</v>
      </c>
      <c r="E325" s="2"/>
      <c r="F325" s="19">
        <f t="shared" si="173"/>
        <v>0</v>
      </c>
      <c r="G325" s="2"/>
      <c r="H325" s="2">
        <f t="shared" ref="H325:H328" si="182">0</f>
        <v>0</v>
      </c>
      <c r="I325" s="2"/>
      <c r="J325" s="19">
        <f t="shared" si="174"/>
        <v>0</v>
      </c>
      <c r="K325" s="2"/>
      <c r="L325" s="2">
        <f t="shared" si="175"/>
        <v>0</v>
      </c>
      <c r="M325" s="2"/>
      <c r="N325" s="19">
        <f t="shared" si="176"/>
        <v>0</v>
      </c>
      <c r="O325" s="10"/>
      <c r="P325" s="2">
        <f t="shared" ref="P325:P328" si="183">0</f>
        <v>0</v>
      </c>
      <c r="Q325" s="2"/>
      <c r="R325" s="19">
        <f t="shared" si="177"/>
        <v>0</v>
      </c>
      <c r="S325" s="2"/>
      <c r="T325" s="2">
        <f>--30</f>
        <v>30</v>
      </c>
      <c r="U325" s="2"/>
      <c r="V325" s="19">
        <f t="shared" si="178"/>
        <v>2.4746456631588938E-6</v>
      </c>
      <c r="W325" s="2"/>
      <c r="X325" s="2">
        <f t="shared" si="179"/>
        <v>-30</v>
      </c>
      <c r="Y325" s="2"/>
      <c r="Z325" s="19">
        <f t="shared" si="180"/>
        <v>-1</v>
      </c>
    </row>
    <row r="326" spans="1:26" s="23" customFormat="1" hidden="1" outlineLevel="1" x14ac:dyDescent="0.25">
      <c r="A326" s="44"/>
      <c r="B326" s="10" t="str">
        <f>CONCATENATE("          ", "4198", " - ", "NON-TAXABLE SALES-GRAD RENTALS")</f>
        <v xml:space="preserve">          4198 - NON-TAXABLE SALES-GRAD RENTALS</v>
      </c>
      <c r="C326" s="10"/>
      <c r="D326" s="2">
        <f t="shared" si="181"/>
        <v>0</v>
      </c>
      <c r="E326" s="2"/>
      <c r="F326" s="19">
        <f t="shared" si="173"/>
        <v>0</v>
      </c>
      <c r="G326" s="2"/>
      <c r="H326" s="2">
        <f t="shared" si="182"/>
        <v>0</v>
      </c>
      <c r="I326" s="2"/>
      <c r="J326" s="19">
        <f t="shared" si="174"/>
        <v>0</v>
      </c>
      <c r="K326" s="2"/>
      <c r="L326" s="2">
        <f t="shared" si="175"/>
        <v>0</v>
      </c>
      <c r="M326" s="2"/>
      <c r="N326" s="19">
        <f t="shared" si="176"/>
        <v>0</v>
      </c>
      <c r="O326" s="10"/>
      <c r="P326" s="2">
        <f t="shared" si="183"/>
        <v>0</v>
      </c>
      <c r="Q326" s="2"/>
      <c r="R326" s="19">
        <f t="shared" si="177"/>
        <v>0</v>
      </c>
      <c r="S326" s="2"/>
      <c r="T326" s="2">
        <f>--163.76</f>
        <v>163.76</v>
      </c>
      <c r="U326" s="2"/>
      <c r="V326" s="19">
        <f t="shared" si="178"/>
        <v>1.3508265793296681E-5</v>
      </c>
      <c r="W326" s="2"/>
      <c r="X326" s="2">
        <f t="shared" si="179"/>
        <v>-163.76</v>
      </c>
      <c r="Y326" s="2"/>
      <c r="Z326" s="19">
        <f t="shared" si="180"/>
        <v>-1</v>
      </c>
    </row>
    <row r="327" spans="1:26" s="23" customFormat="1" hidden="1" outlineLevel="1" x14ac:dyDescent="0.25">
      <c r="A327" s="44"/>
      <c r="B327" s="10" t="str">
        <f>CONCATENATE("          ", "4387", " - ", "SALES RETURN NON TAXABLE-COMPU")</f>
        <v xml:space="preserve">          4387 - SALES RETURN NON TAXABLE-COMPU</v>
      </c>
      <c r="C327" s="10"/>
      <c r="D327" s="2">
        <f t="shared" si="181"/>
        <v>0</v>
      </c>
      <c r="E327" s="2"/>
      <c r="F327" s="19">
        <f t="shared" si="173"/>
        <v>0</v>
      </c>
      <c r="G327" s="2"/>
      <c r="H327" s="2">
        <f t="shared" si="182"/>
        <v>0</v>
      </c>
      <c r="I327" s="2"/>
      <c r="J327" s="19">
        <f t="shared" si="174"/>
        <v>0</v>
      </c>
      <c r="K327" s="2"/>
      <c r="L327" s="2">
        <f t="shared" si="175"/>
        <v>0</v>
      </c>
      <c r="M327" s="2"/>
      <c r="N327" s="19">
        <f t="shared" si="176"/>
        <v>0</v>
      </c>
      <c r="O327" s="10"/>
      <c r="P327" s="2">
        <f t="shared" si="183"/>
        <v>0</v>
      </c>
      <c r="Q327" s="2"/>
      <c r="R327" s="19">
        <f t="shared" si="177"/>
        <v>0</v>
      </c>
      <c r="S327" s="2"/>
      <c r="T327" s="2">
        <f>-7889</f>
        <v>-7889</v>
      </c>
      <c r="U327" s="2"/>
      <c r="V327" s="19">
        <f t="shared" si="178"/>
        <v>-6.5074932122201703E-4</v>
      </c>
      <c r="W327" s="2"/>
      <c r="X327" s="2">
        <f t="shared" si="179"/>
        <v>7889</v>
      </c>
      <c r="Y327" s="2"/>
      <c r="Z327" s="19">
        <f t="shared" si="180"/>
        <v>-1</v>
      </c>
    </row>
    <row r="328" spans="1:26" s="23" customFormat="1" hidden="1" outlineLevel="1" x14ac:dyDescent="0.25">
      <c r="A328" s="44"/>
      <c r="B328" s="10" t="str">
        <f>CONCATENATE("          ", "5087", " - ", "PURCHASES @ COST-COMPUTER REPA")</f>
        <v xml:space="preserve">          5087 - PURCHASES @ COST-COMPUTER REPA</v>
      </c>
      <c r="C328" s="10"/>
      <c r="D328" s="2">
        <f t="shared" si="181"/>
        <v>0</v>
      </c>
      <c r="E328" s="2"/>
      <c r="F328" s="19">
        <f t="shared" si="173"/>
        <v>0</v>
      </c>
      <c r="G328" s="2"/>
      <c r="H328" s="2">
        <f t="shared" si="182"/>
        <v>0</v>
      </c>
      <c r="I328" s="2"/>
      <c r="J328" s="19">
        <f t="shared" si="174"/>
        <v>0</v>
      </c>
      <c r="K328" s="2"/>
      <c r="L328" s="2">
        <f t="shared" si="175"/>
        <v>0</v>
      </c>
      <c r="M328" s="2"/>
      <c r="N328" s="19">
        <f t="shared" si="176"/>
        <v>0</v>
      </c>
      <c r="O328" s="10"/>
      <c r="P328" s="2">
        <f t="shared" si="183"/>
        <v>0</v>
      </c>
      <c r="Q328" s="2"/>
      <c r="R328" s="19">
        <f t="shared" si="177"/>
        <v>0</v>
      </c>
      <c r="S328" s="2"/>
      <c r="T328" s="2">
        <f>-72.06</f>
        <v>-72.06</v>
      </c>
      <c r="U328" s="2"/>
      <c r="V328" s="19">
        <f t="shared" si="178"/>
        <v>-5.9440988829076631E-6</v>
      </c>
      <c r="W328" s="2"/>
      <c r="X328" s="2">
        <f t="shared" si="179"/>
        <v>72.06</v>
      </c>
      <c r="Y328" s="2"/>
      <c r="Z328" s="19">
        <f t="shared" si="180"/>
        <v>-1</v>
      </c>
    </row>
    <row r="329" spans="1:26" s="23" customFormat="1" hidden="1" outlineLevel="1" x14ac:dyDescent="0.25">
      <c r="A329" s="44"/>
      <c r="B329" s="10" t="str">
        <f>CONCATENATE("          ", "9150", " - ", "MISC. INCOME")</f>
        <v xml:space="preserve">          9150 - MISC. INCOME</v>
      </c>
      <c r="C329" s="10"/>
      <c r="D329" s="2">
        <f>--19771.06</f>
        <v>19771.060000000001</v>
      </c>
      <c r="E329" s="2"/>
      <c r="F329" s="19">
        <f t="shared" si="173"/>
        <v>6.0060435724972473E-2</v>
      </c>
      <c r="G329" s="2"/>
      <c r="H329" s="2">
        <f>--56556.35</f>
        <v>56556.35</v>
      </c>
      <c r="I329" s="2"/>
      <c r="J329" s="19">
        <f t="shared" si="174"/>
        <v>8.5858800310890881E-2</v>
      </c>
      <c r="K329" s="2"/>
      <c r="L329" s="2">
        <f t="shared" si="175"/>
        <v>-36785.289999999994</v>
      </c>
      <c r="M329" s="2"/>
      <c r="N329" s="19">
        <f t="shared" si="176"/>
        <v>-0.65041838803246665</v>
      </c>
      <c r="O329" s="10"/>
      <c r="P329" s="2">
        <f>--423643.69</f>
        <v>423643.69</v>
      </c>
      <c r="Q329" s="2"/>
      <c r="R329" s="19">
        <f t="shared" si="177"/>
        <v>5.222977842353068E-2</v>
      </c>
      <c r="S329" s="2"/>
      <c r="T329" s="2">
        <f>--537634.91</f>
        <v>537634.91</v>
      </c>
      <c r="U329" s="2"/>
      <c r="V329" s="19">
        <f t="shared" si="178"/>
        <v>4.4348529946477408E-2</v>
      </c>
      <c r="W329" s="2"/>
      <c r="X329" s="2">
        <f t="shared" si="179"/>
        <v>-113991.22000000003</v>
      </c>
      <c r="Y329" s="2"/>
      <c r="Z329" s="19">
        <f t="shared" si="180"/>
        <v>-0.21202347146691056</v>
      </c>
    </row>
    <row r="330" spans="1:26" s="23" customFormat="1" hidden="1" outlineLevel="1" x14ac:dyDescent="0.25">
      <c r="A330" s="44"/>
      <c r="B330" s="10" t="str">
        <f>CONCATENATE("          ", "9151", " - ", "MISC. INCOME")</f>
        <v xml:space="preserve">          9151 - MISC. INCOME</v>
      </c>
      <c r="C330" s="10"/>
      <c r="D330" s="2">
        <f>0</f>
        <v>0</v>
      </c>
      <c r="E330" s="2"/>
      <c r="F330" s="19">
        <f t="shared" si="173"/>
        <v>0</v>
      </c>
      <c r="G330" s="2"/>
      <c r="H330" s="2">
        <f>-18698.07</f>
        <v>-18698.07</v>
      </c>
      <c r="I330" s="2"/>
      <c r="J330" s="19">
        <f t="shared" si="174"/>
        <v>-2.8385740210057041E-2</v>
      </c>
      <c r="K330" s="2"/>
      <c r="L330" s="2">
        <f t="shared" si="175"/>
        <v>18698.07</v>
      </c>
      <c r="M330" s="2"/>
      <c r="N330" s="19">
        <f t="shared" si="176"/>
        <v>-1</v>
      </c>
      <c r="O330" s="10"/>
      <c r="P330" s="2">
        <f>--295628.46</f>
        <v>295628.46000000002</v>
      </c>
      <c r="Q330" s="2"/>
      <c r="R330" s="19">
        <f t="shared" si="177"/>
        <v>3.644715907721794E-2</v>
      </c>
      <c r="S330" s="2"/>
      <c r="T330" s="2">
        <f>--150694.63</f>
        <v>150694.63</v>
      </c>
      <c r="U330" s="2"/>
      <c r="V330" s="19">
        <f t="shared" si="178"/>
        <v>1.2430527086361137E-2</v>
      </c>
      <c r="W330" s="2"/>
      <c r="X330" s="2">
        <f t="shared" si="179"/>
        <v>144933.83000000002</v>
      </c>
      <c r="Y330" s="2"/>
      <c r="Z330" s="19">
        <f t="shared" si="180"/>
        <v>0.96177169684148678</v>
      </c>
    </row>
    <row r="331" spans="1:26" s="23" customFormat="1" hidden="1" outlineLevel="1" x14ac:dyDescent="0.25">
      <c r="A331" s="44"/>
      <c r="B331" s="10" t="str">
        <f>CONCATENATE("          ", "9152", " - ", "MISC. INCOME")</f>
        <v xml:space="preserve">          9152 - MISC. INCOME</v>
      </c>
      <c r="C331" s="10"/>
      <c r="D331" s="2">
        <f>--1755.54</f>
        <v>1755.54</v>
      </c>
      <c r="E331" s="2"/>
      <c r="F331" s="19">
        <f t="shared" si="173"/>
        <v>5.3329713901337696E-3</v>
      </c>
      <c r="G331" s="2"/>
      <c r="H331" s="2">
        <f>--762.71</f>
        <v>762.71</v>
      </c>
      <c r="I331" s="2"/>
      <c r="J331" s="19">
        <f t="shared" si="174"/>
        <v>1.157878215003613E-3</v>
      </c>
      <c r="K331" s="2"/>
      <c r="L331" s="2">
        <f t="shared" si="175"/>
        <v>992.82999999999993</v>
      </c>
      <c r="M331" s="2"/>
      <c r="N331" s="19">
        <f t="shared" si="176"/>
        <v>1.3017136264110867</v>
      </c>
      <c r="O331" s="10"/>
      <c r="P331" s="2">
        <f>--7408.11</f>
        <v>7408.11</v>
      </c>
      <c r="Q331" s="2"/>
      <c r="R331" s="19">
        <f t="shared" si="177"/>
        <v>9.1332398657263572E-4</v>
      </c>
      <c r="S331" s="2"/>
      <c r="T331" s="2">
        <f>--10637.6</f>
        <v>10637.6</v>
      </c>
      <c r="U331" s="2"/>
      <c r="V331" s="19">
        <f t="shared" si="178"/>
        <v>8.7747635688063493E-4</v>
      </c>
      <c r="W331" s="2"/>
      <c r="X331" s="2">
        <f t="shared" si="179"/>
        <v>-3229.4900000000007</v>
      </c>
      <c r="Y331" s="2"/>
      <c r="Z331" s="19">
        <f t="shared" si="180"/>
        <v>-0.30359197563360163</v>
      </c>
    </row>
    <row r="332" spans="1:26" s="23" customFormat="1" hidden="1" outlineLevel="1" x14ac:dyDescent="0.25">
      <c r="A332" s="44"/>
      <c r="B332" s="10" t="str">
        <f>CONCATENATE("          ", "9153", " - ", "MISC. INCOME")</f>
        <v xml:space="preserve">          9153 - MISC. INCOME</v>
      </c>
      <c r="C332" s="10"/>
      <c r="D332" s="2">
        <f t="shared" ref="D332:D333" si="184">0</f>
        <v>0</v>
      </c>
      <c r="E332" s="2"/>
      <c r="F332" s="19">
        <f t="shared" si="173"/>
        <v>0</v>
      </c>
      <c r="G332" s="2"/>
      <c r="H332" s="2">
        <f t="shared" ref="H332:H334" si="185">0</f>
        <v>0</v>
      </c>
      <c r="I332" s="2"/>
      <c r="J332" s="19">
        <f t="shared" si="174"/>
        <v>0</v>
      </c>
      <c r="K332" s="2"/>
      <c r="L332" s="2">
        <f t="shared" si="175"/>
        <v>0</v>
      </c>
      <c r="M332" s="2"/>
      <c r="N332" s="19">
        <f t="shared" si="176"/>
        <v>0</v>
      </c>
      <c r="O332" s="10"/>
      <c r="P332" s="2">
        <f t="shared" ref="P332:P333" si="186">0</f>
        <v>0</v>
      </c>
      <c r="Q332" s="2"/>
      <c r="R332" s="19">
        <f t="shared" si="177"/>
        <v>0</v>
      </c>
      <c r="S332" s="2"/>
      <c r="T332" s="2">
        <f>--450</f>
        <v>450</v>
      </c>
      <c r="U332" s="2"/>
      <c r="V332" s="19">
        <f t="shared" si="178"/>
        <v>3.7119684947383406E-5</v>
      </c>
      <c r="W332" s="2"/>
      <c r="X332" s="2">
        <f t="shared" si="179"/>
        <v>-450</v>
      </c>
      <c r="Y332" s="2"/>
      <c r="Z332" s="19">
        <f t="shared" si="180"/>
        <v>-1</v>
      </c>
    </row>
    <row r="333" spans="1:26" s="23" customFormat="1" hidden="1" outlineLevel="1" x14ac:dyDescent="0.25">
      <c r="A333" s="44"/>
      <c r="B333" s="10" t="str">
        <f>CONCATENATE("          ", "9160", " - ", "MISC. INCOME")</f>
        <v xml:space="preserve">          9160 - MISC. INCOME</v>
      </c>
      <c r="C333" s="10"/>
      <c r="D333" s="2">
        <f t="shared" si="184"/>
        <v>0</v>
      </c>
      <c r="E333" s="2"/>
      <c r="F333" s="19">
        <f t="shared" si="173"/>
        <v>0</v>
      </c>
      <c r="G333" s="2"/>
      <c r="H333" s="2">
        <f t="shared" si="185"/>
        <v>0</v>
      </c>
      <c r="I333" s="2"/>
      <c r="J333" s="19">
        <f t="shared" si="174"/>
        <v>0</v>
      </c>
      <c r="K333" s="2"/>
      <c r="L333" s="2">
        <f t="shared" si="175"/>
        <v>0</v>
      </c>
      <c r="M333" s="2"/>
      <c r="N333" s="19">
        <f t="shared" si="176"/>
        <v>0</v>
      </c>
      <c r="O333" s="10"/>
      <c r="P333" s="2">
        <f t="shared" si="186"/>
        <v>0</v>
      </c>
      <c r="Q333" s="2"/>
      <c r="R333" s="19">
        <f t="shared" si="177"/>
        <v>0</v>
      </c>
      <c r="S333" s="2"/>
      <c r="T333" s="2">
        <f>--22475</f>
        <v>22475</v>
      </c>
      <c r="U333" s="2"/>
      <c r="V333" s="19">
        <f t="shared" si="178"/>
        <v>1.8539220426498713E-3</v>
      </c>
      <c r="W333" s="2"/>
      <c r="X333" s="2">
        <f t="shared" si="179"/>
        <v>-22475</v>
      </c>
      <c r="Y333" s="2"/>
      <c r="Z333" s="19">
        <f t="shared" si="180"/>
        <v>-1</v>
      </c>
    </row>
    <row r="334" spans="1:26" s="23" customFormat="1" hidden="1" outlineLevel="1" x14ac:dyDescent="0.25">
      <c r="A334" s="44"/>
      <c r="B334" s="10" t="str">
        <f>CONCATENATE("          ", "9163", " - ", "MISC. INCOME")</f>
        <v xml:space="preserve">          9163 - MISC. INCOME</v>
      </c>
      <c r="C334" s="10"/>
      <c r="D334" s="2">
        <f>--378760.49</f>
        <v>378760.49</v>
      </c>
      <c r="E334" s="2"/>
      <c r="F334" s="19">
        <f t="shared" si="173"/>
        <v>1.1505968857918634</v>
      </c>
      <c r="G334" s="2"/>
      <c r="H334" s="2">
        <f t="shared" si="185"/>
        <v>0</v>
      </c>
      <c r="I334" s="2"/>
      <c r="J334" s="19">
        <f t="shared" si="174"/>
        <v>0</v>
      </c>
      <c r="K334" s="2"/>
      <c r="L334" s="2">
        <f t="shared" si="175"/>
        <v>378760.49</v>
      </c>
      <c r="M334" s="2"/>
      <c r="N334" s="19">
        <f t="shared" si="176"/>
        <v>0</v>
      </c>
      <c r="O334" s="10"/>
      <c r="P334" s="2">
        <f>--727101.05</f>
        <v>727101.05</v>
      </c>
      <c r="Q334" s="2"/>
      <c r="R334" s="19">
        <f t="shared" si="177"/>
        <v>8.9642139442739022E-2</v>
      </c>
      <c r="S334" s="2"/>
      <c r="T334" s="2">
        <f>--488733.84</f>
        <v>488733.84</v>
      </c>
      <c r="U334" s="2"/>
      <c r="V334" s="19">
        <f t="shared" si="178"/>
        <v>4.0314769253166426E-2</v>
      </c>
      <c r="W334" s="2"/>
      <c r="X334" s="2">
        <f t="shared" si="179"/>
        <v>238367.21000000002</v>
      </c>
      <c r="Y334" s="2"/>
      <c r="Z334" s="19">
        <f t="shared" si="180"/>
        <v>0.48772397262280837</v>
      </c>
    </row>
    <row r="335" spans="1:26" x14ac:dyDescent="0.25">
      <c r="A335" s="9"/>
      <c r="B335" s="11"/>
      <c r="C335" s="11"/>
      <c r="D335" s="3"/>
      <c r="E335" s="3"/>
      <c r="F335" s="8"/>
      <c r="G335" s="3"/>
      <c r="H335" s="3"/>
      <c r="I335" s="3"/>
      <c r="J335" s="8"/>
      <c r="K335" s="3"/>
      <c r="L335" s="3"/>
      <c r="M335" s="3"/>
      <c r="N335" s="8"/>
      <c r="O335" s="11"/>
      <c r="P335" s="3"/>
      <c r="Q335" s="3"/>
      <c r="R335" s="8"/>
      <c r="S335" s="3"/>
      <c r="T335" s="3"/>
      <c r="U335" s="3"/>
      <c r="V335" s="8"/>
      <c r="W335" s="3"/>
      <c r="X335" s="3"/>
      <c r="Y335" s="3"/>
      <c r="Z335" s="8"/>
    </row>
    <row r="336" spans="1:26" s="24" customFormat="1" x14ac:dyDescent="0.25">
      <c r="A336" s="11"/>
      <c r="B336" s="28" t="s">
        <v>276</v>
      </c>
      <c r="C336" s="28"/>
      <c r="D336" s="21">
        <f>+D193-D195+D322</f>
        <v>193618.50000000003</v>
      </c>
      <c r="E336" s="14"/>
      <c r="F336" s="22">
        <f>IF(D$12=0,0,D336/D$12)</f>
        <v>0.58817339456840367</v>
      </c>
      <c r="G336" s="14"/>
      <c r="H336" s="21">
        <f>+H193-H195+H322</f>
        <v>-160423.65000000031</v>
      </c>
      <c r="I336" s="14"/>
      <c r="J336" s="22">
        <f>IF(H$12=0,0,H336/H$12)</f>
        <v>-0.24354086023044766</v>
      </c>
      <c r="K336" s="15"/>
      <c r="L336" s="21">
        <f>+D336-H336</f>
        <v>354042.15000000037</v>
      </c>
      <c r="M336" s="15"/>
      <c r="N336" s="22">
        <f>IF(H336=0,0,L336/H336)</f>
        <v>-2.2069199273299147</v>
      </c>
      <c r="O336" s="29"/>
      <c r="P336" s="21">
        <f>+P193-P195+P322</f>
        <v>528928.44999999367</v>
      </c>
      <c r="Q336" s="14"/>
      <c r="R336" s="22">
        <f>IF(P$12=0,0,P336/P$12)</f>
        <v>6.5210025305466476E-2</v>
      </c>
      <c r="S336" s="14"/>
      <c r="T336" s="21">
        <f>+T193-T195+T322</f>
        <v>1010789.6400000004</v>
      </c>
      <c r="U336" s="14"/>
      <c r="V336" s="22">
        <f>IF(T$12=0,0,T336/T$12)</f>
        <v>8.337820663306468E-2</v>
      </c>
      <c r="W336" s="15"/>
      <c r="X336" s="21">
        <f>+P336-T336</f>
        <v>-481861.1900000067</v>
      </c>
      <c r="Y336" s="15"/>
      <c r="Z336" s="22">
        <f>IF(T336=0,0,X336/T336)</f>
        <v>-0.47671757894155553</v>
      </c>
    </row>
    <row r="337" spans="1:26" x14ac:dyDescent="0.25">
      <c r="A337" s="9"/>
      <c r="B337" s="11"/>
      <c r="C337" s="9"/>
      <c r="D337" s="3"/>
      <c r="E337" s="3"/>
      <c r="F337" s="8"/>
      <c r="G337" s="3"/>
      <c r="H337" s="3"/>
      <c r="I337" s="3"/>
      <c r="J337" s="8"/>
      <c r="K337" s="3"/>
      <c r="L337" s="3"/>
      <c r="M337" s="3"/>
      <c r="N337" s="8"/>
      <c r="P337" s="3"/>
      <c r="Q337" s="3"/>
      <c r="R337" s="8"/>
      <c r="S337" s="3"/>
      <c r="T337" s="3"/>
      <c r="U337" s="3"/>
      <c r="V337" s="8"/>
      <c r="W337" s="3"/>
      <c r="X337" s="3"/>
      <c r="Y337" s="3"/>
      <c r="Z337" s="8"/>
    </row>
    <row r="338" spans="1:26" s="24" customFormat="1" x14ac:dyDescent="0.25">
      <c r="A338" s="51"/>
      <c r="B338" s="11" t="s">
        <v>127</v>
      </c>
      <c r="C338" s="11"/>
      <c r="D338" s="4">
        <v>582191.16</v>
      </c>
      <c r="E338" s="4"/>
      <c r="F338" s="13">
        <f>IF(D$12=0,0,D338/D$12)</f>
        <v>1.7685776455499687</v>
      </c>
      <c r="G338" s="4"/>
      <c r="H338" s="4">
        <v>478087.34</v>
      </c>
      <c r="I338" s="4"/>
      <c r="J338" s="13">
        <f>IF(H$12=0,0,H338/H$12)</f>
        <v>0.72578950827316469</v>
      </c>
      <c r="K338" s="4"/>
      <c r="L338" s="4">
        <f>+D338-H338</f>
        <v>104103.82</v>
      </c>
      <c r="M338" s="4"/>
      <c r="N338" s="13">
        <f>IF(H338=0,0,L338/H338)</f>
        <v>0.21775063108761675</v>
      </c>
      <c r="O338" s="11"/>
      <c r="P338" s="4">
        <v>2245123.5699999998</v>
      </c>
      <c r="Q338" s="4"/>
      <c r="R338" s="13">
        <f>IF(P$12=0,0,P338/P$12)</f>
        <v>0.27679464928309488</v>
      </c>
      <c r="S338" s="4"/>
      <c r="T338" s="4">
        <v>1835688.54</v>
      </c>
      <c r="U338" s="4"/>
      <c r="V338" s="13">
        <f>IF(T$12=0,0,T338/T$12)</f>
        <v>0.15142262281404939</v>
      </c>
      <c r="W338" s="4"/>
      <c r="X338" s="4">
        <f>+P338-T338</f>
        <v>409435.0299999998</v>
      </c>
      <c r="Y338" s="4"/>
      <c r="Z338" s="13">
        <f>IF(T338=0,0,X338/T338)</f>
        <v>0.22304166588085786</v>
      </c>
    </row>
    <row r="339" spans="1:26" x14ac:dyDescent="0.25">
      <c r="A339" s="9"/>
      <c r="B339" s="11"/>
      <c r="C339" s="11"/>
      <c r="D339" s="3"/>
      <c r="E339" s="3"/>
      <c r="F339" s="8"/>
      <c r="G339" s="3"/>
      <c r="H339" s="3"/>
      <c r="I339" s="3"/>
      <c r="J339" s="8"/>
      <c r="K339" s="3"/>
      <c r="L339" s="3"/>
      <c r="M339" s="3"/>
      <c r="N339" s="8"/>
      <c r="O339" s="11"/>
      <c r="P339" s="3"/>
      <c r="Q339" s="3"/>
      <c r="R339" s="8"/>
      <c r="S339" s="3"/>
      <c r="T339" s="3"/>
      <c r="U339" s="3"/>
      <c r="V339" s="8"/>
      <c r="W339" s="3"/>
      <c r="X339" s="3"/>
      <c r="Y339" s="3"/>
      <c r="Z339" s="8"/>
    </row>
    <row r="340" spans="1:26" s="24" customFormat="1" ht="15.75" thickBot="1" x14ac:dyDescent="0.3">
      <c r="A340" s="11"/>
      <c r="B340" s="28" t="s">
        <v>125</v>
      </c>
      <c r="C340" s="28"/>
      <c r="D340" s="34">
        <f>+D336-D338</f>
        <v>-388572.66000000003</v>
      </c>
      <c r="E340" s="14"/>
      <c r="F340" s="31">
        <f>IF(D$12=0,0,D340/D$12)</f>
        <v>-1.1804042509815651</v>
      </c>
      <c r="G340" s="14"/>
      <c r="H340" s="34">
        <f>+H336-H338</f>
        <v>-638510.99000000034</v>
      </c>
      <c r="I340" s="14"/>
      <c r="J340" s="31">
        <f>IF(H$12=0,0,H340/H$12)</f>
        <v>-0.96933036850361232</v>
      </c>
      <c r="K340" s="15"/>
      <c r="L340" s="34">
        <f>D340-H340</f>
        <v>249938.33000000031</v>
      </c>
      <c r="M340" s="15"/>
      <c r="N340" s="31">
        <f>IF(H340=0,0,L340/H340)</f>
        <v>-0.39143935486529396</v>
      </c>
      <c r="O340" s="29"/>
      <c r="P340" s="34">
        <f>+P336-P338</f>
        <v>-1716195.1200000062</v>
      </c>
      <c r="Q340" s="14"/>
      <c r="R340" s="31">
        <f>IF(P$12=0,0,P340/P$12)</f>
        <v>-0.21158462397762839</v>
      </c>
      <c r="S340" s="14"/>
      <c r="T340" s="34">
        <f>+T336-T338</f>
        <v>-824898.89999999967</v>
      </c>
      <c r="U340" s="14"/>
      <c r="V340" s="31">
        <f>IF(T$12=0,0,T340/T$12)</f>
        <v>-6.804441618098471E-2</v>
      </c>
      <c r="W340" s="15"/>
      <c r="X340" s="34">
        <f>P340-T340</f>
        <v>-891296.22000000649</v>
      </c>
      <c r="Y340" s="15"/>
      <c r="Z340" s="31">
        <f>IF(T340=0,0,X340/T340)</f>
        <v>1.0804914638630345</v>
      </c>
    </row>
    <row r="341" spans="1:26" ht="15.75" thickTop="1" x14ac:dyDescent="0.25">
      <c r="A341" s="9"/>
      <c r="B341" s="9"/>
      <c r="C341" s="9"/>
      <c r="D341" s="3"/>
      <c r="E341" s="3"/>
      <c r="F341" s="8"/>
      <c r="G341" s="3"/>
      <c r="H341" s="3"/>
      <c r="I341" s="3"/>
      <c r="J341" s="8"/>
      <c r="K341" s="3"/>
      <c r="L341" s="3"/>
      <c r="M341" s="3"/>
      <c r="N341" s="8"/>
      <c r="P341" s="3"/>
      <c r="Q341" s="3"/>
      <c r="R341" s="8"/>
      <c r="S341" s="3"/>
      <c r="T341" s="3"/>
      <c r="U341" s="3"/>
      <c r="V341" s="8"/>
      <c r="W341" s="3"/>
      <c r="X341" s="3"/>
      <c r="Y341" s="3"/>
      <c r="Z341" s="8"/>
    </row>
    <row r="342" spans="1:26" x14ac:dyDescent="0.25">
      <c r="A342" s="9"/>
      <c r="B342" s="9"/>
      <c r="C342" s="9"/>
      <c r="D342" s="3"/>
      <c r="E342" s="3"/>
      <c r="F342" s="8"/>
      <c r="G342" s="3"/>
      <c r="H342" s="3"/>
      <c r="I342" s="3"/>
      <c r="J342" s="8"/>
      <c r="K342" s="3"/>
      <c r="L342" s="3"/>
      <c r="M342" s="3"/>
      <c r="N342" s="8"/>
      <c r="P342" s="3"/>
      <c r="Q342" s="3"/>
      <c r="R342" s="8"/>
      <c r="S342" s="3"/>
      <c r="T342" s="3"/>
      <c r="U342" s="3"/>
      <c r="V342" s="8"/>
      <c r="W342" s="3"/>
      <c r="X342" s="3"/>
      <c r="Y342" s="3"/>
      <c r="Z342" s="8"/>
    </row>
    <row r="343" spans="1:26" s="24" customFormat="1" ht="15.75" thickBot="1" x14ac:dyDescent="0.3">
      <c r="A343" s="11"/>
      <c r="B343" s="28" t="s">
        <v>293</v>
      </c>
      <c r="C343" s="28"/>
      <c r="D343" s="33">
        <f>SUM(D340:D342)</f>
        <v>-388572.66000000003</v>
      </c>
      <c r="E343" s="14"/>
      <c r="F343" s="35">
        <f>IF(D$12=0,0,D343/D$12)</f>
        <v>-1.1804042509815651</v>
      </c>
      <c r="G343" s="14"/>
      <c r="H343" s="33">
        <f>SUM(H340:H342)</f>
        <v>-638510.99000000034</v>
      </c>
      <c r="I343" s="14"/>
      <c r="J343" s="35">
        <f>IF(H$12=0,0,H343/H$12)</f>
        <v>-0.96933036850361232</v>
      </c>
      <c r="K343" s="15"/>
      <c r="L343" s="33">
        <f>+D343-H343</f>
        <v>249938.33000000031</v>
      </c>
      <c r="M343" s="15"/>
      <c r="N343" s="35">
        <f>IF(H343=0,0,L343/H343)</f>
        <v>-0.39143935486529396</v>
      </c>
      <c r="O343" s="29"/>
      <c r="P343" s="33">
        <f>SUM(P340:P342)</f>
        <v>-1716195.1200000062</v>
      </c>
      <c r="Q343" s="14"/>
      <c r="R343" s="35">
        <f>IF(P$12=0,0,P343/P$12)</f>
        <v>-0.21158462397762839</v>
      </c>
      <c r="S343" s="14"/>
      <c r="T343" s="33">
        <f>SUM(T340:T342)</f>
        <v>-824898.89999999967</v>
      </c>
      <c r="U343" s="14"/>
      <c r="V343" s="35">
        <f>IF(T$12=0,0,T343/T$12)</f>
        <v>-6.804441618098471E-2</v>
      </c>
      <c r="W343" s="15"/>
      <c r="X343" s="33">
        <f>+P343-T343</f>
        <v>-891296.22000000649</v>
      </c>
      <c r="Y343" s="15"/>
      <c r="Z343" s="35">
        <f>IF(T343=0,0,X343/T343)</f>
        <v>1.0804914638630345</v>
      </c>
    </row>
    <row r="344" spans="1:26" ht="15.75" thickTop="1" x14ac:dyDescent="0.25">
      <c r="A344" s="9"/>
      <c r="C344" s="9"/>
      <c r="D344" s="18"/>
      <c r="E344" s="18"/>
      <c r="G344" s="18"/>
      <c r="H344" s="18"/>
      <c r="I344" s="18"/>
      <c r="J344" s="43"/>
      <c r="K344" s="18"/>
      <c r="L344" s="18"/>
      <c r="M344" s="18"/>
      <c r="P344" s="18"/>
      <c r="Q344" s="18"/>
      <c r="R344" s="43"/>
      <c r="S344" s="18"/>
      <c r="T344" s="18"/>
      <c r="U344" s="18"/>
      <c r="V344" s="43"/>
      <c r="W344" s="18"/>
      <c r="X344" s="18"/>
    </row>
    <row r="345" spans="1:26" x14ac:dyDescent="0.25">
      <c r="A345" s="9"/>
      <c r="B345" s="56">
        <v>44454.698528668981</v>
      </c>
      <c r="D345" s="18"/>
      <c r="E345" s="18"/>
      <c r="G345" s="18"/>
      <c r="H345" s="18"/>
      <c r="I345" s="18"/>
      <c r="J345" s="43"/>
      <c r="K345" s="18"/>
      <c r="L345" s="18"/>
      <c r="M345" s="18"/>
      <c r="P345" s="18"/>
      <c r="Q345" s="18"/>
      <c r="R345" s="43"/>
      <c r="S345" s="18"/>
      <c r="T345" s="18"/>
      <c r="U345" s="18"/>
      <c r="V345" s="43"/>
      <c r="W345" s="18"/>
      <c r="X345" s="18"/>
    </row>
    <row r="346" spans="1:26" x14ac:dyDescent="0.25">
      <c r="A346" s="9"/>
      <c r="B346" s="55" t="s">
        <v>56</v>
      </c>
      <c r="D346" s="18"/>
      <c r="E346" s="18"/>
      <c r="G346" s="18"/>
      <c r="H346" s="18"/>
      <c r="I346" s="18"/>
      <c r="J346" s="43"/>
      <c r="K346" s="18"/>
      <c r="L346" s="18"/>
      <c r="M346" s="18"/>
      <c r="P346" s="18"/>
      <c r="Q346" s="18"/>
      <c r="R346" s="43"/>
      <c r="S346" s="18"/>
      <c r="T346" s="18"/>
      <c r="U346" s="18"/>
      <c r="V346" s="43"/>
      <c r="W346" s="18"/>
      <c r="X346" s="18"/>
    </row>
    <row r="347" spans="1:26" x14ac:dyDescent="0.25">
      <c r="A347" s="9"/>
      <c r="B347" s="60"/>
      <c r="D347" s="18"/>
      <c r="E347" s="18"/>
      <c r="G347" s="18"/>
      <c r="H347" s="18"/>
      <c r="I347" s="18"/>
      <c r="J347" s="43"/>
      <c r="K347" s="18"/>
      <c r="L347" s="18"/>
      <c r="M347" s="18"/>
      <c r="P347" s="18"/>
      <c r="Q347" s="18"/>
      <c r="R347" s="43"/>
      <c r="S347" s="18"/>
      <c r="T347" s="18"/>
      <c r="U347" s="18"/>
      <c r="V347" s="43"/>
      <c r="W347" s="18"/>
      <c r="X347" s="18"/>
    </row>
    <row r="348" spans="1:26" x14ac:dyDescent="0.25">
      <c r="D348" s="18"/>
      <c r="E348" s="18"/>
      <c r="G348" s="18"/>
      <c r="H348" s="18"/>
      <c r="I348" s="18"/>
      <c r="J348" s="43"/>
      <c r="K348" s="18"/>
      <c r="L348" s="18"/>
      <c r="M348" s="18"/>
      <c r="P348" s="18"/>
      <c r="Q348" s="18"/>
      <c r="R348" s="43"/>
      <c r="S348" s="18"/>
      <c r="T348" s="18"/>
      <c r="U348" s="18"/>
      <c r="V348" s="43"/>
      <c r="W348" s="18"/>
      <c r="X348" s="18"/>
    </row>
  </sheetData>
  <pageMargins left="0.25" right="0.25" top="0.75" bottom="0.75" header="0.3" footer="0.3"/>
  <pageSetup scale="55" fitToWidth="2" orientation="landscape"/>
  <drawing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>
    <tabColor rgb="FF92D050"/>
    <outlinePr summaryBelow="0" summaryRight="0"/>
  </sheetPr>
  <dimension ref="A2:Z119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62" t="s">
        <v>23</v>
      </c>
    </row>
    <row r="3" spans="1:26" x14ac:dyDescent="0.25">
      <c r="D3" s="62" t="s">
        <v>236</v>
      </c>
      <c r="E3" s="17"/>
      <c r="F3" s="46"/>
      <c r="G3" s="17"/>
      <c r="H3" s="17"/>
      <c r="I3" s="17"/>
      <c r="J3" s="38"/>
      <c r="K3" s="17"/>
      <c r="L3" s="17"/>
      <c r="M3" s="17"/>
      <c r="N3" s="46"/>
      <c r="O3" s="53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2" t="str">
        <f>CONCATENATE("Period ",RIGHT(202112,2),", ",2021)</f>
        <v>Period 12, 2021</v>
      </c>
      <c r="E4" s="17"/>
      <c r="F4" s="46"/>
      <c r="G4" s="17"/>
      <c r="H4" s="17"/>
      <c r="I4" s="17"/>
      <c r="J4" s="38"/>
      <c r="K4" s="17"/>
      <c r="L4" s="17"/>
      <c r="M4" s="17"/>
      <c r="N4" s="46"/>
      <c r="O4" s="53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4"/>
      <c r="D5" s="63">
        <v>44377</v>
      </c>
      <c r="E5" s="17"/>
      <c r="F5" s="46"/>
      <c r="G5" s="17"/>
      <c r="H5" s="17"/>
      <c r="I5" s="17"/>
      <c r="J5" s="38"/>
      <c r="K5" s="17"/>
      <c r="L5" s="17"/>
      <c r="M5" s="17"/>
      <c r="N5" s="46"/>
      <c r="O5" s="53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4"/>
      <c r="B6" s="48"/>
      <c r="C6" s="48"/>
      <c r="D6" s="24" t="str">
        <f>CONCATENATE("Department ","301", " - ", "Bookstore Operations")</f>
        <v>Department 301 - Bookstore Operations</v>
      </c>
      <c r="E6" s="17"/>
      <c r="F6" s="46"/>
      <c r="G6" s="17"/>
      <c r="H6" s="17"/>
      <c r="I6" s="17"/>
      <c r="J6" s="38"/>
      <c r="K6" s="17"/>
      <c r="L6" s="17"/>
      <c r="M6" s="17"/>
      <c r="N6" s="46"/>
      <c r="O6" s="54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9"/>
    </row>
    <row r="8" spans="1:26" x14ac:dyDescent="0.25">
      <c r="B8" s="59"/>
    </row>
    <row r="9" spans="1:26" x14ac:dyDescent="0.25">
      <c r="B9" s="9"/>
      <c r="C9" s="9"/>
      <c r="D9" s="16" t="s">
        <v>291</v>
      </c>
      <c r="E9" s="16"/>
      <c r="F9" s="39"/>
      <c r="G9" s="16"/>
      <c r="H9" s="16"/>
      <c r="I9" s="16"/>
      <c r="J9" s="49"/>
      <c r="K9" s="16"/>
      <c r="L9" s="16"/>
      <c r="M9" s="16"/>
      <c r="N9" s="39"/>
      <c r="P9" s="16" t="s">
        <v>39</v>
      </c>
      <c r="Q9" s="16"/>
      <c r="R9" s="39"/>
      <c r="S9" s="16"/>
      <c r="T9" s="16"/>
      <c r="U9" s="16"/>
      <c r="V9" s="49"/>
      <c r="W9" s="16"/>
      <c r="X9" s="16"/>
      <c r="Y9" s="16"/>
      <c r="Z9" s="39"/>
    </row>
    <row r="10" spans="1:26" x14ac:dyDescent="0.25">
      <c r="A10" s="11"/>
      <c r="B10" s="58"/>
      <c r="C10" s="11"/>
      <c r="D10" s="42" t="s">
        <v>57</v>
      </c>
      <c r="E10" s="36"/>
      <c r="F10" s="30" t="s">
        <v>40</v>
      </c>
      <c r="G10" s="36"/>
      <c r="H10" s="50" t="s">
        <v>237</v>
      </c>
      <c r="I10" s="36"/>
      <c r="J10" s="30" t="s">
        <v>40</v>
      </c>
      <c r="K10" s="11"/>
      <c r="L10" s="42" t="s">
        <v>126</v>
      </c>
      <c r="M10" s="11"/>
      <c r="N10" s="30" t="s">
        <v>257</v>
      </c>
      <c r="O10" s="11"/>
      <c r="P10" s="61" t="s">
        <v>57</v>
      </c>
      <c r="Q10" s="36"/>
      <c r="R10" s="30" t="s">
        <v>40</v>
      </c>
      <c r="S10" s="36"/>
      <c r="T10" s="50" t="s">
        <v>237</v>
      </c>
      <c r="U10" s="36"/>
      <c r="V10" s="30" t="s">
        <v>40</v>
      </c>
      <c r="W10" s="11"/>
      <c r="X10" s="42" t="s">
        <v>126</v>
      </c>
      <c r="Y10" s="11"/>
      <c r="Z10" s="30" t="s">
        <v>257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4" customFormat="1" x14ac:dyDescent="0.25">
      <c r="A12" s="11"/>
      <c r="B12" s="29" t="s">
        <v>139</v>
      </c>
      <c r="C12" s="11"/>
      <c r="D12" s="4">
        <f>SUM(0)</f>
        <v>0</v>
      </c>
      <c r="E12" s="4"/>
      <c r="F12" s="13"/>
      <c r="G12" s="4"/>
      <c r="H12" s="4">
        <f>SUM(0)</f>
        <v>0</v>
      </c>
      <c r="I12" s="4"/>
      <c r="J12" s="13"/>
      <c r="K12" s="4"/>
      <c r="L12" s="4">
        <f>+D12-H12</f>
        <v>0</v>
      </c>
      <c r="M12" s="4"/>
      <c r="N12" s="13">
        <f>IF(H12=0,0,L12/H12)</f>
        <v>0</v>
      </c>
      <c r="O12" s="11"/>
      <c r="P12" s="4">
        <f>SUM(0)</f>
        <v>0</v>
      </c>
      <c r="Q12" s="4"/>
      <c r="R12" s="13"/>
      <c r="S12" s="4"/>
      <c r="T12" s="4">
        <f>SUM(0)</f>
        <v>0</v>
      </c>
      <c r="U12" s="4"/>
      <c r="V12" s="13"/>
      <c r="W12" s="4"/>
      <c r="X12" s="4">
        <f>+P12-T12</f>
        <v>0</v>
      </c>
      <c r="Y12" s="4"/>
      <c r="Z12" s="13">
        <f>IF(T12=0,0,X12/T12)</f>
        <v>0</v>
      </c>
    </row>
    <row r="13" spans="1:26" x14ac:dyDescent="0.25">
      <c r="A13" s="9"/>
      <c r="B13" s="11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4" customFormat="1" collapsed="1" x14ac:dyDescent="0.25">
      <c r="A14" s="11"/>
      <c r="B14" s="29" t="s">
        <v>256</v>
      </c>
      <c r="C14" s="11"/>
      <c r="D14" s="4">
        <f>SUM(OSRRefD16x_0)</f>
        <v>0</v>
      </c>
      <c r="E14" s="4"/>
      <c r="F14" s="13">
        <f t="shared" ref="F14:F15" si="0">IF(D$12=0,0,D14/D$12)</f>
        <v>0</v>
      </c>
      <c r="G14" s="4"/>
      <c r="H14" s="4">
        <f>SUM(OSRRefH16x_0)</f>
        <v>0</v>
      </c>
      <c r="I14" s="4"/>
      <c r="J14" s="13">
        <f t="shared" ref="J14:J15" si="1">IF(H$12=0,0,H14/H$12)</f>
        <v>0</v>
      </c>
      <c r="K14" s="4"/>
      <c r="L14" s="4">
        <f t="shared" ref="L14:L15" si="2">+D14-H14</f>
        <v>0</v>
      </c>
      <c r="M14" s="4"/>
      <c r="N14" s="13">
        <f t="shared" ref="N14:N15" si="3">IF(H14=0,0,L14/H14)</f>
        <v>0</v>
      </c>
      <c r="O14" s="11"/>
      <c r="P14" s="4">
        <f>SUM(OSRRefP16x_0)</f>
        <v>0</v>
      </c>
      <c r="Q14" s="4"/>
      <c r="R14" s="13">
        <f t="shared" ref="R14:R15" si="4">IF(P$12=0,0,P14/P$12)</f>
        <v>0</v>
      </c>
      <c r="S14" s="4"/>
      <c r="T14" s="4">
        <f>SUM(OSRRefT16x_0)</f>
        <v>0</v>
      </c>
      <c r="U14" s="4"/>
      <c r="V14" s="13">
        <f t="shared" ref="V14:V15" si="5">IF(T$12=0,0,T14/T$12)</f>
        <v>0</v>
      </c>
      <c r="W14" s="4"/>
      <c r="X14" s="4">
        <f t="shared" ref="X14:X15" si="6">+P14-T14</f>
        <v>0</v>
      </c>
      <c r="Y14" s="4"/>
      <c r="Z14" s="13">
        <f t="shared" ref="Z14:Z15" si="7">IF(T14=0,0,X14/T14)</f>
        <v>0</v>
      </c>
    </row>
    <row r="15" spans="1:26" s="23" customFormat="1" hidden="1" outlineLevel="1" x14ac:dyDescent="0.25">
      <c r="A15" s="44"/>
      <c r="B15" s="10" t="str">
        <f>CONCATENATE("          ", "5501", " - ", "FREIGHT-IN-NEW TEXT")</f>
        <v xml:space="preserve">          5501 - FREIGHT-IN-NEW TEXT</v>
      </c>
      <c r="C15" s="10"/>
      <c r="D15" s="2"/>
      <c r="E15" s="2"/>
      <c r="F15" s="19">
        <f t="shared" si="0"/>
        <v>0</v>
      </c>
      <c r="G15" s="2"/>
      <c r="H15" s="2"/>
      <c r="I15" s="2"/>
      <c r="J15" s="19">
        <f t="shared" si="1"/>
        <v>0</v>
      </c>
      <c r="K15" s="2"/>
      <c r="L15" s="2">
        <f t="shared" si="2"/>
        <v>0</v>
      </c>
      <c r="M15" s="2"/>
      <c r="N15" s="19">
        <f t="shared" si="3"/>
        <v>0</v>
      </c>
      <c r="O15" s="10"/>
      <c r="P15" s="2">
        <v>0</v>
      </c>
      <c r="Q15" s="2"/>
      <c r="R15" s="19">
        <f t="shared" si="4"/>
        <v>0</v>
      </c>
      <c r="S15" s="2"/>
      <c r="T15" s="2"/>
      <c r="U15" s="2"/>
      <c r="V15" s="19">
        <f t="shared" si="5"/>
        <v>0</v>
      </c>
      <c r="W15" s="2"/>
      <c r="X15" s="2">
        <f t="shared" si="6"/>
        <v>0</v>
      </c>
      <c r="Y15" s="2"/>
      <c r="Z15" s="19">
        <f t="shared" si="7"/>
        <v>0</v>
      </c>
    </row>
    <row r="16" spans="1:26" x14ac:dyDescent="0.25">
      <c r="A16" s="9"/>
      <c r="B16" s="11"/>
      <c r="C16" s="11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O16" s="11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4" customFormat="1" x14ac:dyDescent="0.25">
      <c r="A17" s="11"/>
      <c r="B17" s="28" t="s">
        <v>107</v>
      </c>
      <c r="C17" s="28"/>
      <c r="D17" s="21">
        <f>D12-D14</f>
        <v>0</v>
      </c>
      <c r="E17" s="14"/>
      <c r="F17" s="22">
        <f>IF(D$12=0,0,D17/D$12)</f>
        <v>0</v>
      </c>
      <c r="G17" s="14"/>
      <c r="H17" s="21">
        <f>H12-H14</f>
        <v>0</v>
      </c>
      <c r="I17" s="14"/>
      <c r="J17" s="22">
        <f>IF(H$12=0,0,H17/H$12)</f>
        <v>0</v>
      </c>
      <c r="K17" s="15"/>
      <c r="L17" s="21">
        <f>+D17-H17</f>
        <v>0</v>
      </c>
      <c r="M17" s="15"/>
      <c r="N17" s="22">
        <f>IF(H17=0,0,L17/H17)</f>
        <v>0</v>
      </c>
      <c r="O17" s="29"/>
      <c r="P17" s="21">
        <f>P12-P14</f>
        <v>0</v>
      </c>
      <c r="Q17" s="14"/>
      <c r="R17" s="22">
        <f>IF(P$12=0,0,P17/P$12)</f>
        <v>0</v>
      </c>
      <c r="S17" s="14"/>
      <c r="T17" s="21">
        <f>T12-T14</f>
        <v>0</v>
      </c>
      <c r="U17" s="14"/>
      <c r="V17" s="22">
        <f>IF(T$12=0,0,T17/T$12)</f>
        <v>0</v>
      </c>
      <c r="W17" s="15"/>
      <c r="X17" s="21">
        <f>+P17-T17</f>
        <v>0</v>
      </c>
      <c r="Y17" s="15"/>
      <c r="Z17" s="22">
        <f>IF(T17=0,0,X17/T17)</f>
        <v>0</v>
      </c>
    </row>
    <row r="18" spans="1:26" x14ac:dyDescent="0.25">
      <c r="A18" s="9"/>
      <c r="B18" s="11"/>
      <c r="C18" s="9"/>
      <c r="D18" s="1"/>
      <c r="E18" s="1"/>
      <c r="F18" s="5"/>
      <c r="G18" s="1"/>
      <c r="H18" s="1"/>
      <c r="I18" s="1"/>
      <c r="J18" s="5"/>
      <c r="K18" s="1"/>
      <c r="L18" s="1"/>
      <c r="M18" s="1"/>
      <c r="N18" s="5"/>
      <c r="O18" s="37"/>
      <c r="P18" s="1"/>
      <c r="Q18" s="1"/>
      <c r="R18" s="5"/>
      <c r="S18" s="1"/>
      <c r="T18" s="1"/>
      <c r="U18" s="1"/>
      <c r="V18" s="5"/>
      <c r="W18" s="1"/>
      <c r="X18" s="1"/>
      <c r="Y18" s="1"/>
      <c r="Z18" s="5"/>
    </row>
    <row r="19" spans="1:26" s="24" customFormat="1" x14ac:dyDescent="0.25">
      <c r="A19" s="11"/>
      <c r="B19" s="29" t="s">
        <v>294</v>
      </c>
      <c r="C19" s="11"/>
      <c r="D19" s="20">
        <f>SUM(OSRRefD22x_0)</f>
        <v>128997.91</v>
      </c>
      <c r="E19" s="20"/>
      <c r="F19" s="32">
        <f t="shared" ref="F19:F30" si="8">IF(D$12=0,0,D19/D$12)</f>
        <v>0</v>
      </c>
      <c r="G19" s="20"/>
      <c r="H19" s="20">
        <f>SUM(OSRRefH22x_0)</f>
        <v>-21885.530000000006</v>
      </c>
      <c r="I19" s="20"/>
      <c r="J19" s="32">
        <f t="shared" ref="J19:J30" si="9">IF(H$12=0,0,H19/H$12)</f>
        <v>0</v>
      </c>
      <c r="K19" s="4"/>
      <c r="L19" s="20">
        <f t="shared" ref="L19:L30" si="10">+D19-H19</f>
        <v>150883.44</v>
      </c>
      <c r="M19" s="4"/>
      <c r="N19" s="32">
        <f t="shared" ref="N19:N30" si="11">IF(H19=0,0,L19/H19)</f>
        <v>-6.8942100099929018</v>
      </c>
      <c r="O19" s="11"/>
      <c r="P19" s="20">
        <f>SUM(OSRRefP22x_0)</f>
        <v>1437868.1599999997</v>
      </c>
      <c r="Q19" s="20"/>
      <c r="R19" s="32">
        <f t="shared" ref="R19:R30" si="12">IF(P$12=0,0,P19/P$12)</f>
        <v>0</v>
      </c>
      <c r="S19" s="20"/>
      <c r="T19" s="20">
        <f>SUM(OSRRefT22x_0)</f>
        <v>1196390.1899999995</v>
      </c>
      <c r="U19" s="20"/>
      <c r="V19" s="32">
        <f t="shared" ref="V19:V30" si="13">IF(T$12=0,0,T19/T$12)</f>
        <v>0</v>
      </c>
      <c r="W19" s="4"/>
      <c r="X19" s="20">
        <f t="shared" ref="X19:X30" si="14">+P19-T19</f>
        <v>241477.9700000002</v>
      </c>
      <c r="Y19" s="4"/>
      <c r="Z19" s="32">
        <f t="shared" ref="Z19:Z30" si="15">IF(T19=0,0,X19/T19)</f>
        <v>0.20183880812329322</v>
      </c>
    </row>
    <row r="20" spans="1:26" s="27" customFormat="1" outlineLevel="1" collapsed="1" x14ac:dyDescent="0.25">
      <c r="A20" s="26"/>
      <c r="B20" s="12" t="str">
        <f>CONCATENATE("     ","*Benefits                                         ")</f>
        <v xml:space="preserve">     *Benefits                                         </v>
      </c>
      <c r="C20" s="12"/>
      <c r="D20" s="1">
        <f>SUM(OSRRefD22_0x_0)</f>
        <v>16865.480000000003</v>
      </c>
      <c r="E20" s="1"/>
      <c r="F20" s="5">
        <f t="shared" si="8"/>
        <v>0</v>
      </c>
      <c r="G20" s="1"/>
      <c r="H20" s="1">
        <f>SUM(OSRRefH22_0x_0)</f>
        <v>808.92</v>
      </c>
      <c r="I20" s="1"/>
      <c r="J20" s="5">
        <f t="shared" si="9"/>
        <v>0</v>
      </c>
      <c r="K20" s="1"/>
      <c r="L20" s="1">
        <f t="shared" si="10"/>
        <v>16056.560000000003</v>
      </c>
      <c r="M20" s="1"/>
      <c r="N20" s="5">
        <f t="shared" si="11"/>
        <v>19.849379419472882</v>
      </c>
      <c r="O20" s="12"/>
      <c r="P20" s="1">
        <f>SUM(OSRRefP22_0x_0)</f>
        <v>128077.10999999999</v>
      </c>
      <c r="Q20" s="1"/>
      <c r="R20" s="5">
        <f t="shared" si="12"/>
        <v>0</v>
      </c>
      <c r="S20" s="1"/>
      <c r="T20" s="1">
        <f>SUM(OSRRefT22_0x_0)</f>
        <v>96872.78</v>
      </c>
      <c r="U20" s="1"/>
      <c r="V20" s="5">
        <f t="shared" si="13"/>
        <v>0</v>
      </c>
      <c r="W20" s="1"/>
      <c r="X20" s="1">
        <f t="shared" si="14"/>
        <v>31204.329999999987</v>
      </c>
      <c r="Y20" s="1"/>
      <c r="Z20" s="5">
        <f t="shared" si="15"/>
        <v>0.32211659456867026</v>
      </c>
    </row>
    <row r="21" spans="1:26" s="23" customFormat="1" hidden="1" outlineLevel="2" x14ac:dyDescent="0.25">
      <c r="A21" s="25"/>
      <c r="B21" s="10" t="str">
        <f>CONCATENATE("          ", "6111", " - ", "F.I.C.A.")</f>
        <v xml:space="preserve">          6111 - F.I.C.A.</v>
      </c>
      <c r="C21" s="10"/>
      <c r="D21" s="6">
        <v>2598.31</v>
      </c>
      <c r="E21" s="2"/>
      <c r="F21" s="7">
        <f t="shared" si="8"/>
        <v>0</v>
      </c>
      <c r="G21" s="2"/>
      <c r="H21" s="6">
        <v>287.33999999999997</v>
      </c>
      <c r="I21" s="2"/>
      <c r="J21" s="7">
        <f t="shared" si="9"/>
        <v>0</v>
      </c>
      <c r="K21" s="2"/>
      <c r="L21" s="6">
        <f t="shared" si="10"/>
        <v>2310.9699999999998</v>
      </c>
      <c r="M21" s="2"/>
      <c r="N21" s="7">
        <f t="shared" si="11"/>
        <v>8.0426324215215423</v>
      </c>
      <c r="O21" s="10"/>
      <c r="P21" s="6">
        <v>28065.61</v>
      </c>
      <c r="Q21" s="2"/>
      <c r="R21" s="7">
        <f t="shared" si="12"/>
        <v>0</v>
      </c>
      <c r="S21" s="2"/>
      <c r="T21" s="6">
        <v>24928.37</v>
      </c>
      <c r="U21" s="2"/>
      <c r="V21" s="7">
        <f t="shared" si="13"/>
        <v>0</v>
      </c>
      <c r="W21" s="2"/>
      <c r="X21" s="6">
        <f t="shared" si="14"/>
        <v>3137.2400000000016</v>
      </c>
      <c r="Y21" s="2"/>
      <c r="Z21" s="7">
        <f t="shared" si="15"/>
        <v>0.12585018595279202</v>
      </c>
    </row>
    <row r="22" spans="1:26" s="23" customFormat="1" hidden="1" outlineLevel="2" x14ac:dyDescent="0.25">
      <c r="A22" s="25"/>
      <c r="B22" s="10" t="str">
        <f>CONCATENATE("          ", "6112", " - ", "COMPENSATION INSURANCE")</f>
        <v xml:space="preserve">          6112 - COMPENSATION INSURANCE</v>
      </c>
      <c r="C22" s="10"/>
      <c r="D22" s="6">
        <v>611.91</v>
      </c>
      <c r="E22" s="2"/>
      <c r="F22" s="7">
        <f t="shared" si="8"/>
        <v>0</v>
      </c>
      <c r="G22" s="2"/>
      <c r="H22" s="6">
        <v>12.77</v>
      </c>
      <c r="I22" s="2"/>
      <c r="J22" s="7">
        <f t="shared" si="9"/>
        <v>0</v>
      </c>
      <c r="K22" s="2"/>
      <c r="L22" s="6">
        <f t="shared" si="10"/>
        <v>599.14</v>
      </c>
      <c r="M22" s="2"/>
      <c r="N22" s="7">
        <f t="shared" si="11"/>
        <v>46.917776037588098</v>
      </c>
      <c r="O22" s="10"/>
      <c r="P22" s="6">
        <v>8418.57</v>
      </c>
      <c r="Q22" s="2"/>
      <c r="R22" s="7">
        <f t="shared" si="12"/>
        <v>0</v>
      </c>
      <c r="S22" s="2"/>
      <c r="T22" s="6">
        <v>6264.96</v>
      </c>
      <c r="U22" s="2"/>
      <c r="V22" s="7">
        <f t="shared" si="13"/>
        <v>0</v>
      </c>
      <c r="W22" s="2"/>
      <c r="X22" s="6">
        <f t="shared" si="14"/>
        <v>2153.6099999999997</v>
      </c>
      <c r="Y22" s="2"/>
      <c r="Z22" s="7">
        <f t="shared" si="15"/>
        <v>0.343754788538155</v>
      </c>
    </row>
    <row r="23" spans="1:26" s="23" customFormat="1" hidden="1" outlineLevel="2" x14ac:dyDescent="0.25">
      <c r="A23" s="25"/>
      <c r="B23" s="10" t="str">
        <f>CONCATENATE("          ", "6113", " - ", "GROUP INSURANCE")</f>
        <v xml:space="preserve">          6113 - GROUP INSURANCE</v>
      </c>
      <c r="C23" s="10"/>
      <c r="D23" s="6">
        <v>5096.28</v>
      </c>
      <c r="E23" s="2"/>
      <c r="F23" s="7">
        <f t="shared" si="8"/>
        <v>0</v>
      </c>
      <c r="G23" s="2"/>
      <c r="H23" s="6">
        <v>905.2</v>
      </c>
      <c r="I23" s="2"/>
      <c r="J23" s="7">
        <f t="shared" si="9"/>
        <v>0</v>
      </c>
      <c r="K23" s="2"/>
      <c r="L23" s="6">
        <f t="shared" si="10"/>
        <v>4191.08</v>
      </c>
      <c r="M23" s="2"/>
      <c r="N23" s="7">
        <f t="shared" si="11"/>
        <v>4.6300044189129475</v>
      </c>
      <c r="O23" s="10"/>
      <c r="P23" s="6">
        <v>40429.410000000003</v>
      </c>
      <c r="Q23" s="2"/>
      <c r="R23" s="7">
        <f t="shared" si="12"/>
        <v>0</v>
      </c>
      <c r="S23" s="2"/>
      <c r="T23" s="6">
        <v>39694.699999999997</v>
      </c>
      <c r="U23" s="2"/>
      <c r="V23" s="7">
        <f t="shared" si="13"/>
        <v>0</v>
      </c>
      <c r="W23" s="2"/>
      <c r="X23" s="6">
        <f t="shared" si="14"/>
        <v>734.7100000000064</v>
      </c>
      <c r="Y23" s="2"/>
      <c r="Z23" s="7">
        <f t="shared" si="15"/>
        <v>1.850902009588198E-2</v>
      </c>
    </row>
    <row r="24" spans="1:26" s="23" customFormat="1" hidden="1" outlineLevel="2" x14ac:dyDescent="0.25">
      <c r="A24" s="25"/>
      <c r="B24" s="10" t="str">
        <f>CONCATENATE("          ", "6114", " - ", "STATE UNEMPLOYMENT INSURANCE")</f>
        <v xml:space="preserve">          6114 - STATE UNEMPLOYMENT INSURANCE</v>
      </c>
      <c r="C24" s="10"/>
      <c r="D24" s="6">
        <v>93.29</v>
      </c>
      <c r="E24" s="2"/>
      <c r="F24" s="7">
        <f t="shared" si="8"/>
        <v>0</v>
      </c>
      <c r="G24" s="2"/>
      <c r="H24" s="6">
        <v>-1316.72</v>
      </c>
      <c r="I24" s="2"/>
      <c r="J24" s="7">
        <f t="shared" si="9"/>
        <v>0</v>
      </c>
      <c r="K24" s="2"/>
      <c r="L24" s="6">
        <f t="shared" si="10"/>
        <v>1410.01</v>
      </c>
      <c r="M24" s="2"/>
      <c r="N24" s="7">
        <f t="shared" si="11"/>
        <v>-1.0708502946716083</v>
      </c>
      <c r="O24" s="10"/>
      <c r="P24" s="6">
        <v>1306.75</v>
      </c>
      <c r="Q24" s="2"/>
      <c r="R24" s="7">
        <f t="shared" si="12"/>
        <v>0</v>
      </c>
      <c r="S24" s="2"/>
      <c r="T24" s="6">
        <v>0</v>
      </c>
      <c r="U24" s="2"/>
      <c r="V24" s="7">
        <f t="shared" si="13"/>
        <v>0</v>
      </c>
      <c r="W24" s="2"/>
      <c r="X24" s="6">
        <f t="shared" si="14"/>
        <v>1306.75</v>
      </c>
      <c r="Y24" s="2"/>
      <c r="Z24" s="7">
        <f t="shared" si="15"/>
        <v>0</v>
      </c>
    </row>
    <row r="25" spans="1:26" s="23" customFormat="1" hidden="1" outlineLevel="2" x14ac:dyDescent="0.25">
      <c r="A25" s="25"/>
      <c r="B25" s="10" t="str">
        <f>CONCATENATE("          ", "6115", " - ", "P.E.R.S.")</f>
        <v xml:space="preserve">          6115 - P.E.R.S.</v>
      </c>
      <c r="C25" s="10"/>
      <c r="D25" s="6">
        <v>4061.04</v>
      </c>
      <c r="E25" s="2"/>
      <c r="F25" s="7">
        <f t="shared" si="8"/>
        <v>0</v>
      </c>
      <c r="G25" s="2"/>
      <c r="H25" s="6">
        <v>390.79</v>
      </c>
      <c r="I25" s="2"/>
      <c r="J25" s="7">
        <f t="shared" si="9"/>
        <v>0</v>
      </c>
      <c r="K25" s="2"/>
      <c r="L25" s="6">
        <f t="shared" si="10"/>
        <v>3670.25</v>
      </c>
      <c r="M25" s="2"/>
      <c r="N25" s="7">
        <f t="shared" si="11"/>
        <v>9.391872872898487</v>
      </c>
      <c r="O25" s="10"/>
      <c r="P25" s="6">
        <v>17664.84</v>
      </c>
      <c r="Q25" s="2"/>
      <c r="R25" s="7">
        <f t="shared" si="12"/>
        <v>0</v>
      </c>
      <c r="S25" s="2"/>
      <c r="T25" s="6">
        <v>21242</v>
      </c>
      <c r="U25" s="2"/>
      <c r="V25" s="7">
        <f t="shared" si="13"/>
        <v>0</v>
      </c>
      <c r="W25" s="2"/>
      <c r="X25" s="6">
        <f t="shared" si="14"/>
        <v>-3577.16</v>
      </c>
      <c r="Y25" s="2"/>
      <c r="Z25" s="7">
        <f t="shared" si="15"/>
        <v>-0.16840033895113454</v>
      </c>
    </row>
    <row r="26" spans="1:26" s="23" customFormat="1" hidden="1" outlineLevel="2" x14ac:dyDescent="0.25">
      <c r="A26" s="25"/>
      <c r="B26" s="10" t="str">
        <f>CONCATENATE("          ", "6116", " - ", "EDUCATIONAL BENEFITS")</f>
        <v xml:space="preserve">          6116 - EDUCATIONAL BENEFITS</v>
      </c>
      <c r="C26" s="10"/>
      <c r="D26" s="6"/>
      <c r="E26" s="2"/>
      <c r="F26" s="7">
        <f t="shared" si="8"/>
        <v>0</v>
      </c>
      <c r="G26" s="2"/>
      <c r="H26" s="6"/>
      <c r="I26" s="2"/>
      <c r="J26" s="7">
        <f t="shared" si="9"/>
        <v>0</v>
      </c>
      <c r="K26" s="2"/>
      <c r="L26" s="6">
        <f t="shared" si="10"/>
        <v>0</v>
      </c>
      <c r="M26" s="2"/>
      <c r="N26" s="7">
        <f t="shared" si="11"/>
        <v>0</v>
      </c>
      <c r="O26" s="10"/>
      <c r="P26" s="6">
        <v>401.9</v>
      </c>
      <c r="Q26" s="2"/>
      <c r="R26" s="7">
        <f t="shared" si="12"/>
        <v>0</v>
      </c>
      <c r="S26" s="2"/>
      <c r="T26" s="6"/>
      <c r="U26" s="2"/>
      <c r="V26" s="7">
        <f t="shared" si="13"/>
        <v>0</v>
      </c>
      <c r="W26" s="2"/>
      <c r="X26" s="6">
        <f t="shared" si="14"/>
        <v>401.9</v>
      </c>
      <c r="Y26" s="2"/>
      <c r="Z26" s="7">
        <f t="shared" si="15"/>
        <v>0</v>
      </c>
    </row>
    <row r="27" spans="1:26" s="23" customFormat="1" hidden="1" outlineLevel="2" x14ac:dyDescent="0.25">
      <c r="A27" s="25"/>
      <c r="B27" s="10" t="str">
        <f>CONCATENATE("          ", "6117", " - ", "RETIREMENT STAFF HOURLY")</f>
        <v xml:space="preserve">          6117 - RETIREMENT STAFF HOURLY</v>
      </c>
      <c r="C27" s="10"/>
      <c r="D27" s="6">
        <v>284.52999999999997</v>
      </c>
      <c r="E27" s="2"/>
      <c r="F27" s="7">
        <f t="shared" si="8"/>
        <v>0</v>
      </c>
      <c r="G27" s="2"/>
      <c r="H27" s="6"/>
      <c r="I27" s="2"/>
      <c r="J27" s="7">
        <f t="shared" si="9"/>
        <v>0</v>
      </c>
      <c r="K27" s="2"/>
      <c r="L27" s="6">
        <f t="shared" si="10"/>
        <v>284.52999999999997</v>
      </c>
      <c r="M27" s="2"/>
      <c r="N27" s="7">
        <f t="shared" si="11"/>
        <v>0</v>
      </c>
      <c r="O27" s="10"/>
      <c r="P27" s="6">
        <v>1521.45</v>
      </c>
      <c r="Q27" s="2"/>
      <c r="R27" s="7">
        <f t="shared" si="12"/>
        <v>0</v>
      </c>
      <c r="S27" s="2"/>
      <c r="T27" s="6"/>
      <c r="U27" s="2"/>
      <c r="V27" s="7">
        <f t="shared" si="13"/>
        <v>0</v>
      </c>
      <c r="W27" s="2"/>
      <c r="X27" s="6">
        <f t="shared" si="14"/>
        <v>1521.45</v>
      </c>
      <c r="Y27" s="2"/>
      <c r="Z27" s="7">
        <f t="shared" si="15"/>
        <v>0</v>
      </c>
    </row>
    <row r="28" spans="1:26" s="23" customFormat="1" hidden="1" outlineLevel="2" x14ac:dyDescent="0.25">
      <c r="A28" s="25"/>
      <c r="B28" s="10" t="str">
        <f>CONCATENATE("          ", "6118", " - ", "VACATION")</f>
        <v xml:space="preserve">          6118 - VACATION</v>
      </c>
      <c r="C28" s="10"/>
      <c r="D28" s="6">
        <v>1692.34</v>
      </c>
      <c r="E28" s="2"/>
      <c r="F28" s="7">
        <f t="shared" si="8"/>
        <v>0</v>
      </c>
      <c r="G28" s="2"/>
      <c r="H28" s="6">
        <v>353.19</v>
      </c>
      <c r="I28" s="2"/>
      <c r="J28" s="7">
        <f t="shared" si="9"/>
        <v>0</v>
      </c>
      <c r="K28" s="2"/>
      <c r="L28" s="6">
        <f t="shared" si="10"/>
        <v>1339.1499999999999</v>
      </c>
      <c r="M28" s="2"/>
      <c r="N28" s="7">
        <f t="shared" si="11"/>
        <v>3.7915852657209999</v>
      </c>
      <c r="O28" s="10"/>
      <c r="P28" s="6">
        <v>15090.74</v>
      </c>
      <c r="Q28" s="2"/>
      <c r="R28" s="7">
        <f t="shared" si="12"/>
        <v>0</v>
      </c>
      <c r="S28" s="2"/>
      <c r="T28" s="6">
        <v>16122.9</v>
      </c>
      <c r="U28" s="2"/>
      <c r="V28" s="7">
        <f t="shared" si="13"/>
        <v>0</v>
      </c>
      <c r="W28" s="2"/>
      <c r="X28" s="6">
        <f t="shared" si="14"/>
        <v>-1032.1599999999999</v>
      </c>
      <c r="Y28" s="2"/>
      <c r="Z28" s="7">
        <f t="shared" si="15"/>
        <v>-6.4018259742354033E-2</v>
      </c>
    </row>
    <row r="29" spans="1:26" s="23" customFormat="1" hidden="1" outlineLevel="2" x14ac:dyDescent="0.25">
      <c r="A29" s="25"/>
      <c r="B29" s="10" t="str">
        <f>CONCATENATE("          ", "6119", " - ", "SICK LEAVE")</f>
        <v xml:space="preserve">          6119 - SICK LEAVE</v>
      </c>
      <c r="C29" s="10"/>
      <c r="D29" s="6">
        <v>2138.75</v>
      </c>
      <c r="E29" s="2"/>
      <c r="F29" s="7">
        <f t="shared" si="8"/>
        <v>0</v>
      </c>
      <c r="G29" s="2"/>
      <c r="H29" s="6">
        <v>176.35</v>
      </c>
      <c r="I29" s="2"/>
      <c r="J29" s="7">
        <f t="shared" si="9"/>
        <v>0</v>
      </c>
      <c r="K29" s="2"/>
      <c r="L29" s="6">
        <f t="shared" si="10"/>
        <v>1962.4</v>
      </c>
      <c r="M29" s="2"/>
      <c r="N29" s="7">
        <f t="shared" si="11"/>
        <v>11.127870711652964</v>
      </c>
      <c r="O29" s="10"/>
      <c r="P29" s="6">
        <v>12449.08</v>
      </c>
      <c r="Q29" s="2"/>
      <c r="R29" s="7">
        <f t="shared" si="12"/>
        <v>0</v>
      </c>
      <c r="S29" s="2"/>
      <c r="T29" s="6">
        <v>-14372.76</v>
      </c>
      <c r="U29" s="2"/>
      <c r="V29" s="7">
        <f t="shared" si="13"/>
        <v>0</v>
      </c>
      <c r="W29" s="2"/>
      <c r="X29" s="6">
        <f t="shared" si="14"/>
        <v>26821.84</v>
      </c>
      <c r="Y29" s="2"/>
      <c r="Z29" s="7">
        <f t="shared" si="15"/>
        <v>-1.8661579265221153</v>
      </c>
    </row>
    <row r="30" spans="1:26" s="23" customFormat="1" hidden="1" outlineLevel="2" x14ac:dyDescent="0.25">
      <c r="A30" s="25"/>
      <c r="B30" s="10" t="str">
        <f>CONCATENATE("          ", "6156", " - ", "EMPLOYEE MEALS")</f>
        <v xml:space="preserve">          6156 - EMPLOYEE MEALS</v>
      </c>
      <c r="C30" s="10"/>
      <c r="D30" s="6">
        <v>289.02999999999997</v>
      </c>
      <c r="E30" s="2"/>
      <c r="F30" s="7">
        <f t="shared" si="8"/>
        <v>0</v>
      </c>
      <c r="G30" s="2"/>
      <c r="H30" s="6"/>
      <c r="I30" s="2"/>
      <c r="J30" s="7">
        <f t="shared" si="9"/>
        <v>0</v>
      </c>
      <c r="K30" s="2"/>
      <c r="L30" s="6">
        <f t="shared" si="10"/>
        <v>289.02999999999997</v>
      </c>
      <c r="M30" s="2"/>
      <c r="N30" s="7">
        <f t="shared" si="11"/>
        <v>0</v>
      </c>
      <c r="O30" s="10"/>
      <c r="P30" s="6">
        <v>2728.76</v>
      </c>
      <c r="Q30" s="2"/>
      <c r="R30" s="7">
        <f t="shared" si="12"/>
        <v>0</v>
      </c>
      <c r="S30" s="2"/>
      <c r="T30" s="6">
        <v>2992.61</v>
      </c>
      <c r="U30" s="2"/>
      <c r="V30" s="7">
        <f t="shared" si="13"/>
        <v>0</v>
      </c>
      <c r="W30" s="2"/>
      <c r="X30" s="6">
        <f t="shared" si="14"/>
        <v>-263.84999999999991</v>
      </c>
      <c r="Y30" s="2"/>
      <c r="Z30" s="7">
        <f t="shared" si="15"/>
        <v>-8.8167185166125858E-2</v>
      </c>
    </row>
    <row r="31" spans="1:26" s="27" customFormat="1" outlineLevel="1" collapsed="1" x14ac:dyDescent="0.25">
      <c r="A31" s="26"/>
      <c r="B31" s="12" t="str">
        <f>CONCATENATE("     ","*Payroll                                          ")</f>
        <v xml:space="preserve">     *Payroll                                          </v>
      </c>
      <c r="C31" s="12"/>
      <c r="D31" s="1">
        <f>SUM(OSRRefD22_1x_0)</f>
        <v>34034.379999999997</v>
      </c>
      <c r="E31" s="1"/>
      <c r="F31" s="5">
        <f t="shared" ref="F31:F38" si="16">IF(D$12=0,0,D31/D$12)</f>
        <v>0</v>
      </c>
      <c r="G31" s="1"/>
      <c r="H31" s="1">
        <f>SUM(OSRRefH22_1x_0)</f>
        <v>3823.4</v>
      </c>
      <c r="I31" s="1"/>
      <c r="J31" s="5">
        <f t="shared" ref="J31:J38" si="17">IF(H$12=0,0,H31/H$12)</f>
        <v>0</v>
      </c>
      <c r="K31" s="1"/>
      <c r="L31" s="1">
        <f t="shared" ref="L31:L38" si="18">+D31-H31</f>
        <v>30210.979999999996</v>
      </c>
      <c r="M31" s="1"/>
      <c r="N31" s="5">
        <f t="shared" ref="N31:N38" si="19">IF(H31=0,0,L31/H31)</f>
        <v>7.9016006695611223</v>
      </c>
      <c r="O31" s="12"/>
      <c r="P31" s="1">
        <f>SUM(OSRRefP22_1x_0)</f>
        <v>485624.97000000003</v>
      </c>
      <c r="Q31" s="1"/>
      <c r="R31" s="5">
        <f t="shared" ref="R31:R38" si="20">IF(P$12=0,0,P31/P$12)</f>
        <v>0</v>
      </c>
      <c r="S31" s="1"/>
      <c r="T31" s="1">
        <f>SUM(OSRRefT22_1x_0)</f>
        <v>393621.75</v>
      </c>
      <c r="U31" s="1"/>
      <c r="V31" s="5">
        <f t="shared" ref="V31:V38" si="21">IF(T$12=0,0,T31/T$12)</f>
        <v>0</v>
      </c>
      <c r="W31" s="1"/>
      <c r="X31" s="1">
        <f t="shared" ref="X31:X38" si="22">+P31-T31</f>
        <v>92003.22000000003</v>
      </c>
      <c r="Y31" s="1"/>
      <c r="Z31" s="5">
        <f t="shared" ref="Z31:Z38" si="23">IF(T31=0,0,X31/T31)</f>
        <v>0.23373510229046041</v>
      </c>
    </row>
    <row r="32" spans="1:26" s="23" customFormat="1" hidden="1" outlineLevel="2" x14ac:dyDescent="0.25">
      <c r="A32" s="25"/>
      <c r="B32" s="10" t="str">
        <f>CONCATENATE("          ", "6001", " - ", "ADMINISTRATIVE SALARIES")</f>
        <v xml:space="preserve">          6001 - ADMINISTRATIVE SALARIES</v>
      </c>
      <c r="C32" s="10"/>
      <c r="D32" s="6">
        <v>3583.28</v>
      </c>
      <c r="E32" s="2"/>
      <c r="F32" s="7">
        <f t="shared" si="16"/>
        <v>0</v>
      </c>
      <c r="G32" s="2"/>
      <c r="H32" s="6"/>
      <c r="I32" s="2"/>
      <c r="J32" s="7">
        <f t="shared" si="17"/>
        <v>0</v>
      </c>
      <c r="K32" s="2"/>
      <c r="L32" s="6">
        <f t="shared" si="18"/>
        <v>3583.28</v>
      </c>
      <c r="M32" s="2"/>
      <c r="N32" s="7">
        <f t="shared" si="19"/>
        <v>0</v>
      </c>
      <c r="O32" s="10"/>
      <c r="P32" s="6">
        <v>51293.13</v>
      </c>
      <c r="Q32" s="2"/>
      <c r="R32" s="7">
        <f t="shared" si="20"/>
        <v>0</v>
      </c>
      <c r="S32" s="2"/>
      <c r="T32" s="6">
        <v>93238.31</v>
      </c>
      <c r="U32" s="2"/>
      <c r="V32" s="7">
        <f t="shared" si="21"/>
        <v>0</v>
      </c>
      <c r="W32" s="2"/>
      <c r="X32" s="6">
        <f t="shared" si="22"/>
        <v>-41945.18</v>
      </c>
      <c r="Y32" s="2"/>
      <c r="Z32" s="7">
        <f t="shared" si="23"/>
        <v>-0.44987065938882848</v>
      </c>
    </row>
    <row r="33" spans="1:26" s="23" customFormat="1" hidden="1" outlineLevel="2" x14ac:dyDescent="0.25">
      <c r="A33" s="25"/>
      <c r="B33" s="10" t="str">
        <f>CONCATENATE("          ", "6002", " - ", "STAFF SALARIES")</f>
        <v xml:space="preserve">          6002 - STAFF SALARIES</v>
      </c>
      <c r="C33" s="10"/>
      <c r="D33" s="6">
        <v>9215.4</v>
      </c>
      <c r="E33" s="2"/>
      <c r="F33" s="7">
        <f t="shared" si="16"/>
        <v>0</v>
      </c>
      <c r="G33" s="2"/>
      <c r="H33" s="6">
        <v>3823.4</v>
      </c>
      <c r="I33" s="2"/>
      <c r="J33" s="7">
        <f t="shared" si="17"/>
        <v>0</v>
      </c>
      <c r="K33" s="2"/>
      <c r="L33" s="6">
        <f t="shared" si="18"/>
        <v>5392</v>
      </c>
      <c r="M33" s="2"/>
      <c r="N33" s="7">
        <f t="shared" si="19"/>
        <v>1.4102631165977926</v>
      </c>
      <c r="O33" s="10"/>
      <c r="P33" s="6">
        <v>113216.97</v>
      </c>
      <c r="Q33" s="2"/>
      <c r="R33" s="7">
        <f t="shared" si="20"/>
        <v>0</v>
      </c>
      <c r="S33" s="2"/>
      <c r="T33" s="6">
        <v>68657</v>
      </c>
      <c r="U33" s="2"/>
      <c r="V33" s="7">
        <f t="shared" si="21"/>
        <v>0</v>
      </c>
      <c r="W33" s="2"/>
      <c r="X33" s="6">
        <f t="shared" si="22"/>
        <v>44559.97</v>
      </c>
      <c r="Y33" s="2"/>
      <c r="Z33" s="7">
        <f t="shared" si="23"/>
        <v>0.64902296925295311</v>
      </c>
    </row>
    <row r="34" spans="1:26" s="23" customFormat="1" hidden="1" outlineLevel="2" x14ac:dyDescent="0.25">
      <c r="A34" s="25"/>
      <c r="B34" s="10" t="str">
        <f>CONCATENATE("          ", "6004", " - ", "STAFF HOURLY")</f>
        <v xml:space="preserve">          6004 - STAFF HOURLY</v>
      </c>
      <c r="C34" s="10"/>
      <c r="D34" s="6">
        <v>3451.2</v>
      </c>
      <c r="E34" s="2"/>
      <c r="F34" s="7">
        <f t="shared" si="16"/>
        <v>0</v>
      </c>
      <c r="G34" s="2"/>
      <c r="H34" s="6"/>
      <c r="I34" s="2"/>
      <c r="J34" s="7">
        <f t="shared" si="17"/>
        <v>0</v>
      </c>
      <c r="K34" s="2"/>
      <c r="L34" s="6">
        <f t="shared" si="18"/>
        <v>3451.2</v>
      </c>
      <c r="M34" s="2"/>
      <c r="N34" s="7">
        <f t="shared" si="19"/>
        <v>0</v>
      </c>
      <c r="O34" s="10"/>
      <c r="P34" s="6">
        <v>35337.769999999997</v>
      </c>
      <c r="Q34" s="2"/>
      <c r="R34" s="7">
        <f t="shared" si="20"/>
        <v>0</v>
      </c>
      <c r="S34" s="2"/>
      <c r="T34" s="6">
        <v>-1647.01</v>
      </c>
      <c r="U34" s="2"/>
      <c r="V34" s="7">
        <f t="shared" si="21"/>
        <v>0</v>
      </c>
      <c r="W34" s="2"/>
      <c r="X34" s="6">
        <f t="shared" si="22"/>
        <v>36984.78</v>
      </c>
      <c r="Y34" s="2"/>
      <c r="Z34" s="7">
        <f t="shared" si="23"/>
        <v>-22.45571065142288</v>
      </c>
    </row>
    <row r="35" spans="1:26" s="23" customFormat="1" hidden="1" outlineLevel="2" x14ac:dyDescent="0.25">
      <c r="A35" s="25"/>
      <c r="B35" s="10" t="str">
        <f>CONCATENATE("          ", "6005", " - ", "TEMPORARY WAGES-HOURLY")</f>
        <v xml:space="preserve">          6005 - TEMPORARY WAGES-HOURLY</v>
      </c>
      <c r="C35" s="10"/>
      <c r="D35" s="6">
        <v>2227.59</v>
      </c>
      <c r="E35" s="2"/>
      <c r="F35" s="7">
        <f t="shared" si="16"/>
        <v>0</v>
      </c>
      <c r="G35" s="2"/>
      <c r="H35" s="6"/>
      <c r="I35" s="2"/>
      <c r="J35" s="7">
        <f t="shared" si="17"/>
        <v>0</v>
      </c>
      <c r="K35" s="2"/>
      <c r="L35" s="6">
        <f t="shared" si="18"/>
        <v>2227.59</v>
      </c>
      <c r="M35" s="2"/>
      <c r="N35" s="7">
        <f t="shared" si="19"/>
        <v>0</v>
      </c>
      <c r="O35" s="10"/>
      <c r="P35" s="6">
        <v>76810.009999999995</v>
      </c>
      <c r="Q35" s="2"/>
      <c r="R35" s="7">
        <f t="shared" si="20"/>
        <v>0</v>
      </c>
      <c r="S35" s="2"/>
      <c r="T35" s="6">
        <v>59852.88</v>
      </c>
      <c r="U35" s="2"/>
      <c r="V35" s="7">
        <f t="shared" si="21"/>
        <v>0</v>
      </c>
      <c r="W35" s="2"/>
      <c r="X35" s="6">
        <f t="shared" si="22"/>
        <v>16957.129999999997</v>
      </c>
      <c r="Y35" s="2"/>
      <c r="Z35" s="7">
        <f t="shared" si="23"/>
        <v>0.28331351807966465</v>
      </c>
    </row>
    <row r="36" spans="1:26" s="23" customFormat="1" hidden="1" outlineLevel="2" x14ac:dyDescent="0.25">
      <c r="A36" s="25"/>
      <c r="B36" s="10" t="str">
        <f>CONCATENATE("          ", "6006", " - ", "TEMPORARY PART TIME")</f>
        <v xml:space="preserve">          6006 - TEMPORARY PART TIME</v>
      </c>
      <c r="C36" s="10"/>
      <c r="D36" s="6">
        <v>3926.42</v>
      </c>
      <c r="E36" s="2"/>
      <c r="F36" s="7">
        <f t="shared" si="16"/>
        <v>0</v>
      </c>
      <c r="G36" s="2"/>
      <c r="H36" s="6"/>
      <c r="I36" s="2"/>
      <c r="J36" s="7">
        <f t="shared" si="17"/>
        <v>0</v>
      </c>
      <c r="K36" s="2"/>
      <c r="L36" s="6">
        <f t="shared" si="18"/>
        <v>3926.42</v>
      </c>
      <c r="M36" s="2"/>
      <c r="N36" s="7">
        <f t="shared" si="19"/>
        <v>0</v>
      </c>
      <c r="O36" s="10"/>
      <c r="P36" s="6">
        <v>16436.509999999998</v>
      </c>
      <c r="Q36" s="2"/>
      <c r="R36" s="7">
        <f t="shared" si="20"/>
        <v>0</v>
      </c>
      <c r="S36" s="2"/>
      <c r="T36" s="6">
        <v>11923.01</v>
      </c>
      <c r="U36" s="2"/>
      <c r="V36" s="7">
        <f t="shared" si="21"/>
        <v>0</v>
      </c>
      <c r="W36" s="2"/>
      <c r="X36" s="6">
        <f t="shared" si="22"/>
        <v>4513.4999999999982</v>
      </c>
      <c r="Y36" s="2"/>
      <c r="Z36" s="7">
        <f t="shared" si="23"/>
        <v>0.37855373768872108</v>
      </c>
    </row>
    <row r="37" spans="1:26" s="23" customFormat="1" hidden="1" outlineLevel="2" x14ac:dyDescent="0.25">
      <c r="A37" s="25"/>
      <c r="B37" s="10" t="str">
        <f>CONCATENATE("          ", "6007", " - ", "STUDENT HOURLY")</f>
        <v xml:space="preserve">          6007 - STUDENT HOURLY</v>
      </c>
      <c r="C37" s="10"/>
      <c r="D37" s="6">
        <v>11506.17</v>
      </c>
      <c r="E37" s="2"/>
      <c r="F37" s="7">
        <f t="shared" si="16"/>
        <v>0</v>
      </c>
      <c r="G37" s="2"/>
      <c r="H37" s="6"/>
      <c r="I37" s="2"/>
      <c r="J37" s="7">
        <f t="shared" si="17"/>
        <v>0</v>
      </c>
      <c r="K37" s="2"/>
      <c r="L37" s="6">
        <f t="shared" si="18"/>
        <v>11506.17</v>
      </c>
      <c r="M37" s="2"/>
      <c r="N37" s="7">
        <f t="shared" si="19"/>
        <v>0</v>
      </c>
      <c r="O37" s="10"/>
      <c r="P37" s="6">
        <v>192406.26</v>
      </c>
      <c r="Q37" s="2"/>
      <c r="R37" s="7">
        <f t="shared" si="20"/>
        <v>0</v>
      </c>
      <c r="S37" s="2"/>
      <c r="T37" s="6">
        <v>159329.82</v>
      </c>
      <c r="U37" s="2"/>
      <c r="V37" s="7">
        <f t="shared" si="21"/>
        <v>0</v>
      </c>
      <c r="W37" s="2"/>
      <c r="X37" s="6">
        <f t="shared" si="22"/>
        <v>33076.44</v>
      </c>
      <c r="Y37" s="2"/>
      <c r="Z37" s="7">
        <f t="shared" si="23"/>
        <v>0.20759729722910628</v>
      </c>
    </row>
    <row r="38" spans="1:26" s="23" customFormat="1" hidden="1" outlineLevel="2" x14ac:dyDescent="0.25">
      <c r="A38" s="25"/>
      <c r="B38" s="10" t="str">
        <f>CONCATENATE("          ", "6008", " - ", "STUDENT HOURLY-FICA EXEMPT")</f>
        <v xml:space="preserve">          6008 - STUDENT HOURLY-FICA EXEMPT</v>
      </c>
      <c r="C38" s="10"/>
      <c r="D38" s="6">
        <v>124.32</v>
      </c>
      <c r="E38" s="2"/>
      <c r="F38" s="7">
        <f t="shared" si="16"/>
        <v>0</v>
      </c>
      <c r="G38" s="2"/>
      <c r="H38" s="6"/>
      <c r="I38" s="2"/>
      <c r="J38" s="7">
        <f t="shared" si="17"/>
        <v>0</v>
      </c>
      <c r="K38" s="2"/>
      <c r="L38" s="6">
        <f t="shared" si="18"/>
        <v>124.32</v>
      </c>
      <c r="M38" s="2"/>
      <c r="N38" s="7">
        <f t="shared" si="19"/>
        <v>0</v>
      </c>
      <c r="O38" s="10"/>
      <c r="P38" s="6">
        <v>124.32</v>
      </c>
      <c r="Q38" s="2"/>
      <c r="R38" s="7">
        <f t="shared" si="20"/>
        <v>0</v>
      </c>
      <c r="S38" s="2"/>
      <c r="T38" s="6">
        <v>2267.7399999999998</v>
      </c>
      <c r="U38" s="2"/>
      <c r="V38" s="7">
        <f t="shared" si="21"/>
        <v>0</v>
      </c>
      <c r="W38" s="2"/>
      <c r="X38" s="6">
        <f t="shared" si="22"/>
        <v>-2143.4199999999996</v>
      </c>
      <c r="Y38" s="2"/>
      <c r="Z38" s="7">
        <f t="shared" si="23"/>
        <v>-0.94517890057943144</v>
      </c>
    </row>
    <row r="39" spans="1:26" s="27" customFormat="1" outlineLevel="1" collapsed="1" x14ac:dyDescent="0.25">
      <c r="A39" s="26"/>
      <c r="B39" s="12" t="str">
        <f>CONCATENATE("     ","Advertising/Promo                                 ")</f>
        <v xml:space="preserve">     Advertising/Promo                                 </v>
      </c>
      <c r="C39" s="12"/>
      <c r="D39" s="1">
        <f>SUM(OSRRefD22_2x_0)</f>
        <v>0</v>
      </c>
      <c r="E39" s="1"/>
      <c r="F39" s="5">
        <f t="shared" ref="F39:F43" si="24">IF(D$12=0,0,D39/D$12)</f>
        <v>0</v>
      </c>
      <c r="G39" s="1"/>
      <c r="H39" s="1">
        <f>SUM(OSRRefH22_2x_0)</f>
        <v>-2415.19</v>
      </c>
      <c r="I39" s="1"/>
      <c r="J39" s="5">
        <f t="shared" ref="J39:J43" si="25">IF(H$12=0,0,H39/H$12)</f>
        <v>0</v>
      </c>
      <c r="K39" s="1"/>
      <c r="L39" s="1">
        <f t="shared" ref="L39:L43" si="26">+D39-H39</f>
        <v>2415.19</v>
      </c>
      <c r="M39" s="1"/>
      <c r="N39" s="5">
        <f t="shared" ref="N39:N43" si="27">IF(H39=0,0,L39/H39)</f>
        <v>-1</v>
      </c>
      <c r="O39" s="12"/>
      <c r="P39" s="1">
        <f>SUM(OSRRefP22_2x_0)</f>
        <v>525</v>
      </c>
      <c r="Q39" s="1"/>
      <c r="R39" s="5">
        <f t="shared" ref="R39:R43" si="28">IF(P$12=0,0,P39/P$12)</f>
        <v>0</v>
      </c>
      <c r="S39" s="1"/>
      <c r="T39" s="1">
        <f>SUM(OSRRefT22_2x_0)</f>
        <v>11799.88</v>
      </c>
      <c r="U39" s="1"/>
      <c r="V39" s="5">
        <f t="shared" ref="V39:V43" si="29">IF(T$12=0,0,T39/T$12)</f>
        <v>0</v>
      </c>
      <c r="W39" s="1"/>
      <c r="X39" s="1">
        <f t="shared" ref="X39:X43" si="30">+P39-T39</f>
        <v>-11274.88</v>
      </c>
      <c r="Y39" s="1"/>
      <c r="Z39" s="5">
        <f t="shared" ref="Z39:Z43" si="31">IF(T39=0,0,X39/T39)</f>
        <v>-0.95550802211547914</v>
      </c>
    </row>
    <row r="40" spans="1:26" s="23" customFormat="1" hidden="1" outlineLevel="2" x14ac:dyDescent="0.25">
      <c r="A40" s="25"/>
      <c r="B40" s="10" t="str">
        <f>CONCATENATE("          ", "6362", " - ", "ADVERTISING EXPENSE")</f>
        <v xml:space="preserve">          6362 - ADVERTISING EXPENSE</v>
      </c>
      <c r="C40" s="10"/>
      <c r="D40" s="6"/>
      <c r="E40" s="2"/>
      <c r="F40" s="7">
        <f t="shared" si="24"/>
        <v>0</v>
      </c>
      <c r="G40" s="2"/>
      <c r="H40" s="6">
        <v>-2415.19</v>
      </c>
      <c r="I40" s="2"/>
      <c r="J40" s="7">
        <f t="shared" si="25"/>
        <v>0</v>
      </c>
      <c r="K40" s="2"/>
      <c r="L40" s="6">
        <f t="shared" si="26"/>
        <v>2415.19</v>
      </c>
      <c r="M40" s="2"/>
      <c r="N40" s="7">
        <f t="shared" si="27"/>
        <v>-1</v>
      </c>
      <c r="O40" s="10"/>
      <c r="P40" s="6">
        <v>525</v>
      </c>
      <c r="Q40" s="2"/>
      <c r="R40" s="7">
        <f t="shared" si="28"/>
        <v>0</v>
      </c>
      <c r="S40" s="2"/>
      <c r="T40" s="6">
        <v>11799.88</v>
      </c>
      <c r="U40" s="2"/>
      <c r="V40" s="7">
        <f t="shared" si="29"/>
        <v>0</v>
      </c>
      <c r="W40" s="2"/>
      <c r="X40" s="6">
        <f t="shared" si="30"/>
        <v>-11274.88</v>
      </c>
      <c r="Y40" s="2"/>
      <c r="Z40" s="7">
        <f t="shared" si="31"/>
        <v>-0.95550802211547914</v>
      </c>
    </row>
    <row r="41" spans="1:26" s="27" customFormat="1" outlineLevel="1" collapsed="1" x14ac:dyDescent="0.25">
      <c r="A41" s="26"/>
      <c r="B41" s="12" t="str">
        <f>CONCATENATE("     ","Bad Debts/Over/Short                              ")</f>
        <v xml:space="preserve">     Bad Debts/Over/Short                              </v>
      </c>
      <c r="C41" s="12"/>
      <c r="D41" s="1">
        <f>SUM(OSRRefD22_3x_0)</f>
        <v>10.46</v>
      </c>
      <c r="E41" s="1"/>
      <c r="F41" s="5">
        <f t="shared" si="24"/>
        <v>0</v>
      </c>
      <c r="G41" s="1"/>
      <c r="H41" s="1">
        <f>SUM(OSRRefH22_3x_0)</f>
        <v>-2.48</v>
      </c>
      <c r="I41" s="1"/>
      <c r="J41" s="5">
        <f t="shared" si="25"/>
        <v>0</v>
      </c>
      <c r="K41" s="1"/>
      <c r="L41" s="1">
        <f t="shared" si="26"/>
        <v>12.940000000000001</v>
      </c>
      <c r="M41" s="1"/>
      <c r="N41" s="5">
        <f t="shared" si="27"/>
        <v>-5.2177419354838719</v>
      </c>
      <c r="O41" s="12"/>
      <c r="P41" s="1">
        <f>SUM(OSRRefP22_3x_0)</f>
        <v>5238.12</v>
      </c>
      <c r="Q41" s="1"/>
      <c r="R41" s="5">
        <f t="shared" si="28"/>
        <v>0</v>
      </c>
      <c r="S41" s="1"/>
      <c r="T41" s="1">
        <f>SUM(OSRRefT22_3x_0)</f>
        <v>-22.010000000000005</v>
      </c>
      <c r="U41" s="1"/>
      <c r="V41" s="5">
        <f t="shared" si="29"/>
        <v>0</v>
      </c>
      <c r="W41" s="1"/>
      <c r="X41" s="1">
        <f t="shared" si="30"/>
        <v>5260.13</v>
      </c>
      <c r="Y41" s="1"/>
      <c r="Z41" s="5">
        <f t="shared" si="31"/>
        <v>-238.98818718764193</v>
      </c>
    </row>
    <row r="42" spans="1:26" s="23" customFormat="1" hidden="1" outlineLevel="2" x14ac:dyDescent="0.25">
      <c r="A42" s="25"/>
      <c r="B42" s="10" t="str">
        <f>CONCATENATE("          ", "6272", " - ", "CASH (OVER/SHORT)")</f>
        <v xml:space="preserve">          6272 - CASH (OVER/SHORT)</v>
      </c>
      <c r="C42" s="10"/>
      <c r="D42" s="6">
        <v>10.46</v>
      </c>
      <c r="E42" s="2"/>
      <c r="F42" s="7">
        <f t="shared" si="24"/>
        <v>0</v>
      </c>
      <c r="G42" s="2"/>
      <c r="H42" s="6">
        <v>-2.48</v>
      </c>
      <c r="I42" s="2"/>
      <c r="J42" s="7">
        <f t="shared" si="25"/>
        <v>0</v>
      </c>
      <c r="K42" s="2"/>
      <c r="L42" s="6">
        <f t="shared" si="26"/>
        <v>12.940000000000001</v>
      </c>
      <c r="M42" s="2"/>
      <c r="N42" s="7">
        <f t="shared" si="27"/>
        <v>-5.2177419354838719</v>
      </c>
      <c r="O42" s="10"/>
      <c r="P42" s="6">
        <v>-111.3</v>
      </c>
      <c r="Q42" s="2"/>
      <c r="R42" s="7">
        <f t="shared" si="28"/>
        <v>0</v>
      </c>
      <c r="S42" s="2"/>
      <c r="T42" s="6">
        <v>-66.81</v>
      </c>
      <c r="U42" s="2"/>
      <c r="V42" s="7">
        <f t="shared" si="29"/>
        <v>0</v>
      </c>
      <c r="W42" s="2"/>
      <c r="X42" s="6">
        <f t="shared" si="30"/>
        <v>-44.489999999999995</v>
      </c>
      <c r="Y42" s="2"/>
      <c r="Z42" s="7">
        <f t="shared" si="31"/>
        <v>0.66591827570722939</v>
      </c>
    </row>
    <row r="43" spans="1:26" s="23" customFormat="1" hidden="1" outlineLevel="2" x14ac:dyDescent="0.25">
      <c r="A43" s="25"/>
      <c r="B43" s="10" t="str">
        <f>CONCATENATE("          ", "6342", " - ", "BAD DEBT")</f>
        <v xml:space="preserve">          6342 - BAD DEBT</v>
      </c>
      <c r="C43" s="10"/>
      <c r="D43" s="6"/>
      <c r="E43" s="2"/>
      <c r="F43" s="7">
        <f t="shared" si="24"/>
        <v>0</v>
      </c>
      <c r="G43" s="2"/>
      <c r="H43" s="6"/>
      <c r="I43" s="2"/>
      <c r="J43" s="7">
        <f t="shared" si="25"/>
        <v>0</v>
      </c>
      <c r="K43" s="2"/>
      <c r="L43" s="6">
        <f t="shared" si="26"/>
        <v>0</v>
      </c>
      <c r="M43" s="2"/>
      <c r="N43" s="7">
        <f t="shared" si="27"/>
        <v>0</v>
      </c>
      <c r="O43" s="10"/>
      <c r="P43" s="6">
        <v>5349.42</v>
      </c>
      <c r="Q43" s="2"/>
      <c r="R43" s="7">
        <f t="shared" si="28"/>
        <v>0</v>
      </c>
      <c r="S43" s="2"/>
      <c r="T43" s="6">
        <v>44.8</v>
      </c>
      <c r="U43" s="2"/>
      <c r="V43" s="7">
        <f t="shared" si="29"/>
        <v>0</v>
      </c>
      <c r="W43" s="2"/>
      <c r="X43" s="6">
        <f t="shared" si="30"/>
        <v>5304.62</v>
      </c>
      <c r="Y43" s="2"/>
      <c r="Z43" s="7">
        <f t="shared" si="31"/>
        <v>118.40669642857144</v>
      </c>
    </row>
    <row r="44" spans="1:26" s="27" customFormat="1" outlineLevel="1" collapsed="1" x14ac:dyDescent="0.25">
      <c r="A44" s="26"/>
      <c r="B44" s="12" t="str">
        <f>CONCATENATE("     ","Bank/card Fees                                    ")</f>
        <v xml:space="preserve">     Bank/card Fees                                    </v>
      </c>
      <c r="C44" s="12"/>
      <c r="D44" s="1">
        <f>SUM(OSRRefD22_4x_0)</f>
        <v>9778.41</v>
      </c>
      <c r="E44" s="1"/>
      <c r="F44" s="5">
        <f t="shared" ref="F44:F49" si="32">IF(D$12=0,0,D44/D$12)</f>
        <v>0</v>
      </c>
      <c r="G44" s="1"/>
      <c r="H44" s="1">
        <f>SUM(OSRRefH22_4x_0)</f>
        <v>3698.6</v>
      </c>
      <c r="I44" s="1"/>
      <c r="J44" s="5">
        <f t="shared" ref="J44:J49" si="33">IF(H$12=0,0,H44/H$12)</f>
        <v>0</v>
      </c>
      <c r="K44" s="1"/>
      <c r="L44" s="1">
        <f t="shared" ref="L44:L49" si="34">+D44-H44</f>
        <v>6079.8099999999995</v>
      </c>
      <c r="M44" s="1"/>
      <c r="N44" s="5">
        <f t="shared" ref="N44:N49" si="35">IF(H44=0,0,L44/H44)</f>
        <v>1.6438138755204672</v>
      </c>
      <c r="O44" s="12"/>
      <c r="P44" s="1">
        <f>SUM(OSRRefP22_4x_0)</f>
        <v>83903.1</v>
      </c>
      <c r="Q44" s="1"/>
      <c r="R44" s="5">
        <f t="shared" ref="R44:R49" si="36">IF(P$12=0,0,P44/P$12)</f>
        <v>0</v>
      </c>
      <c r="S44" s="1"/>
      <c r="T44" s="1">
        <f>SUM(OSRRefT22_4x_0)</f>
        <v>142763.71</v>
      </c>
      <c r="U44" s="1"/>
      <c r="V44" s="5">
        <f t="shared" ref="V44:V49" si="37">IF(T$12=0,0,T44/T$12)</f>
        <v>0</v>
      </c>
      <c r="W44" s="1"/>
      <c r="X44" s="1">
        <f t="shared" ref="X44:X49" si="38">+P44-T44</f>
        <v>-58860.609999999986</v>
      </c>
      <c r="Y44" s="1"/>
      <c r="Z44" s="5">
        <f t="shared" ref="Z44:Z49" si="39">IF(T44=0,0,X44/T44)</f>
        <v>-0.41229392259419423</v>
      </c>
    </row>
    <row r="45" spans="1:26" s="23" customFormat="1" hidden="1" outlineLevel="2" x14ac:dyDescent="0.25">
      <c r="A45" s="25"/>
      <c r="B45" s="10" t="str">
        <f>CONCATENATE("          ", "6381", " - ", "BANK/CREDIT CARD FEES")</f>
        <v xml:space="preserve">          6381 - BANK/CREDIT CARD FEES</v>
      </c>
      <c r="C45" s="10"/>
      <c r="D45" s="6">
        <v>9778.41</v>
      </c>
      <c r="E45" s="2"/>
      <c r="F45" s="7">
        <f t="shared" si="32"/>
        <v>0</v>
      </c>
      <c r="G45" s="2"/>
      <c r="H45" s="6">
        <v>3698.6</v>
      </c>
      <c r="I45" s="2"/>
      <c r="J45" s="7">
        <f t="shared" si="33"/>
        <v>0</v>
      </c>
      <c r="K45" s="2"/>
      <c r="L45" s="6">
        <f t="shared" si="34"/>
        <v>6079.8099999999995</v>
      </c>
      <c r="M45" s="2"/>
      <c r="N45" s="7">
        <f t="shared" si="35"/>
        <v>1.6438138755204672</v>
      </c>
      <c r="O45" s="10"/>
      <c r="P45" s="6">
        <v>83903.1</v>
      </c>
      <c r="Q45" s="2"/>
      <c r="R45" s="7">
        <f t="shared" si="36"/>
        <v>0</v>
      </c>
      <c r="S45" s="2"/>
      <c r="T45" s="6">
        <v>142763.71</v>
      </c>
      <c r="U45" s="2"/>
      <c r="V45" s="7">
        <f t="shared" si="37"/>
        <v>0</v>
      </c>
      <c r="W45" s="2"/>
      <c r="X45" s="6">
        <f t="shared" si="38"/>
        <v>-58860.609999999986</v>
      </c>
      <c r="Y45" s="2"/>
      <c r="Z45" s="7">
        <f t="shared" si="39"/>
        <v>-0.41229392259419423</v>
      </c>
    </row>
    <row r="46" spans="1:26" s="27" customFormat="1" outlineLevel="1" collapsed="1" x14ac:dyDescent="0.25">
      <c r="A46" s="26"/>
      <c r="B46" s="12" t="str">
        <f>CONCATENATE("     ","Depreciation                                      ")</f>
        <v xml:space="preserve">     Depreciation                                      </v>
      </c>
      <c r="C46" s="12"/>
      <c r="D46" s="1">
        <f>SUM(OSRRefD22_5x_0)</f>
        <v>30548.54</v>
      </c>
      <c r="E46" s="1"/>
      <c r="F46" s="5">
        <f t="shared" si="32"/>
        <v>0</v>
      </c>
      <c r="G46" s="1"/>
      <c r="H46" s="1">
        <f>SUM(OSRRefH22_5x_0)</f>
        <v>30179.309999999998</v>
      </c>
      <c r="I46" s="1"/>
      <c r="J46" s="5">
        <f t="shared" si="33"/>
        <v>0</v>
      </c>
      <c r="K46" s="1"/>
      <c r="L46" s="1">
        <f t="shared" si="34"/>
        <v>369.2300000000032</v>
      </c>
      <c r="M46" s="1"/>
      <c r="N46" s="5">
        <f t="shared" si="35"/>
        <v>1.2234540816208297E-2</v>
      </c>
      <c r="O46" s="12"/>
      <c r="P46" s="1">
        <f>SUM(OSRRefP22_5x_0)</f>
        <v>367069.7</v>
      </c>
      <c r="Q46" s="1"/>
      <c r="R46" s="5">
        <f t="shared" si="36"/>
        <v>0</v>
      </c>
      <c r="S46" s="1"/>
      <c r="T46" s="1">
        <f>SUM(OSRRefT22_5x_0)</f>
        <v>358192.45</v>
      </c>
      <c r="U46" s="1"/>
      <c r="V46" s="5">
        <f t="shared" si="37"/>
        <v>0</v>
      </c>
      <c r="W46" s="1"/>
      <c r="X46" s="1">
        <f t="shared" si="38"/>
        <v>8877.25</v>
      </c>
      <c r="Y46" s="1"/>
      <c r="Z46" s="5">
        <f t="shared" si="39"/>
        <v>2.4783464866442607E-2</v>
      </c>
    </row>
    <row r="47" spans="1:26" s="23" customFormat="1" hidden="1" outlineLevel="2" x14ac:dyDescent="0.25">
      <c r="A47" s="25"/>
      <c r="B47" s="10" t="str">
        <f>CONCATENATE("          ", "6321", " - ", "BUILDING DEPRECIATION")</f>
        <v xml:space="preserve">          6321 - BUILDING DEPRECIATION</v>
      </c>
      <c r="C47" s="10"/>
      <c r="D47" s="6">
        <v>16396.25</v>
      </c>
      <c r="E47" s="2"/>
      <c r="F47" s="7">
        <f t="shared" si="32"/>
        <v>0</v>
      </c>
      <c r="G47" s="2"/>
      <c r="H47" s="6">
        <v>16396.25</v>
      </c>
      <c r="I47" s="2"/>
      <c r="J47" s="7">
        <f t="shared" si="33"/>
        <v>0</v>
      </c>
      <c r="K47" s="2"/>
      <c r="L47" s="6">
        <f t="shared" si="34"/>
        <v>0</v>
      </c>
      <c r="M47" s="2"/>
      <c r="N47" s="7">
        <f t="shared" si="35"/>
        <v>0</v>
      </c>
      <c r="O47" s="10"/>
      <c r="P47" s="6">
        <v>196757.97</v>
      </c>
      <c r="Q47" s="2"/>
      <c r="R47" s="7">
        <f t="shared" si="36"/>
        <v>0</v>
      </c>
      <c r="S47" s="2"/>
      <c r="T47" s="6">
        <v>196757.97</v>
      </c>
      <c r="U47" s="2"/>
      <c r="V47" s="7">
        <f t="shared" si="37"/>
        <v>0</v>
      </c>
      <c r="W47" s="2"/>
      <c r="X47" s="6">
        <f t="shared" si="38"/>
        <v>0</v>
      </c>
      <c r="Y47" s="2"/>
      <c r="Z47" s="7">
        <f t="shared" si="39"/>
        <v>0</v>
      </c>
    </row>
    <row r="48" spans="1:26" s="23" customFormat="1" hidden="1" outlineLevel="2" x14ac:dyDescent="0.25">
      <c r="A48" s="25"/>
      <c r="B48" s="10" t="str">
        <f>CONCATENATE("          ", "6322", " - ", "EQUIPMENT DEPRECIATION EXPENSE")</f>
        <v xml:space="preserve">          6322 - EQUIPMENT DEPRECIATION EXPENSE</v>
      </c>
      <c r="C48" s="10"/>
      <c r="D48" s="6">
        <v>14152.29</v>
      </c>
      <c r="E48" s="2"/>
      <c r="F48" s="7">
        <f t="shared" si="32"/>
        <v>0</v>
      </c>
      <c r="G48" s="2"/>
      <c r="H48" s="6">
        <v>13783.06</v>
      </c>
      <c r="I48" s="2"/>
      <c r="J48" s="7">
        <f t="shared" si="33"/>
        <v>0</v>
      </c>
      <c r="K48" s="2"/>
      <c r="L48" s="6">
        <f t="shared" si="34"/>
        <v>369.23000000000138</v>
      </c>
      <c r="M48" s="2"/>
      <c r="N48" s="7">
        <f t="shared" si="35"/>
        <v>2.6788681178200009E-2</v>
      </c>
      <c r="O48" s="10"/>
      <c r="P48" s="6">
        <v>170311.73</v>
      </c>
      <c r="Q48" s="2"/>
      <c r="R48" s="7">
        <f t="shared" si="36"/>
        <v>0</v>
      </c>
      <c r="S48" s="2"/>
      <c r="T48" s="6">
        <v>161434.48000000001</v>
      </c>
      <c r="U48" s="2"/>
      <c r="V48" s="7">
        <f t="shared" si="37"/>
        <v>0</v>
      </c>
      <c r="W48" s="2"/>
      <c r="X48" s="6">
        <f t="shared" si="38"/>
        <v>8877.25</v>
      </c>
      <c r="Y48" s="2"/>
      <c r="Z48" s="7">
        <f t="shared" si="39"/>
        <v>5.4989801435232417E-2</v>
      </c>
    </row>
    <row r="49" spans="1:26" s="23" customFormat="1" hidden="1" outlineLevel="2" x14ac:dyDescent="0.25">
      <c r="A49" s="25"/>
      <c r="B49" s="10" t="str">
        <f>CONCATENATE("          ", "6324", " - ", "FURNITURE + FIXT DEPRECIATION")</f>
        <v xml:space="preserve">          6324 - FURNITURE + FIXT DEPRECIATION</v>
      </c>
      <c r="C49" s="10"/>
      <c r="D49" s="6"/>
      <c r="E49" s="2"/>
      <c r="F49" s="7">
        <f t="shared" si="32"/>
        <v>0</v>
      </c>
      <c r="G49" s="2"/>
      <c r="H49" s="6"/>
      <c r="I49" s="2"/>
      <c r="J49" s="7">
        <f t="shared" si="33"/>
        <v>0</v>
      </c>
      <c r="K49" s="2"/>
      <c r="L49" s="6">
        <f t="shared" si="34"/>
        <v>0</v>
      </c>
      <c r="M49" s="2"/>
      <c r="N49" s="7">
        <f t="shared" si="35"/>
        <v>0</v>
      </c>
      <c r="O49" s="10"/>
      <c r="P49" s="6"/>
      <c r="Q49" s="2"/>
      <c r="R49" s="7">
        <f t="shared" si="36"/>
        <v>0</v>
      </c>
      <c r="S49" s="2"/>
      <c r="T49" s="6">
        <v>0</v>
      </c>
      <c r="U49" s="2"/>
      <c r="V49" s="7">
        <f t="shared" si="37"/>
        <v>0</v>
      </c>
      <c r="W49" s="2"/>
      <c r="X49" s="6">
        <f t="shared" si="38"/>
        <v>0</v>
      </c>
      <c r="Y49" s="2"/>
      <c r="Z49" s="7">
        <f t="shared" si="39"/>
        <v>0</v>
      </c>
    </row>
    <row r="50" spans="1:26" s="27" customFormat="1" outlineLevel="1" collapsed="1" x14ac:dyDescent="0.25">
      <c r="A50" s="26"/>
      <c r="B50" s="12" t="str">
        <f>CONCATENATE("     ","Discounts and Markdowns                           ")</f>
        <v xml:space="preserve">     Discounts and Markdowns                           </v>
      </c>
      <c r="C50" s="12"/>
      <c r="D50" s="1">
        <f>SUM(OSRRefD22_6x_0)</f>
        <v>0</v>
      </c>
      <c r="E50" s="1"/>
      <c r="F50" s="5">
        <f t="shared" ref="F50:F52" si="40">IF(D$12=0,0,D50/D$12)</f>
        <v>0</v>
      </c>
      <c r="G50" s="1"/>
      <c r="H50" s="1">
        <f>SUM(OSRRefH22_6x_0)</f>
        <v>-2.86</v>
      </c>
      <c r="I50" s="1"/>
      <c r="J50" s="5">
        <f t="shared" ref="J50:J52" si="41">IF(H$12=0,0,H50/H$12)</f>
        <v>0</v>
      </c>
      <c r="K50" s="1"/>
      <c r="L50" s="1">
        <f t="shared" ref="L50:L52" si="42">+D50-H50</f>
        <v>2.86</v>
      </c>
      <c r="M50" s="1"/>
      <c r="N50" s="5">
        <f t="shared" ref="N50:N52" si="43">IF(H50=0,0,L50/H50)</f>
        <v>-1</v>
      </c>
      <c r="O50" s="12"/>
      <c r="P50" s="1">
        <f>SUM(OSRRefP22_6x_0)</f>
        <v>-15.43</v>
      </c>
      <c r="Q50" s="1"/>
      <c r="R50" s="5">
        <f t="shared" ref="R50:R52" si="44">IF(P$12=0,0,P50/P$12)</f>
        <v>0</v>
      </c>
      <c r="S50" s="1"/>
      <c r="T50" s="1">
        <f>SUM(OSRRefT22_6x_0)</f>
        <v>-2405.42</v>
      </c>
      <c r="U50" s="1"/>
      <c r="V50" s="5">
        <f t="shared" ref="V50:V52" si="45">IF(T$12=0,0,T50/T$12)</f>
        <v>0</v>
      </c>
      <c r="W50" s="1"/>
      <c r="X50" s="1">
        <f t="shared" ref="X50:X52" si="46">+P50-T50</f>
        <v>2389.9900000000002</v>
      </c>
      <c r="Y50" s="1"/>
      <c r="Z50" s="5">
        <f t="shared" ref="Z50:Z52" si="47">IF(T50=0,0,X50/T50)</f>
        <v>-0.9935853198194079</v>
      </c>
    </row>
    <row r="51" spans="1:26" s="23" customFormat="1" hidden="1" outlineLevel="2" x14ac:dyDescent="0.25">
      <c r="A51" s="25"/>
      <c r="B51" s="10" t="str">
        <f>CONCATENATE("          ", "6382", " - ", "DISCOUNTS/MARK DOWNS")</f>
        <v xml:space="preserve">          6382 - DISCOUNTS/MARK DOWNS</v>
      </c>
      <c r="C51" s="10"/>
      <c r="D51" s="6"/>
      <c r="E51" s="2"/>
      <c r="F51" s="7">
        <f t="shared" si="40"/>
        <v>0</v>
      </c>
      <c r="G51" s="2"/>
      <c r="H51" s="6"/>
      <c r="I51" s="2"/>
      <c r="J51" s="7">
        <f t="shared" si="41"/>
        <v>0</v>
      </c>
      <c r="K51" s="2"/>
      <c r="L51" s="6">
        <f t="shared" si="42"/>
        <v>0</v>
      </c>
      <c r="M51" s="2"/>
      <c r="N51" s="7">
        <f t="shared" si="43"/>
        <v>0</v>
      </c>
      <c r="O51" s="10"/>
      <c r="P51" s="6"/>
      <c r="Q51" s="2"/>
      <c r="R51" s="7">
        <f t="shared" si="44"/>
        <v>0</v>
      </c>
      <c r="S51" s="2"/>
      <c r="T51" s="6">
        <v>357.4</v>
      </c>
      <c r="U51" s="2"/>
      <c r="V51" s="7">
        <f t="shared" si="45"/>
        <v>0</v>
      </c>
      <c r="W51" s="2"/>
      <c r="X51" s="6">
        <f t="shared" si="46"/>
        <v>-357.4</v>
      </c>
      <c r="Y51" s="2"/>
      <c r="Z51" s="7">
        <f t="shared" si="47"/>
        <v>-1</v>
      </c>
    </row>
    <row r="52" spans="1:26" s="23" customFormat="1" hidden="1" outlineLevel="2" x14ac:dyDescent="0.25">
      <c r="A52" s="25"/>
      <c r="B52" s="10" t="str">
        <f>CONCATENATE("          ", "9175", " - ", "EARNED DISCOUNTS")</f>
        <v xml:space="preserve">          9175 - EARNED DISCOUNTS</v>
      </c>
      <c r="C52" s="10"/>
      <c r="D52" s="6"/>
      <c r="E52" s="2"/>
      <c r="F52" s="7">
        <f t="shared" si="40"/>
        <v>0</v>
      </c>
      <c r="G52" s="2"/>
      <c r="H52" s="6">
        <v>-2.86</v>
      </c>
      <c r="I52" s="2"/>
      <c r="J52" s="7">
        <f t="shared" si="41"/>
        <v>0</v>
      </c>
      <c r="K52" s="2"/>
      <c r="L52" s="6">
        <f t="shared" si="42"/>
        <v>2.86</v>
      </c>
      <c r="M52" s="2"/>
      <c r="N52" s="7">
        <f t="shared" si="43"/>
        <v>-1</v>
      </c>
      <c r="O52" s="10"/>
      <c r="P52" s="6">
        <v>-15.43</v>
      </c>
      <c r="Q52" s="2"/>
      <c r="R52" s="7">
        <f t="shared" si="44"/>
        <v>0</v>
      </c>
      <c r="S52" s="2"/>
      <c r="T52" s="6">
        <v>-2762.82</v>
      </c>
      <c r="U52" s="2"/>
      <c r="V52" s="7">
        <f t="shared" si="45"/>
        <v>0</v>
      </c>
      <c r="W52" s="2"/>
      <c r="X52" s="6">
        <f t="shared" si="46"/>
        <v>2747.3900000000003</v>
      </c>
      <c r="Y52" s="2"/>
      <c r="Z52" s="7">
        <f t="shared" si="47"/>
        <v>-0.99441512657357345</v>
      </c>
    </row>
    <row r="53" spans="1:26" s="27" customFormat="1" outlineLevel="1" collapsed="1" x14ac:dyDescent="0.25">
      <c r="A53" s="26"/>
      <c r="B53" s="12" t="str">
        <f>CONCATENATE("     ","Donations                                         ")</f>
        <v xml:space="preserve">     Donations                                         </v>
      </c>
      <c r="C53" s="12"/>
      <c r="D53" s="1">
        <f>SUM(OSRRefD22_7x_0)</f>
        <v>0</v>
      </c>
      <c r="E53" s="1"/>
      <c r="F53" s="5">
        <f t="shared" ref="F53:F75" si="48">IF(D$12=0,0,D53/D$12)</f>
        <v>0</v>
      </c>
      <c r="G53" s="1"/>
      <c r="H53" s="1">
        <f>SUM(OSRRefH22_7x_0)</f>
        <v>0</v>
      </c>
      <c r="I53" s="1"/>
      <c r="J53" s="5">
        <f t="shared" ref="J53:J75" si="49">IF(H$12=0,0,H53/H$12)</f>
        <v>0</v>
      </c>
      <c r="K53" s="1"/>
      <c r="L53" s="1">
        <f t="shared" ref="L53:L75" si="50">+D53-H53</f>
        <v>0</v>
      </c>
      <c r="M53" s="1"/>
      <c r="N53" s="5">
        <f t="shared" ref="N53:N75" si="51">IF(H53=0,0,L53/H53)</f>
        <v>0</v>
      </c>
      <c r="O53" s="12"/>
      <c r="P53" s="1">
        <f>SUM(OSRRefP22_7x_0)</f>
        <v>360.9</v>
      </c>
      <c r="Q53" s="1"/>
      <c r="R53" s="5">
        <f t="shared" ref="R53:R75" si="52">IF(P$12=0,0,P53/P$12)</f>
        <v>0</v>
      </c>
      <c r="S53" s="1"/>
      <c r="T53" s="1">
        <f>SUM(OSRRefT22_7x_0)</f>
        <v>10985.64</v>
      </c>
      <c r="U53" s="1"/>
      <c r="V53" s="5">
        <f t="shared" ref="V53:V75" si="53">IF(T$12=0,0,T53/T$12)</f>
        <v>0</v>
      </c>
      <c r="W53" s="1"/>
      <c r="X53" s="1">
        <f t="shared" ref="X53:X75" si="54">+P53-T53</f>
        <v>-10624.74</v>
      </c>
      <c r="Y53" s="1"/>
      <c r="Z53" s="5">
        <f t="shared" ref="Z53:Z75" si="55">IF(T53=0,0,X53/T53)</f>
        <v>-0.96714802232732922</v>
      </c>
    </row>
    <row r="54" spans="1:26" s="23" customFormat="1" hidden="1" outlineLevel="2" x14ac:dyDescent="0.25">
      <c r="A54" s="25"/>
      <c r="B54" s="10" t="str">
        <f>CONCATENATE("          ", "6399", " - ", "DONATION-ON CAMPUS")</f>
        <v xml:space="preserve">          6399 - DONATION-ON CAMPUS</v>
      </c>
      <c r="C54" s="10"/>
      <c r="D54" s="6"/>
      <c r="E54" s="2"/>
      <c r="F54" s="7">
        <f t="shared" si="48"/>
        <v>0</v>
      </c>
      <c r="G54" s="2"/>
      <c r="H54" s="6"/>
      <c r="I54" s="2"/>
      <c r="J54" s="7">
        <f t="shared" si="49"/>
        <v>0</v>
      </c>
      <c r="K54" s="2"/>
      <c r="L54" s="6">
        <f t="shared" si="50"/>
        <v>0</v>
      </c>
      <c r="M54" s="2"/>
      <c r="N54" s="7">
        <f t="shared" si="51"/>
        <v>0</v>
      </c>
      <c r="O54" s="10"/>
      <c r="P54" s="6">
        <v>360.9</v>
      </c>
      <c r="Q54" s="2"/>
      <c r="R54" s="7">
        <f t="shared" si="52"/>
        <v>0</v>
      </c>
      <c r="S54" s="2"/>
      <c r="T54" s="6">
        <v>10985.64</v>
      </c>
      <c r="U54" s="2"/>
      <c r="V54" s="7">
        <f t="shared" si="53"/>
        <v>0</v>
      </c>
      <c r="W54" s="2"/>
      <c r="X54" s="6">
        <f t="shared" si="54"/>
        <v>-10624.74</v>
      </c>
      <c r="Y54" s="2"/>
      <c r="Z54" s="7">
        <f t="shared" si="55"/>
        <v>-0.96714802232732922</v>
      </c>
    </row>
    <row r="55" spans="1:26" s="27" customFormat="1" outlineLevel="1" collapsed="1" x14ac:dyDescent="0.25">
      <c r="A55" s="26"/>
      <c r="B55" s="12" t="str">
        <f>CONCATENATE("     ","Employees' Appreciation                           ")</f>
        <v xml:space="preserve">     Employees' Appreciation                           </v>
      </c>
      <c r="C55" s="12"/>
      <c r="D55" s="1">
        <f>SUM(OSRRefD22_8x_0)</f>
        <v>522.86</v>
      </c>
      <c r="E55" s="1"/>
      <c r="F55" s="5">
        <f t="shared" si="48"/>
        <v>0</v>
      </c>
      <c r="G55" s="1"/>
      <c r="H55" s="1">
        <f>SUM(OSRRefH22_8x_0)</f>
        <v>57</v>
      </c>
      <c r="I55" s="1"/>
      <c r="J55" s="5">
        <f t="shared" si="49"/>
        <v>0</v>
      </c>
      <c r="K55" s="1"/>
      <c r="L55" s="1">
        <f t="shared" si="50"/>
        <v>465.86</v>
      </c>
      <c r="M55" s="1"/>
      <c r="N55" s="5">
        <f t="shared" si="51"/>
        <v>8.1729824561403515</v>
      </c>
      <c r="O55" s="12"/>
      <c r="P55" s="1">
        <f>SUM(OSRRefP22_8x_0)</f>
        <v>601.19000000000005</v>
      </c>
      <c r="Q55" s="1"/>
      <c r="R55" s="5">
        <f t="shared" si="52"/>
        <v>0</v>
      </c>
      <c r="S55" s="1"/>
      <c r="T55" s="1">
        <f>SUM(OSRRefT22_8x_0)</f>
        <v>1114.72</v>
      </c>
      <c r="U55" s="1"/>
      <c r="V55" s="5">
        <f t="shared" si="53"/>
        <v>0</v>
      </c>
      <c r="W55" s="1"/>
      <c r="X55" s="1">
        <f t="shared" si="54"/>
        <v>-513.53</v>
      </c>
      <c r="Y55" s="1"/>
      <c r="Z55" s="5">
        <f t="shared" si="55"/>
        <v>-0.46068070905698288</v>
      </c>
    </row>
    <row r="56" spans="1:26" s="23" customFormat="1" hidden="1" outlineLevel="2" x14ac:dyDescent="0.25">
      <c r="A56" s="25"/>
      <c r="B56" s="10" t="str">
        <f>CONCATENATE("          ", "6277", " - ", "EMPLOYEE APPRECIATION")</f>
        <v xml:space="preserve">          6277 - EMPLOYEE APPRECIATION</v>
      </c>
      <c r="C56" s="10"/>
      <c r="D56" s="6">
        <v>522.86</v>
      </c>
      <c r="E56" s="2"/>
      <c r="F56" s="7">
        <f t="shared" si="48"/>
        <v>0</v>
      </c>
      <c r="G56" s="2"/>
      <c r="H56" s="6">
        <v>57</v>
      </c>
      <c r="I56" s="2"/>
      <c r="J56" s="7">
        <f t="shared" si="49"/>
        <v>0</v>
      </c>
      <c r="K56" s="2"/>
      <c r="L56" s="6">
        <f t="shared" si="50"/>
        <v>465.86</v>
      </c>
      <c r="M56" s="2"/>
      <c r="N56" s="7">
        <f t="shared" si="51"/>
        <v>8.1729824561403515</v>
      </c>
      <c r="O56" s="10"/>
      <c r="P56" s="6">
        <v>601.19000000000005</v>
      </c>
      <c r="Q56" s="2"/>
      <c r="R56" s="7">
        <f t="shared" si="52"/>
        <v>0</v>
      </c>
      <c r="S56" s="2"/>
      <c r="T56" s="6">
        <v>1114.72</v>
      </c>
      <c r="U56" s="2"/>
      <c r="V56" s="7">
        <f t="shared" si="53"/>
        <v>0</v>
      </c>
      <c r="W56" s="2"/>
      <c r="X56" s="6">
        <f t="shared" si="54"/>
        <v>-513.53</v>
      </c>
      <c r="Y56" s="2"/>
      <c r="Z56" s="7">
        <f t="shared" si="55"/>
        <v>-0.46068070905698288</v>
      </c>
    </row>
    <row r="57" spans="1:26" s="27" customFormat="1" outlineLevel="1" collapsed="1" x14ac:dyDescent="0.25">
      <c r="A57" s="26"/>
      <c r="B57" s="12" t="str">
        <f>CONCATENATE("     ","Equipment Rental                                  ")</f>
        <v xml:space="preserve">     Equipment Rental                                  </v>
      </c>
      <c r="C57" s="12"/>
      <c r="D57" s="1">
        <f>SUM(OSRRefD22_9x_0)</f>
        <v>923.91</v>
      </c>
      <c r="E57" s="1"/>
      <c r="F57" s="5">
        <f t="shared" si="48"/>
        <v>0</v>
      </c>
      <c r="G57" s="1"/>
      <c r="H57" s="1">
        <f>SUM(OSRRefH22_9x_0)</f>
        <v>0</v>
      </c>
      <c r="I57" s="1"/>
      <c r="J57" s="5">
        <f t="shared" si="49"/>
        <v>0</v>
      </c>
      <c r="K57" s="1"/>
      <c r="L57" s="1">
        <f t="shared" si="50"/>
        <v>923.91</v>
      </c>
      <c r="M57" s="1"/>
      <c r="N57" s="5">
        <f t="shared" si="51"/>
        <v>0</v>
      </c>
      <c r="O57" s="12"/>
      <c r="P57" s="1">
        <f>SUM(OSRRefP22_9x_0)</f>
        <v>3204.23</v>
      </c>
      <c r="Q57" s="1"/>
      <c r="R57" s="5">
        <f t="shared" si="52"/>
        <v>0</v>
      </c>
      <c r="S57" s="1"/>
      <c r="T57" s="1">
        <f>SUM(OSRRefT22_9x_0)</f>
        <v>299.33999999999997</v>
      </c>
      <c r="U57" s="1"/>
      <c r="V57" s="5">
        <f t="shared" si="53"/>
        <v>0</v>
      </c>
      <c r="W57" s="1"/>
      <c r="X57" s="1">
        <f t="shared" si="54"/>
        <v>2904.89</v>
      </c>
      <c r="Y57" s="1"/>
      <c r="Z57" s="5">
        <f t="shared" si="55"/>
        <v>9.7043161622235594</v>
      </c>
    </row>
    <row r="58" spans="1:26" s="23" customFormat="1" hidden="1" outlineLevel="2" x14ac:dyDescent="0.25">
      <c r="A58" s="25"/>
      <c r="B58" s="10" t="str">
        <f>CONCATENATE("          ", "6351", " - ", "EQUIPMENT RENTAL")</f>
        <v xml:space="preserve">          6351 - EQUIPMENT RENTAL</v>
      </c>
      <c r="C58" s="10"/>
      <c r="D58" s="6">
        <v>923.91</v>
      </c>
      <c r="E58" s="2"/>
      <c r="F58" s="7">
        <f t="shared" si="48"/>
        <v>0</v>
      </c>
      <c r="G58" s="2"/>
      <c r="H58" s="6"/>
      <c r="I58" s="2"/>
      <c r="J58" s="7">
        <f t="shared" si="49"/>
        <v>0</v>
      </c>
      <c r="K58" s="2"/>
      <c r="L58" s="6">
        <f t="shared" si="50"/>
        <v>923.91</v>
      </c>
      <c r="M58" s="2"/>
      <c r="N58" s="7">
        <f t="shared" si="51"/>
        <v>0</v>
      </c>
      <c r="O58" s="10"/>
      <c r="P58" s="6">
        <v>3204.23</v>
      </c>
      <c r="Q58" s="2"/>
      <c r="R58" s="7">
        <f t="shared" si="52"/>
        <v>0</v>
      </c>
      <c r="S58" s="2"/>
      <c r="T58" s="6">
        <v>299.33999999999997</v>
      </c>
      <c r="U58" s="2"/>
      <c r="V58" s="7">
        <f t="shared" si="53"/>
        <v>0</v>
      </c>
      <c r="W58" s="2"/>
      <c r="X58" s="6">
        <f t="shared" si="54"/>
        <v>2904.89</v>
      </c>
      <c r="Y58" s="2"/>
      <c r="Z58" s="7">
        <f t="shared" si="55"/>
        <v>9.7043161622235594</v>
      </c>
    </row>
    <row r="59" spans="1:26" s="27" customFormat="1" outlineLevel="1" collapsed="1" x14ac:dyDescent="0.25">
      <c r="A59" s="26"/>
      <c r="B59" s="12" t="str">
        <f>CONCATENATE("     ","Freight out/Postage                               ")</f>
        <v xml:space="preserve">     Freight out/Postage                               </v>
      </c>
      <c r="C59" s="12"/>
      <c r="D59" s="1">
        <f>SUM(OSRRefD22_10x_0)</f>
        <v>315.95</v>
      </c>
      <c r="E59" s="1"/>
      <c r="F59" s="5">
        <f t="shared" si="48"/>
        <v>0</v>
      </c>
      <c r="G59" s="1"/>
      <c r="H59" s="1">
        <f>SUM(OSRRefH22_10x_0)</f>
        <v>173.67</v>
      </c>
      <c r="I59" s="1"/>
      <c r="J59" s="5">
        <f t="shared" si="49"/>
        <v>0</v>
      </c>
      <c r="K59" s="1"/>
      <c r="L59" s="1">
        <f t="shared" si="50"/>
        <v>142.28</v>
      </c>
      <c r="M59" s="1"/>
      <c r="N59" s="5">
        <f t="shared" si="51"/>
        <v>0.81925490873495721</v>
      </c>
      <c r="O59" s="12"/>
      <c r="P59" s="1">
        <f>SUM(OSRRefP22_10x_0)</f>
        <v>2591.96</v>
      </c>
      <c r="Q59" s="1"/>
      <c r="R59" s="5">
        <f t="shared" si="52"/>
        <v>0</v>
      </c>
      <c r="S59" s="1"/>
      <c r="T59" s="1">
        <f>SUM(OSRRefT22_10x_0)</f>
        <v>202.67</v>
      </c>
      <c r="U59" s="1"/>
      <c r="V59" s="5">
        <f t="shared" si="53"/>
        <v>0</v>
      </c>
      <c r="W59" s="1"/>
      <c r="X59" s="1">
        <f t="shared" si="54"/>
        <v>2389.29</v>
      </c>
      <c r="Y59" s="1"/>
      <c r="Z59" s="5">
        <f t="shared" si="55"/>
        <v>11.789065969309716</v>
      </c>
    </row>
    <row r="60" spans="1:26" s="23" customFormat="1" hidden="1" outlineLevel="2" x14ac:dyDescent="0.25">
      <c r="A60" s="25"/>
      <c r="B60" s="10" t="str">
        <f>CONCATENATE("          ", "6307", " - ", "POSTAGE")</f>
        <v xml:space="preserve">          6307 - POSTAGE</v>
      </c>
      <c r="C60" s="10"/>
      <c r="D60" s="6">
        <v>315.95</v>
      </c>
      <c r="E60" s="2"/>
      <c r="F60" s="7">
        <f t="shared" si="48"/>
        <v>0</v>
      </c>
      <c r="G60" s="2"/>
      <c r="H60" s="6">
        <v>173.67</v>
      </c>
      <c r="I60" s="2"/>
      <c r="J60" s="7">
        <f t="shared" si="49"/>
        <v>0</v>
      </c>
      <c r="K60" s="2"/>
      <c r="L60" s="6">
        <f t="shared" si="50"/>
        <v>142.28</v>
      </c>
      <c r="M60" s="2"/>
      <c r="N60" s="7">
        <f t="shared" si="51"/>
        <v>0.81925490873495721</v>
      </c>
      <c r="O60" s="10"/>
      <c r="P60" s="6">
        <v>2591.96</v>
      </c>
      <c r="Q60" s="2"/>
      <c r="R60" s="7">
        <f t="shared" si="52"/>
        <v>0</v>
      </c>
      <c r="S60" s="2"/>
      <c r="T60" s="6">
        <v>202.67</v>
      </c>
      <c r="U60" s="2"/>
      <c r="V60" s="7">
        <f t="shared" si="53"/>
        <v>0</v>
      </c>
      <c r="W60" s="2"/>
      <c r="X60" s="6">
        <f t="shared" si="54"/>
        <v>2389.29</v>
      </c>
      <c r="Y60" s="2"/>
      <c r="Z60" s="7">
        <f t="shared" si="55"/>
        <v>11.789065969309716</v>
      </c>
    </row>
    <row r="61" spans="1:26" s="27" customFormat="1" outlineLevel="1" collapsed="1" x14ac:dyDescent="0.25">
      <c r="A61" s="26"/>
      <c r="B61" s="12" t="str">
        <f>CONCATENATE("     ","General                                           ")</f>
        <v xml:space="preserve">     General                                           </v>
      </c>
      <c r="C61" s="12"/>
      <c r="D61" s="1">
        <f>SUM(OSRRefD22_11x_0)</f>
        <v>0</v>
      </c>
      <c r="E61" s="1"/>
      <c r="F61" s="5">
        <f t="shared" si="48"/>
        <v>0</v>
      </c>
      <c r="G61" s="1"/>
      <c r="H61" s="1">
        <f>SUM(OSRRefH22_11x_0)</f>
        <v>0</v>
      </c>
      <c r="I61" s="1"/>
      <c r="J61" s="5">
        <f t="shared" si="49"/>
        <v>0</v>
      </c>
      <c r="K61" s="1"/>
      <c r="L61" s="1">
        <f t="shared" si="50"/>
        <v>0</v>
      </c>
      <c r="M61" s="1"/>
      <c r="N61" s="5">
        <f t="shared" si="51"/>
        <v>0</v>
      </c>
      <c r="O61" s="12"/>
      <c r="P61" s="1">
        <f>SUM(OSRRefP22_11x_0)</f>
        <v>1386.81</v>
      </c>
      <c r="Q61" s="1"/>
      <c r="R61" s="5">
        <f t="shared" si="52"/>
        <v>0</v>
      </c>
      <c r="S61" s="1"/>
      <c r="T61" s="1">
        <f>SUM(OSRRefT22_11x_0)</f>
        <v>-11754.76</v>
      </c>
      <c r="U61" s="1"/>
      <c r="V61" s="5">
        <f t="shared" si="53"/>
        <v>0</v>
      </c>
      <c r="W61" s="1"/>
      <c r="X61" s="1">
        <f t="shared" si="54"/>
        <v>13141.57</v>
      </c>
      <c r="Y61" s="1"/>
      <c r="Z61" s="5">
        <f t="shared" si="55"/>
        <v>-1.1179785890992244</v>
      </c>
    </row>
    <row r="62" spans="1:26" s="23" customFormat="1" hidden="1" outlineLevel="2" x14ac:dyDescent="0.25">
      <c r="A62" s="25"/>
      <c r="B62" s="10" t="str">
        <f>CONCATENATE("          ", "6279", " - ", "GENERAL EXPENSE")</f>
        <v xml:space="preserve">          6279 - GENERAL EXPENSE</v>
      </c>
      <c r="C62" s="10"/>
      <c r="D62" s="6"/>
      <c r="E62" s="2"/>
      <c r="F62" s="7">
        <f t="shared" si="48"/>
        <v>0</v>
      </c>
      <c r="G62" s="2"/>
      <c r="H62" s="6"/>
      <c r="I62" s="2"/>
      <c r="J62" s="7">
        <f t="shared" si="49"/>
        <v>0</v>
      </c>
      <c r="K62" s="2"/>
      <c r="L62" s="6">
        <f t="shared" si="50"/>
        <v>0</v>
      </c>
      <c r="M62" s="2"/>
      <c r="N62" s="7">
        <f t="shared" si="51"/>
        <v>0</v>
      </c>
      <c r="O62" s="10"/>
      <c r="P62" s="6">
        <v>1386.81</v>
      </c>
      <c r="Q62" s="2"/>
      <c r="R62" s="7">
        <f t="shared" si="52"/>
        <v>0</v>
      </c>
      <c r="S62" s="2"/>
      <c r="T62" s="6">
        <v>-11754.76</v>
      </c>
      <c r="U62" s="2"/>
      <c r="V62" s="7">
        <f t="shared" si="53"/>
        <v>0</v>
      </c>
      <c r="W62" s="2"/>
      <c r="X62" s="6">
        <f t="shared" si="54"/>
        <v>13141.57</v>
      </c>
      <c r="Y62" s="2"/>
      <c r="Z62" s="7">
        <f t="shared" si="55"/>
        <v>-1.1179785890992244</v>
      </c>
    </row>
    <row r="63" spans="1:26" s="27" customFormat="1" outlineLevel="1" collapsed="1" x14ac:dyDescent="0.25">
      <c r="A63" s="26"/>
      <c r="B63" s="12" t="str">
        <f>CONCATENATE("     ","Insurance                                         ")</f>
        <v xml:space="preserve">     Insurance                                         </v>
      </c>
      <c r="C63" s="12"/>
      <c r="D63" s="1">
        <f>SUM(OSRRefD22_12x_0)</f>
        <v>8316.99</v>
      </c>
      <c r="E63" s="1"/>
      <c r="F63" s="5">
        <f t="shared" si="48"/>
        <v>0</v>
      </c>
      <c r="G63" s="1"/>
      <c r="H63" s="1">
        <f>SUM(OSRRefH22_12x_0)</f>
        <v>3883.56</v>
      </c>
      <c r="I63" s="1"/>
      <c r="J63" s="5">
        <f t="shared" si="49"/>
        <v>0</v>
      </c>
      <c r="K63" s="1"/>
      <c r="L63" s="1">
        <f t="shared" si="50"/>
        <v>4433.43</v>
      </c>
      <c r="M63" s="1"/>
      <c r="N63" s="5">
        <f t="shared" si="51"/>
        <v>1.1415891604610204</v>
      </c>
      <c r="O63" s="12"/>
      <c r="P63" s="1">
        <f>SUM(OSRRefP22_12x_0)</f>
        <v>51036.15</v>
      </c>
      <c r="Q63" s="1"/>
      <c r="R63" s="5">
        <f t="shared" si="52"/>
        <v>0</v>
      </c>
      <c r="S63" s="1"/>
      <c r="T63" s="1">
        <f>SUM(OSRRefT22_12x_0)</f>
        <v>46602.720000000001</v>
      </c>
      <c r="U63" s="1"/>
      <c r="V63" s="5">
        <f t="shared" si="53"/>
        <v>0</v>
      </c>
      <c r="W63" s="1"/>
      <c r="X63" s="1">
        <f t="shared" si="54"/>
        <v>4433.43</v>
      </c>
      <c r="Y63" s="1"/>
      <c r="Z63" s="5">
        <f t="shared" si="55"/>
        <v>9.5132430038418356E-2</v>
      </c>
    </row>
    <row r="64" spans="1:26" s="23" customFormat="1" hidden="1" outlineLevel="2" x14ac:dyDescent="0.25">
      <c r="A64" s="25"/>
      <c r="B64" s="10" t="str">
        <f>CONCATENATE("          ", "6314", " - ", "LIABILITY INSURANCE")</f>
        <v xml:space="preserve">          6314 - LIABILITY INSURANCE</v>
      </c>
      <c r="C64" s="10"/>
      <c r="D64" s="6">
        <v>8316.99</v>
      </c>
      <c r="E64" s="2"/>
      <c r="F64" s="7">
        <f t="shared" si="48"/>
        <v>0</v>
      </c>
      <c r="G64" s="2"/>
      <c r="H64" s="6">
        <v>3883.56</v>
      </c>
      <c r="I64" s="2"/>
      <c r="J64" s="7">
        <f t="shared" si="49"/>
        <v>0</v>
      </c>
      <c r="K64" s="2"/>
      <c r="L64" s="6">
        <f t="shared" si="50"/>
        <v>4433.43</v>
      </c>
      <c r="M64" s="2"/>
      <c r="N64" s="7">
        <f t="shared" si="51"/>
        <v>1.1415891604610204</v>
      </c>
      <c r="O64" s="10"/>
      <c r="P64" s="6">
        <v>51036.15</v>
      </c>
      <c r="Q64" s="2"/>
      <c r="R64" s="7">
        <f t="shared" si="52"/>
        <v>0</v>
      </c>
      <c r="S64" s="2"/>
      <c r="T64" s="6">
        <v>46602.720000000001</v>
      </c>
      <c r="U64" s="2"/>
      <c r="V64" s="7">
        <f t="shared" si="53"/>
        <v>0</v>
      </c>
      <c r="W64" s="2"/>
      <c r="X64" s="6">
        <f t="shared" si="54"/>
        <v>4433.43</v>
      </c>
      <c r="Y64" s="2"/>
      <c r="Z64" s="7">
        <f t="shared" si="55"/>
        <v>9.5132430038418356E-2</v>
      </c>
    </row>
    <row r="65" spans="1:26" s="27" customFormat="1" outlineLevel="1" collapsed="1" x14ac:dyDescent="0.25">
      <c r="A65" s="26"/>
      <c r="B65" s="12" t="str">
        <f>CONCATENATE("     ","Inventory Adjustment                              ")</f>
        <v xml:space="preserve">     Inventory Adjustment                              </v>
      </c>
      <c r="C65" s="12"/>
      <c r="D65" s="1">
        <f>SUM(OSRRefD22_13x_0)</f>
        <v>0</v>
      </c>
      <c r="E65" s="1"/>
      <c r="F65" s="5">
        <f t="shared" si="48"/>
        <v>0</v>
      </c>
      <c r="G65" s="1"/>
      <c r="H65" s="1">
        <f>SUM(OSRRefH22_13x_0)</f>
        <v>-99781</v>
      </c>
      <c r="I65" s="1"/>
      <c r="J65" s="5">
        <f t="shared" si="49"/>
        <v>0</v>
      </c>
      <c r="K65" s="1"/>
      <c r="L65" s="1">
        <f t="shared" si="50"/>
        <v>99781</v>
      </c>
      <c r="M65" s="1"/>
      <c r="N65" s="5">
        <f t="shared" si="51"/>
        <v>-1</v>
      </c>
      <c r="O65" s="12"/>
      <c r="P65" s="1">
        <f>SUM(OSRRefP22_13x_0)</f>
        <v>0</v>
      </c>
      <c r="Q65" s="1"/>
      <c r="R65" s="5">
        <f t="shared" si="52"/>
        <v>0</v>
      </c>
      <c r="S65" s="1"/>
      <c r="T65" s="1">
        <f>SUM(OSRRefT22_13x_0)</f>
        <v>-99781</v>
      </c>
      <c r="U65" s="1"/>
      <c r="V65" s="5">
        <f t="shared" si="53"/>
        <v>0</v>
      </c>
      <c r="W65" s="1"/>
      <c r="X65" s="1">
        <f t="shared" si="54"/>
        <v>99781</v>
      </c>
      <c r="Y65" s="1"/>
      <c r="Z65" s="5">
        <f t="shared" si="55"/>
        <v>-1</v>
      </c>
    </row>
    <row r="66" spans="1:26" s="23" customFormat="1" hidden="1" outlineLevel="2" x14ac:dyDescent="0.25">
      <c r="A66" s="25"/>
      <c r="B66" s="10" t="str">
        <f>CONCATENATE("          ", "7700", " - ", "INV. SHRINKAGE @ RETAIL-CONTRA")</f>
        <v xml:space="preserve">          7700 - INV. SHRINKAGE @ RETAIL-CONTRA</v>
      </c>
      <c r="C66" s="10"/>
      <c r="D66" s="6"/>
      <c r="E66" s="2"/>
      <c r="F66" s="7">
        <f t="shared" si="48"/>
        <v>0</v>
      </c>
      <c r="G66" s="2"/>
      <c r="H66" s="6">
        <v>-99781</v>
      </c>
      <c r="I66" s="2"/>
      <c r="J66" s="7">
        <f t="shared" si="49"/>
        <v>0</v>
      </c>
      <c r="K66" s="2"/>
      <c r="L66" s="6">
        <f t="shared" si="50"/>
        <v>99781</v>
      </c>
      <c r="M66" s="2"/>
      <c r="N66" s="7">
        <f t="shared" si="51"/>
        <v>-1</v>
      </c>
      <c r="O66" s="10"/>
      <c r="P66" s="6"/>
      <c r="Q66" s="2"/>
      <c r="R66" s="7">
        <f t="shared" si="52"/>
        <v>0</v>
      </c>
      <c r="S66" s="2"/>
      <c r="T66" s="6">
        <v>-99781</v>
      </c>
      <c r="U66" s="2"/>
      <c r="V66" s="7">
        <f t="shared" si="53"/>
        <v>0</v>
      </c>
      <c r="W66" s="2"/>
      <c r="X66" s="6">
        <f t="shared" si="54"/>
        <v>99781</v>
      </c>
      <c r="Y66" s="2"/>
      <c r="Z66" s="7">
        <f t="shared" si="55"/>
        <v>-1</v>
      </c>
    </row>
    <row r="67" spans="1:26" s="27" customFormat="1" outlineLevel="1" collapsed="1" x14ac:dyDescent="0.25">
      <c r="A67" s="26"/>
      <c r="B67" s="12" t="str">
        <f>CONCATENATE("     ","Professional Services                             ")</f>
        <v xml:space="preserve">     Professional Services                             </v>
      </c>
      <c r="C67" s="12"/>
      <c r="D67" s="1">
        <f>SUM(OSRRefD22_14x_0)</f>
        <v>0</v>
      </c>
      <c r="E67" s="1"/>
      <c r="F67" s="5">
        <f t="shared" si="48"/>
        <v>0</v>
      </c>
      <c r="G67" s="1"/>
      <c r="H67" s="1">
        <f>SUM(OSRRefH22_14x_0)</f>
        <v>6675.57</v>
      </c>
      <c r="I67" s="1"/>
      <c r="J67" s="5">
        <f t="shared" si="49"/>
        <v>0</v>
      </c>
      <c r="K67" s="1"/>
      <c r="L67" s="1">
        <f t="shared" si="50"/>
        <v>-6675.57</v>
      </c>
      <c r="M67" s="1"/>
      <c r="N67" s="5">
        <f t="shared" si="51"/>
        <v>-1</v>
      </c>
      <c r="O67" s="12"/>
      <c r="P67" s="1">
        <f>SUM(OSRRefP22_14x_0)</f>
        <v>0</v>
      </c>
      <c r="Q67" s="1"/>
      <c r="R67" s="5">
        <f t="shared" si="52"/>
        <v>0</v>
      </c>
      <c r="S67" s="1"/>
      <c r="T67" s="1">
        <f>SUM(OSRRefT22_14x_0)</f>
        <v>11333.98</v>
      </c>
      <c r="U67" s="1"/>
      <c r="V67" s="5">
        <f t="shared" si="53"/>
        <v>0</v>
      </c>
      <c r="W67" s="1"/>
      <c r="X67" s="1">
        <f t="shared" si="54"/>
        <v>-11333.98</v>
      </c>
      <c r="Y67" s="1"/>
      <c r="Z67" s="5">
        <f t="shared" si="55"/>
        <v>-1</v>
      </c>
    </row>
    <row r="68" spans="1:26" s="23" customFormat="1" hidden="1" outlineLevel="2" x14ac:dyDescent="0.25">
      <c r="A68" s="25"/>
      <c r="B68" s="10" t="str">
        <f>CONCATENATE("          ", "6336", " - ", "PROFESSIONAL SERVICES")</f>
        <v xml:space="preserve">          6336 - PROFESSIONAL SERVICES</v>
      </c>
      <c r="C68" s="10"/>
      <c r="D68" s="6"/>
      <c r="E68" s="2"/>
      <c r="F68" s="7">
        <f t="shared" si="48"/>
        <v>0</v>
      </c>
      <c r="G68" s="2"/>
      <c r="H68" s="6">
        <v>6675.57</v>
      </c>
      <c r="I68" s="2"/>
      <c r="J68" s="7">
        <f t="shared" si="49"/>
        <v>0</v>
      </c>
      <c r="K68" s="2"/>
      <c r="L68" s="6">
        <f t="shared" si="50"/>
        <v>-6675.57</v>
      </c>
      <c r="M68" s="2"/>
      <c r="N68" s="7">
        <f t="shared" si="51"/>
        <v>-1</v>
      </c>
      <c r="O68" s="10"/>
      <c r="P68" s="6"/>
      <c r="Q68" s="2"/>
      <c r="R68" s="7">
        <f t="shared" si="52"/>
        <v>0</v>
      </c>
      <c r="S68" s="2"/>
      <c r="T68" s="6">
        <v>11333.98</v>
      </c>
      <c r="U68" s="2"/>
      <c r="V68" s="7">
        <f t="shared" si="53"/>
        <v>0</v>
      </c>
      <c r="W68" s="2"/>
      <c r="X68" s="6">
        <f t="shared" si="54"/>
        <v>-11333.98</v>
      </c>
      <c r="Y68" s="2"/>
      <c r="Z68" s="7">
        <f t="shared" si="55"/>
        <v>-1</v>
      </c>
    </row>
    <row r="69" spans="1:26" s="27" customFormat="1" outlineLevel="1" collapsed="1" x14ac:dyDescent="0.25">
      <c r="A69" s="26"/>
      <c r="B69" s="12" t="str">
        <f>CONCATENATE("     ","Rent                                              ")</f>
        <v xml:space="preserve">     Rent                                              </v>
      </c>
      <c r="C69" s="12"/>
      <c r="D69" s="1">
        <f>SUM(OSRRefD22_15x_0)</f>
        <v>-800</v>
      </c>
      <c r="E69" s="1"/>
      <c r="F69" s="5">
        <f t="shared" si="48"/>
        <v>0</v>
      </c>
      <c r="G69" s="1"/>
      <c r="H69" s="1">
        <f>SUM(OSRRefH22_15x_0)</f>
        <v>-800</v>
      </c>
      <c r="I69" s="1"/>
      <c r="J69" s="5">
        <f t="shared" si="49"/>
        <v>0</v>
      </c>
      <c r="K69" s="1"/>
      <c r="L69" s="1">
        <f t="shared" si="50"/>
        <v>0</v>
      </c>
      <c r="M69" s="1"/>
      <c r="N69" s="5">
        <f t="shared" si="51"/>
        <v>0</v>
      </c>
      <c r="O69" s="12"/>
      <c r="P69" s="1">
        <f>SUM(OSRRefP22_15x_0)</f>
        <v>-9600</v>
      </c>
      <c r="Q69" s="1"/>
      <c r="R69" s="5">
        <f t="shared" si="52"/>
        <v>0</v>
      </c>
      <c r="S69" s="1"/>
      <c r="T69" s="1">
        <f>SUM(OSRRefT22_15x_0)</f>
        <v>-8000</v>
      </c>
      <c r="U69" s="1"/>
      <c r="V69" s="5">
        <f t="shared" si="53"/>
        <v>0</v>
      </c>
      <c r="W69" s="1"/>
      <c r="X69" s="1">
        <f t="shared" si="54"/>
        <v>-1600</v>
      </c>
      <c r="Y69" s="1"/>
      <c r="Z69" s="5">
        <f t="shared" si="55"/>
        <v>0.2</v>
      </c>
    </row>
    <row r="70" spans="1:26" s="23" customFormat="1" hidden="1" outlineLevel="2" x14ac:dyDescent="0.25">
      <c r="A70" s="25"/>
      <c r="B70" s="10" t="str">
        <f>CONCATENATE("          ", "6273", " - ", "RENT")</f>
        <v xml:space="preserve">          6273 - RENT</v>
      </c>
      <c r="C70" s="10"/>
      <c r="D70" s="6">
        <v>-800</v>
      </c>
      <c r="E70" s="2"/>
      <c r="F70" s="7">
        <f t="shared" si="48"/>
        <v>0</v>
      </c>
      <c r="G70" s="2"/>
      <c r="H70" s="6">
        <v>-800</v>
      </c>
      <c r="I70" s="2"/>
      <c r="J70" s="7">
        <f t="shared" si="49"/>
        <v>0</v>
      </c>
      <c r="K70" s="2"/>
      <c r="L70" s="6">
        <f t="shared" si="50"/>
        <v>0</v>
      </c>
      <c r="M70" s="2"/>
      <c r="N70" s="7">
        <f t="shared" si="51"/>
        <v>0</v>
      </c>
      <c r="O70" s="10"/>
      <c r="P70" s="6">
        <v>-9600</v>
      </c>
      <c r="Q70" s="2"/>
      <c r="R70" s="7">
        <f t="shared" si="52"/>
        <v>0</v>
      </c>
      <c r="S70" s="2"/>
      <c r="T70" s="6">
        <v>-8000</v>
      </c>
      <c r="U70" s="2"/>
      <c r="V70" s="7">
        <f t="shared" si="53"/>
        <v>0</v>
      </c>
      <c r="W70" s="2"/>
      <c r="X70" s="6">
        <f t="shared" si="54"/>
        <v>-1600</v>
      </c>
      <c r="Y70" s="2"/>
      <c r="Z70" s="7">
        <f t="shared" si="55"/>
        <v>0.2</v>
      </c>
    </row>
    <row r="71" spans="1:26" s="27" customFormat="1" outlineLevel="1" collapsed="1" x14ac:dyDescent="0.25">
      <c r="A71" s="26"/>
      <c r="B71" s="12" t="str">
        <f>CONCATENATE("     ","Repair and Maintenance                            ")</f>
        <v xml:space="preserve">     Repair and Maintenance                            </v>
      </c>
      <c r="C71" s="12"/>
      <c r="D71" s="1">
        <f>SUM(OSRRefD22_16x_0)</f>
        <v>14440.09</v>
      </c>
      <c r="E71" s="1"/>
      <c r="F71" s="5">
        <f t="shared" si="48"/>
        <v>0</v>
      </c>
      <c r="G71" s="1"/>
      <c r="H71" s="1">
        <f>SUM(OSRRefH22_16x_0)</f>
        <v>5878.92</v>
      </c>
      <c r="I71" s="1"/>
      <c r="J71" s="5">
        <f t="shared" si="49"/>
        <v>0</v>
      </c>
      <c r="K71" s="1"/>
      <c r="L71" s="1">
        <f t="shared" si="50"/>
        <v>8561.17</v>
      </c>
      <c r="M71" s="1"/>
      <c r="N71" s="5">
        <f t="shared" si="51"/>
        <v>1.456248766780293</v>
      </c>
      <c r="O71" s="12"/>
      <c r="P71" s="1">
        <f>SUM(OSRRefP22_16x_0)</f>
        <v>120669.56</v>
      </c>
      <c r="Q71" s="1"/>
      <c r="R71" s="5">
        <f t="shared" si="52"/>
        <v>0</v>
      </c>
      <c r="S71" s="1"/>
      <c r="T71" s="1">
        <f>SUM(OSRRefT22_16x_0)</f>
        <v>71633.09</v>
      </c>
      <c r="U71" s="1"/>
      <c r="V71" s="5">
        <f t="shared" si="53"/>
        <v>0</v>
      </c>
      <c r="W71" s="1"/>
      <c r="X71" s="1">
        <f t="shared" si="54"/>
        <v>49036.47</v>
      </c>
      <c r="Y71" s="1"/>
      <c r="Z71" s="5">
        <f t="shared" si="55"/>
        <v>0.68455053383848163</v>
      </c>
    </row>
    <row r="72" spans="1:26" s="23" customFormat="1" hidden="1" outlineLevel="2" x14ac:dyDescent="0.25">
      <c r="A72" s="25"/>
      <c r="B72" s="10" t="str">
        <f>CONCATENATE("          ", "6371", " - ", "COMPUTER SOFTWARE MAINTENANCE")</f>
        <v xml:space="preserve">          6371 - COMPUTER SOFTWARE MAINTENANCE</v>
      </c>
      <c r="C72" s="10"/>
      <c r="D72" s="6"/>
      <c r="E72" s="2"/>
      <c r="F72" s="7">
        <f t="shared" si="48"/>
        <v>0</v>
      </c>
      <c r="G72" s="2"/>
      <c r="H72" s="6">
        <v>631.04999999999995</v>
      </c>
      <c r="I72" s="2"/>
      <c r="J72" s="7">
        <f t="shared" si="49"/>
        <v>0</v>
      </c>
      <c r="K72" s="2"/>
      <c r="L72" s="6">
        <f t="shared" si="50"/>
        <v>-631.04999999999995</v>
      </c>
      <c r="M72" s="2"/>
      <c r="N72" s="7">
        <f t="shared" si="51"/>
        <v>-1</v>
      </c>
      <c r="O72" s="10"/>
      <c r="P72" s="6">
        <v>59760.03</v>
      </c>
      <c r="Q72" s="2"/>
      <c r="R72" s="7">
        <f t="shared" si="52"/>
        <v>0</v>
      </c>
      <c r="S72" s="2"/>
      <c r="T72" s="6">
        <v>17048.55</v>
      </c>
      <c r="U72" s="2"/>
      <c r="V72" s="7">
        <f t="shared" si="53"/>
        <v>0</v>
      </c>
      <c r="W72" s="2"/>
      <c r="X72" s="6">
        <f t="shared" si="54"/>
        <v>42711.479999999996</v>
      </c>
      <c r="Y72" s="2"/>
      <c r="Z72" s="7">
        <f t="shared" si="55"/>
        <v>2.5052852002076422</v>
      </c>
    </row>
    <row r="73" spans="1:26" s="23" customFormat="1" hidden="1" outlineLevel="2" x14ac:dyDescent="0.25">
      <c r="A73" s="25"/>
      <c r="B73" s="10" t="str">
        <f>CONCATENATE("          ", "6372", " - ", "COMPUTER HARDWARE MAINTENANCE")</f>
        <v xml:space="preserve">          6372 - COMPUTER HARDWARE MAINTENANCE</v>
      </c>
      <c r="C73" s="10"/>
      <c r="D73" s="6"/>
      <c r="E73" s="2"/>
      <c r="F73" s="7">
        <f t="shared" si="48"/>
        <v>0</v>
      </c>
      <c r="G73" s="2"/>
      <c r="H73" s="6">
        <v>-2</v>
      </c>
      <c r="I73" s="2"/>
      <c r="J73" s="7">
        <f t="shared" si="49"/>
        <v>0</v>
      </c>
      <c r="K73" s="2"/>
      <c r="L73" s="6">
        <f t="shared" si="50"/>
        <v>2</v>
      </c>
      <c r="M73" s="2"/>
      <c r="N73" s="7">
        <f t="shared" si="51"/>
        <v>-1</v>
      </c>
      <c r="O73" s="10"/>
      <c r="P73" s="6">
        <v>-0.63</v>
      </c>
      <c r="Q73" s="2"/>
      <c r="R73" s="7">
        <f t="shared" si="52"/>
        <v>0</v>
      </c>
      <c r="S73" s="2"/>
      <c r="T73" s="6">
        <v>50.32</v>
      </c>
      <c r="U73" s="2"/>
      <c r="V73" s="7">
        <f t="shared" si="53"/>
        <v>0</v>
      </c>
      <c r="W73" s="2"/>
      <c r="X73" s="6">
        <f t="shared" si="54"/>
        <v>-50.95</v>
      </c>
      <c r="Y73" s="2"/>
      <c r="Z73" s="7">
        <f t="shared" si="55"/>
        <v>-1.0125198728139906</v>
      </c>
    </row>
    <row r="74" spans="1:26" s="23" customFormat="1" hidden="1" outlineLevel="2" x14ac:dyDescent="0.25">
      <c r="A74" s="25"/>
      <c r="B74" s="10" t="str">
        <f>CONCATENATE("          ", "6373", " - ", "MAINTENANCE CONTRACTS")</f>
        <v xml:space="preserve">          6373 - MAINTENANCE CONTRACTS</v>
      </c>
      <c r="C74" s="10"/>
      <c r="D74" s="6">
        <v>1062.6300000000001</v>
      </c>
      <c r="E74" s="2"/>
      <c r="F74" s="7">
        <f t="shared" si="48"/>
        <v>0</v>
      </c>
      <c r="G74" s="2"/>
      <c r="H74" s="6">
        <v>3596.58</v>
      </c>
      <c r="I74" s="2"/>
      <c r="J74" s="7">
        <f t="shared" si="49"/>
        <v>0</v>
      </c>
      <c r="K74" s="2"/>
      <c r="L74" s="6">
        <f t="shared" si="50"/>
        <v>-2533.9499999999998</v>
      </c>
      <c r="M74" s="2"/>
      <c r="N74" s="7">
        <f t="shared" si="51"/>
        <v>-0.7045443171012461</v>
      </c>
      <c r="O74" s="10"/>
      <c r="P74" s="6">
        <v>18390.23</v>
      </c>
      <c r="Q74" s="2"/>
      <c r="R74" s="7">
        <f t="shared" si="52"/>
        <v>0</v>
      </c>
      <c r="S74" s="2"/>
      <c r="T74" s="6">
        <v>16291.63</v>
      </c>
      <c r="U74" s="2"/>
      <c r="V74" s="7">
        <f t="shared" si="53"/>
        <v>0</v>
      </c>
      <c r="W74" s="2"/>
      <c r="X74" s="6">
        <f t="shared" si="54"/>
        <v>2098.6000000000004</v>
      </c>
      <c r="Y74" s="2"/>
      <c r="Z74" s="7">
        <f t="shared" si="55"/>
        <v>0.12881461216587908</v>
      </c>
    </row>
    <row r="75" spans="1:26" s="23" customFormat="1" hidden="1" outlineLevel="2" x14ac:dyDescent="0.25">
      <c r="A75" s="25"/>
      <c r="B75" s="10" t="str">
        <f>CONCATENATE("          ", "6375", " - ", "OUTSIDE REPAIRS &amp; MAINTENANCE")</f>
        <v xml:space="preserve">          6375 - OUTSIDE REPAIRS &amp; MAINTENANCE</v>
      </c>
      <c r="C75" s="10"/>
      <c r="D75" s="6">
        <v>13377.46</v>
      </c>
      <c r="E75" s="2"/>
      <c r="F75" s="7">
        <f t="shared" si="48"/>
        <v>0</v>
      </c>
      <c r="G75" s="2"/>
      <c r="H75" s="6">
        <v>1653.29</v>
      </c>
      <c r="I75" s="2"/>
      <c r="J75" s="7">
        <f t="shared" si="49"/>
        <v>0</v>
      </c>
      <c r="K75" s="2"/>
      <c r="L75" s="6">
        <f t="shared" si="50"/>
        <v>11724.169999999998</v>
      </c>
      <c r="M75" s="2"/>
      <c r="N75" s="7">
        <f t="shared" si="51"/>
        <v>7.0914177186095593</v>
      </c>
      <c r="O75" s="10"/>
      <c r="P75" s="6">
        <v>42519.93</v>
      </c>
      <c r="Q75" s="2"/>
      <c r="R75" s="7">
        <f t="shared" si="52"/>
        <v>0</v>
      </c>
      <c r="S75" s="2"/>
      <c r="T75" s="6">
        <v>38242.589999999997</v>
      </c>
      <c r="U75" s="2"/>
      <c r="V75" s="7">
        <f t="shared" si="53"/>
        <v>0</v>
      </c>
      <c r="W75" s="2"/>
      <c r="X75" s="6">
        <f t="shared" si="54"/>
        <v>4277.3400000000038</v>
      </c>
      <c r="Y75" s="2"/>
      <c r="Z75" s="7">
        <f t="shared" si="55"/>
        <v>0.11184755007440668</v>
      </c>
    </row>
    <row r="76" spans="1:26" s="27" customFormat="1" outlineLevel="1" collapsed="1" x14ac:dyDescent="0.25">
      <c r="A76" s="26"/>
      <c r="B76" s="12" t="str">
        <f>CONCATENATE("     ","Services                                          ")</f>
        <v xml:space="preserve">     Services                                          </v>
      </c>
      <c r="C76" s="12"/>
      <c r="D76" s="1">
        <f>SUM(OSRRefD22_17x_0)</f>
        <v>4432.7299999999996</v>
      </c>
      <c r="E76" s="1"/>
      <c r="F76" s="5">
        <f t="shared" ref="F76:F79" si="56">IF(D$12=0,0,D76/D$12)</f>
        <v>0</v>
      </c>
      <c r="G76" s="1"/>
      <c r="H76" s="1">
        <f>SUM(OSRRefH22_17x_0)</f>
        <v>7166.0199999999995</v>
      </c>
      <c r="I76" s="1"/>
      <c r="J76" s="5">
        <f t="shared" ref="J76:J79" si="57">IF(H$12=0,0,H76/H$12)</f>
        <v>0</v>
      </c>
      <c r="K76" s="1"/>
      <c r="L76" s="1">
        <f t="shared" ref="L76:L79" si="58">+D76-H76</f>
        <v>-2733.29</v>
      </c>
      <c r="M76" s="1"/>
      <c r="N76" s="5">
        <f t="shared" ref="N76:N79" si="59">IF(H76=0,0,L76/H76)</f>
        <v>-0.38142371916349666</v>
      </c>
      <c r="O76" s="12"/>
      <c r="P76" s="1">
        <f>SUM(OSRRefP22_17x_0)</f>
        <v>47937.009999999995</v>
      </c>
      <c r="Q76" s="1"/>
      <c r="R76" s="5">
        <f t="shared" ref="R76:R79" si="60">IF(P$12=0,0,P76/P$12)</f>
        <v>0</v>
      </c>
      <c r="S76" s="1"/>
      <c r="T76" s="1">
        <f>SUM(OSRRefT22_17x_0)</f>
        <v>52755.83</v>
      </c>
      <c r="U76" s="1"/>
      <c r="V76" s="5">
        <f t="shared" ref="V76:V79" si="61">IF(T$12=0,0,T76/T$12)</f>
        <v>0</v>
      </c>
      <c r="W76" s="1"/>
      <c r="X76" s="1">
        <f t="shared" ref="X76:X79" si="62">+P76-T76</f>
        <v>-4818.820000000007</v>
      </c>
      <c r="Y76" s="1"/>
      <c r="Z76" s="5">
        <f t="shared" ref="Z76:Z79" si="63">IF(T76=0,0,X76/T76)</f>
        <v>-9.1341942681974805E-2</v>
      </c>
    </row>
    <row r="77" spans="1:26" s="23" customFormat="1" hidden="1" outlineLevel="2" x14ac:dyDescent="0.25">
      <c r="A77" s="25"/>
      <c r="B77" s="10" t="str">
        <f>CONCATENATE("          ", "6282", " - ", "JANITORIAL/EXTERMINATOR EXPENS")</f>
        <v xml:space="preserve">          6282 - JANITORIAL/EXTERMINATOR EXPENS</v>
      </c>
      <c r="C77" s="10"/>
      <c r="D77" s="6">
        <v>582</v>
      </c>
      <c r="E77" s="2"/>
      <c r="F77" s="7">
        <f t="shared" si="56"/>
        <v>0</v>
      </c>
      <c r="G77" s="2"/>
      <c r="H77" s="6">
        <v>728.86</v>
      </c>
      <c r="I77" s="2"/>
      <c r="J77" s="7">
        <f t="shared" si="57"/>
        <v>0</v>
      </c>
      <c r="K77" s="2"/>
      <c r="L77" s="6">
        <f t="shared" si="58"/>
        <v>-146.86000000000001</v>
      </c>
      <c r="M77" s="2"/>
      <c r="N77" s="7">
        <f t="shared" si="59"/>
        <v>-0.20149274209038776</v>
      </c>
      <c r="O77" s="10"/>
      <c r="P77" s="6">
        <v>8103.12</v>
      </c>
      <c r="Q77" s="2"/>
      <c r="R77" s="7">
        <f t="shared" si="60"/>
        <v>0</v>
      </c>
      <c r="S77" s="2"/>
      <c r="T77" s="6">
        <v>2953.86</v>
      </c>
      <c r="U77" s="2"/>
      <c r="V77" s="7">
        <f t="shared" si="61"/>
        <v>0</v>
      </c>
      <c r="W77" s="2"/>
      <c r="X77" s="6">
        <f t="shared" si="62"/>
        <v>5149.26</v>
      </c>
      <c r="Y77" s="2"/>
      <c r="Z77" s="7">
        <f t="shared" si="63"/>
        <v>1.7432308911051979</v>
      </c>
    </row>
    <row r="78" spans="1:26" s="23" customFormat="1" hidden="1" outlineLevel="2" x14ac:dyDescent="0.25">
      <c r="A78" s="25"/>
      <c r="B78" s="10" t="str">
        <f>CONCATENATE("          ", "6283", " - ", "PLANT SERVICE")</f>
        <v xml:space="preserve">          6283 - PLANT SERVICE</v>
      </c>
      <c r="C78" s="10"/>
      <c r="D78" s="6"/>
      <c r="E78" s="2"/>
      <c r="F78" s="7">
        <f t="shared" si="56"/>
        <v>0</v>
      </c>
      <c r="G78" s="2"/>
      <c r="H78" s="6"/>
      <c r="I78" s="2"/>
      <c r="J78" s="7">
        <f t="shared" si="57"/>
        <v>0</v>
      </c>
      <c r="K78" s="2"/>
      <c r="L78" s="6">
        <f t="shared" si="58"/>
        <v>0</v>
      </c>
      <c r="M78" s="2"/>
      <c r="N78" s="7">
        <f t="shared" si="59"/>
        <v>0</v>
      </c>
      <c r="O78" s="10"/>
      <c r="P78" s="6">
        <v>130</v>
      </c>
      <c r="Q78" s="2"/>
      <c r="R78" s="7">
        <f t="shared" si="60"/>
        <v>0</v>
      </c>
      <c r="S78" s="2"/>
      <c r="T78" s="6">
        <v>363.33</v>
      </c>
      <c r="U78" s="2"/>
      <c r="V78" s="7">
        <f t="shared" si="61"/>
        <v>0</v>
      </c>
      <c r="W78" s="2"/>
      <c r="X78" s="6">
        <f t="shared" si="62"/>
        <v>-233.32999999999998</v>
      </c>
      <c r="Y78" s="2"/>
      <c r="Z78" s="7">
        <f t="shared" si="63"/>
        <v>-0.6421985522802961</v>
      </c>
    </row>
    <row r="79" spans="1:26" s="23" customFormat="1" hidden="1" outlineLevel="2" x14ac:dyDescent="0.25">
      <c r="A79" s="25"/>
      <c r="B79" s="10" t="str">
        <f>CONCATENATE("          ", "6285", " - ", "JANITORIAL SERVICES")</f>
        <v xml:space="preserve">          6285 - JANITORIAL SERVICES</v>
      </c>
      <c r="C79" s="10"/>
      <c r="D79" s="6">
        <v>3850.73</v>
      </c>
      <c r="E79" s="2"/>
      <c r="F79" s="7">
        <f t="shared" si="56"/>
        <v>0</v>
      </c>
      <c r="G79" s="2"/>
      <c r="H79" s="6">
        <v>6437.16</v>
      </c>
      <c r="I79" s="2"/>
      <c r="J79" s="7">
        <f t="shared" si="57"/>
        <v>0</v>
      </c>
      <c r="K79" s="2"/>
      <c r="L79" s="6">
        <f t="shared" si="58"/>
        <v>-2586.4299999999998</v>
      </c>
      <c r="M79" s="2"/>
      <c r="N79" s="7">
        <f t="shared" si="59"/>
        <v>-0.4017967550907543</v>
      </c>
      <c r="O79" s="10"/>
      <c r="P79" s="6">
        <v>39703.89</v>
      </c>
      <c r="Q79" s="2"/>
      <c r="R79" s="7">
        <f t="shared" si="60"/>
        <v>0</v>
      </c>
      <c r="S79" s="2"/>
      <c r="T79" s="6">
        <v>49438.64</v>
      </c>
      <c r="U79" s="2"/>
      <c r="V79" s="7">
        <f t="shared" si="61"/>
        <v>0</v>
      </c>
      <c r="W79" s="2"/>
      <c r="X79" s="6">
        <f t="shared" si="62"/>
        <v>-9734.75</v>
      </c>
      <c r="Y79" s="2"/>
      <c r="Z79" s="7">
        <f t="shared" si="63"/>
        <v>-0.19690569967135019</v>
      </c>
    </row>
    <row r="80" spans="1:26" s="27" customFormat="1" outlineLevel="1" collapsed="1" x14ac:dyDescent="0.25">
      <c r="A80" s="26"/>
      <c r="B80" s="12" t="str">
        <f>CONCATENATE("     ","Subscriptions &amp; Dues                              ")</f>
        <v xml:space="preserve">     Subscriptions &amp; Dues                              </v>
      </c>
      <c r="C80" s="12"/>
      <c r="D80" s="1">
        <f>SUM(OSRRefD22_18x_0)</f>
        <v>1605</v>
      </c>
      <c r="E80" s="1"/>
      <c r="F80" s="5">
        <f t="shared" ref="F80:F82" si="64">IF(D$12=0,0,D80/D$12)</f>
        <v>0</v>
      </c>
      <c r="G80" s="1"/>
      <c r="H80" s="1">
        <f>SUM(OSRRefH22_18x_0)</f>
        <v>0</v>
      </c>
      <c r="I80" s="1"/>
      <c r="J80" s="5">
        <f t="shared" ref="J80:J82" si="65">IF(H$12=0,0,H80/H$12)</f>
        <v>0</v>
      </c>
      <c r="K80" s="1"/>
      <c r="L80" s="1">
        <f t="shared" ref="L80:L82" si="66">+D80-H80</f>
        <v>1605</v>
      </c>
      <c r="M80" s="1"/>
      <c r="N80" s="5">
        <f t="shared" ref="N80:N82" si="67">IF(H80=0,0,L80/H80)</f>
        <v>0</v>
      </c>
      <c r="O80" s="12"/>
      <c r="P80" s="1">
        <f>SUM(OSRRefP22_18x_0)</f>
        <v>1605</v>
      </c>
      <c r="Q80" s="1"/>
      <c r="R80" s="5">
        <f t="shared" ref="R80:R82" si="68">IF(P$12=0,0,P80/P$12)</f>
        <v>0</v>
      </c>
      <c r="S80" s="1"/>
      <c r="T80" s="1">
        <f>SUM(OSRRefT22_18x_0)</f>
        <v>1280.3</v>
      </c>
      <c r="U80" s="1"/>
      <c r="V80" s="5">
        <f t="shared" ref="V80:V82" si="69">IF(T$12=0,0,T80/T$12)</f>
        <v>0</v>
      </c>
      <c r="W80" s="1"/>
      <c r="X80" s="1">
        <f t="shared" ref="X80:X82" si="70">+P80-T80</f>
        <v>324.70000000000005</v>
      </c>
      <c r="Y80" s="1"/>
      <c r="Z80" s="5">
        <f t="shared" ref="Z80:Z82" si="71">IF(T80=0,0,X80/T80)</f>
        <v>0.25361243458564403</v>
      </c>
    </row>
    <row r="81" spans="1:26" s="23" customFormat="1" hidden="1" outlineLevel="2" x14ac:dyDescent="0.25">
      <c r="A81" s="25"/>
      <c r="B81" s="10" t="str">
        <f>CONCATENATE("          ", "6258", " - ", "MEMBERSHIP DUES")</f>
        <v xml:space="preserve">          6258 - MEMBERSHIP DUES</v>
      </c>
      <c r="C81" s="10"/>
      <c r="D81" s="6">
        <v>1520</v>
      </c>
      <c r="E81" s="2"/>
      <c r="F81" s="7">
        <f t="shared" si="64"/>
        <v>0</v>
      </c>
      <c r="G81" s="2"/>
      <c r="H81" s="6"/>
      <c r="I81" s="2"/>
      <c r="J81" s="7">
        <f t="shared" si="65"/>
        <v>0</v>
      </c>
      <c r="K81" s="2"/>
      <c r="L81" s="6">
        <f t="shared" si="66"/>
        <v>1520</v>
      </c>
      <c r="M81" s="2"/>
      <c r="N81" s="7">
        <f t="shared" si="67"/>
        <v>0</v>
      </c>
      <c r="O81" s="10"/>
      <c r="P81" s="6">
        <v>1520</v>
      </c>
      <c r="Q81" s="2"/>
      <c r="R81" s="7">
        <f t="shared" si="68"/>
        <v>0</v>
      </c>
      <c r="S81" s="2"/>
      <c r="T81" s="6">
        <v>875</v>
      </c>
      <c r="U81" s="2"/>
      <c r="V81" s="7">
        <f t="shared" si="69"/>
        <v>0</v>
      </c>
      <c r="W81" s="2"/>
      <c r="X81" s="6">
        <f t="shared" si="70"/>
        <v>645</v>
      </c>
      <c r="Y81" s="2"/>
      <c r="Z81" s="7">
        <f t="shared" si="71"/>
        <v>0.7371428571428571</v>
      </c>
    </row>
    <row r="82" spans="1:26" s="23" customFormat="1" hidden="1" outlineLevel="2" x14ac:dyDescent="0.25">
      <c r="A82" s="25"/>
      <c r="B82" s="10" t="str">
        <f>CONCATENATE("          ", "6275", " - ", "SUBSCRIPTIONS")</f>
        <v xml:space="preserve">          6275 - SUBSCRIPTIONS</v>
      </c>
      <c r="C82" s="10"/>
      <c r="D82" s="6">
        <v>85</v>
      </c>
      <c r="E82" s="2"/>
      <c r="F82" s="7">
        <f t="shared" si="64"/>
        <v>0</v>
      </c>
      <c r="G82" s="2"/>
      <c r="H82" s="6"/>
      <c r="I82" s="2"/>
      <c r="J82" s="7">
        <f t="shared" si="65"/>
        <v>0</v>
      </c>
      <c r="K82" s="2"/>
      <c r="L82" s="6">
        <f t="shared" si="66"/>
        <v>85</v>
      </c>
      <c r="M82" s="2"/>
      <c r="N82" s="7">
        <f t="shared" si="67"/>
        <v>0</v>
      </c>
      <c r="O82" s="10"/>
      <c r="P82" s="6">
        <v>85</v>
      </c>
      <c r="Q82" s="2"/>
      <c r="R82" s="7">
        <f t="shared" si="68"/>
        <v>0</v>
      </c>
      <c r="S82" s="2"/>
      <c r="T82" s="6">
        <v>405.3</v>
      </c>
      <c r="U82" s="2"/>
      <c r="V82" s="7">
        <f t="shared" si="69"/>
        <v>0</v>
      </c>
      <c r="W82" s="2"/>
      <c r="X82" s="6">
        <f t="shared" si="70"/>
        <v>-320.3</v>
      </c>
      <c r="Y82" s="2"/>
      <c r="Z82" s="7">
        <f t="shared" si="71"/>
        <v>-0.79027880582284726</v>
      </c>
    </row>
    <row r="83" spans="1:26" s="27" customFormat="1" outlineLevel="1" collapsed="1" x14ac:dyDescent="0.25">
      <c r="A83" s="26"/>
      <c r="B83" s="12" t="str">
        <f>CONCATENATE("     ","Supplies                                          ")</f>
        <v xml:space="preserve">     Supplies                                          </v>
      </c>
      <c r="C83" s="12"/>
      <c r="D83" s="1">
        <f>SUM(OSRRefD22_19x_0)</f>
        <v>1651.56</v>
      </c>
      <c r="E83" s="1"/>
      <c r="F83" s="5">
        <f t="shared" ref="F83:F90" si="72">IF(D$12=0,0,D83/D$12)</f>
        <v>0</v>
      </c>
      <c r="G83" s="1"/>
      <c r="H83" s="1">
        <f>SUM(OSRRefH22_19x_0)</f>
        <v>5632.3200000000006</v>
      </c>
      <c r="I83" s="1"/>
      <c r="J83" s="5">
        <f t="shared" ref="J83:J90" si="73">IF(H$12=0,0,H83/H$12)</f>
        <v>0</v>
      </c>
      <c r="K83" s="1"/>
      <c r="L83" s="1">
        <f t="shared" ref="L83:L90" si="74">+D83-H83</f>
        <v>-3980.7600000000007</v>
      </c>
      <c r="M83" s="1"/>
      <c r="N83" s="5">
        <f t="shared" ref="N83:N90" si="75">IF(H83=0,0,L83/H83)</f>
        <v>-0.70677092210669856</v>
      </c>
      <c r="O83" s="12"/>
      <c r="P83" s="1">
        <f>SUM(OSRRefP22_19x_0)</f>
        <v>69224.460000000006</v>
      </c>
      <c r="Q83" s="1"/>
      <c r="R83" s="5">
        <f t="shared" ref="R83:R90" si="76">IF(P$12=0,0,P83/P$12)</f>
        <v>0</v>
      </c>
      <c r="S83" s="1"/>
      <c r="T83" s="1">
        <f>SUM(OSRRefT22_19x_0)</f>
        <v>22697.69</v>
      </c>
      <c r="U83" s="1"/>
      <c r="V83" s="5">
        <f t="shared" ref="V83:V90" si="77">IF(T$12=0,0,T83/T$12)</f>
        <v>0</v>
      </c>
      <c r="W83" s="1"/>
      <c r="X83" s="1">
        <f t="shared" ref="X83:X90" si="78">+P83-T83</f>
        <v>46526.770000000004</v>
      </c>
      <c r="Y83" s="1"/>
      <c r="Z83" s="5">
        <f t="shared" ref="Z83:Z90" si="79">IF(T83=0,0,X83/T83)</f>
        <v>2.0498460416015907</v>
      </c>
    </row>
    <row r="84" spans="1:26" s="23" customFormat="1" hidden="1" outlineLevel="2" x14ac:dyDescent="0.25">
      <c r="A84" s="25"/>
      <c r="B84" s="10" t="str">
        <f>CONCATENATE("          ", "6234", " - ", "EXPENDABLE SUPPLIES &amp; EQUIPMEN")</f>
        <v xml:space="preserve">          6234 - EXPENDABLE SUPPLIES &amp; EQUIPMEN</v>
      </c>
      <c r="C84" s="10"/>
      <c r="D84" s="6"/>
      <c r="E84" s="2"/>
      <c r="F84" s="7">
        <f t="shared" si="72"/>
        <v>0</v>
      </c>
      <c r="G84" s="2"/>
      <c r="H84" s="6"/>
      <c r="I84" s="2"/>
      <c r="J84" s="7">
        <f t="shared" si="73"/>
        <v>0</v>
      </c>
      <c r="K84" s="2"/>
      <c r="L84" s="6">
        <f t="shared" si="74"/>
        <v>0</v>
      </c>
      <c r="M84" s="2"/>
      <c r="N84" s="7">
        <f t="shared" si="75"/>
        <v>0</v>
      </c>
      <c r="O84" s="10"/>
      <c r="P84" s="6">
        <v>-449.34</v>
      </c>
      <c r="Q84" s="2"/>
      <c r="R84" s="7">
        <f t="shared" si="76"/>
        <v>0</v>
      </c>
      <c r="S84" s="2"/>
      <c r="T84" s="6">
        <v>2149.0500000000002</v>
      </c>
      <c r="U84" s="2"/>
      <c r="V84" s="7">
        <f t="shared" si="77"/>
        <v>0</v>
      </c>
      <c r="W84" s="2"/>
      <c r="X84" s="6">
        <f t="shared" si="78"/>
        <v>-2598.3900000000003</v>
      </c>
      <c r="Y84" s="2"/>
      <c r="Z84" s="7">
        <f t="shared" si="79"/>
        <v>-1.2090877364416837</v>
      </c>
    </row>
    <row r="85" spans="1:26" s="23" customFormat="1" hidden="1" outlineLevel="2" x14ac:dyDescent="0.25">
      <c r="A85" s="25"/>
      <c r="B85" s="10" t="str">
        <f>CONCATENATE("          ", "6235", " - ", "COVID-19 EXPENSES")</f>
        <v xml:space="preserve">          6235 - COVID-19 EXPENSES</v>
      </c>
      <c r="C85" s="10"/>
      <c r="D85" s="6">
        <v>957.91</v>
      </c>
      <c r="E85" s="2"/>
      <c r="F85" s="7">
        <f t="shared" si="72"/>
        <v>0</v>
      </c>
      <c r="G85" s="2"/>
      <c r="H85" s="6">
        <v>3511.67</v>
      </c>
      <c r="I85" s="2"/>
      <c r="J85" s="7">
        <f t="shared" si="73"/>
        <v>0</v>
      </c>
      <c r="K85" s="2"/>
      <c r="L85" s="6">
        <f t="shared" si="74"/>
        <v>-2553.7600000000002</v>
      </c>
      <c r="M85" s="2"/>
      <c r="N85" s="7">
        <f t="shared" si="75"/>
        <v>-0.72722095185481561</v>
      </c>
      <c r="O85" s="10"/>
      <c r="P85" s="6">
        <v>42908.63</v>
      </c>
      <c r="Q85" s="2"/>
      <c r="R85" s="7">
        <f t="shared" si="76"/>
        <v>0</v>
      </c>
      <c r="S85" s="2"/>
      <c r="T85" s="6">
        <v>5061.67</v>
      </c>
      <c r="U85" s="2"/>
      <c r="V85" s="7">
        <f t="shared" si="77"/>
        <v>0</v>
      </c>
      <c r="W85" s="2"/>
      <c r="X85" s="6">
        <f t="shared" si="78"/>
        <v>37846.959999999999</v>
      </c>
      <c r="Y85" s="2"/>
      <c r="Z85" s="7">
        <f t="shared" si="79"/>
        <v>7.4771686024572919</v>
      </c>
    </row>
    <row r="86" spans="1:26" s="23" customFormat="1" hidden="1" outlineLevel="2" x14ac:dyDescent="0.25">
      <c r="A86" s="25"/>
      <c r="B86" s="10" t="str">
        <f>CONCATENATE("          ", "6237", " - ", "JANITORIAL SUPPLIES")</f>
        <v xml:space="preserve">          6237 - JANITORIAL SUPPLIES</v>
      </c>
      <c r="C86" s="10"/>
      <c r="D86" s="6">
        <v>321.05</v>
      </c>
      <c r="E86" s="2"/>
      <c r="F86" s="7">
        <f t="shared" si="72"/>
        <v>0</v>
      </c>
      <c r="G86" s="2"/>
      <c r="H86" s="6">
        <v>1763.02</v>
      </c>
      <c r="I86" s="2"/>
      <c r="J86" s="7">
        <f t="shared" si="73"/>
        <v>0</v>
      </c>
      <c r="K86" s="2"/>
      <c r="L86" s="6">
        <f t="shared" si="74"/>
        <v>-1441.97</v>
      </c>
      <c r="M86" s="2"/>
      <c r="N86" s="7">
        <f t="shared" si="75"/>
        <v>-0.81789769826774517</v>
      </c>
      <c r="O86" s="10"/>
      <c r="P86" s="6">
        <v>4009.59</v>
      </c>
      <c r="Q86" s="2"/>
      <c r="R86" s="7">
        <f t="shared" si="76"/>
        <v>0</v>
      </c>
      <c r="S86" s="2"/>
      <c r="T86" s="6">
        <v>6170.69</v>
      </c>
      <c r="U86" s="2"/>
      <c r="V86" s="7">
        <f t="shared" si="77"/>
        <v>0</v>
      </c>
      <c r="W86" s="2"/>
      <c r="X86" s="6">
        <f t="shared" si="78"/>
        <v>-2161.0999999999995</v>
      </c>
      <c r="Y86" s="2"/>
      <c r="Z86" s="7">
        <f t="shared" si="79"/>
        <v>-0.35022015366190806</v>
      </c>
    </row>
    <row r="87" spans="1:26" s="23" customFormat="1" hidden="1" outlineLevel="2" x14ac:dyDescent="0.25">
      <c r="A87" s="25"/>
      <c r="B87" s="10" t="str">
        <f>CONCATENATE("          ", "6241", " - ", "OFFICE EXPENSE")</f>
        <v xml:space="preserve">          6241 - OFFICE EXPENSE</v>
      </c>
      <c r="C87" s="10"/>
      <c r="D87" s="6">
        <v>165.55</v>
      </c>
      <c r="E87" s="2"/>
      <c r="F87" s="7">
        <f t="shared" si="72"/>
        <v>0</v>
      </c>
      <c r="G87" s="2"/>
      <c r="H87" s="6">
        <v>395.27</v>
      </c>
      <c r="I87" s="2"/>
      <c r="J87" s="7">
        <f t="shared" si="73"/>
        <v>0</v>
      </c>
      <c r="K87" s="2"/>
      <c r="L87" s="6">
        <f t="shared" si="74"/>
        <v>-229.71999999999997</v>
      </c>
      <c r="M87" s="2"/>
      <c r="N87" s="7">
        <f t="shared" si="75"/>
        <v>-0.58117236319477816</v>
      </c>
      <c r="O87" s="10"/>
      <c r="P87" s="6">
        <v>3047.8</v>
      </c>
      <c r="Q87" s="2"/>
      <c r="R87" s="7">
        <f t="shared" si="76"/>
        <v>0</v>
      </c>
      <c r="S87" s="2"/>
      <c r="T87" s="6">
        <v>9744.1299999999992</v>
      </c>
      <c r="U87" s="2"/>
      <c r="V87" s="7">
        <f t="shared" si="77"/>
        <v>0</v>
      </c>
      <c r="W87" s="2"/>
      <c r="X87" s="6">
        <f t="shared" si="78"/>
        <v>-6696.329999999999</v>
      </c>
      <c r="Y87" s="2"/>
      <c r="Z87" s="7">
        <f t="shared" si="79"/>
        <v>-0.68721681668861145</v>
      </c>
    </row>
    <row r="88" spans="1:26" s="23" customFormat="1" hidden="1" outlineLevel="2" x14ac:dyDescent="0.25">
      <c r="A88" s="25"/>
      <c r="B88" s="10" t="str">
        <f>CONCATENATE("          ", "6245", " - ", "PRINTING")</f>
        <v xml:space="preserve">          6245 - PRINTING</v>
      </c>
      <c r="C88" s="10"/>
      <c r="D88" s="6"/>
      <c r="E88" s="2"/>
      <c r="F88" s="7">
        <f t="shared" si="72"/>
        <v>0</v>
      </c>
      <c r="G88" s="2"/>
      <c r="H88" s="6"/>
      <c r="I88" s="2"/>
      <c r="J88" s="7">
        <f t="shared" si="73"/>
        <v>0</v>
      </c>
      <c r="K88" s="2"/>
      <c r="L88" s="6">
        <f t="shared" si="74"/>
        <v>0</v>
      </c>
      <c r="M88" s="2"/>
      <c r="N88" s="7">
        <f t="shared" si="75"/>
        <v>0</v>
      </c>
      <c r="O88" s="10"/>
      <c r="P88" s="6">
        <v>68.66</v>
      </c>
      <c r="Q88" s="2"/>
      <c r="R88" s="7">
        <f t="shared" si="76"/>
        <v>0</v>
      </c>
      <c r="S88" s="2"/>
      <c r="T88" s="6">
        <v>19.73</v>
      </c>
      <c r="U88" s="2"/>
      <c r="V88" s="7">
        <f t="shared" si="77"/>
        <v>0</v>
      </c>
      <c r="W88" s="2"/>
      <c r="X88" s="6">
        <f t="shared" si="78"/>
        <v>48.929999999999993</v>
      </c>
      <c r="Y88" s="2"/>
      <c r="Z88" s="7">
        <f t="shared" si="79"/>
        <v>2.4799797263051189</v>
      </c>
    </row>
    <row r="89" spans="1:26" s="23" customFormat="1" hidden="1" outlineLevel="2" x14ac:dyDescent="0.25">
      <c r="A89" s="25"/>
      <c r="B89" s="10" t="str">
        <f>CONCATENATE("          ", "6247", " - ", "STORE SUPPLIES")</f>
        <v xml:space="preserve">          6247 - STORE SUPPLIES</v>
      </c>
      <c r="C89" s="10"/>
      <c r="D89" s="6">
        <v>207.05</v>
      </c>
      <c r="E89" s="2"/>
      <c r="F89" s="7">
        <f t="shared" si="72"/>
        <v>0</v>
      </c>
      <c r="G89" s="2"/>
      <c r="H89" s="6">
        <v>-37.64</v>
      </c>
      <c r="I89" s="2"/>
      <c r="J89" s="7">
        <f t="shared" si="73"/>
        <v>0</v>
      </c>
      <c r="K89" s="2"/>
      <c r="L89" s="6">
        <f t="shared" si="74"/>
        <v>244.69</v>
      </c>
      <c r="M89" s="2"/>
      <c r="N89" s="7">
        <f t="shared" si="75"/>
        <v>-6.5007970244420825</v>
      </c>
      <c r="O89" s="10"/>
      <c r="P89" s="6">
        <v>19639.12</v>
      </c>
      <c r="Q89" s="2"/>
      <c r="R89" s="7">
        <f t="shared" si="76"/>
        <v>0</v>
      </c>
      <c r="S89" s="2"/>
      <c r="T89" s="6">
        <v>-491.49</v>
      </c>
      <c r="U89" s="2"/>
      <c r="V89" s="7">
        <f t="shared" si="77"/>
        <v>0</v>
      </c>
      <c r="W89" s="2"/>
      <c r="X89" s="6">
        <f t="shared" si="78"/>
        <v>20130.61</v>
      </c>
      <c r="Y89" s="2"/>
      <c r="Z89" s="7">
        <f t="shared" si="79"/>
        <v>-40.958330790046595</v>
      </c>
    </row>
    <row r="90" spans="1:26" s="23" customFormat="1" hidden="1" outlineLevel="2" x14ac:dyDescent="0.25">
      <c r="A90" s="25"/>
      <c r="B90" s="10" t="str">
        <f>CONCATENATE("          ", "6248", " - ", "UNIFORMS")</f>
        <v xml:space="preserve">          6248 - UNIFORMS</v>
      </c>
      <c r="C90" s="10"/>
      <c r="D90" s="6"/>
      <c r="E90" s="2"/>
      <c r="F90" s="7">
        <f t="shared" si="72"/>
        <v>0</v>
      </c>
      <c r="G90" s="2"/>
      <c r="H90" s="6"/>
      <c r="I90" s="2"/>
      <c r="J90" s="7">
        <f t="shared" si="73"/>
        <v>0</v>
      </c>
      <c r="K90" s="2"/>
      <c r="L90" s="6">
        <f t="shared" si="74"/>
        <v>0</v>
      </c>
      <c r="M90" s="2"/>
      <c r="N90" s="7">
        <f t="shared" si="75"/>
        <v>0</v>
      </c>
      <c r="O90" s="10"/>
      <c r="P90" s="6"/>
      <c r="Q90" s="2"/>
      <c r="R90" s="7">
        <f t="shared" si="76"/>
        <v>0</v>
      </c>
      <c r="S90" s="2"/>
      <c r="T90" s="6">
        <v>43.91</v>
      </c>
      <c r="U90" s="2"/>
      <c r="V90" s="7">
        <f t="shared" si="77"/>
        <v>0</v>
      </c>
      <c r="W90" s="2"/>
      <c r="X90" s="6">
        <f t="shared" si="78"/>
        <v>-43.91</v>
      </c>
      <c r="Y90" s="2"/>
      <c r="Z90" s="7">
        <f t="shared" si="79"/>
        <v>-1</v>
      </c>
    </row>
    <row r="91" spans="1:26" s="27" customFormat="1" outlineLevel="1" collapsed="1" x14ac:dyDescent="0.25">
      <c r="A91" s="26"/>
      <c r="B91" s="12" t="str">
        <f>CONCATENATE("     ","Telephone/Data Lines                              ")</f>
        <v xml:space="preserve">     Telephone/Data Lines                              </v>
      </c>
      <c r="C91" s="12"/>
      <c r="D91" s="1">
        <f>SUM(OSRRefD22_20x_0)</f>
        <v>800.93</v>
      </c>
      <c r="E91" s="1"/>
      <c r="F91" s="5">
        <f t="shared" ref="F91:F98" si="80">IF(D$12=0,0,D91/D$12)</f>
        <v>0</v>
      </c>
      <c r="G91" s="1"/>
      <c r="H91" s="1">
        <f>SUM(OSRRefH22_20x_0)</f>
        <v>319.70999999999998</v>
      </c>
      <c r="I91" s="1"/>
      <c r="J91" s="5">
        <f t="shared" ref="J91:J98" si="81">IF(H$12=0,0,H91/H$12)</f>
        <v>0</v>
      </c>
      <c r="K91" s="1"/>
      <c r="L91" s="1">
        <f t="shared" ref="L91:L98" si="82">+D91-H91</f>
        <v>481.21999999999997</v>
      </c>
      <c r="M91" s="1"/>
      <c r="N91" s="5">
        <f t="shared" ref="N91:N98" si="83">IF(H91=0,0,L91/H91)</f>
        <v>1.505176566263176</v>
      </c>
      <c r="O91" s="12"/>
      <c r="P91" s="1">
        <f>SUM(OSRRefP22_20x_0)</f>
        <v>7104.18</v>
      </c>
      <c r="Q91" s="1"/>
      <c r="R91" s="5">
        <f t="shared" ref="R91:R98" si="84">IF(P$12=0,0,P91/P$12)</f>
        <v>0</v>
      </c>
      <c r="S91" s="1"/>
      <c r="T91" s="1">
        <f>SUM(OSRRefT22_20x_0)</f>
        <v>6086.13</v>
      </c>
      <c r="U91" s="1"/>
      <c r="V91" s="5">
        <f t="shared" ref="V91:V98" si="85">IF(T$12=0,0,T91/T$12)</f>
        <v>0</v>
      </c>
      <c r="W91" s="1"/>
      <c r="X91" s="1">
        <f t="shared" ref="X91:X98" si="86">+P91-T91</f>
        <v>1018.0500000000002</v>
      </c>
      <c r="Y91" s="1"/>
      <c r="Z91" s="5">
        <f t="shared" ref="Z91:Z98" si="87">IF(T91=0,0,X91/T91)</f>
        <v>0.16727378481892438</v>
      </c>
    </row>
    <row r="92" spans="1:26" s="23" customFormat="1" hidden="1" outlineLevel="2" x14ac:dyDescent="0.25">
      <c r="A92" s="25"/>
      <c r="B92" s="10" t="str">
        <f>CONCATENATE("          ", "6309", " - ", "TELEPHONE")</f>
        <v xml:space="preserve">          6309 - TELEPHONE</v>
      </c>
      <c r="C92" s="10"/>
      <c r="D92" s="6">
        <v>800.93</v>
      </c>
      <c r="E92" s="2"/>
      <c r="F92" s="7">
        <f t="shared" si="80"/>
        <v>0</v>
      </c>
      <c r="G92" s="2"/>
      <c r="H92" s="6">
        <v>319.70999999999998</v>
      </c>
      <c r="I92" s="2"/>
      <c r="J92" s="7">
        <f t="shared" si="81"/>
        <v>0</v>
      </c>
      <c r="K92" s="2"/>
      <c r="L92" s="6">
        <f t="shared" si="82"/>
        <v>481.21999999999997</v>
      </c>
      <c r="M92" s="2"/>
      <c r="N92" s="7">
        <f t="shared" si="83"/>
        <v>1.505176566263176</v>
      </c>
      <c r="O92" s="10"/>
      <c r="P92" s="6">
        <v>7104.18</v>
      </c>
      <c r="Q92" s="2"/>
      <c r="R92" s="7">
        <f t="shared" si="84"/>
        <v>0</v>
      </c>
      <c r="S92" s="2"/>
      <c r="T92" s="6">
        <v>6086.13</v>
      </c>
      <c r="U92" s="2"/>
      <c r="V92" s="7">
        <f t="shared" si="85"/>
        <v>0</v>
      </c>
      <c r="W92" s="2"/>
      <c r="X92" s="6">
        <f t="shared" si="86"/>
        <v>1018.0500000000002</v>
      </c>
      <c r="Y92" s="2"/>
      <c r="Z92" s="7">
        <f t="shared" si="87"/>
        <v>0.16727378481892438</v>
      </c>
    </row>
    <row r="93" spans="1:26" s="27" customFormat="1" outlineLevel="1" collapsed="1" x14ac:dyDescent="0.25">
      <c r="A93" s="26"/>
      <c r="B93" s="12" t="str">
        <f>CONCATENATE("     ","Training                                          ")</f>
        <v xml:space="preserve">     Training                                          </v>
      </c>
      <c r="C93" s="12"/>
      <c r="D93" s="1">
        <f>SUM(OSRRefD22_21x_0)</f>
        <v>0</v>
      </c>
      <c r="E93" s="1"/>
      <c r="F93" s="5">
        <f t="shared" si="80"/>
        <v>0</v>
      </c>
      <c r="G93" s="1"/>
      <c r="H93" s="1">
        <f>SUM(OSRRefH22_21x_0)</f>
        <v>0</v>
      </c>
      <c r="I93" s="1"/>
      <c r="J93" s="5">
        <f t="shared" si="81"/>
        <v>0</v>
      </c>
      <c r="K93" s="1"/>
      <c r="L93" s="1">
        <f t="shared" si="82"/>
        <v>0</v>
      </c>
      <c r="M93" s="1"/>
      <c r="N93" s="5">
        <f t="shared" si="83"/>
        <v>0</v>
      </c>
      <c r="O93" s="12"/>
      <c r="P93" s="1">
        <f>SUM(OSRRefP22_21x_0)</f>
        <v>881.63</v>
      </c>
      <c r="Q93" s="1"/>
      <c r="R93" s="5">
        <f t="shared" si="84"/>
        <v>0</v>
      </c>
      <c r="S93" s="1"/>
      <c r="T93" s="1">
        <f>SUM(OSRRefT22_21x_0)</f>
        <v>13942.81</v>
      </c>
      <c r="U93" s="1"/>
      <c r="V93" s="5">
        <f t="shared" si="85"/>
        <v>0</v>
      </c>
      <c r="W93" s="1"/>
      <c r="X93" s="1">
        <f t="shared" si="86"/>
        <v>-13061.18</v>
      </c>
      <c r="Y93" s="1"/>
      <c r="Z93" s="5">
        <f t="shared" si="87"/>
        <v>-0.9367681263676404</v>
      </c>
    </row>
    <row r="94" spans="1:26" s="23" customFormat="1" hidden="1" outlineLevel="2" x14ac:dyDescent="0.25">
      <c r="A94" s="25"/>
      <c r="B94" s="10" t="str">
        <f>CONCATENATE("          ", "6376", " - ", "TRAINING")</f>
        <v xml:space="preserve">          6376 - TRAINING</v>
      </c>
      <c r="C94" s="10"/>
      <c r="D94" s="6"/>
      <c r="E94" s="2"/>
      <c r="F94" s="7">
        <f t="shared" si="80"/>
        <v>0</v>
      </c>
      <c r="G94" s="2"/>
      <c r="H94" s="6"/>
      <c r="I94" s="2"/>
      <c r="J94" s="7">
        <f t="shared" si="81"/>
        <v>0</v>
      </c>
      <c r="K94" s="2"/>
      <c r="L94" s="6">
        <f t="shared" si="82"/>
        <v>0</v>
      </c>
      <c r="M94" s="2"/>
      <c r="N94" s="7">
        <f t="shared" si="83"/>
        <v>0</v>
      </c>
      <c r="O94" s="10"/>
      <c r="P94" s="6">
        <v>881.63</v>
      </c>
      <c r="Q94" s="2"/>
      <c r="R94" s="7">
        <f t="shared" si="84"/>
        <v>0</v>
      </c>
      <c r="S94" s="2"/>
      <c r="T94" s="6">
        <v>13942.81</v>
      </c>
      <c r="U94" s="2"/>
      <c r="V94" s="7">
        <f t="shared" si="85"/>
        <v>0</v>
      </c>
      <c r="W94" s="2"/>
      <c r="X94" s="6">
        <f t="shared" si="86"/>
        <v>-13061.18</v>
      </c>
      <c r="Y94" s="2"/>
      <c r="Z94" s="7">
        <f t="shared" si="87"/>
        <v>-0.9367681263676404</v>
      </c>
    </row>
    <row r="95" spans="1:26" s="27" customFormat="1" outlineLevel="1" collapsed="1" x14ac:dyDescent="0.25">
      <c r="A95" s="26"/>
      <c r="B95" s="12" t="str">
        <f>CONCATENATE("     ","Travel                                            ")</f>
        <v xml:space="preserve">     Travel                                            </v>
      </c>
      <c r="C95" s="12"/>
      <c r="D95" s="1">
        <f>SUM(OSRRefD22_22x_0)</f>
        <v>67.62</v>
      </c>
      <c r="E95" s="1"/>
      <c r="F95" s="5">
        <f t="shared" si="80"/>
        <v>0</v>
      </c>
      <c r="G95" s="1"/>
      <c r="H95" s="1">
        <f>SUM(OSRRefH22_22x_0)</f>
        <v>0</v>
      </c>
      <c r="I95" s="1"/>
      <c r="J95" s="5">
        <f t="shared" si="81"/>
        <v>0</v>
      </c>
      <c r="K95" s="1"/>
      <c r="L95" s="1">
        <f t="shared" si="82"/>
        <v>67.62</v>
      </c>
      <c r="M95" s="1"/>
      <c r="N95" s="5">
        <f t="shared" si="83"/>
        <v>0</v>
      </c>
      <c r="O95" s="12"/>
      <c r="P95" s="1">
        <f>SUM(OSRRefP22_22x_0)</f>
        <v>426.51</v>
      </c>
      <c r="Q95" s="1"/>
      <c r="R95" s="5">
        <f t="shared" si="84"/>
        <v>0</v>
      </c>
      <c r="S95" s="1"/>
      <c r="T95" s="1">
        <f>SUM(OSRRefT22_22x_0)</f>
        <v>943.89</v>
      </c>
      <c r="U95" s="1"/>
      <c r="V95" s="5">
        <f t="shared" si="85"/>
        <v>0</v>
      </c>
      <c r="W95" s="1"/>
      <c r="X95" s="1">
        <f t="shared" si="86"/>
        <v>-517.38</v>
      </c>
      <c r="Y95" s="1"/>
      <c r="Z95" s="5">
        <f t="shared" si="87"/>
        <v>-0.5481359056669739</v>
      </c>
    </row>
    <row r="96" spans="1:26" s="23" customFormat="1" hidden="1" outlineLevel="2" x14ac:dyDescent="0.25">
      <c r="A96" s="25"/>
      <c r="B96" s="10" t="str">
        <f>CONCATENATE("          ", "6292", " - ", "TRAVEL/CONFERENCE")</f>
        <v xml:space="preserve">          6292 - TRAVEL/CONFERENCE</v>
      </c>
      <c r="C96" s="10"/>
      <c r="D96" s="6"/>
      <c r="E96" s="2"/>
      <c r="F96" s="7">
        <f t="shared" si="80"/>
        <v>0</v>
      </c>
      <c r="G96" s="2"/>
      <c r="H96" s="6"/>
      <c r="I96" s="2"/>
      <c r="J96" s="7">
        <f t="shared" si="81"/>
        <v>0</v>
      </c>
      <c r="K96" s="2"/>
      <c r="L96" s="6">
        <f t="shared" si="82"/>
        <v>0</v>
      </c>
      <c r="M96" s="2"/>
      <c r="N96" s="7">
        <f t="shared" si="83"/>
        <v>0</v>
      </c>
      <c r="O96" s="10"/>
      <c r="P96" s="6">
        <v>299</v>
      </c>
      <c r="Q96" s="2"/>
      <c r="R96" s="7">
        <f t="shared" si="84"/>
        <v>0</v>
      </c>
      <c r="S96" s="2"/>
      <c r="T96" s="6">
        <v>636.70000000000005</v>
      </c>
      <c r="U96" s="2"/>
      <c r="V96" s="7">
        <f t="shared" si="85"/>
        <v>0</v>
      </c>
      <c r="W96" s="2"/>
      <c r="X96" s="6">
        <f t="shared" si="86"/>
        <v>-337.70000000000005</v>
      </c>
      <c r="Y96" s="2"/>
      <c r="Z96" s="7">
        <f t="shared" si="87"/>
        <v>-0.5303910790010995</v>
      </c>
    </row>
    <row r="97" spans="1:26" s="23" customFormat="1" hidden="1" outlineLevel="2" x14ac:dyDescent="0.25">
      <c r="A97" s="25"/>
      <c r="B97" s="10" t="str">
        <f>CONCATENATE("          ", "6294", " - ", "TRAVEL OPERATIONAL")</f>
        <v xml:space="preserve">          6294 - TRAVEL OPERATIONAL</v>
      </c>
      <c r="C97" s="10"/>
      <c r="D97" s="6">
        <v>67.62</v>
      </c>
      <c r="E97" s="2"/>
      <c r="F97" s="7">
        <f t="shared" si="80"/>
        <v>0</v>
      </c>
      <c r="G97" s="2"/>
      <c r="H97" s="6"/>
      <c r="I97" s="2"/>
      <c r="J97" s="7">
        <f t="shared" si="81"/>
        <v>0</v>
      </c>
      <c r="K97" s="2"/>
      <c r="L97" s="6">
        <f t="shared" si="82"/>
        <v>67.62</v>
      </c>
      <c r="M97" s="2"/>
      <c r="N97" s="7">
        <f t="shared" si="83"/>
        <v>0</v>
      </c>
      <c r="O97" s="10"/>
      <c r="P97" s="6">
        <v>67.62</v>
      </c>
      <c r="Q97" s="2"/>
      <c r="R97" s="7">
        <f t="shared" si="84"/>
        <v>0</v>
      </c>
      <c r="S97" s="2"/>
      <c r="T97" s="6">
        <v>-144.33000000000001</v>
      </c>
      <c r="U97" s="2"/>
      <c r="V97" s="7">
        <f t="shared" si="85"/>
        <v>0</v>
      </c>
      <c r="W97" s="2"/>
      <c r="X97" s="6">
        <f t="shared" si="86"/>
        <v>211.95000000000002</v>
      </c>
      <c r="Y97" s="2"/>
      <c r="Z97" s="7">
        <f t="shared" si="87"/>
        <v>-1.468509665350239</v>
      </c>
    </row>
    <row r="98" spans="1:26" s="23" customFormat="1" hidden="1" outlineLevel="2" x14ac:dyDescent="0.25">
      <c r="A98" s="25"/>
      <c r="B98" s="10" t="str">
        <f>CONCATENATE("          ", "6298", " - ", "VEHICLE MILEAGE")</f>
        <v xml:space="preserve">          6298 - VEHICLE MILEAGE</v>
      </c>
      <c r="C98" s="10"/>
      <c r="D98" s="6"/>
      <c r="E98" s="2"/>
      <c r="F98" s="7">
        <f t="shared" si="80"/>
        <v>0</v>
      </c>
      <c r="G98" s="2"/>
      <c r="H98" s="6"/>
      <c r="I98" s="2"/>
      <c r="J98" s="7">
        <f t="shared" si="81"/>
        <v>0</v>
      </c>
      <c r="K98" s="2"/>
      <c r="L98" s="6">
        <f t="shared" si="82"/>
        <v>0</v>
      </c>
      <c r="M98" s="2"/>
      <c r="N98" s="7">
        <f t="shared" si="83"/>
        <v>0</v>
      </c>
      <c r="O98" s="10"/>
      <c r="P98" s="6">
        <v>59.89</v>
      </c>
      <c r="Q98" s="2"/>
      <c r="R98" s="7">
        <f t="shared" si="84"/>
        <v>0</v>
      </c>
      <c r="S98" s="2"/>
      <c r="T98" s="6">
        <v>451.52</v>
      </c>
      <c r="U98" s="2"/>
      <c r="V98" s="7">
        <f t="shared" si="85"/>
        <v>0</v>
      </c>
      <c r="W98" s="2"/>
      <c r="X98" s="6">
        <f t="shared" si="86"/>
        <v>-391.63</v>
      </c>
      <c r="Y98" s="2"/>
      <c r="Z98" s="7">
        <f t="shared" si="87"/>
        <v>-0.86735914245216161</v>
      </c>
    </row>
    <row r="99" spans="1:26" s="27" customFormat="1" outlineLevel="1" collapsed="1" x14ac:dyDescent="0.25">
      <c r="A99" s="26"/>
      <c r="B99" s="12" t="str">
        <f>CONCATENATE("     ","Utilities                                         ")</f>
        <v xml:space="preserve">     Utilities                                         </v>
      </c>
      <c r="C99" s="12"/>
      <c r="D99" s="1">
        <f>SUM(OSRRefD22_23x_0)</f>
        <v>5483</v>
      </c>
      <c r="E99" s="1"/>
      <c r="F99" s="5">
        <f t="shared" ref="F99:F100" si="88">IF(D$12=0,0,D99/D$12)</f>
        <v>0</v>
      </c>
      <c r="G99" s="1"/>
      <c r="H99" s="1">
        <f>SUM(OSRRefH22_23x_0)</f>
        <v>12819</v>
      </c>
      <c r="I99" s="1"/>
      <c r="J99" s="5">
        <f t="shared" ref="J99:J100" si="89">IF(H$12=0,0,H99/H$12)</f>
        <v>0</v>
      </c>
      <c r="K99" s="1"/>
      <c r="L99" s="1">
        <f t="shared" ref="L99:L100" si="90">+D99-H99</f>
        <v>-7336</v>
      </c>
      <c r="M99" s="1"/>
      <c r="N99" s="5">
        <f t="shared" ref="N99:N100" si="91">IF(H99=0,0,L99/H99)</f>
        <v>-0.57227552851236441</v>
      </c>
      <c r="O99" s="12"/>
      <c r="P99" s="1">
        <f>SUM(OSRRefP22_23x_0)</f>
        <v>70016</v>
      </c>
      <c r="Q99" s="1"/>
      <c r="R99" s="5">
        <f t="shared" ref="R99:R100" si="92">IF(P$12=0,0,P99/P$12)</f>
        <v>0</v>
      </c>
      <c r="S99" s="1"/>
      <c r="T99" s="1">
        <f>SUM(OSRRefT22_23x_0)</f>
        <v>75224</v>
      </c>
      <c r="U99" s="1"/>
      <c r="V99" s="5">
        <f t="shared" ref="V99:V100" si="93">IF(T$12=0,0,T99/T$12)</f>
        <v>0</v>
      </c>
      <c r="W99" s="1"/>
      <c r="X99" s="1">
        <f t="shared" ref="X99:X100" si="94">+P99-T99</f>
        <v>-5208</v>
      </c>
      <c r="Y99" s="1"/>
      <c r="Z99" s="5">
        <f t="shared" ref="Z99:Z100" si="95">IF(T99=0,0,X99/T99)</f>
        <v>-6.9233223439327876E-2</v>
      </c>
    </row>
    <row r="100" spans="1:26" s="23" customFormat="1" hidden="1" outlineLevel="2" x14ac:dyDescent="0.25">
      <c r="A100" s="25"/>
      <c r="B100" s="10" t="str">
        <f>CONCATENATE("          ", "6274", " - ", "UTILITIES")</f>
        <v xml:space="preserve">          6274 - UTILITIES</v>
      </c>
      <c r="C100" s="10"/>
      <c r="D100" s="6">
        <v>5483</v>
      </c>
      <c r="E100" s="2"/>
      <c r="F100" s="7">
        <f t="shared" si="88"/>
        <v>0</v>
      </c>
      <c r="G100" s="2"/>
      <c r="H100" s="6">
        <v>12819</v>
      </c>
      <c r="I100" s="2"/>
      <c r="J100" s="7">
        <f t="shared" si="89"/>
        <v>0</v>
      </c>
      <c r="K100" s="2"/>
      <c r="L100" s="6">
        <f t="shared" si="90"/>
        <v>-7336</v>
      </c>
      <c r="M100" s="2"/>
      <c r="N100" s="7">
        <f t="shared" si="91"/>
        <v>-0.57227552851236441</v>
      </c>
      <c r="O100" s="10"/>
      <c r="P100" s="6">
        <v>70016</v>
      </c>
      <c r="Q100" s="2"/>
      <c r="R100" s="7">
        <f t="shared" si="92"/>
        <v>0</v>
      </c>
      <c r="S100" s="2"/>
      <c r="T100" s="6">
        <v>75224</v>
      </c>
      <c r="U100" s="2"/>
      <c r="V100" s="7">
        <f t="shared" si="93"/>
        <v>0</v>
      </c>
      <c r="W100" s="2"/>
      <c r="X100" s="6">
        <f t="shared" si="94"/>
        <v>-5208</v>
      </c>
      <c r="Y100" s="2"/>
      <c r="Z100" s="7">
        <f t="shared" si="95"/>
        <v>-6.9233223439327876E-2</v>
      </c>
    </row>
    <row r="101" spans="1:26" s="52" customFormat="1" x14ac:dyDescent="0.25">
      <c r="A101" s="37"/>
      <c r="B101" s="37"/>
      <c r="C101" s="37"/>
      <c r="D101" s="1"/>
      <c r="E101" s="1"/>
      <c r="F101" s="5"/>
      <c r="G101" s="1"/>
      <c r="H101" s="1"/>
      <c r="I101" s="1"/>
      <c r="J101" s="5"/>
      <c r="K101" s="1"/>
      <c r="L101" s="1"/>
      <c r="M101" s="1"/>
      <c r="N101" s="5"/>
      <c r="O101" s="37"/>
      <c r="P101" s="1"/>
      <c r="Q101" s="1"/>
      <c r="R101" s="5"/>
      <c r="S101" s="1"/>
      <c r="T101" s="1"/>
      <c r="U101" s="1"/>
      <c r="V101" s="5"/>
      <c r="W101" s="1"/>
      <c r="X101" s="1"/>
      <c r="Y101" s="1"/>
      <c r="Z101" s="5"/>
    </row>
    <row r="102" spans="1:26" s="24" customFormat="1" collapsed="1" x14ac:dyDescent="0.25">
      <c r="A102" s="11"/>
      <c r="B102" s="29" t="s">
        <v>292</v>
      </c>
      <c r="C102" s="11"/>
      <c r="D102" s="4">
        <f>SUM(OSRRefD25x_0)</f>
        <v>3551.78</v>
      </c>
      <c r="E102" s="4"/>
      <c r="F102" s="13">
        <f t="shared" ref="F102:F105" si="96">IF(D$12=0,0,D102/D$12)</f>
        <v>0</v>
      </c>
      <c r="G102" s="4"/>
      <c r="H102" s="4">
        <f>SUM(OSRRefH25x_0)</f>
        <v>48960.65</v>
      </c>
      <c r="I102" s="4"/>
      <c r="J102" s="13">
        <f t="shared" ref="J102:J105" si="97">IF(H$12=0,0,H102/H$12)</f>
        <v>0</v>
      </c>
      <c r="K102" s="4"/>
      <c r="L102" s="4">
        <f t="shared" ref="L102:L105" si="98">+D102-H102</f>
        <v>-45408.87</v>
      </c>
      <c r="M102" s="4"/>
      <c r="N102" s="13">
        <f t="shared" ref="N102:N105" si="99">IF(H102=0,0,L102/H102)</f>
        <v>-0.92745643695498325</v>
      </c>
      <c r="O102" s="11"/>
      <c r="P102" s="4">
        <f>SUM(OSRRefP25x_0)</f>
        <v>235037.75</v>
      </c>
      <c r="Q102" s="4"/>
      <c r="R102" s="13">
        <f t="shared" ref="R102:R105" si="100">IF(P$12=0,0,P102/P$12)</f>
        <v>0</v>
      </c>
      <c r="S102" s="4"/>
      <c r="T102" s="4">
        <f>SUM(OSRRefT25x_0)</f>
        <v>269200.71000000002</v>
      </c>
      <c r="U102" s="4"/>
      <c r="V102" s="13">
        <f t="shared" ref="V102:V105" si="101">IF(T$12=0,0,T102/T$12)</f>
        <v>0</v>
      </c>
      <c r="W102" s="4"/>
      <c r="X102" s="4">
        <f t="shared" ref="X102:X105" si="102">+P102-T102</f>
        <v>-34162.960000000021</v>
      </c>
      <c r="Y102" s="4"/>
      <c r="Z102" s="13">
        <f t="shared" ref="Z102:Z105" si="103">IF(T102=0,0,X102/T102)</f>
        <v>-0.12690516306587757</v>
      </c>
    </row>
    <row r="103" spans="1:26" s="23" customFormat="1" hidden="1" outlineLevel="1" x14ac:dyDescent="0.25">
      <c r="A103" s="44"/>
      <c r="B103" s="10" t="str">
        <f>CONCATENATE("          ", "9150", " - ", "MISC. INCOME")</f>
        <v xml:space="preserve">          9150 - MISC. INCOME</v>
      </c>
      <c r="C103" s="10"/>
      <c r="D103" s="2">
        <f>--3551.78</f>
        <v>3551.78</v>
      </c>
      <c r="E103" s="2"/>
      <c r="F103" s="19">
        <f t="shared" si="96"/>
        <v>0</v>
      </c>
      <c r="G103" s="2"/>
      <c r="H103" s="2">
        <f>--48960.65</f>
        <v>48960.65</v>
      </c>
      <c r="I103" s="2"/>
      <c r="J103" s="19">
        <f t="shared" si="97"/>
        <v>0</v>
      </c>
      <c r="K103" s="2"/>
      <c r="L103" s="2">
        <f t="shared" si="98"/>
        <v>-45408.87</v>
      </c>
      <c r="M103" s="2"/>
      <c r="N103" s="19">
        <f t="shared" si="99"/>
        <v>-0.92745643695498325</v>
      </c>
      <c r="O103" s="10"/>
      <c r="P103" s="2">
        <f>--235037.75</f>
        <v>235037.75</v>
      </c>
      <c r="Q103" s="2"/>
      <c r="R103" s="19">
        <f t="shared" si="100"/>
        <v>0</v>
      </c>
      <c r="S103" s="2"/>
      <c r="T103" s="2">
        <f>--262102.31</f>
        <v>262102.31</v>
      </c>
      <c r="U103" s="2"/>
      <c r="V103" s="19">
        <f t="shared" si="101"/>
        <v>0</v>
      </c>
      <c r="W103" s="2"/>
      <c r="X103" s="2">
        <f t="shared" si="102"/>
        <v>-27064.559999999998</v>
      </c>
      <c r="Y103" s="2"/>
      <c r="Z103" s="19">
        <f t="shared" si="103"/>
        <v>-0.10325952487789977</v>
      </c>
    </row>
    <row r="104" spans="1:26" s="23" customFormat="1" hidden="1" outlineLevel="1" x14ac:dyDescent="0.25">
      <c r="A104" s="44"/>
      <c r="B104" s="10" t="str">
        <f>CONCATENATE("          ", "9151", " - ", "MISC. INCOME")</f>
        <v xml:space="preserve">          9151 - MISC. INCOME</v>
      </c>
      <c r="C104" s="10"/>
      <c r="D104" s="2">
        <f t="shared" ref="D104:D105" si="104">0</f>
        <v>0</v>
      </c>
      <c r="E104" s="2"/>
      <c r="F104" s="19">
        <f t="shared" si="96"/>
        <v>0</v>
      </c>
      <c r="G104" s="2"/>
      <c r="H104" s="2">
        <f t="shared" ref="H104:H105" si="105">0</f>
        <v>0</v>
      </c>
      <c r="I104" s="2"/>
      <c r="J104" s="19">
        <f t="shared" si="97"/>
        <v>0</v>
      </c>
      <c r="K104" s="2"/>
      <c r="L104" s="2">
        <f t="shared" si="98"/>
        <v>0</v>
      </c>
      <c r="M104" s="2"/>
      <c r="N104" s="19">
        <f t="shared" si="99"/>
        <v>0</v>
      </c>
      <c r="O104" s="10"/>
      <c r="P104" s="2">
        <f t="shared" ref="P104:P105" si="106">0</f>
        <v>0</v>
      </c>
      <c r="Q104" s="2"/>
      <c r="R104" s="19">
        <f t="shared" si="100"/>
        <v>0</v>
      </c>
      <c r="S104" s="2"/>
      <c r="T104" s="2">
        <f>--6648.4</f>
        <v>6648.4</v>
      </c>
      <c r="U104" s="2"/>
      <c r="V104" s="19">
        <f t="shared" si="101"/>
        <v>0</v>
      </c>
      <c r="W104" s="2"/>
      <c r="X104" s="2">
        <f t="shared" si="102"/>
        <v>-6648.4</v>
      </c>
      <c r="Y104" s="2"/>
      <c r="Z104" s="19">
        <f t="shared" si="103"/>
        <v>-1</v>
      </c>
    </row>
    <row r="105" spans="1:26" s="23" customFormat="1" hidden="1" outlineLevel="1" x14ac:dyDescent="0.25">
      <c r="A105" s="44"/>
      <c r="B105" s="10" t="str">
        <f>CONCATENATE("          ", "9153", " - ", "MISC. INCOME")</f>
        <v xml:space="preserve">          9153 - MISC. INCOME</v>
      </c>
      <c r="C105" s="10"/>
      <c r="D105" s="2">
        <f t="shared" si="104"/>
        <v>0</v>
      </c>
      <c r="E105" s="2"/>
      <c r="F105" s="19">
        <f t="shared" si="96"/>
        <v>0</v>
      </c>
      <c r="G105" s="2"/>
      <c r="H105" s="2">
        <f t="shared" si="105"/>
        <v>0</v>
      </c>
      <c r="I105" s="2"/>
      <c r="J105" s="19">
        <f t="shared" si="97"/>
        <v>0</v>
      </c>
      <c r="K105" s="2"/>
      <c r="L105" s="2">
        <f t="shared" si="98"/>
        <v>0</v>
      </c>
      <c r="M105" s="2"/>
      <c r="N105" s="19">
        <f t="shared" si="99"/>
        <v>0</v>
      </c>
      <c r="O105" s="10"/>
      <c r="P105" s="2">
        <f t="shared" si="106"/>
        <v>0</v>
      </c>
      <c r="Q105" s="2"/>
      <c r="R105" s="19">
        <f t="shared" si="100"/>
        <v>0</v>
      </c>
      <c r="S105" s="2"/>
      <c r="T105" s="2">
        <f>--450</f>
        <v>450</v>
      </c>
      <c r="U105" s="2"/>
      <c r="V105" s="19">
        <f t="shared" si="101"/>
        <v>0</v>
      </c>
      <c r="W105" s="2"/>
      <c r="X105" s="2">
        <f t="shared" si="102"/>
        <v>-450</v>
      </c>
      <c r="Y105" s="2"/>
      <c r="Z105" s="19">
        <f t="shared" si="103"/>
        <v>-1</v>
      </c>
    </row>
    <row r="106" spans="1:26" x14ac:dyDescent="0.25">
      <c r="A106" s="9"/>
      <c r="B106" s="11"/>
      <c r="C106" s="11"/>
      <c r="D106" s="3"/>
      <c r="E106" s="3"/>
      <c r="F106" s="8"/>
      <c r="G106" s="3"/>
      <c r="H106" s="3"/>
      <c r="I106" s="3"/>
      <c r="J106" s="8"/>
      <c r="K106" s="3"/>
      <c r="L106" s="3"/>
      <c r="M106" s="3"/>
      <c r="N106" s="8"/>
      <c r="O106" s="11"/>
      <c r="P106" s="3"/>
      <c r="Q106" s="3"/>
      <c r="R106" s="8"/>
      <c r="S106" s="3"/>
      <c r="T106" s="3"/>
      <c r="U106" s="3"/>
      <c r="V106" s="8"/>
      <c r="W106" s="3"/>
      <c r="X106" s="3"/>
      <c r="Y106" s="3"/>
      <c r="Z106" s="8"/>
    </row>
    <row r="107" spans="1:26" s="24" customFormat="1" x14ac:dyDescent="0.25">
      <c r="A107" s="11"/>
      <c r="B107" s="28" t="s">
        <v>276</v>
      </c>
      <c r="C107" s="28"/>
      <c r="D107" s="21">
        <f>+D17-D19+D102</f>
        <v>-125446.13</v>
      </c>
      <c r="E107" s="14"/>
      <c r="F107" s="22">
        <f>IF(D$12=0,0,D107/D$12)</f>
        <v>0</v>
      </c>
      <c r="G107" s="14"/>
      <c r="H107" s="21">
        <f>+H17-H19+H102</f>
        <v>70846.180000000008</v>
      </c>
      <c r="I107" s="14"/>
      <c r="J107" s="22">
        <f>IF(H$12=0,0,H107/H$12)</f>
        <v>0</v>
      </c>
      <c r="K107" s="15"/>
      <c r="L107" s="21">
        <f>+D107-H107</f>
        <v>-196292.31</v>
      </c>
      <c r="M107" s="15"/>
      <c r="N107" s="22">
        <f>IF(H107=0,0,L107/H107)</f>
        <v>-2.770683048824933</v>
      </c>
      <c r="O107" s="29"/>
      <c r="P107" s="21">
        <f>+P17-P19+P102</f>
        <v>-1202830.4099999997</v>
      </c>
      <c r="Q107" s="14"/>
      <c r="R107" s="22">
        <f>IF(P$12=0,0,P107/P$12)</f>
        <v>0</v>
      </c>
      <c r="S107" s="14"/>
      <c r="T107" s="21">
        <f>+T17-T19+T102</f>
        <v>-927189.47999999952</v>
      </c>
      <c r="U107" s="14"/>
      <c r="V107" s="22">
        <f>IF(T$12=0,0,T107/T$12)</f>
        <v>0</v>
      </c>
      <c r="W107" s="15"/>
      <c r="X107" s="21">
        <f>+P107-T107</f>
        <v>-275640.93000000017</v>
      </c>
      <c r="Y107" s="15"/>
      <c r="Z107" s="22">
        <f>IF(T107=0,0,X107/T107)</f>
        <v>0.29728651580473098</v>
      </c>
    </row>
    <row r="108" spans="1:26" x14ac:dyDescent="0.25">
      <c r="A108" s="9"/>
      <c r="B108" s="11"/>
      <c r="C108" s="9"/>
      <c r="D108" s="3"/>
      <c r="E108" s="3"/>
      <c r="F108" s="8"/>
      <c r="G108" s="3"/>
      <c r="H108" s="3"/>
      <c r="I108" s="3"/>
      <c r="J108" s="8"/>
      <c r="K108" s="3"/>
      <c r="L108" s="3"/>
      <c r="M108" s="3"/>
      <c r="N108" s="8"/>
      <c r="P108" s="3"/>
      <c r="Q108" s="3"/>
      <c r="R108" s="8"/>
      <c r="S108" s="3"/>
      <c r="T108" s="3"/>
      <c r="U108" s="3"/>
      <c r="V108" s="8"/>
      <c r="W108" s="3"/>
      <c r="X108" s="3"/>
      <c r="Y108" s="3"/>
      <c r="Z108" s="8"/>
    </row>
    <row r="109" spans="1:26" s="24" customFormat="1" x14ac:dyDescent="0.25">
      <c r="A109" s="51"/>
      <c r="B109" s="11" t="s">
        <v>127</v>
      </c>
      <c r="C109" s="11"/>
      <c r="D109" s="4"/>
      <c r="E109" s="4"/>
      <c r="F109" s="13">
        <f>IF(D$12=0,0,D109/D$12)</f>
        <v>0</v>
      </c>
      <c r="G109" s="4"/>
      <c r="H109" s="4"/>
      <c r="I109" s="4"/>
      <c r="J109" s="13">
        <f>IF(H$12=0,0,H109/H$12)</f>
        <v>0</v>
      </c>
      <c r="K109" s="4"/>
      <c r="L109" s="4">
        <f>+D109-H109</f>
        <v>0</v>
      </c>
      <c r="M109" s="4"/>
      <c r="N109" s="13">
        <f>IF(H109=0,0,L109/H109)</f>
        <v>0</v>
      </c>
      <c r="O109" s="11"/>
      <c r="P109" s="4"/>
      <c r="Q109" s="4"/>
      <c r="R109" s="13">
        <f>IF(P$12=0,0,P109/P$12)</f>
        <v>0</v>
      </c>
      <c r="S109" s="4"/>
      <c r="T109" s="4"/>
      <c r="U109" s="4"/>
      <c r="V109" s="13">
        <f>IF(T$12=0,0,T109/T$12)</f>
        <v>0</v>
      </c>
      <c r="W109" s="4"/>
      <c r="X109" s="4">
        <f>+P109-T109</f>
        <v>0</v>
      </c>
      <c r="Y109" s="4"/>
      <c r="Z109" s="13">
        <f>IF(T109=0,0,X109/T109)</f>
        <v>0</v>
      </c>
    </row>
    <row r="110" spans="1:26" x14ac:dyDescent="0.25">
      <c r="A110" s="9"/>
      <c r="B110" s="11"/>
      <c r="C110" s="11"/>
      <c r="D110" s="3"/>
      <c r="E110" s="3"/>
      <c r="F110" s="8"/>
      <c r="G110" s="3"/>
      <c r="H110" s="3"/>
      <c r="I110" s="3"/>
      <c r="J110" s="8"/>
      <c r="K110" s="3"/>
      <c r="L110" s="3"/>
      <c r="M110" s="3"/>
      <c r="N110" s="8"/>
      <c r="O110" s="11"/>
      <c r="P110" s="3"/>
      <c r="Q110" s="3"/>
      <c r="R110" s="8"/>
      <c r="S110" s="3"/>
      <c r="T110" s="3"/>
      <c r="U110" s="3"/>
      <c r="V110" s="8"/>
      <c r="W110" s="3"/>
      <c r="X110" s="3"/>
      <c r="Y110" s="3"/>
      <c r="Z110" s="8"/>
    </row>
    <row r="111" spans="1:26" s="24" customFormat="1" ht="15.75" thickBot="1" x14ac:dyDescent="0.3">
      <c r="A111" s="11"/>
      <c r="B111" s="28" t="s">
        <v>125</v>
      </c>
      <c r="C111" s="28"/>
      <c r="D111" s="34">
        <f>+D107-D109</f>
        <v>-125446.13</v>
      </c>
      <c r="E111" s="14"/>
      <c r="F111" s="31">
        <f>IF(D$12=0,0,D111/D$12)</f>
        <v>0</v>
      </c>
      <c r="G111" s="14"/>
      <c r="H111" s="34">
        <f>+H107-H109</f>
        <v>70846.180000000008</v>
      </c>
      <c r="I111" s="14"/>
      <c r="J111" s="31">
        <f>IF(H$12=0,0,H111/H$12)</f>
        <v>0</v>
      </c>
      <c r="K111" s="15"/>
      <c r="L111" s="34">
        <f>D111-H111</f>
        <v>-196292.31</v>
      </c>
      <c r="M111" s="15"/>
      <c r="N111" s="31">
        <f>IF(H111=0,0,L111/H111)</f>
        <v>-2.770683048824933</v>
      </c>
      <c r="O111" s="29"/>
      <c r="P111" s="34">
        <f>+P107-P109</f>
        <v>-1202830.4099999997</v>
      </c>
      <c r="Q111" s="14"/>
      <c r="R111" s="31">
        <f>IF(P$12=0,0,P111/P$12)</f>
        <v>0</v>
      </c>
      <c r="S111" s="14"/>
      <c r="T111" s="34">
        <f>+T107-T109</f>
        <v>-927189.47999999952</v>
      </c>
      <c r="U111" s="14"/>
      <c r="V111" s="31">
        <f>IF(T$12=0,0,T111/T$12)</f>
        <v>0</v>
      </c>
      <c r="W111" s="15"/>
      <c r="X111" s="34">
        <f>P111-T111</f>
        <v>-275640.93000000017</v>
      </c>
      <c r="Y111" s="15"/>
      <c r="Z111" s="31">
        <f>IF(T111=0,0,X111/T111)</f>
        <v>0.29728651580473098</v>
      </c>
    </row>
    <row r="112" spans="1:26" ht="15.75" thickTop="1" x14ac:dyDescent="0.25">
      <c r="A112" s="9"/>
      <c r="B112" s="9"/>
      <c r="C112" s="9"/>
      <c r="D112" s="3"/>
      <c r="E112" s="3"/>
      <c r="F112" s="8"/>
      <c r="G112" s="3"/>
      <c r="H112" s="3"/>
      <c r="I112" s="3"/>
      <c r="J112" s="8"/>
      <c r="K112" s="3"/>
      <c r="L112" s="3"/>
      <c r="M112" s="3"/>
      <c r="N112" s="8"/>
      <c r="P112" s="3"/>
      <c r="Q112" s="3"/>
      <c r="R112" s="8"/>
      <c r="S112" s="3"/>
      <c r="T112" s="3"/>
      <c r="U112" s="3"/>
      <c r="V112" s="8"/>
      <c r="W112" s="3"/>
      <c r="X112" s="3"/>
      <c r="Y112" s="3"/>
      <c r="Z112" s="8"/>
    </row>
    <row r="113" spans="1:26" x14ac:dyDescent="0.25">
      <c r="A113" s="9"/>
      <c r="B113" s="9"/>
      <c r="C113" s="9"/>
      <c r="D113" s="3"/>
      <c r="E113" s="3"/>
      <c r="F113" s="8"/>
      <c r="G113" s="3"/>
      <c r="H113" s="3"/>
      <c r="I113" s="3"/>
      <c r="J113" s="8"/>
      <c r="K113" s="3"/>
      <c r="L113" s="3"/>
      <c r="M113" s="3"/>
      <c r="N113" s="8"/>
      <c r="P113" s="3"/>
      <c r="Q113" s="3"/>
      <c r="R113" s="8"/>
      <c r="S113" s="3"/>
      <c r="T113" s="3"/>
      <c r="U113" s="3"/>
      <c r="V113" s="8"/>
      <c r="W113" s="3"/>
      <c r="X113" s="3"/>
      <c r="Y113" s="3"/>
      <c r="Z113" s="8"/>
    </row>
    <row r="114" spans="1:26" s="24" customFormat="1" ht="15.75" thickBot="1" x14ac:dyDescent="0.3">
      <c r="A114" s="11"/>
      <c r="B114" s="28" t="s">
        <v>293</v>
      </c>
      <c r="C114" s="28"/>
      <c r="D114" s="33">
        <f>SUM(D111:D113)</f>
        <v>-125446.13</v>
      </c>
      <c r="E114" s="14"/>
      <c r="F114" s="35">
        <f>IF(D$12=0,0,D114/D$12)</f>
        <v>0</v>
      </c>
      <c r="G114" s="14"/>
      <c r="H114" s="33">
        <f>SUM(H111:H113)</f>
        <v>70846.180000000008</v>
      </c>
      <c r="I114" s="14"/>
      <c r="J114" s="35">
        <f>IF(H$12=0,0,H114/H$12)</f>
        <v>0</v>
      </c>
      <c r="K114" s="15"/>
      <c r="L114" s="33">
        <f>+D114-H114</f>
        <v>-196292.31</v>
      </c>
      <c r="M114" s="15"/>
      <c r="N114" s="35">
        <f>IF(H114=0,0,L114/H114)</f>
        <v>-2.770683048824933</v>
      </c>
      <c r="O114" s="29"/>
      <c r="P114" s="33">
        <f>SUM(P111:P113)</f>
        <v>-1202830.4099999997</v>
      </c>
      <c r="Q114" s="14"/>
      <c r="R114" s="35">
        <f>IF(P$12=0,0,P114/P$12)</f>
        <v>0</v>
      </c>
      <c r="S114" s="14"/>
      <c r="T114" s="33">
        <f>SUM(T111:T113)</f>
        <v>-927189.47999999952</v>
      </c>
      <c r="U114" s="14"/>
      <c r="V114" s="35">
        <f>IF(T$12=0,0,T114/T$12)</f>
        <v>0</v>
      </c>
      <c r="W114" s="15"/>
      <c r="X114" s="33">
        <f>+P114-T114</f>
        <v>-275640.93000000017</v>
      </c>
      <c r="Y114" s="15"/>
      <c r="Z114" s="35">
        <f>IF(T114=0,0,X114/T114)</f>
        <v>0.29728651580473098</v>
      </c>
    </row>
    <row r="115" spans="1:26" ht="15.75" thickTop="1" x14ac:dyDescent="0.25">
      <c r="A115" s="9"/>
      <c r="C115" s="9"/>
      <c r="D115" s="18"/>
      <c r="E115" s="18"/>
      <c r="G115" s="18"/>
      <c r="H115" s="18"/>
      <c r="I115" s="18"/>
      <c r="J115" s="43"/>
      <c r="K115" s="18"/>
      <c r="L115" s="18"/>
      <c r="M115" s="18"/>
      <c r="P115" s="18"/>
      <c r="Q115" s="18"/>
      <c r="R115" s="43"/>
      <c r="S115" s="18"/>
      <c r="T115" s="18"/>
      <c r="U115" s="18"/>
      <c r="V115" s="43"/>
      <c r="W115" s="18"/>
      <c r="X115" s="18"/>
    </row>
    <row r="116" spans="1:26" x14ac:dyDescent="0.25">
      <c r="A116" s="9"/>
      <c r="B116" s="56">
        <v>44454.698585613427</v>
      </c>
      <c r="D116" s="18"/>
      <c r="E116" s="18"/>
      <c r="G116" s="18"/>
      <c r="H116" s="18"/>
      <c r="I116" s="18"/>
      <c r="J116" s="43"/>
      <c r="K116" s="18"/>
      <c r="L116" s="18"/>
      <c r="M116" s="18"/>
      <c r="P116" s="18"/>
      <c r="Q116" s="18"/>
      <c r="R116" s="43"/>
      <c r="S116" s="18"/>
      <c r="T116" s="18"/>
      <c r="U116" s="18"/>
      <c r="V116" s="43"/>
      <c r="W116" s="18"/>
      <c r="X116" s="18"/>
    </row>
    <row r="117" spans="1:26" x14ac:dyDescent="0.25">
      <c r="A117" s="9"/>
      <c r="B117" s="55" t="s">
        <v>56</v>
      </c>
      <c r="D117" s="18"/>
      <c r="E117" s="18"/>
      <c r="G117" s="18"/>
      <c r="H117" s="18"/>
      <c r="I117" s="18"/>
      <c r="J117" s="43"/>
      <c r="K117" s="18"/>
      <c r="L117" s="18"/>
      <c r="M117" s="18"/>
      <c r="P117" s="18"/>
      <c r="Q117" s="18"/>
      <c r="R117" s="43"/>
      <c r="S117" s="18"/>
      <c r="T117" s="18"/>
      <c r="U117" s="18"/>
      <c r="V117" s="43"/>
      <c r="W117" s="18"/>
      <c r="X117" s="18"/>
    </row>
    <row r="118" spans="1:26" x14ac:dyDescent="0.25">
      <c r="A118" s="9"/>
      <c r="B118" s="60"/>
      <c r="D118" s="18"/>
      <c r="E118" s="18"/>
      <c r="G118" s="18"/>
      <c r="H118" s="18"/>
      <c r="I118" s="18"/>
      <c r="J118" s="43"/>
      <c r="K118" s="18"/>
      <c r="L118" s="18"/>
      <c r="M118" s="18"/>
      <c r="P118" s="18"/>
      <c r="Q118" s="18"/>
      <c r="R118" s="43"/>
      <c r="S118" s="18"/>
      <c r="T118" s="18"/>
      <c r="U118" s="18"/>
      <c r="V118" s="43"/>
      <c r="W118" s="18"/>
      <c r="X118" s="18"/>
    </row>
    <row r="119" spans="1:26" x14ac:dyDescent="0.25">
      <c r="D119" s="18"/>
      <c r="E119" s="18"/>
      <c r="G119" s="18"/>
      <c r="H119" s="18"/>
      <c r="I119" s="18"/>
      <c r="J119" s="43"/>
      <c r="K119" s="18"/>
      <c r="L119" s="18"/>
      <c r="M119" s="18"/>
      <c r="P119" s="18"/>
      <c r="Q119" s="18"/>
      <c r="R119" s="43"/>
      <c r="S119" s="18"/>
      <c r="T119" s="18"/>
      <c r="U119" s="18"/>
      <c r="V119" s="43"/>
      <c r="W119" s="18"/>
      <c r="X119" s="18"/>
    </row>
  </sheetData>
  <pageMargins left="0.25" right="0.25" top="0.75" bottom="0.75" header="0.3" footer="0.3"/>
  <pageSetup scale="55" fitToWidth="2" orientation="landscape"/>
  <drawing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>
    <tabColor rgb="FF92D050"/>
    <outlinePr summaryBelow="0" summaryRight="0"/>
  </sheetPr>
  <dimension ref="A2:Z70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62" t="s">
        <v>23</v>
      </c>
    </row>
    <row r="3" spans="1:26" x14ac:dyDescent="0.25">
      <c r="D3" s="62" t="s">
        <v>236</v>
      </c>
      <c r="E3" s="17"/>
      <c r="F3" s="46"/>
      <c r="G3" s="17"/>
      <c r="H3" s="17"/>
      <c r="I3" s="17"/>
      <c r="J3" s="38"/>
      <c r="K3" s="17"/>
      <c r="L3" s="17"/>
      <c r="M3" s="17"/>
      <c r="N3" s="46"/>
      <c r="O3" s="53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2" t="str">
        <f>CONCATENATE("Period ",RIGHT(202112,2),", ",2021)</f>
        <v>Period 12, 2021</v>
      </c>
      <c r="E4" s="17"/>
      <c r="F4" s="46"/>
      <c r="G4" s="17"/>
      <c r="H4" s="17"/>
      <c r="I4" s="17"/>
      <c r="J4" s="38"/>
      <c r="K4" s="17"/>
      <c r="L4" s="17"/>
      <c r="M4" s="17"/>
      <c r="N4" s="46"/>
      <c r="O4" s="53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4"/>
      <c r="D5" s="63">
        <v>44377</v>
      </c>
      <c r="E5" s="17"/>
      <c r="F5" s="46"/>
      <c r="G5" s="17"/>
      <c r="H5" s="17"/>
      <c r="I5" s="17"/>
      <c r="J5" s="38"/>
      <c r="K5" s="17"/>
      <c r="L5" s="17"/>
      <c r="M5" s="17"/>
      <c r="N5" s="46"/>
      <c r="O5" s="53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4"/>
      <c r="B6" s="48"/>
      <c r="C6" s="48"/>
      <c r="D6" s="24" t="str">
        <f>CONCATENATE("Department ","306", " - ", "Warehouse")</f>
        <v>Department 306 - Warehouse</v>
      </c>
      <c r="E6" s="17"/>
      <c r="F6" s="46"/>
      <c r="G6" s="17"/>
      <c r="H6" s="17"/>
      <c r="I6" s="17"/>
      <c r="J6" s="38"/>
      <c r="K6" s="17"/>
      <c r="L6" s="17"/>
      <c r="M6" s="17"/>
      <c r="N6" s="46"/>
      <c r="O6" s="54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9"/>
    </row>
    <row r="8" spans="1:26" x14ac:dyDescent="0.25">
      <c r="B8" s="59"/>
    </row>
    <row r="9" spans="1:26" x14ac:dyDescent="0.25">
      <c r="B9" s="9"/>
      <c r="C9" s="9"/>
      <c r="D9" s="16" t="s">
        <v>291</v>
      </c>
      <c r="E9" s="16"/>
      <c r="F9" s="39"/>
      <c r="G9" s="16"/>
      <c r="H9" s="16"/>
      <c r="I9" s="16"/>
      <c r="J9" s="49"/>
      <c r="K9" s="16"/>
      <c r="L9" s="16"/>
      <c r="M9" s="16"/>
      <c r="N9" s="39"/>
      <c r="P9" s="16" t="s">
        <v>39</v>
      </c>
      <c r="Q9" s="16"/>
      <c r="R9" s="39"/>
      <c r="S9" s="16"/>
      <c r="T9" s="16"/>
      <c r="U9" s="16"/>
      <c r="V9" s="49"/>
      <c r="W9" s="16"/>
      <c r="X9" s="16"/>
      <c r="Y9" s="16"/>
      <c r="Z9" s="39"/>
    </row>
    <row r="10" spans="1:26" x14ac:dyDescent="0.25">
      <c r="A10" s="11"/>
      <c r="B10" s="58"/>
      <c r="C10" s="11"/>
      <c r="D10" s="42" t="s">
        <v>57</v>
      </c>
      <c r="E10" s="36"/>
      <c r="F10" s="30" t="s">
        <v>40</v>
      </c>
      <c r="G10" s="36"/>
      <c r="H10" s="50" t="s">
        <v>237</v>
      </c>
      <c r="I10" s="36"/>
      <c r="J10" s="30" t="s">
        <v>40</v>
      </c>
      <c r="K10" s="11"/>
      <c r="L10" s="42" t="s">
        <v>126</v>
      </c>
      <c r="M10" s="11"/>
      <c r="N10" s="30" t="s">
        <v>257</v>
      </c>
      <c r="O10" s="11"/>
      <c r="P10" s="61" t="s">
        <v>57</v>
      </c>
      <c r="Q10" s="36"/>
      <c r="R10" s="30" t="s">
        <v>40</v>
      </c>
      <c r="S10" s="36"/>
      <c r="T10" s="50" t="s">
        <v>237</v>
      </c>
      <c r="U10" s="36"/>
      <c r="V10" s="30" t="s">
        <v>40</v>
      </c>
      <c r="W10" s="11"/>
      <c r="X10" s="42" t="s">
        <v>126</v>
      </c>
      <c r="Y10" s="11"/>
      <c r="Z10" s="30" t="s">
        <v>257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4" customFormat="1" x14ac:dyDescent="0.25">
      <c r="A12" s="11"/>
      <c r="B12" s="29" t="s">
        <v>139</v>
      </c>
      <c r="C12" s="11"/>
      <c r="D12" s="4">
        <f>SUM(0)</f>
        <v>0</v>
      </c>
      <c r="E12" s="4"/>
      <c r="F12" s="13"/>
      <c r="G12" s="4"/>
      <c r="H12" s="4">
        <f>SUM(0)</f>
        <v>0</v>
      </c>
      <c r="I12" s="4"/>
      <c r="J12" s="13"/>
      <c r="K12" s="4"/>
      <c r="L12" s="4">
        <f>+D12-H12</f>
        <v>0</v>
      </c>
      <c r="M12" s="4"/>
      <c r="N12" s="13">
        <f>IF(H12=0,0,L12/H12)</f>
        <v>0</v>
      </c>
      <c r="O12" s="11"/>
      <c r="P12" s="4">
        <f>SUM(0)</f>
        <v>0</v>
      </c>
      <c r="Q12" s="4"/>
      <c r="R12" s="13"/>
      <c r="S12" s="4"/>
      <c r="T12" s="4">
        <f>SUM(0)</f>
        <v>0</v>
      </c>
      <c r="U12" s="4"/>
      <c r="V12" s="13"/>
      <c r="W12" s="4"/>
      <c r="X12" s="4">
        <f>+P12-T12</f>
        <v>0</v>
      </c>
      <c r="Y12" s="4"/>
      <c r="Z12" s="13">
        <f>IF(T12=0,0,X12/T12)</f>
        <v>0</v>
      </c>
    </row>
    <row r="13" spans="1:26" x14ac:dyDescent="0.25">
      <c r="A13" s="9"/>
      <c r="B13" s="11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4" customFormat="1" x14ac:dyDescent="0.25">
      <c r="A14" s="11"/>
      <c r="B14" s="29" t="s">
        <v>256</v>
      </c>
      <c r="C14" s="11"/>
      <c r="D14" s="4">
        <f>SUM(0)</f>
        <v>0</v>
      </c>
      <c r="E14" s="4"/>
      <c r="F14" s="13">
        <f>IF(D$12=0,0,D14/D$12)</f>
        <v>0</v>
      </c>
      <c r="G14" s="4"/>
      <c r="H14" s="4">
        <f>SUM(0)</f>
        <v>0</v>
      </c>
      <c r="I14" s="4"/>
      <c r="J14" s="13">
        <f>IF(H$12=0,0,H14/H$12)</f>
        <v>0</v>
      </c>
      <c r="K14" s="4"/>
      <c r="L14" s="4">
        <f>+D14-H14</f>
        <v>0</v>
      </c>
      <c r="M14" s="4"/>
      <c r="N14" s="13">
        <f>IF(H14=0,0,L14/H14)</f>
        <v>0</v>
      </c>
      <c r="O14" s="11"/>
      <c r="P14" s="4">
        <f>SUM(0)</f>
        <v>0</v>
      </c>
      <c r="Q14" s="4"/>
      <c r="R14" s="13">
        <f>IF(P$12=0,0,P14/P$12)</f>
        <v>0</v>
      </c>
      <c r="S14" s="4"/>
      <c r="T14" s="4">
        <f>SUM(0)</f>
        <v>0</v>
      </c>
      <c r="U14" s="4"/>
      <c r="V14" s="13">
        <f>IF(T$12=0,0,T14/T$12)</f>
        <v>0</v>
      </c>
      <c r="W14" s="4"/>
      <c r="X14" s="4">
        <f>+P14-T14</f>
        <v>0</v>
      </c>
      <c r="Y14" s="4"/>
      <c r="Z14" s="13">
        <f>IF(T14=0,0,X14/T14)</f>
        <v>0</v>
      </c>
    </row>
    <row r="15" spans="1:26" x14ac:dyDescent="0.25">
      <c r="A15" s="9"/>
      <c r="B15" s="11"/>
      <c r="C15" s="11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1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4" customFormat="1" x14ac:dyDescent="0.25">
      <c r="A16" s="11"/>
      <c r="B16" s="28" t="s">
        <v>107</v>
      </c>
      <c r="C16" s="28"/>
      <c r="D16" s="21">
        <f>D12-D14</f>
        <v>0</v>
      </c>
      <c r="E16" s="14"/>
      <c r="F16" s="22">
        <f>IF(D$12=0,0,D16/D$12)</f>
        <v>0</v>
      </c>
      <c r="G16" s="14"/>
      <c r="H16" s="21">
        <f>H12-H14</f>
        <v>0</v>
      </c>
      <c r="I16" s="14"/>
      <c r="J16" s="22">
        <f>IF(H$12=0,0,H16/H$12)</f>
        <v>0</v>
      </c>
      <c r="K16" s="15"/>
      <c r="L16" s="21">
        <f>+D16-H16</f>
        <v>0</v>
      </c>
      <c r="M16" s="15"/>
      <c r="N16" s="22">
        <f>IF(H16=0,0,L16/H16)</f>
        <v>0</v>
      </c>
      <c r="O16" s="29"/>
      <c r="P16" s="21">
        <f>P12-P14</f>
        <v>0</v>
      </c>
      <c r="Q16" s="14"/>
      <c r="R16" s="22">
        <f>IF(P$12=0,0,P16/P$12)</f>
        <v>0</v>
      </c>
      <c r="S16" s="14"/>
      <c r="T16" s="21">
        <f>T12-T14</f>
        <v>0</v>
      </c>
      <c r="U16" s="14"/>
      <c r="V16" s="22">
        <f>IF(T$12=0,0,T16/T$12)</f>
        <v>0</v>
      </c>
      <c r="W16" s="15"/>
      <c r="X16" s="21">
        <f>+P16-T16</f>
        <v>0</v>
      </c>
      <c r="Y16" s="15"/>
      <c r="Z16" s="22">
        <f>IF(T16=0,0,X16/T16)</f>
        <v>0</v>
      </c>
    </row>
    <row r="17" spans="1:26" x14ac:dyDescent="0.25">
      <c r="A17" s="9"/>
      <c r="B17" s="11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4" customFormat="1" x14ac:dyDescent="0.25">
      <c r="A18" s="11"/>
      <c r="B18" s="29" t="s">
        <v>294</v>
      </c>
      <c r="C18" s="11"/>
      <c r="D18" s="20">
        <f>SUM(OSRRefD22x_0)</f>
        <v>0</v>
      </c>
      <c r="E18" s="20"/>
      <c r="F18" s="32">
        <f t="shared" ref="F18:F28" si="0">IF(D$12=0,0,D18/D$12)</f>
        <v>0</v>
      </c>
      <c r="G18" s="20"/>
      <c r="H18" s="20">
        <f>SUM(OSRRefH22x_0)</f>
        <v>46589.189999999995</v>
      </c>
      <c r="I18" s="20"/>
      <c r="J18" s="32">
        <f t="shared" ref="J18:J28" si="1">IF(H$12=0,0,H18/H$12)</f>
        <v>0</v>
      </c>
      <c r="K18" s="4"/>
      <c r="L18" s="20">
        <f t="shared" ref="L18:L28" si="2">+D18-H18</f>
        <v>-46589.189999999995</v>
      </c>
      <c r="M18" s="4"/>
      <c r="N18" s="32">
        <f t="shared" ref="N18:N28" si="3">IF(H18=0,0,L18/H18)</f>
        <v>-1</v>
      </c>
      <c r="O18" s="11"/>
      <c r="P18" s="20">
        <f>SUM(OSRRefP22x_0)</f>
        <v>0.37000000000004318</v>
      </c>
      <c r="Q18" s="20"/>
      <c r="R18" s="32">
        <f t="shared" ref="R18:R28" si="4">IF(P$12=0,0,P18/P$12)</f>
        <v>0</v>
      </c>
      <c r="S18" s="20"/>
      <c r="T18" s="20">
        <f>SUM(OSRRefT22x_0)</f>
        <v>519485.78</v>
      </c>
      <c r="U18" s="20"/>
      <c r="V18" s="32">
        <f t="shared" ref="V18:V28" si="5">IF(T$12=0,0,T18/T$12)</f>
        <v>0</v>
      </c>
      <c r="W18" s="4"/>
      <c r="X18" s="20">
        <f t="shared" ref="X18:X28" si="6">+P18-T18</f>
        <v>-519485.41000000003</v>
      </c>
      <c r="Y18" s="4"/>
      <c r="Z18" s="32">
        <f t="shared" ref="Z18:Z28" si="7">IF(T18=0,0,X18/T18)</f>
        <v>-0.99999928775721258</v>
      </c>
    </row>
    <row r="19" spans="1:26" s="27" customFormat="1" outlineLevel="1" collapsed="1" x14ac:dyDescent="0.25">
      <c r="A19" s="26"/>
      <c r="B19" s="12" t="str">
        <f>CONCATENATE("     ","*Benefits                                         ")</f>
        <v xml:space="preserve">     *Benefits                                         </v>
      </c>
      <c r="C19" s="12"/>
      <c r="D19" s="1">
        <f>SUM(OSRRefD22_0x_0)</f>
        <v>0</v>
      </c>
      <c r="E19" s="1"/>
      <c r="F19" s="5">
        <f t="shared" si="0"/>
        <v>0</v>
      </c>
      <c r="G19" s="1"/>
      <c r="H19" s="1">
        <f>SUM(OSRRefH22_0x_0)</f>
        <v>5075</v>
      </c>
      <c r="I19" s="1"/>
      <c r="J19" s="5">
        <f t="shared" si="1"/>
        <v>0</v>
      </c>
      <c r="K19" s="1"/>
      <c r="L19" s="1">
        <f t="shared" si="2"/>
        <v>-5075</v>
      </c>
      <c r="M19" s="1"/>
      <c r="N19" s="5">
        <f t="shared" si="3"/>
        <v>-1</v>
      </c>
      <c r="O19" s="12"/>
      <c r="P19" s="1">
        <f>SUM(OSRRefP22_0x_0)</f>
        <v>0.1400000000000432</v>
      </c>
      <c r="Q19" s="1"/>
      <c r="R19" s="5">
        <f t="shared" si="4"/>
        <v>0</v>
      </c>
      <c r="S19" s="1"/>
      <c r="T19" s="1">
        <f>SUM(OSRRefT22_0x_0)</f>
        <v>53527.070000000007</v>
      </c>
      <c r="U19" s="1"/>
      <c r="V19" s="5">
        <f t="shared" si="5"/>
        <v>0</v>
      </c>
      <c r="W19" s="1"/>
      <c r="X19" s="1">
        <f t="shared" si="6"/>
        <v>-53526.930000000008</v>
      </c>
      <c r="Y19" s="1"/>
      <c r="Z19" s="5">
        <f t="shared" si="7"/>
        <v>-0.99999738450096376</v>
      </c>
    </row>
    <row r="20" spans="1:26" s="23" customFormat="1" hidden="1" outlineLevel="2" x14ac:dyDescent="0.25">
      <c r="A20" s="25"/>
      <c r="B20" s="10" t="str">
        <f>CONCATENATE("          ", "6111", " - ", "F.I.C.A.")</f>
        <v xml:space="preserve">          6111 - F.I.C.A.</v>
      </c>
      <c r="C20" s="10"/>
      <c r="D20" s="6"/>
      <c r="E20" s="2"/>
      <c r="F20" s="7">
        <f t="shared" si="0"/>
        <v>0</v>
      </c>
      <c r="G20" s="2"/>
      <c r="H20" s="6">
        <v>2972.15</v>
      </c>
      <c r="I20" s="2"/>
      <c r="J20" s="7">
        <f t="shared" si="1"/>
        <v>0</v>
      </c>
      <c r="K20" s="2"/>
      <c r="L20" s="6">
        <f t="shared" si="2"/>
        <v>-2972.15</v>
      </c>
      <c r="M20" s="2"/>
      <c r="N20" s="7">
        <f t="shared" si="3"/>
        <v>-1</v>
      </c>
      <c r="O20" s="10"/>
      <c r="P20" s="6">
        <v>402.04</v>
      </c>
      <c r="Q20" s="2"/>
      <c r="R20" s="7">
        <f t="shared" si="4"/>
        <v>0</v>
      </c>
      <c r="S20" s="2"/>
      <c r="T20" s="6">
        <v>19409.29</v>
      </c>
      <c r="U20" s="2"/>
      <c r="V20" s="7">
        <f t="shared" si="5"/>
        <v>0</v>
      </c>
      <c r="W20" s="2"/>
      <c r="X20" s="6">
        <f t="shared" si="6"/>
        <v>-19007.25</v>
      </c>
      <c r="Y20" s="2"/>
      <c r="Z20" s="7">
        <f t="shared" si="7"/>
        <v>-0.97928620779018705</v>
      </c>
    </row>
    <row r="21" spans="1:26" s="23" customFormat="1" hidden="1" outlineLevel="2" x14ac:dyDescent="0.25">
      <c r="A21" s="25"/>
      <c r="B21" s="10" t="str">
        <f>CONCATENATE("          ", "6112", " - ", "COMPENSATION INSURANCE")</f>
        <v xml:space="preserve">          6112 - COMPENSATION INSURANCE</v>
      </c>
      <c r="C21" s="10"/>
      <c r="D21" s="6"/>
      <c r="E21" s="2"/>
      <c r="F21" s="7">
        <f t="shared" si="0"/>
        <v>0</v>
      </c>
      <c r="G21" s="2"/>
      <c r="H21" s="6">
        <v>921.85</v>
      </c>
      <c r="I21" s="2"/>
      <c r="J21" s="7">
        <f t="shared" si="1"/>
        <v>0</v>
      </c>
      <c r="K21" s="2"/>
      <c r="L21" s="6">
        <f t="shared" si="2"/>
        <v>-921.85</v>
      </c>
      <c r="M21" s="2"/>
      <c r="N21" s="7">
        <f t="shared" si="3"/>
        <v>-1</v>
      </c>
      <c r="O21" s="10"/>
      <c r="P21" s="6"/>
      <c r="Q21" s="2"/>
      <c r="R21" s="7">
        <f t="shared" si="4"/>
        <v>0</v>
      </c>
      <c r="S21" s="2"/>
      <c r="T21" s="6">
        <v>8372.41</v>
      </c>
      <c r="U21" s="2"/>
      <c r="V21" s="7">
        <f t="shared" si="5"/>
        <v>0</v>
      </c>
      <c r="W21" s="2"/>
      <c r="X21" s="6">
        <f t="shared" si="6"/>
        <v>-8372.41</v>
      </c>
      <c r="Y21" s="2"/>
      <c r="Z21" s="7">
        <f t="shared" si="7"/>
        <v>-1</v>
      </c>
    </row>
    <row r="22" spans="1:26" s="23" customFormat="1" hidden="1" outlineLevel="2" x14ac:dyDescent="0.25">
      <c r="A22" s="25"/>
      <c r="B22" s="10" t="str">
        <f>CONCATENATE("          ", "6113", " - ", "GROUP INSURANCE")</f>
        <v xml:space="preserve">          6113 - GROUP INSURANCE</v>
      </c>
      <c r="C22" s="10"/>
      <c r="D22" s="6"/>
      <c r="E22" s="2"/>
      <c r="F22" s="7">
        <f t="shared" si="0"/>
        <v>0</v>
      </c>
      <c r="G22" s="2"/>
      <c r="H22" s="6">
        <v>696.78</v>
      </c>
      <c r="I22" s="2"/>
      <c r="J22" s="7">
        <f t="shared" si="1"/>
        <v>0</v>
      </c>
      <c r="K22" s="2"/>
      <c r="L22" s="6">
        <f t="shared" si="2"/>
        <v>-696.78</v>
      </c>
      <c r="M22" s="2"/>
      <c r="N22" s="7">
        <f t="shared" si="3"/>
        <v>-1</v>
      </c>
      <c r="O22" s="10"/>
      <c r="P22" s="6">
        <v>0</v>
      </c>
      <c r="Q22" s="2"/>
      <c r="R22" s="7">
        <f t="shared" si="4"/>
        <v>0</v>
      </c>
      <c r="S22" s="2"/>
      <c r="T22" s="6">
        <v>19979.009999999998</v>
      </c>
      <c r="U22" s="2"/>
      <c r="V22" s="7">
        <f t="shared" si="5"/>
        <v>0</v>
      </c>
      <c r="W22" s="2"/>
      <c r="X22" s="6">
        <f t="shared" si="6"/>
        <v>-19979.009999999998</v>
      </c>
      <c r="Y22" s="2"/>
      <c r="Z22" s="7">
        <f t="shared" si="7"/>
        <v>-1</v>
      </c>
    </row>
    <row r="23" spans="1:26" s="23" customFormat="1" hidden="1" outlineLevel="2" x14ac:dyDescent="0.25">
      <c r="A23" s="25"/>
      <c r="B23" s="10" t="str">
        <f>CONCATENATE("          ", "6114", " - ", "STATE UNEMPLOYMENT INSURANCE")</f>
        <v xml:space="preserve">          6114 - STATE UNEMPLOYMENT INSURANCE</v>
      </c>
      <c r="C23" s="10"/>
      <c r="D23" s="6"/>
      <c r="E23" s="2"/>
      <c r="F23" s="7">
        <f t="shared" si="0"/>
        <v>0</v>
      </c>
      <c r="G23" s="2"/>
      <c r="H23" s="6">
        <v>-1120.3</v>
      </c>
      <c r="I23" s="2"/>
      <c r="J23" s="7">
        <f t="shared" si="1"/>
        <v>0</v>
      </c>
      <c r="K23" s="2"/>
      <c r="L23" s="6">
        <f t="shared" si="2"/>
        <v>1120.3</v>
      </c>
      <c r="M23" s="2"/>
      <c r="N23" s="7">
        <f t="shared" si="3"/>
        <v>-1</v>
      </c>
      <c r="O23" s="10"/>
      <c r="P23" s="6"/>
      <c r="Q23" s="2"/>
      <c r="R23" s="7">
        <f t="shared" si="4"/>
        <v>0</v>
      </c>
      <c r="S23" s="2"/>
      <c r="T23" s="6">
        <v>0</v>
      </c>
      <c r="U23" s="2"/>
      <c r="V23" s="7">
        <f t="shared" si="5"/>
        <v>0</v>
      </c>
      <c r="W23" s="2"/>
      <c r="X23" s="6">
        <f t="shared" si="6"/>
        <v>0</v>
      </c>
      <c r="Y23" s="2"/>
      <c r="Z23" s="7">
        <f t="shared" si="7"/>
        <v>0</v>
      </c>
    </row>
    <row r="24" spans="1:26" s="23" customFormat="1" hidden="1" outlineLevel="2" x14ac:dyDescent="0.25">
      <c r="A24" s="25"/>
      <c r="B24" s="10" t="str">
        <f>CONCATENATE("          ", "6115", " - ", "P.E.R.S.")</f>
        <v xml:space="preserve">          6115 - P.E.R.S.</v>
      </c>
      <c r="C24" s="10"/>
      <c r="D24" s="6"/>
      <c r="E24" s="2"/>
      <c r="F24" s="7">
        <f t="shared" si="0"/>
        <v>0</v>
      </c>
      <c r="G24" s="2"/>
      <c r="H24" s="6">
        <v>298.81</v>
      </c>
      <c r="I24" s="2"/>
      <c r="J24" s="7">
        <f t="shared" si="1"/>
        <v>0</v>
      </c>
      <c r="K24" s="2"/>
      <c r="L24" s="6">
        <f t="shared" si="2"/>
        <v>-298.81</v>
      </c>
      <c r="M24" s="2"/>
      <c r="N24" s="7">
        <f t="shared" si="3"/>
        <v>-1</v>
      </c>
      <c r="O24" s="10"/>
      <c r="P24" s="6">
        <v>0</v>
      </c>
      <c r="Q24" s="2"/>
      <c r="R24" s="7">
        <f t="shared" si="4"/>
        <v>0</v>
      </c>
      <c r="S24" s="2"/>
      <c r="T24" s="6">
        <v>7876.9</v>
      </c>
      <c r="U24" s="2"/>
      <c r="V24" s="7">
        <f t="shared" si="5"/>
        <v>0</v>
      </c>
      <c r="W24" s="2"/>
      <c r="X24" s="6">
        <f t="shared" si="6"/>
        <v>-7876.9</v>
      </c>
      <c r="Y24" s="2"/>
      <c r="Z24" s="7">
        <f t="shared" si="7"/>
        <v>-1</v>
      </c>
    </row>
    <row r="25" spans="1:26" s="23" customFormat="1" hidden="1" outlineLevel="2" x14ac:dyDescent="0.25">
      <c r="A25" s="25"/>
      <c r="B25" s="10" t="str">
        <f>CONCATENATE("          ", "6116", " - ", "EDUCATIONAL BENEFITS")</f>
        <v xml:space="preserve">          6116 - EDUCATIONAL BENEFITS</v>
      </c>
      <c r="C25" s="10"/>
      <c r="D25" s="6"/>
      <c r="E25" s="2"/>
      <c r="F25" s="7">
        <f t="shared" si="0"/>
        <v>0</v>
      </c>
      <c r="G25" s="2"/>
      <c r="H25" s="6"/>
      <c r="I25" s="2"/>
      <c r="J25" s="7">
        <f t="shared" si="1"/>
        <v>0</v>
      </c>
      <c r="K25" s="2"/>
      <c r="L25" s="6">
        <f t="shared" si="2"/>
        <v>0</v>
      </c>
      <c r="M25" s="2"/>
      <c r="N25" s="7">
        <f t="shared" si="3"/>
        <v>0</v>
      </c>
      <c r="O25" s="10"/>
      <c r="P25" s="6">
        <v>-401.9</v>
      </c>
      <c r="Q25" s="2"/>
      <c r="R25" s="7">
        <f t="shared" si="4"/>
        <v>0</v>
      </c>
      <c r="S25" s="2"/>
      <c r="T25" s="6"/>
      <c r="U25" s="2"/>
      <c r="V25" s="7">
        <f t="shared" si="5"/>
        <v>0</v>
      </c>
      <c r="W25" s="2"/>
      <c r="X25" s="6">
        <f t="shared" si="6"/>
        <v>-401.9</v>
      </c>
      <c r="Y25" s="2"/>
      <c r="Z25" s="7">
        <f t="shared" si="7"/>
        <v>0</v>
      </c>
    </row>
    <row r="26" spans="1:26" s="23" customFormat="1" hidden="1" outlineLevel="2" x14ac:dyDescent="0.25">
      <c r="A26" s="25"/>
      <c r="B26" s="10" t="str">
        <f>CONCATENATE("          ", "6118", " - ", "VACATION")</f>
        <v xml:space="preserve">          6118 - VACATION</v>
      </c>
      <c r="C26" s="10"/>
      <c r="D26" s="6"/>
      <c r="E26" s="2"/>
      <c r="F26" s="7">
        <f t="shared" si="0"/>
        <v>0</v>
      </c>
      <c r="G26" s="2"/>
      <c r="H26" s="6">
        <v>953.08</v>
      </c>
      <c r="I26" s="2"/>
      <c r="J26" s="7">
        <f t="shared" si="1"/>
        <v>0</v>
      </c>
      <c r="K26" s="2"/>
      <c r="L26" s="6">
        <f t="shared" si="2"/>
        <v>-953.08</v>
      </c>
      <c r="M26" s="2"/>
      <c r="N26" s="7">
        <f t="shared" si="3"/>
        <v>-1</v>
      </c>
      <c r="O26" s="10"/>
      <c r="P26" s="6"/>
      <c r="Q26" s="2"/>
      <c r="R26" s="7">
        <f t="shared" si="4"/>
        <v>0</v>
      </c>
      <c r="S26" s="2"/>
      <c r="T26" s="6">
        <v>4661.3</v>
      </c>
      <c r="U26" s="2"/>
      <c r="V26" s="7">
        <f t="shared" si="5"/>
        <v>0</v>
      </c>
      <c r="W26" s="2"/>
      <c r="X26" s="6">
        <f t="shared" si="6"/>
        <v>-4661.3</v>
      </c>
      <c r="Y26" s="2"/>
      <c r="Z26" s="7">
        <f t="shared" si="7"/>
        <v>-1</v>
      </c>
    </row>
    <row r="27" spans="1:26" s="23" customFormat="1" hidden="1" outlineLevel="2" x14ac:dyDescent="0.25">
      <c r="A27" s="25"/>
      <c r="B27" s="10" t="str">
        <f>CONCATENATE("          ", "6119", " - ", "SICK LEAVE")</f>
        <v xml:space="preserve">          6119 - SICK LEAVE</v>
      </c>
      <c r="C27" s="10"/>
      <c r="D27" s="6"/>
      <c r="E27" s="2"/>
      <c r="F27" s="7">
        <f t="shared" si="0"/>
        <v>0</v>
      </c>
      <c r="G27" s="2"/>
      <c r="H27" s="6">
        <v>312.63</v>
      </c>
      <c r="I27" s="2"/>
      <c r="J27" s="7">
        <f t="shared" si="1"/>
        <v>0</v>
      </c>
      <c r="K27" s="2"/>
      <c r="L27" s="6">
        <f t="shared" si="2"/>
        <v>-312.63</v>
      </c>
      <c r="M27" s="2"/>
      <c r="N27" s="7">
        <f t="shared" si="3"/>
        <v>-1</v>
      </c>
      <c r="O27" s="10"/>
      <c r="P27" s="6"/>
      <c r="Q27" s="2"/>
      <c r="R27" s="7">
        <f t="shared" si="4"/>
        <v>0</v>
      </c>
      <c r="S27" s="2"/>
      <c r="T27" s="6">
        <v>-9617.31</v>
      </c>
      <c r="U27" s="2"/>
      <c r="V27" s="7">
        <f t="shared" si="5"/>
        <v>0</v>
      </c>
      <c r="W27" s="2"/>
      <c r="X27" s="6">
        <f t="shared" si="6"/>
        <v>9617.31</v>
      </c>
      <c r="Y27" s="2"/>
      <c r="Z27" s="7">
        <f t="shared" si="7"/>
        <v>-1</v>
      </c>
    </row>
    <row r="28" spans="1:26" s="23" customFormat="1" hidden="1" outlineLevel="2" x14ac:dyDescent="0.25">
      <c r="A28" s="25"/>
      <c r="B28" s="10" t="str">
        <f>CONCATENATE("          ", "6156", " - ", "EMPLOYEE MEALS")</f>
        <v xml:space="preserve">          6156 - EMPLOYEE MEALS</v>
      </c>
      <c r="C28" s="10"/>
      <c r="D28" s="6"/>
      <c r="E28" s="2"/>
      <c r="F28" s="7">
        <f t="shared" si="0"/>
        <v>0</v>
      </c>
      <c r="G28" s="2"/>
      <c r="H28" s="6">
        <v>40</v>
      </c>
      <c r="I28" s="2"/>
      <c r="J28" s="7">
        <f t="shared" si="1"/>
        <v>0</v>
      </c>
      <c r="K28" s="2"/>
      <c r="L28" s="6">
        <f t="shared" si="2"/>
        <v>-40</v>
      </c>
      <c r="M28" s="2"/>
      <c r="N28" s="7">
        <f t="shared" si="3"/>
        <v>-1</v>
      </c>
      <c r="O28" s="10"/>
      <c r="P28" s="6"/>
      <c r="Q28" s="2"/>
      <c r="R28" s="7">
        <f t="shared" si="4"/>
        <v>0</v>
      </c>
      <c r="S28" s="2"/>
      <c r="T28" s="6">
        <v>2845.47</v>
      </c>
      <c r="U28" s="2"/>
      <c r="V28" s="7">
        <f t="shared" si="5"/>
        <v>0</v>
      </c>
      <c r="W28" s="2"/>
      <c r="X28" s="6">
        <f t="shared" si="6"/>
        <v>-2845.47</v>
      </c>
      <c r="Y28" s="2"/>
      <c r="Z28" s="7">
        <f t="shared" si="7"/>
        <v>-1</v>
      </c>
    </row>
    <row r="29" spans="1:26" s="27" customFormat="1" outlineLevel="1" collapsed="1" x14ac:dyDescent="0.25">
      <c r="A29" s="26"/>
      <c r="B29" s="12" t="str">
        <f>CONCATENATE("     ","*Payroll                                          ")</f>
        <v xml:space="preserve">     *Payroll                                          </v>
      </c>
      <c r="C29" s="12"/>
      <c r="D29" s="1">
        <f>SUM(OSRRefD22_1x_0)</f>
        <v>0</v>
      </c>
      <c r="E29" s="1"/>
      <c r="F29" s="5">
        <f t="shared" ref="F29:F35" si="8">IF(D$12=0,0,D29/D$12)</f>
        <v>0</v>
      </c>
      <c r="G29" s="1"/>
      <c r="H29" s="1">
        <f>SUM(OSRRefH22_1x_0)</f>
        <v>39913.72</v>
      </c>
      <c r="I29" s="1"/>
      <c r="J29" s="5">
        <f t="shared" ref="J29:J35" si="9">IF(H$12=0,0,H29/H$12)</f>
        <v>0</v>
      </c>
      <c r="K29" s="1"/>
      <c r="L29" s="1">
        <f t="shared" ref="L29:L35" si="10">+D29-H29</f>
        <v>-39913.72</v>
      </c>
      <c r="M29" s="1"/>
      <c r="N29" s="5">
        <f t="shared" ref="N29:N35" si="11">IF(H29=0,0,L29/H29)</f>
        <v>-1</v>
      </c>
      <c r="O29" s="12"/>
      <c r="P29" s="1">
        <f>SUM(OSRRefP22_1x_0)</f>
        <v>0.23</v>
      </c>
      <c r="Q29" s="1"/>
      <c r="R29" s="5">
        <f t="shared" ref="R29:R35" si="12">IF(P$12=0,0,P29/P$12)</f>
        <v>0</v>
      </c>
      <c r="S29" s="1"/>
      <c r="T29" s="1">
        <f>SUM(OSRRefT22_1x_0)</f>
        <v>452215.37999999995</v>
      </c>
      <c r="U29" s="1"/>
      <c r="V29" s="5">
        <f t="shared" ref="V29:V35" si="13">IF(T$12=0,0,T29/T$12)</f>
        <v>0</v>
      </c>
      <c r="W29" s="1"/>
      <c r="X29" s="1">
        <f t="shared" ref="X29:X35" si="14">+P29-T29</f>
        <v>-452215.14999999997</v>
      </c>
      <c r="Y29" s="1"/>
      <c r="Z29" s="5">
        <f t="shared" ref="Z29:Z35" si="15">IF(T29=0,0,X29/T29)</f>
        <v>-0.99999949139279609</v>
      </c>
    </row>
    <row r="30" spans="1:26" s="23" customFormat="1" hidden="1" outlineLevel="2" x14ac:dyDescent="0.25">
      <c r="A30" s="25"/>
      <c r="B30" s="10" t="str">
        <f>CONCATENATE("          ", "6002", " - ", "STAFF SALARIES")</f>
        <v xml:space="preserve">          6002 - STAFF SALARIES</v>
      </c>
      <c r="C30" s="10"/>
      <c r="D30" s="6"/>
      <c r="E30" s="2"/>
      <c r="F30" s="7">
        <f t="shared" si="8"/>
        <v>0</v>
      </c>
      <c r="G30" s="2"/>
      <c r="H30" s="6">
        <v>4277.84</v>
      </c>
      <c r="I30" s="2"/>
      <c r="J30" s="7">
        <f t="shared" si="9"/>
        <v>0</v>
      </c>
      <c r="K30" s="2"/>
      <c r="L30" s="6">
        <f t="shared" si="10"/>
        <v>-4277.84</v>
      </c>
      <c r="M30" s="2"/>
      <c r="N30" s="7">
        <f t="shared" si="11"/>
        <v>-1</v>
      </c>
      <c r="O30" s="10"/>
      <c r="P30" s="6"/>
      <c r="Q30" s="2"/>
      <c r="R30" s="7">
        <f t="shared" si="12"/>
        <v>0</v>
      </c>
      <c r="S30" s="2"/>
      <c r="T30" s="6">
        <v>94654.399999999994</v>
      </c>
      <c r="U30" s="2"/>
      <c r="V30" s="7">
        <f t="shared" si="13"/>
        <v>0</v>
      </c>
      <c r="W30" s="2"/>
      <c r="X30" s="6">
        <f t="shared" si="14"/>
        <v>-94654.399999999994</v>
      </c>
      <c r="Y30" s="2"/>
      <c r="Z30" s="7">
        <f t="shared" si="15"/>
        <v>-1</v>
      </c>
    </row>
    <row r="31" spans="1:26" s="23" customFormat="1" hidden="1" outlineLevel="2" x14ac:dyDescent="0.25">
      <c r="A31" s="25"/>
      <c r="B31" s="10" t="str">
        <f>CONCATENATE("          ", "6004", " - ", "STAFF HOURLY")</f>
        <v xml:space="preserve">          6004 - STAFF HOURLY</v>
      </c>
      <c r="C31" s="10"/>
      <c r="D31" s="6"/>
      <c r="E31" s="2"/>
      <c r="F31" s="7">
        <f t="shared" si="8"/>
        <v>0</v>
      </c>
      <c r="G31" s="2"/>
      <c r="H31" s="6">
        <v>8856.15</v>
      </c>
      <c r="I31" s="2"/>
      <c r="J31" s="7">
        <f t="shared" si="9"/>
        <v>0</v>
      </c>
      <c r="K31" s="2"/>
      <c r="L31" s="6">
        <f t="shared" si="10"/>
        <v>-8856.15</v>
      </c>
      <c r="M31" s="2"/>
      <c r="N31" s="7">
        <f t="shared" si="11"/>
        <v>-1</v>
      </c>
      <c r="O31" s="10"/>
      <c r="P31" s="6">
        <v>0.23</v>
      </c>
      <c r="Q31" s="2"/>
      <c r="R31" s="7">
        <f t="shared" si="12"/>
        <v>0</v>
      </c>
      <c r="S31" s="2"/>
      <c r="T31" s="6">
        <v>10606.15</v>
      </c>
      <c r="U31" s="2"/>
      <c r="V31" s="7">
        <f t="shared" si="13"/>
        <v>0</v>
      </c>
      <c r="W31" s="2"/>
      <c r="X31" s="6">
        <f t="shared" si="14"/>
        <v>-10605.92</v>
      </c>
      <c r="Y31" s="2"/>
      <c r="Z31" s="7">
        <f t="shared" si="15"/>
        <v>-0.99997831446849239</v>
      </c>
    </row>
    <row r="32" spans="1:26" s="23" customFormat="1" hidden="1" outlineLevel="2" x14ac:dyDescent="0.25">
      <c r="A32" s="25"/>
      <c r="B32" s="10" t="str">
        <f>CONCATENATE("          ", "6005", " - ", "TEMPORARY WAGES-HOURLY")</f>
        <v xml:space="preserve">          6005 - TEMPORARY WAGES-HOURLY</v>
      </c>
      <c r="C32" s="10"/>
      <c r="D32" s="6"/>
      <c r="E32" s="2"/>
      <c r="F32" s="7">
        <f t="shared" si="8"/>
        <v>0</v>
      </c>
      <c r="G32" s="2"/>
      <c r="H32" s="6">
        <v>10511.13</v>
      </c>
      <c r="I32" s="2"/>
      <c r="J32" s="7">
        <f t="shared" si="9"/>
        <v>0</v>
      </c>
      <c r="K32" s="2"/>
      <c r="L32" s="6">
        <f t="shared" si="10"/>
        <v>-10511.13</v>
      </c>
      <c r="M32" s="2"/>
      <c r="N32" s="7">
        <f t="shared" si="11"/>
        <v>-1</v>
      </c>
      <c r="O32" s="10"/>
      <c r="P32" s="6">
        <v>0</v>
      </c>
      <c r="Q32" s="2"/>
      <c r="R32" s="7">
        <f t="shared" si="12"/>
        <v>0</v>
      </c>
      <c r="S32" s="2"/>
      <c r="T32" s="6">
        <v>46909.49</v>
      </c>
      <c r="U32" s="2"/>
      <c r="V32" s="7">
        <f t="shared" si="13"/>
        <v>0</v>
      </c>
      <c r="W32" s="2"/>
      <c r="X32" s="6">
        <f t="shared" si="14"/>
        <v>-46909.49</v>
      </c>
      <c r="Y32" s="2"/>
      <c r="Z32" s="7">
        <f t="shared" si="15"/>
        <v>-1</v>
      </c>
    </row>
    <row r="33" spans="1:26" s="23" customFormat="1" hidden="1" outlineLevel="2" x14ac:dyDescent="0.25">
      <c r="A33" s="25"/>
      <c r="B33" s="10" t="str">
        <f>CONCATENATE("          ", "6006", " - ", "TEMPORARY PART TIME")</f>
        <v xml:space="preserve">          6006 - TEMPORARY PART TIME</v>
      </c>
      <c r="C33" s="10"/>
      <c r="D33" s="6"/>
      <c r="E33" s="2"/>
      <c r="F33" s="7">
        <f t="shared" si="8"/>
        <v>0</v>
      </c>
      <c r="G33" s="2"/>
      <c r="H33" s="6">
        <v>1347.41</v>
      </c>
      <c r="I33" s="2"/>
      <c r="J33" s="7">
        <f t="shared" si="9"/>
        <v>0</v>
      </c>
      <c r="K33" s="2"/>
      <c r="L33" s="6">
        <f t="shared" si="10"/>
        <v>-1347.41</v>
      </c>
      <c r="M33" s="2"/>
      <c r="N33" s="7">
        <f t="shared" si="11"/>
        <v>-1</v>
      </c>
      <c r="O33" s="10"/>
      <c r="P33" s="6"/>
      <c r="Q33" s="2"/>
      <c r="R33" s="7">
        <f t="shared" si="12"/>
        <v>0</v>
      </c>
      <c r="S33" s="2"/>
      <c r="T33" s="6">
        <v>15402.92</v>
      </c>
      <c r="U33" s="2"/>
      <c r="V33" s="7">
        <f t="shared" si="13"/>
        <v>0</v>
      </c>
      <c r="W33" s="2"/>
      <c r="X33" s="6">
        <f t="shared" si="14"/>
        <v>-15402.92</v>
      </c>
      <c r="Y33" s="2"/>
      <c r="Z33" s="7">
        <f t="shared" si="15"/>
        <v>-1</v>
      </c>
    </row>
    <row r="34" spans="1:26" s="23" customFormat="1" hidden="1" outlineLevel="2" x14ac:dyDescent="0.25">
      <c r="A34" s="25"/>
      <c r="B34" s="10" t="str">
        <f>CONCATENATE("          ", "6007", " - ", "STUDENT HOURLY")</f>
        <v xml:space="preserve">          6007 - STUDENT HOURLY</v>
      </c>
      <c r="C34" s="10"/>
      <c r="D34" s="6"/>
      <c r="E34" s="2"/>
      <c r="F34" s="7">
        <f t="shared" si="8"/>
        <v>0</v>
      </c>
      <c r="G34" s="2"/>
      <c r="H34" s="6">
        <v>14921.19</v>
      </c>
      <c r="I34" s="2"/>
      <c r="J34" s="7">
        <f t="shared" si="9"/>
        <v>0</v>
      </c>
      <c r="K34" s="2"/>
      <c r="L34" s="6">
        <f t="shared" si="10"/>
        <v>-14921.19</v>
      </c>
      <c r="M34" s="2"/>
      <c r="N34" s="7">
        <f t="shared" si="11"/>
        <v>-1</v>
      </c>
      <c r="O34" s="10"/>
      <c r="P34" s="6"/>
      <c r="Q34" s="2"/>
      <c r="R34" s="7">
        <f t="shared" si="12"/>
        <v>0</v>
      </c>
      <c r="S34" s="2"/>
      <c r="T34" s="6">
        <v>271625.24</v>
      </c>
      <c r="U34" s="2"/>
      <c r="V34" s="7">
        <f t="shared" si="13"/>
        <v>0</v>
      </c>
      <c r="W34" s="2"/>
      <c r="X34" s="6">
        <f t="shared" si="14"/>
        <v>-271625.24</v>
      </c>
      <c r="Y34" s="2"/>
      <c r="Z34" s="7">
        <f t="shared" si="15"/>
        <v>-1</v>
      </c>
    </row>
    <row r="35" spans="1:26" s="23" customFormat="1" hidden="1" outlineLevel="2" x14ac:dyDescent="0.25">
      <c r="A35" s="25"/>
      <c r="B35" s="10" t="str">
        <f>CONCATENATE("          ", "6008", " - ", "STUDENT HOURLY-FICA EXEMPT")</f>
        <v xml:space="preserve">          6008 - STUDENT HOURLY-FICA EXEMPT</v>
      </c>
      <c r="C35" s="10"/>
      <c r="D35" s="6"/>
      <c r="E35" s="2"/>
      <c r="F35" s="7">
        <f t="shared" si="8"/>
        <v>0</v>
      </c>
      <c r="G35" s="2"/>
      <c r="H35" s="6"/>
      <c r="I35" s="2"/>
      <c r="J35" s="7">
        <f t="shared" si="9"/>
        <v>0</v>
      </c>
      <c r="K35" s="2"/>
      <c r="L35" s="6">
        <f t="shared" si="10"/>
        <v>0</v>
      </c>
      <c r="M35" s="2"/>
      <c r="N35" s="7">
        <f t="shared" si="11"/>
        <v>0</v>
      </c>
      <c r="O35" s="10"/>
      <c r="P35" s="6"/>
      <c r="Q35" s="2"/>
      <c r="R35" s="7">
        <f t="shared" si="12"/>
        <v>0</v>
      </c>
      <c r="S35" s="2"/>
      <c r="T35" s="6">
        <v>13017.18</v>
      </c>
      <c r="U35" s="2"/>
      <c r="V35" s="7">
        <f t="shared" si="13"/>
        <v>0</v>
      </c>
      <c r="W35" s="2"/>
      <c r="X35" s="6">
        <f t="shared" si="14"/>
        <v>-13017.18</v>
      </c>
      <c r="Y35" s="2"/>
      <c r="Z35" s="7">
        <f t="shared" si="15"/>
        <v>-1</v>
      </c>
    </row>
    <row r="36" spans="1:26" s="27" customFormat="1" outlineLevel="1" collapsed="1" x14ac:dyDescent="0.25">
      <c r="A36" s="26"/>
      <c r="B36" s="12" t="str">
        <f>CONCATENATE("     ","Advertising/Promo                                 ")</f>
        <v xml:space="preserve">     Advertising/Promo                                 </v>
      </c>
      <c r="C36" s="12"/>
      <c r="D36" s="1">
        <f>SUM(OSRRefD22_2x_0)</f>
        <v>0</v>
      </c>
      <c r="E36" s="1"/>
      <c r="F36" s="5">
        <f t="shared" ref="F36:F46" si="16">IF(D$12=0,0,D36/D$12)</f>
        <v>0</v>
      </c>
      <c r="G36" s="1"/>
      <c r="H36" s="1">
        <f>SUM(OSRRefH22_2x_0)</f>
        <v>0</v>
      </c>
      <c r="I36" s="1"/>
      <c r="J36" s="5">
        <f t="shared" ref="J36:J46" si="17">IF(H$12=0,0,H36/H$12)</f>
        <v>0</v>
      </c>
      <c r="K36" s="1"/>
      <c r="L36" s="1">
        <f t="shared" ref="L36:L46" si="18">+D36-H36</f>
        <v>0</v>
      </c>
      <c r="M36" s="1"/>
      <c r="N36" s="5">
        <f t="shared" ref="N36:N46" si="19">IF(H36=0,0,L36/H36)</f>
        <v>0</v>
      </c>
      <c r="O36" s="12"/>
      <c r="P36" s="1">
        <f>SUM(OSRRefP22_2x_0)</f>
        <v>0</v>
      </c>
      <c r="Q36" s="1"/>
      <c r="R36" s="5">
        <f t="shared" ref="R36:R46" si="20">IF(P$12=0,0,P36/P$12)</f>
        <v>0</v>
      </c>
      <c r="S36" s="1"/>
      <c r="T36" s="1">
        <f>SUM(OSRRefT22_2x_0)</f>
        <v>360</v>
      </c>
      <c r="U36" s="1"/>
      <c r="V36" s="5">
        <f t="shared" ref="V36:V46" si="21">IF(T$12=0,0,T36/T$12)</f>
        <v>0</v>
      </c>
      <c r="W36" s="1"/>
      <c r="X36" s="1">
        <f t="shared" ref="X36:X46" si="22">+P36-T36</f>
        <v>-360</v>
      </c>
      <c r="Y36" s="1"/>
      <c r="Z36" s="5">
        <f t="shared" ref="Z36:Z46" si="23">IF(T36=0,0,X36/T36)</f>
        <v>-1</v>
      </c>
    </row>
    <row r="37" spans="1:26" s="23" customFormat="1" hidden="1" outlineLevel="2" x14ac:dyDescent="0.25">
      <c r="A37" s="25"/>
      <c r="B37" s="10" t="str">
        <f>CONCATENATE("          ", "6362", " - ", "ADVERTISING EXPENSE")</f>
        <v xml:space="preserve">          6362 - ADVERTISING EXPENSE</v>
      </c>
      <c r="C37" s="10"/>
      <c r="D37" s="6"/>
      <c r="E37" s="2"/>
      <c r="F37" s="7">
        <f t="shared" si="16"/>
        <v>0</v>
      </c>
      <c r="G37" s="2"/>
      <c r="H37" s="6"/>
      <c r="I37" s="2"/>
      <c r="J37" s="7">
        <f t="shared" si="17"/>
        <v>0</v>
      </c>
      <c r="K37" s="2"/>
      <c r="L37" s="6">
        <f t="shared" si="18"/>
        <v>0</v>
      </c>
      <c r="M37" s="2"/>
      <c r="N37" s="7">
        <f t="shared" si="19"/>
        <v>0</v>
      </c>
      <c r="O37" s="10"/>
      <c r="P37" s="6"/>
      <c r="Q37" s="2"/>
      <c r="R37" s="7">
        <f t="shared" si="20"/>
        <v>0</v>
      </c>
      <c r="S37" s="2"/>
      <c r="T37" s="6">
        <v>360</v>
      </c>
      <c r="U37" s="2"/>
      <c r="V37" s="7">
        <f t="shared" si="21"/>
        <v>0</v>
      </c>
      <c r="W37" s="2"/>
      <c r="X37" s="6">
        <f t="shared" si="22"/>
        <v>-360</v>
      </c>
      <c r="Y37" s="2"/>
      <c r="Z37" s="7">
        <f t="shared" si="23"/>
        <v>-1</v>
      </c>
    </row>
    <row r="38" spans="1:26" s="27" customFormat="1" outlineLevel="1" collapsed="1" x14ac:dyDescent="0.25">
      <c r="A38" s="26"/>
      <c r="B38" s="12" t="str">
        <f>CONCATENATE("     ","Equipment Rental                                  ")</f>
        <v xml:space="preserve">     Equipment Rental                                  </v>
      </c>
      <c r="C38" s="12"/>
      <c r="D38" s="1">
        <f>SUM(OSRRefD22_3x_0)</f>
        <v>0</v>
      </c>
      <c r="E38" s="1"/>
      <c r="F38" s="5">
        <f t="shared" si="16"/>
        <v>0</v>
      </c>
      <c r="G38" s="1"/>
      <c r="H38" s="1">
        <f>SUM(OSRRefH22_3x_0)</f>
        <v>91.26</v>
      </c>
      <c r="I38" s="1"/>
      <c r="J38" s="5">
        <f t="shared" si="17"/>
        <v>0</v>
      </c>
      <c r="K38" s="1"/>
      <c r="L38" s="1">
        <f t="shared" si="18"/>
        <v>-91.26</v>
      </c>
      <c r="M38" s="1"/>
      <c r="N38" s="5">
        <f t="shared" si="19"/>
        <v>-1</v>
      </c>
      <c r="O38" s="12"/>
      <c r="P38" s="1">
        <f>SUM(OSRRefP22_3x_0)</f>
        <v>0</v>
      </c>
      <c r="Q38" s="1"/>
      <c r="R38" s="5">
        <f t="shared" si="20"/>
        <v>0</v>
      </c>
      <c r="S38" s="1"/>
      <c r="T38" s="1">
        <f>SUM(OSRRefT22_3x_0)</f>
        <v>1157.98</v>
      </c>
      <c r="U38" s="1"/>
      <c r="V38" s="5">
        <f t="shared" si="21"/>
        <v>0</v>
      </c>
      <c r="W38" s="1"/>
      <c r="X38" s="1">
        <f t="shared" si="22"/>
        <v>-1157.98</v>
      </c>
      <c r="Y38" s="1"/>
      <c r="Z38" s="5">
        <f t="shared" si="23"/>
        <v>-1</v>
      </c>
    </row>
    <row r="39" spans="1:26" s="23" customFormat="1" hidden="1" outlineLevel="2" x14ac:dyDescent="0.25">
      <c r="A39" s="25"/>
      <c r="B39" s="10" t="str">
        <f>CONCATENATE("          ", "6351", " - ", "EQUIPMENT RENTAL")</f>
        <v xml:space="preserve">          6351 - EQUIPMENT RENTAL</v>
      </c>
      <c r="C39" s="10"/>
      <c r="D39" s="6"/>
      <c r="E39" s="2"/>
      <c r="F39" s="7">
        <f t="shared" si="16"/>
        <v>0</v>
      </c>
      <c r="G39" s="2"/>
      <c r="H39" s="6">
        <v>91.26</v>
      </c>
      <c r="I39" s="2"/>
      <c r="J39" s="7">
        <f t="shared" si="17"/>
        <v>0</v>
      </c>
      <c r="K39" s="2"/>
      <c r="L39" s="6">
        <f t="shared" si="18"/>
        <v>-91.26</v>
      </c>
      <c r="M39" s="2"/>
      <c r="N39" s="7">
        <f t="shared" si="19"/>
        <v>-1</v>
      </c>
      <c r="O39" s="10"/>
      <c r="P39" s="6">
        <v>0</v>
      </c>
      <c r="Q39" s="2"/>
      <c r="R39" s="7">
        <f t="shared" si="20"/>
        <v>0</v>
      </c>
      <c r="S39" s="2"/>
      <c r="T39" s="6">
        <v>1157.98</v>
      </c>
      <c r="U39" s="2"/>
      <c r="V39" s="7">
        <f t="shared" si="21"/>
        <v>0</v>
      </c>
      <c r="W39" s="2"/>
      <c r="X39" s="6">
        <f t="shared" si="22"/>
        <v>-1157.98</v>
      </c>
      <c r="Y39" s="2"/>
      <c r="Z39" s="7">
        <f t="shared" si="23"/>
        <v>-1</v>
      </c>
    </row>
    <row r="40" spans="1:26" s="27" customFormat="1" outlineLevel="1" collapsed="1" x14ac:dyDescent="0.25">
      <c r="A40" s="26"/>
      <c r="B40" s="12" t="str">
        <f>CONCATENATE("     ","Freight out/Postage                               ")</f>
        <v xml:space="preserve">     Freight out/Postage                               </v>
      </c>
      <c r="C40" s="12"/>
      <c r="D40" s="1">
        <f>SUM(OSRRefD22_4x_0)</f>
        <v>0</v>
      </c>
      <c r="E40" s="1"/>
      <c r="F40" s="5">
        <f t="shared" si="16"/>
        <v>0</v>
      </c>
      <c r="G40" s="1"/>
      <c r="H40" s="1">
        <f>SUM(OSRRefH22_4x_0)</f>
        <v>315.95</v>
      </c>
      <c r="I40" s="1"/>
      <c r="J40" s="5">
        <f t="shared" si="17"/>
        <v>0</v>
      </c>
      <c r="K40" s="1"/>
      <c r="L40" s="1">
        <f t="shared" si="18"/>
        <v>-315.95</v>
      </c>
      <c r="M40" s="1"/>
      <c r="N40" s="5">
        <f t="shared" si="19"/>
        <v>-1</v>
      </c>
      <c r="O40" s="12"/>
      <c r="P40" s="1">
        <f>SUM(OSRRefP22_4x_0)</f>
        <v>0</v>
      </c>
      <c r="Q40" s="1"/>
      <c r="R40" s="5">
        <f t="shared" si="20"/>
        <v>0</v>
      </c>
      <c r="S40" s="1"/>
      <c r="T40" s="1">
        <f>SUM(OSRRefT22_4x_0)</f>
        <v>4545.7</v>
      </c>
      <c r="U40" s="1"/>
      <c r="V40" s="5">
        <f t="shared" si="21"/>
        <v>0</v>
      </c>
      <c r="W40" s="1"/>
      <c r="X40" s="1">
        <f t="shared" si="22"/>
        <v>-4545.7</v>
      </c>
      <c r="Y40" s="1"/>
      <c r="Z40" s="5">
        <f t="shared" si="23"/>
        <v>-1</v>
      </c>
    </row>
    <row r="41" spans="1:26" s="23" customFormat="1" hidden="1" outlineLevel="2" x14ac:dyDescent="0.25">
      <c r="A41" s="25"/>
      <c r="B41" s="10" t="str">
        <f>CONCATENATE("          ", "6307", " - ", "POSTAGE")</f>
        <v xml:space="preserve">          6307 - POSTAGE</v>
      </c>
      <c r="C41" s="10"/>
      <c r="D41" s="6"/>
      <c r="E41" s="2"/>
      <c r="F41" s="7">
        <f t="shared" si="16"/>
        <v>0</v>
      </c>
      <c r="G41" s="2"/>
      <c r="H41" s="6">
        <v>315.95</v>
      </c>
      <c r="I41" s="2"/>
      <c r="J41" s="7">
        <f t="shared" si="17"/>
        <v>0</v>
      </c>
      <c r="K41" s="2"/>
      <c r="L41" s="6">
        <f t="shared" si="18"/>
        <v>-315.95</v>
      </c>
      <c r="M41" s="2"/>
      <c r="N41" s="7">
        <f t="shared" si="19"/>
        <v>-1</v>
      </c>
      <c r="O41" s="10"/>
      <c r="P41" s="6">
        <v>0</v>
      </c>
      <c r="Q41" s="2"/>
      <c r="R41" s="7">
        <f t="shared" si="20"/>
        <v>0</v>
      </c>
      <c r="S41" s="2"/>
      <c r="T41" s="6">
        <v>4545.7</v>
      </c>
      <c r="U41" s="2"/>
      <c r="V41" s="7">
        <f t="shared" si="21"/>
        <v>0</v>
      </c>
      <c r="W41" s="2"/>
      <c r="X41" s="6">
        <f t="shared" si="22"/>
        <v>-4545.7</v>
      </c>
      <c r="Y41" s="2"/>
      <c r="Z41" s="7">
        <f t="shared" si="23"/>
        <v>-1</v>
      </c>
    </row>
    <row r="42" spans="1:26" s="27" customFormat="1" outlineLevel="1" collapsed="1" x14ac:dyDescent="0.25">
      <c r="A42" s="26"/>
      <c r="B42" s="12" t="str">
        <f>CONCATENATE("     ","General                                           ")</f>
        <v xml:space="preserve">     General                                           </v>
      </c>
      <c r="C42" s="12"/>
      <c r="D42" s="1">
        <f>SUM(OSRRefD22_5x_0)</f>
        <v>0</v>
      </c>
      <c r="E42" s="1"/>
      <c r="F42" s="5">
        <f t="shared" si="16"/>
        <v>0</v>
      </c>
      <c r="G42" s="1"/>
      <c r="H42" s="1">
        <f>SUM(OSRRefH22_5x_0)</f>
        <v>0</v>
      </c>
      <c r="I42" s="1"/>
      <c r="J42" s="5">
        <f t="shared" si="17"/>
        <v>0</v>
      </c>
      <c r="K42" s="1"/>
      <c r="L42" s="1">
        <f t="shared" si="18"/>
        <v>0</v>
      </c>
      <c r="M42" s="1"/>
      <c r="N42" s="5">
        <f t="shared" si="19"/>
        <v>0</v>
      </c>
      <c r="O42" s="12"/>
      <c r="P42" s="1">
        <f>SUM(OSRRefP22_5x_0)</f>
        <v>0</v>
      </c>
      <c r="Q42" s="1"/>
      <c r="R42" s="5">
        <f t="shared" si="20"/>
        <v>0</v>
      </c>
      <c r="S42" s="1"/>
      <c r="T42" s="1">
        <f>SUM(OSRRefT22_5x_0)</f>
        <v>89.45</v>
      </c>
      <c r="U42" s="1"/>
      <c r="V42" s="5">
        <f t="shared" si="21"/>
        <v>0</v>
      </c>
      <c r="W42" s="1"/>
      <c r="X42" s="1">
        <f t="shared" si="22"/>
        <v>-89.45</v>
      </c>
      <c r="Y42" s="1"/>
      <c r="Z42" s="5">
        <f t="shared" si="23"/>
        <v>-1</v>
      </c>
    </row>
    <row r="43" spans="1:26" s="23" customFormat="1" hidden="1" outlineLevel="2" x14ac:dyDescent="0.25">
      <c r="A43" s="25"/>
      <c r="B43" s="10" t="str">
        <f>CONCATENATE("          ", "6279", " - ", "GENERAL EXPENSE")</f>
        <v xml:space="preserve">          6279 - GENERAL EXPENSE</v>
      </c>
      <c r="C43" s="10"/>
      <c r="D43" s="6"/>
      <c r="E43" s="2"/>
      <c r="F43" s="7">
        <f t="shared" si="16"/>
        <v>0</v>
      </c>
      <c r="G43" s="2"/>
      <c r="H43" s="6"/>
      <c r="I43" s="2"/>
      <c r="J43" s="7">
        <f t="shared" si="17"/>
        <v>0</v>
      </c>
      <c r="K43" s="2"/>
      <c r="L43" s="6">
        <f t="shared" si="18"/>
        <v>0</v>
      </c>
      <c r="M43" s="2"/>
      <c r="N43" s="7">
        <f t="shared" si="19"/>
        <v>0</v>
      </c>
      <c r="O43" s="10"/>
      <c r="P43" s="6"/>
      <c r="Q43" s="2"/>
      <c r="R43" s="7">
        <f t="shared" si="20"/>
        <v>0</v>
      </c>
      <c r="S43" s="2"/>
      <c r="T43" s="6">
        <v>89.45</v>
      </c>
      <c r="U43" s="2"/>
      <c r="V43" s="7">
        <f t="shared" si="21"/>
        <v>0</v>
      </c>
      <c r="W43" s="2"/>
      <c r="X43" s="6">
        <f t="shared" si="22"/>
        <v>-89.45</v>
      </c>
      <c r="Y43" s="2"/>
      <c r="Z43" s="7">
        <f t="shared" si="23"/>
        <v>-1</v>
      </c>
    </row>
    <row r="44" spans="1:26" s="27" customFormat="1" outlineLevel="1" collapsed="1" x14ac:dyDescent="0.25">
      <c r="A44" s="26"/>
      <c r="B44" s="12" t="str">
        <f>CONCATENATE("     ","Repair and Maintenance                            ")</f>
        <v xml:space="preserve">     Repair and Maintenance                            </v>
      </c>
      <c r="C44" s="12"/>
      <c r="D44" s="1">
        <f>SUM(OSRRefD22_6x_0)</f>
        <v>0</v>
      </c>
      <c r="E44" s="1"/>
      <c r="F44" s="5">
        <f t="shared" si="16"/>
        <v>0</v>
      </c>
      <c r="G44" s="1"/>
      <c r="H44" s="1">
        <f>SUM(OSRRefH22_6x_0)</f>
        <v>27.86</v>
      </c>
      <c r="I44" s="1"/>
      <c r="J44" s="5">
        <f t="shared" si="17"/>
        <v>0</v>
      </c>
      <c r="K44" s="1"/>
      <c r="L44" s="1">
        <f t="shared" si="18"/>
        <v>-27.86</v>
      </c>
      <c r="M44" s="1"/>
      <c r="N44" s="5">
        <f t="shared" si="19"/>
        <v>-1</v>
      </c>
      <c r="O44" s="12"/>
      <c r="P44" s="1">
        <f>SUM(OSRRefP22_6x_0)</f>
        <v>0</v>
      </c>
      <c r="Q44" s="1"/>
      <c r="R44" s="5">
        <f t="shared" si="20"/>
        <v>0</v>
      </c>
      <c r="S44" s="1"/>
      <c r="T44" s="1">
        <f>SUM(OSRRefT22_6x_0)</f>
        <v>533.03</v>
      </c>
      <c r="U44" s="1"/>
      <c r="V44" s="5">
        <f t="shared" si="21"/>
        <v>0</v>
      </c>
      <c r="W44" s="1"/>
      <c r="X44" s="1">
        <f t="shared" si="22"/>
        <v>-533.03</v>
      </c>
      <c r="Y44" s="1"/>
      <c r="Z44" s="5">
        <f t="shared" si="23"/>
        <v>-1</v>
      </c>
    </row>
    <row r="45" spans="1:26" s="23" customFormat="1" hidden="1" outlineLevel="2" x14ac:dyDescent="0.25">
      <c r="A45" s="25"/>
      <c r="B45" s="10" t="str">
        <f>CONCATENATE("          ", "6373", " - ", "MAINTENANCE CONTRACTS")</f>
        <v xml:space="preserve">          6373 - MAINTENANCE CONTRACTS</v>
      </c>
      <c r="C45" s="10"/>
      <c r="D45" s="6"/>
      <c r="E45" s="2"/>
      <c r="F45" s="7">
        <f t="shared" si="16"/>
        <v>0</v>
      </c>
      <c r="G45" s="2"/>
      <c r="H45" s="6">
        <v>27.86</v>
      </c>
      <c r="I45" s="2"/>
      <c r="J45" s="7">
        <f t="shared" si="17"/>
        <v>0</v>
      </c>
      <c r="K45" s="2"/>
      <c r="L45" s="6">
        <f t="shared" si="18"/>
        <v>-27.86</v>
      </c>
      <c r="M45" s="2"/>
      <c r="N45" s="7">
        <f t="shared" si="19"/>
        <v>-1</v>
      </c>
      <c r="O45" s="10"/>
      <c r="P45" s="6">
        <v>0</v>
      </c>
      <c r="Q45" s="2"/>
      <c r="R45" s="7">
        <f t="shared" si="20"/>
        <v>0</v>
      </c>
      <c r="S45" s="2"/>
      <c r="T45" s="6">
        <v>220.7</v>
      </c>
      <c r="U45" s="2"/>
      <c r="V45" s="7">
        <f t="shared" si="21"/>
        <v>0</v>
      </c>
      <c r="W45" s="2"/>
      <c r="X45" s="6">
        <f t="shared" si="22"/>
        <v>-220.7</v>
      </c>
      <c r="Y45" s="2"/>
      <c r="Z45" s="7">
        <f t="shared" si="23"/>
        <v>-1</v>
      </c>
    </row>
    <row r="46" spans="1:26" s="23" customFormat="1" hidden="1" outlineLevel="2" x14ac:dyDescent="0.25">
      <c r="A46" s="25"/>
      <c r="B46" s="10" t="str">
        <f>CONCATENATE("          ", "6375", " - ", "OUTSIDE REPAIRS &amp; MAINTENANCE")</f>
        <v xml:space="preserve">          6375 - OUTSIDE REPAIRS &amp; MAINTENANCE</v>
      </c>
      <c r="C46" s="10"/>
      <c r="D46" s="6"/>
      <c r="E46" s="2"/>
      <c r="F46" s="7">
        <f t="shared" si="16"/>
        <v>0</v>
      </c>
      <c r="G46" s="2"/>
      <c r="H46" s="6"/>
      <c r="I46" s="2"/>
      <c r="J46" s="7">
        <f t="shared" si="17"/>
        <v>0</v>
      </c>
      <c r="K46" s="2"/>
      <c r="L46" s="6">
        <f t="shared" si="18"/>
        <v>0</v>
      </c>
      <c r="M46" s="2"/>
      <c r="N46" s="7">
        <f t="shared" si="19"/>
        <v>0</v>
      </c>
      <c r="O46" s="10"/>
      <c r="P46" s="6"/>
      <c r="Q46" s="2"/>
      <c r="R46" s="7">
        <f t="shared" si="20"/>
        <v>0</v>
      </c>
      <c r="S46" s="2"/>
      <c r="T46" s="6">
        <v>312.33</v>
      </c>
      <c r="U46" s="2"/>
      <c r="V46" s="7">
        <f t="shared" si="21"/>
        <v>0</v>
      </c>
      <c r="W46" s="2"/>
      <c r="X46" s="6">
        <f t="shared" si="22"/>
        <v>-312.33</v>
      </c>
      <c r="Y46" s="2"/>
      <c r="Z46" s="7">
        <f t="shared" si="23"/>
        <v>-1</v>
      </c>
    </row>
    <row r="47" spans="1:26" s="27" customFormat="1" outlineLevel="1" collapsed="1" x14ac:dyDescent="0.25">
      <c r="A47" s="26"/>
      <c r="B47" s="12" t="str">
        <f>CONCATENATE("     ","Supplies                                          ")</f>
        <v xml:space="preserve">     Supplies                                          </v>
      </c>
      <c r="C47" s="12"/>
      <c r="D47" s="1">
        <f>SUM(OSRRefD22_7x_0)</f>
        <v>0</v>
      </c>
      <c r="E47" s="1"/>
      <c r="F47" s="5">
        <f t="shared" ref="F47:F50" si="24">IF(D$12=0,0,D47/D$12)</f>
        <v>0</v>
      </c>
      <c r="G47" s="1"/>
      <c r="H47" s="1">
        <f>SUM(OSRRefH22_7x_0)</f>
        <v>1089.2</v>
      </c>
      <c r="I47" s="1"/>
      <c r="J47" s="5">
        <f t="shared" ref="J47:J50" si="25">IF(H$12=0,0,H47/H$12)</f>
        <v>0</v>
      </c>
      <c r="K47" s="1"/>
      <c r="L47" s="1">
        <f t="shared" ref="L47:L50" si="26">+D47-H47</f>
        <v>-1089.2</v>
      </c>
      <c r="M47" s="1"/>
      <c r="N47" s="5">
        <f t="shared" ref="N47:N50" si="27">IF(H47=0,0,L47/H47)</f>
        <v>-1</v>
      </c>
      <c r="O47" s="12"/>
      <c r="P47" s="1">
        <f>SUM(OSRRefP22_7x_0)</f>
        <v>0</v>
      </c>
      <c r="Q47" s="1"/>
      <c r="R47" s="5">
        <f t="shared" ref="R47:R50" si="28">IF(P$12=0,0,P47/P$12)</f>
        <v>0</v>
      </c>
      <c r="S47" s="1"/>
      <c r="T47" s="1">
        <f>SUM(OSRRefT22_7x_0)</f>
        <v>5208.9699999999993</v>
      </c>
      <c r="U47" s="1"/>
      <c r="V47" s="5">
        <f t="shared" ref="V47:V50" si="29">IF(T$12=0,0,T47/T$12)</f>
        <v>0</v>
      </c>
      <c r="W47" s="1"/>
      <c r="X47" s="1">
        <f t="shared" ref="X47:X50" si="30">+P47-T47</f>
        <v>-5208.9699999999993</v>
      </c>
      <c r="Y47" s="1"/>
      <c r="Z47" s="5">
        <f t="shared" ref="Z47:Z50" si="31">IF(T47=0,0,X47/T47)</f>
        <v>-1</v>
      </c>
    </row>
    <row r="48" spans="1:26" s="23" customFormat="1" hidden="1" outlineLevel="2" x14ac:dyDescent="0.25">
      <c r="A48" s="25"/>
      <c r="B48" s="10" t="str">
        <f>CONCATENATE("          ", "6237", " - ", "JANITORIAL SUPPLIES")</f>
        <v xml:space="preserve">          6237 - JANITORIAL SUPPLIES</v>
      </c>
      <c r="C48" s="10"/>
      <c r="D48" s="6"/>
      <c r="E48" s="2"/>
      <c r="F48" s="7">
        <f t="shared" si="24"/>
        <v>0</v>
      </c>
      <c r="G48" s="2"/>
      <c r="H48" s="6"/>
      <c r="I48" s="2"/>
      <c r="J48" s="7">
        <f t="shared" si="25"/>
        <v>0</v>
      </c>
      <c r="K48" s="2"/>
      <c r="L48" s="6">
        <f t="shared" si="26"/>
        <v>0</v>
      </c>
      <c r="M48" s="2"/>
      <c r="N48" s="7">
        <f t="shared" si="27"/>
        <v>0</v>
      </c>
      <c r="O48" s="10"/>
      <c r="P48" s="6"/>
      <c r="Q48" s="2"/>
      <c r="R48" s="7">
        <f t="shared" si="28"/>
        <v>0</v>
      </c>
      <c r="S48" s="2"/>
      <c r="T48" s="6">
        <v>226.95</v>
      </c>
      <c r="U48" s="2"/>
      <c r="V48" s="7">
        <f t="shared" si="29"/>
        <v>0</v>
      </c>
      <c r="W48" s="2"/>
      <c r="X48" s="6">
        <f t="shared" si="30"/>
        <v>-226.95</v>
      </c>
      <c r="Y48" s="2"/>
      <c r="Z48" s="7">
        <f t="shared" si="31"/>
        <v>-1</v>
      </c>
    </row>
    <row r="49" spans="1:26" s="23" customFormat="1" hidden="1" outlineLevel="2" x14ac:dyDescent="0.25">
      <c r="A49" s="25"/>
      <c r="B49" s="10" t="str">
        <f>CONCATENATE("          ", "6241", " - ", "OFFICE EXPENSE")</f>
        <v xml:space="preserve">          6241 - OFFICE EXPENSE</v>
      </c>
      <c r="C49" s="10"/>
      <c r="D49" s="6"/>
      <c r="E49" s="2"/>
      <c r="F49" s="7">
        <f t="shared" si="24"/>
        <v>0</v>
      </c>
      <c r="G49" s="2"/>
      <c r="H49" s="6">
        <v>190.44</v>
      </c>
      <c r="I49" s="2"/>
      <c r="J49" s="7">
        <f t="shared" si="25"/>
        <v>0</v>
      </c>
      <c r="K49" s="2"/>
      <c r="L49" s="6">
        <f t="shared" si="26"/>
        <v>-190.44</v>
      </c>
      <c r="M49" s="2"/>
      <c r="N49" s="7">
        <f t="shared" si="27"/>
        <v>-1</v>
      </c>
      <c r="O49" s="10"/>
      <c r="P49" s="6"/>
      <c r="Q49" s="2"/>
      <c r="R49" s="7">
        <f t="shared" si="28"/>
        <v>0</v>
      </c>
      <c r="S49" s="2"/>
      <c r="T49" s="6">
        <v>2500.04</v>
      </c>
      <c r="U49" s="2"/>
      <c r="V49" s="7">
        <f t="shared" si="29"/>
        <v>0</v>
      </c>
      <c r="W49" s="2"/>
      <c r="X49" s="6">
        <f t="shared" si="30"/>
        <v>-2500.04</v>
      </c>
      <c r="Y49" s="2"/>
      <c r="Z49" s="7">
        <f t="shared" si="31"/>
        <v>-1</v>
      </c>
    </row>
    <row r="50" spans="1:26" s="23" customFormat="1" hidden="1" outlineLevel="2" x14ac:dyDescent="0.25">
      <c r="A50" s="25"/>
      <c r="B50" s="10" t="str">
        <f>CONCATENATE("          ", "6247", " - ", "STORE SUPPLIES")</f>
        <v xml:space="preserve">          6247 - STORE SUPPLIES</v>
      </c>
      <c r="C50" s="10"/>
      <c r="D50" s="6"/>
      <c r="E50" s="2"/>
      <c r="F50" s="7">
        <f t="shared" si="24"/>
        <v>0</v>
      </c>
      <c r="G50" s="2"/>
      <c r="H50" s="6">
        <v>898.76</v>
      </c>
      <c r="I50" s="2"/>
      <c r="J50" s="7">
        <f t="shared" si="25"/>
        <v>0</v>
      </c>
      <c r="K50" s="2"/>
      <c r="L50" s="6">
        <f t="shared" si="26"/>
        <v>-898.76</v>
      </c>
      <c r="M50" s="2"/>
      <c r="N50" s="7">
        <f t="shared" si="27"/>
        <v>-1</v>
      </c>
      <c r="O50" s="10"/>
      <c r="P50" s="6"/>
      <c r="Q50" s="2"/>
      <c r="R50" s="7">
        <f t="shared" si="28"/>
        <v>0</v>
      </c>
      <c r="S50" s="2"/>
      <c r="T50" s="6">
        <v>2481.98</v>
      </c>
      <c r="U50" s="2"/>
      <c r="V50" s="7">
        <f t="shared" si="29"/>
        <v>0</v>
      </c>
      <c r="W50" s="2"/>
      <c r="X50" s="6">
        <f t="shared" si="30"/>
        <v>-2481.98</v>
      </c>
      <c r="Y50" s="2"/>
      <c r="Z50" s="7">
        <f t="shared" si="31"/>
        <v>-1</v>
      </c>
    </row>
    <row r="51" spans="1:26" s="27" customFormat="1" outlineLevel="1" collapsed="1" x14ac:dyDescent="0.25">
      <c r="A51" s="26"/>
      <c r="B51" s="12" t="str">
        <f>CONCATENATE("     ","Telephone/Data Lines                              ")</f>
        <v xml:space="preserve">     Telephone/Data Lines                              </v>
      </c>
      <c r="C51" s="12"/>
      <c r="D51" s="1">
        <f>SUM(OSRRefD22_8x_0)</f>
        <v>0</v>
      </c>
      <c r="E51" s="1"/>
      <c r="F51" s="5">
        <f t="shared" ref="F51:F54" si="32">IF(D$12=0,0,D51/D$12)</f>
        <v>0</v>
      </c>
      <c r="G51" s="1"/>
      <c r="H51" s="1">
        <f>SUM(OSRRefH22_8x_0)</f>
        <v>76.2</v>
      </c>
      <c r="I51" s="1"/>
      <c r="J51" s="5">
        <f t="shared" ref="J51:J54" si="33">IF(H$12=0,0,H51/H$12)</f>
        <v>0</v>
      </c>
      <c r="K51" s="1"/>
      <c r="L51" s="1">
        <f t="shared" ref="L51:L54" si="34">+D51-H51</f>
        <v>-76.2</v>
      </c>
      <c r="M51" s="1"/>
      <c r="N51" s="5">
        <f t="shared" ref="N51:N54" si="35">IF(H51=0,0,L51/H51)</f>
        <v>-1</v>
      </c>
      <c r="O51" s="12"/>
      <c r="P51" s="1">
        <f>SUM(OSRRefP22_8x_0)</f>
        <v>0</v>
      </c>
      <c r="Q51" s="1"/>
      <c r="R51" s="5">
        <f t="shared" ref="R51:R54" si="36">IF(P$12=0,0,P51/P$12)</f>
        <v>0</v>
      </c>
      <c r="S51" s="1"/>
      <c r="T51" s="1">
        <f>SUM(OSRRefT22_8x_0)</f>
        <v>1768.2</v>
      </c>
      <c r="U51" s="1"/>
      <c r="V51" s="5">
        <f t="shared" ref="V51:V54" si="37">IF(T$12=0,0,T51/T$12)</f>
        <v>0</v>
      </c>
      <c r="W51" s="1"/>
      <c r="X51" s="1">
        <f t="shared" ref="X51:X54" si="38">+P51-T51</f>
        <v>-1768.2</v>
      </c>
      <c r="Y51" s="1"/>
      <c r="Z51" s="5">
        <f t="shared" ref="Z51:Z54" si="39">IF(T51=0,0,X51/T51)</f>
        <v>-1</v>
      </c>
    </row>
    <row r="52" spans="1:26" s="23" customFormat="1" hidden="1" outlineLevel="2" x14ac:dyDescent="0.25">
      <c r="A52" s="25"/>
      <c r="B52" s="10" t="str">
        <f>CONCATENATE("          ", "6309", " - ", "TELEPHONE")</f>
        <v xml:space="preserve">          6309 - TELEPHONE</v>
      </c>
      <c r="C52" s="10"/>
      <c r="D52" s="6"/>
      <c r="E52" s="2"/>
      <c r="F52" s="7">
        <f t="shared" si="32"/>
        <v>0</v>
      </c>
      <c r="G52" s="2"/>
      <c r="H52" s="6">
        <v>76.2</v>
      </c>
      <c r="I52" s="2"/>
      <c r="J52" s="7">
        <f t="shared" si="33"/>
        <v>0</v>
      </c>
      <c r="K52" s="2"/>
      <c r="L52" s="6">
        <f t="shared" si="34"/>
        <v>-76.2</v>
      </c>
      <c r="M52" s="2"/>
      <c r="N52" s="7">
        <f t="shared" si="35"/>
        <v>-1</v>
      </c>
      <c r="O52" s="10"/>
      <c r="P52" s="6">
        <v>0</v>
      </c>
      <c r="Q52" s="2"/>
      <c r="R52" s="7">
        <f t="shared" si="36"/>
        <v>0</v>
      </c>
      <c r="S52" s="2"/>
      <c r="T52" s="6">
        <v>1768.2</v>
      </c>
      <c r="U52" s="2"/>
      <c r="V52" s="7">
        <f t="shared" si="37"/>
        <v>0</v>
      </c>
      <c r="W52" s="2"/>
      <c r="X52" s="6">
        <f t="shared" si="38"/>
        <v>-1768.2</v>
      </c>
      <c r="Y52" s="2"/>
      <c r="Z52" s="7">
        <f t="shared" si="39"/>
        <v>-1</v>
      </c>
    </row>
    <row r="53" spans="1:26" s="27" customFormat="1" outlineLevel="1" collapsed="1" x14ac:dyDescent="0.25">
      <c r="A53" s="26"/>
      <c r="B53" s="12" t="str">
        <f>CONCATENATE("     ","Training                                          ")</f>
        <v xml:space="preserve">     Training                                          </v>
      </c>
      <c r="C53" s="12"/>
      <c r="D53" s="1">
        <f>SUM(OSRRefD22_9x_0)</f>
        <v>0</v>
      </c>
      <c r="E53" s="1"/>
      <c r="F53" s="5">
        <f t="shared" si="32"/>
        <v>0</v>
      </c>
      <c r="G53" s="1"/>
      <c r="H53" s="1">
        <f>SUM(OSRRefH22_9x_0)</f>
        <v>0</v>
      </c>
      <c r="I53" s="1"/>
      <c r="J53" s="5">
        <f t="shared" si="33"/>
        <v>0</v>
      </c>
      <c r="K53" s="1"/>
      <c r="L53" s="1">
        <f t="shared" si="34"/>
        <v>0</v>
      </c>
      <c r="M53" s="1"/>
      <c r="N53" s="5">
        <f t="shared" si="35"/>
        <v>0</v>
      </c>
      <c r="O53" s="12"/>
      <c r="P53" s="1">
        <f>SUM(OSRRefP22_9x_0)</f>
        <v>0</v>
      </c>
      <c r="Q53" s="1"/>
      <c r="R53" s="5">
        <f t="shared" si="36"/>
        <v>0</v>
      </c>
      <c r="S53" s="1"/>
      <c r="T53" s="1">
        <f>SUM(OSRRefT22_9x_0)</f>
        <v>80</v>
      </c>
      <c r="U53" s="1"/>
      <c r="V53" s="5">
        <f t="shared" si="37"/>
        <v>0</v>
      </c>
      <c r="W53" s="1"/>
      <c r="X53" s="1">
        <f t="shared" si="38"/>
        <v>-80</v>
      </c>
      <c r="Y53" s="1"/>
      <c r="Z53" s="5">
        <f t="shared" si="39"/>
        <v>-1</v>
      </c>
    </row>
    <row r="54" spans="1:26" s="23" customFormat="1" hidden="1" outlineLevel="2" x14ac:dyDescent="0.25">
      <c r="A54" s="25"/>
      <c r="B54" s="10" t="str">
        <f>CONCATENATE("          ", "6376", " - ", "TRAINING")</f>
        <v xml:space="preserve">          6376 - TRAINING</v>
      </c>
      <c r="C54" s="10"/>
      <c r="D54" s="6"/>
      <c r="E54" s="2"/>
      <c r="F54" s="7">
        <f t="shared" si="32"/>
        <v>0</v>
      </c>
      <c r="G54" s="2"/>
      <c r="H54" s="6"/>
      <c r="I54" s="2"/>
      <c r="J54" s="7">
        <f t="shared" si="33"/>
        <v>0</v>
      </c>
      <c r="K54" s="2"/>
      <c r="L54" s="6">
        <f t="shared" si="34"/>
        <v>0</v>
      </c>
      <c r="M54" s="2"/>
      <c r="N54" s="7">
        <f t="shared" si="35"/>
        <v>0</v>
      </c>
      <c r="O54" s="10"/>
      <c r="P54" s="6"/>
      <c r="Q54" s="2"/>
      <c r="R54" s="7">
        <f t="shared" si="36"/>
        <v>0</v>
      </c>
      <c r="S54" s="2"/>
      <c r="T54" s="6">
        <v>80</v>
      </c>
      <c r="U54" s="2"/>
      <c r="V54" s="7">
        <f t="shared" si="37"/>
        <v>0</v>
      </c>
      <c r="W54" s="2"/>
      <c r="X54" s="6">
        <f t="shared" si="38"/>
        <v>-80</v>
      </c>
      <c r="Y54" s="2"/>
      <c r="Z54" s="7">
        <f t="shared" si="39"/>
        <v>-1</v>
      </c>
    </row>
    <row r="55" spans="1:26" s="52" customFormat="1" x14ac:dyDescent="0.25">
      <c r="A55" s="37"/>
      <c r="B55" s="37"/>
      <c r="C55" s="37"/>
      <c r="D55" s="1"/>
      <c r="E55" s="1"/>
      <c r="F55" s="5"/>
      <c r="G55" s="1"/>
      <c r="H55" s="1"/>
      <c r="I55" s="1"/>
      <c r="J55" s="5"/>
      <c r="K55" s="1"/>
      <c r="L55" s="1"/>
      <c r="M55" s="1"/>
      <c r="N55" s="5"/>
      <c r="O55" s="37"/>
      <c r="P55" s="1"/>
      <c r="Q55" s="1"/>
      <c r="R55" s="5"/>
      <c r="S55" s="1"/>
      <c r="T55" s="1"/>
      <c r="U55" s="1"/>
      <c r="V55" s="5"/>
      <c r="W55" s="1"/>
      <c r="X55" s="1"/>
      <c r="Y55" s="1"/>
      <c r="Z55" s="5"/>
    </row>
    <row r="56" spans="1:26" s="24" customFormat="1" x14ac:dyDescent="0.25">
      <c r="A56" s="11"/>
      <c r="B56" s="29" t="s">
        <v>292</v>
      </c>
      <c r="C56" s="11"/>
      <c r="D56" s="4">
        <f>SUM(0)</f>
        <v>0</v>
      </c>
      <c r="E56" s="4"/>
      <c r="F56" s="13">
        <f>IF(D$12=0,0,D56/D$12)</f>
        <v>0</v>
      </c>
      <c r="G56" s="4"/>
      <c r="H56" s="4">
        <f>SUM(0)</f>
        <v>0</v>
      </c>
      <c r="I56" s="4"/>
      <c r="J56" s="13">
        <f>IF(H$12=0,0,H56/H$12)</f>
        <v>0</v>
      </c>
      <c r="K56" s="4"/>
      <c r="L56" s="4">
        <f>+D56-H56</f>
        <v>0</v>
      </c>
      <c r="M56" s="4"/>
      <c r="N56" s="13">
        <f>IF(H56=0,0,L56/H56)</f>
        <v>0</v>
      </c>
      <c r="O56" s="11"/>
      <c r="P56" s="4">
        <f>SUM(0)</f>
        <v>0</v>
      </c>
      <c r="Q56" s="4"/>
      <c r="R56" s="13">
        <f>IF(P$12=0,0,P56/P$12)</f>
        <v>0</v>
      </c>
      <c r="S56" s="4"/>
      <c r="T56" s="4">
        <f>SUM(0)</f>
        <v>0</v>
      </c>
      <c r="U56" s="4"/>
      <c r="V56" s="13">
        <f>IF(T$12=0,0,T56/T$12)</f>
        <v>0</v>
      </c>
      <c r="W56" s="4"/>
      <c r="X56" s="4">
        <f>+P56-T56</f>
        <v>0</v>
      </c>
      <c r="Y56" s="4"/>
      <c r="Z56" s="13">
        <f>IF(T56=0,0,X56/T56)</f>
        <v>0</v>
      </c>
    </row>
    <row r="57" spans="1:26" x14ac:dyDescent="0.25">
      <c r="A57" s="9"/>
      <c r="B57" s="11"/>
      <c r="C57" s="11"/>
      <c r="D57" s="3"/>
      <c r="E57" s="3"/>
      <c r="F57" s="8"/>
      <c r="G57" s="3"/>
      <c r="H57" s="3"/>
      <c r="I57" s="3"/>
      <c r="J57" s="8"/>
      <c r="K57" s="3"/>
      <c r="L57" s="3"/>
      <c r="M57" s="3"/>
      <c r="N57" s="8"/>
      <c r="O57" s="11"/>
      <c r="P57" s="3"/>
      <c r="Q57" s="3"/>
      <c r="R57" s="8"/>
      <c r="S57" s="3"/>
      <c r="T57" s="3"/>
      <c r="U57" s="3"/>
      <c r="V57" s="8"/>
      <c r="W57" s="3"/>
      <c r="X57" s="3"/>
      <c r="Y57" s="3"/>
      <c r="Z57" s="8"/>
    </row>
    <row r="58" spans="1:26" s="24" customFormat="1" x14ac:dyDescent="0.25">
      <c r="A58" s="11"/>
      <c r="B58" s="28" t="s">
        <v>276</v>
      </c>
      <c r="C58" s="28"/>
      <c r="D58" s="21">
        <f>+D16-D18+D56</f>
        <v>0</v>
      </c>
      <c r="E58" s="14"/>
      <c r="F58" s="22">
        <f>IF(D$12=0,0,D58/D$12)</f>
        <v>0</v>
      </c>
      <c r="G58" s="14"/>
      <c r="H58" s="21">
        <f>+H16-H18+H56</f>
        <v>-46589.189999999995</v>
      </c>
      <c r="I58" s="14"/>
      <c r="J58" s="22">
        <f>IF(H$12=0,0,H58/H$12)</f>
        <v>0</v>
      </c>
      <c r="K58" s="15"/>
      <c r="L58" s="21">
        <f>+D58-H58</f>
        <v>46589.189999999995</v>
      </c>
      <c r="M58" s="15"/>
      <c r="N58" s="22">
        <f>IF(H58=0,0,L58/H58)</f>
        <v>-1</v>
      </c>
      <c r="O58" s="29"/>
      <c r="P58" s="21">
        <f>+P16-P18+P56</f>
        <v>-0.37000000000004318</v>
      </c>
      <c r="Q58" s="14"/>
      <c r="R58" s="22">
        <f>IF(P$12=0,0,P58/P$12)</f>
        <v>0</v>
      </c>
      <c r="S58" s="14"/>
      <c r="T58" s="21">
        <f>+T16-T18+T56</f>
        <v>-519485.78</v>
      </c>
      <c r="U58" s="14"/>
      <c r="V58" s="22">
        <f>IF(T$12=0,0,T58/T$12)</f>
        <v>0</v>
      </c>
      <c r="W58" s="15"/>
      <c r="X58" s="21">
        <f>+P58-T58</f>
        <v>519485.41000000003</v>
      </c>
      <c r="Y58" s="15"/>
      <c r="Z58" s="22">
        <f>IF(T58=0,0,X58/T58)</f>
        <v>-0.99999928775721258</v>
      </c>
    </row>
    <row r="59" spans="1:26" x14ac:dyDescent="0.25">
      <c r="A59" s="9"/>
      <c r="B59" s="11"/>
      <c r="C59" s="9"/>
      <c r="D59" s="3"/>
      <c r="E59" s="3"/>
      <c r="F59" s="8"/>
      <c r="G59" s="3"/>
      <c r="H59" s="3"/>
      <c r="I59" s="3"/>
      <c r="J59" s="8"/>
      <c r="K59" s="3"/>
      <c r="L59" s="3"/>
      <c r="M59" s="3"/>
      <c r="N59" s="8"/>
      <c r="P59" s="3"/>
      <c r="Q59" s="3"/>
      <c r="R59" s="8"/>
      <c r="S59" s="3"/>
      <c r="T59" s="3"/>
      <c r="U59" s="3"/>
      <c r="V59" s="8"/>
      <c r="W59" s="3"/>
      <c r="X59" s="3"/>
      <c r="Y59" s="3"/>
      <c r="Z59" s="8"/>
    </row>
    <row r="60" spans="1:26" s="24" customFormat="1" x14ac:dyDescent="0.25">
      <c r="A60" s="51"/>
      <c r="B60" s="11" t="s">
        <v>127</v>
      </c>
      <c r="C60" s="11"/>
      <c r="D60" s="4"/>
      <c r="E60" s="4"/>
      <c r="F60" s="13">
        <f>IF(D$12=0,0,D60/D$12)</f>
        <v>0</v>
      </c>
      <c r="G60" s="4"/>
      <c r="H60" s="4"/>
      <c r="I60" s="4"/>
      <c r="J60" s="13">
        <f>IF(H$12=0,0,H60/H$12)</f>
        <v>0</v>
      </c>
      <c r="K60" s="4"/>
      <c r="L60" s="4">
        <f>+D60-H60</f>
        <v>0</v>
      </c>
      <c r="M60" s="4"/>
      <c r="N60" s="13">
        <f>IF(H60=0,0,L60/H60)</f>
        <v>0</v>
      </c>
      <c r="O60" s="11"/>
      <c r="P60" s="4"/>
      <c r="Q60" s="4"/>
      <c r="R60" s="13">
        <f>IF(P$12=0,0,P60/P$12)</f>
        <v>0</v>
      </c>
      <c r="S60" s="4"/>
      <c r="T60" s="4"/>
      <c r="U60" s="4"/>
      <c r="V60" s="13">
        <f>IF(T$12=0,0,T60/T$12)</f>
        <v>0</v>
      </c>
      <c r="W60" s="4"/>
      <c r="X60" s="4">
        <f>+P60-T60</f>
        <v>0</v>
      </c>
      <c r="Y60" s="4"/>
      <c r="Z60" s="13">
        <f>IF(T60=0,0,X60/T60)</f>
        <v>0</v>
      </c>
    </row>
    <row r="61" spans="1:26" x14ac:dyDescent="0.25">
      <c r="A61" s="9"/>
      <c r="B61" s="11"/>
      <c r="C61" s="11"/>
      <c r="D61" s="3"/>
      <c r="E61" s="3"/>
      <c r="F61" s="8"/>
      <c r="G61" s="3"/>
      <c r="H61" s="3"/>
      <c r="I61" s="3"/>
      <c r="J61" s="8"/>
      <c r="K61" s="3"/>
      <c r="L61" s="3"/>
      <c r="M61" s="3"/>
      <c r="N61" s="8"/>
      <c r="O61" s="11"/>
      <c r="P61" s="3"/>
      <c r="Q61" s="3"/>
      <c r="R61" s="8"/>
      <c r="S61" s="3"/>
      <c r="T61" s="3"/>
      <c r="U61" s="3"/>
      <c r="V61" s="8"/>
      <c r="W61" s="3"/>
      <c r="X61" s="3"/>
      <c r="Y61" s="3"/>
      <c r="Z61" s="8"/>
    </row>
    <row r="62" spans="1:26" s="24" customFormat="1" ht="15.75" thickBot="1" x14ac:dyDescent="0.3">
      <c r="A62" s="11"/>
      <c r="B62" s="28" t="s">
        <v>125</v>
      </c>
      <c r="C62" s="28"/>
      <c r="D62" s="34">
        <f>+D58-D60</f>
        <v>0</v>
      </c>
      <c r="E62" s="14"/>
      <c r="F62" s="31">
        <f>IF(D$12=0,0,D62/D$12)</f>
        <v>0</v>
      </c>
      <c r="G62" s="14"/>
      <c r="H62" s="34">
        <f>+H58-H60</f>
        <v>-46589.189999999995</v>
      </c>
      <c r="I62" s="14"/>
      <c r="J62" s="31">
        <f>IF(H$12=0,0,H62/H$12)</f>
        <v>0</v>
      </c>
      <c r="K62" s="15"/>
      <c r="L62" s="34">
        <f>D62-H62</f>
        <v>46589.189999999995</v>
      </c>
      <c r="M62" s="15"/>
      <c r="N62" s="31">
        <f>IF(H62=0,0,L62/H62)</f>
        <v>-1</v>
      </c>
      <c r="O62" s="29"/>
      <c r="P62" s="34">
        <f>+P58-P60</f>
        <v>-0.37000000000004318</v>
      </c>
      <c r="Q62" s="14"/>
      <c r="R62" s="31">
        <f>IF(P$12=0,0,P62/P$12)</f>
        <v>0</v>
      </c>
      <c r="S62" s="14"/>
      <c r="T62" s="34">
        <f>+T58-T60</f>
        <v>-519485.78</v>
      </c>
      <c r="U62" s="14"/>
      <c r="V62" s="31">
        <f>IF(T$12=0,0,T62/T$12)</f>
        <v>0</v>
      </c>
      <c r="W62" s="15"/>
      <c r="X62" s="34">
        <f>P62-T62</f>
        <v>519485.41000000003</v>
      </c>
      <c r="Y62" s="15"/>
      <c r="Z62" s="31">
        <f>IF(T62=0,0,X62/T62)</f>
        <v>-0.99999928775721258</v>
      </c>
    </row>
    <row r="63" spans="1:26" ht="15.75" thickTop="1" x14ac:dyDescent="0.25">
      <c r="A63" s="9"/>
      <c r="B63" s="9"/>
      <c r="C63" s="9"/>
      <c r="D63" s="3"/>
      <c r="E63" s="3"/>
      <c r="F63" s="8"/>
      <c r="G63" s="3"/>
      <c r="H63" s="3"/>
      <c r="I63" s="3"/>
      <c r="J63" s="8"/>
      <c r="K63" s="3"/>
      <c r="L63" s="3"/>
      <c r="M63" s="3"/>
      <c r="N63" s="8"/>
      <c r="P63" s="3"/>
      <c r="Q63" s="3"/>
      <c r="R63" s="8"/>
      <c r="S63" s="3"/>
      <c r="T63" s="3"/>
      <c r="U63" s="3"/>
      <c r="V63" s="8"/>
      <c r="W63" s="3"/>
      <c r="X63" s="3"/>
      <c r="Y63" s="3"/>
      <c r="Z63" s="8"/>
    </row>
    <row r="64" spans="1:26" x14ac:dyDescent="0.25">
      <c r="A64" s="9"/>
      <c r="B64" s="9"/>
      <c r="C64" s="9"/>
      <c r="D64" s="3"/>
      <c r="E64" s="3"/>
      <c r="F64" s="8"/>
      <c r="G64" s="3"/>
      <c r="H64" s="3"/>
      <c r="I64" s="3"/>
      <c r="J64" s="8"/>
      <c r="K64" s="3"/>
      <c r="L64" s="3"/>
      <c r="M64" s="3"/>
      <c r="N64" s="8"/>
      <c r="P64" s="3"/>
      <c r="Q64" s="3"/>
      <c r="R64" s="8"/>
      <c r="S64" s="3"/>
      <c r="T64" s="3"/>
      <c r="U64" s="3"/>
      <c r="V64" s="8"/>
      <c r="W64" s="3"/>
      <c r="X64" s="3"/>
      <c r="Y64" s="3"/>
      <c r="Z64" s="8"/>
    </row>
    <row r="65" spans="1:26" s="24" customFormat="1" ht="15.75" thickBot="1" x14ac:dyDescent="0.3">
      <c r="A65" s="11"/>
      <c r="B65" s="28" t="s">
        <v>293</v>
      </c>
      <c r="C65" s="28"/>
      <c r="D65" s="33">
        <f>SUM(D62:D64)</f>
        <v>0</v>
      </c>
      <c r="E65" s="14"/>
      <c r="F65" s="35">
        <f>IF(D$12=0,0,D65/D$12)</f>
        <v>0</v>
      </c>
      <c r="G65" s="14"/>
      <c r="H65" s="33">
        <f>SUM(H62:H64)</f>
        <v>-46589.189999999995</v>
      </c>
      <c r="I65" s="14"/>
      <c r="J65" s="35">
        <f>IF(H$12=0,0,H65/H$12)</f>
        <v>0</v>
      </c>
      <c r="K65" s="15"/>
      <c r="L65" s="33">
        <f>+D65-H65</f>
        <v>46589.189999999995</v>
      </c>
      <c r="M65" s="15"/>
      <c r="N65" s="35">
        <f>IF(H65=0,0,L65/H65)</f>
        <v>-1</v>
      </c>
      <c r="O65" s="29"/>
      <c r="P65" s="33">
        <f>SUM(P62:P64)</f>
        <v>-0.37000000000004318</v>
      </c>
      <c r="Q65" s="14"/>
      <c r="R65" s="35">
        <f>IF(P$12=0,0,P65/P$12)</f>
        <v>0</v>
      </c>
      <c r="S65" s="14"/>
      <c r="T65" s="33">
        <f>SUM(T62:T64)</f>
        <v>-519485.78</v>
      </c>
      <c r="U65" s="14"/>
      <c r="V65" s="35">
        <f>IF(T$12=0,0,T65/T$12)</f>
        <v>0</v>
      </c>
      <c r="W65" s="15"/>
      <c r="X65" s="33">
        <f>+P65-T65</f>
        <v>519485.41000000003</v>
      </c>
      <c r="Y65" s="15"/>
      <c r="Z65" s="35">
        <f>IF(T65=0,0,X65/T65)</f>
        <v>-0.99999928775721258</v>
      </c>
    </row>
    <row r="66" spans="1:26" ht="15.75" thickTop="1" x14ac:dyDescent="0.25">
      <c r="A66" s="9"/>
      <c r="C66" s="9"/>
      <c r="D66" s="18"/>
      <c r="E66" s="18"/>
      <c r="G66" s="18"/>
      <c r="H66" s="18"/>
      <c r="I66" s="18"/>
      <c r="J66" s="43"/>
      <c r="K66" s="18"/>
      <c r="L66" s="18"/>
      <c r="M66" s="18"/>
      <c r="P66" s="18"/>
      <c r="Q66" s="18"/>
      <c r="R66" s="43"/>
      <c r="S66" s="18"/>
      <c r="T66" s="18"/>
      <c r="U66" s="18"/>
      <c r="V66" s="43"/>
      <c r="W66" s="18"/>
      <c r="X66" s="18"/>
    </row>
    <row r="67" spans="1:26" x14ac:dyDescent="0.25">
      <c r="A67" s="9"/>
      <c r="B67" s="56">
        <v>44454.698585613427</v>
      </c>
      <c r="D67" s="18"/>
      <c r="E67" s="18"/>
      <c r="G67" s="18"/>
      <c r="H67" s="18"/>
      <c r="I67" s="18"/>
      <c r="J67" s="43"/>
      <c r="K67" s="18"/>
      <c r="L67" s="18"/>
      <c r="M67" s="18"/>
      <c r="P67" s="18"/>
      <c r="Q67" s="18"/>
      <c r="R67" s="43"/>
      <c r="S67" s="18"/>
      <c r="T67" s="18"/>
      <c r="U67" s="18"/>
      <c r="V67" s="43"/>
      <c r="W67" s="18"/>
      <c r="X67" s="18"/>
    </row>
    <row r="68" spans="1:26" x14ac:dyDescent="0.25">
      <c r="A68" s="9"/>
      <c r="B68" s="55" t="s">
        <v>56</v>
      </c>
      <c r="D68" s="18"/>
      <c r="E68" s="18"/>
      <c r="G68" s="18"/>
      <c r="H68" s="18"/>
      <c r="I68" s="18"/>
      <c r="J68" s="43"/>
      <c r="K68" s="18"/>
      <c r="L68" s="18"/>
      <c r="M68" s="18"/>
      <c r="P68" s="18"/>
      <c r="Q68" s="18"/>
      <c r="R68" s="43"/>
      <c r="S68" s="18"/>
      <c r="T68" s="18"/>
      <c r="U68" s="18"/>
      <c r="V68" s="43"/>
      <c r="W68" s="18"/>
      <c r="X68" s="18"/>
    </row>
    <row r="69" spans="1:26" x14ac:dyDescent="0.25">
      <c r="A69" s="9"/>
      <c r="B69" s="60"/>
      <c r="D69" s="18"/>
      <c r="E69" s="18"/>
      <c r="G69" s="18"/>
      <c r="H69" s="18"/>
      <c r="I69" s="18"/>
      <c r="J69" s="43"/>
      <c r="K69" s="18"/>
      <c r="L69" s="18"/>
      <c r="M69" s="18"/>
      <c r="P69" s="18"/>
      <c r="Q69" s="18"/>
      <c r="R69" s="43"/>
      <c r="S69" s="18"/>
      <c r="T69" s="18"/>
      <c r="U69" s="18"/>
      <c r="V69" s="43"/>
      <c r="W69" s="18"/>
      <c r="X69" s="18"/>
    </row>
    <row r="70" spans="1:26" x14ac:dyDescent="0.25">
      <c r="D70" s="18"/>
      <c r="E70" s="18"/>
      <c r="G70" s="18"/>
      <c r="H70" s="18"/>
      <c r="I70" s="18"/>
      <c r="J70" s="43"/>
      <c r="K70" s="18"/>
      <c r="L70" s="18"/>
      <c r="M70" s="18"/>
      <c r="P70" s="18"/>
      <c r="Q70" s="18"/>
      <c r="R70" s="43"/>
      <c r="S70" s="18"/>
      <c r="T70" s="18"/>
      <c r="U70" s="18"/>
      <c r="V70" s="43"/>
      <c r="W70" s="18"/>
      <c r="X70" s="18"/>
    </row>
  </sheetData>
  <pageMargins left="0.25" right="0.25" top="0.75" bottom="0.75" header="0.3" footer="0.3"/>
  <pageSetup scale="55" fitToWidth="2" orientation="landscape"/>
  <drawing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rgb="FFFFFF00"/>
    <outlinePr summaryBelow="0" summaryRight="0"/>
  </sheetPr>
  <dimension ref="A2:Z172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62" t="s">
        <v>23</v>
      </c>
    </row>
    <row r="3" spans="1:26" x14ac:dyDescent="0.25">
      <c r="D3" s="62" t="s">
        <v>236</v>
      </c>
      <c r="E3" s="17"/>
      <c r="F3" s="46"/>
      <c r="G3" s="17"/>
      <c r="H3" s="17"/>
      <c r="I3" s="17"/>
      <c r="J3" s="38"/>
      <c r="K3" s="17"/>
      <c r="L3" s="17"/>
      <c r="M3" s="17"/>
      <c r="N3" s="46"/>
      <c r="O3" s="53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2" t="str">
        <f>CONCATENATE("Period ",RIGHT(202112,2),", ",2021)</f>
        <v>Period 12, 2021</v>
      </c>
      <c r="E4" s="17"/>
      <c r="F4" s="46"/>
      <c r="G4" s="17"/>
      <c r="H4" s="17"/>
      <c r="I4" s="17"/>
      <c r="J4" s="38"/>
      <c r="K4" s="17"/>
      <c r="L4" s="17"/>
      <c r="M4" s="17"/>
      <c r="N4" s="46"/>
      <c r="O4" s="53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4"/>
      <c r="D5" s="63">
        <v>44377</v>
      </c>
      <c r="E5" s="17"/>
      <c r="F5" s="46"/>
      <c r="G5" s="17"/>
      <c r="H5" s="17"/>
      <c r="I5" s="17"/>
      <c r="J5" s="38"/>
      <c r="K5" s="17"/>
      <c r="L5" s="17"/>
      <c r="M5" s="17"/>
      <c r="N5" s="46"/>
      <c r="O5" s="53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4"/>
      <c r="B6" s="48"/>
      <c r="C6" s="48"/>
      <c r="D6" s="24" t="s">
        <v>80</v>
      </c>
      <c r="E6" s="17"/>
      <c r="F6" s="46"/>
      <c r="G6" s="17"/>
      <c r="H6" s="17"/>
      <c r="I6" s="17"/>
      <c r="J6" s="38"/>
      <c r="K6" s="17"/>
      <c r="L6" s="17"/>
      <c r="M6" s="17"/>
      <c r="N6" s="46"/>
      <c r="O6" s="54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9"/>
    </row>
    <row r="8" spans="1:26" x14ac:dyDescent="0.25">
      <c r="B8" s="59"/>
    </row>
    <row r="9" spans="1:26" x14ac:dyDescent="0.25">
      <c r="B9" s="9"/>
      <c r="C9" s="9"/>
      <c r="D9" s="16" t="s">
        <v>291</v>
      </c>
      <c r="E9" s="16"/>
      <c r="F9" s="39"/>
      <c r="G9" s="16"/>
      <c r="H9" s="16"/>
      <c r="I9" s="16"/>
      <c r="J9" s="49"/>
      <c r="K9" s="16"/>
      <c r="L9" s="16"/>
      <c r="M9" s="16"/>
      <c r="N9" s="39"/>
      <c r="P9" s="16" t="s">
        <v>39</v>
      </c>
      <c r="Q9" s="16"/>
      <c r="R9" s="39"/>
      <c r="S9" s="16"/>
      <c r="T9" s="16"/>
      <c r="U9" s="16"/>
      <c r="V9" s="49"/>
      <c r="W9" s="16"/>
      <c r="X9" s="16"/>
      <c r="Y9" s="16"/>
      <c r="Z9" s="39"/>
    </row>
    <row r="10" spans="1:26" x14ac:dyDescent="0.25">
      <c r="A10" s="11"/>
      <c r="B10" s="58"/>
      <c r="C10" s="11"/>
      <c r="D10" s="42" t="s">
        <v>57</v>
      </c>
      <c r="E10" s="36"/>
      <c r="F10" s="30" t="s">
        <v>40</v>
      </c>
      <c r="G10" s="36"/>
      <c r="H10" s="50" t="s">
        <v>237</v>
      </c>
      <c r="I10" s="36"/>
      <c r="J10" s="30" t="s">
        <v>40</v>
      </c>
      <c r="K10" s="11"/>
      <c r="L10" s="42" t="s">
        <v>126</v>
      </c>
      <c r="M10" s="11"/>
      <c r="N10" s="30" t="s">
        <v>257</v>
      </c>
      <c r="O10" s="11"/>
      <c r="P10" s="61" t="s">
        <v>57</v>
      </c>
      <c r="Q10" s="36"/>
      <c r="R10" s="30" t="s">
        <v>40</v>
      </c>
      <c r="S10" s="36"/>
      <c r="T10" s="50" t="s">
        <v>237</v>
      </c>
      <c r="U10" s="36"/>
      <c r="V10" s="30" t="s">
        <v>40</v>
      </c>
      <c r="W10" s="11"/>
      <c r="X10" s="42" t="s">
        <v>126</v>
      </c>
      <c r="Y10" s="11"/>
      <c r="Z10" s="30" t="s">
        <v>257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4" customFormat="1" collapsed="1" x14ac:dyDescent="0.25">
      <c r="A12" s="11"/>
      <c r="B12" s="29" t="s">
        <v>139</v>
      </c>
      <c r="C12" s="11"/>
      <c r="D12" s="4">
        <f>SUM(OSRRefD13x_0)</f>
        <v>0</v>
      </c>
      <c r="E12" s="4"/>
      <c r="F12" s="13"/>
      <c r="G12" s="4"/>
      <c r="H12" s="4">
        <f>SUM(OSRRefH13x_0)</f>
        <v>10535.519999999999</v>
      </c>
      <c r="I12" s="4"/>
      <c r="J12" s="13"/>
      <c r="K12" s="4"/>
      <c r="L12" s="4">
        <f t="shared" ref="L12:L54" si="0">+D12-H12</f>
        <v>-10535.519999999999</v>
      </c>
      <c r="M12" s="4"/>
      <c r="N12" s="13">
        <f t="shared" ref="N12:N54" si="1">IF(H12=0,0,L12/H12)</f>
        <v>-1</v>
      </c>
      <c r="O12" s="11"/>
      <c r="P12" s="4">
        <f>SUM(OSRRefP13x_0)</f>
        <v>21311.919999999998</v>
      </c>
      <c r="Q12" s="4"/>
      <c r="R12" s="13"/>
      <c r="S12" s="4"/>
      <c r="T12" s="4">
        <f>SUM(OSRRefT13x_0)</f>
        <v>832217.70999999985</v>
      </c>
      <c r="U12" s="4"/>
      <c r="V12" s="13"/>
      <c r="W12" s="4"/>
      <c r="X12" s="4">
        <f t="shared" ref="X12:X54" si="2">+P12-T12</f>
        <v>-810905.7899999998</v>
      </c>
      <c r="Y12" s="4"/>
      <c r="Z12" s="13">
        <f t="shared" ref="Z12:Z54" si="3">IF(T12=0,0,X12/T12)</f>
        <v>-0.97439141255477479</v>
      </c>
    </row>
    <row r="13" spans="1:26" s="23" customFormat="1" hidden="1" outlineLevel="1" x14ac:dyDescent="0.25">
      <c r="A13" s="44"/>
      <c r="B13" s="10" t="str">
        <f>CONCATENATE("          ", "4000", " - ", "TAXABLE SALES")</f>
        <v xml:space="preserve">          4000 - TAXABLE SALES</v>
      </c>
      <c r="C13" s="10"/>
      <c r="D13" s="2">
        <f t="shared" ref="D13:D54" si="4">0</f>
        <v>0</v>
      </c>
      <c r="E13" s="2"/>
      <c r="F13" s="19"/>
      <c r="G13" s="2"/>
      <c r="H13" s="2">
        <f t="shared" ref="H13:H15" si="5">0</f>
        <v>0</v>
      </c>
      <c r="I13" s="2"/>
      <c r="J13" s="19"/>
      <c r="K13" s="2"/>
      <c r="L13" s="2">
        <f t="shared" si="0"/>
        <v>0</v>
      </c>
      <c r="M13" s="2"/>
      <c r="N13" s="19">
        <f t="shared" si="1"/>
        <v>0</v>
      </c>
      <c r="O13" s="10"/>
      <c r="P13" s="2">
        <f>-1096.44</f>
        <v>-1096.44</v>
      </c>
      <c r="Q13" s="2"/>
      <c r="R13" s="19"/>
      <c r="S13" s="2"/>
      <c r="T13" s="2">
        <f>0</f>
        <v>0</v>
      </c>
      <c r="U13" s="2"/>
      <c r="V13" s="19"/>
      <c r="W13" s="2"/>
      <c r="X13" s="2">
        <f t="shared" si="2"/>
        <v>-1096.44</v>
      </c>
      <c r="Y13" s="2"/>
      <c r="Z13" s="19">
        <f t="shared" si="3"/>
        <v>0</v>
      </c>
    </row>
    <row r="14" spans="1:26" s="23" customFormat="1" hidden="1" outlineLevel="1" x14ac:dyDescent="0.25">
      <c r="A14" s="44"/>
      <c r="B14" s="10" t="str">
        <f>CONCATENATE("          ", "4017", " - ", "TAXABLE SALES-DORM/HOUSEWARES")</f>
        <v xml:space="preserve">          4017 - TAXABLE SALES-DORM/HOUSEWARES</v>
      </c>
      <c r="C14" s="10"/>
      <c r="D14" s="2">
        <f t="shared" si="4"/>
        <v>0</v>
      </c>
      <c r="E14" s="2"/>
      <c r="F14" s="19"/>
      <c r="G14" s="2"/>
      <c r="H14" s="2">
        <f t="shared" si="5"/>
        <v>0</v>
      </c>
      <c r="I14" s="2"/>
      <c r="J14" s="19"/>
      <c r="K14" s="2"/>
      <c r="L14" s="2">
        <f t="shared" si="0"/>
        <v>0</v>
      </c>
      <c r="M14" s="2"/>
      <c r="N14" s="19">
        <f t="shared" si="1"/>
        <v>0</v>
      </c>
      <c r="O14" s="10"/>
      <c r="P14" s="2">
        <f t="shared" ref="P14:P16" si="6">0</f>
        <v>0</v>
      </c>
      <c r="Q14" s="2"/>
      <c r="R14" s="19"/>
      <c r="S14" s="2"/>
      <c r="T14" s="2">
        <f>--347.52</f>
        <v>347.52</v>
      </c>
      <c r="U14" s="2"/>
      <c r="V14" s="19"/>
      <c r="W14" s="2"/>
      <c r="X14" s="2">
        <f t="shared" si="2"/>
        <v>-347.52</v>
      </c>
      <c r="Y14" s="2"/>
      <c r="Z14" s="19">
        <f t="shared" si="3"/>
        <v>-1</v>
      </c>
    </row>
    <row r="15" spans="1:26" s="23" customFormat="1" hidden="1" outlineLevel="1" x14ac:dyDescent="0.25">
      <c r="A15" s="44"/>
      <c r="B15" s="10" t="str">
        <f>CONCATENATE("          ", "4019", " - ", "TAXABLE SALES-BOOK RELATED")</f>
        <v xml:space="preserve">          4019 - TAXABLE SALES-BOOK RELATED</v>
      </c>
      <c r="C15" s="10"/>
      <c r="D15" s="2">
        <f t="shared" si="4"/>
        <v>0</v>
      </c>
      <c r="E15" s="2"/>
      <c r="F15" s="19"/>
      <c r="G15" s="2"/>
      <c r="H15" s="2">
        <f t="shared" si="5"/>
        <v>0</v>
      </c>
      <c r="I15" s="2"/>
      <c r="J15" s="19"/>
      <c r="K15" s="2"/>
      <c r="L15" s="2">
        <f t="shared" si="0"/>
        <v>0</v>
      </c>
      <c r="M15" s="2"/>
      <c r="N15" s="19">
        <f t="shared" si="1"/>
        <v>0</v>
      </c>
      <c r="O15" s="10"/>
      <c r="P15" s="2">
        <f t="shared" si="6"/>
        <v>0</v>
      </c>
      <c r="Q15" s="2"/>
      <c r="R15" s="19"/>
      <c r="S15" s="2"/>
      <c r="T15" s="2">
        <f>--42.85</f>
        <v>42.85</v>
      </c>
      <c r="U15" s="2"/>
      <c r="V15" s="19"/>
      <c r="W15" s="2"/>
      <c r="X15" s="2">
        <f t="shared" si="2"/>
        <v>-42.85</v>
      </c>
      <c r="Y15" s="2"/>
      <c r="Z15" s="19">
        <f t="shared" si="3"/>
        <v>-1</v>
      </c>
    </row>
    <row r="16" spans="1:26" s="23" customFormat="1" hidden="1" outlineLevel="1" x14ac:dyDescent="0.25">
      <c r="A16" s="44"/>
      <c r="B16" s="10" t="str">
        <f>CONCATENATE("          ", "4025", " - ", "TAXABLE SALES-TEST FORMS")</f>
        <v xml:space="preserve">          4025 - TAXABLE SALES-TEST FORMS</v>
      </c>
      <c r="C16" s="10"/>
      <c r="D16" s="2">
        <f t="shared" si="4"/>
        <v>0</v>
      </c>
      <c r="E16" s="2"/>
      <c r="F16" s="19"/>
      <c r="G16" s="2"/>
      <c r="H16" s="2">
        <f>--3099.74</f>
        <v>3099.74</v>
      </c>
      <c r="I16" s="2"/>
      <c r="J16" s="19"/>
      <c r="K16" s="2"/>
      <c r="L16" s="2">
        <f t="shared" si="0"/>
        <v>-3099.74</v>
      </c>
      <c r="M16" s="2"/>
      <c r="N16" s="19">
        <f t="shared" si="1"/>
        <v>-1</v>
      </c>
      <c r="O16" s="10"/>
      <c r="P16" s="2">
        <f t="shared" si="6"/>
        <v>0</v>
      </c>
      <c r="Q16" s="2"/>
      <c r="R16" s="19"/>
      <c r="S16" s="2"/>
      <c r="T16" s="2">
        <f>--57806.23</f>
        <v>57806.23</v>
      </c>
      <c r="U16" s="2"/>
      <c r="V16" s="19"/>
      <c r="W16" s="2"/>
      <c r="X16" s="2">
        <f t="shared" si="2"/>
        <v>-57806.23</v>
      </c>
      <c r="Y16" s="2"/>
      <c r="Z16" s="19">
        <f t="shared" si="3"/>
        <v>-1</v>
      </c>
    </row>
    <row r="17" spans="1:26" s="23" customFormat="1" hidden="1" outlineLevel="1" x14ac:dyDescent="0.25">
      <c r="A17" s="44"/>
      <c r="B17" s="10" t="str">
        <f>CONCATENATE("          ", "4026", " - ", "TAXABLE SALES-WRITING INSTRUME")</f>
        <v xml:space="preserve">          4026 - TAXABLE SALES-WRITING INSTRUME</v>
      </c>
      <c r="C17" s="10"/>
      <c r="D17" s="2">
        <f t="shared" si="4"/>
        <v>0</v>
      </c>
      <c r="E17" s="2"/>
      <c r="F17" s="19"/>
      <c r="G17" s="2"/>
      <c r="H17" s="2">
        <f>--2531.99</f>
        <v>2531.9899999999998</v>
      </c>
      <c r="I17" s="2"/>
      <c r="J17" s="19"/>
      <c r="K17" s="2"/>
      <c r="L17" s="2">
        <f t="shared" si="0"/>
        <v>-2531.9899999999998</v>
      </c>
      <c r="M17" s="2"/>
      <c r="N17" s="19">
        <f t="shared" si="1"/>
        <v>-1</v>
      </c>
      <c r="O17" s="10"/>
      <c r="P17" s="2">
        <f>--17.51</f>
        <v>17.510000000000002</v>
      </c>
      <c r="Q17" s="2"/>
      <c r="R17" s="19"/>
      <c r="S17" s="2"/>
      <c r="T17" s="2">
        <f>--83111.97</f>
        <v>83111.97</v>
      </c>
      <c r="U17" s="2"/>
      <c r="V17" s="19"/>
      <c r="W17" s="2"/>
      <c r="X17" s="2">
        <f t="shared" si="2"/>
        <v>-83094.460000000006</v>
      </c>
      <c r="Y17" s="2"/>
      <c r="Z17" s="19">
        <f t="shared" si="3"/>
        <v>-0.99978932035902901</v>
      </c>
    </row>
    <row r="18" spans="1:26" s="23" customFormat="1" hidden="1" outlineLevel="1" x14ac:dyDescent="0.25">
      <c r="A18" s="44"/>
      <c r="B18" s="10" t="str">
        <f>CONCATENATE("          ", "4027", " - ", "TAXABLE SALES-SCHOOL SUPPLIES")</f>
        <v xml:space="preserve">          4027 - TAXABLE SALES-SCHOOL SUPPLIES</v>
      </c>
      <c r="C18" s="10"/>
      <c r="D18" s="2">
        <f t="shared" si="4"/>
        <v>0</v>
      </c>
      <c r="E18" s="2"/>
      <c r="F18" s="19"/>
      <c r="G18" s="2"/>
      <c r="H18" s="2">
        <f>--4073.06</f>
        <v>4073.06</v>
      </c>
      <c r="I18" s="2"/>
      <c r="J18" s="19"/>
      <c r="K18" s="2"/>
      <c r="L18" s="2">
        <f t="shared" si="0"/>
        <v>-4073.06</v>
      </c>
      <c r="M18" s="2"/>
      <c r="N18" s="19">
        <f t="shared" si="1"/>
        <v>-1</v>
      </c>
      <c r="O18" s="10"/>
      <c r="P18" s="2">
        <f>--7990.32</f>
        <v>7990.32</v>
      </c>
      <c r="Q18" s="2"/>
      <c r="R18" s="19"/>
      <c r="S18" s="2"/>
      <c r="T18" s="2">
        <f>--280688.54</f>
        <v>280688.53999999998</v>
      </c>
      <c r="U18" s="2"/>
      <c r="V18" s="19"/>
      <c r="W18" s="2"/>
      <c r="X18" s="2">
        <f t="shared" si="2"/>
        <v>-272698.21999999997</v>
      </c>
      <c r="Y18" s="2"/>
      <c r="Z18" s="19">
        <f t="shared" si="3"/>
        <v>-0.97153314488721199</v>
      </c>
    </row>
    <row r="19" spans="1:26" s="23" customFormat="1" hidden="1" outlineLevel="1" x14ac:dyDescent="0.25">
      <c r="A19" s="44"/>
      <c r="B19" s="10" t="str">
        <f>CONCATENATE("          ", "4028", " - ", "TAXABLE SALES-ART/TECH")</f>
        <v xml:space="preserve">          4028 - TAXABLE SALES-ART/TECH</v>
      </c>
      <c r="C19" s="10"/>
      <c r="D19" s="2">
        <f t="shared" si="4"/>
        <v>0</v>
      </c>
      <c r="E19" s="2"/>
      <c r="F19" s="19"/>
      <c r="G19" s="2"/>
      <c r="H19" s="2">
        <f>--386.59</f>
        <v>386.59</v>
      </c>
      <c r="I19" s="2"/>
      <c r="J19" s="19"/>
      <c r="K19" s="2"/>
      <c r="L19" s="2">
        <f t="shared" si="0"/>
        <v>-386.59</v>
      </c>
      <c r="M19" s="2"/>
      <c r="N19" s="19">
        <f t="shared" si="1"/>
        <v>-1</v>
      </c>
      <c r="O19" s="10"/>
      <c r="P19" s="2">
        <f>--12479.05</f>
        <v>12479.05</v>
      </c>
      <c r="Q19" s="2"/>
      <c r="R19" s="19"/>
      <c r="S19" s="2"/>
      <c r="T19" s="2">
        <f>--293577.64</f>
        <v>293577.64</v>
      </c>
      <c r="U19" s="2"/>
      <c r="V19" s="19"/>
      <c r="W19" s="2"/>
      <c r="X19" s="2">
        <f t="shared" si="2"/>
        <v>-281098.59000000003</v>
      </c>
      <c r="Y19" s="2"/>
      <c r="Z19" s="19">
        <f t="shared" si="3"/>
        <v>-0.95749318647019577</v>
      </c>
    </row>
    <row r="20" spans="1:26" s="23" customFormat="1" hidden="1" outlineLevel="1" x14ac:dyDescent="0.25">
      <c r="A20" s="44"/>
      <c r="B20" s="10" t="str">
        <f>CONCATENATE("          ", "4031", " - ", "TAXABLE SALES-FOOD")</f>
        <v xml:space="preserve">          4031 - TAXABLE SALES-FOOD</v>
      </c>
      <c r="C20" s="10"/>
      <c r="D20" s="2">
        <f t="shared" si="4"/>
        <v>0</v>
      </c>
      <c r="E20" s="2"/>
      <c r="F20" s="19"/>
      <c r="G20" s="2"/>
      <c r="H20" s="2">
        <f t="shared" ref="H20:H32" si="7">0</f>
        <v>0</v>
      </c>
      <c r="I20" s="2"/>
      <c r="J20" s="19"/>
      <c r="K20" s="2"/>
      <c r="L20" s="2">
        <f t="shared" si="0"/>
        <v>0</v>
      </c>
      <c r="M20" s="2"/>
      <c r="N20" s="19">
        <f t="shared" si="1"/>
        <v>0</v>
      </c>
      <c r="O20" s="10"/>
      <c r="P20" s="2">
        <f>--374.55</f>
        <v>374.55</v>
      </c>
      <c r="Q20" s="2"/>
      <c r="R20" s="19"/>
      <c r="S20" s="2"/>
      <c r="T20" s="2">
        <f>--486.34</f>
        <v>486.34</v>
      </c>
      <c r="U20" s="2"/>
      <c r="V20" s="19"/>
      <c r="W20" s="2"/>
      <c r="X20" s="2">
        <f t="shared" si="2"/>
        <v>-111.78999999999996</v>
      </c>
      <c r="Y20" s="2"/>
      <c r="Z20" s="19">
        <f t="shared" si="3"/>
        <v>-0.22985976888596449</v>
      </c>
    </row>
    <row r="21" spans="1:26" s="23" customFormat="1" hidden="1" outlineLevel="1" x14ac:dyDescent="0.25">
      <c r="A21" s="44"/>
      <c r="B21" s="10" t="str">
        <f>CONCATENATE("          ", "4032", " - ", "TAXABLE SALES-JUICE")</f>
        <v xml:space="preserve">          4032 - TAXABLE SALES-JUICE</v>
      </c>
      <c r="C21" s="10"/>
      <c r="D21" s="2">
        <f t="shared" si="4"/>
        <v>0</v>
      </c>
      <c r="E21" s="2"/>
      <c r="F21" s="19"/>
      <c r="G21" s="2"/>
      <c r="H21" s="2">
        <f t="shared" si="7"/>
        <v>0</v>
      </c>
      <c r="I21" s="2"/>
      <c r="J21" s="19"/>
      <c r="K21" s="2"/>
      <c r="L21" s="2">
        <f t="shared" si="0"/>
        <v>0</v>
      </c>
      <c r="M21" s="2"/>
      <c r="N21" s="19">
        <f t="shared" si="1"/>
        <v>0</v>
      </c>
      <c r="O21" s="10"/>
      <c r="P21" s="2">
        <f t="shared" ref="P21:P28" si="8">0</f>
        <v>0</v>
      </c>
      <c r="Q21" s="2"/>
      <c r="R21" s="19"/>
      <c r="S21" s="2"/>
      <c r="T21" s="2">
        <f>--1905.06</f>
        <v>1905.06</v>
      </c>
      <c r="U21" s="2"/>
      <c r="V21" s="19"/>
      <c r="W21" s="2"/>
      <c r="X21" s="2">
        <f t="shared" si="2"/>
        <v>-1905.06</v>
      </c>
      <c r="Y21" s="2"/>
      <c r="Z21" s="19">
        <f t="shared" si="3"/>
        <v>-1</v>
      </c>
    </row>
    <row r="22" spans="1:26" s="23" customFormat="1" hidden="1" outlineLevel="1" x14ac:dyDescent="0.25">
      <c r="A22" s="44"/>
      <c r="B22" s="10" t="str">
        <f>CONCATENATE("          ", "4033", " - ", "TAXABLE SALES-CANDY")</f>
        <v xml:space="preserve">          4033 - TAXABLE SALES-CANDY</v>
      </c>
      <c r="C22" s="10"/>
      <c r="D22" s="2">
        <f t="shared" si="4"/>
        <v>0</v>
      </c>
      <c r="E22" s="2"/>
      <c r="F22" s="19"/>
      <c r="G22" s="2"/>
      <c r="H22" s="2">
        <f t="shared" si="7"/>
        <v>0</v>
      </c>
      <c r="I22" s="2"/>
      <c r="J22" s="19"/>
      <c r="K22" s="2"/>
      <c r="L22" s="2">
        <f t="shared" si="0"/>
        <v>0</v>
      </c>
      <c r="M22" s="2"/>
      <c r="N22" s="19">
        <f t="shared" si="1"/>
        <v>0</v>
      </c>
      <c r="O22" s="10"/>
      <c r="P22" s="2">
        <f t="shared" si="8"/>
        <v>0</v>
      </c>
      <c r="Q22" s="2"/>
      <c r="R22" s="19"/>
      <c r="S22" s="2"/>
      <c r="T22" s="2">
        <f>--205.53</f>
        <v>205.53</v>
      </c>
      <c r="U22" s="2"/>
      <c r="V22" s="19"/>
      <c r="W22" s="2"/>
      <c r="X22" s="2">
        <f t="shared" si="2"/>
        <v>-205.53</v>
      </c>
      <c r="Y22" s="2"/>
      <c r="Z22" s="19">
        <f t="shared" si="3"/>
        <v>-1</v>
      </c>
    </row>
    <row r="23" spans="1:26" s="23" customFormat="1" hidden="1" outlineLevel="1" x14ac:dyDescent="0.25">
      <c r="A23" s="44"/>
      <c r="B23" s="10" t="str">
        <f>CONCATENATE("          ", "4034", " - ", "TAXABLE SALES-SODA")</f>
        <v xml:space="preserve">          4034 - TAXABLE SALES-SODA</v>
      </c>
      <c r="C23" s="10"/>
      <c r="D23" s="2">
        <f t="shared" si="4"/>
        <v>0</v>
      </c>
      <c r="E23" s="2"/>
      <c r="F23" s="19"/>
      <c r="G23" s="2"/>
      <c r="H23" s="2">
        <f t="shared" si="7"/>
        <v>0</v>
      </c>
      <c r="I23" s="2"/>
      <c r="J23" s="19"/>
      <c r="K23" s="2"/>
      <c r="L23" s="2">
        <f t="shared" si="0"/>
        <v>0</v>
      </c>
      <c r="M23" s="2"/>
      <c r="N23" s="19">
        <f t="shared" si="1"/>
        <v>0</v>
      </c>
      <c r="O23" s="10"/>
      <c r="P23" s="2">
        <f t="shared" si="8"/>
        <v>0</v>
      </c>
      <c r="Q23" s="2"/>
      <c r="R23" s="19"/>
      <c r="S23" s="2"/>
      <c r="T23" s="2">
        <f>--7803.51</f>
        <v>7803.51</v>
      </c>
      <c r="U23" s="2"/>
      <c r="V23" s="19"/>
      <c r="W23" s="2"/>
      <c r="X23" s="2">
        <f t="shared" si="2"/>
        <v>-7803.51</v>
      </c>
      <c r="Y23" s="2"/>
      <c r="Z23" s="19">
        <f t="shared" si="3"/>
        <v>-1</v>
      </c>
    </row>
    <row r="24" spans="1:26" s="23" customFormat="1" hidden="1" outlineLevel="1" x14ac:dyDescent="0.25">
      <c r="A24" s="44"/>
      <c r="B24" s="10" t="str">
        <f>CONCATENATE("          ", "4035", " - ", "TAXABLE SALES-HEALTH &amp; BEAUTY")</f>
        <v xml:space="preserve">          4035 - TAXABLE SALES-HEALTH &amp; BEAUTY</v>
      </c>
      <c r="C24" s="10"/>
      <c r="D24" s="2">
        <f t="shared" si="4"/>
        <v>0</v>
      </c>
      <c r="E24" s="2"/>
      <c r="F24" s="19"/>
      <c r="G24" s="2"/>
      <c r="H24" s="2">
        <f t="shared" si="7"/>
        <v>0</v>
      </c>
      <c r="I24" s="2"/>
      <c r="J24" s="19"/>
      <c r="K24" s="2"/>
      <c r="L24" s="2">
        <f t="shared" si="0"/>
        <v>0</v>
      </c>
      <c r="M24" s="2"/>
      <c r="N24" s="19">
        <f t="shared" si="1"/>
        <v>0</v>
      </c>
      <c r="O24" s="10"/>
      <c r="P24" s="2">
        <f t="shared" si="8"/>
        <v>0</v>
      </c>
      <c r="Q24" s="2"/>
      <c r="R24" s="19"/>
      <c r="S24" s="2"/>
      <c r="T24" s="2">
        <f>--1981.84</f>
        <v>1981.84</v>
      </c>
      <c r="U24" s="2"/>
      <c r="V24" s="19"/>
      <c r="W24" s="2"/>
      <c r="X24" s="2">
        <f t="shared" si="2"/>
        <v>-1981.84</v>
      </c>
      <c r="Y24" s="2"/>
      <c r="Z24" s="19">
        <f t="shared" si="3"/>
        <v>-1</v>
      </c>
    </row>
    <row r="25" spans="1:26" s="23" customFormat="1" hidden="1" outlineLevel="1" x14ac:dyDescent="0.25">
      <c r="A25" s="44"/>
      <c r="B25" s="10" t="str">
        <f>CONCATENATE("          ", "4037", " - ", "TAXABLE SALES-WATER")</f>
        <v xml:space="preserve">          4037 - TAXABLE SALES-WATER</v>
      </c>
      <c r="C25" s="10"/>
      <c r="D25" s="2">
        <f t="shared" si="4"/>
        <v>0</v>
      </c>
      <c r="E25" s="2"/>
      <c r="F25" s="19"/>
      <c r="G25" s="2"/>
      <c r="H25" s="2">
        <f t="shared" si="7"/>
        <v>0</v>
      </c>
      <c r="I25" s="2"/>
      <c r="J25" s="19"/>
      <c r="K25" s="2"/>
      <c r="L25" s="2">
        <f t="shared" si="0"/>
        <v>0</v>
      </c>
      <c r="M25" s="2"/>
      <c r="N25" s="19">
        <f t="shared" si="1"/>
        <v>0</v>
      </c>
      <c r="O25" s="10"/>
      <c r="P25" s="2">
        <f t="shared" si="8"/>
        <v>0</v>
      </c>
      <c r="Q25" s="2"/>
      <c r="R25" s="19"/>
      <c r="S25" s="2"/>
      <c r="T25" s="2">
        <f>--513.51</f>
        <v>513.51</v>
      </c>
      <c r="U25" s="2"/>
      <c r="V25" s="19"/>
      <c r="W25" s="2"/>
      <c r="X25" s="2">
        <f t="shared" si="2"/>
        <v>-513.51</v>
      </c>
      <c r="Y25" s="2"/>
      <c r="Z25" s="19">
        <f t="shared" si="3"/>
        <v>-1</v>
      </c>
    </row>
    <row r="26" spans="1:26" s="23" customFormat="1" hidden="1" outlineLevel="1" x14ac:dyDescent="0.25">
      <c r="A26" s="44"/>
      <c r="B26" s="10" t="str">
        <f>CONCATENATE("          ", "4041", " - ", "TAXABLE SALES-LOGO GIFTS")</f>
        <v xml:space="preserve">          4041 - TAXABLE SALES-LOGO GIFTS</v>
      </c>
      <c r="C26" s="10"/>
      <c r="D26" s="2">
        <f t="shared" si="4"/>
        <v>0</v>
      </c>
      <c r="E26" s="2"/>
      <c r="F26" s="19"/>
      <c r="G26" s="2"/>
      <c r="H26" s="2">
        <f t="shared" si="7"/>
        <v>0</v>
      </c>
      <c r="I26" s="2"/>
      <c r="J26" s="19"/>
      <c r="K26" s="2"/>
      <c r="L26" s="2">
        <f t="shared" si="0"/>
        <v>0</v>
      </c>
      <c r="M26" s="2"/>
      <c r="N26" s="19">
        <f t="shared" si="1"/>
        <v>0</v>
      </c>
      <c r="O26" s="10"/>
      <c r="P26" s="2">
        <f t="shared" si="8"/>
        <v>0</v>
      </c>
      <c r="Q26" s="2"/>
      <c r="R26" s="19"/>
      <c r="S26" s="2"/>
      <c r="T26" s="2">
        <f>--494.2</f>
        <v>494.2</v>
      </c>
      <c r="U26" s="2"/>
      <c r="V26" s="19"/>
      <c r="W26" s="2"/>
      <c r="X26" s="2">
        <f t="shared" si="2"/>
        <v>-494.2</v>
      </c>
      <c r="Y26" s="2"/>
      <c r="Z26" s="19">
        <f t="shared" si="3"/>
        <v>-1</v>
      </c>
    </row>
    <row r="27" spans="1:26" s="23" customFormat="1" hidden="1" outlineLevel="1" x14ac:dyDescent="0.25">
      <c r="A27" s="44"/>
      <c r="B27" s="10" t="str">
        <f>CONCATENATE("          ", "4042", " - ", "TAXABLE SALES-EVERYDAY GIFTS")</f>
        <v xml:space="preserve">          4042 - TAXABLE SALES-EVERYDAY GIFTS</v>
      </c>
      <c r="C27" s="10"/>
      <c r="D27" s="2">
        <f t="shared" si="4"/>
        <v>0</v>
      </c>
      <c r="E27" s="2"/>
      <c r="F27" s="19"/>
      <c r="G27" s="2"/>
      <c r="H27" s="2">
        <f t="shared" si="7"/>
        <v>0</v>
      </c>
      <c r="I27" s="2"/>
      <c r="J27" s="19"/>
      <c r="K27" s="2"/>
      <c r="L27" s="2">
        <f t="shared" si="0"/>
        <v>0</v>
      </c>
      <c r="M27" s="2"/>
      <c r="N27" s="19">
        <f t="shared" si="1"/>
        <v>0</v>
      </c>
      <c r="O27" s="10"/>
      <c r="P27" s="2">
        <f t="shared" si="8"/>
        <v>0</v>
      </c>
      <c r="Q27" s="2"/>
      <c r="R27" s="19"/>
      <c r="S27" s="2"/>
      <c r="T27" s="2">
        <f>--583.7</f>
        <v>583.70000000000005</v>
      </c>
      <c r="U27" s="2"/>
      <c r="V27" s="19"/>
      <c r="W27" s="2"/>
      <c r="X27" s="2">
        <f t="shared" si="2"/>
        <v>-583.70000000000005</v>
      </c>
      <c r="Y27" s="2"/>
      <c r="Z27" s="19">
        <f t="shared" si="3"/>
        <v>-1</v>
      </c>
    </row>
    <row r="28" spans="1:26" s="23" customFormat="1" hidden="1" outlineLevel="1" x14ac:dyDescent="0.25">
      <c r="A28" s="44"/>
      <c r="B28" s="10" t="str">
        <f>CONCATENATE("          ", "4044", " - ", "TAXABLE SALES-ACCESSORIES")</f>
        <v xml:space="preserve">          4044 - TAXABLE SALES-ACCESSORIES</v>
      </c>
      <c r="C28" s="10"/>
      <c r="D28" s="2">
        <f t="shared" si="4"/>
        <v>0</v>
      </c>
      <c r="E28" s="2"/>
      <c r="F28" s="19"/>
      <c r="G28" s="2"/>
      <c r="H28" s="2">
        <f t="shared" si="7"/>
        <v>0</v>
      </c>
      <c r="I28" s="2"/>
      <c r="J28" s="19"/>
      <c r="K28" s="2"/>
      <c r="L28" s="2">
        <f t="shared" si="0"/>
        <v>0</v>
      </c>
      <c r="M28" s="2"/>
      <c r="N28" s="19">
        <f t="shared" si="1"/>
        <v>0</v>
      </c>
      <c r="O28" s="10"/>
      <c r="P28" s="2">
        <f t="shared" si="8"/>
        <v>0</v>
      </c>
      <c r="Q28" s="2"/>
      <c r="R28" s="19"/>
      <c r="S28" s="2"/>
      <c r="T28" s="2">
        <f>--179.5</f>
        <v>179.5</v>
      </c>
      <c r="U28" s="2"/>
      <c r="V28" s="19"/>
      <c r="W28" s="2"/>
      <c r="X28" s="2">
        <f t="shared" si="2"/>
        <v>-179.5</v>
      </c>
      <c r="Y28" s="2"/>
      <c r="Z28" s="19">
        <f t="shared" si="3"/>
        <v>-1</v>
      </c>
    </row>
    <row r="29" spans="1:26" s="23" customFormat="1" hidden="1" outlineLevel="1" x14ac:dyDescent="0.25">
      <c r="A29" s="44"/>
      <c r="B29" s="10" t="str">
        <f>CONCATENATE("          ", "4081", " - ", "TAXABLE SALES-ELECTRONICS")</f>
        <v xml:space="preserve">          4081 - TAXABLE SALES-ELECTRONICS</v>
      </c>
      <c r="C29" s="10"/>
      <c r="D29" s="2">
        <f t="shared" si="4"/>
        <v>0</v>
      </c>
      <c r="E29" s="2"/>
      <c r="F29" s="19"/>
      <c r="G29" s="2"/>
      <c r="H29" s="2">
        <f t="shared" si="7"/>
        <v>0</v>
      </c>
      <c r="I29" s="2"/>
      <c r="J29" s="19"/>
      <c r="K29" s="2"/>
      <c r="L29" s="2">
        <f t="shared" si="0"/>
        <v>0</v>
      </c>
      <c r="M29" s="2"/>
      <c r="N29" s="19">
        <f t="shared" si="1"/>
        <v>0</v>
      </c>
      <c r="O29" s="10"/>
      <c r="P29" s="2">
        <f>--71.95</f>
        <v>71.95</v>
      </c>
      <c r="Q29" s="2"/>
      <c r="R29" s="19"/>
      <c r="S29" s="2"/>
      <c r="T29" s="2">
        <f>--3174.93</f>
        <v>3174.93</v>
      </c>
      <c r="U29" s="2"/>
      <c r="V29" s="19"/>
      <c r="W29" s="2"/>
      <c r="X29" s="2">
        <f t="shared" si="2"/>
        <v>-3102.98</v>
      </c>
      <c r="Y29" s="2"/>
      <c r="Z29" s="19">
        <f t="shared" si="3"/>
        <v>-0.97733808304435066</v>
      </c>
    </row>
    <row r="30" spans="1:26" s="23" customFormat="1" hidden="1" outlineLevel="1" x14ac:dyDescent="0.25">
      <c r="A30" s="44"/>
      <c r="B30" s="10" t="str">
        <f>CONCATENATE("          ", "4082", " - ", "TAXABLE SALES-COMPUTER HARDWAR")</f>
        <v xml:space="preserve">          4082 - TAXABLE SALES-COMPUTER HARDWAR</v>
      </c>
      <c r="C30" s="10"/>
      <c r="D30" s="2">
        <f t="shared" si="4"/>
        <v>0</v>
      </c>
      <c r="E30" s="2"/>
      <c r="F30" s="19"/>
      <c r="G30" s="2"/>
      <c r="H30" s="2">
        <f t="shared" si="7"/>
        <v>0</v>
      </c>
      <c r="I30" s="2"/>
      <c r="J30" s="19"/>
      <c r="K30" s="2"/>
      <c r="L30" s="2">
        <f t="shared" si="0"/>
        <v>0</v>
      </c>
      <c r="M30" s="2"/>
      <c r="N30" s="19">
        <f t="shared" si="1"/>
        <v>0</v>
      </c>
      <c r="O30" s="10"/>
      <c r="P30" s="2">
        <f>0</f>
        <v>0</v>
      </c>
      <c r="Q30" s="2"/>
      <c r="R30" s="19"/>
      <c r="S30" s="2"/>
      <c r="T30" s="2">
        <f>--363.94</f>
        <v>363.94</v>
      </c>
      <c r="U30" s="2"/>
      <c r="V30" s="19"/>
      <c r="W30" s="2"/>
      <c r="X30" s="2">
        <f t="shared" si="2"/>
        <v>-363.94</v>
      </c>
      <c r="Y30" s="2"/>
      <c r="Z30" s="19">
        <f t="shared" si="3"/>
        <v>-1</v>
      </c>
    </row>
    <row r="31" spans="1:26" s="23" customFormat="1" hidden="1" outlineLevel="1" x14ac:dyDescent="0.25">
      <c r="A31" s="44"/>
      <c r="B31" s="10" t="str">
        <f>CONCATENATE("          ", "4083", " - ", "TAXABLE SALES-COMPUTER EQUIPME")</f>
        <v xml:space="preserve">          4083 - TAXABLE SALES-COMPUTER EQUIPME</v>
      </c>
      <c r="C31" s="10"/>
      <c r="D31" s="2">
        <f t="shared" si="4"/>
        <v>0</v>
      </c>
      <c r="E31" s="2"/>
      <c r="F31" s="19"/>
      <c r="G31" s="2"/>
      <c r="H31" s="2">
        <f t="shared" si="7"/>
        <v>0</v>
      </c>
      <c r="I31" s="2"/>
      <c r="J31" s="19"/>
      <c r="K31" s="2"/>
      <c r="L31" s="2">
        <f t="shared" si="0"/>
        <v>0</v>
      </c>
      <c r="M31" s="2"/>
      <c r="N31" s="19">
        <f t="shared" si="1"/>
        <v>0</v>
      </c>
      <c r="O31" s="10"/>
      <c r="P31" s="2">
        <f>--9.99</f>
        <v>9.99</v>
      </c>
      <c r="Q31" s="2"/>
      <c r="R31" s="19"/>
      <c r="S31" s="2"/>
      <c r="T31" s="2">
        <f>--914.33</f>
        <v>914.33</v>
      </c>
      <c r="U31" s="2"/>
      <c r="V31" s="19"/>
      <c r="W31" s="2"/>
      <c r="X31" s="2">
        <f t="shared" si="2"/>
        <v>-904.34</v>
      </c>
      <c r="Y31" s="2"/>
      <c r="Z31" s="19">
        <f t="shared" si="3"/>
        <v>-0.98907396672973646</v>
      </c>
    </row>
    <row r="32" spans="1:26" s="23" customFormat="1" hidden="1" outlineLevel="1" x14ac:dyDescent="0.25">
      <c r="A32" s="44"/>
      <c r="B32" s="10" t="str">
        <f>CONCATENATE("          ", "4086", " - ", "TAXABLE SALES-COMPUTER SUPPLIE")</f>
        <v xml:space="preserve">          4086 - TAXABLE SALES-COMPUTER SUPPLIE</v>
      </c>
      <c r="C32" s="10"/>
      <c r="D32" s="2">
        <f t="shared" si="4"/>
        <v>0</v>
      </c>
      <c r="E32" s="2"/>
      <c r="F32" s="19"/>
      <c r="G32" s="2"/>
      <c r="H32" s="2">
        <f t="shared" si="7"/>
        <v>0</v>
      </c>
      <c r="I32" s="2"/>
      <c r="J32" s="19"/>
      <c r="K32" s="2"/>
      <c r="L32" s="2">
        <f t="shared" si="0"/>
        <v>0</v>
      </c>
      <c r="M32" s="2"/>
      <c r="N32" s="19">
        <f t="shared" si="1"/>
        <v>0</v>
      </c>
      <c r="O32" s="10"/>
      <c r="P32" s="2">
        <f t="shared" ref="P32:P36" si="9">0</f>
        <v>0</v>
      </c>
      <c r="Q32" s="2"/>
      <c r="R32" s="19"/>
      <c r="S32" s="2"/>
      <c r="T32" s="2">
        <f>--813.74</f>
        <v>813.74</v>
      </c>
      <c r="U32" s="2"/>
      <c r="V32" s="19"/>
      <c r="W32" s="2"/>
      <c r="X32" s="2">
        <f t="shared" si="2"/>
        <v>-813.74</v>
      </c>
      <c r="Y32" s="2"/>
      <c r="Z32" s="19">
        <f t="shared" si="3"/>
        <v>-1</v>
      </c>
    </row>
    <row r="33" spans="1:26" s="23" customFormat="1" hidden="1" outlineLevel="1" x14ac:dyDescent="0.25">
      <c r="A33" s="44"/>
      <c r="B33" s="10" t="str">
        <f>CONCATENATE("          ", "4125", " - ", "NON-TAXABLE SALES-TEST FORMS")</f>
        <v xml:space="preserve">          4125 - NON-TAXABLE SALES-TEST FORMS</v>
      </c>
      <c r="C33" s="10"/>
      <c r="D33" s="2">
        <f t="shared" si="4"/>
        <v>0</v>
      </c>
      <c r="E33" s="2"/>
      <c r="F33" s="19"/>
      <c r="G33" s="2"/>
      <c r="H33" s="2">
        <f>--185</f>
        <v>185</v>
      </c>
      <c r="I33" s="2"/>
      <c r="J33" s="19"/>
      <c r="K33" s="2"/>
      <c r="L33" s="2">
        <f t="shared" si="0"/>
        <v>-185</v>
      </c>
      <c r="M33" s="2"/>
      <c r="N33" s="19">
        <f t="shared" si="1"/>
        <v>-1</v>
      </c>
      <c r="O33" s="10"/>
      <c r="P33" s="2">
        <f t="shared" si="9"/>
        <v>0</v>
      </c>
      <c r="Q33" s="2"/>
      <c r="R33" s="19"/>
      <c r="S33" s="2"/>
      <c r="T33" s="2">
        <f>--452.61</f>
        <v>452.61</v>
      </c>
      <c r="U33" s="2"/>
      <c r="V33" s="19"/>
      <c r="W33" s="2"/>
      <c r="X33" s="2">
        <f t="shared" si="2"/>
        <v>-452.61</v>
      </c>
      <c r="Y33" s="2"/>
      <c r="Z33" s="19">
        <f t="shared" si="3"/>
        <v>-1</v>
      </c>
    </row>
    <row r="34" spans="1:26" s="23" customFormat="1" hidden="1" outlineLevel="1" x14ac:dyDescent="0.25">
      <c r="A34" s="44"/>
      <c r="B34" s="10" t="str">
        <f>CONCATENATE("          ", "4126", " - ", "NON-TAXABLE SALES-WRITING INST")</f>
        <v xml:space="preserve">          4126 - NON-TAXABLE SALES-WRITING INST</v>
      </c>
      <c r="C34" s="10"/>
      <c r="D34" s="2">
        <f t="shared" si="4"/>
        <v>0</v>
      </c>
      <c r="E34" s="2"/>
      <c r="F34" s="19"/>
      <c r="G34" s="2"/>
      <c r="H34" s="2">
        <f>--168.02</f>
        <v>168.02</v>
      </c>
      <c r="I34" s="2"/>
      <c r="J34" s="19"/>
      <c r="K34" s="2"/>
      <c r="L34" s="2">
        <f t="shared" si="0"/>
        <v>-168.02</v>
      </c>
      <c r="M34" s="2"/>
      <c r="N34" s="19">
        <f t="shared" si="1"/>
        <v>-1</v>
      </c>
      <c r="O34" s="10"/>
      <c r="P34" s="2">
        <f t="shared" si="9"/>
        <v>0</v>
      </c>
      <c r="Q34" s="2"/>
      <c r="R34" s="19"/>
      <c r="S34" s="2"/>
      <c r="T34" s="2">
        <f>--3301.44</f>
        <v>3301.44</v>
      </c>
      <c r="U34" s="2"/>
      <c r="V34" s="19"/>
      <c r="W34" s="2"/>
      <c r="X34" s="2">
        <f t="shared" si="2"/>
        <v>-3301.44</v>
      </c>
      <c r="Y34" s="2"/>
      <c r="Z34" s="19">
        <f t="shared" si="3"/>
        <v>-1</v>
      </c>
    </row>
    <row r="35" spans="1:26" s="23" customFormat="1" hidden="1" outlineLevel="1" x14ac:dyDescent="0.25">
      <c r="A35" s="44"/>
      <c r="B35" s="10" t="str">
        <f>CONCATENATE("          ", "4127", " - ", "NON-TAXABLE SALES-SCHOOL SUPPL")</f>
        <v xml:space="preserve">          4127 - NON-TAXABLE SALES-SCHOOL SUPPL</v>
      </c>
      <c r="C35" s="10"/>
      <c r="D35" s="2">
        <f t="shared" si="4"/>
        <v>0</v>
      </c>
      <c r="E35" s="2"/>
      <c r="F35" s="19"/>
      <c r="G35" s="2"/>
      <c r="H35" s="2">
        <f>--97.62</f>
        <v>97.62</v>
      </c>
      <c r="I35" s="2"/>
      <c r="J35" s="19"/>
      <c r="K35" s="2"/>
      <c r="L35" s="2">
        <f t="shared" si="0"/>
        <v>-97.62</v>
      </c>
      <c r="M35" s="2"/>
      <c r="N35" s="19">
        <f t="shared" si="1"/>
        <v>-1</v>
      </c>
      <c r="O35" s="10"/>
      <c r="P35" s="2">
        <f t="shared" si="9"/>
        <v>0</v>
      </c>
      <c r="Q35" s="2"/>
      <c r="R35" s="19"/>
      <c r="S35" s="2"/>
      <c r="T35" s="2">
        <f>--6471.33</f>
        <v>6471.33</v>
      </c>
      <c r="U35" s="2"/>
      <c r="V35" s="19"/>
      <c r="W35" s="2"/>
      <c r="X35" s="2">
        <f t="shared" si="2"/>
        <v>-6471.33</v>
      </c>
      <c r="Y35" s="2"/>
      <c r="Z35" s="19">
        <f t="shared" si="3"/>
        <v>-1</v>
      </c>
    </row>
    <row r="36" spans="1:26" s="23" customFormat="1" hidden="1" outlineLevel="1" x14ac:dyDescent="0.25">
      <c r="A36" s="44"/>
      <c r="B36" s="10" t="str">
        <f>CONCATENATE("          ", "4128", " - ", "NON-TAXABLE SALES-ART/TECH")</f>
        <v xml:space="preserve">          4128 - NON-TAXABLE SALES-ART/TECH</v>
      </c>
      <c r="C36" s="10"/>
      <c r="D36" s="2">
        <f t="shared" si="4"/>
        <v>0</v>
      </c>
      <c r="E36" s="2"/>
      <c r="F36" s="19"/>
      <c r="G36" s="2"/>
      <c r="H36" s="2">
        <f>--0.74</f>
        <v>0.74</v>
      </c>
      <c r="I36" s="2"/>
      <c r="J36" s="19"/>
      <c r="K36" s="2"/>
      <c r="L36" s="2">
        <f t="shared" si="0"/>
        <v>-0.74</v>
      </c>
      <c r="M36" s="2"/>
      <c r="N36" s="19">
        <f t="shared" si="1"/>
        <v>-1</v>
      </c>
      <c r="O36" s="10"/>
      <c r="P36" s="2">
        <f t="shared" si="9"/>
        <v>0</v>
      </c>
      <c r="Q36" s="2"/>
      <c r="R36" s="19"/>
      <c r="S36" s="2"/>
      <c r="T36" s="2">
        <f>--731.36</f>
        <v>731.36</v>
      </c>
      <c r="U36" s="2"/>
      <c r="V36" s="19"/>
      <c r="W36" s="2"/>
      <c r="X36" s="2">
        <f t="shared" si="2"/>
        <v>-731.36</v>
      </c>
      <c r="Y36" s="2"/>
      <c r="Z36" s="19">
        <f t="shared" si="3"/>
        <v>-1</v>
      </c>
    </row>
    <row r="37" spans="1:26" s="23" customFormat="1" hidden="1" outlineLevel="1" x14ac:dyDescent="0.25">
      <c r="A37" s="44"/>
      <c r="B37" s="10" t="str">
        <f>CONCATENATE("          ", "4131", " - ", "NON-TAXABLE SALES-FOOD")</f>
        <v xml:space="preserve">          4131 - NON-TAXABLE SALES-FOOD</v>
      </c>
      <c r="C37" s="10"/>
      <c r="D37" s="2">
        <f t="shared" si="4"/>
        <v>0</v>
      </c>
      <c r="E37" s="2"/>
      <c r="F37" s="19"/>
      <c r="G37" s="2"/>
      <c r="H37" s="2">
        <f>--64.14</f>
        <v>64.14</v>
      </c>
      <c r="I37" s="2"/>
      <c r="J37" s="19"/>
      <c r="K37" s="2"/>
      <c r="L37" s="2">
        <f t="shared" si="0"/>
        <v>-64.14</v>
      </c>
      <c r="M37" s="2"/>
      <c r="N37" s="19">
        <f t="shared" si="1"/>
        <v>-1</v>
      </c>
      <c r="O37" s="10"/>
      <c r="P37" s="2">
        <f>--1847.16</f>
        <v>1847.16</v>
      </c>
      <c r="Q37" s="2"/>
      <c r="R37" s="19"/>
      <c r="S37" s="2"/>
      <c r="T37" s="2">
        <f>--57957.84</f>
        <v>57957.84</v>
      </c>
      <c r="U37" s="2"/>
      <c r="V37" s="19"/>
      <c r="W37" s="2"/>
      <c r="X37" s="2">
        <f t="shared" si="2"/>
        <v>-56110.679999999993</v>
      </c>
      <c r="Y37" s="2"/>
      <c r="Z37" s="19">
        <f t="shared" si="3"/>
        <v>-0.9681292470526851</v>
      </c>
    </row>
    <row r="38" spans="1:26" s="23" customFormat="1" hidden="1" outlineLevel="1" x14ac:dyDescent="0.25">
      <c r="A38" s="44"/>
      <c r="B38" s="10" t="str">
        <f>CONCATENATE("          ", "4132", " - ", "NON-TAXABLE SALES-JUICE")</f>
        <v xml:space="preserve">          4132 - NON-TAXABLE SALES-JUICE</v>
      </c>
      <c r="C38" s="10"/>
      <c r="D38" s="2">
        <f t="shared" si="4"/>
        <v>0</v>
      </c>
      <c r="E38" s="2"/>
      <c r="F38" s="19"/>
      <c r="G38" s="2"/>
      <c r="H38" s="2">
        <f>0</f>
        <v>0</v>
      </c>
      <c r="I38" s="2"/>
      <c r="J38" s="19"/>
      <c r="K38" s="2"/>
      <c r="L38" s="2">
        <f t="shared" si="0"/>
        <v>0</v>
      </c>
      <c r="M38" s="2"/>
      <c r="N38" s="19">
        <f t="shared" si="1"/>
        <v>0</v>
      </c>
      <c r="O38" s="10"/>
      <c r="P38" s="2">
        <f t="shared" ref="P38:P46" si="10">0</f>
        <v>0</v>
      </c>
      <c r="Q38" s="2"/>
      <c r="R38" s="19"/>
      <c r="S38" s="2"/>
      <c r="T38" s="2">
        <f>--16199.63</f>
        <v>16199.63</v>
      </c>
      <c r="U38" s="2"/>
      <c r="V38" s="19"/>
      <c r="W38" s="2"/>
      <c r="X38" s="2">
        <f t="shared" si="2"/>
        <v>-16199.63</v>
      </c>
      <c r="Y38" s="2"/>
      <c r="Z38" s="19">
        <f t="shared" si="3"/>
        <v>-1</v>
      </c>
    </row>
    <row r="39" spans="1:26" s="23" customFormat="1" hidden="1" outlineLevel="1" x14ac:dyDescent="0.25">
      <c r="A39" s="44"/>
      <c r="B39" s="10" t="str">
        <f>CONCATENATE("          ", "4133", " - ", "NON-TAXABLE SALES-CANDY")</f>
        <v xml:space="preserve">          4133 - NON-TAXABLE SALES-CANDY</v>
      </c>
      <c r="C39" s="10"/>
      <c r="D39" s="2">
        <f t="shared" si="4"/>
        <v>0</v>
      </c>
      <c r="E39" s="2"/>
      <c r="F39" s="19"/>
      <c r="G39" s="2"/>
      <c r="H39" s="2">
        <f>--13.47</f>
        <v>13.47</v>
      </c>
      <c r="I39" s="2"/>
      <c r="J39" s="19"/>
      <c r="K39" s="2"/>
      <c r="L39" s="2">
        <f t="shared" si="0"/>
        <v>-13.47</v>
      </c>
      <c r="M39" s="2"/>
      <c r="N39" s="19">
        <f t="shared" si="1"/>
        <v>-1</v>
      </c>
      <c r="O39" s="10"/>
      <c r="P39" s="2">
        <f t="shared" si="10"/>
        <v>0</v>
      </c>
      <c r="Q39" s="2"/>
      <c r="R39" s="19"/>
      <c r="S39" s="2"/>
      <c r="T39" s="2">
        <f>--18150.2</f>
        <v>18150.2</v>
      </c>
      <c r="U39" s="2"/>
      <c r="V39" s="19"/>
      <c r="W39" s="2"/>
      <c r="X39" s="2">
        <f t="shared" si="2"/>
        <v>-18150.2</v>
      </c>
      <c r="Y39" s="2"/>
      <c r="Z39" s="19">
        <f t="shared" si="3"/>
        <v>-1</v>
      </c>
    </row>
    <row r="40" spans="1:26" s="23" customFormat="1" hidden="1" outlineLevel="1" x14ac:dyDescent="0.25">
      <c r="A40" s="44"/>
      <c r="B40" s="10" t="str">
        <f>CONCATENATE("          ", "4134", " - ", "NON-TAXABLE SALES-SODA")</f>
        <v xml:space="preserve">          4134 - NON-TAXABLE SALES-SODA</v>
      </c>
      <c r="C40" s="10"/>
      <c r="D40" s="2">
        <f t="shared" si="4"/>
        <v>0</v>
      </c>
      <c r="E40" s="2"/>
      <c r="F40" s="19"/>
      <c r="G40" s="2"/>
      <c r="H40" s="2">
        <f t="shared" ref="H40:H46" si="11">0</f>
        <v>0</v>
      </c>
      <c r="I40" s="2"/>
      <c r="J40" s="19"/>
      <c r="K40" s="2"/>
      <c r="L40" s="2">
        <f t="shared" si="0"/>
        <v>0</v>
      </c>
      <c r="M40" s="2"/>
      <c r="N40" s="19">
        <f t="shared" si="1"/>
        <v>0</v>
      </c>
      <c r="O40" s="10"/>
      <c r="P40" s="2">
        <f t="shared" si="10"/>
        <v>0</v>
      </c>
      <c r="Q40" s="2"/>
      <c r="R40" s="19"/>
      <c r="S40" s="2"/>
      <c r="T40" s="2">
        <f>--1.89</f>
        <v>1.89</v>
      </c>
      <c r="U40" s="2"/>
      <c r="V40" s="19"/>
      <c r="W40" s="2"/>
      <c r="X40" s="2">
        <f t="shared" si="2"/>
        <v>-1.89</v>
      </c>
      <c r="Y40" s="2"/>
      <c r="Z40" s="19">
        <f t="shared" si="3"/>
        <v>-1</v>
      </c>
    </row>
    <row r="41" spans="1:26" s="23" customFormat="1" hidden="1" outlineLevel="1" x14ac:dyDescent="0.25">
      <c r="A41" s="44"/>
      <c r="B41" s="10" t="str">
        <f>CONCATENATE("          ", "4135", " - ", "NON-TAXABLE SALES")</f>
        <v xml:space="preserve">          4135 - NON-TAXABLE SALES</v>
      </c>
      <c r="C41" s="10"/>
      <c r="D41" s="2">
        <f t="shared" si="4"/>
        <v>0</v>
      </c>
      <c r="E41" s="2"/>
      <c r="F41" s="19"/>
      <c r="G41" s="2"/>
      <c r="H41" s="2">
        <f t="shared" si="11"/>
        <v>0</v>
      </c>
      <c r="I41" s="2"/>
      <c r="J41" s="19"/>
      <c r="K41" s="2"/>
      <c r="L41" s="2">
        <f t="shared" si="0"/>
        <v>0</v>
      </c>
      <c r="M41" s="2"/>
      <c r="N41" s="19">
        <f t="shared" si="1"/>
        <v>0</v>
      </c>
      <c r="O41" s="10"/>
      <c r="P41" s="2">
        <f t="shared" si="10"/>
        <v>0</v>
      </c>
      <c r="Q41" s="2"/>
      <c r="R41" s="19"/>
      <c r="S41" s="2"/>
      <c r="T41" s="2">
        <f>--161.4</f>
        <v>161.4</v>
      </c>
      <c r="U41" s="2"/>
      <c r="V41" s="19"/>
      <c r="W41" s="2"/>
      <c r="X41" s="2">
        <f t="shared" si="2"/>
        <v>-161.4</v>
      </c>
      <c r="Y41" s="2"/>
      <c r="Z41" s="19">
        <f t="shared" si="3"/>
        <v>-1</v>
      </c>
    </row>
    <row r="42" spans="1:26" s="23" customFormat="1" hidden="1" outlineLevel="1" x14ac:dyDescent="0.25">
      <c r="A42" s="44"/>
      <c r="B42" s="10" t="str">
        <f>CONCATENATE("          ", "4137", " - ", "NON-TAXABLE SALES-WATER")</f>
        <v xml:space="preserve">          4137 - NON-TAXABLE SALES-WATER</v>
      </c>
      <c r="C42" s="10"/>
      <c r="D42" s="2">
        <f t="shared" si="4"/>
        <v>0</v>
      </c>
      <c r="E42" s="2"/>
      <c r="F42" s="19"/>
      <c r="G42" s="2"/>
      <c r="H42" s="2">
        <f t="shared" si="11"/>
        <v>0</v>
      </c>
      <c r="I42" s="2"/>
      <c r="J42" s="19"/>
      <c r="K42" s="2"/>
      <c r="L42" s="2">
        <f t="shared" si="0"/>
        <v>0</v>
      </c>
      <c r="M42" s="2"/>
      <c r="N42" s="19">
        <f t="shared" si="1"/>
        <v>0</v>
      </c>
      <c r="O42" s="10"/>
      <c r="P42" s="2">
        <f t="shared" si="10"/>
        <v>0</v>
      </c>
      <c r="Q42" s="2"/>
      <c r="R42" s="19"/>
      <c r="S42" s="2"/>
      <c r="T42" s="2">
        <f>--8396.06</f>
        <v>8396.06</v>
      </c>
      <c r="U42" s="2"/>
      <c r="V42" s="19"/>
      <c r="W42" s="2"/>
      <c r="X42" s="2">
        <f t="shared" si="2"/>
        <v>-8396.06</v>
      </c>
      <c r="Y42" s="2"/>
      <c r="Z42" s="19">
        <f t="shared" si="3"/>
        <v>-1</v>
      </c>
    </row>
    <row r="43" spans="1:26" s="23" customFormat="1" hidden="1" outlineLevel="1" x14ac:dyDescent="0.25">
      <c r="A43" s="44"/>
      <c r="B43" s="10" t="str">
        <f>CONCATENATE("          ", "4186", " - ", "NON-TAXABLE SALES-COMPUTER SUP")</f>
        <v xml:space="preserve">          4186 - NON-TAXABLE SALES-COMPUTER SUP</v>
      </c>
      <c r="C43" s="10"/>
      <c r="D43" s="2">
        <f t="shared" si="4"/>
        <v>0</v>
      </c>
      <c r="E43" s="2"/>
      <c r="F43" s="19"/>
      <c r="G43" s="2"/>
      <c r="H43" s="2">
        <f t="shared" si="11"/>
        <v>0</v>
      </c>
      <c r="I43" s="2"/>
      <c r="J43" s="19"/>
      <c r="K43" s="2"/>
      <c r="L43" s="2">
        <f t="shared" si="0"/>
        <v>0</v>
      </c>
      <c r="M43" s="2"/>
      <c r="N43" s="19">
        <f t="shared" si="1"/>
        <v>0</v>
      </c>
      <c r="O43" s="10"/>
      <c r="P43" s="2">
        <f t="shared" si="10"/>
        <v>0</v>
      </c>
      <c r="Q43" s="2"/>
      <c r="R43" s="19"/>
      <c r="S43" s="2"/>
      <c r="T43" s="2">
        <f>-30.97</f>
        <v>-30.97</v>
      </c>
      <c r="U43" s="2"/>
      <c r="V43" s="19"/>
      <c r="W43" s="2"/>
      <c r="X43" s="2">
        <f t="shared" si="2"/>
        <v>30.97</v>
      </c>
      <c r="Y43" s="2"/>
      <c r="Z43" s="19">
        <f t="shared" si="3"/>
        <v>-1</v>
      </c>
    </row>
    <row r="44" spans="1:26" s="23" customFormat="1" hidden="1" outlineLevel="1" x14ac:dyDescent="0.25">
      <c r="A44" s="44"/>
      <c r="B44" s="10" t="str">
        <f>CONCATENATE("          ", "4217", " - ", "NON-TAXABLE SALES-DORM/HOUSEWA")</f>
        <v xml:space="preserve">          4217 - NON-TAXABLE SALES-DORM/HOUSEWA</v>
      </c>
      <c r="C44" s="10"/>
      <c r="D44" s="2">
        <f t="shared" si="4"/>
        <v>0</v>
      </c>
      <c r="E44" s="2"/>
      <c r="F44" s="19"/>
      <c r="G44" s="2"/>
      <c r="H44" s="2">
        <f t="shared" si="11"/>
        <v>0</v>
      </c>
      <c r="I44" s="2"/>
      <c r="J44" s="19"/>
      <c r="K44" s="2"/>
      <c r="L44" s="2">
        <f t="shared" si="0"/>
        <v>0</v>
      </c>
      <c r="M44" s="2"/>
      <c r="N44" s="19">
        <f t="shared" si="1"/>
        <v>0</v>
      </c>
      <c r="O44" s="10"/>
      <c r="P44" s="2">
        <f t="shared" si="10"/>
        <v>0</v>
      </c>
      <c r="Q44" s="2"/>
      <c r="R44" s="19"/>
      <c r="S44" s="2"/>
      <c r="T44" s="2">
        <f>-2.98</f>
        <v>-2.98</v>
      </c>
      <c r="U44" s="2"/>
      <c r="V44" s="19"/>
      <c r="W44" s="2"/>
      <c r="X44" s="2">
        <f t="shared" si="2"/>
        <v>2.98</v>
      </c>
      <c r="Y44" s="2"/>
      <c r="Z44" s="19">
        <f t="shared" si="3"/>
        <v>-1</v>
      </c>
    </row>
    <row r="45" spans="1:26" s="23" customFormat="1" hidden="1" outlineLevel="1" x14ac:dyDescent="0.25">
      <c r="A45" s="44"/>
      <c r="B45" s="10" t="str">
        <f>CONCATENATE("          ", "4225", " - ", "SALES RETURN TAXABLE-TEST FORM")</f>
        <v xml:space="preserve">          4225 - SALES RETURN TAXABLE-TEST FORM</v>
      </c>
      <c r="C45" s="10"/>
      <c r="D45" s="2">
        <f t="shared" si="4"/>
        <v>0</v>
      </c>
      <c r="E45" s="2"/>
      <c r="F45" s="19"/>
      <c r="G45" s="2"/>
      <c r="H45" s="2">
        <f t="shared" si="11"/>
        <v>0</v>
      </c>
      <c r="I45" s="2"/>
      <c r="J45" s="19"/>
      <c r="K45" s="2"/>
      <c r="L45" s="2">
        <f t="shared" si="0"/>
        <v>0</v>
      </c>
      <c r="M45" s="2"/>
      <c r="N45" s="19">
        <f t="shared" si="1"/>
        <v>0</v>
      </c>
      <c r="O45" s="10"/>
      <c r="P45" s="2">
        <f t="shared" si="10"/>
        <v>0</v>
      </c>
      <c r="Q45" s="2"/>
      <c r="R45" s="19"/>
      <c r="S45" s="2"/>
      <c r="T45" s="2">
        <f>-205.91</f>
        <v>-205.91</v>
      </c>
      <c r="U45" s="2"/>
      <c r="V45" s="19"/>
      <c r="W45" s="2"/>
      <c r="X45" s="2">
        <f t="shared" si="2"/>
        <v>205.91</v>
      </c>
      <c r="Y45" s="2"/>
      <c r="Z45" s="19">
        <f t="shared" si="3"/>
        <v>-1</v>
      </c>
    </row>
    <row r="46" spans="1:26" s="23" customFormat="1" hidden="1" outlineLevel="1" x14ac:dyDescent="0.25">
      <c r="A46" s="44"/>
      <c r="B46" s="10" t="str">
        <f>CONCATENATE("          ", "4226", " - ", "SALES RETURN TAXABLE-WRITING I")</f>
        <v xml:space="preserve">          4226 - SALES RETURN TAXABLE-WRITING I</v>
      </c>
      <c r="C46" s="10"/>
      <c r="D46" s="2">
        <f t="shared" si="4"/>
        <v>0</v>
      </c>
      <c r="E46" s="2"/>
      <c r="F46" s="19"/>
      <c r="G46" s="2"/>
      <c r="H46" s="2">
        <f t="shared" si="11"/>
        <v>0</v>
      </c>
      <c r="I46" s="2"/>
      <c r="J46" s="19"/>
      <c r="K46" s="2"/>
      <c r="L46" s="2">
        <f t="shared" si="0"/>
        <v>0</v>
      </c>
      <c r="M46" s="2"/>
      <c r="N46" s="19">
        <f t="shared" si="1"/>
        <v>0</v>
      </c>
      <c r="O46" s="10"/>
      <c r="P46" s="2">
        <f t="shared" si="10"/>
        <v>0</v>
      </c>
      <c r="Q46" s="2"/>
      <c r="R46" s="19"/>
      <c r="S46" s="2"/>
      <c r="T46" s="2">
        <f>-789.64</f>
        <v>-789.64</v>
      </c>
      <c r="U46" s="2"/>
      <c r="V46" s="19"/>
      <c r="W46" s="2"/>
      <c r="X46" s="2">
        <f t="shared" si="2"/>
        <v>789.64</v>
      </c>
      <c r="Y46" s="2"/>
      <c r="Z46" s="19">
        <f t="shared" si="3"/>
        <v>-1</v>
      </c>
    </row>
    <row r="47" spans="1:26" s="23" customFormat="1" hidden="1" outlineLevel="1" x14ac:dyDescent="0.25">
      <c r="A47" s="44"/>
      <c r="B47" s="10" t="str">
        <f>CONCATENATE("          ", "4227", " - ", "SALES RETURN TAXABLE-SCHOOL SU")</f>
        <v xml:space="preserve">          4227 - SALES RETURN TAXABLE-SCHOOL SU</v>
      </c>
      <c r="C47" s="10"/>
      <c r="D47" s="2">
        <f t="shared" si="4"/>
        <v>0</v>
      </c>
      <c r="E47" s="2"/>
      <c r="F47" s="19"/>
      <c r="G47" s="2"/>
      <c r="H47" s="2">
        <f>-81.87</f>
        <v>-81.87</v>
      </c>
      <c r="I47" s="2"/>
      <c r="J47" s="19"/>
      <c r="K47" s="2"/>
      <c r="L47" s="2">
        <f t="shared" si="0"/>
        <v>81.87</v>
      </c>
      <c r="M47" s="2"/>
      <c r="N47" s="19">
        <f t="shared" si="1"/>
        <v>-1</v>
      </c>
      <c r="O47" s="10"/>
      <c r="P47" s="2">
        <f>-159.97</f>
        <v>-159.97</v>
      </c>
      <c r="Q47" s="2"/>
      <c r="R47" s="19"/>
      <c r="S47" s="2"/>
      <c r="T47" s="2">
        <f>-8728.9</f>
        <v>-8728.9</v>
      </c>
      <c r="U47" s="2"/>
      <c r="V47" s="19"/>
      <c r="W47" s="2"/>
      <c r="X47" s="2">
        <f t="shared" si="2"/>
        <v>8568.93</v>
      </c>
      <c r="Y47" s="2"/>
      <c r="Z47" s="19">
        <f t="shared" si="3"/>
        <v>-0.98167352129134267</v>
      </c>
    </row>
    <row r="48" spans="1:26" s="23" customFormat="1" hidden="1" outlineLevel="1" x14ac:dyDescent="0.25">
      <c r="A48" s="44"/>
      <c r="B48" s="10" t="str">
        <f>CONCATENATE("          ", "4228", " - ", "SALES RETURN TAXABLE-ART/TECH")</f>
        <v xml:space="preserve">          4228 - SALES RETURN TAXABLE-ART/TECH</v>
      </c>
      <c r="C48" s="10"/>
      <c r="D48" s="2">
        <f t="shared" si="4"/>
        <v>0</v>
      </c>
      <c r="E48" s="2"/>
      <c r="F48" s="19"/>
      <c r="G48" s="2"/>
      <c r="H48" s="2">
        <f t="shared" ref="H48:H50" si="12">0</f>
        <v>0</v>
      </c>
      <c r="I48" s="2"/>
      <c r="J48" s="19"/>
      <c r="K48" s="2"/>
      <c r="L48" s="2">
        <f t="shared" si="0"/>
        <v>0</v>
      </c>
      <c r="M48" s="2"/>
      <c r="N48" s="19">
        <f t="shared" si="1"/>
        <v>0</v>
      </c>
      <c r="O48" s="10"/>
      <c r="P48" s="2">
        <f>-222.2</f>
        <v>-222.2</v>
      </c>
      <c r="Q48" s="2"/>
      <c r="R48" s="19"/>
      <c r="S48" s="2"/>
      <c r="T48" s="2">
        <f>-4739.1</f>
        <v>-4739.1000000000004</v>
      </c>
      <c r="U48" s="2"/>
      <c r="V48" s="19"/>
      <c r="W48" s="2"/>
      <c r="X48" s="2">
        <f t="shared" si="2"/>
        <v>4516.9000000000005</v>
      </c>
      <c r="Y48" s="2"/>
      <c r="Z48" s="19">
        <f t="shared" si="3"/>
        <v>-0.9531134603616721</v>
      </c>
    </row>
    <row r="49" spans="1:26" s="23" customFormat="1" hidden="1" outlineLevel="1" x14ac:dyDescent="0.25">
      <c r="A49" s="44"/>
      <c r="B49" s="10" t="str">
        <f>CONCATENATE("          ", "4233", " - ", "SALES RETURN TAXABLE-CANDY")</f>
        <v xml:space="preserve">          4233 - SALES RETURN TAXABLE-CANDY</v>
      </c>
      <c r="C49" s="10"/>
      <c r="D49" s="2">
        <f t="shared" si="4"/>
        <v>0</v>
      </c>
      <c r="E49" s="2"/>
      <c r="F49" s="19"/>
      <c r="G49" s="2"/>
      <c r="H49" s="2">
        <f t="shared" si="12"/>
        <v>0</v>
      </c>
      <c r="I49" s="2"/>
      <c r="J49" s="19"/>
      <c r="K49" s="2"/>
      <c r="L49" s="2">
        <f t="shared" si="0"/>
        <v>0</v>
      </c>
      <c r="M49" s="2"/>
      <c r="N49" s="19">
        <f t="shared" si="1"/>
        <v>0</v>
      </c>
      <c r="O49" s="10"/>
      <c r="P49" s="2">
        <f t="shared" ref="P49:P54" si="13">0</f>
        <v>0</v>
      </c>
      <c r="Q49" s="2"/>
      <c r="R49" s="19"/>
      <c r="S49" s="2"/>
      <c r="T49" s="2">
        <f>-8.25</f>
        <v>-8.25</v>
      </c>
      <c r="U49" s="2"/>
      <c r="V49" s="19"/>
      <c r="W49" s="2"/>
      <c r="X49" s="2">
        <f t="shared" si="2"/>
        <v>8.25</v>
      </c>
      <c r="Y49" s="2"/>
      <c r="Z49" s="19">
        <f t="shared" si="3"/>
        <v>-1</v>
      </c>
    </row>
    <row r="50" spans="1:26" s="23" customFormat="1" hidden="1" outlineLevel="1" x14ac:dyDescent="0.25">
      <c r="A50" s="44"/>
      <c r="B50" s="10" t="str">
        <f>CONCATENATE("          ", "4281", " - ", "SALES RETURN TAXABLE-ELECTRONI")</f>
        <v xml:space="preserve">          4281 - SALES RETURN TAXABLE-ELECTRONI</v>
      </c>
      <c r="C50" s="10"/>
      <c r="D50" s="2">
        <f t="shared" si="4"/>
        <v>0</v>
      </c>
      <c r="E50" s="2"/>
      <c r="F50" s="19"/>
      <c r="G50" s="2"/>
      <c r="H50" s="2">
        <f t="shared" si="12"/>
        <v>0</v>
      </c>
      <c r="I50" s="2"/>
      <c r="J50" s="19"/>
      <c r="K50" s="2"/>
      <c r="L50" s="2">
        <f t="shared" si="0"/>
        <v>0</v>
      </c>
      <c r="M50" s="2"/>
      <c r="N50" s="19">
        <f t="shared" si="1"/>
        <v>0</v>
      </c>
      <c r="O50" s="10"/>
      <c r="P50" s="2">
        <f t="shared" si="13"/>
        <v>0</v>
      </c>
      <c r="Q50" s="2"/>
      <c r="R50" s="19"/>
      <c r="S50" s="2"/>
      <c r="T50" s="2">
        <f>-54.97</f>
        <v>-54.97</v>
      </c>
      <c r="U50" s="2"/>
      <c r="V50" s="19"/>
      <c r="W50" s="2"/>
      <c r="X50" s="2">
        <f t="shared" si="2"/>
        <v>54.97</v>
      </c>
      <c r="Y50" s="2"/>
      <c r="Z50" s="19">
        <f t="shared" si="3"/>
        <v>-1</v>
      </c>
    </row>
    <row r="51" spans="1:26" s="23" customFormat="1" hidden="1" outlineLevel="1" x14ac:dyDescent="0.25">
      <c r="A51" s="44"/>
      <c r="B51" s="10" t="str">
        <f>CONCATENATE("          ", "4326", " - ", "SALES RETURN NON TAXABLE-WRITI")</f>
        <v xml:space="preserve">          4326 - SALES RETURN NON TAXABLE-WRITI</v>
      </c>
      <c r="C51" s="10"/>
      <c r="D51" s="2">
        <f t="shared" si="4"/>
        <v>0</v>
      </c>
      <c r="E51" s="2"/>
      <c r="F51" s="19"/>
      <c r="G51" s="2"/>
      <c r="H51" s="2">
        <f>-2.98</f>
        <v>-2.98</v>
      </c>
      <c r="I51" s="2"/>
      <c r="J51" s="19"/>
      <c r="K51" s="2"/>
      <c r="L51" s="2">
        <f t="shared" si="0"/>
        <v>2.98</v>
      </c>
      <c r="M51" s="2"/>
      <c r="N51" s="19">
        <f t="shared" si="1"/>
        <v>-1</v>
      </c>
      <c r="O51" s="10"/>
      <c r="P51" s="2">
        <f t="shared" si="13"/>
        <v>0</v>
      </c>
      <c r="Q51" s="2"/>
      <c r="R51" s="19"/>
      <c r="S51" s="2"/>
      <c r="T51" s="2">
        <f>-2.98</f>
        <v>-2.98</v>
      </c>
      <c r="U51" s="2"/>
      <c r="V51" s="19"/>
      <c r="W51" s="2"/>
      <c r="X51" s="2">
        <f t="shared" si="2"/>
        <v>2.98</v>
      </c>
      <c r="Y51" s="2"/>
      <c r="Z51" s="19">
        <f t="shared" si="3"/>
        <v>-1</v>
      </c>
    </row>
    <row r="52" spans="1:26" s="23" customFormat="1" hidden="1" outlineLevel="1" x14ac:dyDescent="0.25">
      <c r="A52" s="44"/>
      <c r="B52" s="10" t="str">
        <f>CONCATENATE("          ", "4327", " - ", "SALES RETURN NON TAXABLE-SCHOO")</f>
        <v xml:space="preserve">          4327 - SALES RETURN NON TAXABLE-SCHOO</v>
      </c>
      <c r="C52" s="10"/>
      <c r="D52" s="2">
        <f t="shared" si="4"/>
        <v>0</v>
      </c>
      <c r="E52" s="2"/>
      <c r="F52" s="19"/>
      <c r="G52" s="2"/>
      <c r="H52" s="2">
        <f t="shared" ref="H52:H54" si="14">0</f>
        <v>0</v>
      </c>
      <c r="I52" s="2"/>
      <c r="J52" s="19"/>
      <c r="K52" s="2"/>
      <c r="L52" s="2">
        <f t="shared" si="0"/>
        <v>0</v>
      </c>
      <c r="M52" s="2"/>
      <c r="N52" s="19">
        <f t="shared" si="1"/>
        <v>0</v>
      </c>
      <c r="O52" s="10"/>
      <c r="P52" s="2">
        <f t="shared" si="13"/>
        <v>0</v>
      </c>
      <c r="Q52" s="2"/>
      <c r="R52" s="19"/>
      <c r="S52" s="2"/>
      <c r="T52" s="2">
        <f>-21.87</f>
        <v>-21.87</v>
      </c>
      <c r="U52" s="2"/>
      <c r="V52" s="19"/>
      <c r="W52" s="2"/>
      <c r="X52" s="2">
        <f t="shared" si="2"/>
        <v>21.87</v>
      </c>
      <c r="Y52" s="2"/>
      <c r="Z52" s="19">
        <f t="shared" si="3"/>
        <v>-1</v>
      </c>
    </row>
    <row r="53" spans="1:26" s="23" customFormat="1" hidden="1" outlineLevel="1" x14ac:dyDescent="0.25">
      <c r="A53" s="44"/>
      <c r="B53" s="10" t="str">
        <f>CONCATENATE("          ", "4331", " - ", "SALES RETURN NON TAXABLE-FOOD")</f>
        <v xml:space="preserve">          4331 - SALES RETURN NON TAXABLE-FOOD</v>
      </c>
      <c r="C53" s="10"/>
      <c r="D53" s="2">
        <f t="shared" si="4"/>
        <v>0</v>
      </c>
      <c r="E53" s="2"/>
      <c r="F53" s="19"/>
      <c r="G53" s="2"/>
      <c r="H53" s="2">
        <f t="shared" si="14"/>
        <v>0</v>
      </c>
      <c r="I53" s="2"/>
      <c r="J53" s="19"/>
      <c r="K53" s="2"/>
      <c r="L53" s="2">
        <f t="shared" si="0"/>
        <v>0</v>
      </c>
      <c r="M53" s="2"/>
      <c r="N53" s="19">
        <f t="shared" si="1"/>
        <v>0</v>
      </c>
      <c r="O53" s="10"/>
      <c r="P53" s="2">
        <f t="shared" si="13"/>
        <v>0</v>
      </c>
      <c r="Q53" s="2"/>
      <c r="R53" s="19"/>
      <c r="S53" s="2"/>
      <c r="T53" s="2">
        <f>-12.57</f>
        <v>-12.57</v>
      </c>
      <c r="U53" s="2"/>
      <c r="V53" s="19"/>
      <c r="W53" s="2"/>
      <c r="X53" s="2">
        <f t="shared" si="2"/>
        <v>12.57</v>
      </c>
      <c r="Y53" s="2"/>
      <c r="Z53" s="19">
        <f t="shared" si="3"/>
        <v>-1</v>
      </c>
    </row>
    <row r="54" spans="1:26" s="23" customFormat="1" hidden="1" outlineLevel="1" x14ac:dyDescent="0.25">
      <c r="A54" s="44"/>
      <c r="B54" s="10" t="str">
        <f>CONCATENATE("          ", "4332", " - ", "SALES RETURN NON TAXABLE-JUICE")</f>
        <v xml:space="preserve">          4332 - SALES RETURN NON TAXABLE-JUICE</v>
      </c>
      <c r="C54" s="10"/>
      <c r="D54" s="2">
        <f t="shared" si="4"/>
        <v>0</v>
      </c>
      <c r="E54" s="2"/>
      <c r="F54" s="19"/>
      <c r="G54" s="2"/>
      <c r="H54" s="2">
        <f t="shared" si="14"/>
        <v>0</v>
      </c>
      <c r="I54" s="2"/>
      <c r="J54" s="19"/>
      <c r="K54" s="2"/>
      <c r="L54" s="2">
        <f t="shared" si="0"/>
        <v>0</v>
      </c>
      <c r="M54" s="2"/>
      <c r="N54" s="19">
        <f t="shared" si="1"/>
        <v>0</v>
      </c>
      <c r="O54" s="10"/>
      <c r="P54" s="2">
        <f t="shared" si="13"/>
        <v>0</v>
      </c>
      <c r="Q54" s="2"/>
      <c r="R54" s="19"/>
      <c r="S54" s="2"/>
      <c r="T54" s="2">
        <f>-2.79</f>
        <v>-2.79</v>
      </c>
      <c r="U54" s="2"/>
      <c r="V54" s="19"/>
      <c r="W54" s="2"/>
      <c r="X54" s="2">
        <f t="shared" si="2"/>
        <v>2.79</v>
      </c>
      <c r="Y54" s="2"/>
      <c r="Z54" s="19">
        <f t="shared" si="3"/>
        <v>-1</v>
      </c>
    </row>
    <row r="55" spans="1:26" x14ac:dyDescent="0.25">
      <c r="A55" s="9"/>
      <c r="B55" s="11"/>
      <c r="C55" s="9"/>
      <c r="D55" s="3"/>
      <c r="E55" s="3"/>
      <c r="F55" s="8"/>
      <c r="G55" s="3"/>
      <c r="H55" s="3"/>
      <c r="I55" s="3"/>
      <c r="J55" s="8"/>
      <c r="K55" s="3"/>
      <c r="L55" s="3"/>
      <c r="M55" s="3"/>
      <c r="N55" s="8"/>
      <c r="P55" s="3"/>
      <c r="Q55" s="3"/>
      <c r="R55" s="8"/>
      <c r="S55" s="3"/>
      <c r="T55" s="3"/>
      <c r="U55" s="3"/>
      <c r="V55" s="8"/>
      <c r="W55" s="3"/>
      <c r="X55" s="3"/>
      <c r="Y55" s="3"/>
      <c r="Z55" s="8"/>
    </row>
    <row r="56" spans="1:26" s="24" customFormat="1" collapsed="1" x14ac:dyDescent="0.25">
      <c r="A56" s="11"/>
      <c r="B56" s="29" t="s">
        <v>256</v>
      </c>
      <c r="C56" s="11"/>
      <c r="D56" s="4">
        <f>SUM(OSRRefD16x_0)</f>
        <v>174968.99000000002</v>
      </c>
      <c r="E56" s="4"/>
      <c r="F56" s="13">
        <f t="shared" ref="F56:F81" si="15">IF(D$12=0,0,D56/D$12)</f>
        <v>0</v>
      </c>
      <c r="G56" s="4"/>
      <c r="H56" s="4">
        <f>SUM(OSRRefH16x_0)</f>
        <v>43360.53</v>
      </c>
      <c r="I56" s="4"/>
      <c r="J56" s="13">
        <f t="shared" ref="J56:J81" si="16">IF(H$12=0,0,H56/H$12)</f>
        <v>4.1156516242197823</v>
      </c>
      <c r="K56" s="4"/>
      <c r="L56" s="4">
        <f t="shared" ref="L56:L81" si="17">+D56-H56</f>
        <v>131608.46000000002</v>
      </c>
      <c r="M56" s="4"/>
      <c r="N56" s="13">
        <f t="shared" ref="N56:N81" si="18">IF(H56=0,0,L56/H56)</f>
        <v>3.035213361091297</v>
      </c>
      <c r="O56" s="11"/>
      <c r="P56" s="4">
        <f>SUM(OSRRefP16x_0)</f>
        <v>188790.50999999998</v>
      </c>
      <c r="Q56" s="4"/>
      <c r="R56" s="13">
        <f t="shared" ref="R56:R81" si="19">IF(P$12=0,0,P56/P$12)</f>
        <v>8.8584468222478314</v>
      </c>
      <c r="S56" s="4"/>
      <c r="T56" s="4">
        <f>SUM(OSRRefT16x_0)</f>
        <v>457478.95000000007</v>
      </c>
      <c r="U56" s="4"/>
      <c r="V56" s="13">
        <f t="shared" ref="V56:V81" si="20">IF(T$12=0,0,T56/T$12)</f>
        <v>0.54971066405207858</v>
      </c>
      <c r="W56" s="4"/>
      <c r="X56" s="4">
        <f t="shared" ref="X56:X81" si="21">+P56-T56</f>
        <v>-268688.44000000006</v>
      </c>
      <c r="Y56" s="4"/>
      <c r="Z56" s="13">
        <f t="shared" ref="Z56:Z81" si="22">IF(T56=0,0,X56/T56)</f>
        <v>-0.58732415994222253</v>
      </c>
    </row>
    <row r="57" spans="1:26" s="23" customFormat="1" hidden="1" outlineLevel="1" x14ac:dyDescent="0.25">
      <c r="A57" s="44"/>
      <c r="B57" s="10" t="str">
        <f>CONCATENATE("          ", "5000", " - ", "PURCHASES @ COST")</f>
        <v xml:space="preserve">          5000 - PURCHASES @ COST</v>
      </c>
      <c r="C57" s="10"/>
      <c r="D57" s="2"/>
      <c r="E57" s="2"/>
      <c r="F57" s="19">
        <f t="shared" si="15"/>
        <v>0</v>
      </c>
      <c r="G57" s="2"/>
      <c r="H57" s="2"/>
      <c r="I57" s="2"/>
      <c r="J57" s="19">
        <f t="shared" si="16"/>
        <v>0</v>
      </c>
      <c r="K57" s="2"/>
      <c r="L57" s="2">
        <f t="shared" si="17"/>
        <v>0</v>
      </c>
      <c r="M57" s="2"/>
      <c r="N57" s="19">
        <f t="shared" si="18"/>
        <v>0</v>
      </c>
      <c r="O57" s="10"/>
      <c r="P57" s="2"/>
      <c r="Q57" s="2"/>
      <c r="R57" s="19">
        <f t="shared" si="19"/>
        <v>0</v>
      </c>
      <c r="S57" s="2"/>
      <c r="T57" s="2">
        <v>0</v>
      </c>
      <c r="U57" s="2"/>
      <c r="V57" s="19">
        <f t="shared" si="20"/>
        <v>0</v>
      </c>
      <c r="W57" s="2"/>
      <c r="X57" s="2">
        <f t="shared" si="21"/>
        <v>0</v>
      </c>
      <c r="Y57" s="2"/>
      <c r="Z57" s="19">
        <f t="shared" si="22"/>
        <v>0</v>
      </c>
    </row>
    <row r="58" spans="1:26" s="23" customFormat="1" hidden="1" outlineLevel="1" x14ac:dyDescent="0.25">
      <c r="A58" s="44"/>
      <c r="B58" s="10" t="str">
        <f>CONCATENATE("          ", "5014", " - ", "PURCHASES @ COST-REMAINDERS")</f>
        <v xml:space="preserve">          5014 - PURCHASES @ COST-REMAINDERS</v>
      </c>
      <c r="C58" s="10"/>
      <c r="D58" s="2"/>
      <c r="E58" s="2"/>
      <c r="F58" s="19">
        <f t="shared" si="15"/>
        <v>0</v>
      </c>
      <c r="G58" s="2"/>
      <c r="H58" s="2"/>
      <c r="I58" s="2"/>
      <c r="J58" s="19">
        <f t="shared" si="16"/>
        <v>0</v>
      </c>
      <c r="K58" s="2"/>
      <c r="L58" s="2">
        <f t="shared" si="17"/>
        <v>0</v>
      </c>
      <c r="M58" s="2"/>
      <c r="N58" s="19">
        <f t="shared" si="18"/>
        <v>0</v>
      </c>
      <c r="O58" s="10"/>
      <c r="P58" s="2"/>
      <c r="Q58" s="2"/>
      <c r="R58" s="19">
        <f t="shared" si="19"/>
        <v>0</v>
      </c>
      <c r="S58" s="2"/>
      <c r="T58" s="2">
        <v>14.46</v>
      </c>
      <c r="U58" s="2"/>
      <c r="V58" s="19">
        <f t="shared" si="20"/>
        <v>1.7375261096041809E-5</v>
      </c>
      <c r="W58" s="2"/>
      <c r="X58" s="2">
        <f t="shared" si="21"/>
        <v>-14.46</v>
      </c>
      <c r="Y58" s="2"/>
      <c r="Z58" s="19">
        <f t="shared" si="22"/>
        <v>-1</v>
      </c>
    </row>
    <row r="59" spans="1:26" s="23" customFormat="1" hidden="1" outlineLevel="1" x14ac:dyDescent="0.25">
      <c r="A59" s="44"/>
      <c r="B59" s="10" t="str">
        <f>CONCATENATE("          ", "5017", " - ", "PURCHASES @ COST-DORM/HOUSEWAR")</f>
        <v xml:space="preserve">          5017 - PURCHASES @ COST-DORM/HOUSEWAR</v>
      </c>
      <c r="C59" s="10"/>
      <c r="D59" s="2"/>
      <c r="E59" s="2"/>
      <c r="F59" s="19">
        <f t="shared" si="15"/>
        <v>0</v>
      </c>
      <c r="G59" s="2"/>
      <c r="H59" s="2"/>
      <c r="I59" s="2"/>
      <c r="J59" s="19">
        <f t="shared" si="16"/>
        <v>0</v>
      </c>
      <c r="K59" s="2"/>
      <c r="L59" s="2">
        <f t="shared" si="17"/>
        <v>0</v>
      </c>
      <c r="M59" s="2"/>
      <c r="N59" s="19">
        <f t="shared" si="18"/>
        <v>0</v>
      </c>
      <c r="O59" s="10"/>
      <c r="P59" s="2"/>
      <c r="Q59" s="2"/>
      <c r="R59" s="19">
        <f t="shared" si="19"/>
        <v>0</v>
      </c>
      <c r="S59" s="2"/>
      <c r="T59" s="2">
        <v>14.46</v>
      </c>
      <c r="U59" s="2"/>
      <c r="V59" s="19">
        <f t="shared" si="20"/>
        <v>1.7375261096041809E-5</v>
      </c>
      <c r="W59" s="2"/>
      <c r="X59" s="2">
        <f t="shared" si="21"/>
        <v>-14.46</v>
      </c>
      <c r="Y59" s="2"/>
      <c r="Z59" s="19">
        <f t="shared" si="22"/>
        <v>-1</v>
      </c>
    </row>
    <row r="60" spans="1:26" s="23" customFormat="1" hidden="1" outlineLevel="1" x14ac:dyDescent="0.25">
      <c r="A60" s="44"/>
      <c r="B60" s="10" t="str">
        <f>CONCATENATE("          ", "5025", " - ", "PURCHASES @ COST-TEST FORMS")</f>
        <v xml:space="preserve">          5025 - PURCHASES @ COST-TEST FORMS</v>
      </c>
      <c r="C60" s="10"/>
      <c r="D60" s="2">
        <v>161</v>
      </c>
      <c r="E60" s="2"/>
      <c r="F60" s="19">
        <f t="shared" si="15"/>
        <v>0</v>
      </c>
      <c r="G60" s="2"/>
      <c r="H60" s="2"/>
      <c r="I60" s="2"/>
      <c r="J60" s="19">
        <f t="shared" si="16"/>
        <v>0</v>
      </c>
      <c r="K60" s="2"/>
      <c r="L60" s="2">
        <f t="shared" si="17"/>
        <v>161</v>
      </c>
      <c r="M60" s="2"/>
      <c r="N60" s="19">
        <f t="shared" si="18"/>
        <v>0</v>
      </c>
      <c r="O60" s="10"/>
      <c r="P60" s="2">
        <v>161</v>
      </c>
      <c r="Q60" s="2"/>
      <c r="R60" s="19">
        <f t="shared" si="19"/>
        <v>7.5544577870037058E-3</v>
      </c>
      <c r="S60" s="2"/>
      <c r="T60" s="2">
        <v>26394.33</v>
      </c>
      <c r="U60" s="2"/>
      <c r="V60" s="19">
        <f t="shared" si="20"/>
        <v>3.1715655270061489E-2</v>
      </c>
      <c r="W60" s="2"/>
      <c r="X60" s="2">
        <f t="shared" si="21"/>
        <v>-26233.33</v>
      </c>
      <c r="Y60" s="2"/>
      <c r="Z60" s="19">
        <f t="shared" si="22"/>
        <v>-0.99390020508192478</v>
      </c>
    </row>
    <row r="61" spans="1:26" s="23" customFormat="1" hidden="1" outlineLevel="1" x14ac:dyDescent="0.25">
      <c r="A61" s="44"/>
      <c r="B61" s="10" t="str">
        <f>CONCATENATE("          ", "5026", " - ", "PURCHASES @ COST-WRITING INSTR")</f>
        <v xml:space="preserve">          5026 - PURCHASES @ COST-WRITING INSTR</v>
      </c>
      <c r="C61" s="10"/>
      <c r="D61" s="2">
        <v>1610.02</v>
      </c>
      <c r="E61" s="2"/>
      <c r="F61" s="19">
        <f t="shared" si="15"/>
        <v>0</v>
      </c>
      <c r="G61" s="2"/>
      <c r="H61" s="2"/>
      <c r="I61" s="2"/>
      <c r="J61" s="19">
        <f t="shared" si="16"/>
        <v>0</v>
      </c>
      <c r="K61" s="2"/>
      <c r="L61" s="2">
        <f t="shared" si="17"/>
        <v>1610.02</v>
      </c>
      <c r="M61" s="2"/>
      <c r="N61" s="19">
        <f t="shared" si="18"/>
        <v>0</v>
      </c>
      <c r="O61" s="10"/>
      <c r="P61" s="2">
        <v>1974.93</v>
      </c>
      <c r="Q61" s="2"/>
      <c r="R61" s="19">
        <f t="shared" si="19"/>
        <v>9.2667859113585271E-2</v>
      </c>
      <c r="S61" s="2"/>
      <c r="T61" s="2">
        <v>42992.76</v>
      </c>
      <c r="U61" s="2"/>
      <c r="V61" s="19">
        <f t="shared" si="20"/>
        <v>5.1660472354043044E-2</v>
      </c>
      <c r="W61" s="2"/>
      <c r="X61" s="2">
        <f t="shared" si="21"/>
        <v>-41017.83</v>
      </c>
      <c r="Y61" s="2"/>
      <c r="Z61" s="19">
        <f t="shared" si="22"/>
        <v>-0.9540636609512857</v>
      </c>
    </row>
    <row r="62" spans="1:26" s="23" customFormat="1" hidden="1" outlineLevel="1" x14ac:dyDescent="0.25">
      <c r="A62" s="44"/>
      <c r="B62" s="10" t="str">
        <f>CONCATENATE("          ", "5027", " - ", "PURCHASES @ COST-SCHOOL SUPPLI")</f>
        <v xml:space="preserve">          5027 - PURCHASES @ COST-SCHOOL SUPPLI</v>
      </c>
      <c r="C62" s="10"/>
      <c r="D62" s="2">
        <v>1842.47</v>
      </c>
      <c r="E62" s="2"/>
      <c r="F62" s="19">
        <f t="shared" si="15"/>
        <v>0</v>
      </c>
      <c r="G62" s="2"/>
      <c r="H62" s="2">
        <v>11947.58</v>
      </c>
      <c r="I62" s="2"/>
      <c r="J62" s="19">
        <f t="shared" si="16"/>
        <v>1.1340285054748129</v>
      </c>
      <c r="K62" s="2"/>
      <c r="L62" s="2">
        <f t="shared" si="17"/>
        <v>-10105.11</v>
      </c>
      <c r="M62" s="2"/>
      <c r="N62" s="19">
        <f t="shared" si="18"/>
        <v>-0.84578718033275369</v>
      </c>
      <c r="O62" s="10"/>
      <c r="P62" s="2">
        <v>2737.94</v>
      </c>
      <c r="Q62" s="2"/>
      <c r="R62" s="19">
        <f t="shared" si="19"/>
        <v>0.12846988915123556</v>
      </c>
      <c r="S62" s="2"/>
      <c r="T62" s="2">
        <v>152856.47</v>
      </c>
      <c r="U62" s="2"/>
      <c r="V62" s="19">
        <f t="shared" si="20"/>
        <v>0.18367365674061423</v>
      </c>
      <c r="W62" s="2"/>
      <c r="X62" s="2">
        <f t="shared" si="21"/>
        <v>-150118.53</v>
      </c>
      <c r="Y62" s="2"/>
      <c r="Z62" s="19">
        <f t="shared" si="22"/>
        <v>-0.98208816414509637</v>
      </c>
    </row>
    <row r="63" spans="1:26" s="23" customFormat="1" hidden="1" outlineLevel="1" x14ac:dyDescent="0.25">
      <c r="A63" s="44"/>
      <c r="B63" s="10" t="str">
        <f>CONCATENATE("          ", "5028", " - ", "PURCHASES @ COST-ART/TECH")</f>
        <v xml:space="preserve">          5028 - PURCHASES @ COST-ART/TECH</v>
      </c>
      <c r="C63" s="10"/>
      <c r="D63" s="2">
        <v>92180.17</v>
      </c>
      <c r="E63" s="2"/>
      <c r="F63" s="19">
        <f t="shared" si="15"/>
        <v>0</v>
      </c>
      <c r="G63" s="2"/>
      <c r="H63" s="2">
        <v>-1073.3800000000001</v>
      </c>
      <c r="I63" s="2"/>
      <c r="J63" s="19">
        <f t="shared" si="16"/>
        <v>-0.10188201436663784</v>
      </c>
      <c r="K63" s="2"/>
      <c r="L63" s="2">
        <f t="shared" si="17"/>
        <v>93253.55</v>
      </c>
      <c r="M63" s="2"/>
      <c r="N63" s="19">
        <f t="shared" si="18"/>
        <v>-86.878412118727752</v>
      </c>
      <c r="O63" s="10"/>
      <c r="P63" s="2">
        <v>133622.01999999999</v>
      </c>
      <c r="Q63" s="2"/>
      <c r="R63" s="19">
        <f t="shared" si="19"/>
        <v>6.2698255248705888</v>
      </c>
      <c r="S63" s="2"/>
      <c r="T63" s="2">
        <v>158554.31</v>
      </c>
      <c r="U63" s="2"/>
      <c r="V63" s="19">
        <f t="shared" si="20"/>
        <v>0.19052023057764539</v>
      </c>
      <c r="W63" s="2"/>
      <c r="X63" s="2">
        <f t="shared" si="21"/>
        <v>-24932.290000000008</v>
      </c>
      <c r="Y63" s="2"/>
      <c r="Z63" s="19">
        <f t="shared" si="22"/>
        <v>-0.15724763331882941</v>
      </c>
    </row>
    <row r="64" spans="1:26" s="23" customFormat="1" hidden="1" outlineLevel="1" x14ac:dyDescent="0.25">
      <c r="A64" s="44"/>
      <c r="B64" s="10" t="str">
        <f>CONCATENATE("          ", "5031", " - ", "PURCHASES @ COST-FOOD")</f>
        <v xml:space="preserve">          5031 - PURCHASES @ COST-FOOD</v>
      </c>
      <c r="C64" s="10"/>
      <c r="D64" s="2">
        <v>74968.09</v>
      </c>
      <c r="E64" s="2"/>
      <c r="F64" s="19">
        <f t="shared" si="15"/>
        <v>0</v>
      </c>
      <c r="G64" s="2"/>
      <c r="H64" s="2"/>
      <c r="I64" s="2"/>
      <c r="J64" s="19">
        <f t="shared" si="16"/>
        <v>0</v>
      </c>
      <c r="K64" s="2"/>
      <c r="L64" s="2">
        <f t="shared" si="17"/>
        <v>74968.09</v>
      </c>
      <c r="M64" s="2"/>
      <c r="N64" s="19">
        <f t="shared" si="18"/>
        <v>0</v>
      </c>
      <c r="O64" s="10"/>
      <c r="P64" s="2">
        <v>77409.66</v>
      </c>
      <c r="Q64" s="2"/>
      <c r="R64" s="19">
        <f t="shared" si="19"/>
        <v>3.63222365699571</v>
      </c>
      <c r="S64" s="2"/>
      <c r="T64" s="2">
        <v>33239.879999999997</v>
      </c>
      <c r="U64" s="2"/>
      <c r="V64" s="19">
        <f t="shared" si="20"/>
        <v>3.9941327372136799E-2</v>
      </c>
      <c r="W64" s="2"/>
      <c r="X64" s="2">
        <f t="shared" si="21"/>
        <v>44169.780000000006</v>
      </c>
      <c r="Y64" s="2"/>
      <c r="Z64" s="19">
        <f t="shared" si="22"/>
        <v>1.3288188766024429</v>
      </c>
    </row>
    <row r="65" spans="1:26" s="23" customFormat="1" hidden="1" outlineLevel="1" x14ac:dyDescent="0.25">
      <c r="A65" s="44"/>
      <c r="B65" s="10" t="str">
        <f>CONCATENATE("          ", "5032", " - ", "PURCHASES @ COST-JUICE")</f>
        <v xml:space="preserve">          5032 - PURCHASES @ COST-JUICE</v>
      </c>
      <c r="C65" s="10"/>
      <c r="D65" s="2">
        <v>291</v>
      </c>
      <c r="E65" s="2"/>
      <c r="F65" s="19">
        <f t="shared" si="15"/>
        <v>0</v>
      </c>
      <c r="G65" s="2"/>
      <c r="H65" s="2"/>
      <c r="I65" s="2"/>
      <c r="J65" s="19">
        <f t="shared" si="16"/>
        <v>0</v>
      </c>
      <c r="K65" s="2"/>
      <c r="L65" s="2">
        <f t="shared" si="17"/>
        <v>291</v>
      </c>
      <c r="M65" s="2"/>
      <c r="N65" s="19">
        <f t="shared" si="18"/>
        <v>0</v>
      </c>
      <c r="O65" s="10"/>
      <c r="P65" s="2">
        <v>291</v>
      </c>
      <c r="Q65" s="2"/>
      <c r="R65" s="19">
        <f t="shared" si="19"/>
        <v>1.3654330534273779E-2</v>
      </c>
      <c r="S65" s="2"/>
      <c r="T65" s="2">
        <v>7802.45</v>
      </c>
      <c r="U65" s="2"/>
      <c r="V65" s="19">
        <f t="shared" si="20"/>
        <v>9.3754914203880626E-3</v>
      </c>
      <c r="W65" s="2"/>
      <c r="X65" s="2">
        <f t="shared" si="21"/>
        <v>-7511.45</v>
      </c>
      <c r="Y65" s="2"/>
      <c r="Z65" s="19">
        <f t="shared" si="22"/>
        <v>-0.9627040224544855</v>
      </c>
    </row>
    <row r="66" spans="1:26" s="23" customFormat="1" hidden="1" outlineLevel="1" x14ac:dyDescent="0.25">
      <c r="A66" s="44"/>
      <c r="B66" s="10" t="str">
        <f>CONCATENATE("          ", "5033", " - ", "PURCHASES @ COST-CANDY")</f>
        <v xml:space="preserve">          5033 - PURCHASES @ COST-CANDY</v>
      </c>
      <c r="C66" s="10"/>
      <c r="D66" s="2">
        <v>1266</v>
      </c>
      <c r="E66" s="2"/>
      <c r="F66" s="19">
        <f t="shared" si="15"/>
        <v>0</v>
      </c>
      <c r="G66" s="2"/>
      <c r="H66" s="2"/>
      <c r="I66" s="2"/>
      <c r="J66" s="19">
        <f t="shared" si="16"/>
        <v>0</v>
      </c>
      <c r="K66" s="2"/>
      <c r="L66" s="2">
        <f t="shared" si="17"/>
        <v>1266</v>
      </c>
      <c r="M66" s="2"/>
      <c r="N66" s="19">
        <f t="shared" si="18"/>
        <v>0</v>
      </c>
      <c r="O66" s="10"/>
      <c r="P66" s="2">
        <v>1266</v>
      </c>
      <c r="Q66" s="2"/>
      <c r="R66" s="19">
        <f t="shared" si="19"/>
        <v>5.9403376138799327E-2</v>
      </c>
      <c r="S66" s="2"/>
      <c r="T66" s="2">
        <v>9998.41</v>
      </c>
      <c r="U66" s="2"/>
      <c r="V66" s="19">
        <f t="shared" si="20"/>
        <v>1.2014175954030109E-2</v>
      </c>
      <c r="W66" s="2"/>
      <c r="X66" s="2">
        <f t="shared" si="21"/>
        <v>-8732.41</v>
      </c>
      <c r="Y66" s="2"/>
      <c r="Z66" s="19">
        <f t="shared" si="22"/>
        <v>-0.87337986739891638</v>
      </c>
    </row>
    <row r="67" spans="1:26" s="23" customFormat="1" hidden="1" outlineLevel="1" x14ac:dyDescent="0.25">
      <c r="A67" s="44"/>
      <c r="B67" s="10" t="str">
        <f>CONCATENATE("          ", "5034", " - ", "PURCHASES @ COST-SODA")</f>
        <v xml:space="preserve">          5034 - PURCHASES @ COST-SODA</v>
      </c>
      <c r="C67" s="10"/>
      <c r="D67" s="2">
        <v>567</v>
      </c>
      <c r="E67" s="2"/>
      <c r="F67" s="19">
        <f t="shared" si="15"/>
        <v>0</v>
      </c>
      <c r="G67" s="2"/>
      <c r="H67" s="2"/>
      <c r="I67" s="2"/>
      <c r="J67" s="19">
        <f t="shared" si="16"/>
        <v>0</v>
      </c>
      <c r="K67" s="2"/>
      <c r="L67" s="2">
        <f t="shared" si="17"/>
        <v>567</v>
      </c>
      <c r="M67" s="2"/>
      <c r="N67" s="19">
        <f t="shared" si="18"/>
        <v>0</v>
      </c>
      <c r="O67" s="10"/>
      <c r="P67" s="2">
        <v>567</v>
      </c>
      <c r="Q67" s="2"/>
      <c r="R67" s="19">
        <f t="shared" si="19"/>
        <v>2.6604829597708702E-2</v>
      </c>
      <c r="S67" s="2"/>
      <c r="T67" s="2">
        <v>4033.88</v>
      </c>
      <c r="U67" s="2"/>
      <c r="V67" s="19">
        <f t="shared" si="20"/>
        <v>4.8471451058161221E-3</v>
      </c>
      <c r="W67" s="2"/>
      <c r="X67" s="2">
        <f t="shared" si="21"/>
        <v>-3466.88</v>
      </c>
      <c r="Y67" s="2"/>
      <c r="Z67" s="19">
        <f t="shared" si="22"/>
        <v>-0.85944053863773839</v>
      </c>
    </row>
    <row r="68" spans="1:26" s="23" customFormat="1" hidden="1" outlineLevel="1" x14ac:dyDescent="0.25">
      <c r="A68" s="44"/>
      <c r="B68" s="10" t="str">
        <f>CONCATENATE("          ", "5035", " - ", "PURCHASES @ COST-HEALTH &amp; BEAU")</f>
        <v xml:space="preserve">          5035 - PURCHASES @ COST-HEALTH &amp; BEAU</v>
      </c>
      <c r="C68" s="10"/>
      <c r="D68" s="2">
        <v>339</v>
      </c>
      <c r="E68" s="2"/>
      <c r="F68" s="19">
        <f t="shared" si="15"/>
        <v>0</v>
      </c>
      <c r="G68" s="2"/>
      <c r="H68" s="2"/>
      <c r="I68" s="2"/>
      <c r="J68" s="19">
        <f t="shared" si="16"/>
        <v>0</v>
      </c>
      <c r="K68" s="2"/>
      <c r="L68" s="2">
        <f t="shared" si="17"/>
        <v>339</v>
      </c>
      <c r="M68" s="2"/>
      <c r="N68" s="19">
        <f t="shared" si="18"/>
        <v>0</v>
      </c>
      <c r="O68" s="10"/>
      <c r="P68" s="2">
        <v>339</v>
      </c>
      <c r="Q68" s="2"/>
      <c r="R68" s="19">
        <f t="shared" si="19"/>
        <v>1.5906591240958112E-2</v>
      </c>
      <c r="S68" s="2"/>
      <c r="T68" s="2">
        <v>1117.6500000000001</v>
      </c>
      <c r="U68" s="2"/>
      <c r="V68" s="19">
        <f t="shared" si="20"/>
        <v>1.3429779089897044E-3</v>
      </c>
      <c r="W68" s="2"/>
      <c r="X68" s="2">
        <f t="shared" si="21"/>
        <v>-778.65000000000009</v>
      </c>
      <c r="Y68" s="2"/>
      <c r="Z68" s="19">
        <f t="shared" si="22"/>
        <v>-0.69668500872366124</v>
      </c>
    </row>
    <row r="69" spans="1:26" s="23" customFormat="1" hidden="1" outlineLevel="1" x14ac:dyDescent="0.25">
      <c r="A69" s="44"/>
      <c r="B69" s="10" t="str">
        <f>CONCATENATE("          ", "5037", " - ", "PURCHASES @ COST-WATER")</f>
        <v xml:space="preserve">          5037 - PURCHASES @ COST-WATER</v>
      </c>
      <c r="C69" s="10"/>
      <c r="D69" s="2">
        <v>179.95</v>
      </c>
      <c r="E69" s="2"/>
      <c r="F69" s="19">
        <f t="shared" si="15"/>
        <v>0</v>
      </c>
      <c r="G69" s="2"/>
      <c r="H69" s="2"/>
      <c r="I69" s="2"/>
      <c r="J69" s="19">
        <f t="shared" si="16"/>
        <v>0</v>
      </c>
      <c r="K69" s="2"/>
      <c r="L69" s="2">
        <f t="shared" si="17"/>
        <v>179.95</v>
      </c>
      <c r="M69" s="2"/>
      <c r="N69" s="19">
        <f t="shared" si="18"/>
        <v>0</v>
      </c>
      <c r="O69" s="10"/>
      <c r="P69" s="2">
        <v>179.95</v>
      </c>
      <c r="Q69" s="2"/>
      <c r="R69" s="19">
        <f t="shared" si="19"/>
        <v>8.4436315451634578E-3</v>
      </c>
      <c r="S69" s="2"/>
      <c r="T69" s="2">
        <v>5663.81</v>
      </c>
      <c r="U69" s="2"/>
      <c r="V69" s="19">
        <f t="shared" si="20"/>
        <v>6.8056830946315733E-3</v>
      </c>
      <c r="W69" s="2"/>
      <c r="X69" s="2">
        <f t="shared" si="21"/>
        <v>-5483.8600000000006</v>
      </c>
      <c r="Y69" s="2"/>
      <c r="Z69" s="19">
        <f t="shared" si="22"/>
        <v>-0.96822810087202782</v>
      </c>
    </row>
    <row r="70" spans="1:26" s="23" customFormat="1" hidden="1" outlineLevel="1" x14ac:dyDescent="0.25">
      <c r="A70" s="44"/>
      <c r="B70" s="10" t="str">
        <f>CONCATENATE("          ", "5042", " - ", "PURCHASES @ COST-EVERYDAY GIFT")</f>
        <v xml:space="preserve">          5042 - PURCHASES @ COST-EVERYDAY GIFT</v>
      </c>
      <c r="C70" s="10"/>
      <c r="D70" s="2">
        <v>-6</v>
      </c>
      <c r="E70" s="2"/>
      <c r="F70" s="19">
        <f t="shared" si="15"/>
        <v>0</v>
      </c>
      <c r="G70" s="2"/>
      <c r="H70" s="2"/>
      <c r="I70" s="2"/>
      <c r="J70" s="19">
        <f t="shared" si="16"/>
        <v>0</v>
      </c>
      <c r="K70" s="2"/>
      <c r="L70" s="2">
        <f t="shared" si="17"/>
        <v>-6</v>
      </c>
      <c r="M70" s="2"/>
      <c r="N70" s="19">
        <f t="shared" si="18"/>
        <v>0</v>
      </c>
      <c r="O70" s="10"/>
      <c r="P70" s="2">
        <v>-6</v>
      </c>
      <c r="Q70" s="2"/>
      <c r="R70" s="19">
        <f t="shared" si="19"/>
        <v>-2.8153258833554183E-4</v>
      </c>
      <c r="S70" s="2"/>
      <c r="T70" s="2"/>
      <c r="U70" s="2"/>
      <c r="V70" s="19">
        <f t="shared" si="20"/>
        <v>0</v>
      </c>
      <c r="W70" s="2"/>
      <c r="X70" s="2">
        <f t="shared" si="21"/>
        <v>-6</v>
      </c>
      <c r="Y70" s="2"/>
      <c r="Z70" s="19">
        <f t="shared" si="22"/>
        <v>0</v>
      </c>
    </row>
    <row r="71" spans="1:26" s="23" customFormat="1" hidden="1" outlineLevel="1" x14ac:dyDescent="0.25">
      <c r="A71" s="44"/>
      <c r="B71" s="10" t="str">
        <f>CONCATENATE("          ", "5081", " - ", "PURCHASES @ COST-ELECTRONICS")</f>
        <v xml:space="preserve">          5081 - PURCHASES @ COST-ELECTRONICS</v>
      </c>
      <c r="C71" s="10"/>
      <c r="D71" s="2">
        <v>227</v>
      </c>
      <c r="E71" s="2"/>
      <c r="F71" s="19">
        <f t="shared" si="15"/>
        <v>0</v>
      </c>
      <c r="G71" s="2"/>
      <c r="H71" s="2"/>
      <c r="I71" s="2"/>
      <c r="J71" s="19">
        <f t="shared" si="16"/>
        <v>0</v>
      </c>
      <c r="K71" s="2"/>
      <c r="L71" s="2">
        <f t="shared" si="17"/>
        <v>227</v>
      </c>
      <c r="M71" s="2"/>
      <c r="N71" s="19">
        <f t="shared" si="18"/>
        <v>0</v>
      </c>
      <c r="O71" s="10"/>
      <c r="P71" s="2">
        <v>227</v>
      </c>
      <c r="Q71" s="2"/>
      <c r="R71" s="19">
        <f t="shared" si="19"/>
        <v>1.0651316258694666E-2</v>
      </c>
      <c r="S71" s="2"/>
      <c r="T71" s="2">
        <v>2008.03</v>
      </c>
      <c r="U71" s="2"/>
      <c r="V71" s="19">
        <f t="shared" si="20"/>
        <v>2.4128662198260602E-3</v>
      </c>
      <c r="W71" s="2"/>
      <c r="X71" s="2">
        <f t="shared" si="21"/>
        <v>-1781.03</v>
      </c>
      <c r="Y71" s="2"/>
      <c r="Z71" s="19">
        <f t="shared" si="22"/>
        <v>-0.88695388017111298</v>
      </c>
    </row>
    <row r="72" spans="1:26" s="23" customFormat="1" hidden="1" outlineLevel="1" x14ac:dyDescent="0.25">
      <c r="A72" s="44"/>
      <c r="B72" s="10" t="str">
        <f>CONCATENATE("          ", "5082", " - ", "PURCHASES @ COST-COMPUTER HARD")</f>
        <v xml:space="preserve">          5082 - PURCHASES @ COST-COMPUTER HARD</v>
      </c>
      <c r="C72" s="10"/>
      <c r="D72" s="2">
        <v>972</v>
      </c>
      <c r="E72" s="2"/>
      <c r="F72" s="19">
        <f t="shared" si="15"/>
        <v>0</v>
      </c>
      <c r="G72" s="2"/>
      <c r="H72" s="2"/>
      <c r="I72" s="2"/>
      <c r="J72" s="19">
        <f t="shared" si="16"/>
        <v>0</v>
      </c>
      <c r="K72" s="2"/>
      <c r="L72" s="2">
        <f t="shared" si="17"/>
        <v>972</v>
      </c>
      <c r="M72" s="2"/>
      <c r="N72" s="19">
        <f t="shared" si="18"/>
        <v>0</v>
      </c>
      <c r="O72" s="10"/>
      <c r="P72" s="2">
        <v>972</v>
      </c>
      <c r="Q72" s="2"/>
      <c r="R72" s="19">
        <f t="shared" si="19"/>
        <v>4.5608279310357776E-2</v>
      </c>
      <c r="S72" s="2"/>
      <c r="T72" s="2">
        <v>349.6</v>
      </c>
      <c r="U72" s="2"/>
      <c r="V72" s="19">
        <f t="shared" si="20"/>
        <v>4.2008238445202046E-4</v>
      </c>
      <c r="W72" s="2"/>
      <c r="X72" s="2">
        <f t="shared" si="21"/>
        <v>622.4</v>
      </c>
      <c r="Y72" s="2"/>
      <c r="Z72" s="19">
        <f t="shared" si="22"/>
        <v>1.7803203661327229</v>
      </c>
    </row>
    <row r="73" spans="1:26" s="23" customFormat="1" hidden="1" outlineLevel="1" x14ac:dyDescent="0.25">
      <c r="A73" s="44"/>
      <c r="B73" s="10" t="str">
        <f>CONCATENATE("          ", "5083", " - ", "PURCHASES @ COST-COMPUTER EQUI")</f>
        <v xml:space="preserve">          5083 - PURCHASES @ COST-COMPUTER EQUI</v>
      </c>
      <c r="C73" s="10"/>
      <c r="D73" s="2">
        <v>170</v>
      </c>
      <c r="E73" s="2"/>
      <c r="F73" s="19">
        <f t="shared" si="15"/>
        <v>0</v>
      </c>
      <c r="G73" s="2"/>
      <c r="H73" s="2"/>
      <c r="I73" s="2"/>
      <c r="J73" s="19">
        <f t="shared" si="16"/>
        <v>0</v>
      </c>
      <c r="K73" s="2"/>
      <c r="L73" s="2">
        <f t="shared" si="17"/>
        <v>170</v>
      </c>
      <c r="M73" s="2"/>
      <c r="N73" s="19">
        <f t="shared" si="18"/>
        <v>0</v>
      </c>
      <c r="O73" s="10"/>
      <c r="P73" s="2">
        <v>170</v>
      </c>
      <c r="Q73" s="2"/>
      <c r="R73" s="19">
        <f t="shared" si="19"/>
        <v>7.976756669507019E-3</v>
      </c>
      <c r="S73" s="2"/>
      <c r="T73" s="2">
        <v>304.70999999999998</v>
      </c>
      <c r="U73" s="2"/>
      <c r="V73" s="19">
        <f t="shared" si="20"/>
        <v>3.6614217210061541E-4</v>
      </c>
      <c r="W73" s="2"/>
      <c r="X73" s="2">
        <f t="shared" si="21"/>
        <v>-134.70999999999998</v>
      </c>
      <c r="Y73" s="2"/>
      <c r="Z73" s="19">
        <f t="shared" si="22"/>
        <v>-0.44209248137573426</v>
      </c>
    </row>
    <row r="74" spans="1:26" s="23" customFormat="1" hidden="1" outlineLevel="1" x14ac:dyDescent="0.25">
      <c r="A74" s="44"/>
      <c r="B74" s="10" t="str">
        <f>CONCATENATE("          ", "5086", " - ", "PURCHASES @ COST-COMPUTER SUPP")</f>
        <v xml:space="preserve">          5086 - PURCHASES @ COST-COMPUTER SUPP</v>
      </c>
      <c r="C74" s="10"/>
      <c r="D74" s="2">
        <v>143</v>
      </c>
      <c r="E74" s="2"/>
      <c r="F74" s="19">
        <f t="shared" si="15"/>
        <v>0</v>
      </c>
      <c r="G74" s="2"/>
      <c r="H74" s="2"/>
      <c r="I74" s="2"/>
      <c r="J74" s="19">
        <f t="shared" si="16"/>
        <v>0</v>
      </c>
      <c r="K74" s="2"/>
      <c r="L74" s="2">
        <f t="shared" si="17"/>
        <v>143</v>
      </c>
      <c r="M74" s="2"/>
      <c r="N74" s="19">
        <f t="shared" si="18"/>
        <v>0</v>
      </c>
      <c r="O74" s="10"/>
      <c r="P74" s="2">
        <v>143</v>
      </c>
      <c r="Q74" s="2"/>
      <c r="R74" s="19">
        <f t="shared" si="19"/>
        <v>6.7098600219970802E-3</v>
      </c>
      <c r="S74" s="2"/>
      <c r="T74" s="2">
        <v>426.22</v>
      </c>
      <c r="U74" s="2"/>
      <c r="V74" s="19">
        <f t="shared" si="20"/>
        <v>5.1214963930532086E-4</v>
      </c>
      <c r="W74" s="2"/>
      <c r="X74" s="2">
        <f t="shared" si="21"/>
        <v>-283.22000000000003</v>
      </c>
      <c r="Y74" s="2"/>
      <c r="Z74" s="19">
        <f t="shared" si="22"/>
        <v>-0.66449251560227118</v>
      </c>
    </row>
    <row r="75" spans="1:26" s="23" customFormat="1" hidden="1" outlineLevel="1" x14ac:dyDescent="0.25">
      <c r="A75" s="44"/>
      <c r="B75" s="10" t="str">
        <f>CONCATENATE("          ", "5200", " - ", "PURCHASES OFFSET")</f>
        <v xml:space="preserve">          5200 - PURCHASES OFFSET</v>
      </c>
      <c r="C75" s="10"/>
      <c r="D75" s="2"/>
      <c r="E75" s="2"/>
      <c r="F75" s="19">
        <f t="shared" si="15"/>
        <v>0</v>
      </c>
      <c r="G75" s="2"/>
      <c r="H75" s="2">
        <v>-10888</v>
      </c>
      <c r="I75" s="2"/>
      <c r="J75" s="19">
        <f t="shared" si="16"/>
        <v>-1.0334563457712578</v>
      </c>
      <c r="K75" s="2"/>
      <c r="L75" s="2">
        <f t="shared" si="17"/>
        <v>10888</v>
      </c>
      <c r="M75" s="2"/>
      <c r="N75" s="19">
        <f t="shared" si="18"/>
        <v>-1</v>
      </c>
      <c r="O75" s="10"/>
      <c r="P75" s="2">
        <v>-45863.33</v>
      </c>
      <c r="Q75" s="2"/>
      <c r="R75" s="19">
        <f t="shared" si="19"/>
        <v>-2.1520036674311842</v>
      </c>
      <c r="S75" s="2"/>
      <c r="T75" s="2">
        <v>-452309</v>
      </c>
      <c r="U75" s="2"/>
      <c r="V75" s="19">
        <f t="shared" si="20"/>
        <v>-0.54349840740591793</v>
      </c>
      <c r="W75" s="2"/>
      <c r="X75" s="2">
        <f t="shared" si="21"/>
        <v>406445.67</v>
      </c>
      <c r="Y75" s="2"/>
      <c r="Z75" s="19">
        <f t="shared" si="22"/>
        <v>-0.89860177445065204</v>
      </c>
    </row>
    <row r="76" spans="1:26" s="23" customFormat="1" hidden="1" outlineLevel="1" x14ac:dyDescent="0.25">
      <c r="A76" s="44"/>
      <c r="B76" s="10" t="str">
        <f>CONCATENATE("          ", "5300", " - ", "COG$ OFFSET")</f>
        <v xml:space="preserve">          5300 - COG$ OFFSET</v>
      </c>
      <c r="C76" s="10"/>
      <c r="D76" s="2"/>
      <c r="E76" s="2"/>
      <c r="F76" s="19">
        <f t="shared" si="15"/>
        <v>0</v>
      </c>
      <c r="G76" s="2"/>
      <c r="H76" s="2">
        <v>43345</v>
      </c>
      <c r="I76" s="2"/>
      <c r="J76" s="19">
        <f t="shared" si="16"/>
        <v>4.1141775631387922</v>
      </c>
      <c r="K76" s="2"/>
      <c r="L76" s="2">
        <f t="shared" si="17"/>
        <v>-43345</v>
      </c>
      <c r="M76" s="2"/>
      <c r="N76" s="19">
        <f t="shared" si="18"/>
        <v>-1</v>
      </c>
      <c r="O76" s="10"/>
      <c r="P76" s="2">
        <v>14145</v>
      </c>
      <c r="Q76" s="2"/>
      <c r="R76" s="19">
        <f t="shared" si="19"/>
        <v>0.66371307700103988</v>
      </c>
      <c r="S76" s="2"/>
      <c r="T76" s="2">
        <v>457380</v>
      </c>
      <c r="U76" s="2"/>
      <c r="V76" s="19">
        <f t="shared" si="20"/>
        <v>0.54959176487604433</v>
      </c>
      <c r="W76" s="2"/>
      <c r="X76" s="2">
        <f t="shared" si="21"/>
        <v>-443235</v>
      </c>
      <c r="Y76" s="2"/>
      <c r="Z76" s="19">
        <f t="shared" si="22"/>
        <v>-0.9690738554374918</v>
      </c>
    </row>
    <row r="77" spans="1:26" s="23" customFormat="1" hidden="1" outlineLevel="1" x14ac:dyDescent="0.25">
      <c r="A77" s="44"/>
      <c r="B77" s="10" t="str">
        <f>CONCATENATE("          ", "5500", " - ", "FREIGHT-IN")</f>
        <v xml:space="preserve">          5500 - FREIGHT-IN</v>
      </c>
      <c r="C77" s="10"/>
      <c r="D77" s="2"/>
      <c r="E77" s="2"/>
      <c r="F77" s="19">
        <f t="shared" si="15"/>
        <v>0</v>
      </c>
      <c r="G77" s="2"/>
      <c r="H77" s="2">
        <v>16</v>
      </c>
      <c r="I77" s="2"/>
      <c r="J77" s="19">
        <f t="shared" si="16"/>
        <v>1.5186720731392473E-3</v>
      </c>
      <c r="K77" s="2"/>
      <c r="L77" s="2">
        <f t="shared" si="17"/>
        <v>-16</v>
      </c>
      <c r="M77" s="2"/>
      <c r="N77" s="19">
        <f t="shared" si="18"/>
        <v>-1</v>
      </c>
      <c r="O77" s="10"/>
      <c r="P77" s="2"/>
      <c r="Q77" s="2"/>
      <c r="R77" s="19">
        <f t="shared" si="19"/>
        <v>0</v>
      </c>
      <c r="S77" s="2"/>
      <c r="T77" s="2">
        <v>102</v>
      </c>
      <c r="U77" s="2"/>
      <c r="V77" s="19">
        <f t="shared" si="20"/>
        <v>1.2256408242021191E-4</v>
      </c>
      <c r="W77" s="2"/>
      <c r="X77" s="2">
        <f t="shared" si="21"/>
        <v>-102</v>
      </c>
      <c r="Y77" s="2"/>
      <c r="Z77" s="19">
        <f t="shared" si="22"/>
        <v>-1</v>
      </c>
    </row>
    <row r="78" spans="1:26" s="23" customFormat="1" hidden="1" outlineLevel="1" x14ac:dyDescent="0.25">
      <c r="A78" s="44"/>
      <c r="B78" s="10" t="str">
        <f>CONCATENATE("          ", "5525", " - ", "FREIGHT-IN-TEST FORMS")</f>
        <v xml:space="preserve">          5525 - FREIGHT-IN-TEST FORMS</v>
      </c>
      <c r="C78" s="10"/>
      <c r="D78" s="2"/>
      <c r="E78" s="2"/>
      <c r="F78" s="19">
        <f t="shared" si="15"/>
        <v>0</v>
      </c>
      <c r="G78" s="2"/>
      <c r="H78" s="2"/>
      <c r="I78" s="2"/>
      <c r="J78" s="19">
        <f t="shared" si="16"/>
        <v>0</v>
      </c>
      <c r="K78" s="2"/>
      <c r="L78" s="2">
        <f t="shared" si="17"/>
        <v>0</v>
      </c>
      <c r="M78" s="2"/>
      <c r="N78" s="19">
        <f t="shared" si="18"/>
        <v>0</v>
      </c>
      <c r="O78" s="10"/>
      <c r="P78" s="2"/>
      <c r="Q78" s="2"/>
      <c r="R78" s="19">
        <f t="shared" si="19"/>
        <v>0</v>
      </c>
      <c r="S78" s="2"/>
      <c r="T78" s="2">
        <v>1614.32</v>
      </c>
      <c r="U78" s="2"/>
      <c r="V78" s="19">
        <f t="shared" si="20"/>
        <v>1.9397808777705538E-3</v>
      </c>
      <c r="W78" s="2"/>
      <c r="X78" s="2">
        <f t="shared" si="21"/>
        <v>-1614.32</v>
      </c>
      <c r="Y78" s="2"/>
      <c r="Z78" s="19">
        <f t="shared" si="22"/>
        <v>-1</v>
      </c>
    </row>
    <row r="79" spans="1:26" s="23" customFormat="1" hidden="1" outlineLevel="1" x14ac:dyDescent="0.25">
      <c r="A79" s="44"/>
      <c r="B79" s="10" t="str">
        <f>CONCATENATE("          ", "5526", " - ", "FREIGHT-IN-WRITING INSTRUMENTS")</f>
        <v xml:space="preserve">          5526 - FREIGHT-IN-WRITING INSTRUMENTS</v>
      </c>
      <c r="C79" s="10"/>
      <c r="D79" s="2"/>
      <c r="E79" s="2"/>
      <c r="F79" s="19">
        <f t="shared" si="15"/>
        <v>0</v>
      </c>
      <c r="G79" s="2"/>
      <c r="H79" s="2"/>
      <c r="I79" s="2"/>
      <c r="J79" s="19">
        <f t="shared" si="16"/>
        <v>0</v>
      </c>
      <c r="K79" s="2"/>
      <c r="L79" s="2">
        <f t="shared" si="17"/>
        <v>0</v>
      </c>
      <c r="M79" s="2"/>
      <c r="N79" s="19">
        <f t="shared" si="18"/>
        <v>0</v>
      </c>
      <c r="O79" s="10"/>
      <c r="P79" s="2"/>
      <c r="Q79" s="2"/>
      <c r="R79" s="19">
        <f t="shared" si="19"/>
        <v>0</v>
      </c>
      <c r="S79" s="2"/>
      <c r="T79" s="2">
        <v>274.5</v>
      </c>
      <c r="U79" s="2"/>
      <c r="V79" s="19">
        <f t="shared" si="20"/>
        <v>3.2984157474851147E-4</v>
      </c>
      <c r="W79" s="2"/>
      <c r="X79" s="2">
        <f t="shared" si="21"/>
        <v>-274.5</v>
      </c>
      <c r="Y79" s="2"/>
      <c r="Z79" s="19">
        <f t="shared" si="22"/>
        <v>-1</v>
      </c>
    </row>
    <row r="80" spans="1:26" s="23" customFormat="1" hidden="1" outlineLevel="1" x14ac:dyDescent="0.25">
      <c r="A80" s="44"/>
      <c r="B80" s="10" t="str">
        <f>CONCATENATE("          ", "5527", " - ", "FREIGHT-IN-SCHOOL SUPPLIES")</f>
        <v xml:space="preserve">          5527 - FREIGHT-IN-SCHOOL SUPPLIES</v>
      </c>
      <c r="C80" s="10"/>
      <c r="D80" s="2">
        <v>58.29</v>
      </c>
      <c r="E80" s="2"/>
      <c r="F80" s="19">
        <f t="shared" si="15"/>
        <v>0</v>
      </c>
      <c r="G80" s="2"/>
      <c r="H80" s="2"/>
      <c r="I80" s="2"/>
      <c r="J80" s="19">
        <f t="shared" si="16"/>
        <v>0</v>
      </c>
      <c r="K80" s="2"/>
      <c r="L80" s="2">
        <f t="shared" si="17"/>
        <v>58.29</v>
      </c>
      <c r="M80" s="2"/>
      <c r="N80" s="19">
        <f t="shared" si="18"/>
        <v>0</v>
      </c>
      <c r="O80" s="10"/>
      <c r="P80" s="2">
        <v>58.29</v>
      </c>
      <c r="Q80" s="2"/>
      <c r="R80" s="19">
        <f t="shared" si="19"/>
        <v>2.7350890956797888E-3</v>
      </c>
      <c r="S80" s="2"/>
      <c r="T80" s="2">
        <v>1808</v>
      </c>
      <c r="U80" s="2"/>
      <c r="V80" s="19">
        <f t="shared" si="20"/>
        <v>2.1725084413308153E-3</v>
      </c>
      <c r="W80" s="2"/>
      <c r="X80" s="2">
        <f t="shared" si="21"/>
        <v>-1749.71</v>
      </c>
      <c r="Y80" s="2"/>
      <c r="Z80" s="19">
        <f t="shared" si="22"/>
        <v>-0.96775995575221241</v>
      </c>
    </row>
    <row r="81" spans="1:26" s="23" customFormat="1" hidden="1" outlineLevel="1" x14ac:dyDescent="0.25">
      <c r="A81" s="44"/>
      <c r="B81" s="10" t="str">
        <f>CONCATENATE("          ", "5528", " - ", "FREIGHT-IN-ART/TECH")</f>
        <v xml:space="preserve">          5528 - FREIGHT-IN-ART/TECH</v>
      </c>
      <c r="C81" s="10"/>
      <c r="D81" s="2"/>
      <c r="E81" s="2"/>
      <c r="F81" s="19">
        <f t="shared" si="15"/>
        <v>0</v>
      </c>
      <c r="G81" s="2"/>
      <c r="H81" s="2">
        <v>13.33</v>
      </c>
      <c r="I81" s="2"/>
      <c r="J81" s="19">
        <f t="shared" si="16"/>
        <v>1.2652436709341354E-3</v>
      </c>
      <c r="K81" s="2"/>
      <c r="L81" s="2">
        <f t="shared" si="17"/>
        <v>-13.33</v>
      </c>
      <c r="M81" s="2"/>
      <c r="N81" s="19">
        <f t="shared" si="18"/>
        <v>-1</v>
      </c>
      <c r="O81" s="10"/>
      <c r="P81" s="2">
        <v>396.05</v>
      </c>
      <c r="Q81" s="2"/>
      <c r="R81" s="19">
        <f t="shared" si="19"/>
        <v>1.8583496935048557E-2</v>
      </c>
      <c r="S81" s="2"/>
      <c r="T81" s="2">
        <v>2837.7</v>
      </c>
      <c r="U81" s="2"/>
      <c r="V81" s="19">
        <f t="shared" si="20"/>
        <v>3.409804869449366E-3</v>
      </c>
      <c r="W81" s="2"/>
      <c r="X81" s="2">
        <f t="shared" si="21"/>
        <v>-2441.6499999999996</v>
      </c>
      <c r="Y81" s="2"/>
      <c r="Z81" s="19">
        <f t="shared" si="22"/>
        <v>-0.86043274482855825</v>
      </c>
    </row>
    <row r="82" spans="1:26" x14ac:dyDescent="0.25">
      <c r="A82" s="9"/>
      <c r="B82" s="11"/>
      <c r="C82" s="11"/>
      <c r="D82" s="3"/>
      <c r="E82" s="3"/>
      <c r="F82" s="8"/>
      <c r="G82" s="3"/>
      <c r="H82" s="3"/>
      <c r="I82" s="3"/>
      <c r="J82" s="8"/>
      <c r="K82" s="3"/>
      <c r="L82" s="3"/>
      <c r="M82" s="3"/>
      <c r="N82" s="8"/>
      <c r="O82" s="11"/>
      <c r="P82" s="3"/>
      <c r="Q82" s="3"/>
      <c r="R82" s="8"/>
      <c r="S82" s="3"/>
      <c r="T82" s="3"/>
      <c r="U82" s="3"/>
      <c r="V82" s="8"/>
      <c r="W82" s="3"/>
      <c r="X82" s="3"/>
      <c r="Y82" s="3"/>
      <c r="Z82" s="8"/>
    </row>
    <row r="83" spans="1:26" s="24" customFormat="1" x14ac:dyDescent="0.25">
      <c r="A83" s="11"/>
      <c r="B83" s="28" t="s">
        <v>107</v>
      </c>
      <c r="C83" s="28"/>
      <c r="D83" s="21">
        <f>D12-D56</f>
        <v>-174968.99000000002</v>
      </c>
      <c r="E83" s="14"/>
      <c r="F83" s="22">
        <f>IF(D$12=0,0,D83/D$12)</f>
        <v>0</v>
      </c>
      <c r="G83" s="14"/>
      <c r="H83" s="21">
        <f>H12-H56</f>
        <v>-32825.01</v>
      </c>
      <c r="I83" s="14"/>
      <c r="J83" s="22">
        <f>IF(H$12=0,0,H83/H$12)</f>
        <v>-3.1156516242197827</v>
      </c>
      <c r="K83" s="15"/>
      <c r="L83" s="21">
        <f>+D83-H83</f>
        <v>-142143.98000000001</v>
      </c>
      <c r="M83" s="15"/>
      <c r="N83" s="22">
        <f>IF(H83=0,0,L83/H83)</f>
        <v>4.3303560303561222</v>
      </c>
      <c r="O83" s="29"/>
      <c r="P83" s="21">
        <f>P12-P56</f>
        <v>-167478.58999999997</v>
      </c>
      <c r="Q83" s="14"/>
      <c r="R83" s="22">
        <f>IF(P$12=0,0,P83/P$12)</f>
        <v>-7.8584468222478305</v>
      </c>
      <c r="S83" s="14"/>
      <c r="T83" s="21">
        <f>T12-T56</f>
        <v>374738.75999999978</v>
      </c>
      <c r="U83" s="14"/>
      <c r="V83" s="22">
        <f>IF(T$12=0,0,T83/T$12)</f>
        <v>0.45028933594792142</v>
      </c>
      <c r="W83" s="15"/>
      <c r="X83" s="21">
        <f>+P83-T83</f>
        <v>-542217.34999999974</v>
      </c>
      <c r="Y83" s="15"/>
      <c r="Z83" s="22">
        <f>IF(T83=0,0,X83/T83)</f>
        <v>-1.446920916320479</v>
      </c>
    </row>
    <row r="84" spans="1:26" x14ac:dyDescent="0.25">
      <c r="A84" s="9"/>
      <c r="B84" s="11"/>
      <c r="C84" s="9"/>
      <c r="D84" s="1"/>
      <c r="E84" s="1"/>
      <c r="F84" s="5"/>
      <c r="G84" s="1"/>
      <c r="H84" s="1"/>
      <c r="I84" s="1"/>
      <c r="J84" s="5"/>
      <c r="K84" s="1"/>
      <c r="L84" s="1"/>
      <c r="M84" s="1"/>
      <c r="N84" s="5"/>
      <c r="O84" s="37"/>
      <c r="P84" s="1"/>
      <c r="Q84" s="1"/>
      <c r="R84" s="5"/>
      <c r="S84" s="1"/>
      <c r="T84" s="1"/>
      <c r="U84" s="1"/>
      <c r="V84" s="5"/>
      <c r="W84" s="1"/>
      <c r="X84" s="1"/>
      <c r="Y84" s="1"/>
      <c r="Z84" s="5"/>
    </row>
    <row r="85" spans="1:26" s="24" customFormat="1" x14ac:dyDescent="0.25">
      <c r="A85" s="11"/>
      <c r="B85" s="29" t="s">
        <v>294</v>
      </c>
      <c r="C85" s="11"/>
      <c r="D85" s="20">
        <f>SUM(OSRRefD22x_0)</f>
        <v>114.11</v>
      </c>
      <c r="E85" s="20"/>
      <c r="F85" s="32">
        <f t="shared" ref="F85:F95" si="23">IF(D$12=0,0,D85/D$12)</f>
        <v>0</v>
      </c>
      <c r="G85" s="20"/>
      <c r="H85" s="20">
        <f>SUM(OSRRefH22x_0)</f>
        <v>51890.22</v>
      </c>
      <c r="I85" s="20"/>
      <c r="J85" s="32">
        <f t="shared" ref="J85:J95" si="24">IF(H$12=0,0,H85/H$12)</f>
        <v>4.925264248940727</v>
      </c>
      <c r="K85" s="4"/>
      <c r="L85" s="20">
        <f t="shared" ref="L85:L95" si="25">+D85-H85</f>
        <v>-51776.11</v>
      </c>
      <c r="M85" s="4"/>
      <c r="N85" s="32">
        <f t="shared" ref="N85:N95" si="26">IF(H85=0,0,L85/H85)</f>
        <v>-0.9978009343571872</v>
      </c>
      <c r="O85" s="11"/>
      <c r="P85" s="20">
        <f>SUM(OSRRefP22x_0)</f>
        <v>12867.969999999998</v>
      </c>
      <c r="Q85" s="20"/>
      <c r="R85" s="32">
        <f t="shared" ref="R85:R95" si="27">IF(P$12=0,0,P85/P$12)</f>
        <v>0.60379215012068355</v>
      </c>
      <c r="S85" s="20"/>
      <c r="T85" s="20">
        <f>SUM(OSRRefT22x_0)</f>
        <v>268674.05</v>
      </c>
      <c r="U85" s="20"/>
      <c r="V85" s="32">
        <f t="shared" ref="V85:V95" si="28">IF(T$12=0,0,T85/T$12)</f>
        <v>0.32284106282717778</v>
      </c>
      <c r="W85" s="4"/>
      <c r="X85" s="20">
        <f t="shared" ref="X85:X95" si="29">+P85-T85</f>
        <v>-255806.07999999999</v>
      </c>
      <c r="Y85" s="4"/>
      <c r="Z85" s="32">
        <f t="shared" ref="Z85:Z95" si="30">IF(T85=0,0,X85/T85)</f>
        <v>-0.95210564622820848</v>
      </c>
    </row>
    <row r="86" spans="1:26" s="27" customFormat="1" outlineLevel="1" collapsed="1" x14ac:dyDescent="0.25">
      <c r="A86" s="26"/>
      <c r="B86" s="12" t="str">
        <f>CONCATENATE("     ","*Benefits                                         ")</f>
        <v xml:space="preserve">     *Benefits                                         </v>
      </c>
      <c r="C86" s="12"/>
      <c r="D86" s="1">
        <f>SUM(OSRRefD22_0x_0)</f>
        <v>0</v>
      </c>
      <c r="E86" s="1"/>
      <c r="F86" s="5">
        <f t="shared" si="23"/>
        <v>0</v>
      </c>
      <c r="G86" s="1"/>
      <c r="H86" s="1">
        <f>SUM(OSRRefH22_0x_0)</f>
        <v>2426.7400000000002</v>
      </c>
      <c r="I86" s="1"/>
      <c r="J86" s="5">
        <f t="shared" si="24"/>
        <v>0.23033889167312108</v>
      </c>
      <c r="K86" s="1"/>
      <c r="L86" s="1">
        <f t="shared" si="25"/>
        <v>-2426.7400000000002</v>
      </c>
      <c r="M86" s="1"/>
      <c r="N86" s="5">
        <f t="shared" si="26"/>
        <v>-1</v>
      </c>
      <c r="O86" s="12"/>
      <c r="P86" s="1">
        <f>SUM(OSRRefP22_0x_0)</f>
        <v>778.2</v>
      </c>
      <c r="Q86" s="1"/>
      <c r="R86" s="5">
        <f t="shared" si="27"/>
        <v>3.6514776707119778E-2</v>
      </c>
      <c r="S86" s="1"/>
      <c r="T86" s="1">
        <f>SUM(OSRRefT22_0x_0)</f>
        <v>36014.420000000006</v>
      </c>
      <c r="U86" s="1"/>
      <c r="V86" s="5">
        <f t="shared" si="28"/>
        <v>4.3275238639177739E-2</v>
      </c>
      <c r="W86" s="1"/>
      <c r="X86" s="1">
        <f t="shared" si="29"/>
        <v>-35236.220000000008</v>
      </c>
      <c r="Y86" s="1"/>
      <c r="Z86" s="5">
        <f t="shared" si="30"/>
        <v>-0.97839198854236731</v>
      </c>
    </row>
    <row r="87" spans="1:26" s="23" customFormat="1" hidden="1" outlineLevel="2" x14ac:dyDescent="0.25">
      <c r="A87" s="25"/>
      <c r="B87" s="10" t="str">
        <f>CONCATENATE("          ", "6111", " - ", "F.I.C.A.")</f>
        <v xml:space="preserve">          6111 - F.I.C.A.</v>
      </c>
      <c r="C87" s="10"/>
      <c r="D87" s="6"/>
      <c r="E87" s="2"/>
      <c r="F87" s="7">
        <f t="shared" si="23"/>
        <v>0</v>
      </c>
      <c r="G87" s="2"/>
      <c r="H87" s="6">
        <v>318.24</v>
      </c>
      <c r="I87" s="2"/>
      <c r="J87" s="7">
        <f t="shared" si="24"/>
        <v>3.0206387534739629E-2</v>
      </c>
      <c r="K87" s="2"/>
      <c r="L87" s="6">
        <f t="shared" si="25"/>
        <v>-318.24</v>
      </c>
      <c r="M87" s="2"/>
      <c r="N87" s="7">
        <f t="shared" si="26"/>
        <v>-1</v>
      </c>
      <c r="O87" s="10"/>
      <c r="P87" s="6">
        <v>484.61</v>
      </c>
      <c r="Q87" s="2"/>
      <c r="R87" s="7">
        <f t="shared" si="27"/>
        <v>2.2738917938881154E-2</v>
      </c>
      <c r="S87" s="2"/>
      <c r="T87" s="6">
        <v>6429.07</v>
      </c>
      <c r="U87" s="2"/>
      <c r="V87" s="7">
        <f t="shared" si="28"/>
        <v>7.7252261310324687E-3</v>
      </c>
      <c r="W87" s="2"/>
      <c r="X87" s="6">
        <f t="shared" si="29"/>
        <v>-5944.46</v>
      </c>
      <c r="Y87" s="2"/>
      <c r="Z87" s="7">
        <f t="shared" si="30"/>
        <v>-0.92462206819959969</v>
      </c>
    </row>
    <row r="88" spans="1:26" s="23" customFormat="1" hidden="1" outlineLevel="2" x14ac:dyDescent="0.25">
      <c r="A88" s="25"/>
      <c r="B88" s="10" t="str">
        <f>CONCATENATE("          ", "6112", " - ", "COMPENSATION INSURANCE")</f>
        <v xml:space="preserve">          6112 - COMPENSATION INSURANCE</v>
      </c>
      <c r="C88" s="10"/>
      <c r="D88" s="6"/>
      <c r="E88" s="2"/>
      <c r="F88" s="7">
        <f t="shared" si="23"/>
        <v>0</v>
      </c>
      <c r="G88" s="2"/>
      <c r="H88" s="6">
        <v>79.040000000000006</v>
      </c>
      <c r="I88" s="2"/>
      <c r="J88" s="7">
        <f t="shared" si="24"/>
        <v>7.5022400413078819E-3</v>
      </c>
      <c r="K88" s="2"/>
      <c r="L88" s="6">
        <f t="shared" si="25"/>
        <v>-79.040000000000006</v>
      </c>
      <c r="M88" s="2"/>
      <c r="N88" s="7">
        <f t="shared" si="26"/>
        <v>-1</v>
      </c>
      <c r="O88" s="10"/>
      <c r="P88" s="6">
        <v>255.57</v>
      </c>
      <c r="Q88" s="2"/>
      <c r="R88" s="7">
        <f t="shared" si="27"/>
        <v>1.1991880600152403E-2</v>
      </c>
      <c r="S88" s="2"/>
      <c r="T88" s="6">
        <v>2835.03</v>
      </c>
      <c r="U88" s="2"/>
      <c r="V88" s="7">
        <f t="shared" si="28"/>
        <v>3.4065965743507198E-3</v>
      </c>
      <c r="W88" s="2"/>
      <c r="X88" s="6">
        <f t="shared" si="29"/>
        <v>-2579.46</v>
      </c>
      <c r="Y88" s="2"/>
      <c r="Z88" s="7">
        <f t="shared" si="30"/>
        <v>-0.90985280579041483</v>
      </c>
    </row>
    <row r="89" spans="1:26" s="23" customFormat="1" hidden="1" outlineLevel="2" x14ac:dyDescent="0.25">
      <c r="A89" s="25"/>
      <c r="B89" s="10" t="str">
        <f>CONCATENATE("          ", "6113", " - ", "GROUP INSURANCE")</f>
        <v xml:space="preserve">          6113 - GROUP INSURANCE</v>
      </c>
      <c r="C89" s="10"/>
      <c r="D89" s="6"/>
      <c r="E89" s="2"/>
      <c r="F89" s="7">
        <f t="shared" si="23"/>
        <v>0</v>
      </c>
      <c r="G89" s="2"/>
      <c r="H89" s="6">
        <v>1367.58</v>
      </c>
      <c r="I89" s="2"/>
      <c r="J89" s="7">
        <f t="shared" si="24"/>
        <v>0.12980659711148573</v>
      </c>
      <c r="K89" s="2"/>
      <c r="L89" s="6">
        <f t="shared" si="25"/>
        <v>-1367.58</v>
      </c>
      <c r="M89" s="2"/>
      <c r="N89" s="7">
        <f t="shared" si="26"/>
        <v>-1</v>
      </c>
      <c r="O89" s="10"/>
      <c r="P89" s="6">
        <v>0</v>
      </c>
      <c r="Q89" s="2"/>
      <c r="R89" s="7">
        <f t="shared" si="27"/>
        <v>0</v>
      </c>
      <c r="S89" s="2"/>
      <c r="T89" s="6">
        <v>20898.98</v>
      </c>
      <c r="U89" s="2"/>
      <c r="V89" s="7">
        <f t="shared" si="28"/>
        <v>2.5112395168807453E-2</v>
      </c>
      <c r="W89" s="2"/>
      <c r="X89" s="6">
        <f t="shared" si="29"/>
        <v>-20898.98</v>
      </c>
      <c r="Y89" s="2"/>
      <c r="Z89" s="7">
        <f t="shared" si="30"/>
        <v>-1</v>
      </c>
    </row>
    <row r="90" spans="1:26" s="23" customFormat="1" hidden="1" outlineLevel="2" x14ac:dyDescent="0.25">
      <c r="A90" s="25"/>
      <c r="B90" s="10" t="str">
        <f>CONCATENATE("          ", "6114", " - ", "STATE UNEMPLOYMENT INSURANCE")</f>
        <v xml:space="preserve">          6114 - STATE UNEMPLOYMENT INSURANCE</v>
      </c>
      <c r="C90" s="10"/>
      <c r="D90" s="6"/>
      <c r="E90" s="2"/>
      <c r="F90" s="7">
        <f t="shared" si="23"/>
        <v>0</v>
      </c>
      <c r="G90" s="2"/>
      <c r="H90" s="6">
        <v>-419.11</v>
      </c>
      <c r="I90" s="2"/>
      <c r="J90" s="7">
        <f t="shared" si="24"/>
        <v>-3.9780665785836868E-2</v>
      </c>
      <c r="K90" s="2"/>
      <c r="L90" s="6">
        <f t="shared" si="25"/>
        <v>419.11</v>
      </c>
      <c r="M90" s="2"/>
      <c r="N90" s="7">
        <f t="shared" si="26"/>
        <v>-1</v>
      </c>
      <c r="O90" s="10"/>
      <c r="P90" s="6">
        <v>38.020000000000003</v>
      </c>
      <c r="Q90" s="2"/>
      <c r="R90" s="7">
        <f t="shared" si="27"/>
        <v>1.7839781680862169E-3</v>
      </c>
      <c r="S90" s="2"/>
      <c r="T90" s="6">
        <v>0</v>
      </c>
      <c r="U90" s="2"/>
      <c r="V90" s="7">
        <f t="shared" si="28"/>
        <v>0</v>
      </c>
      <c r="W90" s="2"/>
      <c r="X90" s="6">
        <f t="shared" si="29"/>
        <v>38.020000000000003</v>
      </c>
      <c r="Y90" s="2"/>
      <c r="Z90" s="7">
        <f t="shared" si="30"/>
        <v>0</v>
      </c>
    </row>
    <row r="91" spans="1:26" s="23" customFormat="1" hidden="1" outlineLevel="2" x14ac:dyDescent="0.25">
      <c r="A91" s="25"/>
      <c r="B91" s="10" t="str">
        <f>CONCATENATE("          ", "6115", " - ", "P.E.R.S.")</f>
        <v xml:space="preserve">          6115 - P.E.R.S.</v>
      </c>
      <c r="C91" s="10"/>
      <c r="D91" s="6"/>
      <c r="E91" s="2"/>
      <c r="F91" s="7">
        <f t="shared" si="23"/>
        <v>0</v>
      </c>
      <c r="G91" s="2"/>
      <c r="H91" s="6">
        <v>425.19</v>
      </c>
      <c r="I91" s="2"/>
      <c r="J91" s="7">
        <f t="shared" si="24"/>
        <v>4.0357761173629783E-2</v>
      </c>
      <c r="K91" s="2"/>
      <c r="L91" s="6">
        <f t="shared" si="25"/>
        <v>-425.19</v>
      </c>
      <c r="M91" s="2"/>
      <c r="N91" s="7">
        <f t="shared" si="26"/>
        <v>-1</v>
      </c>
      <c r="O91" s="10"/>
      <c r="P91" s="6"/>
      <c r="Q91" s="2"/>
      <c r="R91" s="7">
        <f t="shared" si="27"/>
        <v>0</v>
      </c>
      <c r="S91" s="2"/>
      <c r="T91" s="6">
        <v>5052.41</v>
      </c>
      <c r="U91" s="2"/>
      <c r="V91" s="7">
        <f t="shared" si="28"/>
        <v>6.0710195653010087E-3</v>
      </c>
      <c r="W91" s="2"/>
      <c r="X91" s="6">
        <f t="shared" si="29"/>
        <v>-5052.41</v>
      </c>
      <c r="Y91" s="2"/>
      <c r="Z91" s="7">
        <f t="shared" si="30"/>
        <v>-1</v>
      </c>
    </row>
    <row r="92" spans="1:26" s="23" customFormat="1" hidden="1" outlineLevel="2" x14ac:dyDescent="0.25">
      <c r="A92" s="25"/>
      <c r="B92" s="10" t="str">
        <f>CONCATENATE("          ", "6117", " - ", "RETIREMENT STAFF HOURLY")</f>
        <v xml:space="preserve">          6117 - RETIREMENT STAFF HOURLY</v>
      </c>
      <c r="C92" s="10"/>
      <c r="D92" s="6"/>
      <c r="E92" s="2"/>
      <c r="F92" s="7">
        <f t="shared" si="23"/>
        <v>0</v>
      </c>
      <c r="G92" s="2"/>
      <c r="H92" s="6"/>
      <c r="I92" s="2"/>
      <c r="J92" s="7">
        <f t="shared" si="24"/>
        <v>0</v>
      </c>
      <c r="K92" s="2"/>
      <c r="L92" s="6">
        <f t="shared" si="25"/>
        <v>0</v>
      </c>
      <c r="M92" s="2"/>
      <c r="N92" s="7">
        <f t="shared" si="26"/>
        <v>0</v>
      </c>
      <c r="O92" s="10"/>
      <c r="P92" s="6">
        <v>0</v>
      </c>
      <c r="Q92" s="2"/>
      <c r="R92" s="7">
        <f t="shared" si="27"/>
        <v>0</v>
      </c>
      <c r="S92" s="2"/>
      <c r="T92" s="6">
        <v>46.65</v>
      </c>
      <c r="U92" s="2"/>
      <c r="V92" s="7">
        <f t="shared" si="28"/>
        <v>5.6055043577479269E-5</v>
      </c>
      <c r="W92" s="2"/>
      <c r="X92" s="6">
        <f t="shared" si="29"/>
        <v>-46.65</v>
      </c>
      <c r="Y92" s="2"/>
      <c r="Z92" s="7">
        <f t="shared" si="30"/>
        <v>-1</v>
      </c>
    </row>
    <row r="93" spans="1:26" s="23" customFormat="1" hidden="1" outlineLevel="2" x14ac:dyDescent="0.25">
      <c r="A93" s="25"/>
      <c r="B93" s="10" t="str">
        <f>CONCATENATE("          ", "6118", " - ", "VACATION")</f>
        <v xml:space="preserve">          6118 - VACATION</v>
      </c>
      <c r="C93" s="10"/>
      <c r="D93" s="6"/>
      <c r="E93" s="2"/>
      <c r="F93" s="7">
        <f t="shared" si="23"/>
        <v>0</v>
      </c>
      <c r="G93" s="2"/>
      <c r="H93" s="6">
        <v>335.92</v>
      </c>
      <c r="I93" s="2"/>
      <c r="J93" s="7">
        <f t="shared" si="24"/>
        <v>3.1884520175558498E-2</v>
      </c>
      <c r="K93" s="2"/>
      <c r="L93" s="6">
        <f t="shared" si="25"/>
        <v>-335.92</v>
      </c>
      <c r="M93" s="2"/>
      <c r="N93" s="7">
        <f t="shared" si="26"/>
        <v>-1</v>
      </c>
      <c r="O93" s="10"/>
      <c r="P93" s="6"/>
      <c r="Q93" s="2"/>
      <c r="R93" s="7">
        <f t="shared" si="27"/>
        <v>0</v>
      </c>
      <c r="S93" s="2"/>
      <c r="T93" s="6">
        <v>4436.32</v>
      </c>
      <c r="U93" s="2"/>
      <c r="V93" s="7">
        <f t="shared" si="28"/>
        <v>5.3307204913964163E-3</v>
      </c>
      <c r="W93" s="2"/>
      <c r="X93" s="6">
        <f t="shared" si="29"/>
        <v>-4436.32</v>
      </c>
      <c r="Y93" s="2"/>
      <c r="Z93" s="7">
        <f t="shared" si="30"/>
        <v>-1</v>
      </c>
    </row>
    <row r="94" spans="1:26" s="23" customFormat="1" hidden="1" outlineLevel="2" x14ac:dyDescent="0.25">
      <c r="A94" s="25"/>
      <c r="B94" s="10" t="str">
        <f>CONCATENATE("          ", "6119", " - ", "SICK LEAVE")</f>
        <v xml:space="preserve">          6119 - SICK LEAVE</v>
      </c>
      <c r="C94" s="10"/>
      <c r="D94" s="6"/>
      <c r="E94" s="2"/>
      <c r="F94" s="7">
        <f t="shared" si="23"/>
        <v>0</v>
      </c>
      <c r="G94" s="2"/>
      <c r="H94" s="6">
        <v>191.88</v>
      </c>
      <c r="I94" s="2"/>
      <c r="J94" s="7">
        <f t="shared" si="24"/>
        <v>1.8212674837122422E-2</v>
      </c>
      <c r="K94" s="2"/>
      <c r="L94" s="6">
        <f t="shared" si="25"/>
        <v>-191.88</v>
      </c>
      <c r="M94" s="2"/>
      <c r="N94" s="7">
        <f t="shared" si="26"/>
        <v>-1</v>
      </c>
      <c r="O94" s="10"/>
      <c r="P94" s="6"/>
      <c r="Q94" s="2"/>
      <c r="R94" s="7">
        <f t="shared" si="27"/>
        <v>0</v>
      </c>
      <c r="S94" s="2"/>
      <c r="T94" s="6">
        <v>-5598.14</v>
      </c>
      <c r="U94" s="2"/>
      <c r="V94" s="7">
        <f t="shared" si="28"/>
        <v>-6.7267734545086782E-3</v>
      </c>
      <c r="W94" s="2"/>
      <c r="X94" s="6">
        <f t="shared" si="29"/>
        <v>5598.14</v>
      </c>
      <c r="Y94" s="2"/>
      <c r="Z94" s="7">
        <f t="shared" si="30"/>
        <v>-1</v>
      </c>
    </row>
    <row r="95" spans="1:26" s="23" customFormat="1" hidden="1" outlineLevel="2" x14ac:dyDescent="0.25">
      <c r="A95" s="25"/>
      <c r="B95" s="10" t="str">
        <f>CONCATENATE("          ", "6156", " - ", "EMPLOYEE MEALS")</f>
        <v xml:space="preserve">          6156 - EMPLOYEE MEALS</v>
      </c>
      <c r="C95" s="10"/>
      <c r="D95" s="6"/>
      <c r="E95" s="2"/>
      <c r="F95" s="7">
        <f t="shared" si="23"/>
        <v>0</v>
      </c>
      <c r="G95" s="2"/>
      <c r="H95" s="6">
        <v>128</v>
      </c>
      <c r="I95" s="2"/>
      <c r="J95" s="7">
        <f t="shared" si="24"/>
        <v>1.2149376585113978E-2</v>
      </c>
      <c r="K95" s="2"/>
      <c r="L95" s="6">
        <f t="shared" si="25"/>
        <v>-128</v>
      </c>
      <c r="M95" s="2"/>
      <c r="N95" s="7">
        <f t="shared" si="26"/>
        <v>-1</v>
      </c>
      <c r="O95" s="10"/>
      <c r="P95" s="6"/>
      <c r="Q95" s="2"/>
      <c r="R95" s="7">
        <f t="shared" si="27"/>
        <v>0</v>
      </c>
      <c r="S95" s="2"/>
      <c r="T95" s="6">
        <v>1914.1</v>
      </c>
      <c r="U95" s="2"/>
      <c r="V95" s="7">
        <f t="shared" si="28"/>
        <v>2.2999991192208589E-3</v>
      </c>
      <c r="W95" s="2"/>
      <c r="X95" s="6">
        <f t="shared" si="29"/>
        <v>-1914.1</v>
      </c>
      <c r="Y95" s="2"/>
      <c r="Z95" s="7">
        <f t="shared" si="30"/>
        <v>-1</v>
      </c>
    </row>
    <row r="96" spans="1:26" s="27" customFormat="1" outlineLevel="1" collapsed="1" x14ac:dyDescent="0.25">
      <c r="A96" s="26"/>
      <c r="B96" s="12" t="str">
        <f>CONCATENATE("     ","*Payroll                                          ")</f>
        <v xml:space="preserve">     *Payroll                                          </v>
      </c>
      <c r="C96" s="12"/>
      <c r="D96" s="1">
        <f>SUM(OSRRefD22_1x_0)</f>
        <v>0</v>
      </c>
      <c r="E96" s="1"/>
      <c r="F96" s="5">
        <f t="shared" ref="F96:F101" si="31">IF(D$12=0,0,D96/D$12)</f>
        <v>0</v>
      </c>
      <c r="G96" s="1"/>
      <c r="H96" s="1">
        <f>SUM(OSRRefH22_1x_0)</f>
        <v>3952</v>
      </c>
      <c r="I96" s="1"/>
      <c r="J96" s="5">
        <f t="shared" ref="J96:J101" si="32">IF(H$12=0,0,H96/H$12)</f>
        <v>0.37511200206539408</v>
      </c>
      <c r="K96" s="1"/>
      <c r="L96" s="1">
        <f t="shared" ref="L96:L101" si="33">+D96-H96</f>
        <v>-3952</v>
      </c>
      <c r="M96" s="1"/>
      <c r="N96" s="5">
        <f t="shared" ref="N96:N101" si="34">IF(H96=0,0,L96/H96)</f>
        <v>-1</v>
      </c>
      <c r="O96" s="12"/>
      <c r="P96" s="1">
        <f>SUM(OSRRefP22_1x_0)</f>
        <v>8152.5399999999991</v>
      </c>
      <c r="Q96" s="1"/>
      <c r="R96" s="5">
        <f t="shared" ref="R96:R101" si="35">IF(P$12=0,0,P96/P$12)</f>
        <v>0.38253428128483963</v>
      </c>
      <c r="S96" s="1"/>
      <c r="T96" s="1">
        <f>SUM(OSRRefT22_1x_0)</f>
        <v>156977.27000000002</v>
      </c>
      <c r="U96" s="1"/>
      <c r="V96" s="5">
        <f t="shared" ref="V96:V101" si="36">IF(T$12=0,0,T96/T$12)</f>
        <v>0.1886252456703908</v>
      </c>
      <c r="W96" s="1"/>
      <c r="X96" s="1">
        <f t="shared" ref="X96:X101" si="37">+P96-T96</f>
        <v>-148824.73000000001</v>
      </c>
      <c r="Y96" s="1"/>
      <c r="Z96" s="5">
        <f t="shared" ref="Z96:Z101" si="38">IF(T96=0,0,X96/T96)</f>
        <v>-0.9480654747021654</v>
      </c>
    </row>
    <row r="97" spans="1:26" s="23" customFormat="1" hidden="1" outlineLevel="2" x14ac:dyDescent="0.25">
      <c r="A97" s="25"/>
      <c r="B97" s="10" t="str">
        <f>CONCATENATE("          ", "6002", " - ", "STAFF SALARIES")</f>
        <v xml:space="preserve">          6002 - STAFF SALARIES</v>
      </c>
      <c r="C97" s="10"/>
      <c r="D97" s="6"/>
      <c r="E97" s="2"/>
      <c r="F97" s="7">
        <f t="shared" si="31"/>
        <v>0</v>
      </c>
      <c r="G97" s="2"/>
      <c r="H97" s="6">
        <v>3952</v>
      </c>
      <c r="I97" s="2"/>
      <c r="J97" s="7">
        <f t="shared" si="32"/>
        <v>0.37511200206539408</v>
      </c>
      <c r="K97" s="2"/>
      <c r="L97" s="6">
        <f t="shared" si="33"/>
        <v>-3952</v>
      </c>
      <c r="M97" s="2"/>
      <c r="N97" s="7">
        <f t="shared" si="34"/>
        <v>-1</v>
      </c>
      <c r="O97" s="10"/>
      <c r="P97" s="6"/>
      <c r="Q97" s="2"/>
      <c r="R97" s="7">
        <f t="shared" si="35"/>
        <v>0</v>
      </c>
      <c r="S97" s="2"/>
      <c r="T97" s="6">
        <v>59695.82</v>
      </c>
      <c r="U97" s="2"/>
      <c r="V97" s="7">
        <f t="shared" si="36"/>
        <v>7.1731013751197406E-2</v>
      </c>
      <c r="W97" s="2"/>
      <c r="X97" s="6">
        <f t="shared" si="37"/>
        <v>-59695.82</v>
      </c>
      <c r="Y97" s="2"/>
      <c r="Z97" s="7">
        <f t="shared" si="38"/>
        <v>-1</v>
      </c>
    </row>
    <row r="98" spans="1:26" s="23" customFormat="1" hidden="1" outlineLevel="2" x14ac:dyDescent="0.25">
      <c r="A98" s="25"/>
      <c r="B98" s="10" t="str">
        <f>CONCATENATE("          ", "6004", " - ", "STAFF HOURLY")</f>
        <v xml:space="preserve">          6004 - STAFF HOURLY</v>
      </c>
      <c r="C98" s="10"/>
      <c r="D98" s="6"/>
      <c r="E98" s="2"/>
      <c r="F98" s="7">
        <f t="shared" si="31"/>
        <v>0</v>
      </c>
      <c r="G98" s="2"/>
      <c r="H98" s="6"/>
      <c r="I98" s="2"/>
      <c r="J98" s="7">
        <f t="shared" si="32"/>
        <v>0</v>
      </c>
      <c r="K98" s="2"/>
      <c r="L98" s="6">
        <f t="shared" si="33"/>
        <v>0</v>
      </c>
      <c r="M98" s="2"/>
      <c r="N98" s="7">
        <f t="shared" si="34"/>
        <v>0</v>
      </c>
      <c r="O98" s="10"/>
      <c r="P98" s="6"/>
      <c r="Q98" s="2"/>
      <c r="R98" s="7">
        <f t="shared" si="35"/>
        <v>0</v>
      </c>
      <c r="S98" s="2"/>
      <c r="T98" s="6">
        <v>-48</v>
      </c>
      <c r="U98" s="2"/>
      <c r="V98" s="7">
        <f t="shared" si="36"/>
        <v>-5.7677215256570317E-5</v>
      </c>
      <c r="W98" s="2"/>
      <c r="X98" s="6">
        <f t="shared" si="37"/>
        <v>48</v>
      </c>
      <c r="Y98" s="2"/>
      <c r="Z98" s="7">
        <f t="shared" si="38"/>
        <v>-1</v>
      </c>
    </row>
    <row r="99" spans="1:26" s="23" customFormat="1" hidden="1" outlineLevel="2" x14ac:dyDescent="0.25">
      <c r="A99" s="25"/>
      <c r="B99" s="10" t="str">
        <f>CONCATENATE("          ", "6005", " - ", "TEMPORARY WAGES-HOURLY")</f>
        <v xml:space="preserve">          6005 - TEMPORARY WAGES-HOURLY</v>
      </c>
      <c r="C99" s="10"/>
      <c r="D99" s="6"/>
      <c r="E99" s="2"/>
      <c r="F99" s="7">
        <f t="shared" si="31"/>
        <v>0</v>
      </c>
      <c r="G99" s="2"/>
      <c r="H99" s="6"/>
      <c r="I99" s="2"/>
      <c r="J99" s="7">
        <f t="shared" si="32"/>
        <v>0</v>
      </c>
      <c r="K99" s="2"/>
      <c r="L99" s="6">
        <f t="shared" si="33"/>
        <v>0</v>
      </c>
      <c r="M99" s="2"/>
      <c r="N99" s="7">
        <f t="shared" si="34"/>
        <v>0</v>
      </c>
      <c r="O99" s="10"/>
      <c r="P99" s="6">
        <v>5379.19</v>
      </c>
      <c r="Q99" s="2"/>
      <c r="R99" s="7">
        <f t="shared" si="35"/>
        <v>0.25240288064144384</v>
      </c>
      <c r="S99" s="2"/>
      <c r="T99" s="6">
        <v>7121.65</v>
      </c>
      <c r="U99" s="2"/>
      <c r="V99" s="7">
        <f t="shared" si="36"/>
        <v>8.5574362506657068E-3</v>
      </c>
      <c r="W99" s="2"/>
      <c r="X99" s="6">
        <f t="shared" si="37"/>
        <v>-1742.46</v>
      </c>
      <c r="Y99" s="2"/>
      <c r="Z99" s="7">
        <f t="shared" si="38"/>
        <v>-0.24467082768740392</v>
      </c>
    </row>
    <row r="100" spans="1:26" s="23" customFormat="1" hidden="1" outlineLevel="2" x14ac:dyDescent="0.25">
      <c r="A100" s="25"/>
      <c r="B100" s="10" t="str">
        <f>CONCATENATE("          ", "6006", " - ", "TEMPORARY PART TIME")</f>
        <v xml:space="preserve">          6006 - TEMPORARY PART TIME</v>
      </c>
      <c r="C100" s="10"/>
      <c r="D100" s="6"/>
      <c r="E100" s="2"/>
      <c r="F100" s="7">
        <f t="shared" si="31"/>
        <v>0</v>
      </c>
      <c r="G100" s="2"/>
      <c r="H100" s="6"/>
      <c r="I100" s="2"/>
      <c r="J100" s="7">
        <f t="shared" si="32"/>
        <v>0</v>
      </c>
      <c r="K100" s="2"/>
      <c r="L100" s="6">
        <f t="shared" si="33"/>
        <v>0</v>
      </c>
      <c r="M100" s="2"/>
      <c r="N100" s="7">
        <f t="shared" si="34"/>
        <v>0</v>
      </c>
      <c r="O100" s="10"/>
      <c r="P100" s="6"/>
      <c r="Q100" s="2"/>
      <c r="R100" s="7">
        <f t="shared" si="35"/>
        <v>0</v>
      </c>
      <c r="S100" s="2"/>
      <c r="T100" s="6">
        <v>25.5</v>
      </c>
      <c r="U100" s="2"/>
      <c r="V100" s="7">
        <f t="shared" si="36"/>
        <v>3.0641020605052976E-5</v>
      </c>
      <c r="W100" s="2"/>
      <c r="X100" s="6">
        <f t="shared" si="37"/>
        <v>-25.5</v>
      </c>
      <c r="Y100" s="2"/>
      <c r="Z100" s="7">
        <f t="shared" si="38"/>
        <v>-1</v>
      </c>
    </row>
    <row r="101" spans="1:26" s="23" customFormat="1" hidden="1" outlineLevel="2" x14ac:dyDescent="0.25">
      <c r="A101" s="25"/>
      <c r="B101" s="10" t="str">
        <f>CONCATENATE("          ", "6007", " - ", "STUDENT HOURLY")</f>
        <v xml:space="preserve">          6007 - STUDENT HOURLY</v>
      </c>
      <c r="C101" s="10"/>
      <c r="D101" s="6"/>
      <c r="E101" s="2"/>
      <c r="F101" s="7">
        <f t="shared" si="31"/>
        <v>0</v>
      </c>
      <c r="G101" s="2"/>
      <c r="H101" s="6"/>
      <c r="I101" s="2"/>
      <c r="J101" s="7">
        <f t="shared" si="32"/>
        <v>0</v>
      </c>
      <c r="K101" s="2"/>
      <c r="L101" s="6">
        <f t="shared" si="33"/>
        <v>0</v>
      </c>
      <c r="M101" s="2"/>
      <c r="N101" s="7">
        <f t="shared" si="34"/>
        <v>0</v>
      </c>
      <c r="O101" s="10"/>
      <c r="P101" s="6">
        <v>2773.35</v>
      </c>
      <c r="Q101" s="2"/>
      <c r="R101" s="7">
        <f t="shared" si="35"/>
        <v>0.13013140064339582</v>
      </c>
      <c r="S101" s="2"/>
      <c r="T101" s="6">
        <v>90182.3</v>
      </c>
      <c r="U101" s="2"/>
      <c r="V101" s="7">
        <f t="shared" si="36"/>
        <v>0.10836383186317919</v>
      </c>
      <c r="W101" s="2"/>
      <c r="X101" s="6">
        <f t="shared" si="37"/>
        <v>-87408.95</v>
      </c>
      <c r="Y101" s="2"/>
      <c r="Z101" s="7">
        <f t="shared" si="38"/>
        <v>-0.96924729131991527</v>
      </c>
    </row>
    <row r="102" spans="1:26" s="27" customFormat="1" outlineLevel="1" collapsed="1" x14ac:dyDescent="0.25">
      <c r="A102" s="26"/>
      <c r="B102" s="12" t="str">
        <f>CONCATENATE("     ","Advertising/Promo                                 ")</f>
        <v xml:space="preserve">     Advertising/Promo                                 </v>
      </c>
      <c r="C102" s="12"/>
      <c r="D102" s="1">
        <f>SUM(OSRRefD22_2x_0)</f>
        <v>0</v>
      </c>
      <c r="E102" s="1"/>
      <c r="F102" s="5">
        <f t="shared" ref="F102:F108" si="39">IF(D$12=0,0,D102/D$12)</f>
        <v>0</v>
      </c>
      <c r="G102" s="1"/>
      <c r="H102" s="1">
        <f>SUM(OSRRefH22_2x_0)</f>
        <v>0</v>
      </c>
      <c r="I102" s="1"/>
      <c r="J102" s="5">
        <f t="shared" ref="J102:J108" si="40">IF(H$12=0,0,H102/H$12)</f>
        <v>0</v>
      </c>
      <c r="K102" s="1"/>
      <c r="L102" s="1">
        <f t="shared" ref="L102:L108" si="41">+D102-H102</f>
        <v>0</v>
      </c>
      <c r="M102" s="1"/>
      <c r="N102" s="5">
        <f t="shared" ref="N102:N108" si="42">IF(H102=0,0,L102/H102)</f>
        <v>0</v>
      </c>
      <c r="O102" s="12"/>
      <c r="P102" s="1">
        <f>SUM(OSRRefP22_2x_0)</f>
        <v>124.72</v>
      </c>
      <c r="Q102" s="1"/>
      <c r="R102" s="5">
        <f t="shared" ref="R102:R108" si="43">IF(P$12=0,0,P102/P$12)</f>
        <v>5.8521240695347957E-3</v>
      </c>
      <c r="S102" s="1"/>
      <c r="T102" s="1">
        <f>SUM(OSRRefT22_2x_0)</f>
        <v>2145.38</v>
      </c>
      <c r="U102" s="1"/>
      <c r="V102" s="5">
        <f t="shared" ref="V102:V108" si="44">IF(T$12=0,0,T102/T$12)</f>
        <v>2.5779071680654339E-3</v>
      </c>
      <c r="W102" s="1"/>
      <c r="X102" s="1">
        <f t="shared" ref="X102:X108" si="45">+P102-T102</f>
        <v>-2020.66</v>
      </c>
      <c r="Y102" s="1"/>
      <c r="Z102" s="5">
        <f t="shared" ref="Z102:Z108" si="46">IF(T102=0,0,X102/T102)</f>
        <v>-0.94186577669224103</v>
      </c>
    </row>
    <row r="103" spans="1:26" s="23" customFormat="1" hidden="1" outlineLevel="2" x14ac:dyDescent="0.25">
      <c r="A103" s="25"/>
      <c r="B103" s="10" t="str">
        <f>CONCATENATE("          ", "6362", " - ", "ADVERTISING EXPENSE")</f>
        <v xml:space="preserve">          6362 - ADVERTISING EXPENSE</v>
      </c>
      <c r="C103" s="10"/>
      <c r="D103" s="6"/>
      <c r="E103" s="2"/>
      <c r="F103" s="7">
        <f t="shared" si="39"/>
        <v>0</v>
      </c>
      <c r="G103" s="2"/>
      <c r="H103" s="6"/>
      <c r="I103" s="2"/>
      <c r="J103" s="7">
        <f t="shared" si="40"/>
        <v>0</v>
      </c>
      <c r="K103" s="2"/>
      <c r="L103" s="6">
        <f t="shared" si="41"/>
        <v>0</v>
      </c>
      <c r="M103" s="2"/>
      <c r="N103" s="7">
        <f t="shared" si="42"/>
        <v>0</v>
      </c>
      <c r="O103" s="10"/>
      <c r="P103" s="6">
        <v>124.72</v>
      </c>
      <c r="Q103" s="2"/>
      <c r="R103" s="7">
        <f t="shared" si="43"/>
        <v>5.8521240695347957E-3</v>
      </c>
      <c r="S103" s="2"/>
      <c r="T103" s="6">
        <v>2145.38</v>
      </c>
      <c r="U103" s="2"/>
      <c r="V103" s="7">
        <f t="shared" si="44"/>
        <v>2.5779071680654339E-3</v>
      </c>
      <c r="W103" s="2"/>
      <c r="X103" s="6">
        <f t="shared" si="45"/>
        <v>-2020.66</v>
      </c>
      <c r="Y103" s="2"/>
      <c r="Z103" s="7">
        <f t="shared" si="46"/>
        <v>-0.94186577669224103</v>
      </c>
    </row>
    <row r="104" spans="1:26" s="27" customFormat="1" outlineLevel="1" collapsed="1" x14ac:dyDescent="0.25">
      <c r="A104" s="26"/>
      <c r="B104" s="12" t="str">
        <f>CONCATENATE("     ","Bad Debts/Over/Short                              ")</f>
        <v xml:space="preserve">     Bad Debts/Over/Short                              </v>
      </c>
      <c r="C104" s="12"/>
      <c r="D104" s="1">
        <f>SUM(OSRRefD22_3x_0)</f>
        <v>0</v>
      </c>
      <c r="E104" s="1"/>
      <c r="F104" s="5">
        <f t="shared" si="39"/>
        <v>0</v>
      </c>
      <c r="G104" s="1"/>
      <c r="H104" s="1">
        <f>SUM(OSRRefH22_3x_0)</f>
        <v>0</v>
      </c>
      <c r="I104" s="1"/>
      <c r="J104" s="5">
        <f t="shared" si="40"/>
        <v>0</v>
      </c>
      <c r="K104" s="1"/>
      <c r="L104" s="1">
        <f t="shared" si="41"/>
        <v>0</v>
      </c>
      <c r="M104" s="1"/>
      <c r="N104" s="5">
        <f t="shared" si="42"/>
        <v>0</v>
      </c>
      <c r="O104" s="12"/>
      <c r="P104" s="1">
        <f>SUM(OSRRefP22_3x_0)</f>
        <v>1.1000000000000001</v>
      </c>
      <c r="Q104" s="1"/>
      <c r="R104" s="5">
        <f t="shared" si="43"/>
        <v>5.1614307861516002E-5</v>
      </c>
      <c r="S104" s="1"/>
      <c r="T104" s="1">
        <f>SUM(OSRRefT22_3x_0)</f>
        <v>-55.84</v>
      </c>
      <c r="U104" s="1"/>
      <c r="V104" s="5">
        <f t="shared" si="44"/>
        <v>-6.7097827081810142E-5</v>
      </c>
      <c r="W104" s="1"/>
      <c r="X104" s="1">
        <f t="shared" si="45"/>
        <v>56.940000000000005</v>
      </c>
      <c r="Y104" s="1"/>
      <c r="Z104" s="5">
        <f t="shared" si="46"/>
        <v>-1.0196991404011462</v>
      </c>
    </row>
    <row r="105" spans="1:26" s="23" customFormat="1" hidden="1" outlineLevel="2" x14ac:dyDescent="0.25">
      <c r="A105" s="25"/>
      <c r="B105" s="10" t="str">
        <f>CONCATENATE("          ", "6272", " - ", "CASH (OVER/SHORT)")</f>
        <v xml:space="preserve">          6272 - CASH (OVER/SHORT)</v>
      </c>
      <c r="C105" s="10"/>
      <c r="D105" s="6"/>
      <c r="E105" s="2"/>
      <c r="F105" s="7">
        <f t="shared" si="39"/>
        <v>0</v>
      </c>
      <c r="G105" s="2"/>
      <c r="H105" s="6"/>
      <c r="I105" s="2"/>
      <c r="J105" s="7">
        <f t="shared" si="40"/>
        <v>0</v>
      </c>
      <c r="K105" s="2"/>
      <c r="L105" s="6">
        <f t="shared" si="41"/>
        <v>0</v>
      </c>
      <c r="M105" s="2"/>
      <c r="N105" s="7">
        <f t="shared" si="42"/>
        <v>0</v>
      </c>
      <c r="O105" s="10"/>
      <c r="P105" s="6">
        <v>1.1000000000000001</v>
      </c>
      <c r="Q105" s="2"/>
      <c r="R105" s="7">
        <f t="shared" si="43"/>
        <v>5.1614307861516002E-5</v>
      </c>
      <c r="S105" s="2"/>
      <c r="T105" s="6">
        <v>-55.84</v>
      </c>
      <c r="U105" s="2"/>
      <c r="V105" s="7">
        <f t="shared" si="44"/>
        <v>-6.7097827081810142E-5</v>
      </c>
      <c r="W105" s="2"/>
      <c r="X105" s="6">
        <f t="shared" si="45"/>
        <v>56.940000000000005</v>
      </c>
      <c r="Y105" s="2"/>
      <c r="Z105" s="7">
        <f t="shared" si="46"/>
        <v>-1.0196991404011462</v>
      </c>
    </row>
    <row r="106" spans="1:26" s="27" customFormat="1" outlineLevel="1" collapsed="1" x14ac:dyDescent="0.25">
      <c r="A106" s="26"/>
      <c r="B106" s="12" t="str">
        <f>CONCATENATE("     ","Discounts and Markdowns                           ")</f>
        <v xml:space="preserve">     Discounts and Markdowns                           </v>
      </c>
      <c r="C106" s="12"/>
      <c r="D106" s="1">
        <f>SUM(OSRRefD22_4x_0)</f>
        <v>0</v>
      </c>
      <c r="E106" s="1"/>
      <c r="F106" s="5">
        <f t="shared" si="39"/>
        <v>0</v>
      </c>
      <c r="G106" s="1"/>
      <c r="H106" s="1">
        <f>SUM(OSRRefH22_4x_0)</f>
        <v>4841.82</v>
      </c>
      <c r="I106" s="1"/>
      <c r="J106" s="5">
        <f t="shared" si="40"/>
        <v>0.45957105107294183</v>
      </c>
      <c r="K106" s="1"/>
      <c r="L106" s="1">
        <f t="shared" si="41"/>
        <v>-4841.82</v>
      </c>
      <c r="M106" s="1"/>
      <c r="N106" s="5">
        <f t="shared" si="42"/>
        <v>-1</v>
      </c>
      <c r="O106" s="12"/>
      <c r="P106" s="1">
        <f>SUM(OSRRefP22_4x_0)</f>
        <v>0</v>
      </c>
      <c r="Q106" s="1"/>
      <c r="R106" s="5">
        <f t="shared" si="43"/>
        <v>0</v>
      </c>
      <c r="S106" s="1"/>
      <c r="T106" s="1">
        <f>SUM(OSRRefT22_4x_0)</f>
        <v>25704.85</v>
      </c>
      <c r="U106" s="1"/>
      <c r="V106" s="5">
        <f t="shared" si="44"/>
        <v>3.0887170137246903E-2</v>
      </c>
      <c r="W106" s="1"/>
      <c r="X106" s="1">
        <f t="shared" si="45"/>
        <v>-25704.85</v>
      </c>
      <c r="Y106" s="1"/>
      <c r="Z106" s="5">
        <f t="shared" si="46"/>
        <v>-1</v>
      </c>
    </row>
    <row r="107" spans="1:26" s="23" customFormat="1" hidden="1" outlineLevel="2" x14ac:dyDescent="0.25">
      <c r="A107" s="25"/>
      <c r="B107" s="10" t="str">
        <f>CONCATENATE("          ", "6382", " - ", "DISCOUNTS/MARK DOWNS")</f>
        <v xml:space="preserve">          6382 - DISCOUNTS/MARK DOWNS</v>
      </c>
      <c r="C107" s="10"/>
      <c r="D107" s="6"/>
      <c r="E107" s="2"/>
      <c r="F107" s="7">
        <f t="shared" si="39"/>
        <v>0</v>
      </c>
      <c r="G107" s="2"/>
      <c r="H107" s="6">
        <v>4841.82</v>
      </c>
      <c r="I107" s="2"/>
      <c r="J107" s="7">
        <f t="shared" si="40"/>
        <v>0.45957105107294183</v>
      </c>
      <c r="K107" s="2"/>
      <c r="L107" s="6">
        <f t="shared" si="41"/>
        <v>-4841.82</v>
      </c>
      <c r="M107" s="2"/>
      <c r="N107" s="7">
        <f t="shared" si="42"/>
        <v>-1</v>
      </c>
      <c r="O107" s="10"/>
      <c r="P107" s="6">
        <v>0</v>
      </c>
      <c r="Q107" s="2"/>
      <c r="R107" s="7">
        <f t="shared" si="43"/>
        <v>0</v>
      </c>
      <c r="S107" s="2"/>
      <c r="T107" s="6">
        <v>25704.85</v>
      </c>
      <c r="U107" s="2"/>
      <c r="V107" s="7">
        <f t="shared" si="44"/>
        <v>3.0887170137246903E-2</v>
      </c>
      <c r="W107" s="2"/>
      <c r="X107" s="6">
        <f t="shared" si="45"/>
        <v>-25704.85</v>
      </c>
      <c r="Y107" s="2"/>
      <c r="Z107" s="7">
        <f t="shared" si="46"/>
        <v>-1</v>
      </c>
    </row>
    <row r="108" spans="1:26" s="23" customFormat="1" hidden="1" outlineLevel="2" x14ac:dyDescent="0.25">
      <c r="A108" s="25"/>
      <c r="B108" s="10" t="str">
        <f>CONCATENATE("          ", "9175", " - ", "EARNED DISCOUNTS")</f>
        <v xml:space="preserve">          9175 - EARNED DISCOUNTS</v>
      </c>
      <c r="C108" s="10"/>
      <c r="D108" s="6">
        <v>0</v>
      </c>
      <c r="E108" s="2"/>
      <c r="F108" s="7">
        <f t="shared" si="39"/>
        <v>0</v>
      </c>
      <c r="G108" s="2"/>
      <c r="H108" s="6"/>
      <c r="I108" s="2"/>
      <c r="J108" s="7">
        <f t="shared" si="40"/>
        <v>0</v>
      </c>
      <c r="K108" s="2"/>
      <c r="L108" s="6">
        <f t="shared" si="41"/>
        <v>0</v>
      </c>
      <c r="M108" s="2"/>
      <c r="N108" s="7">
        <f t="shared" si="42"/>
        <v>0</v>
      </c>
      <c r="O108" s="10"/>
      <c r="P108" s="6">
        <v>0</v>
      </c>
      <c r="Q108" s="2"/>
      <c r="R108" s="7">
        <f t="shared" si="43"/>
        <v>0</v>
      </c>
      <c r="S108" s="2"/>
      <c r="T108" s="6">
        <v>0</v>
      </c>
      <c r="U108" s="2"/>
      <c r="V108" s="7">
        <f t="shared" si="44"/>
        <v>0</v>
      </c>
      <c r="W108" s="2"/>
      <c r="X108" s="6">
        <f t="shared" si="45"/>
        <v>0</v>
      </c>
      <c r="Y108" s="2"/>
      <c r="Z108" s="7">
        <f t="shared" si="46"/>
        <v>0</v>
      </c>
    </row>
    <row r="109" spans="1:26" s="27" customFormat="1" outlineLevel="1" collapsed="1" x14ac:dyDescent="0.25">
      <c r="A109" s="26"/>
      <c r="B109" s="12" t="str">
        <f>CONCATENATE("     ","Freight out/Postage                               ")</f>
        <v xml:space="preserve">     Freight out/Postage                               </v>
      </c>
      <c r="C109" s="12"/>
      <c r="D109" s="1">
        <f>SUM(OSRRefD22_5x_0)</f>
        <v>0</v>
      </c>
      <c r="E109" s="1"/>
      <c r="F109" s="5">
        <f t="shared" ref="F109:F134" si="47">IF(D$12=0,0,D109/D$12)</f>
        <v>0</v>
      </c>
      <c r="G109" s="1"/>
      <c r="H109" s="1">
        <f>SUM(OSRRefH22_5x_0)</f>
        <v>0</v>
      </c>
      <c r="I109" s="1"/>
      <c r="J109" s="5">
        <f t="shared" ref="J109:J134" si="48">IF(H$12=0,0,H109/H$12)</f>
        <v>0</v>
      </c>
      <c r="K109" s="1"/>
      <c r="L109" s="1">
        <f t="shared" ref="L109:L134" si="49">+D109-H109</f>
        <v>0</v>
      </c>
      <c r="M109" s="1"/>
      <c r="N109" s="5">
        <f t="shared" ref="N109:N134" si="50">IF(H109=0,0,L109/H109)</f>
        <v>0</v>
      </c>
      <c r="O109" s="12"/>
      <c r="P109" s="1">
        <f>SUM(OSRRefP22_5x_0)</f>
        <v>0</v>
      </c>
      <c r="Q109" s="1"/>
      <c r="R109" s="5">
        <f t="shared" ref="R109:R134" si="51">IF(P$12=0,0,P109/P$12)</f>
        <v>0</v>
      </c>
      <c r="S109" s="1"/>
      <c r="T109" s="1">
        <f>SUM(OSRRefT22_5x_0)</f>
        <v>15.81</v>
      </c>
      <c r="U109" s="1"/>
      <c r="V109" s="5">
        <f t="shared" ref="V109:V134" si="52">IF(T$12=0,0,T109/T$12)</f>
        <v>1.8997432775132847E-5</v>
      </c>
      <c r="W109" s="1"/>
      <c r="X109" s="1">
        <f t="shared" ref="X109:X134" si="53">+P109-T109</f>
        <v>-15.81</v>
      </c>
      <c r="Y109" s="1"/>
      <c r="Z109" s="5">
        <f t="shared" ref="Z109:Z134" si="54">IF(T109=0,0,X109/T109)</f>
        <v>-1</v>
      </c>
    </row>
    <row r="110" spans="1:26" s="23" customFormat="1" hidden="1" outlineLevel="2" x14ac:dyDescent="0.25">
      <c r="A110" s="25"/>
      <c r="B110" s="10" t="str">
        <f>CONCATENATE("          ", "6305", " - ", "FREIGHT OUT")</f>
        <v xml:space="preserve">          6305 - FREIGHT OUT</v>
      </c>
      <c r="C110" s="10"/>
      <c r="D110" s="6"/>
      <c r="E110" s="2"/>
      <c r="F110" s="7">
        <f t="shared" si="47"/>
        <v>0</v>
      </c>
      <c r="G110" s="2"/>
      <c r="H110" s="6"/>
      <c r="I110" s="2"/>
      <c r="J110" s="7">
        <f t="shared" si="48"/>
        <v>0</v>
      </c>
      <c r="K110" s="2"/>
      <c r="L110" s="6">
        <f t="shared" si="49"/>
        <v>0</v>
      </c>
      <c r="M110" s="2"/>
      <c r="N110" s="7">
        <f t="shared" si="50"/>
        <v>0</v>
      </c>
      <c r="O110" s="10"/>
      <c r="P110" s="6">
        <v>0</v>
      </c>
      <c r="Q110" s="2"/>
      <c r="R110" s="7">
        <f t="shared" si="51"/>
        <v>0</v>
      </c>
      <c r="S110" s="2"/>
      <c r="T110" s="6">
        <v>15.81</v>
      </c>
      <c r="U110" s="2"/>
      <c r="V110" s="7">
        <f t="shared" si="52"/>
        <v>1.8997432775132847E-5</v>
      </c>
      <c r="W110" s="2"/>
      <c r="X110" s="6">
        <f t="shared" si="53"/>
        <v>-15.81</v>
      </c>
      <c r="Y110" s="2"/>
      <c r="Z110" s="7">
        <f t="shared" si="54"/>
        <v>-1</v>
      </c>
    </row>
    <row r="111" spans="1:26" s="27" customFormat="1" outlineLevel="1" collapsed="1" x14ac:dyDescent="0.25">
      <c r="A111" s="26"/>
      <c r="B111" s="12" t="str">
        <f>CONCATENATE("     ","General                                           ")</f>
        <v xml:space="preserve">     General                                           </v>
      </c>
      <c r="C111" s="12"/>
      <c r="D111" s="1">
        <f>SUM(OSRRefD22_6x_0)</f>
        <v>0</v>
      </c>
      <c r="E111" s="1"/>
      <c r="F111" s="5">
        <f t="shared" si="47"/>
        <v>0</v>
      </c>
      <c r="G111" s="1"/>
      <c r="H111" s="1">
        <f>SUM(OSRRefH22_6x_0)</f>
        <v>0</v>
      </c>
      <c r="I111" s="1"/>
      <c r="J111" s="5">
        <f t="shared" si="48"/>
        <v>0</v>
      </c>
      <c r="K111" s="1"/>
      <c r="L111" s="1">
        <f t="shared" si="49"/>
        <v>0</v>
      </c>
      <c r="M111" s="1"/>
      <c r="N111" s="5">
        <f t="shared" si="50"/>
        <v>0</v>
      </c>
      <c r="O111" s="12"/>
      <c r="P111" s="1">
        <f>SUM(OSRRefP22_6x_0)</f>
        <v>879.55</v>
      </c>
      <c r="Q111" s="1"/>
      <c r="R111" s="5">
        <f t="shared" si="51"/>
        <v>4.1270331345087632E-2</v>
      </c>
      <c r="S111" s="1"/>
      <c r="T111" s="1">
        <f>SUM(OSRRefT22_6x_0)</f>
        <v>954.05</v>
      </c>
      <c r="U111" s="1"/>
      <c r="V111" s="5">
        <f t="shared" si="52"/>
        <v>1.1463947336568939E-3</v>
      </c>
      <c r="W111" s="1"/>
      <c r="X111" s="1">
        <f t="shared" si="53"/>
        <v>-74.5</v>
      </c>
      <c r="Y111" s="1"/>
      <c r="Z111" s="5">
        <f t="shared" si="54"/>
        <v>-7.8088150516220325E-2</v>
      </c>
    </row>
    <row r="112" spans="1:26" s="23" customFormat="1" hidden="1" outlineLevel="2" x14ac:dyDescent="0.25">
      <c r="A112" s="25"/>
      <c r="B112" s="10" t="str">
        <f>CONCATENATE("          ", "6279", " - ", "GENERAL EXPENSE")</f>
        <v xml:space="preserve">          6279 - GENERAL EXPENSE</v>
      </c>
      <c r="C112" s="10"/>
      <c r="D112" s="6"/>
      <c r="E112" s="2"/>
      <c r="F112" s="7">
        <f t="shared" si="47"/>
        <v>0</v>
      </c>
      <c r="G112" s="2"/>
      <c r="H112" s="6"/>
      <c r="I112" s="2"/>
      <c r="J112" s="7">
        <f t="shared" si="48"/>
        <v>0</v>
      </c>
      <c r="K112" s="2"/>
      <c r="L112" s="6">
        <f t="shared" si="49"/>
        <v>0</v>
      </c>
      <c r="M112" s="2"/>
      <c r="N112" s="7">
        <f t="shared" si="50"/>
        <v>0</v>
      </c>
      <c r="O112" s="10"/>
      <c r="P112" s="6">
        <v>879.55</v>
      </c>
      <c r="Q112" s="2"/>
      <c r="R112" s="7">
        <f t="shared" si="51"/>
        <v>4.1270331345087632E-2</v>
      </c>
      <c r="S112" s="2"/>
      <c r="T112" s="6">
        <v>954.05</v>
      </c>
      <c r="U112" s="2"/>
      <c r="V112" s="7">
        <f t="shared" si="52"/>
        <v>1.1463947336568939E-3</v>
      </c>
      <c r="W112" s="2"/>
      <c r="X112" s="6">
        <f t="shared" si="53"/>
        <v>-74.5</v>
      </c>
      <c r="Y112" s="2"/>
      <c r="Z112" s="7">
        <f t="shared" si="54"/>
        <v>-7.8088150516220325E-2</v>
      </c>
    </row>
    <row r="113" spans="1:26" s="27" customFormat="1" outlineLevel="1" collapsed="1" x14ac:dyDescent="0.25">
      <c r="A113" s="26"/>
      <c r="B113" s="12" t="str">
        <f>CONCATENATE("     ","Inventory Adjustment                              ")</f>
        <v xml:space="preserve">     Inventory Adjustment                              </v>
      </c>
      <c r="C113" s="12"/>
      <c r="D113" s="1">
        <f>SUM(OSRRefD22_7x_0)</f>
        <v>0</v>
      </c>
      <c r="E113" s="1"/>
      <c r="F113" s="5">
        <f t="shared" si="47"/>
        <v>0</v>
      </c>
      <c r="G113" s="1"/>
      <c r="H113" s="1">
        <f>SUM(OSRRefH22_7x_0)</f>
        <v>38127</v>
      </c>
      <c r="I113" s="1"/>
      <c r="J113" s="5">
        <f t="shared" si="48"/>
        <v>3.618900633286255</v>
      </c>
      <c r="K113" s="1"/>
      <c r="L113" s="1">
        <f t="shared" si="49"/>
        <v>-38127</v>
      </c>
      <c r="M113" s="1"/>
      <c r="N113" s="5">
        <f t="shared" si="50"/>
        <v>-1</v>
      </c>
      <c r="O113" s="12"/>
      <c r="P113" s="1">
        <f>SUM(OSRRefP22_7x_0)</f>
        <v>0</v>
      </c>
      <c r="Q113" s="1"/>
      <c r="R113" s="5">
        <f t="shared" si="51"/>
        <v>0</v>
      </c>
      <c r="S113" s="1"/>
      <c r="T113" s="1">
        <f>SUM(OSRRefT22_7x_0)</f>
        <v>38127</v>
      </c>
      <c r="U113" s="1"/>
      <c r="V113" s="5">
        <f t="shared" si="52"/>
        <v>4.581373304348451E-2</v>
      </c>
      <c r="W113" s="1"/>
      <c r="X113" s="1">
        <f t="shared" si="53"/>
        <v>-38127</v>
      </c>
      <c r="Y113" s="1"/>
      <c r="Z113" s="5">
        <f t="shared" si="54"/>
        <v>-1</v>
      </c>
    </row>
    <row r="114" spans="1:26" s="23" customFormat="1" hidden="1" outlineLevel="2" x14ac:dyDescent="0.25">
      <c r="A114" s="25"/>
      <c r="B114" s="10" t="str">
        <f>CONCATENATE("          ", "7713", " - ", "INV. SHRINKAGE-TRADE BOOKS")</f>
        <v xml:space="preserve">          7713 - INV. SHRINKAGE-TRADE BOOKS</v>
      </c>
      <c r="C114" s="10"/>
      <c r="D114" s="6"/>
      <c r="E114" s="2"/>
      <c r="F114" s="7">
        <f t="shared" si="47"/>
        <v>0</v>
      </c>
      <c r="G114" s="2"/>
      <c r="H114" s="6">
        <v>37</v>
      </c>
      <c r="I114" s="2"/>
      <c r="J114" s="7">
        <f t="shared" si="48"/>
        <v>3.5119291691345094E-3</v>
      </c>
      <c r="K114" s="2"/>
      <c r="L114" s="6">
        <f t="shared" si="49"/>
        <v>-37</v>
      </c>
      <c r="M114" s="2"/>
      <c r="N114" s="7">
        <f t="shared" si="50"/>
        <v>-1</v>
      </c>
      <c r="O114" s="10"/>
      <c r="P114" s="6"/>
      <c r="Q114" s="2"/>
      <c r="R114" s="7">
        <f t="shared" si="51"/>
        <v>0</v>
      </c>
      <c r="S114" s="2"/>
      <c r="T114" s="6">
        <v>37</v>
      </c>
      <c r="U114" s="2"/>
      <c r="V114" s="7">
        <f t="shared" si="52"/>
        <v>4.4459520093606287E-5</v>
      </c>
      <c r="W114" s="2"/>
      <c r="X114" s="6">
        <f t="shared" si="53"/>
        <v>-37</v>
      </c>
      <c r="Y114" s="2"/>
      <c r="Z114" s="7">
        <f t="shared" si="54"/>
        <v>-1</v>
      </c>
    </row>
    <row r="115" spans="1:26" s="23" customFormat="1" hidden="1" outlineLevel="2" x14ac:dyDescent="0.25">
      <c r="A115" s="25"/>
      <c r="B115" s="10" t="str">
        <f>CONCATENATE("          ", "7714", " - ", "INV. SHRINKAGE-REMAINDERS")</f>
        <v xml:space="preserve">          7714 - INV. SHRINKAGE-REMAINDERS</v>
      </c>
      <c r="C115" s="10"/>
      <c r="D115" s="6"/>
      <c r="E115" s="2"/>
      <c r="F115" s="7">
        <f t="shared" si="47"/>
        <v>0</v>
      </c>
      <c r="G115" s="2"/>
      <c r="H115" s="6">
        <v>33</v>
      </c>
      <c r="I115" s="2"/>
      <c r="J115" s="7">
        <f t="shared" si="48"/>
        <v>3.1322611508496976E-3</v>
      </c>
      <c r="K115" s="2"/>
      <c r="L115" s="6">
        <f t="shared" si="49"/>
        <v>-33</v>
      </c>
      <c r="M115" s="2"/>
      <c r="N115" s="7">
        <f t="shared" si="50"/>
        <v>-1</v>
      </c>
      <c r="O115" s="10"/>
      <c r="P115" s="6"/>
      <c r="Q115" s="2"/>
      <c r="R115" s="7">
        <f t="shared" si="51"/>
        <v>0</v>
      </c>
      <c r="S115" s="2"/>
      <c r="T115" s="6">
        <v>33</v>
      </c>
      <c r="U115" s="2"/>
      <c r="V115" s="7">
        <f t="shared" si="52"/>
        <v>3.965308548889209E-5</v>
      </c>
      <c r="W115" s="2"/>
      <c r="X115" s="6">
        <f t="shared" si="53"/>
        <v>-33</v>
      </c>
      <c r="Y115" s="2"/>
      <c r="Z115" s="7">
        <f t="shared" si="54"/>
        <v>-1</v>
      </c>
    </row>
    <row r="116" spans="1:26" s="23" customFormat="1" hidden="1" outlineLevel="2" x14ac:dyDescent="0.25">
      <c r="A116" s="25"/>
      <c r="B116" s="10" t="str">
        <f>CONCATENATE("          ", "7717", " - ", "INV. SHRINKAGE-DORM/HOUSEWARES")</f>
        <v xml:space="preserve">          7717 - INV. SHRINKAGE-DORM/HOUSEWARES</v>
      </c>
      <c r="C116" s="10"/>
      <c r="D116" s="6"/>
      <c r="E116" s="2"/>
      <c r="F116" s="7">
        <f t="shared" si="47"/>
        <v>0</v>
      </c>
      <c r="G116" s="2"/>
      <c r="H116" s="6">
        <v>-254</v>
      </c>
      <c r="I116" s="2"/>
      <c r="J116" s="7">
        <f t="shared" si="48"/>
        <v>-2.4108919161085551E-2</v>
      </c>
      <c r="K116" s="2"/>
      <c r="L116" s="6">
        <f t="shared" si="49"/>
        <v>254</v>
      </c>
      <c r="M116" s="2"/>
      <c r="N116" s="7">
        <f t="shared" si="50"/>
        <v>-1</v>
      </c>
      <c r="O116" s="10"/>
      <c r="P116" s="6"/>
      <c r="Q116" s="2"/>
      <c r="R116" s="7">
        <f t="shared" si="51"/>
        <v>0</v>
      </c>
      <c r="S116" s="2"/>
      <c r="T116" s="6">
        <v>-254</v>
      </c>
      <c r="U116" s="2"/>
      <c r="V116" s="7">
        <f t="shared" si="52"/>
        <v>-3.0520859739935124E-4</v>
      </c>
      <c r="W116" s="2"/>
      <c r="X116" s="6">
        <f t="shared" si="53"/>
        <v>254</v>
      </c>
      <c r="Y116" s="2"/>
      <c r="Z116" s="7">
        <f t="shared" si="54"/>
        <v>-1</v>
      </c>
    </row>
    <row r="117" spans="1:26" s="23" customFormat="1" hidden="1" outlineLevel="2" x14ac:dyDescent="0.25">
      <c r="A117" s="25"/>
      <c r="B117" s="10" t="str">
        <f>CONCATENATE("          ", "7719", " - ", "INV. SHRINKAGE-BOOK RELATED")</f>
        <v xml:space="preserve">          7719 - INV. SHRINKAGE-BOOK RELATED</v>
      </c>
      <c r="C117" s="10"/>
      <c r="D117" s="6"/>
      <c r="E117" s="2"/>
      <c r="F117" s="7">
        <f t="shared" si="47"/>
        <v>0</v>
      </c>
      <c r="G117" s="2"/>
      <c r="H117" s="6">
        <v>-43</v>
      </c>
      <c r="I117" s="2"/>
      <c r="J117" s="7">
        <f t="shared" si="48"/>
        <v>-4.0814311965617269E-3</v>
      </c>
      <c r="K117" s="2"/>
      <c r="L117" s="6">
        <f t="shared" si="49"/>
        <v>43</v>
      </c>
      <c r="M117" s="2"/>
      <c r="N117" s="7">
        <f t="shared" si="50"/>
        <v>-1</v>
      </c>
      <c r="O117" s="10"/>
      <c r="P117" s="6"/>
      <c r="Q117" s="2"/>
      <c r="R117" s="7">
        <f t="shared" si="51"/>
        <v>0</v>
      </c>
      <c r="S117" s="2"/>
      <c r="T117" s="6">
        <v>-43</v>
      </c>
      <c r="U117" s="2"/>
      <c r="V117" s="7">
        <f t="shared" si="52"/>
        <v>-5.1669172000677572E-5</v>
      </c>
      <c r="W117" s="2"/>
      <c r="X117" s="6">
        <f t="shared" si="53"/>
        <v>43</v>
      </c>
      <c r="Y117" s="2"/>
      <c r="Z117" s="7">
        <f t="shared" si="54"/>
        <v>-1</v>
      </c>
    </row>
    <row r="118" spans="1:26" s="23" customFormat="1" hidden="1" outlineLevel="2" x14ac:dyDescent="0.25">
      <c r="A118" s="25"/>
      <c r="B118" s="10" t="str">
        <f>CONCATENATE("          ", "7725", " - ", "INV. SHRINKAGE-TEST FORMS")</f>
        <v xml:space="preserve">          7725 - INV. SHRINKAGE-TEST FORMS</v>
      </c>
      <c r="C118" s="10"/>
      <c r="D118" s="6"/>
      <c r="E118" s="2"/>
      <c r="F118" s="7">
        <f t="shared" si="47"/>
        <v>0</v>
      </c>
      <c r="G118" s="2"/>
      <c r="H118" s="6">
        <v>3987</v>
      </c>
      <c r="I118" s="2"/>
      <c r="J118" s="7">
        <f t="shared" si="48"/>
        <v>0.37843409722538618</v>
      </c>
      <c r="K118" s="2"/>
      <c r="L118" s="6">
        <f t="shared" si="49"/>
        <v>-3987</v>
      </c>
      <c r="M118" s="2"/>
      <c r="N118" s="7">
        <f t="shared" si="50"/>
        <v>-1</v>
      </c>
      <c r="O118" s="10"/>
      <c r="P118" s="6"/>
      <c r="Q118" s="2"/>
      <c r="R118" s="7">
        <f t="shared" si="51"/>
        <v>0</v>
      </c>
      <c r="S118" s="2"/>
      <c r="T118" s="6">
        <v>3987</v>
      </c>
      <c r="U118" s="2"/>
      <c r="V118" s="7">
        <f t="shared" si="52"/>
        <v>4.7908136922488716E-3</v>
      </c>
      <c r="W118" s="2"/>
      <c r="X118" s="6">
        <f t="shared" si="53"/>
        <v>-3987</v>
      </c>
      <c r="Y118" s="2"/>
      <c r="Z118" s="7">
        <f t="shared" si="54"/>
        <v>-1</v>
      </c>
    </row>
    <row r="119" spans="1:26" s="23" customFormat="1" hidden="1" outlineLevel="2" x14ac:dyDescent="0.25">
      <c r="A119" s="25"/>
      <c r="B119" s="10" t="str">
        <f>CONCATENATE("          ", "7726", " - ", "INV. SHRINKAGE-WRITING INSTRUM")</f>
        <v xml:space="preserve">          7726 - INV. SHRINKAGE-WRITING INSTRUM</v>
      </c>
      <c r="C119" s="10"/>
      <c r="D119" s="6"/>
      <c r="E119" s="2"/>
      <c r="F119" s="7">
        <f t="shared" si="47"/>
        <v>0</v>
      </c>
      <c r="G119" s="2"/>
      <c r="H119" s="6">
        <v>6811</v>
      </c>
      <c r="I119" s="2"/>
      <c r="J119" s="7">
        <f t="shared" si="48"/>
        <v>0.64647971813446325</v>
      </c>
      <c r="K119" s="2"/>
      <c r="L119" s="6">
        <f t="shared" si="49"/>
        <v>-6811</v>
      </c>
      <c r="M119" s="2"/>
      <c r="N119" s="7">
        <f t="shared" si="50"/>
        <v>-1</v>
      </c>
      <c r="O119" s="10"/>
      <c r="P119" s="6"/>
      <c r="Q119" s="2"/>
      <c r="R119" s="7">
        <f t="shared" si="51"/>
        <v>0</v>
      </c>
      <c r="S119" s="2"/>
      <c r="T119" s="6">
        <v>6811</v>
      </c>
      <c r="U119" s="2"/>
      <c r="V119" s="7">
        <f t="shared" si="52"/>
        <v>8.1841565231770916E-3</v>
      </c>
      <c r="W119" s="2"/>
      <c r="X119" s="6">
        <f t="shared" si="53"/>
        <v>-6811</v>
      </c>
      <c r="Y119" s="2"/>
      <c r="Z119" s="7">
        <f t="shared" si="54"/>
        <v>-1</v>
      </c>
    </row>
    <row r="120" spans="1:26" s="23" customFormat="1" hidden="1" outlineLevel="2" x14ac:dyDescent="0.25">
      <c r="A120" s="25"/>
      <c r="B120" s="10" t="str">
        <f>CONCATENATE("          ", "7727", " - ", "INV. SHRINKAGE-SCHOOL SUPPLIES")</f>
        <v xml:space="preserve">          7727 - INV. SHRINKAGE-SCHOOL SUPPLIES</v>
      </c>
      <c r="C120" s="10"/>
      <c r="D120" s="6"/>
      <c r="E120" s="2"/>
      <c r="F120" s="7">
        <f t="shared" si="47"/>
        <v>0</v>
      </c>
      <c r="G120" s="2"/>
      <c r="H120" s="6">
        <v>9438</v>
      </c>
      <c r="I120" s="2"/>
      <c r="J120" s="7">
        <f t="shared" si="48"/>
        <v>0.89582668914301344</v>
      </c>
      <c r="K120" s="2"/>
      <c r="L120" s="6">
        <f t="shared" si="49"/>
        <v>-9438</v>
      </c>
      <c r="M120" s="2"/>
      <c r="N120" s="7">
        <f t="shared" si="50"/>
        <v>-1</v>
      </c>
      <c r="O120" s="10"/>
      <c r="P120" s="6"/>
      <c r="Q120" s="2"/>
      <c r="R120" s="7">
        <f t="shared" si="51"/>
        <v>0</v>
      </c>
      <c r="S120" s="2"/>
      <c r="T120" s="6">
        <v>9438</v>
      </c>
      <c r="U120" s="2"/>
      <c r="V120" s="7">
        <f t="shared" si="52"/>
        <v>1.1340782449823138E-2</v>
      </c>
      <c r="W120" s="2"/>
      <c r="X120" s="6">
        <f t="shared" si="53"/>
        <v>-9438</v>
      </c>
      <c r="Y120" s="2"/>
      <c r="Z120" s="7">
        <f t="shared" si="54"/>
        <v>-1</v>
      </c>
    </row>
    <row r="121" spans="1:26" s="23" customFormat="1" hidden="1" outlineLevel="2" x14ac:dyDescent="0.25">
      <c r="A121" s="25"/>
      <c r="B121" s="10" t="str">
        <f>CONCATENATE("          ", "7728", " - ", "INV. SHRINKAGE-ART/TECH")</f>
        <v xml:space="preserve">          7728 - INV. SHRINKAGE-ART/TECH</v>
      </c>
      <c r="C121" s="10"/>
      <c r="D121" s="6"/>
      <c r="E121" s="2"/>
      <c r="F121" s="7">
        <f t="shared" si="47"/>
        <v>0</v>
      </c>
      <c r="G121" s="2"/>
      <c r="H121" s="6">
        <v>8990</v>
      </c>
      <c r="I121" s="2"/>
      <c r="J121" s="7">
        <f t="shared" si="48"/>
        <v>0.85330387109511452</v>
      </c>
      <c r="K121" s="2"/>
      <c r="L121" s="6">
        <f t="shared" si="49"/>
        <v>-8990</v>
      </c>
      <c r="M121" s="2"/>
      <c r="N121" s="7">
        <f t="shared" si="50"/>
        <v>-1</v>
      </c>
      <c r="O121" s="10"/>
      <c r="P121" s="6"/>
      <c r="Q121" s="2"/>
      <c r="R121" s="7">
        <f t="shared" si="51"/>
        <v>0</v>
      </c>
      <c r="S121" s="2"/>
      <c r="T121" s="6">
        <v>8990</v>
      </c>
      <c r="U121" s="2"/>
      <c r="V121" s="7">
        <f t="shared" si="52"/>
        <v>1.0802461774095148E-2</v>
      </c>
      <c r="W121" s="2"/>
      <c r="X121" s="6">
        <f t="shared" si="53"/>
        <v>-8990</v>
      </c>
      <c r="Y121" s="2"/>
      <c r="Z121" s="7">
        <f t="shared" si="54"/>
        <v>-1</v>
      </c>
    </row>
    <row r="122" spans="1:26" s="23" customFormat="1" hidden="1" outlineLevel="2" x14ac:dyDescent="0.25">
      <c r="A122" s="25"/>
      <c r="B122" s="10" t="str">
        <f>CONCATENATE("          ", "7731", " - ", "INV. SHRINKAGE-FOOD")</f>
        <v xml:space="preserve">          7731 - INV. SHRINKAGE-FOOD</v>
      </c>
      <c r="C122" s="10"/>
      <c r="D122" s="6"/>
      <c r="E122" s="2"/>
      <c r="F122" s="7">
        <f t="shared" si="47"/>
        <v>0</v>
      </c>
      <c r="G122" s="2"/>
      <c r="H122" s="6">
        <v>6964</v>
      </c>
      <c r="I122" s="2"/>
      <c r="J122" s="7">
        <f t="shared" si="48"/>
        <v>0.66100201983385731</v>
      </c>
      <c r="K122" s="2"/>
      <c r="L122" s="6">
        <f t="shared" si="49"/>
        <v>-6964</v>
      </c>
      <c r="M122" s="2"/>
      <c r="N122" s="7">
        <f t="shared" si="50"/>
        <v>-1</v>
      </c>
      <c r="O122" s="10"/>
      <c r="P122" s="6"/>
      <c r="Q122" s="2"/>
      <c r="R122" s="7">
        <f t="shared" si="51"/>
        <v>0</v>
      </c>
      <c r="S122" s="2"/>
      <c r="T122" s="6">
        <v>6964</v>
      </c>
      <c r="U122" s="2"/>
      <c r="V122" s="7">
        <f t="shared" si="52"/>
        <v>8.3680026468074091E-3</v>
      </c>
      <c r="W122" s="2"/>
      <c r="X122" s="6">
        <f t="shared" si="53"/>
        <v>-6964</v>
      </c>
      <c r="Y122" s="2"/>
      <c r="Z122" s="7">
        <f t="shared" si="54"/>
        <v>-1</v>
      </c>
    </row>
    <row r="123" spans="1:26" s="23" customFormat="1" hidden="1" outlineLevel="2" x14ac:dyDescent="0.25">
      <c r="A123" s="25"/>
      <c r="B123" s="10" t="str">
        <f>CONCATENATE("          ", "7732", " - ", "INV. SHRINKAGE-JUICE")</f>
        <v xml:space="preserve">          7732 - INV. SHRINKAGE-JUICE</v>
      </c>
      <c r="C123" s="10"/>
      <c r="D123" s="6"/>
      <c r="E123" s="2"/>
      <c r="F123" s="7">
        <f t="shared" si="47"/>
        <v>0</v>
      </c>
      <c r="G123" s="2"/>
      <c r="H123" s="6">
        <v>-1942</v>
      </c>
      <c r="I123" s="2"/>
      <c r="J123" s="7">
        <f t="shared" si="48"/>
        <v>-0.18432882287727614</v>
      </c>
      <c r="K123" s="2"/>
      <c r="L123" s="6">
        <f t="shared" si="49"/>
        <v>1942</v>
      </c>
      <c r="M123" s="2"/>
      <c r="N123" s="7">
        <f t="shared" si="50"/>
        <v>-1</v>
      </c>
      <c r="O123" s="10"/>
      <c r="P123" s="6"/>
      <c r="Q123" s="2"/>
      <c r="R123" s="7">
        <f t="shared" si="51"/>
        <v>0</v>
      </c>
      <c r="S123" s="2"/>
      <c r="T123" s="6">
        <v>-1942</v>
      </c>
      <c r="U123" s="2"/>
      <c r="V123" s="7">
        <f t="shared" si="52"/>
        <v>-2.3335240005887404E-3</v>
      </c>
      <c r="W123" s="2"/>
      <c r="X123" s="6">
        <f t="shared" si="53"/>
        <v>1942</v>
      </c>
      <c r="Y123" s="2"/>
      <c r="Z123" s="7">
        <f t="shared" si="54"/>
        <v>-1</v>
      </c>
    </row>
    <row r="124" spans="1:26" s="23" customFormat="1" hidden="1" outlineLevel="2" x14ac:dyDescent="0.25">
      <c r="A124" s="25"/>
      <c r="B124" s="10" t="str">
        <f>CONCATENATE("          ", "7733", " - ", "INV. SHRINKAGE-CANDY")</f>
        <v xml:space="preserve">          7733 - INV. SHRINKAGE-CANDY</v>
      </c>
      <c r="C124" s="10"/>
      <c r="D124" s="6"/>
      <c r="E124" s="2"/>
      <c r="F124" s="7">
        <f t="shared" si="47"/>
        <v>0</v>
      </c>
      <c r="G124" s="2"/>
      <c r="H124" s="6">
        <v>2710</v>
      </c>
      <c r="I124" s="2"/>
      <c r="J124" s="7">
        <f t="shared" si="48"/>
        <v>0.25722508238795999</v>
      </c>
      <c r="K124" s="2"/>
      <c r="L124" s="6">
        <f t="shared" si="49"/>
        <v>-2710</v>
      </c>
      <c r="M124" s="2"/>
      <c r="N124" s="7">
        <f t="shared" si="50"/>
        <v>-1</v>
      </c>
      <c r="O124" s="10"/>
      <c r="P124" s="6"/>
      <c r="Q124" s="2"/>
      <c r="R124" s="7">
        <f t="shared" si="51"/>
        <v>0</v>
      </c>
      <c r="S124" s="2"/>
      <c r="T124" s="6">
        <v>2710</v>
      </c>
      <c r="U124" s="2"/>
      <c r="V124" s="7">
        <f t="shared" si="52"/>
        <v>3.2563594446938658E-3</v>
      </c>
      <c r="W124" s="2"/>
      <c r="X124" s="6">
        <f t="shared" si="53"/>
        <v>-2710</v>
      </c>
      <c r="Y124" s="2"/>
      <c r="Z124" s="7">
        <f t="shared" si="54"/>
        <v>-1</v>
      </c>
    </row>
    <row r="125" spans="1:26" s="23" customFormat="1" hidden="1" outlineLevel="2" x14ac:dyDescent="0.25">
      <c r="A125" s="25"/>
      <c r="B125" s="10" t="str">
        <f>CONCATENATE("          ", "7734", " - ", "INV. SHRINKAGE-SODA")</f>
        <v xml:space="preserve">          7734 - INV. SHRINKAGE-SODA</v>
      </c>
      <c r="C125" s="10"/>
      <c r="D125" s="6"/>
      <c r="E125" s="2"/>
      <c r="F125" s="7">
        <f t="shared" si="47"/>
        <v>0</v>
      </c>
      <c r="G125" s="2"/>
      <c r="H125" s="6">
        <v>1253</v>
      </c>
      <c r="I125" s="2"/>
      <c r="J125" s="7">
        <f t="shared" si="48"/>
        <v>0.11893100672771729</v>
      </c>
      <c r="K125" s="2"/>
      <c r="L125" s="6">
        <f t="shared" si="49"/>
        <v>-1253</v>
      </c>
      <c r="M125" s="2"/>
      <c r="N125" s="7">
        <f t="shared" si="50"/>
        <v>-1</v>
      </c>
      <c r="O125" s="10"/>
      <c r="P125" s="6"/>
      <c r="Q125" s="2"/>
      <c r="R125" s="7">
        <f t="shared" si="51"/>
        <v>0</v>
      </c>
      <c r="S125" s="2"/>
      <c r="T125" s="6">
        <v>1253</v>
      </c>
      <c r="U125" s="2"/>
      <c r="V125" s="7">
        <f t="shared" si="52"/>
        <v>1.5056156399267208E-3</v>
      </c>
      <c r="W125" s="2"/>
      <c r="X125" s="6">
        <f t="shared" si="53"/>
        <v>-1253</v>
      </c>
      <c r="Y125" s="2"/>
      <c r="Z125" s="7">
        <f t="shared" si="54"/>
        <v>-1</v>
      </c>
    </row>
    <row r="126" spans="1:26" s="23" customFormat="1" hidden="1" outlineLevel="2" x14ac:dyDescent="0.25">
      <c r="A126" s="25"/>
      <c r="B126" s="10" t="str">
        <f>CONCATENATE("          ", "7735", " - ", "INV. SHRINKAGE-HEALTH/BEAUTY")</f>
        <v xml:space="preserve">          7735 - INV. SHRINKAGE-HEALTH/BEAUTY</v>
      </c>
      <c r="C126" s="10"/>
      <c r="D126" s="6"/>
      <c r="E126" s="2"/>
      <c r="F126" s="7">
        <f t="shared" si="47"/>
        <v>0</v>
      </c>
      <c r="G126" s="2"/>
      <c r="H126" s="6">
        <v>369</v>
      </c>
      <c r="I126" s="2"/>
      <c r="J126" s="7">
        <f t="shared" si="48"/>
        <v>3.5024374686773892E-2</v>
      </c>
      <c r="K126" s="2"/>
      <c r="L126" s="6">
        <f t="shared" si="49"/>
        <v>-369</v>
      </c>
      <c r="M126" s="2"/>
      <c r="N126" s="7">
        <f t="shared" si="50"/>
        <v>-1</v>
      </c>
      <c r="O126" s="10"/>
      <c r="P126" s="6"/>
      <c r="Q126" s="2"/>
      <c r="R126" s="7">
        <f t="shared" si="51"/>
        <v>0</v>
      </c>
      <c r="S126" s="2"/>
      <c r="T126" s="6">
        <v>369</v>
      </c>
      <c r="U126" s="2"/>
      <c r="V126" s="7">
        <f t="shared" si="52"/>
        <v>4.4339359228488427E-4</v>
      </c>
      <c r="W126" s="2"/>
      <c r="X126" s="6">
        <f t="shared" si="53"/>
        <v>-369</v>
      </c>
      <c r="Y126" s="2"/>
      <c r="Z126" s="7">
        <f t="shared" si="54"/>
        <v>-1</v>
      </c>
    </row>
    <row r="127" spans="1:26" s="23" customFormat="1" hidden="1" outlineLevel="2" x14ac:dyDescent="0.25">
      <c r="A127" s="25"/>
      <c r="B127" s="10" t="str">
        <f>CONCATENATE("          ", "7737", " - ", "INV. SHRINKAGE-WATER")</f>
        <v xml:space="preserve">          7737 - INV. SHRINKAGE-WATER</v>
      </c>
      <c r="C127" s="10"/>
      <c r="D127" s="6"/>
      <c r="E127" s="2"/>
      <c r="F127" s="7">
        <f t="shared" si="47"/>
        <v>0</v>
      </c>
      <c r="G127" s="2"/>
      <c r="H127" s="6">
        <v>832</v>
      </c>
      <c r="I127" s="2"/>
      <c r="J127" s="7">
        <f t="shared" si="48"/>
        <v>7.8970947803240862E-2</v>
      </c>
      <c r="K127" s="2"/>
      <c r="L127" s="6">
        <f t="shared" si="49"/>
        <v>-832</v>
      </c>
      <c r="M127" s="2"/>
      <c r="N127" s="7">
        <f t="shared" si="50"/>
        <v>-1</v>
      </c>
      <c r="O127" s="10"/>
      <c r="P127" s="6"/>
      <c r="Q127" s="2"/>
      <c r="R127" s="7">
        <f t="shared" si="51"/>
        <v>0</v>
      </c>
      <c r="S127" s="2"/>
      <c r="T127" s="6">
        <v>832</v>
      </c>
      <c r="U127" s="2"/>
      <c r="V127" s="7">
        <f t="shared" si="52"/>
        <v>9.99738397780552E-4</v>
      </c>
      <c r="W127" s="2"/>
      <c r="X127" s="6">
        <f t="shared" si="53"/>
        <v>-832</v>
      </c>
      <c r="Y127" s="2"/>
      <c r="Z127" s="7">
        <f t="shared" si="54"/>
        <v>-1</v>
      </c>
    </row>
    <row r="128" spans="1:26" s="23" customFormat="1" hidden="1" outlineLevel="2" x14ac:dyDescent="0.25">
      <c r="A128" s="25"/>
      <c r="B128" s="10" t="str">
        <f>CONCATENATE("          ", "7741", " - ", "INV. SHRINKAGE-LOGO GIFTS")</f>
        <v xml:space="preserve">          7741 - INV. SHRINKAGE-LOGO GIFTS</v>
      </c>
      <c r="C128" s="10"/>
      <c r="D128" s="6"/>
      <c r="E128" s="2"/>
      <c r="F128" s="7">
        <f t="shared" si="47"/>
        <v>0</v>
      </c>
      <c r="G128" s="2"/>
      <c r="H128" s="6">
        <v>-494</v>
      </c>
      <c r="I128" s="2"/>
      <c r="J128" s="7">
        <f t="shared" si="48"/>
        <v>-4.688900025817426E-2</v>
      </c>
      <c r="K128" s="2"/>
      <c r="L128" s="6">
        <f t="shared" si="49"/>
        <v>494</v>
      </c>
      <c r="M128" s="2"/>
      <c r="N128" s="7">
        <f t="shared" si="50"/>
        <v>-1</v>
      </c>
      <c r="O128" s="10"/>
      <c r="P128" s="6"/>
      <c r="Q128" s="2"/>
      <c r="R128" s="7">
        <f t="shared" si="51"/>
        <v>0</v>
      </c>
      <c r="S128" s="2"/>
      <c r="T128" s="6">
        <v>-494</v>
      </c>
      <c r="U128" s="2"/>
      <c r="V128" s="7">
        <f t="shared" si="52"/>
        <v>-5.9359467368220282E-4</v>
      </c>
      <c r="W128" s="2"/>
      <c r="X128" s="6">
        <f t="shared" si="53"/>
        <v>494</v>
      </c>
      <c r="Y128" s="2"/>
      <c r="Z128" s="7">
        <f t="shared" si="54"/>
        <v>-1</v>
      </c>
    </row>
    <row r="129" spans="1:26" s="23" customFormat="1" hidden="1" outlineLevel="2" x14ac:dyDescent="0.25">
      <c r="A129" s="25"/>
      <c r="B129" s="10" t="str">
        <f>CONCATENATE("          ", "7742", " - ", "INV. SHRINKAGE-EVERYDAY GIFTS")</f>
        <v xml:space="preserve">          7742 - INV. SHRINKAGE-EVERYDAY GIFTS</v>
      </c>
      <c r="C129" s="10"/>
      <c r="D129" s="6"/>
      <c r="E129" s="2"/>
      <c r="F129" s="7">
        <f t="shared" si="47"/>
        <v>0</v>
      </c>
      <c r="G129" s="2"/>
      <c r="H129" s="6">
        <v>-553</v>
      </c>
      <c r="I129" s="2"/>
      <c r="J129" s="7">
        <f t="shared" si="48"/>
        <v>-5.2489103527875232E-2</v>
      </c>
      <c r="K129" s="2"/>
      <c r="L129" s="6">
        <f t="shared" si="49"/>
        <v>553</v>
      </c>
      <c r="M129" s="2"/>
      <c r="N129" s="7">
        <f t="shared" si="50"/>
        <v>-1</v>
      </c>
      <c r="O129" s="10"/>
      <c r="P129" s="6"/>
      <c r="Q129" s="2"/>
      <c r="R129" s="7">
        <f t="shared" si="51"/>
        <v>0</v>
      </c>
      <c r="S129" s="2"/>
      <c r="T129" s="6">
        <v>-553</v>
      </c>
      <c r="U129" s="2"/>
      <c r="V129" s="7">
        <f t="shared" si="52"/>
        <v>-6.6448958410173713E-4</v>
      </c>
      <c r="W129" s="2"/>
      <c r="X129" s="6">
        <f t="shared" si="53"/>
        <v>553</v>
      </c>
      <c r="Y129" s="2"/>
      <c r="Z129" s="7">
        <f t="shared" si="54"/>
        <v>-1</v>
      </c>
    </row>
    <row r="130" spans="1:26" s="23" customFormat="1" hidden="1" outlineLevel="2" x14ac:dyDescent="0.25">
      <c r="A130" s="25"/>
      <c r="B130" s="10" t="str">
        <f>CONCATENATE("          ", "7744", " - ", "INV. SHRINKAGE-ACCESSORIES")</f>
        <v xml:space="preserve">          7744 - INV. SHRINKAGE-ACCESSORIES</v>
      </c>
      <c r="C130" s="10"/>
      <c r="D130" s="6"/>
      <c r="E130" s="2"/>
      <c r="F130" s="7">
        <f t="shared" si="47"/>
        <v>0</v>
      </c>
      <c r="G130" s="2"/>
      <c r="H130" s="6">
        <v>-180</v>
      </c>
      <c r="I130" s="2"/>
      <c r="J130" s="7">
        <f t="shared" si="48"/>
        <v>-1.7085060822816533E-2</v>
      </c>
      <c r="K130" s="2"/>
      <c r="L130" s="6">
        <f t="shared" si="49"/>
        <v>180</v>
      </c>
      <c r="M130" s="2"/>
      <c r="N130" s="7">
        <f t="shared" si="50"/>
        <v>-1</v>
      </c>
      <c r="O130" s="10"/>
      <c r="P130" s="6"/>
      <c r="Q130" s="2"/>
      <c r="R130" s="7">
        <f t="shared" si="51"/>
        <v>0</v>
      </c>
      <c r="S130" s="2"/>
      <c r="T130" s="6">
        <v>-180</v>
      </c>
      <c r="U130" s="2"/>
      <c r="V130" s="7">
        <f t="shared" si="52"/>
        <v>-2.1628955721213867E-4</v>
      </c>
      <c r="W130" s="2"/>
      <c r="X130" s="6">
        <f t="shared" si="53"/>
        <v>180</v>
      </c>
      <c r="Y130" s="2"/>
      <c r="Z130" s="7">
        <f t="shared" si="54"/>
        <v>-1</v>
      </c>
    </row>
    <row r="131" spans="1:26" s="23" customFormat="1" hidden="1" outlineLevel="2" x14ac:dyDescent="0.25">
      <c r="A131" s="25"/>
      <c r="B131" s="10" t="str">
        <f>CONCATENATE("          ", "7781", " - ", "INV. SHRINKAGE-ELECTRONICS")</f>
        <v xml:space="preserve">          7781 - INV. SHRINKAGE-ELECTRONICS</v>
      </c>
      <c r="C131" s="10"/>
      <c r="D131" s="6"/>
      <c r="E131" s="2"/>
      <c r="F131" s="7">
        <f t="shared" si="47"/>
        <v>0</v>
      </c>
      <c r="G131" s="2"/>
      <c r="H131" s="6">
        <v>-28</v>
      </c>
      <c r="I131" s="2"/>
      <c r="J131" s="7">
        <f t="shared" si="48"/>
        <v>-2.6576761279936828E-3</v>
      </c>
      <c r="K131" s="2"/>
      <c r="L131" s="6">
        <f t="shared" si="49"/>
        <v>28</v>
      </c>
      <c r="M131" s="2"/>
      <c r="N131" s="7">
        <f t="shared" si="50"/>
        <v>-1</v>
      </c>
      <c r="O131" s="10"/>
      <c r="P131" s="6"/>
      <c r="Q131" s="2"/>
      <c r="R131" s="7">
        <f t="shared" si="51"/>
        <v>0</v>
      </c>
      <c r="S131" s="2"/>
      <c r="T131" s="6">
        <v>-28</v>
      </c>
      <c r="U131" s="2"/>
      <c r="V131" s="7">
        <f t="shared" si="52"/>
        <v>-3.3645042232999352E-5</v>
      </c>
      <c r="W131" s="2"/>
      <c r="X131" s="6">
        <f t="shared" si="53"/>
        <v>28</v>
      </c>
      <c r="Y131" s="2"/>
      <c r="Z131" s="7">
        <f t="shared" si="54"/>
        <v>-1</v>
      </c>
    </row>
    <row r="132" spans="1:26" s="23" customFormat="1" hidden="1" outlineLevel="2" x14ac:dyDescent="0.25">
      <c r="A132" s="25"/>
      <c r="B132" s="10" t="str">
        <f>CONCATENATE("          ", "7782", " - ", "INV. SHRINKAGE-COMPUTER HARDWA")</f>
        <v xml:space="preserve">          7782 - INV. SHRINKAGE-COMPUTER HARDWA</v>
      </c>
      <c r="C132" s="10"/>
      <c r="D132" s="6"/>
      <c r="E132" s="2"/>
      <c r="F132" s="7">
        <f t="shared" si="47"/>
        <v>0</v>
      </c>
      <c r="G132" s="2"/>
      <c r="H132" s="6">
        <v>69</v>
      </c>
      <c r="I132" s="2"/>
      <c r="J132" s="7">
        <f t="shared" si="48"/>
        <v>6.5492733154130034E-3</v>
      </c>
      <c r="K132" s="2"/>
      <c r="L132" s="6">
        <f t="shared" si="49"/>
        <v>-69</v>
      </c>
      <c r="M132" s="2"/>
      <c r="N132" s="7">
        <f t="shared" si="50"/>
        <v>-1</v>
      </c>
      <c r="O132" s="10"/>
      <c r="P132" s="6"/>
      <c r="Q132" s="2"/>
      <c r="R132" s="7">
        <f t="shared" si="51"/>
        <v>0</v>
      </c>
      <c r="S132" s="2"/>
      <c r="T132" s="6">
        <v>69</v>
      </c>
      <c r="U132" s="2"/>
      <c r="V132" s="7">
        <f t="shared" si="52"/>
        <v>8.2910996931319822E-5</v>
      </c>
      <c r="W132" s="2"/>
      <c r="X132" s="6">
        <f t="shared" si="53"/>
        <v>-69</v>
      </c>
      <c r="Y132" s="2"/>
      <c r="Z132" s="7">
        <f t="shared" si="54"/>
        <v>-1</v>
      </c>
    </row>
    <row r="133" spans="1:26" s="23" customFormat="1" hidden="1" outlineLevel="2" x14ac:dyDescent="0.25">
      <c r="A133" s="25"/>
      <c r="B133" s="10" t="str">
        <f>CONCATENATE("          ", "7783", " - ", "INV. SHRINKAGE-COMPUTER EQUIPM")</f>
        <v xml:space="preserve">          7783 - INV. SHRINKAGE-COMPUTER EQUIPM</v>
      </c>
      <c r="C133" s="10"/>
      <c r="D133" s="6"/>
      <c r="E133" s="2"/>
      <c r="F133" s="7">
        <f t="shared" si="47"/>
        <v>0</v>
      </c>
      <c r="G133" s="2"/>
      <c r="H133" s="6">
        <v>90</v>
      </c>
      <c r="I133" s="2"/>
      <c r="J133" s="7">
        <f t="shared" si="48"/>
        <v>8.5425304114082664E-3</v>
      </c>
      <c r="K133" s="2"/>
      <c r="L133" s="6">
        <f t="shared" si="49"/>
        <v>-90</v>
      </c>
      <c r="M133" s="2"/>
      <c r="N133" s="7">
        <f t="shared" si="50"/>
        <v>-1</v>
      </c>
      <c r="O133" s="10"/>
      <c r="P133" s="6"/>
      <c r="Q133" s="2"/>
      <c r="R133" s="7">
        <f t="shared" si="51"/>
        <v>0</v>
      </c>
      <c r="S133" s="2"/>
      <c r="T133" s="6">
        <v>90</v>
      </c>
      <c r="U133" s="2"/>
      <c r="V133" s="7">
        <f t="shared" si="52"/>
        <v>1.0814477860606933E-4</v>
      </c>
      <c r="W133" s="2"/>
      <c r="X133" s="6">
        <f t="shared" si="53"/>
        <v>-90</v>
      </c>
      <c r="Y133" s="2"/>
      <c r="Z133" s="7">
        <f t="shared" si="54"/>
        <v>-1</v>
      </c>
    </row>
    <row r="134" spans="1:26" s="23" customFormat="1" hidden="1" outlineLevel="2" x14ac:dyDescent="0.25">
      <c r="A134" s="25"/>
      <c r="B134" s="10" t="str">
        <f>CONCATENATE("          ", "7786", " - ", "INV. SHRINKAGE-COMPUTER SUPPLI")</f>
        <v xml:space="preserve">          7786 - INV. SHRINKAGE-COMPUTER SUPPLI</v>
      </c>
      <c r="C134" s="10"/>
      <c r="D134" s="6"/>
      <c r="E134" s="2"/>
      <c r="F134" s="7">
        <f t="shared" si="47"/>
        <v>0</v>
      </c>
      <c r="G134" s="2"/>
      <c r="H134" s="6">
        <v>38</v>
      </c>
      <c r="I134" s="2"/>
      <c r="J134" s="7">
        <f t="shared" si="48"/>
        <v>3.6068461737057121E-3</v>
      </c>
      <c r="K134" s="2"/>
      <c r="L134" s="6">
        <f t="shared" si="49"/>
        <v>-38</v>
      </c>
      <c r="M134" s="2"/>
      <c r="N134" s="7">
        <f t="shared" si="50"/>
        <v>-1</v>
      </c>
      <c r="O134" s="10"/>
      <c r="P134" s="6"/>
      <c r="Q134" s="2"/>
      <c r="R134" s="7">
        <f t="shared" si="51"/>
        <v>0</v>
      </c>
      <c r="S134" s="2"/>
      <c r="T134" s="6">
        <v>38</v>
      </c>
      <c r="U134" s="2"/>
      <c r="V134" s="7">
        <f t="shared" si="52"/>
        <v>4.5661128744784834E-5</v>
      </c>
      <c r="W134" s="2"/>
      <c r="X134" s="6">
        <f t="shared" si="53"/>
        <v>-38</v>
      </c>
      <c r="Y134" s="2"/>
      <c r="Z134" s="7">
        <f t="shared" si="54"/>
        <v>-1</v>
      </c>
    </row>
    <row r="135" spans="1:26" s="27" customFormat="1" outlineLevel="1" collapsed="1" x14ac:dyDescent="0.25">
      <c r="A135" s="26"/>
      <c r="B135" s="12" t="str">
        <f>CONCATENATE("     ","Professional Services                             ")</f>
        <v xml:space="preserve">     Professional Services                             </v>
      </c>
      <c r="C135" s="12"/>
      <c r="D135" s="1">
        <f>SUM(OSRRefD22_8x_0)</f>
        <v>0</v>
      </c>
      <c r="E135" s="1"/>
      <c r="F135" s="5">
        <f t="shared" ref="F135:F139" si="55">IF(D$12=0,0,D135/D$12)</f>
        <v>0</v>
      </c>
      <c r="G135" s="1"/>
      <c r="H135" s="1">
        <f>SUM(OSRRefH22_8x_0)</f>
        <v>1382.44</v>
      </c>
      <c r="I135" s="1"/>
      <c r="J135" s="5">
        <f t="shared" ref="J135:J139" si="56">IF(H$12=0,0,H135/H$12)</f>
        <v>0.13121706379941381</v>
      </c>
      <c r="K135" s="1"/>
      <c r="L135" s="1">
        <f t="shared" ref="L135:L139" si="57">+D135-H135</f>
        <v>-1382.44</v>
      </c>
      <c r="M135" s="1"/>
      <c r="N135" s="5">
        <f t="shared" ref="N135:N139" si="58">IF(H135=0,0,L135/H135)</f>
        <v>-1</v>
      </c>
      <c r="O135" s="12"/>
      <c r="P135" s="1">
        <f>SUM(OSRRefP22_8x_0)</f>
        <v>0</v>
      </c>
      <c r="Q135" s="1"/>
      <c r="R135" s="5">
        <f t="shared" ref="R135:R139" si="59">IF(P$12=0,0,P135/P$12)</f>
        <v>0</v>
      </c>
      <c r="S135" s="1"/>
      <c r="T135" s="1">
        <f>SUM(OSRRefT22_8x_0)</f>
        <v>2173.59</v>
      </c>
      <c r="U135" s="1"/>
      <c r="V135" s="5">
        <f t="shared" ref="V135:V139" si="60">IF(T$12=0,0,T135/T$12)</f>
        <v>2.611804548115181E-3</v>
      </c>
      <c r="W135" s="1"/>
      <c r="X135" s="1">
        <f t="shared" ref="X135:X139" si="61">+P135-T135</f>
        <v>-2173.59</v>
      </c>
      <c r="Y135" s="1"/>
      <c r="Z135" s="5">
        <f t="shared" ref="Z135:Z139" si="62">IF(T135=0,0,X135/T135)</f>
        <v>-1</v>
      </c>
    </row>
    <row r="136" spans="1:26" s="23" customFormat="1" hidden="1" outlineLevel="2" x14ac:dyDescent="0.25">
      <c r="A136" s="25"/>
      <c r="B136" s="10" t="str">
        <f>CONCATENATE("          ", "6336", " - ", "PROFESSIONAL SERVICES")</f>
        <v xml:space="preserve">          6336 - PROFESSIONAL SERVICES</v>
      </c>
      <c r="C136" s="10"/>
      <c r="D136" s="6"/>
      <c r="E136" s="2"/>
      <c r="F136" s="7">
        <f t="shared" si="55"/>
        <v>0</v>
      </c>
      <c r="G136" s="2"/>
      <c r="H136" s="6">
        <v>1382.44</v>
      </c>
      <c r="I136" s="2"/>
      <c r="J136" s="7">
        <f t="shared" si="56"/>
        <v>0.13121706379941381</v>
      </c>
      <c r="K136" s="2"/>
      <c r="L136" s="6">
        <f t="shared" si="57"/>
        <v>-1382.44</v>
      </c>
      <c r="M136" s="2"/>
      <c r="N136" s="7">
        <f t="shared" si="58"/>
        <v>-1</v>
      </c>
      <c r="O136" s="10"/>
      <c r="P136" s="6"/>
      <c r="Q136" s="2"/>
      <c r="R136" s="7">
        <f t="shared" si="59"/>
        <v>0</v>
      </c>
      <c r="S136" s="2"/>
      <c r="T136" s="6">
        <v>2173.59</v>
      </c>
      <c r="U136" s="2"/>
      <c r="V136" s="7">
        <f t="shared" si="60"/>
        <v>2.611804548115181E-3</v>
      </c>
      <c r="W136" s="2"/>
      <c r="X136" s="6">
        <f t="shared" si="61"/>
        <v>-2173.59</v>
      </c>
      <c r="Y136" s="2"/>
      <c r="Z136" s="7">
        <f t="shared" si="62"/>
        <v>-1</v>
      </c>
    </row>
    <row r="137" spans="1:26" s="27" customFormat="1" outlineLevel="1" collapsed="1" x14ac:dyDescent="0.25">
      <c r="A137" s="26"/>
      <c r="B137" s="12" t="str">
        <f>CONCATENATE("     ","Repair and Maintenance                            ")</f>
        <v xml:space="preserve">     Repair and Maintenance                            </v>
      </c>
      <c r="C137" s="12"/>
      <c r="D137" s="1">
        <f>SUM(OSRRefD22_9x_0)</f>
        <v>61.11</v>
      </c>
      <c r="E137" s="1"/>
      <c r="F137" s="5">
        <f t="shared" si="55"/>
        <v>0</v>
      </c>
      <c r="G137" s="1"/>
      <c r="H137" s="1">
        <f>SUM(OSRRefH22_9x_0)</f>
        <v>61.11</v>
      </c>
      <c r="I137" s="1"/>
      <c r="J137" s="5">
        <f t="shared" si="56"/>
        <v>5.8003781493462126E-3</v>
      </c>
      <c r="K137" s="1"/>
      <c r="L137" s="1">
        <f t="shared" si="57"/>
        <v>0</v>
      </c>
      <c r="M137" s="1"/>
      <c r="N137" s="5">
        <f t="shared" si="58"/>
        <v>0</v>
      </c>
      <c r="O137" s="12"/>
      <c r="P137" s="1">
        <f>SUM(OSRRefP22_9x_0)</f>
        <v>323.04000000000002</v>
      </c>
      <c r="Q137" s="1"/>
      <c r="R137" s="5">
        <f t="shared" si="59"/>
        <v>1.5157714555985573E-2</v>
      </c>
      <c r="S137" s="1"/>
      <c r="T137" s="1">
        <f>SUM(OSRRefT22_9x_0)</f>
        <v>251.75</v>
      </c>
      <c r="U137" s="1"/>
      <c r="V137" s="5">
        <f t="shared" si="60"/>
        <v>3.0250497793419948E-4</v>
      </c>
      <c r="W137" s="1"/>
      <c r="X137" s="1">
        <f t="shared" si="61"/>
        <v>71.29000000000002</v>
      </c>
      <c r="Y137" s="1"/>
      <c r="Z137" s="5">
        <f t="shared" si="62"/>
        <v>0.2831777557100299</v>
      </c>
    </row>
    <row r="138" spans="1:26" s="23" customFormat="1" hidden="1" outlineLevel="2" x14ac:dyDescent="0.25">
      <c r="A138" s="25"/>
      <c r="B138" s="10" t="str">
        <f>CONCATENATE("          ", "6373", " - ", "MAINTENANCE CONTRACTS")</f>
        <v xml:space="preserve">          6373 - MAINTENANCE CONTRACTS</v>
      </c>
      <c r="C138" s="10"/>
      <c r="D138" s="6">
        <v>61.11</v>
      </c>
      <c r="E138" s="2"/>
      <c r="F138" s="7">
        <f t="shared" si="55"/>
        <v>0</v>
      </c>
      <c r="G138" s="2"/>
      <c r="H138" s="6">
        <v>61.11</v>
      </c>
      <c r="I138" s="2"/>
      <c r="J138" s="7">
        <f t="shared" si="56"/>
        <v>5.8003781493462126E-3</v>
      </c>
      <c r="K138" s="2"/>
      <c r="L138" s="6">
        <f t="shared" si="57"/>
        <v>0</v>
      </c>
      <c r="M138" s="2"/>
      <c r="N138" s="7">
        <f t="shared" si="58"/>
        <v>0</v>
      </c>
      <c r="O138" s="10"/>
      <c r="P138" s="6">
        <v>323.04000000000002</v>
      </c>
      <c r="Q138" s="2"/>
      <c r="R138" s="7">
        <f t="shared" si="59"/>
        <v>1.5157714555985573E-2</v>
      </c>
      <c r="S138" s="2"/>
      <c r="T138" s="6">
        <v>241.95</v>
      </c>
      <c r="U138" s="2"/>
      <c r="V138" s="7">
        <f t="shared" si="60"/>
        <v>2.9072921315264971E-4</v>
      </c>
      <c r="W138" s="2"/>
      <c r="X138" s="6">
        <f t="shared" si="61"/>
        <v>81.090000000000032</v>
      </c>
      <c r="Y138" s="2"/>
      <c r="Z138" s="7">
        <f t="shared" si="62"/>
        <v>0.33515189088654695</v>
      </c>
    </row>
    <row r="139" spans="1:26" s="23" customFormat="1" hidden="1" outlineLevel="2" x14ac:dyDescent="0.25">
      <c r="A139" s="25"/>
      <c r="B139" s="10" t="str">
        <f>CONCATENATE("          ", "6375", " - ", "OUTSIDE REPAIRS &amp; MAINTENANCE")</f>
        <v xml:space="preserve">          6375 - OUTSIDE REPAIRS &amp; MAINTENANCE</v>
      </c>
      <c r="C139" s="10"/>
      <c r="D139" s="6"/>
      <c r="E139" s="2"/>
      <c r="F139" s="7">
        <f t="shared" si="55"/>
        <v>0</v>
      </c>
      <c r="G139" s="2"/>
      <c r="H139" s="6"/>
      <c r="I139" s="2"/>
      <c r="J139" s="7">
        <f t="shared" si="56"/>
        <v>0</v>
      </c>
      <c r="K139" s="2"/>
      <c r="L139" s="6">
        <f t="shared" si="57"/>
        <v>0</v>
      </c>
      <c r="M139" s="2"/>
      <c r="N139" s="7">
        <f t="shared" si="58"/>
        <v>0</v>
      </c>
      <c r="O139" s="10"/>
      <c r="P139" s="6"/>
      <c r="Q139" s="2"/>
      <c r="R139" s="7">
        <f t="shared" si="59"/>
        <v>0</v>
      </c>
      <c r="S139" s="2"/>
      <c r="T139" s="6">
        <v>9.8000000000000007</v>
      </c>
      <c r="U139" s="2"/>
      <c r="V139" s="7">
        <f t="shared" si="60"/>
        <v>1.1775764781549774E-5</v>
      </c>
      <c r="W139" s="2"/>
      <c r="X139" s="6">
        <f t="shared" si="61"/>
        <v>-9.8000000000000007</v>
      </c>
      <c r="Y139" s="2"/>
      <c r="Z139" s="7">
        <f t="shared" si="62"/>
        <v>-1</v>
      </c>
    </row>
    <row r="140" spans="1:26" s="27" customFormat="1" outlineLevel="1" collapsed="1" x14ac:dyDescent="0.25">
      <c r="A140" s="26"/>
      <c r="B140" s="12" t="str">
        <f>CONCATENATE("     ","Services                                          ")</f>
        <v xml:space="preserve">     Services                                          </v>
      </c>
      <c r="C140" s="12"/>
      <c r="D140" s="1">
        <f>SUM(OSRRefD22_10x_0)</f>
        <v>0</v>
      </c>
      <c r="E140" s="1"/>
      <c r="F140" s="5">
        <f t="shared" ref="F140:F142" si="63">IF(D$12=0,0,D140/D$12)</f>
        <v>0</v>
      </c>
      <c r="G140" s="1"/>
      <c r="H140" s="1">
        <f>SUM(OSRRefH22_10x_0)</f>
        <v>1017.36</v>
      </c>
      <c r="I140" s="1"/>
      <c r="J140" s="5">
        <f t="shared" ref="J140:J142" si="64">IF(H$12=0,0,H140/H$12)</f>
        <v>9.6564763770559031E-2</v>
      </c>
      <c r="K140" s="1"/>
      <c r="L140" s="1">
        <f t="shared" ref="L140:L142" si="65">+D140-H140</f>
        <v>-1017.36</v>
      </c>
      <c r="M140" s="1"/>
      <c r="N140" s="5">
        <f t="shared" ref="N140:N142" si="66">IF(H140=0,0,L140/H140)</f>
        <v>-1</v>
      </c>
      <c r="O140" s="12"/>
      <c r="P140" s="1">
        <f>SUM(OSRRefP22_10x_0)</f>
        <v>18.5</v>
      </c>
      <c r="Q140" s="1"/>
      <c r="R140" s="5">
        <f t="shared" ref="R140:R142" si="67">IF(P$12=0,0,P140/P$12)</f>
        <v>8.6805881403458724E-4</v>
      </c>
      <c r="S140" s="1"/>
      <c r="T140" s="1">
        <f>SUM(OSRRefT22_10x_0)</f>
        <v>3111.27</v>
      </c>
      <c r="U140" s="1"/>
      <c r="V140" s="5">
        <f t="shared" ref="V140:V142" si="68">IF(T$12=0,0,T140/T$12)</f>
        <v>3.7385289481522816E-3</v>
      </c>
      <c r="W140" s="1"/>
      <c r="X140" s="1">
        <f t="shared" ref="X140:X142" si="69">+P140-T140</f>
        <v>-3092.77</v>
      </c>
      <c r="Y140" s="1"/>
      <c r="Z140" s="5">
        <f t="shared" ref="Z140:Z142" si="70">IF(T140=0,0,X140/T140)</f>
        <v>-0.99405387510566423</v>
      </c>
    </row>
    <row r="141" spans="1:26" s="23" customFormat="1" hidden="1" outlineLevel="2" x14ac:dyDescent="0.25">
      <c r="A141" s="25"/>
      <c r="B141" s="10" t="str">
        <f>CONCATENATE("          ", "6282", " - ", "JANITORIAL/EXTERMINATOR EXPENS")</f>
        <v xml:space="preserve">          6282 - JANITORIAL/EXTERMINATOR EXPENS</v>
      </c>
      <c r="C141" s="10"/>
      <c r="D141" s="6"/>
      <c r="E141" s="2"/>
      <c r="F141" s="7">
        <f t="shared" si="63"/>
        <v>0</v>
      </c>
      <c r="G141" s="2"/>
      <c r="H141" s="6">
        <v>88</v>
      </c>
      <c r="I141" s="2"/>
      <c r="J141" s="7">
        <f t="shared" si="64"/>
        <v>8.3526964022658592E-3</v>
      </c>
      <c r="K141" s="2"/>
      <c r="L141" s="6">
        <f t="shared" si="65"/>
        <v>-88</v>
      </c>
      <c r="M141" s="2"/>
      <c r="N141" s="7">
        <f t="shared" si="66"/>
        <v>-1</v>
      </c>
      <c r="O141" s="10"/>
      <c r="P141" s="6">
        <v>176</v>
      </c>
      <c r="Q141" s="2"/>
      <c r="R141" s="7">
        <f t="shared" si="67"/>
        <v>8.2582892578425601E-3</v>
      </c>
      <c r="S141" s="2"/>
      <c r="T141" s="6">
        <v>549.02</v>
      </c>
      <c r="U141" s="2"/>
      <c r="V141" s="7">
        <f t="shared" si="68"/>
        <v>6.5970718167004656E-4</v>
      </c>
      <c r="W141" s="2"/>
      <c r="X141" s="6">
        <f t="shared" si="69"/>
        <v>-373.02</v>
      </c>
      <c r="Y141" s="2"/>
      <c r="Z141" s="7">
        <f t="shared" si="70"/>
        <v>-0.67942880040799969</v>
      </c>
    </row>
    <row r="142" spans="1:26" s="23" customFormat="1" hidden="1" outlineLevel="2" x14ac:dyDescent="0.25">
      <c r="A142" s="25"/>
      <c r="B142" s="10" t="str">
        <f>CONCATENATE("          ", "6285", " - ", "JANITORIAL SERVICES")</f>
        <v xml:space="preserve">          6285 - JANITORIAL SERVICES</v>
      </c>
      <c r="C142" s="10"/>
      <c r="D142" s="6"/>
      <c r="E142" s="2"/>
      <c r="F142" s="7">
        <f t="shared" si="63"/>
        <v>0</v>
      </c>
      <c r="G142" s="2"/>
      <c r="H142" s="6">
        <v>929.36</v>
      </c>
      <c r="I142" s="2"/>
      <c r="J142" s="7">
        <f t="shared" si="64"/>
        <v>8.8212067368293179E-2</v>
      </c>
      <c r="K142" s="2"/>
      <c r="L142" s="6">
        <f t="shared" si="65"/>
        <v>-929.36</v>
      </c>
      <c r="M142" s="2"/>
      <c r="N142" s="7">
        <f t="shared" si="66"/>
        <v>-1</v>
      </c>
      <c r="O142" s="10"/>
      <c r="P142" s="6">
        <v>-157.5</v>
      </c>
      <c r="Q142" s="2"/>
      <c r="R142" s="7">
        <f t="shared" si="67"/>
        <v>-7.3902304438079732E-3</v>
      </c>
      <c r="S142" s="2"/>
      <c r="T142" s="6">
        <v>2562.25</v>
      </c>
      <c r="U142" s="2"/>
      <c r="V142" s="7">
        <f t="shared" si="68"/>
        <v>3.0788217664822351E-3</v>
      </c>
      <c r="W142" s="2"/>
      <c r="X142" s="6">
        <f t="shared" si="69"/>
        <v>-2719.75</v>
      </c>
      <c r="Y142" s="2"/>
      <c r="Z142" s="7">
        <f t="shared" si="70"/>
        <v>-1.061469411649917</v>
      </c>
    </row>
    <row r="143" spans="1:26" s="27" customFormat="1" outlineLevel="1" collapsed="1" x14ac:dyDescent="0.25">
      <c r="A143" s="26"/>
      <c r="B143" s="12" t="str">
        <f>CONCATENATE("     ","Subscriptions &amp; Dues                              ")</f>
        <v xml:space="preserve">     Subscriptions &amp; Dues                              </v>
      </c>
      <c r="C143" s="12"/>
      <c r="D143" s="1">
        <f>SUM(OSRRefD22_11x_0)</f>
        <v>0</v>
      </c>
      <c r="E143" s="1"/>
      <c r="F143" s="5">
        <f t="shared" ref="F143:F149" si="71">IF(D$12=0,0,D143/D$12)</f>
        <v>0</v>
      </c>
      <c r="G143" s="1"/>
      <c r="H143" s="1">
        <f>SUM(OSRRefH22_11x_0)</f>
        <v>0</v>
      </c>
      <c r="I143" s="1"/>
      <c r="J143" s="5">
        <f t="shared" ref="J143:J149" si="72">IF(H$12=0,0,H143/H$12)</f>
        <v>0</v>
      </c>
      <c r="K143" s="1"/>
      <c r="L143" s="1">
        <f t="shared" ref="L143:L149" si="73">+D143-H143</f>
        <v>0</v>
      </c>
      <c r="M143" s="1"/>
      <c r="N143" s="5">
        <f t="shared" ref="N143:N149" si="74">IF(H143=0,0,L143/H143)</f>
        <v>0</v>
      </c>
      <c r="O143" s="12"/>
      <c r="P143" s="1">
        <f>SUM(OSRRefP22_11x_0)</f>
        <v>0</v>
      </c>
      <c r="Q143" s="1"/>
      <c r="R143" s="5">
        <f t="shared" ref="R143:R149" si="75">IF(P$12=0,0,P143/P$12)</f>
        <v>0</v>
      </c>
      <c r="S143" s="1"/>
      <c r="T143" s="1">
        <f>SUM(OSRRefT22_11x_0)</f>
        <v>120</v>
      </c>
      <c r="U143" s="1"/>
      <c r="V143" s="5">
        <f t="shared" ref="V143:V149" si="76">IF(T$12=0,0,T143/T$12)</f>
        <v>1.4419303814142579E-4</v>
      </c>
      <c r="W143" s="1"/>
      <c r="X143" s="1">
        <f t="shared" ref="X143:X149" si="77">+P143-T143</f>
        <v>-120</v>
      </c>
      <c r="Y143" s="1"/>
      <c r="Z143" s="5">
        <f t="shared" ref="Z143:Z149" si="78">IF(T143=0,0,X143/T143)</f>
        <v>-1</v>
      </c>
    </row>
    <row r="144" spans="1:26" s="23" customFormat="1" hidden="1" outlineLevel="2" x14ac:dyDescent="0.25">
      <c r="A144" s="25"/>
      <c r="B144" s="10" t="str">
        <f>CONCATENATE("          ", "6258", " - ", "MEMBERSHIP DUES")</f>
        <v xml:space="preserve">          6258 - MEMBERSHIP DUES</v>
      </c>
      <c r="C144" s="10"/>
      <c r="D144" s="6"/>
      <c r="E144" s="2"/>
      <c r="F144" s="7">
        <f t="shared" si="71"/>
        <v>0</v>
      </c>
      <c r="G144" s="2"/>
      <c r="H144" s="6"/>
      <c r="I144" s="2"/>
      <c r="J144" s="7">
        <f t="shared" si="72"/>
        <v>0</v>
      </c>
      <c r="K144" s="2"/>
      <c r="L144" s="6">
        <f t="shared" si="73"/>
        <v>0</v>
      </c>
      <c r="M144" s="2"/>
      <c r="N144" s="7">
        <f t="shared" si="74"/>
        <v>0</v>
      </c>
      <c r="O144" s="10"/>
      <c r="P144" s="6"/>
      <c r="Q144" s="2"/>
      <c r="R144" s="7">
        <f t="shared" si="75"/>
        <v>0</v>
      </c>
      <c r="S144" s="2"/>
      <c r="T144" s="6">
        <v>120</v>
      </c>
      <c r="U144" s="2"/>
      <c r="V144" s="7">
        <f t="shared" si="76"/>
        <v>1.4419303814142579E-4</v>
      </c>
      <c r="W144" s="2"/>
      <c r="X144" s="6">
        <f t="shared" si="77"/>
        <v>-120</v>
      </c>
      <c r="Y144" s="2"/>
      <c r="Z144" s="7">
        <f t="shared" si="78"/>
        <v>-1</v>
      </c>
    </row>
    <row r="145" spans="1:26" s="27" customFormat="1" outlineLevel="1" collapsed="1" x14ac:dyDescent="0.25">
      <c r="A145" s="26"/>
      <c r="B145" s="12" t="str">
        <f>CONCATENATE("     ","Supplies                                          ")</f>
        <v xml:space="preserve">     Supplies                                          </v>
      </c>
      <c r="C145" s="12"/>
      <c r="D145" s="1">
        <f>SUM(OSRRefD22_12x_0)</f>
        <v>0</v>
      </c>
      <c r="E145" s="1"/>
      <c r="F145" s="5">
        <f t="shared" si="71"/>
        <v>0</v>
      </c>
      <c r="G145" s="1"/>
      <c r="H145" s="1">
        <f>SUM(OSRRefH22_12x_0)</f>
        <v>0</v>
      </c>
      <c r="I145" s="1"/>
      <c r="J145" s="5">
        <f t="shared" si="72"/>
        <v>0</v>
      </c>
      <c r="K145" s="1"/>
      <c r="L145" s="1">
        <f t="shared" si="73"/>
        <v>0</v>
      </c>
      <c r="M145" s="1"/>
      <c r="N145" s="5">
        <f t="shared" si="74"/>
        <v>0</v>
      </c>
      <c r="O145" s="12"/>
      <c r="P145" s="1">
        <f>SUM(OSRRefP22_12x_0)</f>
        <v>1892.27</v>
      </c>
      <c r="Q145" s="1"/>
      <c r="R145" s="5">
        <f t="shared" si="75"/>
        <v>8.8789278488282622E-2</v>
      </c>
      <c r="S145" s="1"/>
      <c r="T145" s="1">
        <f>SUM(OSRRefT22_12x_0)</f>
        <v>1967.59</v>
      </c>
      <c r="U145" s="1"/>
      <c r="V145" s="5">
        <f t="shared" si="76"/>
        <v>2.3642731659723995E-3</v>
      </c>
      <c r="W145" s="1"/>
      <c r="X145" s="1">
        <f t="shared" si="77"/>
        <v>-75.319999999999936</v>
      </c>
      <c r="Y145" s="1"/>
      <c r="Z145" s="5">
        <f t="shared" si="78"/>
        <v>-3.8280332792909058E-2</v>
      </c>
    </row>
    <row r="146" spans="1:26" s="23" customFormat="1" hidden="1" outlineLevel="2" x14ac:dyDescent="0.25">
      <c r="A146" s="25"/>
      <c r="B146" s="10" t="str">
        <f>CONCATENATE("          ", "6235", " - ", "COVID-19 EXPENSES")</f>
        <v xml:space="preserve">          6235 - COVID-19 EXPENSES</v>
      </c>
      <c r="C146" s="10"/>
      <c r="D146" s="6"/>
      <c r="E146" s="2"/>
      <c r="F146" s="7">
        <f t="shared" si="71"/>
        <v>0</v>
      </c>
      <c r="G146" s="2"/>
      <c r="H146" s="6"/>
      <c r="I146" s="2"/>
      <c r="J146" s="7">
        <f t="shared" si="72"/>
        <v>0</v>
      </c>
      <c r="K146" s="2"/>
      <c r="L146" s="6">
        <f t="shared" si="73"/>
        <v>0</v>
      </c>
      <c r="M146" s="2"/>
      <c r="N146" s="7">
        <f t="shared" si="74"/>
        <v>0</v>
      </c>
      <c r="O146" s="10"/>
      <c r="P146" s="6">
        <v>444.3</v>
      </c>
      <c r="Q146" s="2"/>
      <c r="R146" s="7">
        <f t="shared" si="75"/>
        <v>2.0847488166246871E-2</v>
      </c>
      <c r="S146" s="2"/>
      <c r="T146" s="6"/>
      <c r="U146" s="2"/>
      <c r="V146" s="7">
        <f t="shared" si="76"/>
        <v>0</v>
      </c>
      <c r="W146" s="2"/>
      <c r="X146" s="6">
        <f t="shared" si="77"/>
        <v>444.3</v>
      </c>
      <c r="Y146" s="2"/>
      <c r="Z146" s="7">
        <f t="shared" si="78"/>
        <v>0</v>
      </c>
    </row>
    <row r="147" spans="1:26" s="23" customFormat="1" hidden="1" outlineLevel="2" x14ac:dyDescent="0.25">
      <c r="A147" s="25"/>
      <c r="B147" s="10" t="str">
        <f>CONCATENATE("          ", "6241", " - ", "OFFICE EXPENSE")</f>
        <v xml:space="preserve">          6241 - OFFICE EXPENSE</v>
      </c>
      <c r="C147" s="10"/>
      <c r="D147" s="6"/>
      <c r="E147" s="2"/>
      <c r="F147" s="7">
        <f t="shared" si="71"/>
        <v>0</v>
      </c>
      <c r="G147" s="2"/>
      <c r="H147" s="6"/>
      <c r="I147" s="2"/>
      <c r="J147" s="7">
        <f t="shared" si="72"/>
        <v>0</v>
      </c>
      <c r="K147" s="2"/>
      <c r="L147" s="6">
        <f t="shared" si="73"/>
        <v>0</v>
      </c>
      <c r="M147" s="2"/>
      <c r="N147" s="7">
        <f t="shared" si="74"/>
        <v>0</v>
      </c>
      <c r="O147" s="10"/>
      <c r="P147" s="6">
        <v>225.24</v>
      </c>
      <c r="Q147" s="2"/>
      <c r="R147" s="7">
        <f t="shared" si="75"/>
        <v>1.056873336611624E-2</v>
      </c>
      <c r="S147" s="2"/>
      <c r="T147" s="6">
        <v>1673.46</v>
      </c>
      <c r="U147" s="2"/>
      <c r="V147" s="7">
        <f t="shared" si="76"/>
        <v>2.0108440134012531E-3</v>
      </c>
      <c r="W147" s="2"/>
      <c r="X147" s="6">
        <f t="shared" si="77"/>
        <v>-1448.22</v>
      </c>
      <c r="Y147" s="2"/>
      <c r="Z147" s="7">
        <f t="shared" si="78"/>
        <v>-0.86540461080635334</v>
      </c>
    </row>
    <row r="148" spans="1:26" s="23" customFormat="1" hidden="1" outlineLevel="2" x14ac:dyDescent="0.25">
      <c r="A148" s="25"/>
      <c r="B148" s="10" t="str">
        <f>CONCATENATE("          ", "6245", " - ", "PRINTING")</f>
        <v xml:space="preserve">          6245 - PRINTING</v>
      </c>
      <c r="C148" s="10"/>
      <c r="D148" s="6"/>
      <c r="E148" s="2"/>
      <c r="F148" s="7">
        <f t="shared" si="71"/>
        <v>0</v>
      </c>
      <c r="G148" s="2"/>
      <c r="H148" s="6"/>
      <c r="I148" s="2"/>
      <c r="J148" s="7">
        <f t="shared" si="72"/>
        <v>0</v>
      </c>
      <c r="K148" s="2"/>
      <c r="L148" s="6">
        <f t="shared" si="73"/>
        <v>0</v>
      </c>
      <c r="M148" s="2"/>
      <c r="N148" s="7">
        <f t="shared" si="74"/>
        <v>0</v>
      </c>
      <c r="O148" s="10"/>
      <c r="P148" s="6"/>
      <c r="Q148" s="2"/>
      <c r="R148" s="7">
        <f t="shared" si="75"/>
        <v>0</v>
      </c>
      <c r="S148" s="2"/>
      <c r="T148" s="6">
        <v>22.05</v>
      </c>
      <c r="U148" s="2"/>
      <c r="V148" s="7">
        <f t="shared" si="76"/>
        <v>2.6495470758486988E-5</v>
      </c>
      <c r="W148" s="2"/>
      <c r="X148" s="6">
        <f t="shared" si="77"/>
        <v>-22.05</v>
      </c>
      <c r="Y148" s="2"/>
      <c r="Z148" s="7">
        <f t="shared" si="78"/>
        <v>-1</v>
      </c>
    </row>
    <row r="149" spans="1:26" s="23" customFormat="1" hidden="1" outlineLevel="2" x14ac:dyDescent="0.25">
      <c r="A149" s="25"/>
      <c r="B149" s="10" t="str">
        <f>CONCATENATE("          ", "6247", " - ", "STORE SUPPLIES")</f>
        <v xml:space="preserve">          6247 - STORE SUPPLIES</v>
      </c>
      <c r="C149" s="10"/>
      <c r="D149" s="6"/>
      <c r="E149" s="2"/>
      <c r="F149" s="7">
        <f t="shared" si="71"/>
        <v>0</v>
      </c>
      <c r="G149" s="2"/>
      <c r="H149" s="6"/>
      <c r="I149" s="2"/>
      <c r="J149" s="7">
        <f t="shared" si="72"/>
        <v>0</v>
      </c>
      <c r="K149" s="2"/>
      <c r="L149" s="6">
        <f t="shared" si="73"/>
        <v>0</v>
      </c>
      <c r="M149" s="2"/>
      <c r="N149" s="7">
        <f t="shared" si="74"/>
        <v>0</v>
      </c>
      <c r="O149" s="10"/>
      <c r="P149" s="6">
        <v>1222.73</v>
      </c>
      <c r="Q149" s="2"/>
      <c r="R149" s="7">
        <f t="shared" si="75"/>
        <v>5.7373056955919509E-2</v>
      </c>
      <c r="S149" s="2"/>
      <c r="T149" s="6">
        <v>272.08</v>
      </c>
      <c r="U149" s="2"/>
      <c r="V149" s="7">
        <f t="shared" si="76"/>
        <v>3.269336818126594E-4</v>
      </c>
      <c r="W149" s="2"/>
      <c r="X149" s="6">
        <f t="shared" si="77"/>
        <v>950.65000000000009</v>
      </c>
      <c r="Y149" s="2"/>
      <c r="Z149" s="7">
        <f t="shared" si="78"/>
        <v>3.4940091149661869</v>
      </c>
    </row>
    <row r="150" spans="1:26" s="27" customFormat="1" outlineLevel="1" collapsed="1" x14ac:dyDescent="0.25">
      <c r="A150" s="26"/>
      <c r="B150" s="12" t="str">
        <f>CONCATENATE("     ","Telephone/Data Lines                              ")</f>
        <v xml:space="preserve">     Telephone/Data Lines                              </v>
      </c>
      <c r="C150" s="12"/>
      <c r="D150" s="1">
        <f>SUM(OSRRefD22_13x_0)</f>
        <v>53</v>
      </c>
      <c r="E150" s="1"/>
      <c r="F150" s="5">
        <f t="shared" ref="F150:F155" si="79">IF(D$12=0,0,D150/D$12)</f>
        <v>0</v>
      </c>
      <c r="G150" s="1"/>
      <c r="H150" s="1">
        <f>SUM(OSRRefH22_13x_0)</f>
        <v>81.75</v>
      </c>
      <c r="I150" s="1"/>
      <c r="J150" s="5">
        <f t="shared" ref="J150:J155" si="80">IF(H$12=0,0,H150/H$12)</f>
        <v>7.759465123695841E-3</v>
      </c>
      <c r="K150" s="1"/>
      <c r="L150" s="1">
        <f t="shared" ref="L150:L155" si="81">+D150-H150</f>
        <v>-28.75</v>
      </c>
      <c r="M150" s="1"/>
      <c r="N150" s="5">
        <f t="shared" ref="N150:N155" si="82">IF(H150=0,0,L150/H150)</f>
        <v>-0.35168195718654433</v>
      </c>
      <c r="O150" s="12"/>
      <c r="P150" s="1">
        <f>SUM(OSRRefP22_13x_0)</f>
        <v>684.05</v>
      </c>
      <c r="Q150" s="1"/>
      <c r="R150" s="5">
        <f t="shared" ref="R150:R155" si="83">IF(P$12=0,0,P150/P$12)</f>
        <v>3.2097061175154561E-2</v>
      </c>
      <c r="S150" s="1"/>
      <c r="T150" s="1">
        <f>SUM(OSRRefT22_13x_0)</f>
        <v>1175.1199999999999</v>
      </c>
      <c r="U150" s="1"/>
      <c r="V150" s="5">
        <f t="shared" ref="V150:V155" si="84">IF(T$12=0,0,T150/T$12)</f>
        <v>1.4120343581729355E-3</v>
      </c>
      <c r="W150" s="1"/>
      <c r="X150" s="1">
        <f t="shared" ref="X150:X155" si="85">+P150-T150</f>
        <v>-491.06999999999994</v>
      </c>
      <c r="Y150" s="1"/>
      <c r="Z150" s="5">
        <f t="shared" ref="Z150:Z155" si="86">IF(T150=0,0,X150/T150)</f>
        <v>-0.41788923684389678</v>
      </c>
    </row>
    <row r="151" spans="1:26" s="23" customFormat="1" hidden="1" outlineLevel="2" x14ac:dyDescent="0.25">
      <c r="A151" s="25"/>
      <c r="B151" s="10" t="str">
        <f>CONCATENATE("          ", "6309", " - ", "TELEPHONE")</f>
        <v xml:space="preserve">          6309 - TELEPHONE</v>
      </c>
      <c r="C151" s="10"/>
      <c r="D151" s="6">
        <v>53</v>
      </c>
      <c r="E151" s="2"/>
      <c r="F151" s="7">
        <f t="shared" si="79"/>
        <v>0</v>
      </c>
      <c r="G151" s="2"/>
      <c r="H151" s="6">
        <v>81.75</v>
      </c>
      <c r="I151" s="2"/>
      <c r="J151" s="7">
        <f t="shared" si="80"/>
        <v>7.759465123695841E-3</v>
      </c>
      <c r="K151" s="2"/>
      <c r="L151" s="6">
        <f t="shared" si="81"/>
        <v>-28.75</v>
      </c>
      <c r="M151" s="2"/>
      <c r="N151" s="7">
        <f t="shared" si="82"/>
        <v>-0.35168195718654433</v>
      </c>
      <c r="O151" s="10"/>
      <c r="P151" s="6">
        <v>684.05</v>
      </c>
      <c r="Q151" s="2"/>
      <c r="R151" s="7">
        <f t="shared" si="83"/>
        <v>3.2097061175154561E-2</v>
      </c>
      <c r="S151" s="2"/>
      <c r="T151" s="6">
        <v>1175.1199999999999</v>
      </c>
      <c r="U151" s="2"/>
      <c r="V151" s="7">
        <f t="shared" si="84"/>
        <v>1.4120343581729355E-3</v>
      </c>
      <c r="W151" s="2"/>
      <c r="X151" s="6">
        <f t="shared" si="85"/>
        <v>-491.06999999999994</v>
      </c>
      <c r="Y151" s="2"/>
      <c r="Z151" s="7">
        <f t="shared" si="86"/>
        <v>-0.41788923684389678</v>
      </c>
    </row>
    <row r="152" spans="1:26" s="27" customFormat="1" outlineLevel="1" collapsed="1" x14ac:dyDescent="0.25">
      <c r="A152" s="26"/>
      <c r="B152" s="12" t="str">
        <f>CONCATENATE("     ","Training                                          ")</f>
        <v xml:space="preserve">     Training                                          </v>
      </c>
      <c r="C152" s="12"/>
      <c r="D152" s="1">
        <f>SUM(OSRRefD22_14x_0)</f>
        <v>0</v>
      </c>
      <c r="E152" s="1"/>
      <c r="F152" s="5">
        <f t="shared" si="79"/>
        <v>0</v>
      </c>
      <c r="G152" s="1"/>
      <c r="H152" s="1">
        <f>SUM(OSRRefH22_14x_0)</f>
        <v>0</v>
      </c>
      <c r="I152" s="1"/>
      <c r="J152" s="5">
        <f t="shared" si="80"/>
        <v>0</v>
      </c>
      <c r="K152" s="1"/>
      <c r="L152" s="1">
        <f t="shared" si="81"/>
        <v>0</v>
      </c>
      <c r="M152" s="1"/>
      <c r="N152" s="5">
        <f t="shared" si="82"/>
        <v>0</v>
      </c>
      <c r="O152" s="12"/>
      <c r="P152" s="1">
        <f>SUM(OSRRefP22_14x_0)</f>
        <v>14</v>
      </c>
      <c r="Q152" s="1"/>
      <c r="R152" s="5">
        <f t="shared" si="83"/>
        <v>6.5690937278293094E-4</v>
      </c>
      <c r="S152" s="1"/>
      <c r="T152" s="1">
        <f>SUM(OSRRefT22_14x_0)</f>
        <v>314.8</v>
      </c>
      <c r="U152" s="1"/>
      <c r="V152" s="5">
        <f t="shared" si="84"/>
        <v>3.78266403391007E-4</v>
      </c>
      <c r="W152" s="1"/>
      <c r="X152" s="1">
        <f t="shared" si="85"/>
        <v>-300.8</v>
      </c>
      <c r="Y152" s="1"/>
      <c r="Z152" s="5">
        <f t="shared" si="86"/>
        <v>-0.95552731893265563</v>
      </c>
    </row>
    <row r="153" spans="1:26" s="23" customFormat="1" hidden="1" outlineLevel="2" x14ac:dyDescent="0.25">
      <c r="A153" s="25"/>
      <c r="B153" s="10" t="str">
        <f>CONCATENATE("          ", "6376", " - ", "TRAINING")</f>
        <v xml:space="preserve">          6376 - TRAINING</v>
      </c>
      <c r="C153" s="10"/>
      <c r="D153" s="6"/>
      <c r="E153" s="2"/>
      <c r="F153" s="7">
        <f t="shared" si="79"/>
        <v>0</v>
      </c>
      <c r="G153" s="2"/>
      <c r="H153" s="6"/>
      <c r="I153" s="2"/>
      <c r="J153" s="7">
        <f t="shared" si="80"/>
        <v>0</v>
      </c>
      <c r="K153" s="2"/>
      <c r="L153" s="6">
        <f t="shared" si="81"/>
        <v>0</v>
      </c>
      <c r="M153" s="2"/>
      <c r="N153" s="7">
        <f t="shared" si="82"/>
        <v>0</v>
      </c>
      <c r="O153" s="10"/>
      <c r="P153" s="6">
        <v>14</v>
      </c>
      <c r="Q153" s="2"/>
      <c r="R153" s="7">
        <f t="shared" si="83"/>
        <v>6.5690937278293094E-4</v>
      </c>
      <c r="S153" s="2"/>
      <c r="T153" s="6">
        <v>314.8</v>
      </c>
      <c r="U153" s="2"/>
      <c r="V153" s="7">
        <f t="shared" si="84"/>
        <v>3.78266403391007E-4</v>
      </c>
      <c r="W153" s="2"/>
      <c r="X153" s="6">
        <f t="shared" si="85"/>
        <v>-300.8</v>
      </c>
      <c r="Y153" s="2"/>
      <c r="Z153" s="7">
        <f t="shared" si="86"/>
        <v>-0.95552731893265563</v>
      </c>
    </row>
    <row r="154" spans="1:26" s="27" customFormat="1" outlineLevel="1" collapsed="1" x14ac:dyDescent="0.25">
      <c r="A154" s="26"/>
      <c r="B154" s="12" t="str">
        <f>CONCATENATE("     ","Travel                                            ")</f>
        <v xml:space="preserve">     Travel                                            </v>
      </c>
      <c r="C154" s="12"/>
      <c r="D154" s="1">
        <f>SUM(OSRRefD22_15x_0)</f>
        <v>0</v>
      </c>
      <c r="E154" s="1"/>
      <c r="F154" s="5">
        <f t="shared" si="79"/>
        <v>0</v>
      </c>
      <c r="G154" s="1"/>
      <c r="H154" s="1">
        <f>SUM(OSRRefH22_15x_0)</f>
        <v>0</v>
      </c>
      <c r="I154" s="1"/>
      <c r="J154" s="5">
        <f t="shared" si="80"/>
        <v>0</v>
      </c>
      <c r="K154" s="1"/>
      <c r="L154" s="1">
        <f t="shared" si="81"/>
        <v>0</v>
      </c>
      <c r="M154" s="1"/>
      <c r="N154" s="5">
        <f t="shared" si="82"/>
        <v>0</v>
      </c>
      <c r="O154" s="12"/>
      <c r="P154" s="1">
        <f>SUM(OSRRefP22_15x_0)</f>
        <v>0</v>
      </c>
      <c r="Q154" s="1"/>
      <c r="R154" s="5">
        <f t="shared" si="83"/>
        <v>0</v>
      </c>
      <c r="S154" s="1"/>
      <c r="T154" s="1">
        <f>SUM(OSRRefT22_15x_0)</f>
        <v>-323.01</v>
      </c>
      <c r="U154" s="1"/>
      <c r="V154" s="5">
        <f t="shared" si="84"/>
        <v>-3.8813161041718284E-4</v>
      </c>
      <c r="W154" s="1"/>
      <c r="X154" s="1">
        <f t="shared" si="85"/>
        <v>323.01</v>
      </c>
      <c r="Y154" s="1"/>
      <c r="Z154" s="5">
        <f t="shared" si="86"/>
        <v>-1</v>
      </c>
    </row>
    <row r="155" spans="1:26" s="23" customFormat="1" hidden="1" outlineLevel="2" x14ac:dyDescent="0.25">
      <c r="A155" s="25"/>
      <c r="B155" s="10" t="str">
        <f>CONCATENATE("          ", "6292", " - ", "TRAVEL/CONFERENCE")</f>
        <v xml:space="preserve">          6292 - TRAVEL/CONFERENCE</v>
      </c>
      <c r="C155" s="10"/>
      <c r="D155" s="6"/>
      <c r="E155" s="2"/>
      <c r="F155" s="7">
        <f t="shared" si="79"/>
        <v>0</v>
      </c>
      <c r="G155" s="2"/>
      <c r="H155" s="6"/>
      <c r="I155" s="2"/>
      <c r="J155" s="7">
        <f t="shared" si="80"/>
        <v>0</v>
      </c>
      <c r="K155" s="2"/>
      <c r="L155" s="6">
        <f t="shared" si="81"/>
        <v>0</v>
      </c>
      <c r="M155" s="2"/>
      <c r="N155" s="7">
        <f t="shared" si="82"/>
        <v>0</v>
      </c>
      <c r="O155" s="10"/>
      <c r="P155" s="6"/>
      <c r="Q155" s="2"/>
      <c r="R155" s="7">
        <f t="shared" si="83"/>
        <v>0</v>
      </c>
      <c r="S155" s="2"/>
      <c r="T155" s="6">
        <v>-323.01</v>
      </c>
      <c r="U155" s="2"/>
      <c r="V155" s="7">
        <f t="shared" si="84"/>
        <v>-3.8813161041718284E-4</v>
      </c>
      <c r="W155" s="2"/>
      <c r="X155" s="6">
        <f t="shared" si="85"/>
        <v>323.01</v>
      </c>
      <c r="Y155" s="2"/>
      <c r="Z155" s="7">
        <f t="shared" si="86"/>
        <v>-1</v>
      </c>
    </row>
    <row r="156" spans="1:26" s="52" customFormat="1" x14ac:dyDescent="0.25">
      <c r="A156" s="37"/>
      <c r="B156" s="37"/>
      <c r="C156" s="37"/>
      <c r="D156" s="1"/>
      <c r="E156" s="1"/>
      <c r="F156" s="5"/>
      <c r="G156" s="1"/>
      <c r="H156" s="1"/>
      <c r="I156" s="1"/>
      <c r="J156" s="5"/>
      <c r="K156" s="1"/>
      <c r="L156" s="1"/>
      <c r="M156" s="1"/>
      <c r="N156" s="5"/>
      <c r="O156" s="37"/>
      <c r="P156" s="1"/>
      <c r="Q156" s="1"/>
      <c r="R156" s="5"/>
      <c r="S156" s="1"/>
      <c r="T156" s="1"/>
      <c r="U156" s="1"/>
      <c r="V156" s="5"/>
      <c r="W156" s="1"/>
      <c r="X156" s="1"/>
      <c r="Y156" s="1"/>
      <c r="Z156" s="5"/>
    </row>
    <row r="157" spans="1:26" s="24" customFormat="1" collapsed="1" x14ac:dyDescent="0.25">
      <c r="A157" s="11"/>
      <c r="B157" s="29" t="s">
        <v>292</v>
      </c>
      <c r="C157" s="11"/>
      <c r="D157" s="4">
        <f>SUM(OSRRefD25x_0)</f>
        <v>0</v>
      </c>
      <c r="E157" s="4"/>
      <c r="F157" s="13">
        <f t="shared" ref="F157:F158" si="87">IF(D$12=0,0,D157/D$12)</f>
        <v>0</v>
      </c>
      <c r="G157" s="4"/>
      <c r="H157" s="4">
        <f>SUM(OSRRefH25x_0)</f>
        <v>0</v>
      </c>
      <c r="I157" s="4"/>
      <c r="J157" s="13">
        <f t="shared" ref="J157:J158" si="88">IF(H$12=0,0,H157/H$12)</f>
        <v>0</v>
      </c>
      <c r="K157" s="4"/>
      <c r="L157" s="4">
        <f t="shared" ref="L157:L158" si="89">+D157-H157</f>
        <v>0</v>
      </c>
      <c r="M157" s="4"/>
      <c r="N157" s="13">
        <f t="shared" ref="N157:N158" si="90">IF(H157=0,0,L157/H157)</f>
        <v>0</v>
      </c>
      <c r="O157" s="11"/>
      <c r="P157" s="4">
        <f>SUM(OSRRefP25x_0)</f>
        <v>0</v>
      </c>
      <c r="Q157" s="4"/>
      <c r="R157" s="13">
        <f t="shared" ref="R157:R158" si="91">IF(P$12=0,0,P157/P$12)</f>
        <v>0</v>
      </c>
      <c r="S157" s="4"/>
      <c r="T157" s="4">
        <f>SUM(OSRRefT25x_0)</f>
        <v>68.760000000000005</v>
      </c>
      <c r="U157" s="4"/>
      <c r="V157" s="13">
        <f t="shared" ref="V157:V158" si="92">IF(T$12=0,0,T157/T$12)</f>
        <v>8.2622610855036987E-5</v>
      </c>
      <c r="W157" s="4"/>
      <c r="X157" s="4">
        <f t="shared" ref="X157:X158" si="93">+P157-T157</f>
        <v>-68.760000000000005</v>
      </c>
      <c r="Y157" s="4"/>
      <c r="Z157" s="13">
        <f t="shared" ref="Z157:Z158" si="94">IF(T157=0,0,X157/T157)</f>
        <v>-1</v>
      </c>
    </row>
    <row r="158" spans="1:26" s="23" customFormat="1" hidden="1" outlineLevel="1" x14ac:dyDescent="0.25">
      <c r="A158" s="44"/>
      <c r="B158" s="10" t="str">
        <f>CONCATENATE("          ", "9150", " - ", "MISC. INCOME")</f>
        <v xml:space="preserve">          9150 - MISC. INCOME</v>
      </c>
      <c r="C158" s="10"/>
      <c r="D158" s="2">
        <f>0</f>
        <v>0</v>
      </c>
      <c r="E158" s="2"/>
      <c r="F158" s="19">
        <f t="shared" si="87"/>
        <v>0</v>
      </c>
      <c r="G158" s="2"/>
      <c r="H158" s="2">
        <f>0</f>
        <v>0</v>
      </c>
      <c r="I158" s="2"/>
      <c r="J158" s="19">
        <f t="shared" si="88"/>
        <v>0</v>
      </c>
      <c r="K158" s="2"/>
      <c r="L158" s="2">
        <f t="shared" si="89"/>
        <v>0</v>
      </c>
      <c r="M158" s="2"/>
      <c r="N158" s="19">
        <f t="shared" si="90"/>
        <v>0</v>
      </c>
      <c r="O158" s="10"/>
      <c r="P158" s="2">
        <f>0</f>
        <v>0</v>
      </c>
      <c r="Q158" s="2"/>
      <c r="R158" s="19">
        <f t="shared" si="91"/>
        <v>0</v>
      </c>
      <c r="S158" s="2"/>
      <c r="T158" s="2">
        <f>--68.76</f>
        <v>68.760000000000005</v>
      </c>
      <c r="U158" s="2"/>
      <c r="V158" s="19">
        <f t="shared" si="92"/>
        <v>8.2622610855036987E-5</v>
      </c>
      <c r="W158" s="2"/>
      <c r="X158" s="2">
        <f t="shared" si="93"/>
        <v>-68.760000000000005</v>
      </c>
      <c r="Y158" s="2"/>
      <c r="Z158" s="19">
        <f t="shared" si="94"/>
        <v>-1</v>
      </c>
    </row>
    <row r="159" spans="1:26" x14ac:dyDescent="0.25">
      <c r="A159" s="9"/>
      <c r="B159" s="11"/>
      <c r="C159" s="11"/>
      <c r="D159" s="3"/>
      <c r="E159" s="3"/>
      <c r="F159" s="8"/>
      <c r="G159" s="3"/>
      <c r="H159" s="3"/>
      <c r="I159" s="3"/>
      <c r="J159" s="8"/>
      <c r="K159" s="3"/>
      <c r="L159" s="3"/>
      <c r="M159" s="3"/>
      <c r="N159" s="8"/>
      <c r="O159" s="11"/>
      <c r="P159" s="3"/>
      <c r="Q159" s="3"/>
      <c r="R159" s="8"/>
      <c r="S159" s="3"/>
      <c r="T159" s="3"/>
      <c r="U159" s="3"/>
      <c r="V159" s="8"/>
      <c r="W159" s="3"/>
      <c r="X159" s="3"/>
      <c r="Y159" s="3"/>
      <c r="Z159" s="8"/>
    </row>
    <row r="160" spans="1:26" s="24" customFormat="1" x14ac:dyDescent="0.25">
      <c r="A160" s="11"/>
      <c r="B160" s="28" t="s">
        <v>276</v>
      </c>
      <c r="C160" s="28"/>
      <c r="D160" s="21">
        <f>+D83-D85+D157</f>
        <v>-175083.1</v>
      </c>
      <c r="E160" s="14"/>
      <c r="F160" s="22">
        <f>IF(D$12=0,0,D160/D$12)</f>
        <v>0</v>
      </c>
      <c r="G160" s="14"/>
      <c r="H160" s="21">
        <f>+H83-H85+H157</f>
        <v>-84715.23000000001</v>
      </c>
      <c r="I160" s="14"/>
      <c r="J160" s="22">
        <f>IF(H$12=0,0,H160/H$12)</f>
        <v>-8.040915873160511</v>
      </c>
      <c r="K160" s="15"/>
      <c r="L160" s="21">
        <f>+D160-H160</f>
        <v>-90367.87</v>
      </c>
      <c r="M160" s="15"/>
      <c r="N160" s="22">
        <f>IF(H160=0,0,L160/H160)</f>
        <v>1.0667251921525798</v>
      </c>
      <c r="O160" s="29"/>
      <c r="P160" s="21">
        <f>+P83-P85+P157</f>
        <v>-180346.55999999997</v>
      </c>
      <c r="Q160" s="14"/>
      <c r="R160" s="22">
        <f>IF(P$12=0,0,P160/P$12)</f>
        <v>-8.4622389723685139</v>
      </c>
      <c r="S160" s="14"/>
      <c r="T160" s="21">
        <f>+T83-T85+T157</f>
        <v>106133.46999999978</v>
      </c>
      <c r="U160" s="14"/>
      <c r="V160" s="22">
        <f>IF(T$12=0,0,T160/T$12)</f>
        <v>0.12753089573159865</v>
      </c>
      <c r="W160" s="15"/>
      <c r="X160" s="21">
        <f>+P160-T160</f>
        <v>-286480.02999999974</v>
      </c>
      <c r="Y160" s="15"/>
      <c r="Z160" s="22">
        <f>IF(T160=0,0,X160/T160)</f>
        <v>-2.6992430380350356</v>
      </c>
    </row>
    <row r="161" spans="1:26" x14ac:dyDescent="0.25">
      <c r="A161" s="9"/>
      <c r="B161" s="11"/>
      <c r="C161" s="9"/>
      <c r="D161" s="3"/>
      <c r="E161" s="3"/>
      <c r="F161" s="8"/>
      <c r="G161" s="3"/>
      <c r="H161" s="3"/>
      <c r="I161" s="3"/>
      <c r="J161" s="8"/>
      <c r="K161" s="3"/>
      <c r="L161" s="3"/>
      <c r="M161" s="3"/>
      <c r="N161" s="8"/>
      <c r="P161" s="3"/>
      <c r="Q161" s="3"/>
      <c r="R161" s="8"/>
      <c r="S161" s="3"/>
      <c r="T161" s="3"/>
      <c r="U161" s="3"/>
      <c r="V161" s="8"/>
      <c r="W161" s="3"/>
      <c r="X161" s="3"/>
      <c r="Y161" s="3"/>
      <c r="Z161" s="8"/>
    </row>
    <row r="162" spans="1:26" s="24" customFormat="1" x14ac:dyDescent="0.25">
      <c r="A162" s="51"/>
      <c r="B162" s="11" t="s">
        <v>127</v>
      </c>
      <c r="C162" s="11"/>
      <c r="D162" s="4">
        <v>1344.87</v>
      </c>
      <c r="E162" s="4"/>
      <c r="F162" s="13">
        <f>IF(D$12=0,0,D162/D$12)</f>
        <v>0</v>
      </c>
      <c r="G162" s="4"/>
      <c r="H162" s="4">
        <v>28712.51</v>
      </c>
      <c r="I162" s="4"/>
      <c r="J162" s="13">
        <f>IF(H$12=0,0,H162/H$12)</f>
        <v>2.7253054429207104</v>
      </c>
      <c r="K162" s="4"/>
      <c r="L162" s="4">
        <f>+D162-H162</f>
        <v>-27367.64</v>
      </c>
      <c r="M162" s="4"/>
      <c r="N162" s="13">
        <f>IF(H162=0,0,L162/H162)</f>
        <v>-0.95316083477202096</v>
      </c>
      <c r="O162" s="11"/>
      <c r="P162" s="4">
        <v>5899.03</v>
      </c>
      <c r="Q162" s="4"/>
      <c r="R162" s="13">
        <f>IF(P$12=0,0,P162/P$12)</f>
        <v>0.27679486409483522</v>
      </c>
      <c r="S162" s="4"/>
      <c r="T162" s="4">
        <v>126016.59</v>
      </c>
      <c r="U162" s="4"/>
      <c r="V162" s="13">
        <f>IF(T$12=0,0,T162/T$12)</f>
        <v>0.15142262473602011</v>
      </c>
      <c r="W162" s="4"/>
      <c r="X162" s="4">
        <f>+P162-T162</f>
        <v>-120117.56</v>
      </c>
      <c r="Y162" s="4"/>
      <c r="Z162" s="13">
        <f>IF(T162=0,0,X162/T162)</f>
        <v>-0.95318846510606259</v>
      </c>
    </row>
    <row r="163" spans="1:26" x14ac:dyDescent="0.25">
      <c r="A163" s="9"/>
      <c r="B163" s="11"/>
      <c r="C163" s="11"/>
      <c r="D163" s="3"/>
      <c r="E163" s="3"/>
      <c r="F163" s="8"/>
      <c r="G163" s="3"/>
      <c r="H163" s="3"/>
      <c r="I163" s="3"/>
      <c r="J163" s="8"/>
      <c r="K163" s="3"/>
      <c r="L163" s="3"/>
      <c r="M163" s="3"/>
      <c r="N163" s="8"/>
      <c r="O163" s="11"/>
      <c r="P163" s="3"/>
      <c r="Q163" s="3"/>
      <c r="R163" s="8"/>
      <c r="S163" s="3"/>
      <c r="T163" s="3"/>
      <c r="U163" s="3"/>
      <c r="V163" s="8"/>
      <c r="W163" s="3"/>
      <c r="X163" s="3"/>
      <c r="Y163" s="3"/>
      <c r="Z163" s="8"/>
    </row>
    <row r="164" spans="1:26" s="24" customFormat="1" ht="15.75" thickBot="1" x14ac:dyDescent="0.3">
      <c r="A164" s="11"/>
      <c r="B164" s="28" t="s">
        <v>125</v>
      </c>
      <c r="C164" s="28"/>
      <c r="D164" s="34">
        <f>+D160-D162</f>
        <v>-176427.97</v>
      </c>
      <c r="E164" s="14"/>
      <c r="F164" s="31">
        <f>IF(D$12=0,0,D164/D$12)</f>
        <v>0</v>
      </c>
      <c r="G164" s="14"/>
      <c r="H164" s="34">
        <f>+H160-H162</f>
        <v>-113427.74</v>
      </c>
      <c r="I164" s="14"/>
      <c r="J164" s="31">
        <f>IF(H$12=0,0,H164/H$12)</f>
        <v>-10.76622131608122</v>
      </c>
      <c r="K164" s="15"/>
      <c r="L164" s="34">
        <f>D164-H164</f>
        <v>-63000.229999999996</v>
      </c>
      <c r="M164" s="15"/>
      <c r="N164" s="31">
        <f>IF(H164=0,0,L164/H164)</f>
        <v>0.55542171606346025</v>
      </c>
      <c r="O164" s="29"/>
      <c r="P164" s="34">
        <f>+P160-P162</f>
        <v>-186245.58999999997</v>
      </c>
      <c r="Q164" s="14"/>
      <c r="R164" s="31">
        <f>IF(P$12=0,0,P164/P$12)</f>
        <v>-8.7390338364633493</v>
      </c>
      <c r="S164" s="14"/>
      <c r="T164" s="34">
        <f>+T160-T162</f>
        <v>-19883.120000000214</v>
      </c>
      <c r="U164" s="14"/>
      <c r="V164" s="31">
        <f>IF(T$12=0,0,T164/T$12)</f>
        <v>-2.3891729004421471E-2</v>
      </c>
      <c r="W164" s="15"/>
      <c r="X164" s="34">
        <f>P164-T164</f>
        <v>-166362.46999999974</v>
      </c>
      <c r="Y164" s="15"/>
      <c r="Z164" s="31">
        <f>IF(T164=0,0,X164/T164)</f>
        <v>8.3670203670247911</v>
      </c>
    </row>
    <row r="165" spans="1:26" ht="15.75" thickTop="1" x14ac:dyDescent="0.25">
      <c r="A165" s="9"/>
      <c r="B165" s="9"/>
      <c r="C165" s="9"/>
      <c r="D165" s="3"/>
      <c r="E165" s="3"/>
      <c r="F165" s="8"/>
      <c r="G165" s="3"/>
      <c r="H165" s="3"/>
      <c r="I165" s="3"/>
      <c r="J165" s="8"/>
      <c r="K165" s="3"/>
      <c r="L165" s="3"/>
      <c r="M165" s="3"/>
      <c r="N165" s="8"/>
      <c r="P165" s="3"/>
      <c r="Q165" s="3"/>
      <c r="R165" s="8"/>
      <c r="S165" s="3"/>
      <c r="T165" s="3"/>
      <c r="U165" s="3"/>
      <c r="V165" s="8"/>
      <c r="W165" s="3"/>
      <c r="X165" s="3"/>
      <c r="Y165" s="3"/>
      <c r="Z165" s="8"/>
    </row>
    <row r="166" spans="1:26" x14ac:dyDescent="0.25">
      <c r="A166" s="9"/>
      <c r="B166" s="9"/>
      <c r="C166" s="9"/>
      <c r="D166" s="3"/>
      <c r="E166" s="3"/>
      <c r="F166" s="8"/>
      <c r="G166" s="3"/>
      <c r="H166" s="3"/>
      <c r="I166" s="3"/>
      <c r="J166" s="8"/>
      <c r="K166" s="3"/>
      <c r="L166" s="3"/>
      <c r="M166" s="3"/>
      <c r="N166" s="8"/>
      <c r="P166" s="3"/>
      <c r="Q166" s="3"/>
      <c r="R166" s="8"/>
      <c r="S166" s="3"/>
      <c r="T166" s="3"/>
      <c r="U166" s="3"/>
      <c r="V166" s="8"/>
      <c r="W166" s="3"/>
      <c r="X166" s="3"/>
      <c r="Y166" s="3"/>
      <c r="Z166" s="8"/>
    </row>
    <row r="167" spans="1:26" s="24" customFormat="1" ht="15.75" thickBot="1" x14ac:dyDescent="0.3">
      <c r="A167" s="11"/>
      <c r="B167" s="28" t="s">
        <v>293</v>
      </c>
      <c r="C167" s="28"/>
      <c r="D167" s="33">
        <f>SUM(D164:D166)</f>
        <v>-176427.97</v>
      </c>
      <c r="E167" s="14"/>
      <c r="F167" s="35">
        <f>IF(D$12=0,0,D167/D$12)</f>
        <v>0</v>
      </c>
      <c r="G167" s="14"/>
      <c r="H167" s="33">
        <f>SUM(H164:H166)</f>
        <v>-113427.74</v>
      </c>
      <c r="I167" s="14"/>
      <c r="J167" s="35">
        <f>IF(H$12=0,0,H167/H$12)</f>
        <v>-10.76622131608122</v>
      </c>
      <c r="K167" s="15"/>
      <c r="L167" s="33">
        <f>+D167-H167</f>
        <v>-63000.229999999996</v>
      </c>
      <c r="M167" s="15"/>
      <c r="N167" s="35">
        <f>IF(H167=0,0,L167/H167)</f>
        <v>0.55542171606346025</v>
      </c>
      <c r="O167" s="29"/>
      <c r="P167" s="33">
        <f>SUM(P164:P166)</f>
        <v>-186245.58999999997</v>
      </c>
      <c r="Q167" s="14"/>
      <c r="R167" s="35">
        <f>IF(P$12=0,0,P167/P$12)</f>
        <v>-8.7390338364633493</v>
      </c>
      <c r="S167" s="14"/>
      <c r="T167" s="33">
        <f>SUM(T164:T166)</f>
        <v>-19883.120000000214</v>
      </c>
      <c r="U167" s="14"/>
      <c r="V167" s="35">
        <f>IF(T$12=0,0,T167/T$12)</f>
        <v>-2.3891729004421471E-2</v>
      </c>
      <c r="W167" s="15"/>
      <c r="X167" s="33">
        <f>+P167-T167</f>
        <v>-166362.46999999974</v>
      </c>
      <c r="Y167" s="15"/>
      <c r="Z167" s="35">
        <f>IF(T167=0,0,X167/T167)</f>
        <v>8.3670203670247911</v>
      </c>
    </row>
    <row r="168" spans="1:26" ht="15.75" thickTop="1" x14ac:dyDescent="0.25">
      <c r="A168" s="9"/>
      <c r="C168" s="9"/>
      <c r="D168" s="18"/>
      <c r="E168" s="18"/>
      <c r="G168" s="18"/>
      <c r="H168" s="18"/>
      <c r="I168" s="18"/>
      <c r="J168" s="43"/>
      <c r="K168" s="18"/>
      <c r="L168" s="18"/>
      <c r="M168" s="18"/>
      <c r="P168" s="18"/>
      <c r="Q168" s="18"/>
      <c r="R168" s="43"/>
      <c r="S168" s="18"/>
      <c r="T168" s="18"/>
      <c r="U168" s="18"/>
      <c r="V168" s="43"/>
      <c r="W168" s="18"/>
      <c r="X168" s="18"/>
    </row>
    <row r="169" spans="1:26" x14ac:dyDescent="0.25">
      <c r="A169" s="9"/>
      <c r="B169" s="56">
        <v>44454.69851952546</v>
      </c>
      <c r="D169" s="18"/>
      <c r="E169" s="18"/>
      <c r="G169" s="18"/>
      <c r="H169" s="18"/>
      <c r="I169" s="18"/>
      <c r="J169" s="43"/>
      <c r="K169" s="18"/>
      <c r="L169" s="18"/>
      <c r="M169" s="18"/>
      <c r="P169" s="18"/>
      <c r="Q169" s="18"/>
      <c r="R169" s="43"/>
      <c r="S169" s="18"/>
      <c r="T169" s="18"/>
      <c r="U169" s="18"/>
      <c r="V169" s="43"/>
      <c r="W169" s="18"/>
      <c r="X169" s="18"/>
    </row>
    <row r="170" spans="1:26" x14ac:dyDescent="0.25">
      <c r="A170" s="9"/>
      <c r="B170" s="55" t="s">
        <v>56</v>
      </c>
      <c r="D170" s="18"/>
      <c r="E170" s="18"/>
      <c r="G170" s="18"/>
      <c r="H170" s="18"/>
      <c r="I170" s="18"/>
      <c r="J170" s="43"/>
      <c r="K170" s="18"/>
      <c r="L170" s="18"/>
      <c r="M170" s="18"/>
      <c r="P170" s="18"/>
      <c r="Q170" s="18"/>
      <c r="R170" s="43"/>
      <c r="S170" s="18"/>
      <c r="T170" s="18"/>
      <c r="U170" s="18"/>
      <c r="V170" s="43"/>
      <c r="W170" s="18"/>
      <c r="X170" s="18"/>
    </row>
    <row r="171" spans="1:26" x14ac:dyDescent="0.25">
      <c r="A171" s="9"/>
      <c r="B171" s="60"/>
      <c r="D171" s="18"/>
      <c r="E171" s="18"/>
      <c r="G171" s="18"/>
      <c r="H171" s="18"/>
      <c r="I171" s="18"/>
      <c r="J171" s="43"/>
      <c r="K171" s="18"/>
      <c r="L171" s="18"/>
      <c r="M171" s="18"/>
      <c r="P171" s="18"/>
      <c r="Q171" s="18"/>
      <c r="R171" s="43"/>
      <c r="S171" s="18"/>
      <c r="T171" s="18"/>
      <c r="U171" s="18"/>
      <c r="V171" s="43"/>
      <c r="W171" s="18"/>
      <c r="X171" s="18"/>
    </row>
    <row r="172" spans="1:26" x14ac:dyDescent="0.25">
      <c r="D172" s="18"/>
      <c r="E172" s="18"/>
      <c r="G172" s="18"/>
      <c r="H172" s="18"/>
      <c r="I172" s="18"/>
      <c r="J172" s="43"/>
      <c r="K172" s="18"/>
      <c r="L172" s="18"/>
      <c r="M172" s="18"/>
      <c r="P172" s="18"/>
      <c r="Q172" s="18"/>
      <c r="R172" s="43"/>
      <c r="S172" s="18"/>
      <c r="T172" s="18"/>
      <c r="U172" s="18"/>
      <c r="V172" s="43"/>
      <c r="W172" s="18"/>
      <c r="X172" s="18"/>
    </row>
  </sheetData>
  <pageMargins left="0.25" right="0.25" top="0.75" bottom="0.75" header="0.3" footer="0.3"/>
  <pageSetup scale="55" fitToWidth="2" orientation="landscape"/>
  <drawing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>
    <tabColor rgb="FF92D050"/>
    <outlinePr summaryBelow="0" summaryRight="0"/>
  </sheetPr>
  <dimension ref="A2:Z155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62" t="s">
        <v>23</v>
      </c>
    </row>
    <row r="3" spans="1:26" x14ac:dyDescent="0.25">
      <c r="D3" s="62" t="s">
        <v>236</v>
      </c>
      <c r="E3" s="17"/>
      <c r="F3" s="46"/>
      <c r="G3" s="17"/>
      <c r="H3" s="17"/>
      <c r="I3" s="17"/>
      <c r="J3" s="38"/>
      <c r="K3" s="17"/>
      <c r="L3" s="17"/>
      <c r="M3" s="17"/>
      <c r="N3" s="46"/>
      <c r="O3" s="53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2" t="str">
        <f>CONCATENATE("Period ",RIGHT(202112,2),", ",2021)</f>
        <v>Period 12, 2021</v>
      </c>
      <c r="E4" s="17"/>
      <c r="F4" s="46"/>
      <c r="G4" s="17"/>
      <c r="H4" s="17"/>
      <c r="I4" s="17"/>
      <c r="J4" s="38"/>
      <c r="K4" s="17"/>
      <c r="L4" s="17"/>
      <c r="M4" s="17"/>
      <c r="N4" s="46"/>
      <c r="O4" s="53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4"/>
      <c r="D5" s="63">
        <v>44377</v>
      </c>
      <c r="E5" s="17"/>
      <c r="F5" s="46"/>
      <c r="G5" s="17"/>
      <c r="H5" s="17"/>
      <c r="I5" s="17"/>
      <c r="J5" s="38"/>
      <c r="K5" s="17"/>
      <c r="L5" s="17"/>
      <c r="M5" s="17"/>
      <c r="N5" s="46"/>
      <c r="O5" s="53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4"/>
      <c r="B6" s="48"/>
      <c r="C6" s="48"/>
      <c r="D6" s="24" t="str">
        <f>CONCATENATE("Department ","307", " - ", "Art Store")</f>
        <v>Department 307 - Art Store</v>
      </c>
      <c r="E6" s="17"/>
      <c r="F6" s="46"/>
      <c r="G6" s="17"/>
      <c r="H6" s="17"/>
      <c r="I6" s="17"/>
      <c r="J6" s="38"/>
      <c r="K6" s="17"/>
      <c r="L6" s="17"/>
      <c r="M6" s="17"/>
      <c r="N6" s="46"/>
      <c r="O6" s="54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9"/>
    </row>
    <row r="8" spans="1:26" x14ac:dyDescent="0.25">
      <c r="B8" s="59"/>
    </row>
    <row r="9" spans="1:26" x14ac:dyDescent="0.25">
      <c r="B9" s="9"/>
      <c r="C9" s="9"/>
      <c r="D9" s="16" t="s">
        <v>291</v>
      </c>
      <c r="E9" s="16"/>
      <c r="F9" s="39"/>
      <c r="G9" s="16"/>
      <c r="H9" s="16"/>
      <c r="I9" s="16"/>
      <c r="J9" s="49"/>
      <c r="K9" s="16"/>
      <c r="L9" s="16"/>
      <c r="M9" s="16"/>
      <c r="N9" s="39"/>
      <c r="P9" s="16" t="s">
        <v>39</v>
      </c>
      <c r="Q9" s="16"/>
      <c r="R9" s="39"/>
      <c r="S9" s="16"/>
      <c r="T9" s="16"/>
      <c r="U9" s="16"/>
      <c r="V9" s="49"/>
      <c r="W9" s="16"/>
      <c r="X9" s="16"/>
      <c r="Y9" s="16"/>
      <c r="Z9" s="39"/>
    </row>
    <row r="10" spans="1:26" x14ac:dyDescent="0.25">
      <c r="A10" s="11"/>
      <c r="B10" s="58"/>
      <c r="C10" s="11"/>
      <c r="D10" s="42" t="s">
        <v>57</v>
      </c>
      <c r="E10" s="36"/>
      <c r="F10" s="30" t="s">
        <v>40</v>
      </c>
      <c r="G10" s="36"/>
      <c r="H10" s="50" t="s">
        <v>237</v>
      </c>
      <c r="I10" s="36"/>
      <c r="J10" s="30" t="s">
        <v>40</v>
      </c>
      <c r="K10" s="11"/>
      <c r="L10" s="42" t="s">
        <v>126</v>
      </c>
      <c r="M10" s="11"/>
      <c r="N10" s="30" t="s">
        <v>257</v>
      </c>
      <c r="O10" s="11"/>
      <c r="P10" s="61" t="s">
        <v>57</v>
      </c>
      <c r="Q10" s="36"/>
      <c r="R10" s="30" t="s">
        <v>40</v>
      </c>
      <c r="S10" s="36"/>
      <c r="T10" s="50" t="s">
        <v>237</v>
      </c>
      <c r="U10" s="36"/>
      <c r="V10" s="30" t="s">
        <v>40</v>
      </c>
      <c r="W10" s="11"/>
      <c r="X10" s="42" t="s">
        <v>126</v>
      </c>
      <c r="Y10" s="11"/>
      <c r="Z10" s="30" t="s">
        <v>257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4" customFormat="1" collapsed="1" x14ac:dyDescent="0.25">
      <c r="A12" s="11"/>
      <c r="B12" s="29" t="s">
        <v>139</v>
      </c>
      <c r="C12" s="11"/>
      <c r="D12" s="4">
        <f>SUM(OSRRefD13x_0)</f>
        <v>0</v>
      </c>
      <c r="E12" s="4"/>
      <c r="F12" s="13"/>
      <c r="G12" s="4"/>
      <c r="H12" s="4">
        <f>SUM(OSRRefH13x_0)</f>
        <v>0</v>
      </c>
      <c r="I12" s="4"/>
      <c r="J12" s="13"/>
      <c r="K12" s="4"/>
      <c r="L12" s="4">
        <f t="shared" ref="L12:L49" si="0">+D12-H12</f>
        <v>0</v>
      </c>
      <c r="M12" s="4"/>
      <c r="N12" s="13">
        <f t="shared" ref="N12:N49" si="1">IF(H12=0,0,L12/H12)</f>
        <v>0</v>
      </c>
      <c r="O12" s="11"/>
      <c r="P12" s="4">
        <f>SUM(OSRRefP13x_0)</f>
        <v>21311.919999999998</v>
      </c>
      <c r="Q12" s="4"/>
      <c r="R12" s="13"/>
      <c r="S12" s="4"/>
      <c r="T12" s="4">
        <f>SUM(OSRRefT13x_0)</f>
        <v>410549.44000000024</v>
      </c>
      <c r="U12" s="4"/>
      <c r="V12" s="13"/>
      <c r="W12" s="4"/>
      <c r="X12" s="4">
        <f t="shared" ref="X12:X49" si="2">+P12-T12</f>
        <v>-389237.52000000025</v>
      </c>
      <c r="Y12" s="4"/>
      <c r="Z12" s="13">
        <f t="shared" ref="Z12:Z49" si="3">IF(T12=0,0,X12/T12)</f>
        <v>-0.94808927275604138</v>
      </c>
    </row>
    <row r="13" spans="1:26" s="23" customFormat="1" hidden="1" outlineLevel="1" x14ac:dyDescent="0.25">
      <c r="A13" s="44"/>
      <c r="B13" s="10" t="str">
        <f>CONCATENATE("          ", "4000", " - ", "TAXABLE SALES")</f>
        <v xml:space="preserve">          4000 - TAXABLE SALES</v>
      </c>
      <c r="C13" s="10"/>
      <c r="D13" s="2">
        <f t="shared" ref="D13:D49" si="4">0</f>
        <v>0</v>
      </c>
      <c r="E13" s="2"/>
      <c r="F13" s="19"/>
      <c r="G13" s="2"/>
      <c r="H13" s="2">
        <f t="shared" ref="H13:H49" si="5">0</f>
        <v>0</v>
      </c>
      <c r="I13" s="2"/>
      <c r="J13" s="19"/>
      <c r="K13" s="2"/>
      <c r="L13" s="2">
        <f t="shared" si="0"/>
        <v>0</v>
      </c>
      <c r="M13" s="2"/>
      <c r="N13" s="19">
        <f t="shared" si="1"/>
        <v>0</v>
      </c>
      <c r="O13" s="10"/>
      <c r="P13" s="2">
        <f>-1096.44</f>
        <v>-1096.44</v>
      </c>
      <c r="Q13" s="2"/>
      <c r="R13" s="19"/>
      <c r="S13" s="2"/>
      <c r="T13" s="2">
        <f>0</f>
        <v>0</v>
      </c>
      <c r="U13" s="2"/>
      <c r="V13" s="19"/>
      <c r="W13" s="2"/>
      <c r="X13" s="2">
        <f t="shared" si="2"/>
        <v>-1096.44</v>
      </c>
      <c r="Y13" s="2"/>
      <c r="Z13" s="19">
        <f t="shared" si="3"/>
        <v>0</v>
      </c>
    </row>
    <row r="14" spans="1:26" s="23" customFormat="1" hidden="1" outlineLevel="1" x14ac:dyDescent="0.25">
      <c r="A14" s="44"/>
      <c r="B14" s="10" t="str">
        <f>CONCATENATE("          ", "4017", " - ", "TAXABLE SALES-DORM/HOUSEWARES")</f>
        <v xml:space="preserve">          4017 - TAXABLE SALES-DORM/HOUSEWARES</v>
      </c>
      <c r="C14" s="10"/>
      <c r="D14" s="2">
        <f t="shared" si="4"/>
        <v>0</v>
      </c>
      <c r="E14" s="2"/>
      <c r="F14" s="19"/>
      <c r="G14" s="2"/>
      <c r="H14" s="2">
        <f t="shared" si="5"/>
        <v>0</v>
      </c>
      <c r="I14" s="2"/>
      <c r="J14" s="19"/>
      <c r="K14" s="2"/>
      <c r="L14" s="2">
        <f t="shared" si="0"/>
        <v>0</v>
      </c>
      <c r="M14" s="2"/>
      <c r="N14" s="19">
        <f t="shared" si="1"/>
        <v>0</v>
      </c>
      <c r="O14" s="10"/>
      <c r="P14" s="2">
        <f t="shared" ref="P14:P15" si="6">0</f>
        <v>0</v>
      </c>
      <c r="Q14" s="2"/>
      <c r="R14" s="19"/>
      <c r="S14" s="2"/>
      <c r="T14" s="2">
        <f>--71.37</f>
        <v>71.37</v>
      </c>
      <c r="U14" s="2"/>
      <c r="V14" s="19"/>
      <c r="W14" s="2"/>
      <c r="X14" s="2">
        <f t="shared" si="2"/>
        <v>-71.37</v>
      </c>
      <c r="Y14" s="2"/>
      <c r="Z14" s="19">
        <f t="shared" si="3"/>
        <v>-1</v>
      </c>
    </row>
    <row r="15" spans="1:26" s="23" customFormat="1" hidden="1" outlineLevel="1" x14ac:dyDescent="0.25">
      <c r="A15" s="44"/>
      <c r="B15" s="10" t="str">
        <f>CONCATENATE("          ", "4025", " - ", "TAXABLE SALES-TEST FORMS")</f>
        <v xml:space="preserve">          4025 - TAXABLE SALES-TEST FORMS</v>
      </c>
      <c r="C15" s="10"/>
      <c r="D15" s="2">
        <f t="shared" si="4"/>
        <v>0</v>
      </c>
      <c r="E15" s="2"/>
      <c r="F15" s="19"/>
      <c r="G15" s="2"/>
      <c r="H15" s="2">
        <f t="shared" si="5"/>
        <v>0</v>
      </c>
      <c r="I15" s="2"/>
      <c r="J15" s="19"/>
      <c r="K15" s="2"/>
      <c r="L15" s="2">
        <f t="shared" si="0"/>
        <v>0</v>
      </c>
      <c r="M15" s="2"/>
      <c r="N15" s="19">
        <f t="shared" si="1"/>
        <v>0</v>
      </c>
      <c r="O15" s="10"/>
      <c r="P15" s="2">
        <f t="shared" si="6"/>
        <v>0</v>
      </c>
      <c r="Q15" s="2"/>
      <c r="R15" s="19"/>
      <c r="S15" s="2"/>
      <c r="T15" s="2">
        <f>--2262.94</f>
        <v>2262.94</v>
      </c>
      <c r="U15" s="2"/>
      <c r="V15" s="19"/>
      <c r="W15" s="2"/>
      <c r="X15" s="2">
        <f t="shared" si="2"/>
        <v>-2262.94</v>
      </c>
      <c r="Y15" s="2"/>
      <c r="Z15" s="19">
        <f t="shared" si="3"/>
        <v>-1</v>
      </c>
    </row>
    <row r="16" spans="1:26" s="23" customFormat="1" hidden="1" outlineLevel="1" x14ac:dyDescent="0.25">
      <c r="A16" s="44"/>
      <c r="B16" s="10" t="str">
        <f>CONCATENATE("          ", "4026", " - ", "TAXABLE SALES-WRITING INSTRUME")</f>
        <v xml:space="preserve">          4026 - TAXABLE SALES-WRITING INSTRUME</v>
      </c>
      <c r="C16" s="10"/>
      <c r="D16" s="2">
        <f t="shared" si="4"/>
        <v>0</v>
      </c>
      <c r="E16" s="2"/>
      <c r="F16" s="19"/>
      <c r="G16" s="2"/>
      <c r="H16" s="2">
        <f t="shared" si="5"/>
        <v>0</v>
      </c>
      <c r="I16" s="2"/>
      <c r="J16" s="19"/>
      <c r="K16" s="2"/>
      <c r="L16" s="2">
        <f t="shared" si="0"/>
        <v>0</v>
      </c>
      <c r="M16" s="2"/>
      <c r="N16" s="19">
        <f t="shared" si="1"/>
        <v>0</v>
      </c>
      <c r="O16" s="10"/>
      <c r="P16" s="2">
        <f>--17.51</f>
        <v>17.510000000000002</v>
      </c>
      <c r="Q16" s="2"/>
      <c r="R16" s="19"/>
      <c r="S16" s="2"/>
      <c r="T16" s="2">
        <f>--6663.38</f>
        <v>6663.38</v>
      </c>
      <c r="U16" s="2"/>
      <c r="V16" s="19"/>
      <c r="W16" s="2"/>
      <c r="X16" s="2">
        <f t="shared" si="2"/>
        <v>-6645.87</v>
      </c>
      <c r="Y16" s="2"/>
      <c r="Z16" s="19">
        <f t="shared" si="3"/>
        <v>-0.99737220449681685</v>
      </c>
    </row>
    <row r="17" spans="1:26" s="23" customFormat="1" hidden="1" outlineLevel="1" x14ac:dyDescent="0.25">
      <c r="A17" s="44"/>
      <c r="B17" s="10" t="str">
        <f>CONCATENATE("          ", "4027", " - ", "TAXABLE SALES-SCHOOL SUPPLIES")</f>
        <v xml:space="preserve">          4027 - TAXABLE SALES-SCHOOL SUPPLIES</v>
      </c>
      <c r="C17" s="10"/>
      <c r="D17" s="2">
        <f t="shared" si="4"/>
        <v>0</v>
      </c>
      <c r="E17" s="2"/>
      <c r="F17" s="19"/>
      <c r="G17" s="2"/>
      <c r="H17" s="2">
        <f t="shared" si="5"/>
        <v>0</v>
      </c>
      <c r="I17" s="2"/>
      <c r="J17" s="19"/>
      <c r="K17" s="2"/>
      <c r="L17" s="2">
        <f t="shared" si="0"/>
        <v>0</v>
      </c>
      <c r="M17" s="2"/>
      <c r="N17" s="19">
        <f t="shared" si="1"/>
        <v>0</v>
      </c>
      <c r="O17" s="10"/>
      <c r="P17" s="2">
        <f>--7990.32</f>
        <v>7990.32</v>
      </c>
      <c r="Q17" s="2"/>
      <c r="R17" s="19"/>
      <c r="S17" s="2"/>
      <c r="T17" s="2">
        <f>--9231.13</f>
        <v>9231.1299999999992</v>
      </c>
      <c r="U17" s="2"/>
      <c r="V17" s="19"/>
      <c r="W17" s="2"/>
      <c r="X17" s="2">
        <f t="shared" si="2"/>
        <v>-1240.8099999999995</v>
      </c>
      <c r="Y17" s="2"/>
      <c r="Z17" s="19">
        <f t="shared" si="3"/>
        <v>-0.13441582991464746</v>
      </c>
    </row>
    <row r="18" spans="1:26" s="23" customFormat="1" hidden="1" outlineLevel="1" x14ac:dyDescent="0.25">
      <c r="A18" s="44"/>
      <c r="B18" s="10" t="str">
        <f>CONCATENATE("          ", "4028", " - ", "TAXABLE SALES-ART/TECH")</f>
        <v xml:space="preserve">          4028 - TAXABLE SALES-ART/TECH</v>
      </c>
      <c r="C18" s="10"/>
      <c r="D18" s="2">
        <f t="shared" si="4"/>
        <v>0</v>
      </c>
      <c r="E18" s="2"/>
      <c r="F18" s="19"/>
      <c r="G18" s="2"/>
      <c r="H18" s="2">
        <f t="shared" si="5"/>
        <v>0</v>
      </c>
      <c r="I18" s="2"/>
      <c r="J18" s="19"/>
      <c r="K18" s="2"/>
      <c r="L18" s="2">
        <f t="shared" si="0"/>
        <v>0</v>
      </c>
      <c r="M18" s="2"/>
      <c r="N18" s="19">
        <f t="shared" si="1"/>
        <v>0</v>
      </c>
      <c r="O18" s="10"/>
      <c r="P18" s="2">
        <f>--12479.05</f>
        <v>12479.05</v>
      </c>
      <c r="Q18" s="2"/>
      <c r="R18" s="19"/>
      <c r="S18" s="2"/>
      <c r="T18" s="2">
        <f>--280493.72</f>
        <v>280493.71999999997</v>
      </c>
      <c r="U18" s="2"/>
      <c r="V18" s="19"/>
      <c r="W18" s="2"/>
      <c r="X18" s="2">
        <f t="shared" si="2"/>
        <v>-268014.67</v>
      </c>
      <c r="Y18" s="2"/>
      <c r="Z18" s="19">
        <f t="shared" si="3"/>
        <v>-0.95551041214042154</v>
      </c>
    </row>
    <row r="19" spans="1:26" s="23" customFormat="1" hidden="1" outlineLevel="1" x14ac:dyDescent="0.25">
      <c r="A19" s="44"/>
      <c r="B19" s="10" t="str">
        <f>CONCATENATE("          ", "4031", " - ", "TAXABLE SALES-FOOD")</f>
        <v xml:space="preserve">          4031 - TAXABLE SALES-FOOD</v>
      </c>
      <c r="C19" s="10"/>
      <c r="D19" s="2">
        <f t="shared" si="4"/>
        <v>0</v>
      </c>
      <c r="E19" s="2"/>
      <c r="F19" s="19"/>
      <c r="G19" s="2"/>
      <c r="H19" s="2">
        <f t="shared" si="5"/>
        <v>0</v>
      </c>
      <c r="I19" s="2"/>
      <c r="J19" s="19"/>
      <c r="K19" s="2"/>
      <c r="L19" s="2">
        <f t="shared" si="0"/>
        <v>0</v>
      </c>
      <c r="M19" s="2"/>
      <c r="N19" s="19">
        <f t="shared" si="1"/>
        <v>0</v>
      </c>
      <c r="O19" s="10"/>
      <c r="P19" s="2">
        <f>--374.55</f>
        <v>374.55</v>
      </c>
      <c r="Q19" s="2"/>
      <c r="R19" s="19"/>
      <c r="S19" s="2"/>
      <c r="T19" s="2">
        <f>--486.34</f>
        <v>486.34</v>
      </c>
      <c r="U19" s="2"/>
      <c r="V19" s="19"/>
      <c r="W19" s="2"/>
      <c r="X19" s="2">
        <f t="shared" si="2"/>
        <v>-111.78999999999996</v>
      </c>
      <c r="Y19" s="2"/>
      <c r="Z19" s="19">
        <f t="shared" si="3"/>
        <v>-0.22985976888596449</v>
      </c>
    </row>
    <row r="20" spans="1:26" s="23" customFormat="1" hidden="1" outlineLevel="1" x14ac:dyDescent="0.25">
      <c r="A20" s="44"/>
      <c r="B20" s="10" t="str">
        <f>CONCATENATE("          ", "4032", " - ", "TAXABLE SALES-JUICE")</f>
        <v xml:space="preserve">          4032 - TAXABLE SALES-JUICE</v>
      </c>
      <c r="C20" s="10"/>
      <c r="D20" s="2">
        <f t="shared" si="4"/>
        <v>0</v>
      </c>
      <c r="E20" s="2"/>
      <c r="F20" s="19"/>
      <c r="G20" s="2"/>
      <c r="H20" s="2">
        <f t="shared" si="5"/>
        <v>0</v>
      </c>
      <c r="I20" s="2"/>
      <c r="J20" s="19"/>
      <c r="K20" s="2"/>
      <c r="L20" s="2">
        <f t="shared" si="0"/>
        <v>0</v>
      </c>
      <c r="M20" s="2"/>
      <c r="N20" s="19">
        <f t="shared" si="1"/>
        <v>0</v>
      </c>
      <c r="O20" s="10"/>
      <c r="P20" s="2">
        <f t="shared" ref="P20:P27" si="7">0</f>
        <v>0</v>
      </c>
      <c r="Q20" s="2"/>
      <c r="R20" s="19"/>
      <c r="S20" s="2"/>
      <c r="T20" s="2">
        <f>--1905.06</f>
        <v>1905.06</v>
      </c>
      <c r="U20" s="2"/>
      <c r="V20" s="19"/>
      <c r="W20" s="2"/>
      <c r="X20" s="2">
        <f t="shared" si="2"/>
        <v>-1905.06</v>
      </c>
      <c r="Y20" s="2"/>
      <c r="Z20" s="19">
        <f t="shared" si="3"/>
        <v>-1</v>
      </c>
    </row>
    <row r="21" spans="1:26" s="23" customFormat="1" hidden="1" outlineLevel="1" x14ac:dyDescent="0.25">
      <c r="A21" s="44"/>
      <c r="B21" s="10" t="str">
        <f>CONCATENATE("          ", "4033", " - ", "TAXABLE SALES-CANDY")</f>
        <v xml:space="preserve">          4033 - TAXABLE SALES-CANDY</v>
      </c>
      <c r="C21" s="10"/>
      <c r="D21" s="2">
        <f t="shared" si="4"/>
        <v>0</v>
      </c>
      <c r="E21" s="2"/>
      <c r="F21" s="19"/>
      <c r="G21" s="2"/>
      <c r="H21" s="2">
        <f t="shared" si="5"/>
        <v>0</v>
      </c>
      <c r="I21" s="2"/>
      <c r="J21" s="19"/>
      <c r="K21" s="2"/>
      <c r="L21" s="2">
        <f t="shared" si="0"/>
        <v>0</v>
      </c>
      <c r="M21" s="2"/>
      <c r="N21" s="19">
        <f t="shared" si="1"/>
        <v>0</v>
      </c>
      <c r="O21" s="10"/>
      <c r="P21" s="2">
        <f t="shared" si="7"/>
        <v>0</v>
      </c>
      <c r="Q21" s="2"/>
      <c r="R21" s="19"/>
      <c r="S21" s="2"/>
      <c r="T21" s="2">
        <f>--205.53</f>
        <v>205.53</v>
      </c>
      <c r="U21" s="2"/>
      <c r="V21" s="19"/>
      <c r="W21" s="2"/>
      <c r="X21" s="2">
        <f t="shared" si="2"/>
        <v>-205.53</v>
      </c>
      <c r="Y21" s="2"/>
      <c r="Z21" s="19">
        <f t="shared" si="3"/>
        <v>-1</v>
      </c>
    </row>
    <row r="22" spans="1:26" s="23" customFormat="1" hidden="1" outlineLevel="1" x14ac:dyDescent="0.25">
      <c r="A22" s="44"/>
      <c r="B22" s="10" t="str">
        <f>CONCATENATE("          ", "4034", " - ", "TAXABLE SALES-SODA")</f>
        <v xml:space="preserve">          4034 - TAXABLE SALES-SODA</v>
      </c>
      <c r="C22" s="10"/>
      <c r="D22" s="2">
        <f t="shared" si="4"/>
        <v>0</v>
      </c>
      <c r="E22" s="2"/>
      <c r="F22" s="19"/>
      <c r="G22" s="2"/>
      <c r="H22" s="2">
        <f t="shared" si="5"/>
        <v>0</v>
      </c>
      <c r="I22" s="2"/>
      <c r="J22" s="19"/>
      <c r="K22" s="2"/>
      <c r="L22" s="2">
        <f t="shared" si="0"/>
        <v>0</v>
      </c>
      <c r="M22" s="2"/>
      <c r="N22" s="19">
        <f t="shared" si="1"/>
        <v>0</v>
      </c>
      <c r="O22" s="10"/>
      <c r="P22" s="2">
        <f t="shared" si="7"/>
        <v>0</v>
      </c>
      <c r="Q22" s="2"/>
      <c r="R22" s="19"/>
      <c r="S22" s="2"/>
      <c r="T22" s="2">
        <f>--7803.51</f>
        <v>7803.51</v>
      </c>
      <c r="U22" s="2"/>
      <c r="V22" s="19"/>
      <c r="W22" s="2"/>
      <c r="X22" s="2">
        <f t="shared" si="2"/>
        <v>-7803.51</v>
      </c>
      <c r="Y22" s="2"/>
      <c r="Z22" s="19">
        <f t="shared" si="3"/>
        <v>-1</v>
      </c>
    </row>
    <row r="23" spans="1:26" s="23" customFormat="1" hidden="1" outlineLevel="1" x14ac:dyDescent="0.25">
      <c r="A23" s="44"/>
      <c r="B23" s="10" t="str">
        <f>CONCATENATE("          ", "4035", " - ", "TAXABLE SALES-HEALTH &amp; BEAUTY")</f>
        <v xml:space="preserve">          4035 - TAXABLE SALES-HEALTH &amp; BEAUTY</v>
      </c>
      <c r="C23" s="10"/>
      <c r="D23" s="2">
        <f t="shared" si="4"/>
        <v>0</v>
      </c>
      <c r="E23" s="2"/>
      <c r="F23" s="19"/>
      <c r="G23" s="2"/>
      <c r="H23" s="2">
        <f t="shared" si="5"/>
        <v>0</v>
      </c>
      <c r="I23" s="2"/>
      <c r="J23" s="19"/>
      <c r="K23" s="2"/>
      <c r="L23" s="2">
        <f t="shared" si="0"/>
        <v>0</v>
      </c>
      <c r="M23" s="2"/>
      <c r="N23" s="19">
        <f t="shared" si="1"/>
        <v>0</v>
      </c>
      <c r="O23" s="10"/>
      <c r="P23" s="2">
        <f t="shared" si="7"/>
        <v>0</v>
      </c>
      <c r="Q23" s="2"/>
      <c r="R23" s="19"/>
      <c r="S23" s="2"/>
      <c r="T23" s="2">
        <f>--1961.69</f>
        <v>1961.69</v>
      </c>
      <c r="U23" s="2"/>
      <c r="V23" s="19"/>
      <c r="W23" s="2"/>
      <c r="X23" s="2">
        <f t="shared" si="2"/>
        <v>-1961.69</v>
      </c>
      <c r="Y23" s="2"/>
      <c r="Z23" s="19">
        <f t="shared" si="3"/>
        <v>-1</v>
      </c>
    </row>
    <row r="24" spans="1:26" s="23" customFormat="1" hidden="1" outlineLevel="1" x14ac:dyDescent="0.25">
      <c r="A24" s="44"/>
      <c r="B24" s="10" t="str">
        <f>CONCATENATE("          ", "4037", " - ", "TAXABLE SALES-WATER")</f>
        <v xml:space="preserve">          4037 - TAXABLE SALES-WATER</v>
      </c>
      <c r="C24" s="10"/>
      <c r="D24" s="2">
        <f t="shared" si="4"/>
        <v>0</v>
      </c>
      <c r="E24" s="2"/>
      <c r="F24" s="19"/>
      <c r="G24" s="2"/>
      <c r="H24" s="2">
        <f t="shared" si="5"/>
        <v>0</v>
      </c>
      <c r="I24" s="2"/>
      <c r="J24" s="19"/>
      <c r="K24" s="2"/>
      <c r="L24" s="2">
        <f t="shared" si="0"/>
        <v>0</v>
      </c>
      <c r="M24" s="2"/>
      <c r="N24" s="19">
        <f t="shared" si="1"/>
        <v>0</v>
      </c>
      <c r="O24" s="10"/>
      <c r="P24" s="2">
        <f t="shared" si="7"/>
        <v>0</v>
      </c>
      <c r="Q24" s="2"/>
      <c r="R24" s="19"/>
      <c r="S24" s="2"/>
      <c r="T24" s="2">
        <f>--513.51</f>
        <v>513.51</v>
      </c>
      <c r="U24" s="2"/>
      <c r="V24" s="19"/>
      <c r="W24" s="2"/>
      <c r="X24" s="2">
        <f t="shared" si="2"/>
        <v>-513.51</v>
      </c>
      <c r="Y24" s="2"/>
      <c r="Z24" s="19">
        <f t="shared" si="3"/>
        <v>-1</v>
      </c>
    </row>
    <row r="25" spans="1:26" s="23" customFormat="1" hidden="1" outlineLevel="1" x14ac:dyDescent="0.25">
      <c r="A25" s="44"/>
      <c r="B25" s="10" t="str">
        <f>CONCATENATE("          ", "4041", " - ", "TAXABLE SALES-LOGO GIFTS")</f>
        <v xml:space="preserve">          4041 - TAXABLE SALES-LOGO GIFTS</v>
      </c>
      <c r="C25" s="10"/>
      <c r="D25" s="2">
        <f t="shared" si="4"/>
        <v>0</v>
      </c>
      <c r="E25" s="2"/>
      <c r="F25" s="19"/>
      <c r="G25" s="2"/>
      <c r="H25" s="2">
        <f t="shared" si="5"/>
        <v>0</v>
      </c>
      <c r="I25" s="2"/>
      <c r="J25" s="19"/>
      <c r="K25" s="2"/>
      <c r="L25" s="2">
        <f t="shared" si="0"/>
        <v>0</v>
      </c>
      <c r="M25" s="2"/>
      <c r="N25" s="19">
        <f t="shared" si="1"/>
        <v>0</v>
      </c>
      <c r="O25" s="10"/>
      <c r="P25" s="2">
        <f t="shared" si="7"/>
        <v>0</v>
      </c>
      <c r="Q25" s="2"/>
      <c r="R25" s="19"/>
      <c r="S25" s="2"/>
      <c r="T25" s="2">
        <f>--494.2</f>
        <v>494.2</v>
      </c>
      <c r="U25" s="2"/>
      <c r="V25" s="19"/>
      <c r="W25" s="2"/>
      <c r="X25" s="2">
        <f t="shared" si="2"/>
        <v>-494.2</v>
      </c>
      <c r="Y25" s="2"/>
      <c r="Z25" s="19">
        <f t="shared" si="3"/>
        <v>-1</v>
      </c>
    </row>
    <row r="26" spans="1:26" s="23" customFormat="1" hidden="1" outlineLevel="1" x14ac:dyDescent="0.25">
      <c r="A26" s="44"/>
      <c r="B26" s="10" t="str">
        <f>CONCATENATE("          ", "4042", " - ", "TAXABLE SALES-EVERYDAY GIFTS")</f>
        <v xml:space="preserve">          4042 - TAXABLE SALES-EVERYDAY GIFTS</v>
      </c>
      <c r="C26" s="10"/>
      <c r="D26" s="2">
        <f t="shared" si="4"/>
        <v>0</v>
      </c>
      <c r="E26" s="2"/>
      <c r="F26" s="19"/>
      <c r="G26" s="2"/>
      <c r="H26" s="2">
        <f t="shared" si="5"/>
        <v>0</v>
      </c>
      <c r="I26" s="2"/>
      <c r="J26" s="19"/>
      <c r="K26" s="2"/>
      <c r="L26" s="2">
        <f t="shared" si="0"/>
        <v>0</v>
      </c>
      <c r="M26" s="2"/>
      <c r="N26" s="19">
        <f t="shared" si="1"/>
        <v>0</v>
      </c>
      <c r="O26" s="10"/>
      <c r="P26" s="2">
        <f t="shared" si="7"/>
        <v>0</v>
      </c>
      <c r="Q26" s="2"/>
      <c r="R26" s="19"/>
      <c r="S26" s="2"/>
      <c r="T26" s="2">
        <f>--583.7</f>
        <v>583.70000000000005</v>
      </c>
      <c r="U26" s="2"/>
      <c r="V26" s="19"/>
      <c r="W26" s="2"/>
      <c r="X26" s="2">
        <f t="shared" si="2"/>
        <v>-583.70000000000005</v>
      </c>
      <c r="Y26" s="2"/>
      <c r="Z26" s="19">
        <f t="shared" si="3"/>
        <v>-1</v>
      </c>
    </row>
    <row r="27" spans="1:26" s="23" customFormat="1" hidden="1" outlineLevel="1" x14ac:dyDescent="0.25">
      <c r="A27" s="44"/>
      <c r="B27" s="10" t="str">
        <f>CONCATENATE("          ", "4044", " - ", "TAXABLE SALES-ACCESSORIES")</f>
        <v xml:space="preserve">          4044 - TAXABLE SALES-ACCESSORIES</v>
      </c>
      <c r="C27" s="10"/>
      <c r="D27" s="2">
        <f t="shared" si="4"/>
        <v>0</v>
      </c>
      <c r="E27" s="2"/>
      <c r="F27" s="19"/>
      <c r="G27" s="2"/>
      <c r="H27" s="2">
        <f t="shared" si="5"/>
        <v>0</v>
      </c>
      <c r="I27" s="2"/>
      <c r="J27" s="19"/>
      <c r="K27" s="2"/>
      <c r="L27" s="2">
        <f t="shared" si="0"/>
        <v>0</v>
      </c>
      <c r="M27" s="2"/>
      <c r="N27" s="19">
        <f t="shared" si="1"/>
        <v>0</v>
      </c>
      <c r="O27" s="10"/>
      <c r="P27" s="2">
        <f t="shared" si="7"/>
        <v>0</v>
      </c>
      <c r="Q27" s="2"/>
      <c r="R27" s="19"/>
      <c r="S27" s="2"/>
      <c r="T27" s="2">
        <f>--179.5</f>
        <v>179.5</v>
      </c>
      <c r="U27" s="2"/>
      <c r="V27" s="19"/>
      <c r="W27" s="2"/>
      <c r="X27" s="2">
        <f t="shared" si="2"/>
        <v>-179.5</v>
      </c>
      <c r="Y27" s="2"/>
      <c r="Z27" s="19">
        <f t="shared" si="3"/>
        <v>-1</v>
      </c>
    </row>
    <row r="28" spans="1:26" s="23" customFormat="1" hidden="1" outlineLevel="1" x14ac:dyDescent="0.25">
      <c r="A28" s="44"/>
      <c r="B28" s="10" t="str">
        <f>CONCATENATE("          ", "4081", " - ", "TAXABLE SALES-ELECTRONICS")</f>
        <v xml:space="preserve">          4081 - TAXABLE SALES-ELECTRONICS</v>
      </c>
      <c r="C28" s="10"/>
      <c r="D28" s="2">
        <f t="shared" si="4"/>
        <v>0</v>
      </c>
      <c r="E28" s="2"/>
      <c r="F28" s="19"/>
      <c r="G28" s="2"/>
      <c r="H28" s="2">
        <f t="shared" si="5"/>
        <v>0</v>
      </c>
      <c r="I28" s="2"/>
      <c r="J28" s="19"/>
      <c r="K28" s="2"/>
      <c r="L28" s="2">
        <f t="shared" si="0"/>
        <v>0</v>
      </c>
      <c r="M28" s="2"/>
      <c r="N28" s="19">
        <f t="shared" si="1"/>
        <v>0</v>
      </c>
      <c r="O28" s="10"/>
      <c r="P28" s="2">
        <f>--71.95</f>
        <v>71.95</v>
      </c>
      <c r="Q28" s="2"/>
      <c r="R28" s="19"/>
      <c r="S28" s="2"/>
      <c r="T28" s="2">
        <f>--3174.93</f>
        <v>3174.93</v>
      </c>
      <c r="U28" s="2"/>
      <c r="V28" s="19"/>
      <c r="W28" s="2"/>
      <c r="X28" s="2">
        <f t="shared" si="2"/>
        <v>-3102.98</v>
      </c>
      <c r="Y28" s="2"/>
      <c r="Z28" s="19">
        <f t="shared" si="3"/>
        <v>-0.97733808304435066</v>
      </c>
    </row>
    <row r="29" spans="1:26" s="23" customFormat="1" hidden="1" outlineLevel="1" x14ac:dyDescent="0.25">
      <c r="A29" s="44"/>
      <c r="B29" s="10" t="str">
        <f>CONCATENATE("          ", "4082", " - ", "TAXABLE SALES-COMPUTER HARDWAR")</f>
        <v xml:space="preserve">          4082 - TAXABLE SALES-COMPUTER HARDWAR</v>
      </c>
      <c r="C29" s="10"/>
      <c r="D29" s="2">
        <f t="shared" si="4"/>
        <v>0</v>
      </c>
      <c r="E29" s="2"/>
      <c r="F29" s="19"/>
      <c r="G29" s="2"/>
      <c r="H29" s="2">
        <f t="shared" si="5"/>
        <v>0</v>
      </c>
      <c r="I29" s="2"/>
      <c r="J29" s="19"/>
      <c r="K29" s="2"/>
      <c r="L29" s="2">
        <f t="shared" si="0"/>
        <v>0</v>
      </c>
      <c r="M29" s="2"/>
      <c r="N29" s="19">
        <f t="shared" si="1"/>
        <v>0</v>
      </c>
      <c r="O29" s="10"/>
      <c r="P29" s="2">
        <f>0</f>
        <v>0</v>
      </c>
      <c r="Q29" s="2"/>
      <c r="R29" s="19"/>
      <c r="S29" s="2"/>
      <c r="T29" s="2">
        <f>--363.94</f>
        <v>363.94</v>
      </c>
      <c r="U29" s="2"/>
      <c r="V29" s="19"/>
      <c r="W29" s="2"/>
      <c r="X29" s="2">
        <f t="shared" si="2"/>
        <v>-363.94</v>
      </c>
      <c r="Y29" s="2"/>
      <c r="Z29" s="19">
        <f t="shared" si="3"/>
        <v>-1</v>
      </c>
    </row>
    <row r="30" spans="1:26" s="23" customFormat="1" hidden="1" outlineLevel="1" x14ac:dyDescent="0.25">
      <c r="A30" s="44"/>
      <c r="B30" s="10" t="str">
        <f>CONCATENATE("          ", "4083", " - ", "TAXABLE SALES-COMPUTER EQUIPME")</f>
        <v xml:space="preserve">          4083 - TAXABLE SALES-COMPUTER EQUIPME</v>
      </c>
      <c r="C30" s="10"/>
      <c r="D30" s="2">
        <f t="shared" si="4"/>
        <v>0</v>
      </c>
      <c r="E30" s="2"/>
      <c r="F30" s="19"/>
      <c r="G30" s="2"/>
      <c r="H30" s="2">
        <f t="shared" si="5"/>
        <v>0</v>
      </c>
      <c r="I30" s="2"/>
      <c r="J30" s="19"/>
      <c r="K30" s="2"/>
      <c r="L30" s="2">
        <f t="shared" si="0"/>
        <v>0</v>
      </c>
      <c r="M30" s="2"/>
      <c r="N30" s="19">
        <f t="shared" si="1"/>
        <v>0</v>
      </c>
      <c r="O30" s="10"/>
      <c r="P30" s="2">
        <f>--9.99</f>
        <v>9.99</v>
      </c>
      <c r="Q30" s="2"/>
      <c r="R30" s="19"/>
      <c r="S30" s="2"/>
      <c r="T30" s="2">
        <f>--914.33</f>
        <v>914.33</v>
      </c>
      <c r="U30" s="2"/>
      <c r="V30" s="19"/>
      <c r="W30" s="2"/>
      <c r="X30" s="2">
        <f t="shared" si="2"/>
        <v>-904.34</v>
      </c>
      <c r="Y30" s="2"/>
      <c r="Z30" s="19">
        <f t="shared" si="3"/>
        <v>-0.98907396672973646</v>
      </c>
    </row>
    <row r="31" spans="1:26" s="23" customFormat="1" hidden="1" outlineLevel="1" x14ac:dyDescent="0.25">
      <c r="A31" s="44"/>
      <c r="B31" s="10" t="str">
        <f>CONCATENATE("          ", "4086", " - ", "TAXABLE SALES-COMPUTER SUPPLIE")</f>
        <v xml:space="preserve">          4086 - TAXABLE SALES-COMPUTER SUPPLIE</v>
      </c>
      <c r="C31" s="10"/>
      <c r="D31" s="2">
        <f t="shared" si="4"/>
        <v>0</v>
      </c>
      <c r="E31" s="2"/>
      <c r="F31" s="19"/>
      <c r="G31" s="2"/>
      <c r="H31" s="2">
        <f t="shared" si="5"/>
        <v>0</v>
      </c>
      <c r="I31" s="2"/>
      <c r="J31" s="19"/>
      <c r="K31" s="2"/>
      <c r="L31" s="2">
        <f t="shared" si="0"/>
        <v>0</v>
      </c>
      <c r="M31" s="2"/>
      <c r="N31" s="19">
        <f t="shared" si="1"/>
        <v>0</v>
      </c>
      <c r="O31" s="10"/>
      <c r="P31" s="2">
        <f t="shared" ref="P31:P34" si="8">0</f>
        <v>0</v>
      </c>
      <c r="Q31" s="2"/>
      <c r="R31" s="19"/>
      <c r="S31" s="2"/>
      <c r="T31" s="2">
        <f>--813.74</f>
        <v>813.74</v>
      </c>
      <c r="U31" s="2"/>
      <c r="V31" s="19"/>
      <c r="W31" s="2"/>
      <c r="X31" s="2">
        <f t="shared" si="2"/>
        <v>-813.74</v>
      </c>
      <c r="Y31" s="2"/>
      <c r="Z31" s="19">
        <f t="shared" si="3"/>
        <v>-1</v>
      </c>
    </row>
    <row r="32" spans="1:26" s="23" customFormat="1" hidden="1" outlineLevel="1" x14ac:dyDescent="0.25">
      <c r="A32" s="44"/>
      <c r="B32" s="10" t="str">
        <f>CONCATENATE("          ", "4126", " - ", "NON-TAXABLE SALES-WRITING INST")</f>
        <v xml:space="preserve">          4126 - NON-TAXABLE SALES-WRITING INST</v>
      </c>
      <c r="C32" s="10"/>
      <c r="D32" s="2">
        <f t="shared" si="4"/>
        <v>0</v>
      </c>
      <c r="E32" s="2"/>
      <c r="F32" s="19"/>
      <c r="G32" s="2"/>
      <c r="H32" s="2">
        <f t="shared" si="5"/>
        <v>0</v>
      </c>
      <c r="I32" s="2"/>
      <c r="J32" s="19"/>
      <c r="K32" s="2"/>
      <c r="L32" s="2">
        <f t="shared" si="0"/>
        <v>0</v>
      </c>
      <c r="M32" s="2"/>
      <c r="N32" s="19">
        <f t="shared" si="1"/>
        <v>0</v>
      </c>
      <c r="O32" s="10"/>
      <c r="P32" s="2">
        <f t="shared" si="8"/>
        <v>0</v>
      </c>
      <c r="Q32" s="2"/>
      <c r="R32" s="19"/>
      <c r="S32" s="2"/>
      <c r="T32" s="2">
        <f>--2.49</f>
        <v>2.4900000000000002</v>
      </c>
      <c r="U32" s="2"/>
      <c r="V32" s="19"/>
      <c r="W32" s="2"/>
      <c r="X32" s="2">
        <f t="shared" si="2"/>
        <v>-2.4900000000000002</v>
      </c>
      <c r="Y32" s="2"/>
      <c r="Z32" s="19">
        <f t="shared" si="3"/>
        <v>-1</v>
      </c>
    </row>
    <row r="33" spans="1:26" s="23" customFormat="1" hidden="1" outlineLevel="1" x14ac:dyDescent="0.25">
      <c r="A33" s="44"/>
      <c r="B33" s="10" t="str">
        <f>CONCATENATE("          ", "4127", " - ", "NON-TAXABLE SALES-SCHOOL SUPPL")</f>
        <v xml:space="preserve">          4127 - NON-TAXABLE SALES-SCHOOL SUPPL</v>
      </c>
      <c r="C33" s="10"/>
      <c r="D33" s="2">
        <f t="shared" si="4"/>
        <v>0</v>
      </c>
      <c r="E33" s="2"/>
      <c r="F33" s="19"/>
      <c r="G33" s="2"/>
      <c r="H33" s="2">
        <f t="shared" si="5"/>
        <v>0</v>
      </c>
      <c r="I33" s="2"/>
      <c r="J33" s="19"/>
      <c r="K33" s="2"/>
      <c r="L33" s="2">
        <f t="shared" si="0"/>
        <v>0</v>
      </c>
      <c r="M33" s="2"/>
      <c r="N33" s="19">
        <f t="shared" si="1"/>
        <v>0</v>
      </c>
      <c r="O33" s="10"/>
      <c r="P33" s="2">
        <f t="shared" si="8"/>
        <v>0</v>
      </c>
      <c r="Q33" s="2"/>
      <c r="R33" s="19"/>
      <c r="S33" s="2"/>
      <c r="T33" s="2">
        <f>--16.45</f>
        <v>16.45</v>
      </c>
      <c r="U33" s="2"/>
      <c r="V33" s="19"/>
      <c r="W33" s="2"/>
      <c r="X33" s="2">
        <f t="shared" si="2"/>
        <v>-16.45</v>
      </c>
      <c r="Y33" s="2"/>
      <c r="Z33" s="19">
        <f t="shared" si="3"/>
        <v>-1</v>
      </c>
    </row>
    <row r="34" spans="1:26" s="23" customFormat="1" hidden="1" outlineLevel="1" x14ac:dyDescent="0.25">
      <c r="A34" s="44"/>
      <c r="B34" s="10" t="str">
        <f>CONCATENATE("          ", "4128", " - ", "NON-TAXABLE SALES-ART/TECH")</f>
        <v xml:space="preserve">          4128 - NON-TAXABLE SALES-ART/TECH</v>
      </c>
      <c r="C34" s="10"/>
      <c r="D34" s="2">
        <f t="shared" si="4"/>
        <v>0</v>
      </c>
      <c r="E34" s="2"/>
      <c r="F34" s="19"/>
      <c r="G34" s="2"/>
      <c r="H34" s="2">
        <f t="shared" si="5"/>
        <v>0</v>
      </c>
      <c r="I34" s="2"/>
      <c r="J34" s="19"/>
      <c r="K34" s="2"/>
      <c r="L34" s="2">
        <f t="shared" si="0"/>
        <v>0</v>
      </c>
      <c r="M34" s="2"/>
      <c r="N34" s="19">
        <f t="shared" si="1"/>
        <v>0</v>
      </c>
      <c r="O34" s="10"/>
      <c r="P34" s="2">
        <f t="shared" si="8"/>
        <v>0</v>
      </c>
      <c r="Q34" s="2"/>
      <c r="R34" s="19"/>
      <c r="S34" s="2"/>
      <c r="T34" s="2">
        <f>--242.09</f>
        <v>242.09</v>
      </c>
      <c r="U34" s="2"/>
      <c r="V34" s="19"/>
      <c r="W34" s="2"/>
      <c r="X34" s="2">
        <f t="shared" si="2"/>
        <v>-242.09</v>
      </c>
      <c r="Y34" s="2"/>
      <c r="Z34" s="19">
        <f t="shared" si="3"/>
        <v>-1</v>
      </c>
    </row>
    <row r="35" spans="1:26" s="23" customFormat="1" hidden="1" outlineLevel="1" x14ac:dyDescent="0.25">
      <c r="A35" s="44"/>
      <c r="B35" s="10" t="str">
        <f>CONCATENATE("          ", "4131", " - ", "NON-TAXABLE SALES-FOOD")</f>
        <v xml:space="preserve">          4131 - NON-TAXABLE SALES-FOOD</v>
      </c>
      <c r="C35" s="10"/>
      <c r="D35" s="2">
        <f t="shared" si="4"/>
        <v>0</v>
      </c>
      <c r="E35" s="2"/>
      <c r="F35" s="19"/>
      <c r="G35" s="2"/>
      <c r="H35" s="2">
        <f t="shared" si="5"/>
        <v>0</v>
      </c>
      <c r="I35" s="2"/>
      <c r="J35" s="19"/>
      <c r="K35" s="2"/>
      <c r="L35" s="2">
        <f t="shared" si="0"/>
        <v>0</v>
      </c>
      <c r="M35" s="2"/>
      <c r="N35" s="19">
        <f t="shared" si="1"/>
        <v>0</v>
      </c>
      <c r="O35" s="10"/>
      <c r="P35" s="2">
        <f>--1847.16</f>
        <v>1847.16</v>
      </c>
      <c r="Q35" s="2"/>
      <c r="R35" s="19"/>
      <c r="S35" s="2"/>
      <c r="T35" s="2">
        <f>--56310.14</f>
        <v>56310.14</v>
      </c>
      <c r="U35" s="2"/>
      <c r="V35" s="19"/>
      <c r="W35" s="2"/>
      <c r="X35" s="2">
        <f t="shared" si="2"/>
        <v>-54462.979999999996</v>
      </c>
      <c r="Y35" s="2"/>
      <c r="Z35" s="19">
        <f t="shared" si="3"/>
        <v>-0.96719667186052094</v>
      </c>
    </row>
    <row r="36" spans="1:26" s="23" customFormat="1" hidden="1" outlineLevel="1" x14ac:dyDescent="0.25">
      <c r="A36" s="44"/>
      <c r="B36" s="10" t="str">
        <f>CONCATENATE("          ", "4132", " - ", "NON-TAXABLE SALES-JUICE")</f>
        <v xml:space="preserve">          4132 - NON-TAXABLE SALES-JUICE</v>
      </c>
      <c r="C36" s="10"/>
      <c r="D36" s="2">
        <f t="shared" si="4"/>
        <v>0</v>
      </c>
      <c r="E36" s="2"/>
      <c r="F36" s="19"/>
      <c r="G36" s="2"/>
      <c r="H36" s="2">
        <f t="shared" si="5"/>
        <v>0</v>
      </c>
      <c r="I36" s="2"/>
      <c r="J36" s="19"/>
      <c r="K36" s="2"/>
      <c r="L36" s="2">
        <f t="shared" si="0"/>
        <v>0</v>
      </c>
      <c r="M36" s="2"/>
      <c r="N36" s="19">
        <f t="shared" si="1"/>
        <v>0</v>
      </c>
      <c r="O36" s="10"/>
      <c r="P36" s="2">
        <f t="shared" ref="P36:P43" si="9">0</f>
        <v>0</v>
      </c>
      <c r="Q36" s="2"/>
      <c r="R36" s="19"/>
      <c r="S36" s="2"/>
      <c r="T36" s="2">
        <f>--16199.63</f>
        <v>16199.63</v>
      </c>
      <c r="U36" s="2"/>
      <c r="V36" s="19"/>
      <c r="W36" s="2"/>
      <c r="X36" s="2">
        <f t="shared" si="2"/>
        <v>-16199.63</v>
      </c>
      <c r="Y36" s="2"/>
      <c r="Z36" s="19">
        <f t="shared" si="3"/>
        <v>-1</v>
      </c>
    </row>
    <row r="37" spans="1:26" s="23" customFormat="1" hidden="1" outlineLevel="1" x14ac:dyDescent="0.25">
      <c r="A37" s="44"/>
      <c r="B37" s="10" t="str">
        <f>CONCATENATE("          ", "4133", " - ", "NON-TAXABLE SALES-CANDY")</f>
        <v xml:space="preserve">          4133 - NON-TAXABLE SALES-CANDY</v>
      </c>
      <c r="C37" s="10"/>
      <c r="D37" s="2">
        <f t="shared" si="4"/>
        <v>0</v>
      </c>
      <c r="E37" s="2"/>
      <c r="F37" s="19"/>
      <c r="G37" s="2"/>
      <c r="H37" s="2">
        <f t="shared" si="5"/>
        <v>0</v>
      </c>
      <c r="I37" s="2"/>
      <c r="J37" s="19"/>
      <c r="K37" s="2"/>
      <c r="L37" s="2">
        <f t="shared" si="0"/>
        <v>0</v>
      </c>
      <c r="M37" s="2"/>
      <c r="N37" s="19">
        <f t="shared" si="1"/>
        <v>0</v>
      </c>
      <c r="O37" s="10"/>
      <c r="P37" s="2">
        <f t="shared" si="9"/>
        <v>0</v>
      </c>
      <c r="Q37" s="2"/>
      <c r="R37" s="19"/>
      <c r="S37" s="2"/>
      <c r="T37" s="2">
        <f>--15823.84</f>
        <v>15823.84</v>
      </c>
      <c r="U37" s="2"/>
      <c r="V37" s="19"/>
      <c r="W37" s="2"/>
      <c r="X37" s="2">
        <f t="shared" si="2"/>
        <v>-15823.84</v>
      </c>
      <c r="Y37" s="2"/>
      <c r="Z37" s="19">
        <f t="shared" si="3"/>
        <v>-1</v>
      </c>
    </row>
    <row r="38" spans="1:26" s="23" customFormat="1" hidden="1" outlineLevel="1" x14ac:dyDescent="0.25">
      <c r="A38" s="44"/>
      <c r="B38" s="10" t="str">
        <f>CONCATENATE("          ", "4134", " - ", "NON-TAXABLE SALES-SODA")</f>
        <v xml:space="preserve">          4134 - NON-TAXABLE SALES-SODA</v>
      </c>
      <c r="C38" s="10"/>
      <c r="D38" s="2">
        <f t="shared" si="4"/>
        <v>0</v>
      </c>
      <c r="E38" s="2"/>
      <c r="F38" s="19"/>
      <c r="G38" s="2"/>
      <c r="H38" s="2">
        <f t="shared" si="5"/>
        <v>0</v>
      </c>
      <c r="I38" s="2"/>
      <c r="J38" s="19"/>
      <c r="K38" s="2"/>
      <c r="L38" s="2">
        <f t="shared" si="0"/>
        <v>0</v>
      </c>
      <c r="M38" s="2"/>
      <c r="N38" s="19">
        <f t="shared" si="1"/>
        <v>0</v>
      </c>
      <c r="O38" s="10"/>
      <c r="P38" s="2">
        <f t="shared" si="9"/>
        <v>0</v>
      </c>
      <c r="Q38" s="2"/>
      <c r="R38" s="19"/>
      <c r="S38" s="2"/>
      <c r="T38" s="2">
        <f>--1.89</f>
        <v>1.89</v>
      </c>
      <c r="U38" s="2"/>
      <c r="V38" s="19"/>
      <c r="W38" s="2"/>
      <c r="X38" s="2">
        <f t="shared" si="2"/>
        <v>-1.89</v>
      </c>
      <c r="Y38" s="2"/>
      <c r="Z38" s="19">
        <f t="shared" si="3"/>
        <v>-1</v>
      </c>
    </row>
    <row r="39" spans="1:26" s="23" customFormat="1" hidden="1" outlineLevel="1" x14ac:dyDescent="0.25">
      <c r="A39" s="44"/>
      <c r="B39" s="10" t="str">
        <f>CONCATENATE("          ", "4135", " - ", "NON-TAXABLE SALES")</f>
        <v xml:space="preserve">          4135 - NON-TAXABLE SALES</v>
      </c>
      <c r="C39" s="10"/>
      <c r="D39" s="2">
        <f t="shared" si="4"/>
        <v>0</v>
      </c>
      <c r="E39" s="2"/>
      <c r="F39" s="19"/>
      <c r="G39" s="2"/>
      <c r="H39" s="2">
        <f t="shared" si="5"/>
        <v>0</v>
      </c>
      <c r="I39" s="2"/>
      <c r="J39" s="19"/>
      <c r="K39" s="2"/>
      <c r="L39" s="2">
        <f t="shared" si="0"/>
        <v>0</v>
      </c>
      <c r="M39" s="2"/>
      <c r="N39" s="19">
        <f t="shared" si="1"/>
        <v>0</v>
      </c>
      <c r="O39" s="10"/>
      <c r="P39" s="2">
        <f t="shared" si="9"/>
        <v>0</v>
      </c>
      <c r="Q39" s="2"/>
      <c r="R39" s="19"/>
      <c r="S39" s="2"/>
      <c r="T39" s="2">
        <f>--111.24</f>
        <v>111.24</v>
      </c>
      <c r="U39" s="2"/>
      <c r="V39" s="19"/>
      <c r="W39" s="2"/>
      <c r="X39" s="2">
        <f t="shared" si="2"/>
        <v>-111.24</v>
      </c>
      <c r="Y39" s="2"/>
      <c r="Z39" s="19">
        <f t="shared" si="3"/>
        <v>-1</v>
      </c>
    </row>
    <row r="40" spans="1:26" s="23" customFormat="1" hidden="1" outlineLevel="1" x14ac:dyDescent="0.25">
      <c r="A40" s="44"/>
      <c r="B40" s="10" t="str">
        <f>CONCATENATE("          ", "4137", " - ", "NON-TAXABLE SALES-WATER")</f>
        <v xml:space="preserve">          4137 - NON-TAXABLE SALES-WATER</v>
      </c>
      <c r="C40" s="10"/>
      <c r="D40" s="2">
        <f t="shared" si="4"/>
        <v>0</v>
      </c>
      <c r="E40" s="2"/>
      <c r="F40" s="19"/>
      <c r="G40" s="2"/>
      <c r="H40" s="2">
        <f t="shared" si="5"/>
        <v>0</v>
      </c>
      <c r="I40" s="2"/>
      <c r="J40" s="19"/>
      <c r="K40" s="2"/>
      <c r="L40" s="2">
        <f t="shared" si="0"/>
        <v>0</v>
      </c>
      <c r="M40" s="2"/>
      <c r="N40" s="19">
        <f t="shared" si="1"/>
        <v>0</v>
      </c>
      <c r="O40" s="10"/>
      <c r="P40" s="2">
        <f t="shared" si="9"/>
        <v>0</v>
      </c>
      <c r="Q40" s="2"/>
      <c r="R40" s="19"/>
      <c r="S40" s="2"/>
      <c r="T40" s="2">
        <f>--8396.06</f>
        <v>8396.06</v>
      </c>
      <c r="U40" s="2"/>
      <c r="V40" s="19"/>
      <c r="W40" s="2"/>
      <c r="X40" s="2">
        <f t="shared" si="2"/>
        <v>-8396.06</v>
      </c>
      <c r="Y40" s="2"/>
      <c r="Z40" s="19">
        <f t="shared" si="3"/>
        <v>-1</v>
      </c>
    </row>
    <row r="41" spans="1:26" s="23" customFormat="1" hidden="1" outlineLevel="1" x14ac:dyDescent="0.25">
      <c r="A41" s="44"/>
      <c r="B41" s="10" t="str">
        <f>CONCATENATE("          ", "4186", " - ", "NON-TAXABLE SALES-COMPUTER SUP")</f>
        <v xml:space="preserve">          4186 - NON-TAXABLE SALES-COMPUTER SUP</v>
      </c>
      <c r="C41" s="10"/>
      <c r="D41" s="2">
        <f t="shared" si="4"/>
        <v>0</v>
      </c>
      <c r="E41" s="2"/>
      <c r="F41" s="19"/>
      <c r="G41" s="2"/>
      <c r="H41" s="2">
        <f t="shared" si="5"/>
        <v>0</v>
      </c>
      <c r="I41" s="2"/>
      <c r="J41" s="19"/>
      <c r="K41" s="2"/>
      <c r="L41" s="2">
        <f t="shared" si="0"/>
        <v>0</v>
      </c>
      <c r="M41" s="2"/>
      <c r="N41" s="19">
        <f t="shared" si="1"/>
        <v>0</v>
      </c>
      <c r="O41" s="10"/>
      <c r="P41" s="2">
        <f t="shared" si="9"/>
        <v>0</v>
      </c>
      <c r="Q41" s="2"/>
      <c r="R41" s="19"/>
      <c r="S41" s="2"/>
      <c r="T41" s="2">
        <f>-30.97</f>
        <v>-30.97</v>
      </c>
      <c r="U41" s="2"/>
      <c r="V41" s="19"/>
      <c r="W41" s="2"/>
      <c r="X41" s="2">
        <f t="shared" si="2"/>
        <v>30.97</v>
      </c>
      <c r="Y41" s="2"/>
      <c r="Z41" s="19">
        <f t="shared" si="3"/>
        <v>-1</v>
      </c>
    </row>
    <row r="42" spans="1:26" s="23" customFormat="1" hidden="1" outlineLevel="1" x14ac:dyDescent="0.25">
      <c r="A42" s="44"/>
      <c r="B42" s="10" t="str">
        <f>CONCATENATE("          ", "4225", " - ", "SALES RETURN TAXABLE-TEST FORM")</f>
        <v xml:space="preserve">          4225 - SALES RETURN TAXABLE-TEST FORM</v>
      </c>
      <c r="C42" s="10"/>
      <c r="D42" s="2">
        <f t="shared" si="4"/>
        <v>0</v>
      </c>
      <c r="E42" s="2"/>
      <c r="F42" s="19"/>
      <c r="G42" s="2"/>
      <c r="H42" s="2">
        <f t="shared" si="5"/>
        <v>0</v>
      </c>
      <c r="I42" s="2"/>
      <c r="J42" s="19"/>
      <c r="K42" s="2"/>
      <c r="L42" s="2">
        <f t="shared" si="0"/>
        <v>0</v>
      </c>
      <c r="M42" s="2"/>
      <c r="N42" s="19">
        <f t="shared" si="1"/>
        <v>0</v>
      </c>
      <c r="O42" s="10"/>
      <c r="P42" s="2">
        <f t="shared" si="9"/>
        <v>0</v>
      </c>
      <c r="Q42" s="2"/>
      <c r="R42" s="19"/>
      <c r="S42" s="2"/>
      <c r="T42" s="2">
        <f>-35.13</f>
        <v>-35.130000000000003</v>
      </c>
      <c r="U42" s="2"/>
      <c r="V42" s="19"/>
      <c r="W42" s="2"/>
      <c r="X42" s="2">
        <f t="shared" si="2"/>
        <v>35.130000000000003</v>
      </c>
      <c r="Y42" s="2"/>
      <c r="Z42" s="19">
        <f t="shared" si="3"/>
        <v>-1</v>
      </c>
    </row>
    <row r="43" spans="1:26" s="23" customFormat="1" hidden="1" outlineLevel="1" x14ac:dyDescent="0.25">
      <c r="A43" s="44"/>
      <c r="B43" s="10" t="str">
        <f>CONCATENATE("          ", "4226", " - ", "SALES RETURN TAXABLE-WRITING I")</f>
        <v xml:space="preserve">          4226 - SALES RETURN TAXABLE-WRITING I</v>
      </c>
      <c r="C43" s="10"/>
      <c r="D43" s="2">
        <f t="shared" si="4"/>
        <v>0</v>
      </c>
      <c r="E43" s="2"/>
      <c r="F43" s="19"/>
      <c r="G43" s="2"/>
      <c r="H43" s="2">
        <f t="shared" si="5"/>
        <v>0</v>
      </c>
      <c r="I43" s="2"/>
      <c r="J43" s="19"/>
      <c r="K43" s="2"/>
      <c r="L43" s="2">
        <f t="shared" si="0"/>
        <v>0</v>
      </c>
      <c r="M43" s="2"/>
      <c r="N43" s="19">
        <f t="shared" si="1"/>
        <v>0</v>
      </c>
      <c r="O43" s="10"/>
      <c r="P43" s="2">
        <f t="shared" si="9"/>
        <v>0</v>
      </c>
      <c r="Q43" s="2"/>
      <c r="R43" s="19"/>
      <c r="S43" s="2"/>
      <c r="T43" s="2">
        <f>-11.05</f>
        <v>-11.05</v>
      </c>
      <c r="U43" s="2"/>
      <c r="V43" s="19"/>
      <c r="W43" s="2"/>
      <c r="X43" s="2">
        <f t="shared" si="2"/>
        <v>11.05</v>
      </c>
      <c r="Y43" s="2"/>
      <c r="Z43" s="19">
        <f t="shared" si="3"/>
        <v>-1</v>
      </c>
    </row>
    <row r="44" spans="1:26" s="23" customFormat="1" hidden="1" outlineLevel="1" x14ac:dyDescent="0.25">
      <c r="A44" s="44"/>
      <c r="B44" s="10" t="str">
        <f>CONCATENATE("          ", "4227", " - ", "SALES RETURN TAXABLE-SCHOOL SU")</f>
        <v xml:space="preserve">          4227 - SALES RETURN TAXABLE-SCHOOL SU</v>
      </c>
      <c r="C44" s="10"/>
      <c r="D44" s="2">
        <f t="shared" si="4"/>
        <v>0</v>
      </c>
      <c r="E44" s="2"/>
      <c r="F44" s="19"/>
      <c r="G44" s="2"/>
      <c r="H44" s="2">
        <f t="shared" si="5"/>
        <v>0</v>
      </c>
      <c r="I44" s="2"/>
      <c r="J44" s="19"/>
      <c r="K44" s="2"/>
      <c r="L44" s="2">
        <f t="shared" si="0"/>
        <v>0</v>
      </c>
      <c r="M44" s="2"/>
      <c r="N44" s="19">
        <f t="shared" si="1"/>
        <v>0</v>
      </c>
      <c r="O44" s="10"/>
      <c r="P44" s="2">
        <f>-159.97</f>
        <v>-159.97</v>
      </c>
      <c r="Q44" s="2"/>
      <c r="R44" s="19"/>
      <c r="S44" s="2"/>
      <c r="T44" s="2">
        <f>-42.06</f>
        <v>-42.06</v>
      </c>
      <c r="U44" s="2"/>
      <c r="V44" s="19"/>
      <c r="W44" s="2"/>
      <c r="X44" s="2">
        <f t="shared" si="2"/>
        <v>-117.91</v>
      </c>
      <c r="Y44" s="2"/>
      <c r="Z44" s="19">
        <f t="shared" si="3"/>
        <v>2.8033761293390391</v>
      </c>
    </row>
    <row r="45" spans="1:26" s="23" customFormat="1" hidden="1" outlineLevel="1" x14ac:dyDescent="0.25">
      <c r="A45" s="44"/>
      <c r="B45" s="10" t="str">
        <f>CONCATENATE("          ", "4228", " - ", "SALES RETURN TAXABLE-ART/TECH")</f>
        <v xml:space="preserve">          4228 - SALES RETURN TAXABLE-ART/TECH</v>
      </c>
      <c r="C45" s="10"/>
      <c r="D45" s="2">
        <f t="shared" si="4"/>
        <v>0</v>
      </c>
      <c r="E45" s="2"/>
      <c r="F45" s="19"/>
      <c r="G45" s="2"/>
      <c r="H45" s="2">
        <f t="shared" si="5"/>
        <v>0</v>
      </c>
      <c r="I45" s="2"/>
      <c r="J45" s="19"/>
      <c r="K45" s="2"/>
      <c r="L45" s="2">
        <f t="shared" si="0"/>
        <v>0</v>
      </c>
      <c r="M45" s="2"/>
      <c r="N45" s="19">
        <f t="shared" si="1"/>
        <v>0</v>
      </c>
      <c r="O45" s="10"/>
      <c r="P45" s="2">
        <f>-222.2</f>
        <v>-222.2</v>
      </c>
      <c r="Q45" s="2"/>
      <c r="R45" s="19"/>
      <c r="S45" s="2"/>
      <c r="T45" s="2">
        <f>-4479.12</f>
        <v>-4479.12</v>
      </c>
      <c r="U45" s="2"/>
      <c r="V45" s="19"/>
      <c r="W45" s="2"/>
      <c r="X45" s="2">
        <f t="shared" si="2"/>
        <v>4256.92</v>
      </c>
      <c r="Y45" s="2"/>
      <c r="Z45" s="19">
        <f t="shared" si="3"/>
        <v>-0.9503920412938256</v>
      </c>
    </row>
    <row r="46" spans="1:26" s="23" customFormat="1" hidden="1" outlineLevel="1" x14ac:dyDescent="0.25">
      <c r="A46" s="44"/>
      <c r="B46" s="10" t="str">
        <f>CONCATENATE("          ", "4233", " - ", "SALES RETURN TAXABLE-CANDY")</f>
        <v xml:space="preserve">          4233 - SALES RETURN TAXABLE-CANDY</v>
      </c>
      <c r="C46" s="10"/>
      <c r="D46" s="2">
        <f t="shared" si="4"/>
        <v>0</v>
      </c>
      <c r="E46" s="2"/>
      <c r="F46" s="19"/>
      <c r="G46" s="2"/>
      <c r="H46" s="2">
        <f t="shared" si="5"/>
        <v>0</v>
      </c>
      <c r="I46" s="2"/>
      <c r="J46" s="19"/>
      <c r="K46" s="2"/>
      <c r="L46" s="2">
        <f t="shared" si="0"/>
        <v>0</v>
      </c>
      <c r="M46" s="2"/>
      <c r="N46" s="19">
        <f t="shared" si="1"/>
        <v>0</v>
      </c>
      <c r="O46" s="10"/>
      <c r="P46" s="2">
        <f t="shared" ref="P46:P49" si="10">0</f>
        <v>0</v>
      </c>
      <c r="Q46" s="2"/>
      <c r="R46" s="19"/>
      <c r="S46" s="2"/>
      <c r="T46" s="2">
        <f>-8.25</f>
        <v>-8.25</v>
      </c>
      <c r="U46" s="2"/>
      <c r="V46" s="19"/>
      <c r="W46" s="2"/>
      <c r="X46" s="2">
        <f t="shared" si="2"/>
        <v>8.25</v>
      </c>
      <c r="Y46" s="2"/>
      <c r="Z46" s="19">
        <f t="shared" si="3"/>
        <v>-1</v>
      </c>
    </row>
    <row r="47" spans="1:26" s="23" customFormat="1" hidden="1" outlineLevel="1" x14ac:dyDescent="0.25">
      <c r="A47" s="44"/>
      <c r="B47" s="10" t="str">
        <f>CONCATENATE("          ", "4281", " - ", "SALES RETURN TAXABLE-ELECTRONI")</f>
        <v xml:space="preserve">          4281 - SALES RETURN TAXABLE-ELECTRONI</v>
      </c>
      <c r="C47" s="10"/>
      <c r="D47" s="2">
        <f t="shared" si="4"/>
        <v>0</v>
      </c>
      <c r="E47" s="2"/>
      <c r="F47" s="19"/>
      <c r="G47" s="2"/>
      <c r="H47" s="2">
        <f t="shared" si="5"/>
        <v>0</v>
      </c>
      <c r="I47" s="2"/>
      <c r="J47" s="19"/>
      <c r="K47" s="2"/>
      <c r="L47" s="2">
        <f t="shared" si="0"/>
        <v>0</v>
      </c>
      <c r="M47" s="2"/>
      <c r="N47" s="19">
        <f t="shared" si="1"/>
        <v>0</v>
      </c>
      <c r="O47" s="10"/>
      <c r="P47" s="2">
        <f t="shared" si="10"/>
        <v>0</v>
      </c>
      <c r="Q47" s="2"/>
      <c r="R47" s="19"/>
      <c r="S47" s="2"/>
      <c r="T47" s="2">
        <f>-54.97</f>
        <v>-54.97</v>
      </c>
      <c r="U47" s="2"/>
      <c r="V47" s="19"/>
      <c r="W47" s="2"/>
      <c r="X47" s="2">
        <f t="shared" si="2"/>
        <v>54.97</v>
      </c>
      <c r="Y47" s="2"/>
      <c r="Z47" s="19">
        <f t="shared" si="3"/>
        <v>-1</v>
      </c>
    </row>
    <row r="48" spans="1:26" s="23" customFormat="1" hidden="1" outlineLevel="1" x14ac:dyDescent="0.25">
      <c r="A48" s="44"/>
      <c r="B48" s="10" t="str">
        <f>CONCATENATE("          ", "4331", " - ", "SALES RETURN NON TAXABLE-FOOD")</f>
        <v xml:space="preserve">          4331 - SALES RETURN NON TAXABLE-FOOD</v>
      </c>
      <c r="C48" s="10"/>
      <c r="D48" s="2">
        <f t="shared" si="4"/>
        <v>0</v>
      </c>
      <c r="E48" s="2"/>
      <c r="F48" s="19"/>
      <c r="G48" s="2"/>
      <c r="H48" s="2">
        <f t="shared" si="5"/>
        <v>0</v>
      </c>
      <c r="I48" s="2"/>
      <c r="J48" s="19"/>
      <c r="K48" s="2"/>
      <c r="L48" s="2">
        <f t="shared" si="0"/>
        <v>0</v>
      </c>
      <c r="M48" s="2"/>
      <c r="N48" s="19">
        <f t="shared" si="1"/>
        <v>0</v>
      </c>
      <c r="O48" s="10"/>
      <c r="P48" s="2">
        <f t="shared" si="10"/>
        <v>0</v>
      </c>
      <c r="Q48" s="2"/>
      <c r="R48" s="19"/>
      <c r="S48" s="2"/>
      <c r="T48" s="2">
        <f>-12.57</f>
        <v>-12.57</v>
      </c>
      <c r="U48" s="2"/>
      <c r="V48" s="19"/>
      <c r="W48" s="2"/>
      <c r="X48" s="2">
        <f t="shared" si="2"/>
        <v>12.57</v>
      </c>
      <c r="Y48" s="2"/>
      <c r="Z48" s="19">
        <f t="shared" si="3"/>
        <v>-1</v>
      </c>
    </row>
    <row r="49" spans="1:26" s="23" customFormat="1" hidden="1" outlineLevel="1" x14ac:dyDescent="0.25">
      <c r="A49" s="44"/>
      <c r="B49" s="10" t="str">
        <f>CONCATENATE("          ", "4332", " - ", "SALES RETURN NON TAXABLE-JUICE")</f>
        <v xml:space="preserve">          4332 - SALES RETURN NON TAXABLE-JUICE</v>
      </c>
      <c r="C49" s="10"/>
      <c r="D49" s="2">
        <f t="shared" si="4"/>
        <v>0</v>
      </c>
      <c r="E49" s="2"/>
      <c r="F49" s="19"/>
      <c r="G49" s="2"/>
      <c r="H49" s="2">
        <f t="shared" si="5"/>
        <v>0</v>
      </c>
      <c r="I49" s="2"/>
      <c r="J49" s="19"/>
      <c r="K49" s="2"/>
      <c r="L49" s="2">
        <f t="shared" si="0"/>
        <v>0</v>
      </c>
      <c r="M49" s="2"/>
      <c r="N49" s="19">
        <f t="shared" si="1"/>
        <v>0</v>
      </c>
      <c r="O49" s="10"/>
      <c r="P49" s="2">
        <f t="shared" si="10"/>
        <v>0</v>
      </c>
      <c r="Q49" s="2"/>
      <c r="R49" s="19"/>
      <c r="S49" s="2"/>
      <c r="T49" s="2">
        <f>-2.79</f>
        <v>-2.79</v>
      </c>
      <c r="U49" s="2"/>
      <c r="V49" s="19"/>
      <c r="W49" s="2"/>
      <c r="X49" s="2">
        <f t="shared" si="2"/>
        <v>2.79</v>
      </c>
      <c r="Y49" s="2"/>
      <c r="Z49" s="19">
        <f t="shared" si="3"/>
        <v>-1</v>
      </c>
    </row>
    <row r="50" spans="1:26" x14ac:dyDescent="0.25">
      <c r="A50" s="9"/>
      <c r="B50" s="11"/>
      <c r="C50" s="9"/>
      <c r="D50" s="3"/>
      <c r="E50" s="3"/>
      <c r="F50" s="8"/>
      <c r="G50" s="3"/>
      <c r="H50" s="3"/>
      <c r="I50" s="3"/>
      <c r="J50" s="8"/>
      <c r="K50" s="3"/>
      <c r="L50" s="3"/>
      <c r="M50" s="3"/>
      <c r="N50" s="8"/>
      <c r="P50" s="3"/>
      <c r="Q50" s="3"/>
      <c r="R50" s="8"/>
      <c r="S50" s="3"/>
      <c r="T50" s="3"/>
      <c r="U50" s="3"/>
      <c r="V50" s="8"/>
      <c r="W50" s="3"/>
      <c r="X50" s="3"/>
      <c r="Y50" s="3"/>
      <c r="Z50" s="8"/>
    </row>
    <row r="51" spans="1:26" s="24" customFormat="1" collapsed="1" x14ac:dyDescent="0.25">
      <c r="A51" s="11"/>
      <c r="B51" s="29" t="s">
        <v>256</v>
      </c>
      <c r="C51" s="11"/>
      <c r="D51" s="4">
        <f>SUM(OSRRefD16x_0)</f>
        <v>174968.99000000002</v>
      </c>
      <c r="E51" s="4"/>
      <c r="F51" s="13">
        <f t="shared" ref="F51:F73" si="11">IF(D$12=0,0,D51/D$12)</f>
        <v>0</v>
      </c>
      <c r="G51" s="4"/>
      <c r="H51" s="4">
        <f>SUM(OSRRefH16x_0)</f>
        <v>13138.83</v>
      </c>
      <c r="I51" s="4"/>
      <c r="J51" s="13">
        <f t="shared" ref="J51:J73" si="12">IF(H$12=0,0,H51/H$12)</f>
        <v>0</v>
      </c>
      <c r="K51" s="4"/>
      <c r="L51" s="4">
        <f t="shared" ref="L51:L73" si="13">+D51-H51</f>
        <v>161830.16000000003</v>
      </c>
      <c r="M51" s="4"/>
      <c r="N51" s="13">
        <f t="shared" ref="N51:N73" si="14">IF(H51=0,0,L51/H51)</f>
        <v>12.31693841841321</v>
      </c>
      <c r="O51" s="11"/>
      <c r="P51" s="4">
        <f>SUM(OSRRefP16x_0)</f>
        <v>188790.50999999998</v>
      </c>
      <c r="Q51" s="4"/>
      <c r="R51" s="13">
        <f t="shared" ref="R51:R73" si="15">IF(P$12=0,0,P51/P$12)</f>
        <v>8.8584468222478314</v>
      </c>
      <c r="S51" s="4"/>
      <c r="T51" s="4">
        <f>SUM(OSRRefT16x_0)</f>
        <v>228933.56</v>
      </c>
      <c r="U51" s="4"/>
      <c r="V51" s="13">
        <f t="shared" ref="V51:V73" si="16">IF(T$12=0,0,T51/T$12)</f>
        <v>0.55762726165209209</v>
      </c>
      <c r="W51" s="4"/>
      <c r="X51" s="4">
        <f t="shared" ref="X51:X73" si="17">+P51-T51</f>
        <v>-40143.050000000017</v>
      </c>
      <c r="Y51" s="4"/>
      <c r="Z51" s="13">
        <f t="shared" ref="Z51:Z73" si="18">IF(T51=0,0,X51/T51)</f>
        <v>-0.1753480354736982</v>
      </c>
    </row>
    <row r="52" spans="1:26" s="23" customFormat="1" hidden="1" outlineLevel="1" x14ac:dyDescent="0.25">
      <c r="A52" s="44"/>
      <c r="B52" s="10" t="str">
        <f>CONCATENATE("          ", "5000", " - ", "PURCHASES @ COST")</f>
        <v xml:space="preserve">          5000 - PURCHASES @ COST</v>
      </c>
      <c r="C52" s="10"/>
      <c r="D52" s="2"/>
      <c r="E52" s="2"/>
      <c r="F52" s="19">
        <f t="shared" si="11"/>
        <v>0</v>
      </c>
      <c r="G52" s="2"/>
      <c r="H52" s="2"/>
      <c r="I52" s="2"/>
      <c r="J52" s="19">
        <f t="shared" si="12"/>
        <v>0</v>
      </c>
      <c r="K52" s="2"/>
      <c r="L52" s="2">
        <f t="shared" si="13"/>
        <v>0</v>
      </c>
      <c r="M52" s="2"/>
      <c r="N52" s="19">
        <f t="shared" si="14"/>
        <v>0</v>
      </c>
      <c r="O52" s="10"/>
      <c r="P52" s="2"/>
      <c r="Q52" s="2"/>
      <c r="R52" s="19">
        <f t="shared" si="15"/>
        <v>0</v>
      </c>
      <c r="S52" s="2"/>
      <c r="T52" s="2">
        <v>0</v>
      </c>
      <c r="U52" s="2"/>
      <c r="V52" s="19">
        <f t="shared" si="16"/>
        <v>0</v>
      </c>
      <c r="W52" s="2"/>
      <c r="X52" s="2">
        <f t="shared" si="17"/>
        <v>0</v>
      </c>
      <c r="Y52" s="2"/>
      <c r="Z52" s="19">
        <f t="shared" si="18"/>
        <v>0</v>
      </c>
    </row>
    <row r="53" spans="1:26" s="23" customFormat="1" hidden="1" outlineLevel="1" x14ac:dyDescent="0.25">
      <c r="A53" s="44"/>
      <c r="B53" s="10" t="str">
        <f>CONCATENATE("          ", "5014", " - ", "PURCHASES @ COST-REMAINDERS")</f>
        <v xml:space="preserve">          5014 - PURCHASES @ COST-REMAINDERS</v>
      </c>
      <c r="C53" s="10"/>
      <c r="D53" s="2"/>
      <c r="E53" s="2"/>
      <c r="F53" s="19">
        <f t="shared" si="11"/>
        <v>0</v>
      </c>
      <c r="G53" s="2"/>
      <c r="H53" s="2"/>
      <c r="I53" s="2"/>
      <c r="J53" s="19">
        <f t="shared" si="12"/>
        <v>0</v>
      </c>
      <c r="K53" s="2"/>
      <c r="L53" s="2">
        <f t="shared" si="13"/>
        <v>0</v>
      </c>
      <c r="M53" s="2"/>
      <c r="N53" s="19">
        <f t="shared" si="14"/>
        <v>0</v>
      </c>
      <c r="O53" s="10"/>
      <c r="P53" s="2"/>
      <c r="Q53" s="2"/>
      <c r="R53" s="19">
        <f t="shared" si="15"/>
        <v>0</v>
      </c>
      <c r="S53" s="2"/>
      <c r="T53" s="2">
        <v>14.46</v>
      </c>
      <c r="U53" s="2"/>
      <c r="V53" s="19">
        <f t="shared" si="16"/>
        <v>3.522109298212657E-5</v>
      </c>
      <c r="W53" s="2"/>
      <c r="X53" s="2">
        <f t="shared" si="17"/>
        <v>-14.46</v>
      </c>
      <c r="Y53" s="2"/>
      <c r="Z53" s="19">
        <f t="shared" si="18"/>
        <v>-1</v>
      </c>
    </row>
    <row r="54" spans="1:26" s="23" customFormat="1" hidden="1" outlineLevel="1" x14ac:dyDescent="0.25">
      <c r="A54" s="44"/>
      <c r="B54" s="10" t="str">
        <f>CONCATENATE("          ", "5025", " - ", "PURCHASES @ COST-TEST FORMS")</f>
        <v xml:space="preserve">          5025 - PURCHASES @ COST-TEST FORMS</v>
      </c>
      <c r="C54" s="10"/>
      <c r="D54" s="2">
        <v>161</v>
      </c>
      <c r="E54" s="2"/>
      <c r="F54" s="19">
        <f t="shared" si="11"/>
        <v>0</v>
      </c>
      <c r="G54" s="2"/>
      <c r="H54" s="2"/>
      <c r="I54" s="2"/>
      <c r="J54" s="19">
        <f t="shared" si="12"/>
        <v>0</v>
      </c>
      <c r="K54" s="2"/>
      <c r="L54" s="2">
        <f t="shared" si="13"/>
        <v>161</v>
      </c>
      <c r="M54" s="2"/>
      <c r="N54" s="19">
        <f t="shared" si="14"/>
        <v>0</v>
      </c>
      <c r="O54" s="10"/>
      <c r="P54" s="2">
        <v>161</v>
      </c>
      <c r="Q54" s="2"/>
      <c r="R54" s="19">
        <f t="shared" si="15"/>
        <v>7.5544577870037058E-3</v>
      </c>
      <c r="S54" s="2"/>
      <c r="T54" s="2">
        <v>688.18</v>
      </c>
      <c r="U54" s="2"/>
      <c r="V54" s="19">
        <f t="shared" si="16"/>
        <v>1.6762414777620927E-3</v>
      </c>
      <c r="W54" s="2"/>
      <c r="X54" s="2">
        <f t="shared" si="17"/>
        <v>-527.17999999999995</v>
      </c>
      <c r="Y54" s="2"/>
      <c r="Z54" s="19">
        <f t="shared" si="18"/>
        <v>-0.76604958005173063</v>
      </c>
    </row>
    <row r="55" spans="1:26" s="23" customFormat="1" hidden="1" outlineLevel="1" x14ac:dyDescent="0.25">
      <c r="A55" s="44"/>
      <c r="B55" s="10" t="str">
        <f>CONCATENATE("          ", "5026", " - ", "PURCHASES @ COST-WRITING INSTR")</f>
        <v xml:space="preserve">          5026 - PURCHASES @ COST-WRITING INSTR</v>
      </c>
      <c r="C55" s="10"/>
      <c r="D55" s="2">
        <v>1610.02</v>
      </c>
      <c r="E55" s="2"/>
      <c r="F55" s="19">
        <f t="shared" si="11"/>
        <v>0</v>
      </c>
      <c r="G55" s="2"/>
      <c r="H55" s="2"/>
      <c r="I55" s="2"/>
      <c r="J55" s="19">
        <f t="shared" si="12"/>
        <v>0</v>
      </c>
      <c r="K55" s="2"/>
      <c r="L55" s="2">
        <f t="shared" si="13"/>
        <v>1610.02</v>
      </c>
      <c r="M55" s="2"/>
      <c r="N55" s="19">
        <f t="shared" si="14"/>
        <v>0</v>
      </c>
      <c r="O55" s="10"/>
      <c r="P55" s="2">
        <v>1974.93</v>
      </c>
      <c r="Q55" s="2"/>
      <c r="R55" s="19">
        <f t="shared" si="15"/>
        <v>9.2667859113585271E-2</v>
      </c>
      <c r="S55" s="2"/>
      <c r="T55" s="2">
        <v>3365.91</v>
      </c>
      <c r="U55" s="2"/>
      <c r="V55" s="19">
        <f t="shared" si="16"/>
        <v>8.1985497288706525E-3</v>
      </c>
      <c r="W55" s="2"/>
      <c r="X55" s="2">
        <f t="shared" si="17"/>
        <v>-1390.9799999999998</v>
      </c>
      <c r="Y55" s="2"/>
      <c r="Z55" s="19">
        <f t="shared" si="18"/>
        <v>-0.41325525637940402</v>
      </c>
    </row>
    <row r="56" spans="1:26" s="23" customFormat="1" hidden="1" outlineLevel="1" x14ac:dyDescent="0.25">
      <c r="A56" s="44"/>
      <c r="B56" s="10" t="str">
        <f>CONCATENATE("          ", "5027", " - ", "PURCHASES @ COST-SCHOOL SUPPLI")</f>
        <v xml:space="preserve">          5027 - PURCHASES @ COST-SCHOOL SUPPLI</v>
      </c>
      <c r="C56" s="10"/>
      <c r="D56" s="2">
        <v>1842.47</v>
      </c>
      <c r="E56" s="2"/>
      <c r="F56" s="19">
        <f t="shared" si="11"/>
        <v>0</v>
      </c>
      <c r="G56" s="2"/>
      <c r="H56" s="2"/>
      <c r="I56" s="2"/>
      <c r="J56" s="19">
        <f t="shared" si="12"/>
        <v>0</v>
      </c>
      <c r="K56" s="2"/>
      <c r="L56" s="2">
        <f t="shared" si="13"/>
        <v>1842.47</v>
      </c>
      <c r="M56" s="2"/>
      <c r="N56" s="19">
        <f t="shared" si="14"/>
        <v>0</v>
      </c>
      <c r="O56" s="10"/>
      <c r="P56" s="2">
        <v>2737.94</v>
      </c>
      <c r="Q56" s="2"/>
      <c r="R56" s="19">
        <f t="shared" si="15"/>
        <v>0.12846988915123556</v>
      </c>
      <c r="S56" s="2"/>
      <c r="T56" s="2">
        <v>3855.85</v>
      </c>
      <c r="U56" s="2"/>
      <c r="V56" s="19">
        <f t="shared" si="16"/>
        <v>9.3919260978653323E-3</v>
      </c>
      <c r="W56" s="2"/>
      <c r="X56" s="2">
        <f t="shared" si="17"/>
        <v>-1117.9099999999999</v>
      </c>
      <c r="Y56" s="2"/>
      <c r="Z56" s="19">
        <f t="shared" si="18"/>
        <v>-0.28992569731706364</v>
      </c>
    </row>
    <row r="57" spans="1:26" s="23" customFormat="1" hidden="1" outlineLevel="1" x14ac:dyDescent="0.25">
      <c r="A57" s="44"/>
      <c r="B57" s="10" t="str">
        <f>CONCATENATE("          ", "5028", " - ", "PURCHASES @ COST-ART/TECH")</f>
        <v xml:space="preserve">          5028 - PURCHASES @ COST-ART/TECH</v>
      </c>
      <c r="C57" s="10"/>
      <c r="D57" s="2">
        <v>92180.17</v>
      </c>
      <c r="E57" s="2"/>
      <c r="F57" s="19">
        <f t="shared" si="11"/>
        <v>0</v>
      </c>
      <c r="G57" s="2"/>
      <c r="H57" s="2">
        <v>1190.5</v>
      </c>
      <c r="I57" s="2"/>
      <c r="J57" s="19">
        <f t="shared" si="12"/>
        <v>0</v>
      </c>
      <c r="K57" s="2"/>
      <c r="L57" s="2">
        <f t="shared" si="13"/>
        <v>90989.67</v>
      </c>
      <c r="M57" s="2"/>
      <c r="N57" s="19">
        <f t="shared" si="14"/>
        <v>76.429794204115922</v>
      </c>
      <c r="O57" s="10"/>
      <c r="P57" s="2">
        <v>133622.01999999999</v>
      </c>
      <c r="Q57" s="2"/>
      <c r="R57" s="19">
        <f t="shared" si="15"/>
        <v>6.2698255248705888</v>
      </c>
      <c r="S57" s="2"/>
      <c r="T57" s="2">
        <v>153156.18</v>
      </c>
      <c r="U57" s="2"/>
      <c r="V57" s="19">
        <f t="shared" si="16"/>
        <v>0.37305173281931625</v>
      </c>
      <c r="W57" s="2"/>
      <c r="X57" s="2">
        <f t="shared" si="17"/>
        <v>-19534.160000000003</v>
      </c>
      <c r="Y57" s="2"/>
      <c r="Z57" s="19">
        <f t="shared" si="18"/>
        <v>-0.12754405339699648</v>
      </c>
    </row>
    <row r="58" spans="1:26" s="23" customFormat="1" hidden="1" outlineLevel="1" x14ac:dyDescent="0.25">
      <c r="A58" s="44"/>
      <c r="B58" s="10" t="str">
        <f>CONCATENATE("          ", "5031", " - ", "PURCHASES @ COST-FOOD")</f>
        <v xml:space="preserve">          5031 - PURCHASES @ COST-FOOD</v>
      </c>
      <c r="C58" s="10"/>
      <c r="D58" s="2">
        <v>74968.09</v>
      </c>
      <c r="E58" s="2"/>
      <c r="F58" s="19">
        <f t="shared" si="11"/>
        <v>0</v>
      </c>
      <c r="G58" s="2"/>
      <c r="H58" s="2"/>
      <c r="I58" s="2"/>
      <c r="J58" s="19">
        <f t="shared" si="12"/>
        <v>0</v>
      </c>
      <c r="K58" s="2"/>
      <c r="L58" s="2">
        <f t="shared" si="13"/>
        <v>74968.09</v>
      </c>
      <c r="M58" s="2"/>
      <c r="N58" s="19">
        <f t="shared" si="14"/>
        <v>0</v>
      </c>
      <c r="O58" s="10"/>
      <c r="P58" s="2">
        <v>77409.66</v>
      </c>
      <c r="Q58" s="2"/>
      <c r="R58" s="19">
        <f t="shared" si="15"/>
        <v>3.63222365699571</v>
      </c>
      <c r="S58" s="2"/>
      <c r="T58" s="2">
        <v>32459.35</v>
      </c>
      <c r="U58" s="2"/>
      <c r="V58" s="19">
        <f t="shared" si="16"/>
        <v>7.9063193948090582E-2</v>
      </c>
      <c r="W58" s="2"/>
      <c r="X58" s="2">
        <f t="shared" si="17"/>
        <v>44950.310000000005</v>
      </c>
      <c r="Y58" s="2"/>
      <c r="Z58" s="19">
        <f t="shared" si="18"/>
        <v>1.384818549970964</v>
      </c>
    </row>
    <row r="59" spans="1:26" s="23" customFormat="1" hidden="1" outlineLevel="1" x14ac:dyDescent="0.25">
      <c r="A59" s="44"/>
      <c r="B59" s="10" t="str">
        <f>CONCATENATE("          ", "5032", " - ", "PURCHASES @ COST-JUICE")</f>
        <v xml:space="preserve">          5032 - PURCHASES @ COST-JUICE</v>
      </c>
      <c r="C59" s="10"/>
      <c r="D59" s="2">
        <v>291</v>
      </c>
      <c r="E59" s="2"/>
      <c r="F59" s="19">
        <f t="shared" si="11"/>
        <v>0</v>
      </c>
      <c r="G59" s="2"/>
      <c r="H59" s="2"/>
      <c r="I59" s="2"/>
      <c r="J59" s="19">
        <f t="shared" si="12"/>
        <v>0</v>
      </c>
      <c r="K59" s="2"/>
      <c r="L59" s="2">
        <f t="shared" si="13"/>
        <v>291</v>
      </c>
      <c r="M59" s="2"/>
      <c r="N59" s="19">
        <f t="shared" si="14"/>
        <v>0</v>
      </c>
      <c r="O59" s="10"/>
      <c r="P59" s="2">
        <v>291</v>
      </c>
      <c r="Q59" s="2"/>
      <c r="R59" s="19">
        <f t="shared" si="15"/>
        <v>1.3654330534273779E-2</v>
      </c>
      <c r="S59" s="2"/>
      <c r="T59" s="2">
        <v>7802.45</v>
      </c>
      <c r="U59" s="2"/>
      <c r="V59" s="19">
        <f t="shared" si="16"/>
        <v>1.9004897436956669E-2</v>
      </c>
      <c r="W59" s="2"/>
      <c r="X59" s="2">
        <f t="shared" si="17"/>
        <v>-7511.45</v>
      </c>
      <c r="Y59" s="2"/>
      <c r="Z59" s="19">
        <f t="shared" si="18"/>
        <v>-0.9627040224544855</v>
      </c>
    </row>
    <row r="60" spans="1:26" s="23" customFormat="1" hidden="1" outlineLevel="1" x14ac:dyDescent="0.25">
      <c r="A60" s="44"/>
      <c r="B60" s="10" t="str">
        <f>CONCATENATE("          ", "5033", " - ", "PURCHASES @ COST-CANDY")</f>
        <v xml:space="preserve">          5033 - PURCHASES @ COST-CANDY</v>
      </c>
      <c r="C60" s="10"/>
      <c r="D60" s="2">
        <v>1266</v>
      </c>
      <c r="E60" s="2"/>
      <c r="F60" s="19">
        <f t="shared" si="11"/>
        <v>0</v>
      </c>
      <c r="G60" s="2"/>
      <c r="H60" s="2"/>
      <c r="I60" s="2"/>
      <c r="J60" s="19">
        <f t="shared" si="12"/>
        <v>0</v>
      </c>
      <c r="K60" s="2"/>
      <c r="L60" s="2">
        <f t="shared" si="13"/>
        <v>1266</v>
      </c>
      <c r="M60" s="2"/>
      <c r="N60" s="19">
        <f t="shared" si="14"/>
        <v>0</v>
      </c>
      <c r="O60" s="10"/>
      <c r="P60" s="2">
        <v>1266</v>
      </c>
      <c r="Q60" s="2"/>
      <c r="R60" s="19">
        <f t="shared" si="15"/>
        <v>5.9403376138799327E-2</v>
      </c>
      <c r="S60" s="2"/>
      <c r="T60" s="2">
        <v>8879.33</v>
      </c>
      <c r="U60" s="2"/>
      <c r="V60" s="19">
        <f t="shared" si="16"/>
        <v>2.1627918917633878E-2</v>
      </c>
      <c r="W60" s="2"/>
      <c r="X60" s="2">
        <f t="shared" si="17"/>
        <v>-7613.33</v>
      </c>
      <c r="Y60" s="2"/>
      <c r="Z60" s="19">
        <f t="shared" si="18"/>
        <v>-0.85742167483357412</v>
      </c>
    </row>
    <row r="61" spans="1:26" s="23" customFormat="1" hidden="1" outlineLevel="1" x14ac:dyDescent="0.25">
      <c r="A61" s="44"/>
      <c r="B61" s="10" t="str">
        <f>CONCATENATE("          ", "5034", " - ", "PURCHASES @ COST-SODA")</f>
        <v xml:space="preserve">          5034 - PURCHASES @ COST-SODA</v>
      </c>
      <c r="C61" s="10"/>
      <c r="D61" s="2">
        <v>567</v>
      </c>
      <c r="E61" s="2"/>
      <c r="F61" s="19">
        <f t="shared" si="11"/>
        <v>0</v>
      </c>
      <c r="G61" s="2"/>
      <c r="H61" s="2"/>
      <c r="I61" s="2"/>
      <c r="J61" s="19">
        <f t="shared" si="12"/>
        <v>0</v>
      </c>
      <c r="K61" s="2"/>
      <c r="L61" s="2">
        <f t="shared" si="13"/>
        <v>567</v>
      </c>
      <c r="M61" s="2"/>
      <c r="N61" s="19">
        <f t="shared" si="14"/>
        <v>0</v>
      </c>
      <c r="O61" s="10"/>
      <c r="P61" s="2">
        <v>567</v>
      </c>
      <c r="Q61" s="2"/>
      <c r="R61" s="19">
        <f t="shared" si="15"/>
        <v>2.6604829597708702E-2</v>
      </c>
      <c r="S61" s="2"/>
      <c r="T61" s="2">
        <v>4033.88</v>
      </c>
      <c r="U61" s="2"/>
      <c r="V61" s="19">
        <f t="shared" si="16"/>
        <v>9.8255644923057207E-3</v>
      </c>
      <c r="W61" s="2"/>
      <c r="X61" s="2">
        <f t="shared" si="17"/>
        <v>-3466.88</v>
      </c>
      <c r="Y61" s="2"/>
      <c r="Z61" s="19">
        <f t="shared" si="18"/>
        <v>-0.85944053863773839</v>
      </c>
    </row>
    <row r="62" spans="1:26" s="23" customFormat="1" hidden="1" outlineLevel="1" x14ac:dyDescent="0.25">
      <c r="A62" s="44"/>
      <c r="B62" s="10" t="str">
        <f>CONCATENATE("          ", "5035", " - ", "PURCHASES @ COST-HEALTH &amp; BEAU")</f>
        <v xml:space="preserve">          5035 - PURCHASES @ COST-HEALTH &amp; BEAU</v>
      </c>
      <c r="C62" s="10"/>
      <c r="D62" s="2">
        <v>339</v>
      </c>
      <c r="E62" s="2"/>
      <c r="F62" s="19">
        <f t="shared" si="11"/>
        <v>0</v>
      </c>
      <c r="G62" s="2"/>
      <c r="H62" s="2"/>
      <c r="I62" s="2"/>
      <c r="J62" s="19">
        <f t="shared" si="12"/>
        <v>0</v>
      </c>
      <c r="K62" s="2"/>
      <c r="L62" s="2">
        <f t="shared" si="13"/>
        <v>339</v>
      </c>
      <c r="M62" s="2"/>
      <c r="N62" s="19">
        <f t="shared" si="14"/>
        <v>0</v>
      </c>
      <c r="O62" s="10"/>
      <c r="P62" s="2">
        <v>339</v>
      </c>
      <c r="Q62" s="2"/>
      <c r="R62" s="19">
        <f t="shared" si="15"/>
        <v>1.5906591240958112E-2</v>
      </c>
      <c r="S62" s="2"/>
      <c r="T62" s="2">
        <v>1081.4000000000001</v>
      </c>
      <c r="U62" s="2"/>
      <c r="V62" s="19">
        <f t="shared" si="16"/>
        <v>2.6340311169344172E-3</v>
      </c>
      <c r="W62" s="2"/>
      <c r="X62" s="2">
        <f t="shared" si="17"/>
        <v>-742.40000000000009</v>
      </c>
      <c r="Y62" s="2"/>
      <c r="Z62" s="19">
        <f t="shared" si="18"/>
        <v>-0.68651747734418345</v>
      </c>
    </row>
    <row r="63" spans="1:26" s="23" customFormat="1" hidden="1" outlineLevel="1" x14ac:dyDescent="0.25">
      <c r="A63" s="44"/>
      <c r="B63" s="10" t="str">
        <f>CONCATENATE("          ", "5037", " - ", "PURCHASES @ COST-WATER")</f>
        <v xml:space="preserve">          5037 - PURCHASES @ COST-WATER</v>
      </c>
      <c r="C63" s="10"/>
      <c r="D63" s="2">
        <v>179.95</v>
      </c>
      <c r="E63" s="2"/>
      <c r="F63" s="19">
        <f t="shared" si="11"/>
        <v>0</v>
      </c>
      <c r="G63" s="2"/>
      <c r="H63" s="2"/>
      <c r="I63" s="2"/>
      <c r="J63" s="19">
        <f t="shared" si="12"/>
        <v>0</v>
      </c>
      <c r="K63" s="2"/>
      <c r="L63" s="2">
        <f t="shared" si="13"/>
        <v>179.95</v>
      </c>
      <c r="M63" s="2"/>
      <c r="N63" s="19">
        <f t="shared" si="14"/>
        <v>0</v>
      </c>
      <c r="O63" s="10"/>
      <c r="P63" s="2">
        <v>179.95</v>
      </c>
      <c r="Q63" s="2"/>
      <c r="R63" s="19">
        <f t="shared" si="15"/>
        <v>8.4436315451634578E-3</v>
      </c>
      <c r="S63" s="2"/>
      <c r="T63" s="2">
        <v>5663.81</v>
      </c>
      <c r="U63" s="2"/>
      <c r="V63" s="19">
        <f t="shared" si="16"/>
        <v>1.3795683170338746E-2</v>
      </c>
      <c r="W63" s="2"/>
      <c r="X63" s="2">
        <f t="shared" si="17"/>
        <v>-5483.8600000000006</v>
      </c>
      <c r="Y63" s="2"/>
      <c r="Z63" s="19">
        <f t="shared" si="18"/>
        <v>-0.96822810087202782</v>
      </c>
    </row>
    <row r="64" spans="1:26" s="23" customFormat="1" hidden="1" outlineLevel="1" x14ac:dyDescent="0.25">
      <c r="A64" s="44"/>
      <c r="B64" s="10" t="str">
        <f>CONCATENATE("          ", "5042", " - ", "PURCHASES @ COST-EVERYDAY GIFT")</f>
        <v xml:space="preserve">          5042 - PURCHASES @ COST-EVERYDAY GIFT</v>
      </c>
      <c r="C64" s="10"/>
      <c r="D64" s="2">
        <v>-6</v>
      </c>
      <c r="E64" s="2"/>
      <c r="F64" s="19">
        <f t="shared" si="11"/>
        <v>0</v>
      </c>
      <c r="G64" s="2"/>
      <c r="H64" s="2"/>
      <c r="I64" s="2"/>
      <c r="J64" s="19">
        <f t="shared" si="12"/>
        <v>0</v>
      </c>
      <c r="K64" s="2"/>
      <c r="L64" s="2">
        <f t="shared" si="13"/>
        <v>-6</v>
      </c>
      <c r="M64" s="2"/>
      <c r="N64" s="19">
        <f t="shared" si="14"/>
        <v>0</v>
      </c>
      <c r="O64" s="10"/>
      <c r="P64" s="2">
        <v>-6</v>
      </c>
      <c r="Q64" s="2"/>
      <c r="R64" s="19">
        <f t="shared" si="15"/>
        <v>-2.8153258833554183E-4</v>
      </c>
      <c r="S64" s="2"/>
      <c r="T64" s="2"/>
      <c r="U64" s="2"/>
      <c r="V64" s="19">
        <f t="shared" si="16"/>
        <v>0</v>
      </c>
      <c r="W64" s="2"/>
      <c r="X64" s="2">
        <f t="shared" si="17"/>
        <v>-6</v>
      </c>
      <c r="Y64" s="2"/>
      <c r="Z64" s="19">
        <f t="shared" si="18"/>
        <v>0</v>
      </c>
    </row>
    <row r="65" spans="1:26" s="23" customFormat="1" hidden="1" outlineLevel="1" x14ac:dyDescent="0.25">
      <c r="A65" s="44"/>
      <c r="B65" s="10" t="str">
        <f>CONCATENATE("          ", "5081", " - ", "PURCHASES @ COST-ELECTRONICS")</f>
        <v xml:space="preserve">          5081 - PURCHASES @ COST-ELECTRONICS</v>
      </c>
      <c r="C65" s="10"/>
      <c r="D65" s="2">
        <v>227</v>
      </c>
      <c r="E65" s="2"/>
      <c r="F65" s="19">
        <f t="shared" si="11"/>
        <v>0</v>
      </c>
      <c r="G65" s="2"/>
      <c r="H65" s="2"/>
      <c r="I65" s="2"/>
      <c r="J65" s="19">
        <f t="shared" si="12"/>
        <v>0</v>
      </c>
      <c r="K65" s="2"/>
      <c r="L65" s="2">
        <f t="shared" si="13"/>
        <v>227</v>
      </c>
      <c r="M65" s="2"/>
      <c r="N65" s="19">
        <f t="shared" si="14"/>
        <v>0</v>
      </c>
      <c r="O65" s="10"/>
      <c r="P65" s="2">
        <v>227</v>
      </c>
      <c r="Q65" s="2"/>
      <c r="R65" s="19">
        <f t="shared" si="15"/>
        <v>1.0651316258694666E-2</v>
      </c>
      <c r="S65" s="2"/>
      <c r="T65" s="2">
        <v>2008.03</v>
      </c>
      <c r="U65" s="2"/>
      <c r="V65" s="19">
        <f t="shared" si="16"/>
        <v>4.8910796224688529E-3</v>
      </c>
      <c r="W65" s="2"/>
      <c r="X65" s="2">
        <f t="shared" si="17"/>
        <v>-1781.03</v>
      </c>
      <c r="Y65" s="2"/>
      <c r="Z65" s="19">
        <f t="shared" si="18"/>
        <v>-0.88695388017111298</v>
      </c>
    </row>
    <row r="66" spans="1:26" s="23" customFormat="1" hidden="1" outlineLevel="1" x14ac:dyDescent="0.25">
      <c r="A66" s="44"/>
      <c r="B66" s="10" t="str">
        <f>CONCATENATE("          ", "5082", " - ", "PURCHASES @ COST-COMPUTER HARD")</f>
        <v xml:space="preserve">          5082 - PURCHASES @ COST-COMPUTER HARD</v>
      </c>
      <c r="C66" s="10"/>
      <c r="D66" s="2">
        <v>972</v>
      </c>
      <c r="E66" s="2"/>
      <c r="F66" s="19">
        <f t="shared" si="11"/>
        <v>0</v>
      </c>
      <c r="G66" s="2"/>
      <c r="H66" s="2"/>
      <c r="I66" s="2"/>
      <c r="J66" s="19">
        <f t="shared" si="12"/>
        <v>0</v>
      </c>
      <c r="K66" s="2"/>
      <c r="L66" s="2">
        <f t="shared" si="13"/>
        <v>972</v>
      </c>
      <c r="M66" s="2"/>
      <c r="N66" s="19">
        <f t="shared" si="14"/>
        <v>0</v>
      </c>
      <c r="O66" s="10"/>
      <c r="P66" s="2">
        <v>972</v>
      </c>
      <c r="Q66" s="2"/>
      <c r="R66" s="19">
        <f t="shared" si="15"/>
        <v>4.5608279310357776E-2</v>
      </c>
      <c r="S66" s="2"/>
      <c r="T66" s="2">
        <v>349.6</v>
      </c>
      <c r="U66" s="2"/>
      <c r="V66" s="19">
        <f t="shared" si="16"/>
        <v>8.5154177776980975E-4</v>
      </c>
      <c r="W66" s="2"/>
      <c r="X66" s="2">
        <f t="shared" si="17"/>
        <v>622.4</v>
      </c>
      <c r="Y66" s="2"/>
      <c r="Z66" s="19">
        <f t="shared" si="18"/>
        <v>1.7803203661327229</v>
      </c>
    </row>
    <row r="67" spans="1:26" s="23" customFormat="1" hidden="1" outlineLevel="1" x14ac:dyDescent="0.25">
      <c r="A67" s="44"/>
      <c r="B67" s="10" t="str">
        <f>CONCATENATE("          ", "5083", " - ", "PURCHASES @ COST-COMPUTER EQUI")</f>
        <v xml:space="preserve">          5083 - PURCHASES @ COST-COMPUTER EQUI</v>
      </c>
      <c r="C67" s="10"/>
      <c r="D67" s="2">
        <v>170</v>
      </c>
      <c r="E67" s="2"/>
      <c r="F67" s="19">
        <f t="shared" si="11"/>
        <v>0</v>
      </c>
      <c r="G67" s="2"/>
      <c r="H67" s="2"/>
      <c r="I67" s="2"/>
      <c r="J67" s="19">
        <f t="shared" si="12"/>
        <v>0</v>
      </c>
      <c r="K67" s="2"/>
      <c r="L67" s="2">
        <f t="shared" si="13"/>
        <v>170</v>
      </c>
      <c r="M67" s="2"/>
      <c r="N67" s="19">
        <f t="shared" si="14"/>
        <v>0</v>
      </c>
      <c r="O67" s="10"/>
      <c r="P67" s="2">
        <v>170</v>
      </c>
      <c r="Q67" s="2"/>
      <c r="R67" s="19">
        <f t="shared" si="15"/>
        <v>7.976756669507019E-3</v>
      </c>
      <c r="S67" s="2"/>
      <c r="T67" s="2">
        <v>304.70999999999998</v>
      </c>
      <c r="U67" s="2"/>
      <c r="V67" s="19">
        <f t="shared" si="16"/>
        <v>7.4220050087024799E-4</v>
      </c>
      <c r="W67" s="2"/>
      <c r="X67" s="2">
        <f t="shared" si="17"/>
        <v>-134.70999999999998</v>
      </c>
      <c r="Y67" s="2"/>
      <c r="Z67" s="19">
        <f t="shared" si="18"/>
        <v>-0.44209248137573426</v>
      </c>
    </row>
    <row r="68" spans="1:26" s="23" customFormat="1" hidden="1" outlineLevel="1" x14ac:dyDescent="0.25">
      <c r="A68" s="44"/>
      <c r="B68" s="10" t="str">
        <f>CONCATENATE("          ", "5086", " - ", "PURCHASES @ COST-COMPUTER SUPP")</f>
        <v xml:space="preserve">          5086 - PURCHASES @ COST-COMPUTER SUPP</v>
      </c>
      <c r="C68" s="10"/>
      <c r="D68" s="2">
        <v>143</v>
      </c>
      <c r="E68" s="2"/>
      <c r="F68" s="19">
        <f t="shared" si="11"/>
        <v>0</v>
      </c>
      <c r="G68" s="2"/>
      <c r="H68" s="2"/>
      <c r="I68" s="2"/>
      <c r="J68" s="19">
        <f t="shared" si="12"/>
        <v>0</v>
      </c>
      <c r="K68" s="2"/>
      <c r="L68" s="2">
        <f t="shared" si="13"/>
        <v>143</v>
      </c>
      <c r="M68" s="2"/>
      <c r="N68" s="19">
        <f t="shared" si="14"/>
        <v>0</v>
      </c>
      <c r="O68" s="10"/>
      <c r="P68" s="2">
        <v>143</v>
      </c>
      <c r="Q68" s="2"/>
      <c r="R68" s="19">
        <f t="shared" si="15"/>
        <v>6.7098600219970802E-3</v>
      </c>
      <c r="S68" s="2"/>
      <c r="T68" s="2">
        <v>426.22</v>
      </c>
      <c r="U68" s="2"/>
      <c r="V68" s="19">
        <f t="shared" si="16"/>
        <v>1.0381697268908704E-3</v>
      </c>
      <c r="W68" s="2"/>
      <c r="X68" s="2">
        <f t="shared" si="17"/>
        <v>-283.22000000000003</v>
      </c>
      <c r="Y68" s="2"/>
      <c r="Z68" s="19">
        <f t="shared" si="18"/>
        <v>-0.66449251560227118</v>
      </c>
    </row>
    <row r="69" spans="1:26" s="23" customFormat="1" hidden="1" outlineLevel="1" x14ac:dyDescent="0.25">
      <c r="A69" s="44"/>
      <c r="B69" s="10" t="str">
        <f>CONCATENATE("          ", "5200", " - ", "PURCHASES OFFSET")</f>
        <v xml:space="preserve">          5200 - PURCHASES OFFSET</v>
      </c>
      <c r="C69" s="10"/>
      <c r="D69" s="2"/>
      <c r="E69" s="2"/>
      <c r="F69" s="19">
        <f t="shared" si="11"/>
        <v>0</v>
      </c>
      <c r="G69" s="2"/>
      <c r="H69" s="2">
        <v>-1204</v>
      </c>
      <c r="I69" s="2"/>
      <c r="J69" s="19">
        <f t="shared" si="12"/>
        <v>0</v>
      </c>
      <c r="K69" s="2"/>
      <c r="L69" s="2">
        <f t="shared" si="13"/>
        <v>1204</v>
      </c>
      <c r="M69" s="2"/>
      <c r="N69" s="19">
        <f t="shared" si="14"/>
        <v>-1</v>
      </c>
      <c r="O69" s="10"/>
      <c r="P69" s="2">
        <v>-45863.33</v>
      </c>
      <c r="Q69" s="2"/>
      <c r="R69" s="19">
        <f t="shared" si="15"/>
        <v>-2.1520036674311842</v>
      </c>
      <c r="S69" s="2"/>
      <c r="T69" s="2">
        <v>-227198</v>
      </c>
      <c r="U69" s="2"/>
      <c r="V69" s="19">
        <f t="shared" si="16"/>
        <v>-0.55339985362055266</v>
      </c>
      <c r="W69" s="2"/>
      <c r="X69" s="2">
        <f t="shared" si="17"/>
        <v>181334.66999999998</v>
      </c>
      <c r="Y69" s="2"/>
      <c r="Z69" s="19">
        <f t="shared" si="18"/>
        <v>-0.79813497477970752</v>
      </c>
    </row>
    <row r="70" spans="1:26" s="23" customFormat="1" hidden="1" outlineLevel="1" x14ac:dyDescent="0.25">
      <c r="A70" s="44"/>
      <c r="B70" s="10" t="str">
        <f>CONCATENATE("          ", "5300", " - ", "COG$ OFFSET")</f>
        <v xml:space="preserve">          5300 - COG$ OFFSET</v>
      </c>
      <c r="C70" s="10"/>
      <c r="D70" s="2"/>
      <c r="E70" s="2"/>
      <c r="F70" s="19">
        <f t="shared" si="11"/>
        <v>0</v>
      </c>
      <c r="G70" s="2"/>
      <c r="H70" s="2">
        <v>13123</v>
      </c>
      <c r="I70" s="2"/>
      <c r="J70" s="19">
        <f t="shared" si="12"/>
        <v>0</v>
      </c>
      <c r="K70" s="2"/>
      <c r="L70" s="2">
        <f t="shared" si="13"/>
        <v>-13123</v>
      </c>
      <c r="M70" s="2"/>
      <c r="N70" s="19">
        <f t="shared" si="14"/>
        <v>-1</v>
      </c>
      <c r="O70" s="10"/>
      <c r="P70" s="2">
        <v>14145</v>
      </c>
      <c r="Q70" s="2"/>
      <c r="R70" s="19">
        <f t="shared" si="15"/>
        <v>0.66371307700103988</v>
      </c>
      <c r="S70" s="2"/>
      <c r="T70" s="2">
        <v>228840</v>
      </c>
      <c r="U70" s="2"/>
      <c r="V70" s="19">
        <f t="shared" si="16"/>
        <v>0.55739937192460876</v>
      </c>
      <c r="W70" s="2"/>
      <c r="X70" s="2">
        <f t="shared" si="17"/>
        <v>-214695</v>
      </c>
      <c r="Y70" s="2"/>
      <c r="Z70" s="19">
        <f t="shared" si="18"/>
        <v>-0.93818825380178295</v>
      </c>
    </row>
    <row r="71" spans="1:26" s="23" customFormat="1" hidden="1" outlineLevel="1" x14ac:dyDescent="0.25">
      <c r="A71" s="44"/>
      <c r="B71" s="10" t="str">
        <f>CONCATENATE("          ", "5500", " - ", "FREIGHT-IN")</f>
        <v xml:space="preserve">          5500 - FREIGHT-IN</v>
      </c>
      <c r="C71" s="10"/>
      <c r="D71" s="2"/>
      <c r="E71" s="2"/>
      <c r="F71" s="19">
        <f t="shared" si="11"/>
        <v>0</v>
      </c>
      <c r="G71" s="2"/>
      <c r="H71" s="2">
        <v>16</v>
      </c>
      <c r="I71" s="2"/>
      <c r="J71" s="19">
        <f t="shared" si="12"/>
        <v>0</v>
      </c>
      <c r="K71" s="2"/>
      <c r="L71" s="2">
        <f t="shared" si="13"/>
        <v>-16</v>
      </c>
      <c r="M71" s="2"/>
      <c r="N71" s="19">
        <f t="shared" si="14"/>
        <v>-1</v>
      </c>
      <c r="O71" s="10"/>
      <c r="P71" s="2"/>
      <c r="Q71" s="2"/>
      <c r="R71" s="19">
        <f t="shared" si="15"/>
        <v>0</v>
      </c>
      <c r="S71" s="2"/>
      <c r="T71" s="2">
        <v>96</v>
      </c>
      <c r="U71" s="2"/>
      <c r="V71" s="19">
        <f t="shared" si="16"/>
        <v>2.3383298245395232E-4</v>
      </c>
      <c r="W71" s="2"/>
      <c r="X71" s="2">
        <f t="shared" si="17"/>
        <v>-96</v>
      </c>
      <c r="Y71" s="2"/>
      <c r="Z71" s="19">
        <f t="shared" si="18"/>
        <v>-1</v>
      </c>
    </row>
    <row r="72" spans="1:26" s="23" customFormat="1" hidden="1" outlineLevel="1" x14ac:dyDescent="0.25">
      <c r="A72" s="44"/>
      <c r="B72" s="10" t="str">
        <f>CONCATENATE("          ", "5527", " - ", "FREIGHT-IN-SCHOOL SUPPLIES")</f>
        <v xml:space="preserve">          5527 - FREIGHT-IN-SCHOOL SUPPLIES</v>
      </c>
      <c r="C72" s="10"/>
      <c r="D72" s="2">
        <v>58.29</v>
      </c>
      <c r="E72" s="2"/>
      <c r="F72" s="19">
        <f t="shared" si="11"/>
        <v>0</v>
      </c>
      <c r="G72" s="2"/>
      <c r="H72" s="2"/>
      <c r="I72" s="2"/>
      <c r="J72" s="19">
        <f t="shared" si="12"/>
        <v>0</v>
      </c>
      <c r="K72" s="2"/>
      <c r="L72" s="2">
        <f t="shared" si="13"/>
        <v>58.29</v>
      </c>
      <c r="M72" s="2"/>
      <c r="N72" s="19">
        <f t="shared" si="14"/>
        <v>0</v>
      </c>
      <c r="O72" s="10"/>
      <c r="P72" s="2">
        <v>58.29</v>
      </c>
      <c r="Q72" s="2"/>
      <c r="R72" s="19">
        <f t="shared" si="15"/>
        <v>2.7350890956797888E-3</v>
      </c>
      <c r="S72" s="2"/>
      <c r="T72" s="2">
        <v>369.28</v>
      </c>
      <c r="U72" s="2"/>
      <c r="V72" s="19">
        <f t="shared" si="16"/>
        <v>8.9947753917286985E-4</v>
      </c>
      <c r="W72" s="2"/>
      <c r="X72" s="2">
        <f t="shared" si="17"/>
        <v>-310.98999999999995</v>
      </c>
      <c r="Y72" s="2"/>
      <c r="Z72" s="19">
        <f t="shared" si="18"/>
        <v>-0.84215229636048516</v>
      </c>
    </row>
    <row r="73" spans="1:26" s="23" customFormat="1" hidden="1" outlineLevel="1" x14ac:dyDescent="0.25">
      <c r="A73" s="44"/>
      <c r="B73" s="10" t="str">
        <f>CONCATENATE("          ", "5528", " - ", "FREIGHT-IN-ART/TECH")</f>
        <v xml:space="preserve">          5528 - FREIGHT-IN-ART/TECH</v>
      </c>
      <c r="C73" s="10"/>
      <c r="D73" s="2"/>
      <c r="E73" s="2"/>
      <c r="F73" s="19">
        <f t="shared" si="11"/>
        <v>0</v>
      </c>
      <c r="G73" s="2"/>
      <c r="H73" s="2">
        <v>13.33</v>
      </c>
      <c r="I73" s="2"/>
      <c r="J73" s="19">
        <f t="shared" si="12"/>
        <v>0</v>
      </c>
      <c r="K73" s="2"/>
      <c r="L73" s="2">
        <f t="shared" si="13"/>
        <v>-13.33</v>
      </c>
      <c r="M73" s="2"/>
      <c r="N73" s="19">
        <f t="shared" si="14"/>
        <v>-1</v>
      </c>
      <c r="O73" s="10"/>
      <c r="P73" s="2">
        <v>396.05</v>
      </c>
      <c r="Q73" s="2"/>
      <c r="R73" s="19">
        <f t="shared" si="15"/>
        <v>1.8583496935048557E-2</v>
      </c>
      <c r="S73" s="2"/>
      <c r="T73" s="2">
        <v>2736.92</v>
      </c>
      <c r="U73" s="2"/>
      <c r="V73" s="19">
        <f t="shared" si="16"/>
        <v>6.6664808993528247E-3</v>
      </c>
      <c r="W73" s="2"/>
      <c r="X73" s="2">
        <f t="shared" si="17"/>
        <v>-2340.87</v>
      </c>
      <c r="Y73" s="2"/>
      <c r="Z73" s="19">
        <f t="shared" si="18"/>
        <v>-0.85529354164535309</v>
      </c>
    </row>
    <row r="74" spans="1:26" x14ac:dyDescent="0.25">
      <c r="A74" s="9"/>
      <c r="B74" s="11"/>
      <c r="C74" s="11"/>
      <c r="D74" s="3"/>
      <c r="E74" s="3"/>
      <c r="F74" s="8"/>
      <c r="G74" s="3"/>
      <c r="H74" s="3"/>
      <c r="I74" s="3"/>
      <c r="J74" s="8"/>
      <c r="K74" s="3"/>
      <c r="L74" s="3"/>
      <c r="M74" s="3"/>
      <c r="N74" s="8"/>
      <c r="O74" s="11"/>
      <c r="P74" s="3"/>
      <c r="Q74" s="3"/>
      <c r="R74" s="8"/>
      <c r="S74" s="3"/>
      <c r="T74" s="3"/>
      <c r="U74" s="3"/>
      <c r="V74" s="8"/>
      <c r="W74" s="3"/>
      <c r="X74" s="3"/>
      <c r="Y74" s="3"/>
      <c r="Z74" s="8"/>
    </row>
    <row r="75" spans="1:26" s="24" customFormat="1" x14ac:dyDescent="0.25">
      <c r="A75" s="11"/>
      <c r="B75" s="28" t="s">
        <v>107</v>
      </c>
      <c r="C75" s="28"/>
      <c r="D75" s="21">
        <f>D12-D51</f>
        <v>-174968.99000000002</v>
      </c>
      <c r="E75" s="14"/>
      <c r="F75" s="22">
        <f>IF(D$12=0,0,D75/D$12)</f>
        <v>0</v>
      </c>
      <c r="G75" s="14"/>
      <c r="H75" s="21">
        <f>H12-H51</f>
        <v>-13138.83</v>
      </c>
      <c r="I75" s="14"/>
      <c r="J75" s="22">
        <f>IF(H$12=0,0,H75/H$12)</f>
        <v>0</v>
      </c>
      <c r="K75" s="15"/>
      <c r="L75" s="21">
        <f>+D75-H75</f>
        <v>-161830.16000000003</v>
      </c>
      <c r="M75" s="15"/>
      <c r="N75" s="22">
        <f>IF(H75=0,0,L75/H75)</f>
        <v>12.31693841841321</v>
      </c>
      <c r="O75" s="29"/>
      <c r="P75" s="21">
        <f>P12-P51</f>
        <v>-167478.58999999997</v>
      </c>
      <c r="Q75" s="14"/>
      <c r="R75" s="22">
        <f>IF(P$12=0,0,P75/P$12)</f>
        <v>-7.8584468222478305</v>
      </c>
      <c r="S75" s="14"/>
      <c r="T75" s="21">
        <f>T12-T51</f>
        <v>181615.88000000024</v>
      </c>
      <c r="U75" s="14"/>
      <c r="V75" s="22">
        <f>IF(T$12=0,0,T75/T$12)</f>
        <v>0.44237273834790797</v>
      </c>
      <c r="W75" s="15"/>
      <c r="X75" s="21">
        <f>+P75-T75</f>
        <v>-349094.4700000002</v>
      </c>
      <c r="Y75" s="15"/>
      <c r="Z75" s="22">
        <f>IF(T75=0,0,X75/T75)</f>
        <v>-1.9221582936470079</v>
      </c>
    </row>
    <row r="76" spans="1:26" x14ac:dyDescent="0.25">
      <c r="A76" s="9"/>
      <c r="B76" s="11"/>
      <c r="C76" s="9"/>
      <c r="D76" s="1"/>
      <c r="E76" s="1"/>
      <c r="F76" s="5"/>
      <c r="G76" s="1"/>
      <c r="H76" s="1"/>
      <c r="I76" s="1"/>
      <c r="J76" s="5"/>
      <c r="K76" s="1"/>
      <c r="L76" s="1"/>
      <c r="M76" s="1"/>
      <c r="N76" s="5"/>
      <c r="O76" s="37"/>
      <c r="P76" s="1"/>
      <c r="Q76" s="1"/>
      <c r="R76" s="5"/>
      <c r="S76" s="1"/>
      <c r="T76" s="1"/>
      <c r="U76" s="1"/>
      <c r="V76" s="5"/>
      <c r="W76" s="1"/>
      <c r="X76" s="1"/>
      <c r="Y76" s="1"/>
      <c r="Z76" s="5"/>
    </row>
    <row r="77" spans="1:26" s="24" customFormat="1" x14ac:dyDescent="0.25">
      <c r="A77" s="11"/>
      <c r="B77" s="29" t="s">
        <v>294</v>
      </c>
      <c r="C77" s="11"/>
      <c r="D77" s="20">
        <f>SUM(OSRRefD22x_0)</f>
        <v>114.11</v>
      </c>
      <c r="E77" s="20"/>
      <c r="F77" s="32">
        <f t="shared" ref="F77:F86" si="19">IF(D$12=0,0,D77/D$12)</f>
        <v>0</v>
      </c>
      <c r="G77" s="20"/>
      <c r="H77" s="20">
        <f>SUM(OSRRefH22x_0)</f>
        <v>19716.719999999998</v>
      </c>
      <c r="I77" s="20"/>
      <c r="J77" s="32">
        <f t="shared" ref="J77:J86" si="20">IF(H$12=0,0,H77/H$12)</f>
        <v>0</v>
      </c>
      <c r="K77" s="4"/>
      <c r="L77" s="20">
        <f t="shared" ref="L77:L86" si="21">+D77-H77</f>
        <v>-19602.609999999997</v>
      </c>
      <c r="M77" s="4"/>
      <c r="N77" s="32">
        <f t="shared" ref="N77:N86" si="22">IF(H77=0,0,L77/H77)</f>
        <v>-0.99421252622139988</v>
      </c>
      <c r="O77" s="11"/>
      <c r="P77" s="20">
        <f>SUM(OSRRefP22x_0)</f>
        <v>12867.969999999998</v>
      </c>
      <c r="Q77" s="20"/>
      <c r="R77" s="32">
        <f t="shared" ref="R77:R86" si="23">IF(P$12=0,0,P77/P$12)</f>
        <v>0.60379215012068355</v>
      </c>
      <c r="S77" s="20"/>
      <c r="T77" s="20">
        <f>SUM(OSRRefT22x_0)</f>
        <v>128257.76000000001</v>
      </c>
      <c r="U77" s="20"/>
      <c r="V77" s="32">
        <f t="shared" ref="V77:V86" si="24">IF(T$12=0,0,T77/T$12)</f>
        <v>0.31240515149649195</v>
      </c>
      <c r="W77" s="4"/>
      <c r="X77" s="20">
        <f t="shared" ref="X77:X86" si="25">+P77-T77</f>
        <v>-115389.79000000001</v>
      </c>
      <c r="Y77" s="4"/>
      <c r="Z77" s="32">
        <f t="shared" ref="Z77:Z86" si="26">IF(T77=0,0,X77/T77)</f>
        <v>-0.89967102185474002</v>
      </c>
    </row>
    <row r="78" spans="1:26" s="27" customFormat="1" outlineLevel="1" collapsed="1" x14ac:dyDescent="0.25">
      <c r="A78" s="26"/>
      <c r="B78" s="12" t="str">
        <f>CONCATENATE("     ","*Benefits                                         ")</f>
        <v xml:space="preserve">     *Benefits                                         </v>
      </c>
      <c r="C78" s="12"/>
      <c r="D78" s="1">
        <f>SUM(OSRRefD22_0x_0)</f>
        <v>0</v>
      </c>
      <c r="E78" s="1"/>
      <c r="F78" s="5">
        <f t="shared" si="19"/>
        <v>0</v>
      </c>
      <c r="G78" s="1"/>
      <c r="H78" s="1">
        <f>SUM(OSRRefH22_0x_0)</f>
        <v>-203.94</v>
      </c>
      <c r="I78" s="1"/>
      <c r="J78" s="5">
        <f t="shared" si="20"/>
        <v>0</v>
      </c>
      <c r="K78" s="1"/>
      <c r="L78" s="1">
        <f t="shared" si="21"/>
        <v>203.94</v>
      </c>
      <c r="M78" s="1"/>
      <c r="N78" s="5">
        <f t="shared" si="22"/>
        <v>-1</v>
      </c>
      <c r="O78" s="12"/>
      <c r="P78" s="1">
        <f>SUM(OSRRefP22_0x_0)</f>
        <v>778.2</v>
      </c>
      <c r="Q78" s="1"/>
      <c r="R78" s="5">
        <f t="shared" si="23"/>
        <v>3.6514776707119778E-2</v>
      </c>
      <c r="S78" s="1"/>
      <c r="T78" s="1">
        <f>SUM(OSRRefT22_0x_0)</f>
        <v>17456.48</v>
      </c>
      <c r="U78" s="1"/>
      <c r="V78" s="5">
        <f t="shared" si="24"/>
        <v>4.2519799807789263E-2</v>
      </c>
      <c r="W78" s="1"/>
      <c r="X78" s="1">
        <f t="shared" si="25"/>
        <v>-16678.28</v>
      </c>
      <c r="Y78" s="1"/>
      <c r="Z78" s="5">
        <f t="shared" si="26"/>
        <v>-0.95542056588728075</v>
      </c>
    </row>
    <row r="79" spans="1:26" s="23" customFormat="1" hidden="1" outlineLevel="2" x14ac:dyDescent="0.25">
      <c r="A79" s="25"/>
      <c r="B79" s="10" t="str">
        <f>CONCATENATE("          ", "6111", " - ", "F.I.C.A.")</f>
        <v xml:space="preserve">          6111 - F.I.C.A.</v>
      </c>
      <c r="C79" s="10"/>
      <c r="D79" s="6"/>
      <c r="E79" s="2"/>
      <c r="F79" s="7">
        <f t="shared" si="19"/>
        <v>0</v>
      </c>
      <c r="G79" s="2"/>
      <c r="H79" s="6"/>
      <c r="I79" s="2"/>
      <c r="J79" s="7">
        <f t="shared" si="20"/>
        <v>0</v>
      </c>
      <c r="K79" s="2"/>
      <c r="L79" s="6">
        <f t="shared" si="21"/>
        <v>0</v>
      </c>
      <c r="M79" s="2"/>
      <c r="N79" s="7">
        <f t="shared" si="22"/>
        <v>0</v>
      </c>
      <c r="O79" s="10"/>
      <c r="P79" s="6">
        <v>484.61</v>
      </c>
      <c r="Q79" s="2"/>
      <c r="R79" s="7">
        <f t="shared" si="23"/>
        <v>2.2738917938881154E-2</v>
      </c>
      <c r="S79" s="2"/>
      <c r="T79" s="6">
        <v>2534.9299999999998</v>
      </c>
      <c r="U79" s="2"/>
      <c r="V79" s="7">
        <f t="shared" si="24"/>
        <v>6.1744816897083051E-3</v>
      </c>
      <c r="W79" s="2"/>
      <c r="X79" s="6">
        <f t="shared" si="25"/>
        <v>-2050.3199999999997</v>
      </c>
      <c r="Y79" s="2"/>
      <c r="Z79" s="7">
        <f t="shared" si="26"/>
        <v>-0.80882706820306671</v>
      </c>
    </row>
    <row r="80" spans="1:26" s="23" customFormat="1" hidden="1" outlineLevel="2" x14ac:dyDescent="0.25">
      <c r="A80" s="25"/>
      <c r="B80" s="10" t="str">
        <f>CONCATENATE("          ", "6112", " - ", "COMPENSATION INSURANCE")</f>
        <v xml:space="preserve">          6112 - COMPENSATION INSURANCE</v>
      </c>
      <c r="C80" s="10"/>
      <c r="D80" s="6"/>
      <c r="E80" s="2"/>
      <c r="F80" s="7">
        <f t="shared" si="19"/>
        <v>0</v>
      </c>
      <c r="G80" s="2"/>
      <c r="H80" s="6"/>
      <c r="I80" s="2"/>
      <c r="J80" s="7">
        <f t="shared" si="20"/>
        <v>0</v>
      </c>
      <c r="K80" s="2"/>
      <c r="L80" s="6">
        <f t="shared" si="21"/>
        <v>0</v>
      </c>
      <c r="M80" s="2"/>
      <c r="N80" s="7">
        <f t="shared" si="22"/>
        <v>0</v>
      </c>
      <c r="O80" s="10"/>
      <c r="P80" s="6">
        <v>255.57</v>
      </c>
      <c r="Q80" s="2"/>
      <c r="R80" s="7">
        <f t="shared" si="23"/>
        <v>1.1991880600152403E-2</v>
      </c>
      <c r="S80" s="2"/>
      <c r="T80" s="6">
        <v>1326.62</v>
      </c>
      <c r="U80" s="2"/>
      <c r="V80" s="7">
        <f t="shared" si="24"/>
        <v>3.2313282414902309E-3</v>
      </c>
      <c r="W80" s="2"/>
      <c r="X80" s="6">
        <f t="shared" si="25"/>
        <v>-1071.05</v>
      </c>
      <c r="Y80" s="2"/>
      <c r="Z80" s="7">
        <f t="shared" si="26"/>
        <v>-0.80735251993788726</v>
      </c>
    </row>
    <row r="81" spans="1:26" s="23" customFormat="1" hidden="1" outlineLevel="2" x14ac:dyDescent="0.25">
      <c r="A81" s="25"/>
      <c r="B81" s="10" t="str">
        <f>CONCATENATE("          ", "6113", " - ", "GROUP INSURANCE")</f>
        <v xml:space="preserve">          6113 - GROUP INSURANCE</v>
      </c>
      <c r="C81" s="10"/>
      <c r="D81" s="6"/>
      <c r="E81" s="2"/>
      <c r="F81" s="7">
        <f t="shared" si="19"/>
        <v>0</v>
      </c>
      <c r="G81" s="2"/>
      <c r="H81" s="6"/>
      <c r="I81" s="2"/>
      <c r="J81" s="7">
        <f t="shared" si="20"/>
        <v>0</v>
      </c>
      <c r="K81" s="2"/>
      <c r="L81" s="6">
        <f t="shared" si="21"/>
        <v>0</v>
      </c>
      <c r="M81" s="2"/>
      <c r="N81" s="7">
        <f t="shared" si="22"/>
        <v>0</v>
      </c>
      <c r="O81" s="10"/>
      <c r="P81" s="6"/>
      <c r="Q81" s="2"/>
      <c r="R81" s="7">
        <f t="shared" si="23"/>
        <v>0</v>
      </c>
      <c r="S81" s="2"/>
      <c r="T81" s="6">
        <v>8133.54</v>
      </c>
      <c r="U81" s="2"/>
      <c r="V81" s="7">
        <f t="shared" si="24"/>
        <v>1.9811353292797075E-2</v>
      </c>
      <c r="W81" s="2"/>
      <c r="X81" s="6">
        <f t="shared" si="25"/>
        <v>-8133.54</v>
      </c>
      <c r="Y81" s="2"/>
      <c r="Z81" s="7">
        <f t="shared" si="26"/>
        <v>-1</v>
      </c>
    </row>
    <row r="82" spans="1:26" s="23" customFormat="1" hidden="1" outlineLevel="2" x14ac:dyDescent="0.25">
      <c r="A82" s="25"/>
      <c r="B82" s="10" t="str">
        <f>CONCATENATE("          ", "6114", " - ", "STATE UNEMPLOYMENT INSURANCE")</f>
        <v xml:space="preserve">          6114 - STATE UNEMPLOYMENT INSURANCE</v>
      </c>
      <c r="C82" s="10"/>
      <c r="D82" s="6"/>
      <c r="E82" s="2"/>
      <c r="F82" s="7">
        <f t="shared" si="19"/>
        <v>0</v>
      </c>
      <c r="G82" s="2"/>
      <c r="H82" s="6">
        <v>-203.94</v>
      </c>
      <c r="I82" s="2"/>
      <c r="J82" s="7">
        <f t="shared" si="20"/>
        <v>0</v>
      </c>
      <c r="K82" s="2"/>
      <c r="L82" s="6">
        <f t="shared" si="21"/>
        <v>203.94</v>
      </c>
      <c r="M82" s="2"/>
      <c r="N82" s="7">
        <f t="shared" si="22"/>
        <v>-1</v>
      </c>
      <c r="O82" s="10"/>
      <c r="P82" s="6">
        <v>38.020000000000003</v>
      </c>
      <c r="Q82" s="2"/>
      <c r="R82" s="7">
        <f t="shared" si="23"/>
        <v>1.7839781680862169E-3</v>
      </c>
      <c r="S82" s="2"/>
      <c r="T82" s="6">
        <v>0</v>
      </c>
      <c r="U82" s="2"/>
      <c r="V82" s="7">
        <f t="shared" si="24"/>
        <v>0</v>
      </c>
      <c r="W82" s="2"/>
      <c r="X82" s="6">
        <f t="shared" si="25"/>
        <v>38.020000000000003</v>
      </c>
      <c r="Y82" s="2"/>
      <c r="Z82" s="7">
        <f t="shared" si="26"/>
        <v>0</v>
      </c>
    </row>
    <row r="83" spans="1:26" s="23" customFormat="1" hidden="1" outlineLevel="2" x14ac:dyDescent="0.25">
      <c r="A83" s="25"/>
      <c r="B83" s="10" t="str">
        <f>CONCATENATE("          ", "6115", " - ", "P.E.R.S.")</f>
        <v xml:space="preserve">          6115 - P.E.R.S.</v>
      </c>
      <c r="C83" s="10"/>
      <c r="D83" s="6"/>
      <c r="E83" s="2"/>
      <c r="F83" s="7">
        <f t="shared" si="19"/>
        <v>0</v>
      </c>
      <c r="G83" s="2"/>
      <c r="H83" s="6"/>
      <c r="I83" s="2"/>
      <c r="J83" s="7">
        <f t="shared" si="20"/>
        <v>0</v>
      </c>
      <c r="K83" s="2"/>
      <c r="L83" s="6">
        <f t="shared" si="21"/>
        <v>0</v>
      </c>
      <c r="M83" s="2"/>
      <c r="N83" s="7">
        <f t="shared" si="22"/>
        <v>0</v>
      </c>
      <c r="O83" s="10"/>
      <c r="P83" s="6"/>
      <c r="Q83" s="2"/>
      <c r="R83" s="7">
        <f t="shared" si="23"/>
        <v>0</v>
      </c>
      <c r="S83" s="2"/>
      <c r="T83" s="6">
        <v>1788.49</v>
      </c>
      <c r="U83" s="2"/>
      <c r="V83" s="7">
        <f t="shared" si="24"/>
        <v>4.3563328207194708E-3</v>
      </c>
      <c r="W83" s="2"/>
      <c r="X83" s="6">
        <f t="shared" si="25"/>
        <v>-1788.49</v>
      </c>
      <c r="Y83" s="2"/>
      <c r="Z83" s="7">
        <f t="shared" si="26"/>
        <v>-1</v>
      </c>
    </row>
    <row r="84" spans="1:26" s="23" customFormat="1" hidden="1" outlineLevel="2" x14ac:dyDescent="0.25">
      <c r="A84" s="25"/>
      <c r="B84" s="10" t="str">
        <f>CONCATENATE("          ", "6118", " - ", "VACATION")</f>
        <v xml:space="preserve">          6118 - VACATION</v>
      </c>
      <c r="C84" s="10"/>
      <c r="D84" s="6"/>
      <c r="E84" s="2"/>
      <c r="F84" s="7">
        <f t="shared" si="19"/>
        <v>0</v>
      </c>
      <c r="G84" s="2"/>
      <c r="H84" s="6"/>
      <c r="I84" s="2"/>
      <c r="J84" s="7">
        <f t="shared" si="20"/>
        <v>0</v>
      </c>
      <c r="K84" s="2"/>
      <c r="L84" s="6">
        <f t="shared" si="21"/>
        <v>0</v>
      </c>
      <c r="M84" s="2"/>
      <c r="N84" s="7">
        <f t="shared" si="22"/>
        <v>0</v>
      </c>
      <c r="O84" s="10"/>
      <c r="P84" s="6"/>
      <c r="Q84" s="2"/>
      <c r="R84" s="7">
        <f t="shared" si="23"/>
        <v>0</v>
      </c>
      <c r="S84" s="2"/>
      <c r="T84" s="6">
        <v>1686.84</v>
      </c>
      <c r="U84" s="2"/>
      <c r="V84" s="7">
        <f t="shared" si="24"/>
        <v>4.1087377929440094E-3</v>
      </c>
      <c r="W84" s="2"/>
      <c r="X84" s="6">
        <f t="shared" si="25"/>
        <v>-1686.84</v>
      </c>
      <c r="Y84" s="2"/>
      <c r="Z84" s="7">
        <f t="shared" si="26"/>
        <v>-1</v>
      </c>
    </row>
    <row r="85" spans="1:26" s="23" customFormat="1" hidden="1" outlineLevel="2" x14ac:dyDescent="0.25">
      <c r="A85" s="25"/>
      <c r="B85" s="10" t="str">
        <f>CONCATENATE("          ", "6119", " - ", "SICK LEAVE")</f>
        <v xml:space="preserve">          6119 - SICK LEAVE</v>
      </c>
      <c r="C85" s="10"/>
      <c r="D85" s="6"/>
      <c r="E85" s="2"/>
      <c r="F85" s="7">
        <f t="shared" si="19"/>
        <v>0</v>
      </c>
      <c r="G85" s="2"/>
      <c r="H85" s="6"/>
      <c r="I85" s="2"/>
      <c r="J85" s="7">
        <f t="shared" si="20"/>
        <v>0</v>
      </c>
      <c r="K85" s="2"/>
      <c r="L85" s="6">
        <f t="shared" si="21"/>
        <v>0</v>
      </c>
      <c r="M85" s="2"/>
      <c r="N85" s="7">
        <f t="shared" si="22"/>
        <v>0</v>
      </c>
      <c r="O85" s="10"/>
      <c r="P85" s="6"/>
      <c r="Q85" s="2"/>
      <c r="R85" s="7">
        <f t="shared" si="23"/>
        <v>0</v>
      </c>
      <c r="S85" s="2"/>
      <c r="T85" s="6">
        <v>684.81</v>
      </c>
      <c r="U85" s="2"/>
      <c r="V85" s="7">
        <f t="shared" si="24"/>
        <v>1.6680329657738652E-3</v>
      </c>
      <c r="W85" s="2"/>
      <c r="X85" s="6">
        <f t="shared" si="25"/>
        <v>-684.81</v>
      </c>
      <c r="Y85" s="2"/>
      <c r="Z85" s="7">
        <f t="shared" si="26"/>
        <v>-1</v>
      </c>
    </row>
    <row r="86" spans="1:26" s="23" customFormat="1" hidden="1" outlineLevel="2" x14ac:dyDescent="0.25">
      <c r="A86" s="25"/>
      <c r="B86" s="10" t="str">
        <f>CONCATENATE("          ", "6156", " - ", "EMPLOYEE MEALS")</f>
        <v xml:space="preserve">          6156 - EMPLOYEE MEALS</v>
      </c>
      <c r="C86" s="10"/>
      <c r="D86" s="6"/>
      <c r="E86" s="2"/>
      <c r="F86" s="7">
        <f t="shared" si="19"/>
        <v>0</v>
      </c>
      <c r="G86" s="2"/>
      <c r="H86" s="6"/>
      <c r="I86" s="2"/>
      <c r="J86" s="7">
        <f t="shared" si="20"/>
        <v>0</v>
      </c>
      <c r="K86" s="2"/>
      <c r="L86" s="6">
        <f t="shared" si="21"/>
        <v>0</v>
      </c>
      <c r="M86" s="2"/>
      <c r="N86" s="7">
        <f t="shared" si="22"/>
        <v>0</v>
      </c>
      <c r="O86" s="10"/>
      <c r="P86" s="6"/>
      <c r="Q86" s="2"/>
      <c r="R86" s="7">
        <f t="shared" si="23"/>
        <v>0</v>
      </c>
      <c r="S86" s="2"/>
      <c r="T86" s="6">
        <v>1301.25</v>
      </c>
      <c r="U86" s="2"/>
      <c r="V86" s="7">
        <f t="shared" si="24"/>
        <v>3.1695330043563065E-3</v>
      </c>
      <c r="W86" s="2"/>
      <c r="X86" s="6">
        <f t="shared" si="25"/>
        <v>-1301.25</v>
      </c>
      <c r="Y86" s="2"/>
      <c r="Z86" s="7">
        <f t="shared" si="26"/>
        <v>-1</v>
      </c>
    </row>
    <row r="87" spans="1:26" s="27" customFormat="1" outlineLevel="1" collapsed="1" x14ac:dyDescent="0.25">
      <c r="A87" s="26"/>
      <c r="B87" s="12" t="str">
        <f>CONCATENATE("     ","*Payroll                                          ")</f>
        <v xml:space="preserve">     *Payroll                                          </v>
      </c>
      <c r="C87" s="12"/>
      <c r="D87" s="1">
        <f>SUM(OSRRefD22_1x_0)</f>
        <v>0</v>
      </c>
      <c r="E87" s="1"/>
      <c r="F87" s="5">
        <f t="shared" ref="F87:F91" si="27">IF(D$12=0,0,D87/D$12)</f>
        <v>0</v>
      </c>
      <c r="G87" s="1"/>
      <c r="H87" s="1">
        <f>SUM(OSRRefH22_1x_0)</f>
        <v>0</v>
      </c>
      <c r="I87" s="1"/>
      <c r="J87" s="5">
        <f t="shared" ref="J87:J91" si="28">IF(H$12=0,0,H87/H$12)</f>
        <v>0</v>
      </c>
      <c r="K87" s="1"/>
      <c r="L87" s="1">
        <f t="shared" ref="L87:L91" si="29">+D87-H87</f>
        <v>0</v>
      </c>
      <c r="M87" s="1"/>
      <c r="N87" s="5">
        <f t="shared" ref="N87:N91" si="30">IF(H87=0,0,L87/H87)</f>
        <v>0</v>
      </c>
      <c r="O87" s="12"/>
      <c r="P87" s="1">
        <f>SUM(OSRRefP22_1x_0)</f>
        <v>8152.5399999999991</v>
      </c>
      <c r="Q87" s="1"/>
      <c r="R87" s="5">
        <f t="shared" ref="R87:R91" si="31">IF(P$12=0,0,P87/P$12)</f>
        <v>0.38253428128483963</v>
      </c>
      <c r="S87" s="1"/>
      <c r="T87" s="1">
        <f>SUM(OSRRefT22_1x_0)</f>
        <v>74046.41</v>
      </c>
      <c r="U87" s="1"/>
      <c r="V87" s="5">
        <f t="shared" ref="V87:V91" si="32">IF(T$12=0,0,T87/T$12)</f>
        <v>0.18035930094070998</v>
      </c>
      <c r="W87" s="1"/>
      <c r="X87" s="1">
        <f t="shared" ref="X87:X91" si="33">+P87-T87</f>
        <v>-65893.87000000001</v>
      </c>
      <c r="Y87" s="1"/>
      <c r="Z87" s="5">
        <f t="shared" ref="Z87:Z91" si="34">IF(T87=0,0,X87/T87)</f>
        <v>-0.88989959135088392</v>
      </c>
    </row>
    <row r="88" spans="1:26" s="23" customFormat="1" hidden="1" outlineLevel="2" x14ac:dyDescent="0.25">
      <c r="A88" s="25"/>
      <c r="B88" s="10" t="str">
        <f>CONCATENATE("          ", "6002", " - ", "STAFF SALARIES")</f>
        <v xml:space="preserve">          6002 - STAFF SALARIES</v>
      </c>
      <c r="C88" s="10"/>
      <c r="D88" s="6"/>
      <c r="E88" s="2"/>
      <c r="F88" s="7">
        <f t="shared" si="27"/>
        <v>0</v>
      </c>
      <c r="G88" s="2"/>
      <c r="H88" s="6"/>
      <c r="I88" s="2"/>
      <c r="J88" s="7">
        <f t="shared" si="28"/>
        <v>0</v>
      </c>
      <c r="K88" s="2"/>
      <c r="L88" s="6">
        <f t="shared" si="29"/>
        <v>0</v>
      </c>
      <c r="M88" s="2"/>
      <c r="N88" s="7">
        <f t="shared" si="30"/>
        <v>0</v>
      </c>
      <c r="O88" s="10"/>
      <c r="P88" s="6"/>
      <c r="Q88" s="2"/>
      <c r="R88" s="7">
        <f t="shared" si="31"/>
        <v>0</v>
      </c>
      <c r="S88" s="2"/>
      <c r="T88" s="6">
        <v>20966.810000000001</v>
      </c>
      <c r="U88" s="2"/>
      <c r="V88" s="7">
        <f t="shared" si="32"/>
        <v>5.1070122029639085E-2</v>
      </c>
      <c r="W88" s="2"/>
      <c r="X88" s="6">
        <f t="shared" si="33"/>
        <v>-20966.810000000001</v>
      </c>
      <c r="Y88" s="2"/>
      <c r="Z88" s="7">
        <f t="shared" si="34"/>
        <v>-1</v>
      </c>
    </row>
    <row r="89" spans="1:26" s="23" customFormat="1" hidden="1" outlineLevel="2" x14ac:dyDescent="0.25">
      <c r="A89" s="25"/>
      <c r="B89" s="10" t="str">
        <f>CONCATENATE("          ", "6005", " - ", "TEMPORARY WAGES-HOURLY")</f>
        <v xml:space="preserve">          6005 - TEMPORARY WAGES-HOURLY</v>
      </c>
      <c r="C89" s="10"/>
      <c r="D89" s="6"/>
      <c r="E89" s="2"/>
      <c r="F89" s="7">
        <f t="shared" si="27"/>
        <v>0</v>
      </c>
      <c r="G89" s="2"/>
      <c r="H89" s="6"/>
      <c r="I89" s="2"/>
      <c r="J89" s="7">
        <f t="shared" si="28"/>
        <v>0</v>
      </c>
      <c r="K89" s="2"/>
      <c r="L89" s="6">
        <f t="shared" si="29"/>
        <v>0</v>
      </c>
      <c r="M89" s="2"/>
      <c r="N89" s="7">
        <f t="shared" si="30"/>
        <v>0</v>
      </c>
      <c r="O89" s="10"/>
      <c r="P89" s="6">
        <v>5379.19</v>
      </c>
      <c r="Q89" s="2"/>
      <c r="R89" s="7">
        <f t="shared" si="31"/>
        <v>0.25240288064144384</v>
      </c>
      <c r="S89" s="2"/>
      <c r="T89" s="6">
        <v>7121.65</v>
      </c>
      <c r="U89" s="2"/>
      <c r="V89" s="7">
        <f t="shared" si="32"/>
        <v>1.7346631869720724E-2</v>
      </c>
      <c r="W89" s="2"/>
      <c r="X89" s="6">
        <f t="shared" si="33"/>
        <v>-1742.46</v>
      </c>
      <c r="Y89" s="2"/>
      <c r="Z89" s="7">
        <f t="shared" si="34"/>
        <v>-0.24467082768740392</v>
      </c>
    </row>
    <row r="90" spans="1:26" s="23" customFormat="1" hidden="1" outlineLevel="2" x14ac:dyDescent="0.25">
      <c r="A90" s="25"/>
      <c r="B90" s="10" t="str">
        <f>CONCATENATE("          ", "6006", " - ", "TEMPORARY PART TIME")</f>
        <v xml:space="preserve">          6006 - TEMPORARY PART TIME</v>
      </c>
      <c r="C90" s="10"/>
      <c r="D90" s="6"/>
      <c r="E90" s="2"/>
      <c r="F90" s="7">
        <f t="shared" si="27"/>
        <v>0</v>
      </c>
      <c r="G90" s="2"/>
      <c r="H90" s="6"/>
      <c r="I90" s="2"/>
      <c r="J90" s="7">
        <f t="shared" si="28"/>
        <v>0</v>
      </c>
      <c r="K90" s="2"/>
      <c r="L90" s="6">
        <f t="shared" si="29"/>
        <v>0</v>
      </c>
      <c r="M90" s="2"/>
      <c r="N90" s="7">
        <f t="shared" si="30"/>
        <v>0</v>
      </c>
      <c r="O90" s="10"/>
      <c r="P90" s="6"/>
      <c r="Q90" s="2"/>
      <c r="R90" s="7">
        <f t="shared" si="31"/>
        <v>0</v>
      </c>
      <c r="S90" s="2"/>
      <c r="T90" s="6">
        <v>25.5</v>
      </c>
      <c r="U90" s="2"/>
      <c r="V90" s="7">
        <f t="shared" si="32"/>
        <v>6.2111885964331076E-5</v>
      </c>
      <c r="W90" s="2"/>
      <c r="X90" s="6">
        <f t="shared" si="33"/>
        <v>-25.5</v>
      </c>
      <c r="Y90" s="2"/>
      <c r="Z90" s="7">
        <f t="shared" si="34"/>
        <v>-1</v>
      </c>
    </row>
    <row r="91" spans="1:26" s="23" customFormat="1" hidden="1" outlineLevel="2" x14ac:dyDescent="0.25">
      <c r="A91" s="25"/>
      <c r="B91" s="10" t="str">
        <f>CONCATENATE("          ", "6007", " - ", "STUDENT HOURLY")</f>
        <v xml:space="preserve">          6007 - STUDENT HOURLY</v>
      </c>
      <c r="C91" s="10"/>
      <c r="D91" s="6"/>
      <c r="E91" s="2"/>
      <c r="F91" s="7">
        <f t="shared" si="27"/>
        <v>0</v>
      </c>
      <c r="G91" s="2"/>
      <c r="H91" s="6"/>
      <c r="I91" s="2"/>
      <c r="J91" s="7">
        <f t="shared" si="28"/>
        <v>0</v>
      </c>
      <c r="K91" s="2"/>
      <c r="L91" s="6">
        <f t="shared" si="29"/>
        <v>0</v>
      </c>
      <c r="M91" s="2"/>
      <c r="N91" s="7">
        <f t="shared" si="30"/>
        <v>0</v>
      </c>
      <c r="O91" s="10"/>
      <c r="P91" s="6">
        <v>2773.35</v>
      </c>
      <c r="Q91" s="2"/>
      <c r="R91" s="7">
        <f t="shared" si="31"/>
        <v>0.13013140064339582</v>
      </c>
      <c r="S91" s="2"/>
      <c r="T91" s="6">
        <v>45932.45</v>
      </c>
      <c r="U91" s="2"/>
      <c r="V91" s="7">
        <f t="shared" si="32"/>
        <v>0.11188043515538584</v>
      </c>
      <c r="W91" s="2"/>
      <c r="X91" s="6">
        <f t="shared" si="33"/>
        <v>-43159.1</v>
      </c>
      <c r="Y91" s="2"/>
      <c r="Z91" s="7">
        <f t="shared" si="34"/>
        <v>-0.93962111753237643</v>
      </c>
    </row>
    <row r="92" spans="1:26" s="27" customFormat="1" outlineLevel="1" collapsed="1" x14ac:dyDescent="0.25">
      <c r="A92" s="26"/>
      <c r="B92" s="12" t="str">
        <f>CONCATENATE("     ","Advertising/Promo                                 ")</f>
        <v xml:space="preserve">     Advertising/Promo                                 </v>
      </c>
      <c r="C92" s="12"/>
      <c r="D92" s="1">
        <f>SUM(OSRRefD22_2x_0)</f>
        <v>0</v>
      </c>
      <c r="E92" s="1"/>
      <c r="F92" s="5">
        <f t="shared" ref="F92:F98" si="35">IF(D$12=0,0,D92/D$12)</f>
        <v>0</v>
      </c>
      <c r="G92" s="1"/>
      <c r="H92" s="1">
        <f>SUM(OSRRefH22_2x_0)</f>
        <v>0</v>
      </c>
      <c r="I92" s="1"/>
      <c r="J92" s="5">
        <f t="shared" ref="J92:J98" si="36">IF(H$12=0,0,H92/H$12)</f>
        <v>0</v>
      </c>
      <c r="K92" s="1"/>
      <c r="L92" s="1">
        <f t="shared" ref="L92:L98" si="37">+D92-H92</f>
        <v>0</v>
      </c>
      <c r="M92" s="1"/>
      <c r="N92" s="5">
        <f t="shared" ref="N92:N98" si="38">IF(H92=0,0,L92/H92)</f>
        <v>0</v>
      </c>
      <c r="O92" s="12"/>
      <c r="P92" s="1">
        <f>SUM(OSRRefP22_2x_0)</f>
        <v>124.72</v>
      </c>
      <c r="Q92" s="1"/>
      <c r="R92" s="5">
        <f t="shared" ref="R92:R98" si="39">IF(P$12=0,0,P92/P$12)</f>
        <v>5.8521240695347957E-3</v>
      </c>
      <c r="S92" s="1"/>
      <c r="T92" s="1">
        <f>SUM(OSRRefT22_2x_0)</f>
        <v>963.62</v>
      </c>
      <c r="U92" s="1"/>
      <c r="V92" s="5">
        <f t="shared" ref="V92:V98" si="40">IF(T$12=0,0,T92/T$12)</f>
        <v>2.3471472765862244E-3</v>
      </c>
      <c r="W92" s="1"/>
      <c r="X92" s="1">
        <f t="shared" ref="X92:X98" si="41">+P92-T92</f>
        <v>-838.9</v>
      </c>
      <c r="Y92" s="1"/>
      <c r="Z92" s="5">
        <f t="shared" ref="Z92:Z98" si="42">IF(T92=0,0,X92/T92)</f>
        <v>-0.87057138706128967</v>
      </c>
    </row>
    <row r="93" spans="1:26" s="23" customFormat="1" hidden="1" outlineLevel="2" x14ac:dyDescent="0.25">
      <c r="A93" s="25"/>
      <c r="B93" s="10" t="str">
        <f>CONCATENATE("          ", "6362", " - ", "ADVERTISING EXPENSE")</f>
        <v xml:space="preserve">          6362 - ADVERTISING EXPENSE</v>
      </c>
      <c r="C93" s="10"/>
      <c r="D93" s="6"/>
      <c r="E93" s="2"/>
      <c r="F93" s="7">
        <f t="shared" si="35"/>
        <v>0</v>
      </c>
      <c r="G93" s="2"/>
      <c r="H93" s="6"/>
      <c r="I93" s="2"/>
      <c r="J93" s="7">
        <f t="shared" si="36"/>
        <v>0</v>
      </c>
      <c r="K93" s="2"/>
      <c r="L93" s="6">
        <f t="shared" si="37"/>
        <v>0</v>
      </c>
      <c r="M93" s="2"/>
      <c r="N93" s="7">
        <f t="shared" si="38"/>
        <v>0</v>
      </c>
      <c r="O93" s="10"/>
      <c r="P93" s="6">
        <v>124.72</v>
      </c>
      <c r="Q93" s="2"/>
      <c r="R93" s="7">
        <f t="shared" si="39"/>
        <v>5.8521240695347957E-3</v>
      </c>
      <c r="S93" s="2"/>
      <c r="T93" s="6">
        <v>963.62</v>
      </c>
      <c r="U93" s="2"/>
      <c r="V93" s="7">
        <f t="shared" si="40"/>
        <v>2.3471472765862244E-3</v>
      </c>
      <c r="W93" s="2"/>
      <c r="X93" s="6">
        <f t="shared" si="41"/>
        <v>-838.9</v>
      </c>
      <c r="Y93" s="2"/>
      <c r="Z93" s="7">
        <f t="shared" si="42"/>
        <v>-0.87057138706128967</v>
      </c>
    </row>
    <row r="94" spans="1:26" s="27" customFormat="1" outlineLevel="1" collapsed="1" x14ac:dyDescent="0.25">
      <c r="A94" s="26"/>
      <c r="B94" s="12" t="str">
        <f>CONCATENATE("     ","Bad Debts/Over/Short                              ")</f>
        <v xml:space="preserve">     Bad Debts/Over/Short                              </v>
      </c>
      <c r="C94" s="12"/>
      <c r="D94" s="1">
        <f>SUM(OSRRefD22_3x_0)</f>
        <v>0</v>
      </c>
      <c r="E94" s="1"/>
      <c r="F94" s="5">
        <f t="shared" si="35"/>
        <v>0</v>
      </c>
      <c r="G94" s="1"/>
      <c r="H94" s="1">
        <f>SUM(OSRRefH22_3x_0)</f>
        <v>0</v>
      </c>
      <c r="I94" s="1"/>
      <c r="J94" s="5">
        <f t="shared" si="36"/>
        <v>0</v>
      </c>
      <c r="K94" s="1"/>
      <c r="L94" s="1">
        <f t="shared" si="37"/>
        <v>0</v>
      </c>
      <c r="M94" s="1"/>
      <c r="N94" s="5">
        <f t="shared" si="38"/>
        <v>0</v>
      </c>
      <c r="O94" s="12"/>
      <c r="P94" s="1">
        <f>SUM(OSRRefP22_3x_0)</f>
        <v>1.1000000000000001</v>
      </c>
      <c r="Q94" s="1"/>
      <c r="R94" s="5">
        <f t="shared" si="39"/>
        <v>5.1614307861516002E-5</v>
      </c>
      <c r="S94" s="1"/>
      <c r="T94" s="1">
        <f>SUM(OSRRefT22_3x_0)</f>
        <v>-55.84</v>
      </c>
      <c r="U94" s="1"/>
      <c r="V94" s="5">
        <f t="shared" si="40"/>
        <v>-1.360128514607156E-4</v>
      </c>
      <c r="W94" s="1"/>
      <c r="X94" s="1">
        <f t="shared" si="41"/>
        <v>56.940000000000005</v>
      </c>
      <c r="Y94" s="1"/>
      <c r="Z94" s="5">
        <f t="shared" si="42"/>
        <v>-1.0196991404011462</v>
      </c>
    </row>
    <row r="95" spans="1:26" s="23" customFormat="1" hidden="1" outlineLevel="2" x14ac:dyDescent="0.25">
      <c r="A95" s="25"/>
      <c r="B95" s="10" t="str">
        <f>CONCATENATE("          ", "6272", " - ", "CASH (OVER/SHORT)")</f>
        <v xml:space="preserve">          6272 - CASH (OVER/SHORT)</v>
      </c>
      <c r="C95" s="10"/>
      <c r="D95" s="6"/>
      <c r="E95" s="2"/>
      <c r="F95" s="7">
        <f t="shared" si="35"/>
        <v>0</v>
      </c>
      <c r="G95" s="2"/>
      <c r="H95" s="6"/>
      <c r="I95" s="2"/>
      <c r="J95" s="7">
        <f t="shared" si="36"/>
        <v>0</v>
      </c>
      <c r="K95" s="2"/>
      <c r="L95" s="6">
        <f t="shared" si="37"/>
        <v>0</v>
      </c>
      <c r="M95" s="2"/>
      <c r="N95" s="7">
        <f t="shared" si="38"/>
        <v>0</v>
      </c>
      <c r="O95" s="10"/>
      <c r="P95" s="6">
        <v>1.1000000000000001</v>
      </c>
      <c r="Q95" s="2"/>
      <c r="R95" s="7">
        <f t="shared" si="39"/>
        <v>5.1614307861516002E-5</v>
      </c>
      <c r="S95" s="2"/>
      <c r="T95" s="6">
        <v>-55.84</v>
      </c>
      <c r="U95" s="2"/>
      <c r="V95" s="7">
        <f t="shared" si="40"/>
        <v>-1.360128514607156E-4</v>
      </c>
      <c r="W95" s="2"/>
      <c r="X95" s="6">
        <f t="shared" si="41"/>
        <v>56.940000000000005</v>
      </c>
      <c r="Y95" s="2"/>
      <c r="Z95" s="7">
        <f t="shared" si="42"/>
        <v>-1.0196991404011462</v>
      </c>
    </row>
    <row r="96" spans="1:26" s="27" customFormat="1" outlineLevel="1" collapsed="1" x14ac:dyDescent="0.25">
      <c r="A96" s="26"/>
      <c r="B96" s="12" t="str">
        <f>CONCATENATE("     ","Discounts and Markdowns                           ")</f>
        <v xml:space="preserve">     Discounts and Markdowns                           </v>
      </c>
      <c r="C96" s="12"/>
      <c r="D96" s="1">
        <f>SUM(OSRRefD22_4x_0)</f>
        <v>0</v>
      </c>
      <c r="E96" s="1"/>
      <c r="F96" s="5">
        <f t="shared" si="35"/>
        <v>0</v>
      </c>
      <c r="G96" s="1"/>
      <c r="H96" s="1">
        <f>SUM(OSRRefH22_4x_0)</f>
        <v>0</v>
      </c>
      <c r="I96" s="1"/>
      <c r="J96" s="5">
        <f t="shared" si="36"/>
        <v>0</v>
      </c>
      <c r="K96" s="1"/>
      <c r="L96" s="1">
        <f t="shared" si="37"/>
        <v>0</v>
      </c>
      <c r="M96" s="1"/>
      <c r="N96" s="5">
        <f t="shared" si="38"/>
        <v>0</v>
      </c>
      <c r="O96" s="12"/>
      <c r="P96" s="1">
        <f>SUM(OSRRefP22_4x_0)</f>
        <v>0</v>
      </c>
      <c r="Q96" s="1"/>
      <c r="R96" s="5">
        <f t="shared" si="39"/>
        <v>0</v>
      </c>
      <c r="S96" s="1"/>
      <c r="T96" s="1">
        <f>SUM(OSRRefT22_4x_0)</f>
        <v>8936.44</v>
      </c>
      <c r="U96" s="1"/>
      <c r="V96" s="5">
        <f t="shared" si="40"/>
        <v>2.1767025184591643E-2</v>
      </c>
      <c r="W96" s="1"/>
      <c r="X96" s="1">
        <f t="shared" si="41"/>
        <v>-8936.44</v>
      </c>
      <c r="Y96" s="1"/>
      <c r="Z96" s="5">
        <f t="shared" si="42"/>
        <v>-1</v>
      </c>
    </row>
    <row r="97" spans="1:26" s="23" customFormat="1" hidden="1" outlineLevel="2" x14ac:dyDescent="0.25">
      <c r="A97" s="25"/>
      <c r="B97" s="10" t="str">
        <f>CONCATENATE("          ", "6382", " - ", "DISCOUNTS/MARK DOWNS")</f>
        <v xml:space="preserve">          6382 - DISCOUNTS/MARK DOWNS</v>
      </c>
      <c r="C97" s="10"/>
      <c r="D97" s="6"/>
      <c r="E97" s="2"/>
      <c r="F97" s="7">
        <f t="shared" si="35"/>
        <v>0</v>
      </c>
      <c r="G97" s="2"/>
      <c r="H97" s="6"/>
      <c r="I97" s="2"/>
      <c r="J97" s="7">
        <f t="shared" si="36"/>
        <v>0</v>
      </c>
      <c r="K97" s="2"/>
      <c r="L97" s="6">
        <f t="shared" si="37"/>
        <v>0</v>
      </c>
      <c r="M97" s="2"/>
      <c r="N97" s="7">
        <f t="shared" si="38"/>
        <v>0</v>
      </c>
      <c r="O97" s="10"/>
      <c r="P97" s="6">
        <v>0</v>
      </c>
      <c r="Q97" s="2"/>
      <c r="R97" s="7">
        <f t="shared" si="39"/>
        <v>0</v>
      </c>
      <c r="S97" s="2"/>
      <c r="T97" s="6">
        <v>8936.44</v>
      </c>
      <c r="U97" s="2"/>
      <c r="V97" s="7">
        <f t="shared" si="40"/>
        <v>2.1767025184591643E-2</v>
      </c>
      <c r="W97" s="2"/>
      <c r="X97" s="6">
        <f t="shared" si="41"/>
        <v>-8936.44</v>
      </c>
      <c r="Y97" s="2"/>
      <c r="Z97" s="7">
        <f t="shared" si="42"/>
        <v>-1</v>
      </c>
    </row>
    <row r="98" spans="1:26" s="23" customFormat="1" hidden="1" outlineLevel="2" x14ac:dyDescent="0.25">
      <c r="A98" s="25"/>
      <c r="B98" s="10" t="str">
        <f>CONCATENATE("          ", "9175", " - ", "EARNED DISCOUNTS")</f>
        <v xml:space="preserve">          9175 - EARNED DISCOUNTS</v>
      </c>
      <c r="C98" s="10"/>
      <c r="D98" s="6"/>
      <c r="E98" s="2"/>
      <c r="F98" s="7">
        <f t="shared" si="35"/>
        <v>0</v>
      </c>
      <c r="G98" s="2"/>
      <c r="H98" s="6"/>
      <c r="I98" s="2"/>
      <c r="J98" s="7">
        <f t="shared" si="36"/>
        <v>0</v>
      </c>
      <c r="K98" s="2"/>
      <c r="L98" s="6">
        <f t="shared" si="37"/>
        <v>0</v>
      </c>
      <c r="M98" s="2"/>
      <c r="N98" s="7">
        <f t="shared" si="38"/>
        <v>0</v>
      </c>
      <c r="O98" s="10"/>
      <c r="P98" s="6">
        <v>0</v>
      </c>
      <c r="Q98" s="2"/>
      <c r="R98" s="7">
        <f t="shared" si="39"/>
        <v>0</v>
      </c>
      <c r="S98" s="2"/>
      <c r="T98" s="6">
        <v>0</v>
      </c>
      <c r="U98" s="2"/>
      <c r="V98" s="7">
        <f t="shared" si="40"/>
        <v>0</v>
      </c>
      <c r="W98" s="2"/>
      <c r="X98" s="6">
        <f t="shared" si="41"/>
        <v>0</v>
      </c>
      <c r="Y98" s="2"/>
      <c r="Z98" s="7">
        <f t="shared" si="42"/>
        <v>0</v>
      </c>
    </row>
    <row r="99" spans="1:26" s="27" customFormat="1" outlineLevel="1" collapsed="1" x14ac:dyDescent="0.25">
      <c r="A99" s="26"/>
      <c r="B99" s="12" t="str">
        <f>CONCATENATE("     ","General                                           ")</f>
        <v xml:space="preserve">     General                                           </v>
      </c>
      <c r="C99" s="12"/>
      <c r="D99" s="1">
        <f>SUM(OSRRefD22_5x_0)</f>
        <v>0</v>
      </c>
      <c r="E99" s="1"/>
      <c r="F99" s="5">
        <f t="shared" ref="F99:F121" si="43">IF(D$12=0,0,D99/D$12)</f>
        <v>0</v>
      </c>
      <c r="G99" s="1"/>
      <c r="H99" s="1">
        <f>SUM(OSRRefH22_5x_0)</f>
        <v>0</v>
      </c>
      <c r="I99" s="1"/>
      <c r="J99" s="5">
        <f t="shared" ref="J99:J121" si="44">IF(H$12=0,0,H99/H$12)</f>
        <v>0</v>
      </c>
      <c r="K99" s="1"/>
      <c r="L99" s="1">
        <f t="shared" ref="L99:L121" si="45">+D99-H99</f>
        <v>0</v>
      </c>
      <c r="M99" s="1"/>
      <c r="N99" s="5">
        <f t="shared" ref="N99:N121" si="46">IF(H99=0,0,L99/H99)</f>
        <v>0</v>
      </c>
      <c r="O99" s="12"/>
      <c r="P99" s="1">
        <f>SUM(OSRRefP22_5x_0)</f>
        <v>879.55</v>
      </c>
      <c r="Q99" s="1"/>
      <c r="R99" s="5">
        <f t="shared" ref="R99:R121" si="47">IF(P$12=0,0,P99/P$12)</f>
        <v>4.1270331345087632E-2</v>
      </c>
      <c r="S99" s="1"/>
      <c r="T99" s="1">
        <f>SUM(OSRRefT22_5x_0)</f>
        <v>954.05</v>
      </c>
      <c r="U99" s="1"/>
      <c r="V99" s="5">
        <f t="shared" ref="V99:V121" si="48">IF(T$12=0,0,T99/T$12)</f>
        <v>2.3238370511478455E-3</v>
      </c>
      <c r="W99" s="1"/>
      <c r="X99" s="1">
        <f t="shared" ref="X99:X121" si="49">+P99-T99</f>
        <v>-74.5</v>
      </c>
      <c r="Y99" s="1"/>
      <c r="Z99" s="5">
        <f t="shared" ref="Z99:Z121" si="50">IF(T99=0,0,X99/T99)</f>
        <v>-7.8088150516220325E-2</v>
      </c>
    </row>
    <row r="100" spans="1:26" s="23" customFormat="1" hidden="1" outlineLevel="2" x14ac:dyDescent="0.25">
      <c r="A100" s="25"/>
      <c r="B100" s="10" t="str">
        <f>CONCATENATE("          ", "6279", " - ", "GENERAL EXPENSE")</f>
        <v xml:space="preserve">          6279 - GENERAL EXPENSE</v>
      </c>
      <c r="C100" s="10"/>
      <c r="D100" s="6"/>
      <c r="E100" s="2"/>
      <c r="F100" s="7">
        <f t="shared" si="43"/>
        <v>0</v>
      </c>
      <c r="G100" s="2"/>
      <c r="H100" s="6"/>
      <c r="I100" s="2"/>
      <c r="J100" s="7">
        <f t="shared" si="44"/>
        <v>0</v>
      </c>
      <c r="K100" s="2"/>
      <c r="L100" s="6">
        <f t="shared" si="45"/>
        <v>0</v>
      </c>
      <c r="M100" s="2"/>
      <c r="N100" s="7">
        <f t="shared" si="46"/>
        <v>0</v>
      </c>
      <c r="O100" s="10"/>
      <c r="P100" s="6">
        <v>879.55</v>
      </c>
      <c r="Q100" s="2"/>
      <c r="R100" s="7">
        <f t="shared" si="47"/>
        <v>4.1270331345087632E-2</v>
      </c>
      <c r="S100" s="2"/>
      <c r="T100" s="6">
        <v>954.05</v>
      </c>
      <c r="U100" s="2"/>
      <c r="V100" s="7">
        <f t="shared" si="48"/>
        <v>2.3238370511478455E-3</v>
      </c>
      <c r="W100" s="2"/>
      <c r="X100" s="6">
        <f t="shared" si="49"/>
        <v>-74.5</v>
      </c>
      <c r="Y100" s="2"/>
      <c r="Z100" s="7">
        <f t="shared" si="50"/>
        <v>-7.8088150516220325E-2</v>
      </c>
    </row>
    <row r="101" spans="1:26" s="27" customFormat="1" outlineLevel="1" collapsed="1" x14ac:dyDescent="0.25">
      <c r="A101" s="26"/>
      <c r="B101" s="12" t="str">
        <f>CONCATENATE("     ","Inventory Adjustment                              ")</f>
        <v xml:space="preserve">     Inventory Adjustment                              </v>
      </c>
      <c r="C101" s="12"/>
      <c r="D101" s="1">
        <f>SUM(OSRRefD22_6x_0)</f>
        <v>0</v>
      </c>
      <c r="E101" s="1"/>
      <c r="F101" s="5">
        <f t="shared" si="43"/>
        <v>0</v>
      </c>
      <c r="G101" s="1"/>
      <c r="H101" s="1">
        <f>SUM(OSRRefH22_6x_0)</f>
        <v>17378</v>
      </c>
      <c r="I101" s="1"/>
      <c r="J101" s="5">
        <f t="shared" si="44"/>
        <v>0</v>
      </c>
      <c r="K101" s="1"/>
      <c r="L101" s="1">
        <f t="shared" si="45"/>
        <v>-17378</v>
      </c>
      <c r="M101" s="1"/>
      <c r="N101" s="5">
        <f t="shared" si="46"/>
        <v>-1</v>
      </c>
      <c r="O101" s="12"/>
      <c r="P101" s="1">
        <f>SUM(OSRRefP22_6x_0)</f>
        <v>0</v>
      </c>
      <c r="Q101" s="1"/>
      <c r="R101" s="5">
        <f t="shared" si="47"/>
        <v>0</v>
      </c>
      <c r="S101" s="1"/>
      <c r="T101" s="1">
        <f>SUM(OSRRefT22_6x_0)</f>
        <v>17378</v>
      </c>
      <c r="U101" s="1"/>
      <c r="V101" s="5">
        <f t="shared" si="48"/>
        <v>4.2328641344633156E-2</v>
      </c>
      <c r="W101" s="1"/>
      <c r="X101" s="1">
        <f t="shared" si="49"/>
        <v>-17378</v>
      </c>
      <c r="Y101" s="1"/>
      <c r="Z101" s="5">
        <f t="shared" si="50"/>
        <v>-1</v>
      </c>
    </row>
    <row r="102" spans="1:26" s="23" customFormat="1" hidden="1" outlineLevel="2" x14ac:dyDescent="0.25">
      <c r="A102" s="25"/>
      <c r="B102" s="10" t="str">
        <f>CONCATENATE("          ", "7713", " - ", "INV. SHRINKAGE-TRADE BOOKS")</f>
        <v xml:space="preserve">          7713 - INV. SHRINKAGE-TRADE BOOKS</v>
      </c>
      <c r="C102" s="10"/>
      <c r="D102" s="6"/>
      <c r="E102" s="2"/>
      <c r="F102" s="7">
        <f t="shared" si="43"/>
        <v>0</v>
      </c>
      <c r="G102" s="2"/>
      <c r="H102" s="6">
        <v>37</v>
      </c>
      <c r="I102" s="2"/>
      <c r="J102" s="7">
        <f t="shared" si="44"/>
        <v>0</v>
      </c>
      <c r="K102" s="2"/>
      <c r="L102" s="6">
        <f t="shared" si="45"/>
        <v>-37</v>
      </c>
      <c r="M102" s="2"/>
      <c r="N102" s="7">
        <f t="shared" si="46"/>
        <v>-1</v>
      </c>
      <c r="O102" s="10"/>
      <c r="P102" s="6"/>
      <c r="Q102" s="2"/>
      <c r="R102" s="7">
        <f t="shared" si="47"/>
        <v>0</v>
      </c>
      <c r="S102" s="2"/>
      <c r="T102" s="6">
        <v>37</v>
      </c>
      <c r="U102" s="2"/>
      <c r="V102" s="7">
        <f t="shared" si="48"/>
        <v>9.0123128654127449E-5</v>
      </c>
      <c r="W102" s="2"/>
      <c r="X102" s="6">
        <f t="shared" si="49"/>
        <v>-37</v>
      </c>
      <c r="Y102" s="2"/>
      <c r="Z102" s="7">
        <f t="shared" si="50"/>
        <v>-1</v>
      </c>
    </row>
    <row r="103" spans="1:26" s="23" customFormat="1" hidden="1" outlineLevel="2" x14ac:dyDescent="0.25">
      <c r="A103" s="25"/>
      <c r="B103" s="10" t="str">
        <f>CONCATENATE("          ", "7714", " - ", "INV. SHRINKAGE-REMAINDERS")</f>
        <v xml:space="preserve">          7714 - INV. SHRINKAGE-REMAINDERS</v>
      </c>
      <c r="C103" s="10"/>
      <c r="D103" s="6"/>
      <c r="E103" s="2"/>
      <c r="F103" s="7">
        <f t="shared" si="43"/>
        <v>0</v>
      </c>
      <c r="G103" s="2"/>
      <c r="H103" s="6">
        <v>33</v>
      </c>
      <c r="I103" s="2"/>
      <c r="J103" s="7">
        <f t="shared" si="44"/>
        <v>0</v>
      </c>
      <c r="K103" s="2"/>
      <c r="L103" s="6">
        <f t="shared" si="45"/>
        <v>-33</v>
      </c>
      <c r="M103" s="2"/>
      <c r="N103" s="7">
        <f t="shared" si="46"/>
        <v>-1</v>
      </c>
      <c r="O103" s="10"/>
      <c r="P103" s="6"/>
      <c r="Q103" s="2"/>
      <c r="R103" s="7">
        <f t="shared" si="47"/>
        <v>0</v>
      </c>
      <c r="S103" s="2"/>
      <c r="T103" s="6">
        <v>33</v>
      </c>
      <c r="U103" s="2"/>
      <c r="V103" s="7">
        <f t="shared" si="48"/>
        <v>8.0380087718546104E-5</v>
      </c>
      <c r="W103" s="2"/>
      <c r="X103" s="6">
        <f t="shared" si="49"/>
        <v>-33</v>
      </c>
      <c r="Y103" s="2"/>
      <c r="Z103" s="7">
        <f t="shared" si="50"/>
        <v>-1</v>
      </c>
    </row>
    <row r="104" spans="1:26" s="23" customFormat="1" hidden="1" outlineLevel="2" x14ac:dyDescent="0.25">
      <c r="A104" s="25"/>
      <c r="B104" s="10" t="str">
        <f>CONCATENATE("          ", "7717", " - ", "INV. SHRINKAGE-DORM/HOUSEWARES")</f>
        <v xml:space="preserve">          7717 - INV. SHRINKAGE-DORM/HOUSEWARES</v>
      </c>
      <c r="C104" s="10"/>
      <c r="D104" s="6"/>
      <c r="E104" s="2"/>
      <c r="F104" s="7">
        <f t="shared" si="43"/>
        <v>0</v>
      </c>
      <c r="G104" s="2"/>
      <c r="H104" s="6">
        <v>-104</v>
      </c>
      <c r="I104" s="2"/>
      <c r="J104" s="7">
        <f t="shared" si="44"/>
        <v>0</v>
      </c>
      <c r="K104" s="2"/>
      <c r="L104" s="6">
        <f t="shared" si="45"/>
        <v>104</v>
      </c>
      <c r="M104" s="2"/>
      <c r="N104" s="7">
        <f t="shared" si="46"/>
        <v>-1</v>
      </c>
      <c r="O104" s="10"/>
      <c r="P104" s="6"/>
      <c r="Q104" s="2"/>
      <c r="R104" s="7">
        <f t="shared" si="47"/>
        <v>0</v>
      </c>
      <c r="S104" s="2"/>
      <c r="T104" s="6">
        <v>-104</v>
      </c>
      <c r="U104" s="2"/>
      <c r="V104" s="7">
        <f t="shared" si="48"/>
        <v>-2.5331906432511501E-4</v>
      </c>
      <c r="W104" s="2"/>
      <c r="X104" s="6">
        <f t="shared" si="49"/>
        <v>104</v>
      </c>
      <c r="Y104" s="2"/>
      <c r="Z104" s="7">
        <f t="shared" si="50"/>
        <v>-1</v>
      </c>
    </row>
    <row r="105" spans="1:26" s="23" customFormat="1" hidden="1" outlineLevel="2" x14ac:dyDescent="0.25">
      <c r="A105" s="25"/>
      <c r="B105" s="10" t="str">
        <f>CONCATENATE("          ", "7725", " - ", "INV. SHRINKAGE-TEST FORMS")</f>
        <v xml:space="preserve">          7725 - INV. SHRINKAGE-TEST FORMS</v>
      </c>
      <c r="C105" s="10"/>
      <c r="D105" s="6"/>
      <c r="E105" s="2"/>
      <c r="F105" s="7">
        <f t="shared" si="43"/>
        <v>0</v>
      </c>
      <c r="G105" s="2"/>
      <c r="H105" s="6">
        <v>-320</v>
      </c>
      <c r="I105" s="2"/>
      <c r="J105" s="7">
        <f t="shared" si="44"/>
        <v>0</v>
      </c>
      <c r="K105" s="2"/>
      <c r="L105" s="6">
        <f t="shared" si="45"/>
        <v>320</v>
      </c>
      <c r="M105" s="2"/>
      <c r="N105" s="7">
        <f t="shared" si="46"/>
        <v>-1</v>
      </c>
      <c r="O105" s="10"/>
      <c r="P105" s="6"/>
      <c r="Q105" s="2"/>
      <c r="R105" s="7">
        <f t="shared" si="47"/>
        <v>0</v>
      </c>
      <c r="S105" s="2"/>
      <c r="T105" s="6">
        <v>-320</v>
      </c>
      <c r="U105" s="2"/>
      <c r="V105" s="7">
        <f t="shared" si="48"/>
        <v>-7.7944327484650764E-4</v>
      </c>
      <c r="W105" s="2"/>
      <c r="X105" s="6">
        <f t="shared" si="49"/>
        <v>320</v>
      </c>
      <c r="Y105" s="2"/>
      <c r="Z105" s="7">
        <f t="shared" si="50"/>
        <v>-1</v>
      </c>
    </row>
    <row r="106" spans="1:26" s="23" customFormat="1" hidden="1" outlineLevel="2" x14ac:dyDescent="0.25">
      <c r="A106" s="25"/>
      <c r="B106" s="10" t="str">
        <f>CONCATENATE("          ", "7726", " - ", "INV. SHRINKAGE-WRITING INSTRUM")</f>
        <v xml:space="preserve">          7726 - INV. SHRINKAGE-WRITING INSTRUM</v>
      </c>
      <c r="C106" s="10"/>
      <c r="D106" s="6"/>
      <c r="E106" s="2"/>
      <c r="F106" s="7">
        <f t="shared" si="43"/>
        <v>0</v>
      </c>
      <c r="G106" s="2"/>
      <c r="H106" s="6">
        <v>-1120</v>
      </c>
      <c r="I106" s="2"/>
      <c r="J106" s="7">
        <f t="shared" si="44"/>
        <v>0</v>
      </c>
      <c r="K106" s="2"/>
      <c r="L106" s="6">
        <f t="shared" si="45"/>
        <v>1120</v>
      </c>
      <c r="M106" s="2"/>
      <c r="N106" s="7">
        <f t="shared" si="46"/>
        <v>-1</v>
      </c>
      <c r="O106" s="10"/>
      <c r="P106" s="6"/>
      <c r="Q106" s="2"/>
      <c r="R106" s="7">
        <f t="shared" si="47"/>
        <v>0</v>
      </c>
      <c r="S106" s="2"/>
      <c r="T106" s="6">
        <v>-1120</v>
      </c>
      <c r="U106" s="2"/>
      <c r="V106" s="7">
        <f t="shared" si="48"/>
        <v>-2.7280514619627771E-3</v>
      </c>
      <c r="W106" s="2"/>
      <c r="X106" s="6">
        <f t="shared" si="49"/>
        <v>1120</v>
      </c>
      <c r="Y106" s="2"/>
      <c r="Z106" s="7">
        <f t="shared" si="50"/>
        <v>-1</v>
      </c>
    </row>
    <row r="107" spans="1:26" s="23" customFormat="1" hidden="1" outlineLevel="2" x14ac:dyDescent="0.25">
      <c r="A107" s="25"/>
      <c r="B107" s="10" t="str">
        <f>CONCATENATE("          ", "7727", " - ", "INV. SHRINKAGE-SCHOOL SUPPLIES")</f>
        <v xml:space="preserve">          7727 - INV. SHRINKAGE-SCHOOL SUPPLIES</v>
      </c>
      <c r="C107" s="10"/>
      <c r="D107" s="6"/>
      <c r="E107" s="2"/>
      <c r="F107" s="7">
        <f t="shared" si="43"/>
        <v>0</v>
      </c>
      <c r="G107" s="2"/>
      <c r="H107" s="6">
        <v>-3269</v>
      </c>
      <c r="I107" s="2"/>
      <c r="J107" s="7">
        <f t="shared" si="44"/>
        <v>0</v>
      </c>
      <c r="K107" s="2"/>
      <c r="L107" s="6">
        <f t="shared" si="45"/>
        <v>3269</v>
      </c>
      <c r="M107" s="2"/>
      <c r="N107" s="7">
        <f t="shared" si="46"/>
        <v>-1</v>
      </c>
      <c r="O107" s="10"/>
      <c r="P107" s="6"/>
      <c r="Q107" s="2"/>
      <c r="R107" s="7">
        <f t="shared" si="47"/>
        <v>0</v>
      </c>
      <c r="S107" s="2"/>
      <c r="T107" s="6">
        <v>-3269</v>
      </c>
      <c r="U107" s="2"/>
      <c r="V107" s="7">
        <f t="shared" si="48"/>
        <v>-7.9625002046038555E-3</v>
      </c>
      <c r="W107" s="2"/>
      <c r="X107" s="6">
        <f t="shared" si="49"/>
        <v>3269</v>
      </c>
      <c r="Y107" s="2"/>
      <c r="Z107" s="7">
        <f t="shared" si="50"/>
        <v>-1</v>
      </c>
    </row>
    <row r="108" spans="1:26" s="23" customFormat="1" hidden="1" outlineLevel="2" x14ac:dyDescent="0.25">
      <c r="A108" s="25"/>
      <c r="B108" s="10" t="str">
        <f>CONCATENATE("          ", "7728", " - ", "INV. SHRINKAGE-ART/TECH")</f>
        <v xml:space="preserve">          7728 - INV. SHRINKAGE-ART/TECH</v>
      </c>
      <c r="C108" s="10"/>
      <c r="D108" s="6"/>
      <c r="E108" s="2"/>
      <c r="F108" s="7">
        <f t="shared" si="43"/>
        <v>0</v>
      </c>
      <c r="G108" s="2"/>
      <c r="H108" s="6">
        <v>13544</v>
      </c>
      <c r="I108" s="2"/>
      <c r="J108" s="7">
        <f t="shared" si="44"/>
        <v>0</v>
      </c>
      <c r="K108" s="2"/>
      <c r="L108" s="6">
        <f t="shared" si="45"/>
        <v>-13544</v>
      </c>
      <c r="M108" s="2"/>
      <c r="N108" s="7">
        <f t="shared" si="46"/>
        <v>-1</v>
      </c>
      <c r="O108" s="10"/>
      <c r="P108" s="6"/>
      <c r="Q108" s="2"/>
      <c r="R108" s="7">
        <f t="shared" si="47"/>
        <v>0</v>
      </c>
      <c r="S108" s="2"/>
      <c r="T108" s="6">
        <v>13544</v>
      </c>
      <c r="U108" s="2"/>
      <c r="V108" s="7">
        <f t="shared" si="48"/>
        <v>3.298993660787844E-2</v>
      </c>
      <c r="W108" s="2"/>
      <c r="X108" s="6">
        <f t="shared" si="49"/>
        <v>-13544</v>
      </c>
      <c r="Y108" s="2"/>
      <c r="Z108" s="7">
        <f t="shared" si="50"/>
        <v>-1</v>
      </c>
    </row>
    <row r="109" spans="1:26" s="23" customFormat="1" hidden="1" outlineLevel="2" x14ac:dyDescent="0.25">
      <c r="A109" s="25"/>
      <c r="B109" s="10" t="str">
        <f>CONCATENATE("          ", "7731", " - ", "INV. SHRINKAGE-FOOD")</f>
        <v xml:space="preserve">          7731 - INV. SHRINKAGE-FOOD</v>
      </c>
      <c r="C109" s="10"/>
      <c r="D109" s="6"/>
      <c r="E109" s="2"/>
      <c r="F109" s="7">
        <f t="shared" si="43"/>
        <v>0</v>
      </c>
      <c r="G109" s="2"/>
      <c r="H109" s="6">
        <v>7157</v>
      </c>
      <c r="I109" s="2"/>
      <c r="J109" s="7">
        <f t="shared" si="44"/>
        <v>0</v>
      </c>
      <c r="K109" s="2"/>
      <c r="L109" s="6">
        <f t="shared" si="45"/>
        <v>-7157</v>
      </c>
      <c r="M109" s="2"/>
      <c r="N109" s="7">
        <f t="shared" si="46"/>
        <v>-1</v>
      </c>
      <c r="O109" s="10"/>
      <c r="P109" s="6"/>
      <c r="Q109" s="2"/>
      <c r="R109" s="7">
        <f t="shared" si="47"/>
        <v>0</v>
      </c>
      <c r="S109" s="2"/>
      <c r="T109" s="6">
        <v>7157</v>
      </c>
      <c r="U109" s="2"/>
      <c r="V109" s="7">
        <f t="shared" si="48"/>
        <v>1.7432735993988924E-2</v>
      </c>
      <c r="W109" s="2"/>
      <c r="X109" s="6">
        <f t="shared" si="49"/>
        <v>-7157</v>
      </c>
      <c r="Y109" s="2"/>
      <c r="Z109" s="7">
        <f t="shared" si="50"/>
        <v>-1</v>
      </c>
    </row>
    <row r="110" spans="1:26" s="23" customFormat="1" hidden="1" outlineLevel="2" x14ac:dyDescent="0.25">
      <c r="A110" s="25"/>
      <c r="B110" s="10" t="str">
        <f>CONCATENATE("          ", "7732", " - ", "INV. SHRINKAGE-JUICE")</f>
        <v xml:space="preserve">          7732 - INV. SHRINKAGE-JUICE</v>
      </c>
      <c r="C110" s="10"/>
      <c r="D110" s="6"/>
      <c r="E110" s="2"/>
      <c r="F110" s="7">
        <f t="shared" si="43"/>
        <v>0</v>
      </c>
      <c r="G110" s="2"/>
      <c r="H110" s="6">
        <v>-1942</v>
      </c>
      <c r="I110" s="2"/>
      <c r="J110" s="7">
        <f t="shared" si="44"/>
        <v>0</v>
      </c>
      <c r="K110" s="2"/>
      <c r="L110" s="6">
        <f t="shared" si="45"/>
        <v>1942</v>
      </c>
      <c r="M110" s="2"/>
      <c r="N110" s="7">
        <f t="shared" si="46"/>
        <v>-1</v>
      </c>
      <c r="O110" s="10"/>
      <c r="P110" s="6"/>
      <c r="Q110" s="2"/>
      <c r="R110" s="7">
        <f t="shared" si="47"/>
        <v>0</v>
      </c>
      <c r="S110" s="2"/>
      <c r="T110" s="6">
        <v>-1942</v>
      </c>
      <c r="U110" s="2"/>
      <c r="V110" s="7">
        <f t="shared" si="48"/>
        <v>-4.7302463742247437E-3</v>
      </c>
      <c r="W110" s="2"/>
      <c r="X110" s="6">
        <f t="shared" si="49"/>
        <v>1942</v>
      </c>
      <c r="Y110" s="2"/>
      <c r="Z110" s="7">
        <f t="shared" si="50"/>
        <v>-1</v>
      </c>
    </row>
    <row r="111" spans="1:26" s="23" customFormat="1" hidden="1" outlineLevel="2" x14ac:dyDescent="0.25">
      <c r="A111" s="25"/>
      <c r="B111" s="10" t="str">
        <f>CONCATENATE("          ", "7733", " - ", "INV. SHRINKAGE-CANDY")</f>
        <v xml:space="preserve">          7733 - INV. SHRINKAGE-CANDY</v>
      </c>
      <c r="C111" s="10"/>
      <c r="D111" s="6"/>
      <c r="E111" s="2"/>
      <c r="F111" s="7">
        <f t="shared" si="43"/>
        <v>0</v>
      </c>
      <c r="G111" s="2"/>
      <c r="H111" s="6">
        <v>2289</v>
      </c>
      <c r="I111" s="2"/>
      <c r="J111" s="7">
        <f t="shared" si="44"/>
        <v>0</v>
      </c>
      <c r="K111" s="2"/>
      <c r="L111" s="6">
        <f t="shared" si="45"/>
        <v>-2289</v>
      </c>
      <c r="M111" s="2"/>
      <c r="N111" s="7">
        <f t="shared" si="46"/>
        <v>-1</v>
      </c>
      <c r="O111" s="10"/>
      <c r="P111" s="6"/>
      <c r="Q111" s="2"/>
      <c r="R111" s="7">
        <f t="shared" si="47"/>
        <v>0</v>
      </c>
      <c r="S111" s="2"/>
      <c r="T111" s="6">
        <v>2289</v>
      </c>
      <c r="U111" s="2"/>
      <c r="V111" s="7">
        <f t="shared" si="48"/>
        <v>5.575455175386425E-3</v>
      </c>
      <c r="W111" s="2"/>
      <c r="X111" s="6">
        <f t="shared" si="49"/>
        <v>-2289</v>
      </c>
      <c r="Y111" s="2"/>
      <c r="Z111" s="7">
        <f t="shared" si="50"/>
        <v>-1</v>
      </c>
    </row>
    <row r="112" spans="1:26" s="23" customFormat="1" hidden="1" outlineLevel="2" x14ac:dyDescent="0.25">
      <c r="A112" s="25"/>
      <c r="B112" s="10" t="str">
        <f>CONCATENATE("          ", "7734", " - ", "INV. SHRINKAGE-SODA")</f>
        <v xml:space="preserve">          7734 - INV. SHRINKAGE-SODA</v>
      </c>
      <c r="C112" s="10"/>
      <c r="D112" s="6"/>
      <c r="E112" s="2"/>
      <c r="F112" s="7">
        <f t="shared" si="43"/>
        <v>0</v>
      </c>
      <c r="G112" s="2"/>
      <c r="H112" s="6">
        <v>1253</v>
      </c>
      <c r="I112" s="2"/>
      <c r="J112" s="7">
        <f t="shared" si="44"/>
        <v>0</v>
      </c>
      <c r="K112" s="2"/>
      <c r="L112" s="6">
        <f t="shared" si="45"/>
        <v>-1253</v>
      </c>
      <c r="M112" s="2"/>
      <c r="N112" s="7">
        <f t="shared" si="46"/>
        <v>-1</v>
      </c>
      <c r="O112" s="10"/>
      <c r="P112" s="6"/>
      <c r="Q112" s="2"/>
      <c r="R112" s="7">
        <f t="shared" si="47"/>
        <v>0</v>
      </c>
      <c r="S112" s="2"/>
      <c r="T112" s="6">
        <v>1253</v>
      </c>
      <c r="U112" s="2"/>
      <c r="V112" s="7">
        <f t="shared" si="48"/>
        <v>3.0520075730708566E-3</v>
      </c>
      <c r="W112" s="2"/>
      <c r="X112" s="6">
        <f t="shared" si="49"/>
        <v>-1253</v>
      </c>
      <c r="Y112" s="2"/>
      <c r="Z112" s="7">
        <f t="shared" si="50"/>
        <v>-1</v>
      </c>
    </row>
    <row r="113" spans="1:26" s="23" customFormat="1" hidden="1" outlineLevel="2" x14ac:dyDescent="0.25">
      <c r="A113" s="25"/>
      <c r="B113" s="10" t="str">
        <f>CONCATENATE("          ", "7735", " - ", "INV. SHRINKAGE-HEALTH/BEAUTY")</f>
        <v xml:space="preserve">          7735 - INV. SHRINKAGE-HEALTH/BEAUTY</v>
      </c>
      <c r="C113" s="10"/>
      <c r="D113" s="6"/>
      <c r="E113" s="2"/>
      <c r="F113" s="7">
        <f t="shared" si="43"/>
        <v>0</v>
      </c>
      <c r="G113" s="2"/>
      <c r="H113" s="6">
        <v>46</v>
      </c>
      <c r="I113" s="2"/>
      <c r="J113" s="7">
        <f t="shared" si="44"/>
        <v>0</v>
      </c>
      <c r="K113" s="2"/>
      <c r="L113" s="6">
        <f t="shared" si="45"/>
        <v>-46</v>
      </c>
      <c r="M113" s="2"/>
      <c r="N113" s="7">
        <f t="shared" si="46"/>
        <v>-1</v>
      </c>
      <c r="O113" s="10"/>
      <c r="P113" s="6"/>
      <c r="Q113" s="2"/>
      <c r="R113" s="7">
        <f t="shared" si="47"/>
        <v>0</v>
      </c>
      <c r="S113" s="2"/>
      <c r="T113" s="6">
        <v>46</v>
      </c>
      <c r="U113" s="2"/>
      <c r="V113" s="7">
        <f t="shared" si="48"/>
        <v>1.1204497075918548E-4</v>
      </c>
      <c r="W113" s="2"/>
      <c r="X113" s="6">
        <f t="shared" si="49"/>
        <v>-46</v>
      </c>
      <c r="Y113" s="2"/>
      <c r="Z113" s="7">
        <f t="shared" si="50"/>
        <v>-1</v>
      </c>
    </row>
    <row r="114" spans="1:26" s="23" customFormat="1" hidden="1" outlineLevel="2" x14ac:dyDescent="0.25">
      <c r="A114" s="25"/>
      <c r="B114" s="10" t="str">
        <f>CONCATENATE("          ", "7737", " - ", "INV. SHRINKAGE-WATER")</f>
        <v xml:space="preserve">          7737 - INV. SHRINKAGE-WATER</v>
      </c>
      <c r="C114" s="10"/>
      <c r="D114" s="6"/>
      <c r="E114" s="2"/>
      <c r="F114" s="7">
        <f t="shared" si="43"/>
        <v>0</v>
      </c>
      <c r="G114" s="2"/>
      <c r="H114" s="6">
        <v>832</v>
      </c>
      <c r="I114" s="2"/>
      <c r="J114" s="7">
        <f t="shared" si="44"/>
        <v>0</v>
      </c>
      <c r="K114" s="2"/>
      <c r="L114" s="6">
        <f t="shared" si="45"/>
        <v>-832</v>
      </c>
      <c r="M114" s="2"/>
      <c r="N114" s="7">
        <f t="shared" si="46"/>
        <v>-1</v>
      </c>
      <c r="O114" s="10"/>
      <c r="P114" s="6"/>
      <c r="Q114" s="2"/>
      <c r="R114" s="7">
        <f t="shared" si="47"/>
        <v>0</v>
      </c>
      <c r="S114" s="2"/>
      <c r="T114" s="6">
        <v>832</v>
      </c>
      <c r="U114" s="2"/>
      <c r="V114" s="7">
        <f t="shared" si="48"/>
        <v>2.0265525146009201E-3</v>
      </c>
      <c r="W114" s="2"/>
      <c r="X114" s="6">
        <f t="shared" si="49"/>
        <v>-832</v>
      </c>
      <c r="Y114" s="2"/>
      <c r="Z114" s="7">
        <f t="shared" si="50"/>
        <v>-1</v>
      </c>
    </row>
    <row r="115" spans="1:26" s="23" customFormat="1" hidden="1" outlineLevel="2" x14ac:dyDescent="0.25">
      <c r="A115" s="25"/>
      <c r="B115" s="10" t="str">
        <f>CONCATENATE("          ", "7741", " - ", "INV. SHRINKAGE-LOGO GIFTS")</f>
        <v xml:space="preserve">          7741 - INV. SHRINKAGE-LOGO GIFTS</v>
      </c>
      <c r="C115" s="10"/>
      <c r="D115" s="6"/>
      <c r="E115" s="2"/>
      <c r="F115" s="7">
        <f t="shared" si="43"/>
        <v>0</v>
      </c>
      <c r="G115" s="2"/>
      <c r="H115" s="6">
        <v>-494</v>
      </c>
      <c r="I115" s="2"/>
      <c r="J115" s="7">
        <f t="shared" si="44"/>
        <v>0</v>
      </c>
      <c r="K115" s="2"/>
      <c r="L115" s="6">
        <f t="shared" si="45"/>
        <v>494</v>
      </c>
      <c r="M115" s="2"/>
      <c r="N115" s="7">
        <f t="shared" si="46"/>
        <v>-1</v>
      </c>
      <c r="O115" s="10"/>
      <c r="P115" s="6"/>
      <c r="Q115" s="2"/>
      <c r="R115" s="7">
        <f t="shared" si="47"/>
        <v>0</v>
      </c>
      <c r="S115" s="2"/>
      <c r="T115" s="6">
        <v>-494</v>
      </c>
      <c r="U115" s="2"/>
      <c r="V115" s="7">
        <f t="shared" si="48"/>
        <v>-1.2032655555442961E-3</v>
      </c>
      <c r="W115" s="2"/>
      <c r="X115" s="6">
        <f t="shared" si="49"/>
        <v>494</v>
      </c>
      <c r="Y115" s="2"/>
      <c r="Z115" s="7">
        <f t="shared" si="50"/>
        <v>-1</v>
      </c>
    </row>
    <row r="116" spans="1:26" s="23" customFormat="1" hidden="1" outlineLevel="2" x14ac:dyDescent="0.25">
      <c r="A116" s="25"/>
      <c r="B116" s="10" t="str">
        <f>CONCATENATE("          ", "7742", " - ", "INV. SHRINKAGE-EVERYDAY GIFTS")</f>
        <v xml:space="preserve">          7742 - INV. SHRINKAGE-EVERYDAY GIFTS</v>
      </c>
      <c r="C116" s="10"/>
      <c r="D116" s="6"/>
      <c r="E116" s="2"/>
      <c r="F116" s="7">
        <f t="shared" si="43"/>
        <v>0</v>
      </c>
      <c r="G116" s="2"/>
      <c r="H116" s="6">
        <v>-553</v>
      </c>
      <c r="I116" s="2"/>
      <c r="J116" s="7">
        <f t="shared" si="44"/>
        <v>0</v>
      </c>
      <c r="K116" s="2"/>
      <c r="L116" s="6">
        <f t="shared" si="45"/>
        <v>553</v>
      </c>
      <c r="M116" s="2"/>
      <c r="N116" s="7">
        <f t="shared" si="46"/>
        <v>-1</v>
      </c>
      <c r="O116" s="10"/>
      <c r="P116" s="6"/>
      <c r="Q116" s="2"/>
      <c r="R116" s="7">
        <f t="shared" si="47"/>
        <v>0</v>
      </c>
      <c r="S116" s="2"/>
      <c r="T116" s="6">
        <v>-553</v>
      </c>
      <c r="U116" s="2"/>
      <c r="V116" s="7">
        <f t="shared" si="48"/>
        <v>-1.3469754093441211E-3</v>
      </c>
      <c r="W116" s="2"/>
      <c r="X116" s="6">
        <f t="shared" si="49"/>
        <v>553</v>
      </c>
      <c r="Y116" s="2"/>
      <c r="Z116" s="7">
        <f t="shared" si="50"/>
        <v>-1</v>
      </c>
    </row>
    <row r="117" spans="1:26" s="23" customFormat="1" hidden="1" outlineLevel="2" x14ac:dyDescent="0.25">
      <c r="A117" s="25"/>
      <c r="B117" s="10" t="str">
        <f>CONCATENATE("          ", "7744", " - ", "INV. SHRINKAGE-ACCESSORIES")</f>
        <v xml:space="preserve">          7744 - INV. SHRINKAGE-ACCESSORIES</v>
      </c>
      <c r="C117" s="10"/>
      <c r="D117" s="6"/>
      <c r="E117" s="2"/>
      <c r="F117" s="7">
        <f t="shared" si="43"/>
        <v>0</v>
      </c>
      <c r="G117" s="2"/>
      <c r="H117" s="6">
        <v>-180</v>
      </c>
      <c r="I117" s="2"/>
      <c r="J117" s="7">
        <f t="shared" si="44"/>
        <v>0</v>
      </c>
      <c r="K117" s="2"/>
      <c r="L117" s="6">
        <f t="shared" si="45"/>
        <v>180</v>
      </c>
      <c r="M117" s="2"/>
      <c r="N117" s="7">
        <f t="shared" si="46"/>
        <v>-1</v>
      </c>
      <c r="O117" s="10"/>
      <c r="P117" s="6"/>
      <c r="Q117" s="2"/>
      <c r="R117" s="7">
        <f t="shared" si="47"/>
        <v>0</v>
      </c>
      <c r="S117" s="2"/>
      <c r="T117" s="6">
        <v>-180</v>
      </c>
      <c r="U117" s="2"/>
      <c r="V117" s="7">
        <f t="shared" si="48"/>
        <v>-4.3843684210116056E-4</v>
      </c>
      <c r="W117" s="2"/>
      <c r="X117" s="6">
        <f t="shared" si="49"/>
        <v>180</v>
      </c>
      <c r="Y117" s="2"/>
      <c r="Z117" s="7">
        <f t="shared" si="50"/>
        <v>-1</v>
      </c>
    </row>
    <row r="118" spans="1:26" s="23" customFormat="1" hidden="1" outlineLevel="2" x14ac:dyDescent="0.25">
      <c r="A118" s="25"/>
      <c r="B118" s="10" t="str">
        <f>CONCATENATE("          ", "7781", " - ", "INV. SHRINKAGE-ELECTRONICS")</f>
        <v xml:space="preserve">          7781 - INV. SHRINKAGE-ELECTRONICS</v>
      </c>
      <c r="C118" s="10"/>
      <c r="D118" s="6"/>
      <c r="E118" s="2"/>
      <c r="F118" s="7">
        <f t="shared" si="43"/>
        <v>0</v>
      </c>
      <c r="G118" s="2"/>
      <c r="H118" s="6">
        <v>-28</v>
      </c>
      <c r="I118" s="2"/>
      <c r="J118" s="7">
        <f t="shared" si="44"/>
        <v>0</v>
      </c>
      <c r="K118" s="2"/>
      <c r="L118" s="6">
        <f t="shared" si="45"/>
        <v>28</v>
      </c>
      <c r="M118" s="2"/>
      <c r="N118" s="7">
        <f t="shared" si="46"/>
        <v>-1</v>
      </c>
      <c r="O118" s="10"/>
      <c r="P118" s="6"/>
      <c r="Q118" s="2"/>
      <c r="R118" s="7">
        <f t="shared" si="47"/>
        <v>0</v>
      </c>
      <c r="S118" s="2"/>
      <c r="T118" s="6">
        <v>-28</v>
      </c>
      <c r="U118" s="2"/>
      <c r="V118" s="7">
        <f t="shared" si="48"/>
        <v>-6.8201286549069418E-5</v>
      </c>
      <c r="W118" s="2"/>
      <c r="X118" s="6">
        <f t="shared" si="49"/>
        <v>28</v>
      </c>
      <c r="Y118" s="2"/>
      <c r="Z118" s="7">
        <f t="shared" si="50"/>
        <v>-1</v>
      </c>
    </row>
    <row r="119" spans="1:26" s="23" customFormat="1" hidden="1" outlineLevel="2" x14ac:dyDescent="0.25">
      <c r="A119" s="25"/>
      <c r="B119" s="10" t="str">
        <f>CONCATENATE("          ", "7782", " - ", "INV. SHRINKAGE-COMPUTER HARDWA")</f>
        <v xml:space="preserve">          7782 - INV. SHRINKAGE-COMPUTER HARDWA</v>
      </c>
      <c r="C119" s="10"/>
      <c r="D119" s="6"/>
      <c r="E119" s="2"/>
      <c r="F119" s="7">
        <f t="shared" si="43"/>
        <v>0</v>
      </c>
      <c r="G119" s="2"/>
      <c r="H119" s="6">
        <v>69</v>
      </c>
      <c r="I119" s="2"/>
      <c r="J119" s="7">
        <f t="shared" si="44"/>
        <v>0</v>
      </c>
      <c r="K119" s="2"/>
      <c r="L119" s="6">
        <f t="shared" si="45"/>
        <v>-69</v>
      </c>
      <c r="M119" s="2"/>
      <c r="N119" s="7">
        <f t="shared" si="46"/>
        <v>-1</v>
      </c>
      <c r="O119" s="10"/>
      <c r="P119" s="6"/>
      <c r="Q119" s="2"/>
      <c r="R119" s="7">
        <f t="shared" si="47"/>
        <v>0</v>
      </c>
      <c r="S119" s="2"/>
      <c r="T119" s="6">
        <v>69</v>
      </c>
      <c r="U119" s="2"/>
      <c r="V119" s="7">
        <f t="shared" si="48"/>
        <v>1.6806745613877821E-4</v>
      </c>
      <c r="W119" s="2"/>
      <c r="X119" s="6">
        <f t="shared" si="49"/>
        <v>-69</v>
      </c>
      <c r="Y119" s="2"/>
      <c r="Z119" s="7">
        <f t="shared" si="50"/>
        <v>-1</v>
      </c>
    </row>
    <row r="120" spans="1:26" s="23" customFormat="1" hidden="1" outlineLevel="2" x14ac:dyDescent="0.25">
      <c r="A120" s="25"/>
      <c r="B120" s="10" t="str">
        <f>CONCATENATE("          ", "7783", " - ", "INV. SHRINKAGE-COMPUTER EQUIPM")</f>
        <v xml:space="preserve">          7783 - INV. SHRINKAGE-COMPUTER EQUIPM</v>
      </c>
      <c r="C120" s="10"/>
      <c r="D120" s="6"/>
      <c r="E120" s="2"/>
      <c r="F120" s="7">
        <f t="shared" si="43"/>
        <v>0</v>
      </c>
      <c r="G120" s="2"/>
      <c r="H120" s="6">
        <v>90</v>
      </c>
      <c r="I120" s="2"/>
      <c r="J120" s="7">
        <f t="shared" si="44"/>
        <v>0</v>
      </c>
      <c r="K120" s="2"/>
      <c r="L120" s="6">
        <f t="shared" si="45"/>
        <v>-90</v>
      </c>
      <c r="M120" s="2"/>
      <c r="N120" s="7">
        <f t="shared" si="46"/>
        <v>-1</v>
      </c>
      <c r="O120" s="10"/>
      <c r="P120" s="6"/>
      <c r="Q120" s="2"/>
      <c r="R120" s="7">
        <f t="shared" si="47"/>
        <v>0</v>
      </c>
      <c r="S120" s="2"/>
      <c r="T120" s="6">
        <v>90</v>
      </c>
      <c r="U120" s="2"/>
      <c r="V120" s="7">
        <f t="shared" si="48"/>
        <v>2.1921842105058028E-4</v>
      </c>
      <c r="W120" s="2"/>
      <c r="X120" s="6">
        <f t="shared" si="49"/>
        <v>-90</v>
      </c>
      <c r="Y120" s="2"/>
      <c r="Z120" s="7">
        <f t="shared" si="50"/>
        <v>-1</v>
      </c>
    </row>
    <row r="121" spans="1:26" s="23" customFormat="1" hidden="1" outlineLevel="2" x14ac:dyDescent="0.25">
      <c r="A121" s="25"/>
      <c r="B121" s="10" t="str">
        <f>CONCATENATE("          ", "7786", " - ", "INV. SHRINKAGE-COMPUTER SUPPLI")</f>
        <v xml:space="preserve">          7786 - INV. SHRINKAGE-COMPUTER SUPPLI</v>
      </c>
      <c r="C121" s="10"/>
      <c r="D121" s="6"/>
      <c r="E121" s="2"/>
      <c r="F121" s="7">
        <f t="shared" si="43"/>
        <v>0</v>
      </c>
      <c r="G121" s="2"/>
      <c r="H121" s="6">
        <v>38</v>
      </c>
      <c r="I121" s="2"/>
      <c r="J121" s="7">
        <f t="shared" si="44"/>
        <v>0</v>
      </c>
      <c r="K121" s="2"/>
      <c r="L121" s="6">
        <f t="shared" si="45"/>
        <v>-38</v>
      </c>
      <c r="M121" s="2"/>
      <c r="N121" s="7">
        <f t="shared" si="46"/>
        <v>-1</v>
      </c>
      <c r="O121" s="10"/>
      <c r="P121" s="6"/>
      <c r="Q121" s="2"/>
      <c r="R121" s="7">
        <f t="shared" si="47"/>
        <v>0</v>
      </c>
      <c r="S121" s="2"/>
      <c r="T121" s="6">
        <v>38</v>
      </c>
      <c r="U121" s="2"/>
      <c r="V121" s="7">
        <f t="shared" si="48"/>
        <v>9.2558888888022789E-5</v>
      </c>
      <c r="W121" s="2"/>
      <c r="X121" s="6">
        <f t="shared" si="49"/>
        <v>-38</v>
      </c>
      <c r="Y121" s="2"/>
      <c r="Z121" s="7">
        <f t="shared" si="50"/>
        <v>-1</v>
      </c>
    </row>
    <row r="122" spans="1:26" s="27" customFormat="1" outlineLevel="1" collapsed="1" x14ac:dyDescent="0.25">
      <c r="A122" s="26"/>
      <c r="B122" s="12" t="str">
        <f>CONCATENATE("     ","Professional Services                             ")</f>
        <v xml:space="preserve">     Professional Services                             </v>
      </c>
      <c r="C122" s="12"/>
      <c r="D122" s="1">
        <f>SUM(OSRRefD22_7x_0)</f>
        <v>0</v>
      </c>
      <c r="E122" s="1"/>
      <c r="F122" s="5">
        <f t="shared" ref="F122:F126" si="51">IF(D$12=0,0,D122/D$12)</f>
        <v>0</v>
      </c>
      <c r="G122" s="1"/>
      <c r="H122" s="1">
        <f>SUM(OSRRefH22_7x_0)</f>
        <v>1382.44</v>
      </c>
      <c r="I122" s="1"/>
      <c r="J122" s="5">
        <f t="shared" ref="J122:J126" si="52">IF(H$12=0,0,H122/H$12)</f>
        <v>0</v>
      </c>
      <c r="K122" s="1"/>
      <c r="L122" s="1">
        <f t="shared" ref="L122:L126" si="53">+D122-H122</f>
        <v>-1382.44</v>
      </c>
      <c r="M122" s="1"/>
      <c r="N122" s="5">
        <f t="shared" ref="N122:N126" si="54">IF(H122=0,0,L122/H122)</f>
        <v>-1</v>
      </c>
      <c r="O122" s="12"/>
      <c r="P122" s="1">
        <f>SUM(OSRRefP22_7x_0)</f>
        <v>0</v>
      </c>
      <c r="Q122" s="1"/>
      <c r="R122" s="5">
        <f t="shared" ref="R122:R126" si="55">IF(P$12=0,0,P122/P$12)</f>
        <v>0</v>
      </c>
      <c r="S122" s="1"/>
      <c r="T122" s="1">
        <f>SUM(OSRRefT22_7x_0)</f>
        <v>2173.59</v>
      </c>
      <c r="U122" s="1"/>
      <c r="V122" s="5">
        <f t="shared" ref="V122:V126" si="56">IF(T$12=0,0,T122/T$12)</f>
        <v>5.2943440867925648E-3</v>
      </c>
      <c r="W122" s="1"/>
      <c r="X122" s="1">
        <f t="shared" ref="X122:X126" si="57">+P122-T122</f>
        <v>-2173.59</v>
      </c>
      <c r="Y122" s="1"/>
      <c r="Z122" s="5">
        <f t="shared" ref="Z122:Z126" si="58">IF(T122=0,0,X122/T122)</f>
        <v>-1</v>
      </c>
    </row>
    <row r="123" spans="1:26" s="23" customFormat="1" hidden="1" outlineLevel="2" x14ac:dyDescent="0.25">
      <c r="A123" s="25"/>
      <c r="B123" s="10" t="str">
        <f>CONCATENATE("          ", "6336", " - ", "PROFESSIONAL SERVICES")</f>
        <v xml:space="preserve">          6336 - PROFESSIONAL SERVICES</v>
      </c>
      <c r="C123" s="10"/>
      <c r="D123" s="6"/>
      <c r="E123" s="2"/>
      <c r="F123" s="7">
        <f t="shared" si="51"/>
        <v>0</v>
      </c>
      <c r="G123" s="2"/>
      <c r="H123" s="6">
        <v>1382.44</v>
      </c>
      <c r="I123" s="2"/>
      <c r="J123" s="7">
        <f t="shared" si="52"/>
        <v>0</v>
      </c>
      <c r="K123" s="2"/>
      <c r="L123" s="6">
        <f t="shared" si="53"/>
        <v>-1382.44</v>
      </c>
      <c r="M123" s="2"/>
      <c r="N123" s="7">
        <f t="shared" si="54"/>
        <v>-1</v>
      </c>
      <c r="O123" s="10"/>
      <c r="P123" s="6"/>
      <c r="Q123" s="2"/>
      <c r="R123" s="7">
        <f t="shared" si="55"/>
        <v>0</v>
      </c>
      <c r="S123" s="2"/>
      <c r="T123" s="6">
        <v>2173.59</v>
      </c>
      <c r="U123" s="2"/>
      <c r="V123" s="7">
        <f t="shared" si="56"/>
        <v>5.2943440867925648E-3</v>
      </c>
      <c r="W123" s="2"/>
      <c r="X123" s="6">
        <f t="shared" si="57"/>
        <v>-2173.59</v>
      </c>
      <c r="Y123" s="2"/>
      <c r="Z123" s="7">
        <f t="shared" si="58"/>
        <v>-1</v>
      </c>
    </row>
    <row r="124" spans="1:26" s="27" customFormat="1" outlineLevel="1" collapsed="1" x14ac:dyDescent="0.25">
      <c r="A124" s="26"/>
      <c r="B124" s="12" t="str">
        <f>CONCATENATE("     ","Repair and Maintenance                            ")</f>
        <v xml:space="preserve">     Repair and Maintenance                            </v>
      </c>
      <c r="C124" s="12"/>
      <c r="D124" s="1">
        <f>SUM(OSRRefD22_8x_0)</f>
        <v>61.11</v>
      </c>
      <c r="E124" s="1"/>
      <c r="F124" s="5">
        <f t="shared" si="51"/>
        <v>0</v>
      </c>
      <c r="G124" s="1"/>
      <c r="H124" s="1">
        <f>SUM(OSRRefH22_8x_0)</f>
        <v>61.11</v>
      </c>
      <c r="I124" s="1"/>
      <c r="J124" s="5">
        <f t="shared" si="52"/>
        <v>0</v>
      </c>
      <c r="K124" s="1"/>
      <c r="L124" s="1">
        <f t="shared" si="53"/>
        <v>0</v>
      </c>
      <c r="M124" s="1"/>
      <c r="N124" s="5">
        <f t="shared" si="54"/>
        <v>0</v>
      </c>
      <c r="O124" s="12"/>
      <c r="P124" s="1">
        <f>SUM(OSRRefP22_8x_0)</f>
        <v>323.04000000000002</v>
      </c>
      <c r="Q124" s="1"/>
      <c r="R124" s="5">
        <f t="shared" si="55"/>
        <v>1.5157714555985573E-2</v>
      </c>
      <c r="S124" s="1"/>
      <c r="T124" s="1">
        <f>SUM(OSRRefT22_8x_0)</f>
        <v>251.75</v>
      </c>
      <c r="U124" s="1"/>
      <c r="V124" s="5">
        <f t="shared" si="56"/>
        <v>6.13202638883151E-4</v>
      </c>
      <c r="W124" s="1"/>
      <c r="X124" s="1">
        <f t="shared" si="57"/>
        <v>71.29000000000002</v>
      </c>
      <c r="Y124" s="1"/>
      <c r="Z124" s="5">
        <f t="shared" si="58"/>
        <v>0.2831777557100299</v>
      </c>
    </row>
    <row r="125" spans="1:26" s="23" customFormat="1" hidden="1" outlineLevel="2" x14ac:dyDescent="0.25">
      <c r="A125" s="25"/>
      <c r="B125" s="10" t="str">
        <f>CONCATENATE("          ", "6373", " - ", "MAINTENANCE CONTRACTS")</f>
        <v xml:space="preserve">          6373 - MAINTENANCE CONTRACTS</v>
      </c>
      <c r="C125" s="10"/>
      <c r="D125" s="6">
        <v>61.11</v>
      </c>
      <c r="E125" s="2"/>
      <c r="F125" s="7">
        <f t="shared" si="51"/>
        <v>0</v>
      </c>
      <c r="G125" s="2"/>
      <c r="H125" s="6">
        <v>61.11</v>
      </c>
      <c r="I125" s="2"/>
      <c r="J125" s="7">
        <f t="shared" si="52"/>
        <v>0</v>
      </c>
      <c r="K125" s="2"/>
      <c r="L125" s="6">
        <f t="shared" si="53"/>
        <v>0</v>
      </c>
      <c r="M125" s="2"/>
      <c r="N125" s="7">
        <f t="shared" si="54"/>
        <v>0</v>
      </c>
      <c r="O125" s="10"/>
      <c r="P125" s="6">
        <v>323.04000000000002</v>
      </c>
      <c r="Q125" s="2"/>
      <c r="R125" s="7">
        <f t="shared" si="55"/>
        <v>1.5157714555985573E-2</v>
      </c>
      <c r="S125" s="2"/>
      <c r="T125" s="6">
        <v>241.95</v>
      </c>
      <c r="U125" s="2"/>
      <c r="V125" s="7">
        <f t="shared" si="56"/>
        <v>5.8933218859097663E-4</v>
      </c>
      <c r="W125" s="2"/>
      <c r="X125" s="6">
        <f t="shared" si="57"/>
        <v>81.090000000000032</v>
      </c>
      <c r="Y125" s="2"/>
      <c r="Z125" s="7">
        <f t="shared" si="58"/>
        <v>0.33515189088654695</v>
      </c>
    </row>
    <row r="126" spans="1:26" s="23" customFormat="1" hidden="1" outlineLevel="2" x14ac:dyDescent="0.25">
      <c r="A126" s="25"/>
      <c r="B126" s="10" t="str">
        <f>CONCATENATE("          ", "6375", " - ", "OUTSIDE REPAIRS &amp; MAINTENANCE")</f>
        <v xml:space="preserve">          6375 - OUTSIDE REPAIRS &amp; MAINTENANCE</v>
      </c>
      <c r="C126" s="10"/>
      <c r="D126" s="6"/>
      <c r="E126" s="2"/>
      <c r="F126" s="7">
        <f t="shared" si="51"/>
        <v>0</v>
      </c>
      <c r="G126" s="2"/>
      <c r="H126" s="6"/>
      <c r="I126" s="2"/>
      <c r="J126" s="7">
        <f t="shared" si="52"/>
        <v>0</v>
      </c>
      <c r="K126" s="2"/>
      <c r="L126" s="6">
        <f t="shared" si="53"/>
        <v>0</v>
      </c>
      <c r="M126" s="2"/>
      <c r="N126" s="7">
        <f t="shared" si="54"/>
        <v>0</v>
      </c>
      <c r="O126" s="10"/>
      <c r="P126" s="6"/>
      <c r="Q126" s="2"/>
      <c r="R126" s="7">
        <f t="shared" si="55"/>
        <v>0</v>
      </c>
      <c r="S126" s="2"/>
      <c r="T126" s="6">
        <v>9.8000000000000007</v>
      </c>
      <c r="U126" s="2"/>
      <c r="V126" s="7">
        <f t="shared" si="56"/>
        <v>2.3870450292174299E-5</v>
      </c>
      <c r="W126" s="2"/>
      <c r="X126" s="6">
        <f t="shared" si="57"/>
        <v>-9.8000000000000007</v>
      </c>
      <c r="Y126" s="2"/>
      <c r="Z126" s="7">
        <f t="shared" si="58"/>
        <v>-1</v>
      </c>
    </row>
    <row r="127" spans="1:26" s="27" customFormat="1" outlineLevel="1" collapsed="1" x14ac:dyDescent="0.25">
      <c r="A127" s="26"/>
      <c r="B127" s="12" t="str">
        <f>CONCATENATE("     ","Services                                          ")</f>
        <v xml:space="preserve">     Services                                          </v>
      </c>
      <c r="C127" s="12"/>
      <c r="D127" s="1">
        <f>SUM(OSRRefD22_9x_0)</f>
        <v>0</v>
      </c>
      <c r="E127" s="1"/>
      <c r="F127" s="5">
        <f t="shared" ref="F127:F129" si="59">IF(D$12=0,0,D127/D$12)</f>
        <v>0</v>
      </c>
      <c r="G127" s="1"/>
      <c r="H127" s="1">
        <f>SUM(OSRRefH22_9x_0)</f>
        <v>1017.36</v>
      </c>
      <c r="I127" s="1"/>
      <c r="J127" s="5">
        <f t="shared" ref="J127:J129" si="60">IF(H$12=0,0,H127/H$12)</f>
        <v>0</v>
      </c>
      <c r="K127" s="1"/>
      <c r="L127" s="1">
        <f t="shared" ref="L127:L129" si="61">+D127-H127</f>
        <v>-1017.36</v>
      </c>
      <c r="M127" s="1"/>
      <c r="N127" s="5">
        <f t="shared" ref="N127:N129" si="62">IF(H127=0,0,L127/H127)</f>
        <v>-1</v>
      </c>
      <c r="O127" s="12"/>
      <c r="P127" s="1">
        <f>SUM(OSRRefP22_9x_0)</f>
        <v>18.5</v>
      </c>
      <c r="Q127" s="1"/>
      <c r="R127" s="5">
        <f t="shared" ref="R127:R129" si="63">IF(P$12=0,0,P127/P$12)</f>
        <v>8.6805881403458724E-4</v>
      </c>
      <c r="S127" s="1"/>
      <c r="T127" s="1">
        <f>SUM(OSRRefT22_9x_0)</f>
        <v>3111.27</v>
      </c>
      <c r="U127" s="1"/>
      <c r="V127" s="5">
        <f t="shared" ref="V127:V129" si="64">IF(T$12=0,0,T127/T$12)</f>
        <v>7.5783077429115433E-3</v>
      </c>
      <c r="W127" s="1"/>
      <c r="X127" s="1">
        <f t="shared" ref="X127:X129" si="65">+P127-T127</f>
        <v>-3092.77</v>
      </c>
      <c r="Y127" s="1"/>
      <c r="Z127" s="5">
        <f t="shared" ref="Z127:Z129" si="66">IF(T127=0,0,X127/T127)</f>
        <v>-0.99405387510566423</v>
      </c>
    </row>
    <row r="128" spans="1:26" s="23" customFormat="1" hidden="1" outlineLevel="2" x14ac:dyDescent="0.25">
      <c r="A128" s="25"/>
      <c r="B128" s="10" t="str">
        <f>CONCATENATE("          ", "6282", " - ", "JANITORIAL/EXTERMINATOR EXPENS")</f>
        <v xml:space="preserve">          6282 - JANITORIAL/EXTERMINATOR EXPENS</v>
      </c>
      <c r="C128" s="10"/>
      <c r="D128" s="6"/>
      <c r="E128" s="2"/>
      <c r="F128" s="7">
        <f t="shared" si="59"/>
        <v>0</v>
      </c>
      <c r="G128" s="2"/>
      <c r="H128" s="6">
        <v>88</v>
      </c>
      <c r="I128" s="2"/>
      <c r="J128" s="7">
        <f t="shared" si="60"/>
        <v>0</v>
      </c>
      <c r="K128" s="2"/>
      <c r="L128" s="6">
        <f t="shared" si="61"/>
        <v>-88</v>
      </c>
      <c r="M128" s="2"/>
      <c r="N128" s="7">
        <f t="shared" si="62"/>
        <v>-1</v>
      </c>
      <c r="O128" s="10"/>
      <c r="P128" s="6">
        <v>176</v>
      </c>
      <c r="Q128" s="2"/>
      <c r="R128" s="7">
        <f t="shared" si="63"/>
        <v>8.2582892578425601E-3</v>
      </c>
      <c r="S128" s="2"/>
      <c r="T128" s="6">
        <v>549.02</v>
      </c>
      <c r="U128" s="2"/>
      <c r="V128" s="7">
        <f t="shared" si="64"/>
        <v>1.3372810836132175E-3</v>
      </c>
      <c r="W128" s="2"/>
      <c r="X128" s="6">
        <f t="shared" si="65"/>
        <v>-373.02</v>
      </c>
      <c r="Y128" s="2"/>
      <c r="Z128" s="7">
        <f t="shared" si="66"/>
        <v>-0.67942880040799969</v>
      </c>
    </row>
    <row r="129" spans="1:26" s="23" customFormat="1" hidden="1" outlineLevel="2" x14ac:dyDescent="0.25">
      <c r="A129" s="25"/>
      <c r="B129" s="10" t="str">
        <f>CONCATENATE("          ", "6285", " - ", "JANITORIAL SERVICES")</f>
        <v xml:space="preserve">          6285 - JANITORIAL SERVICES</v>
      </c>
      <c r="C129" s="10"/>
      <c r="D129" s="6"/>
      <c r="E129" s="2"/>
      <c r="F129" s="7">
        <f t="shared" si="59"/>
        <v>0</v>
      </c>
      <c r="G129" s="2"/>
      <c r="H129" s="6">
        <v>929.36</v>
      </c>
      <c r="I129" s="2"/>
      <c r="J129" s="7">
        <f t="shared" si="60"/>
        <v>0</v>
      </c>
      <c r="K129" s="2"/>
      <c r="L129" s="6">
        <f t="shared" si="61"/>
        <v>-929.36</v>
      </c>
      <c r="M129" s="2"/>
      <c r="N129" s="7">
        <f t="shared" si="62"/>
        <v>-1</v>
      </c>
      <c r="O129" s="10"/>
      <c r="P129" s="6">
        <v>-157.5</v>
      </c>
      <c r="Q129" s="2"/>
      <c r="R129" s="7">
        <f t="shared" si="63"/>
        <v>-7.3902304438079732E-3</v>
      </c>
      <c r="S129" s="2"/>
      <c r="T129" s="6">
        <v>2562.25</v>
      </c>
      <c r="U129" s="2"/>
      <c r="V129" s="7">
        <f t="shared" si="64"/>
        <v>6.2410266592983262E-3</v>
      </c>
      <c r="W129" s="2"/>
      <c r="X129" s="6">
        <f t="shared" si="65"/>
        <v>-2719.75</v>
      </c>
      <c r="Y129" s="2"/>
      <c r="Z129" s="7">
        <f t="shared" si="66"/>
        <v>-1.061469411649917</v>
      </c>
    </row>
    <row r="130" spans="1:26" s="27" customFormat="1" outlineLevel="1" collapsed="1" x14ac:dyDescent="0.25">
      <c r="A130" s="26"/>
      <c r="B130" s="12" t="str">
        <f>CONCATENATE("     ","Supplies                                          ")</f>
        <v xml:space="preserve">     Supplies                                          </v>
      </c>
      <c r="C130" s="12"/>
      <c r="D130" s="1">
        <f>SUM(OSRRefD22_10x_0)</f>
        <v>0</v>
      </c>
      <c r="E130" s="1"/>
      <c r="F130" s="5">
        <f t="shared" ref="F130:F134" si="67">IF(D$12=0,0,D130/D$12)</f>
        <v>0</v>
      </c>
      <c r="G130" s="1"/>
      <c r="H130" s="1">
        <f>SUM(OSRRefH22_10x_0)</f>
        <v>0</v>
      </c>
      <c r="I130" s="1"/>
      <c r="J130" s="5">
        <f t="shared" ref="J130:J134" si="68">IF(H$12=0,0,H130/H$12)</f>
        <v>0</v>
      </c>
      <c r="K130" s="1"/>
      <c r="L130" s="1">
        <f t="shared" ref="L130:L134" si="69">+D130-H130</f>
        <v>0</v>
      </c>
      <c r="M130" s="1"/>
      <c r="N130" s="5">
        <f t="shared" ref="N130:N134" si="70">IF(H130=0,0,L130/H130)</f>
        <v>0</v>
      </c>
      <c r="O130" s="12"/>
      <c r="P130" s="1">
        <f>SUM(OSRRefP22_10x_0)</f>
        <v>1892.27</v>
      </c>
      <c r="Q130" s="1"/>
      <c r="R130" s="5">
        <f t="shared" ref="R130:R134" si="71">IF(P$12=0,0,P130/P$12)</f>
        <v>8.8789278488282622E-2</v>
      </c>
      <c r="S130" s="1"/>
      <c r="T130" s="1">
        <f>SUM(OSRRefT22_10x_0)</f>
        <v>1612.07</v>
      </c>
      <c r="U130" s="1"/>
      <c r="V130" s="5">
        <f t="shared" ref="V130:V134" si="72">IF(T$12=0,0,T130/T$12)</f>
        <v>3.9266160002556548E-3</v>
      </c>
      <c r="W130" s="1"/>
      <c r="X130" s="1">
        <f t="shared" ref="X130:X134" si="73">+P130-T130</f>
        <v>280.20000000000005</v>
      </c>
      <c r="Y130" s="1"/>
      <c r="Z130" s="5">
        <f t="shared" ref="Z130:Z134" si="74">IF(T130=0,0,X130/T130)</f>
        <v>0.17381379220505316</v>
      </c>
    </row>
    <row r="131" spans="1:26" s="23" customFormat="1" hidden="1" outlineLevel="2" x14ac:dyDescent="0.25">
      <c r="A131" s="25"/>
      <c r="B131" s="10" t="str">
        <f>CONCATENATE("          ", "6235", " - ", "COVID-19 EXPENSES")</f>
        <v xml:space="preserve">          6235 - COVID-19 EXPENSES</v>
      </c>
      <c r="C131" s="10"/>
      <c r="D131" s="6"/>
      <c r="E131" s="2"/>
      <c r="F131" s="7">
        <f t="shared" si="67"/>
        <v>0</v>
      </c>
      <c r="G131" s="2"/>
      <c r="H131" s="6"/>
      <c r="I131" s="2"/>
      <c r="J131" s="7">
        <f t="shared" si="68"/>
        <v>0</v>
      </c>
      <c r="K131" s="2"/>
      <c r="L131" s="6">
        <f t="shared" si="69"/>
        <v>0</v>
      </c>
      <c r="M131" s="2"/>
      <c r="N131" s="7">
        <f t="shared" si="70"/>
        <v>0</v>
      </c>
      <c r="O131" s="10"/>
      <c r="P131" s="6">
        <v>444.3</v>
      </c>
      <c r="Q131" s="2"/>
      <c r="R131" s="7">
        <f t="shared" si="71"/>
        <v>2.0847488166246871E-2</v>
      </c>
      <c r="S131" s="2"/>
      <c r="T131" s="6"/>
      <c r="U131" s="2"/>
      <c r="V131" s="7">
        <f t="shared" si="72"/>
        <v>0</v>
      </c>
      <c r="W131" s="2"/>
      <c r="X131" s="6">
        <f t="shared" si="73"/>
        <v>444.3</v>
      </c>
      <c r="Y131" s="2"/>
      <c r="Z131" s="7">
        <f t="shared" si="74"/>
        <v>0</v>
      </c>
    </row>
    <row r="132" spans="1:26" s="23" customFormat="1" hidden="1" outlineLevel="2" x14ac:dyDescent="0.25">
      <c r="A132" s="25"/>
      <c r="B132" s="10" t="str">
        <f>CONCATENATE("          ", "6241", " - ", "OFFICE EXPENSE")</f>
        <v xml:space="preserve">          6241 - OFFICE EXPENSE</v>
      </c>
      <c r="C132" s="10"/>
      <c r="D132" s="6"/>
      <c r="E132" s="2"/>
      <c r="F132" s="7">
        <f t="shared" si="67"/>
        <v>0</v>
      </c>
      <c r="G132" s="2"/>
      <c r="H132" s="6"/>
      <c r="I132" s="2"/>
      <c r="J132" s="7">
        <f t="shared" si="68"/>
        <v>0</v>
      </c>
      <c r="K132" s="2"/>
      <c r="L132" s="6">
        <f t="shared" si="69"/>
        <v>0</v>
      </c>
      <c r="M132" s="2"/>
      <c r="N132" s="7">
        <f t="shared" si="70"/>
        <v>0</v>
      </c>
      <c r="O132" s="10"/>
      <c r="P132" s="6">
        <v>225.24</v>
      </c>
      <c r="Q132" s="2"/>
      <c r="R132" s="7">
        <f t="shared" si="71"/>
        <v>1.056873336611624E-2</v>
      </c>
      <c r="S132" s="2"/>
      <c r="T132" s="6">
        <v>1421.17</v>
      </c>
      <c r="U132" s="2"/>
      <c r="V132" s="7">
        <f t="shared" si="72"/>
        <v>3.4616293716050357E-3</v>
      </c>
      <c r="W132" s="2"/>
      <c r="X132" s="6">
        <f t="shared" si="73"/>
        <v>-1195.93</v>
      </c>
      <c r="Y132" s="2"/>
      <c r="Z132" s="7">
        <f t="shared" si="74"/>
        <v>-0.8415108678061034</v>
      </c>
    </row>
    <row r="133" spans="1:26" s="23" customFormat="1" hidden="1" outlineLevel="2" x14ac:dyDescent="0.25">
      <c r="A133" s="25"/>
      <c r="B133" s="10" t="str">
        <f>CONCATENATE("          ", "6245", " - ", "PRINTING")</f>
        <v xml:space="preserve">          6245 - PRINTING</v>
      </c>
      <c r="C133" s="10"/>
      <c r="D133" s="6"/>
      <c r="E133" s="2"/>
      <c r="F133" s="7">
        <f t="shared" si="67"/>
        <v>0</v>
      </c>
      <c r="G133" s="2"/>
      <c r="H133" s="6"/>
      <c r="I133" s="2"/>
      <c r="J133" s="7">
        <f t="shared" si="68"/>
        <v>0</v>
      </c>
      <c r="K133" s="2"/>
      <c r="L133" s="6">
        <f t="shared" si="69"/>
        <v>0</v>
      </c>
      <c r="M133" s="2"/>
      <c r="N133" s="7">
        <f t="shared" si="70"/>
        <v>0</v>
      </c>
      <c r="O133" s="10"/>
      <c r="P133" s="6"/>
      <c r="Q133" s="2"/>
      <c r="R133" s="7">
        <f t="shared" si="71"/>
        <v>0</v>
      </c>
      <c r="S133" s="2"/>
      <c r="T133" s="6">
        <v>22.05</v>
      </c>
      <c r="U133" s="2"/>
      <c r="V133" s="7">
        <f t="shared" si="72"/>
        <v>5.3708513157392171E-5</v>
      </c>
      <c r="W133" s="2"/>
      <c r="X133" s="6">
        <f t="shared" si="73"/>
        <v>-22.05</v>
      </c>
      <c r="Y133" s="2"/>
      <c r="Z133" s="7">
        <f t="shared" si="74"/>
        <v>-1</v>
      </c>
    </row>
    <row r="134" spans="1:26" s="23" customFormat="1" hidden="1" outlineLevel="2" x14ac:dyDescent="0.25">
      <c r="A134" s="25"/>
      <c r="B134" s="10" t="str">
        <f>CONCATENATE("          ", "6247", " - ", "STORE SUPPLIES")</f>
        <v xml:space="preserve">          6247 - STORE SUPPLIES</v>
      </c>
      <c r="C134" s="10"/>
      <c r="D134" s="6"/>
      <c r="E134" s="2"/>
      <c r="F134" s="7">
        <f t="shared" si="67"/>
        <v>0</v>
      </c>
      <c r="G134" s="2"/>
      <c r="H134" s="6"/>
      <c r="I134" s="2"/>
      <c r="J134" s="7">
        <f t="shared" si="68"/>
        <v>0</v>
      </c>
      <c r="K134" s="2"/>
      <c r="L134" s="6">
        <f t="shared" si="69"/>
        <v>0</v>
      </c>
      <c r="M134" s="2"/>
      <c r="N134" s="7">
        <f t="shared" si="70"/>
        <v>0</v>
      </c>
      <c r="O134" s="10"/>
      <c r="P134" s="6">
        <v>1222.73</v>
      </c>
      <c r="Q134" s="2"/>
      <c r="R134" s="7">
        <f t="shared" si="71"/>
        <v>5.7373056955919509E-2</v>
      </c>
      <c r="S134" s="2"/>
      <c r="T134" s="6">
        <v>168.85</v>
      </c>
      <c r="U134" s="2"/>
      <c r="V134" s="7">
        <f t="shared" si="72"/>
        <v>4.1127811549322756E-4</v>
      </c>
      <c r="W134" s="2"/>
      <c r="X134" s="6">
        <f t="shared" si="73"/>
        <v>1053.8800000000001</v>
      </c>
      <c r="Y134" s="2"/>
      <c r="Z134" s="7">
        <f t="shared" si="74"/>
        <v>6.2415161385845437</v>
      </c>
    </row>
    <row r="135" spans="1:26" s="27" customFormat="1" outlineLevel="1" collapsed="1" x14ac:dyDescent="0.25">
      <c r="A135" s="26"/>
      <c r="B135" s="12" t="str">
        <f>CONCATENATE("     ","Telephone/Data Lines                              ")</f>
        <v xml:space="preserve">     Telephone/Data Lines                              </v>
      </c>
      <c r="C135" s="12"/>
      <c r="D135" s="1">
        <f>SUM(OSRRefD22_11x_0)</f>
        <v>53</v>
      </c>
      <c r="E135" s="1"/>
      <c r="F135" s="5">
        <f t="shared" ref="F135:F138" si="75">IF(D$12=0,0,D135/D$12)</f>
        <v>0</v>
      </c>
      <c r="G135" s="1"/>
      <c r="H135" s="1">
        <f>SUM(OSRRefH22_11x_0)</f>
        <v>81.75</v>
      </c>
      <c r="I135" s="1"/>
      <c r="J135" s="5">
        <f t="shared" ref="J135:J138" si="76">IF(H$12=0,0,H135/H$12)</f>
        <v>0</v>
      </c>
      <c r="K135" s="1"/>
      <c r="L135" s="1">
        <f t="shared" ref="L135:L138" si="77">+D135-H135</f>
        <v>-28.75</v>
      </c>
      <c r="M135" s="1"/>
      <c r="N135" s="5">
        <f t="shared" ref="N135:N138" si="78">IF(H135=0,0,L135/H135)</f>
        <v>-0.35168195718654433</v>
      </c>
      <c r="O135" s="12"/>
      <c r="P135" s="1">
        <f>SUM(OSRRefP22_11x_0)</f>
        <v>684.05</v>
      </c>
      <c r="Q135" s="1"/>
      <c r="R135" s="5">
        <f t="shared" ref="R135:R138" si="79">IF(P$12=0,0,P135/P$12)</f>
        <v>3.2097061175154561E-2</v>
      </c>
      <c r="S135" s="1"/>
      <c r="T135" s="1">
        <f>SUM(OSRRefT22_11x_0)</f>
        <v>1175.1199999999999</v>
      </c>
      <c r="U135" s="1"/>
      <c r="V135" s="5">
        <f t="shared" ref="V135:V138" si="80">IF(T$12=0,0,T135/T$12)</f>
        <v>2.8623105660550876E-3</v>
      </c>
      <c r="W135" s="1"/>
      <c r="X135" s="1">
        <f t="shared" ref="X135:X138" si="81">+P135-T135</f>
        <v>-491.06999999999994</v>
      </c>
      <c r="Y135" s="1"/>
      <c r="Z135" s="5">
        <f t="shared" ref="Z135:Z138" si="82">IF(T135=0,0,X135/T135)</f>
        <v>-0.41788923684389678</v>
      </c>
    </row>
    <row r="136" spans="1:26" s="23" customFormat="1" hidden="1" outlineLevel="2" x14ac:dyDescent="0.25">
      <c r="A136" s="25"/>
      <c r="B136" s="10" t="str">
        <f>CONCATENATE("          ", "6309", " - ", "TELEPHONE")</f>
        <v xml:space="preserve">          6309 - TELEPHONE</v>
      </c>
      <c r="C136" s="10"/>
      <c r="D136" s="6">
        <v>53</v>
      </c>
      <c r="E136" s="2"/>
      <c r="F136" s="7">
        <f t="shared" si="75"/>
        <v>0</v>
      </c>
      <c r="G136" s="2"/>
      <c r="H136" s="6">
        <v>81.75</v>
      </c>
      <c r="I136" s="2"/>
      <c r="J136" s="7">
        <f t="shared" si="76"/>
        <v>0</v>
      </c>
      <c r="K136" s="2"/>
      <c r="L136" s="6">
        <f t="shared" si="77"/>
        <v>-28.75</v>
      </c>
      <c r="M136" s="2"/>
      <c r="N136" s="7">
        <f t="shared" si="78"/>
        <v>-0.35168195718654433</v>
      </c>
      <c r="O136" s="10"/>
      <c r="P136" s="6">
        <v>684.05</v>
      </c>
      <c r="Q136" s="2"/>
      <c r="R136" s="7">
        <f t="shared" si="79"/>
        <v>3.2097061175154561E-2</v>
      </c>
      <c r="S136" s="2"/>
      <c r="T136" s="6">
        <v>1175.1199999999999</v>
      </c>
      <c r="U136" s="2"/>
      <c r="V136" s="7">
        <f t="shared" si="80"/>
        <v>2.8623105660550876E-3</v>
      </c>
      <c r="W136" s="2"/>
      <c r="X136" s="6">
        <f t="shared" si="81"/>
        <v>-491.06999999999994</v>
      </c>
      <c r="Y136" s="2"/>
      <c r="Z136" s="7">
        <f t="shared" si="82"/>
        <v>-0.41788923684389678</v>
      </c>
    </row>
    <row r="137" spans="1:26" s="27" customFormat="1" outlineLevel="1" collapsed="1" x14ac:dyDescent="0.25">
      <c r="A137" s="26"/>
      <c r="B137" s="12" t="str">
        <f>CONCATENATE("     ","Training                                          ")</f>
        <v xml:space="preserve">     Training                                          </v>
      </c>
      <c r="C137" s="12"/>
      <c r="D137" s="1">
        <f>SUM(OSRRefD22_12x_0)</f>
        <v>0</v>
      </c>
      <c r="E137" s="1"/>
      <c r="F137" s="5">
        <f t="shared" si="75"/>
        <v>0</v>
      </c>
      <c r="G137" s="1"/>
      <c r="H137" s="1">
        <f>SUM(OSRRefH22_12x_0)</f>
        <v>0</v>
      </c>
      <c r="I137" s="1"/>
      <c r="J137" s="5">
        <f t="shared" si="76"/>
        <v>0</v>
      </c>
      <c r="K137" s="1"/>
      <c r="L137" s="1">
        <f t="shared" si="77"/>
        <v>0</v>
      </c>
      <c r="M137" s="1"/>
      <c r="N137" s="5">
        <f t="shared" si="78"/>
        <v>0</v>
      </c>
      <c r="O137" s="12"/>
      <c r="P137" s="1">
        <f>SUM(OSRRefP22_12x_0)</f>
        <v>14</v>
      </c>
      <c r="Q137" s="1"/>
      <c r="R137" s="5">
        <f t="shared" si="79"/>
        <v>6.5690937278293094E-4</v>
      </c>
      <c r="S137" s="1"/>
      <c r="T137" s="1">
        <f>SUM(OSRRefT22_12x_0)</f>
        <v>254.8</v>
      </c>
      <c r="U137" s="1"/>
      <c r="V137" s="5">
        <f t="shared" si="80"/>
        <v>6.2063170759653178E-4</v>
      </c>
      <c r="W137" s="1"/>
      <c r="X137" s="1">
        <f t="shared" si="81"/>
        <v>-240.8</v>
      </c>
      <c r="Y137" s="1"/>
      <c r="Z137" s="5">
        <f t="shared" si="82"/>
        <v>-0.94505494505494503</v>
      </c>
    </row>
    <row r="138" spans="1:26" s="23" customFormat="1" hidden="1" outlineLevel="2" x14ac:dyDescent="0.25">
      <c r="A138" s="25"/>
      <c r="B138" s="10" t="str">
        <f>CONCATENATE("          ", "6376", " - ", "TRAINING")</f>
        <v xml:space="preserve">          6376 - TRAINING</v>
      </c>
      <c r="C138" s="10"/>
      <c r="D138" s="6"/>
      <c r="E138" s="2"/>
      <c r="F138" s="7">
        <f t="shared" si="75"/>
        <v>0</v>
      </c>
      <c r="G138" s="2"/>
      <c r="H138" s="6"/>
      <c r="I138" s="2"/>
      <c r="J138" s="7">
        <f t="shared" si="76"/>
        <v>0</v>
      </c>
      <c r="K138" s="2"/>
      <c r="L138" s="6">
        <f t="shared" si="77"/>
        <v>0</v>
      </c>
      <c r="M138" s="2"/>
      <c r="N138" s="7">
        <f t="shared" si="78"/>
        <v>0</v>
      </c>
      <c r="O138" s="10"/>
      <c r="P138" s="6">
        <v>14</v>
      </c>
      <c r="Q138" s="2"/>
      <c r="R138" s="7">
        <f t="shared" si="79"/>
        <v>6.5690937278293094E-4</v>
      </c>
      <c r="S138" s="2"/>
      <c r="T138" s="6">
        <v>254.8</v>
      </c>
      <c r="U138" s="2"/>
      <c r="V138" s="7">
        <f t="shared" si="80"/>
        <v>6.2063170759653178E-4</v>
      </c>
      <c r="W138" s="2"/>
      <c r="X138" s="6">
        <f t="shared" si="81"/>
        <v>-240.8</v>
      </c>
      <c r="Y138" s="2"/>
      <c r="Z138" s="7">
        <f t="shared" si="82"/>
        <v>-0.94505494505494503</v>
      </c>
    </row>
    <row r="139" spans="1:26" s="52" customFormat="1" x14ac:dyDescent="0.25">
      <c r="A139" s="37"/>
      <c r="B139" s="37"/>
      <c r="C139" s="37"/>
      <c r="D139" s="1"/>
      <c r="E139" s="1"/>
      <c r="F139" s="5"/>
      <c r="G139" s="1"/>
      <c r="H139" s="1"/>
      <c r="I139" s="1"/>
      <c r="J139" s="5"/>
      <c r="K139" s="1"/>
      <c r="L139" s="1"/>
      <c r="M139" s="1"/>
      <c r="N139" s="5"/>
      <c r="O139" s="37"/>
      <c r="P139" s="1"/>
      <c r="Q139" s="1"/>
      <c r="R139" s="5"/>
      <c r="S139" s="1"/>
      <c r="T139" s="1"/>
      <c r="U139" s="1"/>
      <c r="V139" s="5"/>
      <c r="W139" s="1"/>
      <c r="X139" s="1"/>
      <c r="Y139" s="1"/>
      <c r="Z139" s="5"/>
    </row>
    <row r="140" spans="1:26" s="24" customFormat="1" collapsed="1" x14ac:dyDescent="0.25">
      <c r="A140" s="11"/>
      <c r="B140" s="29" t="s">
        <v>292</v>
      </c>
      <c r="C140" s="11"/>
      <c r="D140" s="4">
        <f>SUM(OSRRefD25x_0)</f>
        <v>0</v>
      </c>
      <c r="E140" s="4"/>
      <c r="F140" s="13">
        <f t="shared" ref="F140:F141" si="83">IF(D$12=0,0,D140/D$12)</f>
        <v>0</v>
      </c>
      <c r="G140" s="4"/>
      <c r="H140" s="4">
        <f>SUM(OSRRefH25x_0)</f>
        <v>0</v>
      </c>
      <c r="I140" s="4"/>
      <c r="J140" s="13">
        <f t="shared" ref="J140:J141" si="84">IF(H$12=0,0,H140/H$12)</f>
        <v>0</v>
      </c>
      <c r="K140" s="4"/>
      <c r="L140" s="4">
        <f t="shared" ref="L140:L141" si="85">+D140-H140</f>
        <v>0</v>
      </c>
      <c r="M140" s="4"/>
      <c r="N140" s="13">
        <f t="shared" ref="N140:N141" si="86">IF(H140=0,0,L140/H140)</f>
        <v>0</v>
      </c>
      <c r="O140" s="11"/>
      <c r="P140" s="4">
        <f>SUM(OSRRefP25x_0)</f>
        <v>0</v>
      </c>
      <c r="Q140" s="4"/>
      <c r="R140" s="13">
        <f t="shared" ref="R140:R141" si="87">IF(P$12=0,0,P140/P$12)</f>
        <v>0</v>
      </c>
      <c r="S140" s="4"/>
      <c r="T140" s="4">
        <f>SUM(OSRRefT25x_0)</f>
        <v>68.760000000000005</v>
      </c>
      <c r="U140" s="4"/>
      <c r="V140" s="13">
        <f t="shared" ref="V140:V141" si="88">IF(T$12=0,0,T140/T$12)</f>
        <v>1.6748287368264334E-4</v>
      </c>
      <c r="W140" s="4"/>
      <c r="X140" s="4">
        <f t="shared" ref="X140:X141" si="89">+P140-T140</f>
        <v>-68.760000000000005</v>
      </c>
      <c r="Y140" s="4"/>
      <c r="Z140" s="13">
        <f t="shared" ref="Z140:Z141" si="90">IF(T140=0,0,X140/T140)</f>
        <v>-1</v>
      </c>
    </row>
    <row r="141" spans="1:26" s="23" customFormat="1" hidden="1" outlineLevel="1" x14ac:dyDescent="0.25">
      <c r="A141" s="44"/>
      <c r="B141" s="10" t="str">
        <f>CONCATENATE("          ", "9150", " - ", "MISC. INCOME")</f>
        <v xml:space="preserve">          9150 - MISC. INCOME</v>
      </c>
      <c r="C141" s="10"/>
      <c r="D141" s="2">
        <f>0</f>
        <v>0</v>
      </c>
      <c r="E141" s="2"/>
      <c r="F141" s="19">
        <f t="shared" si="83"/>
        <v>0</v>
      </c>
      <c r="G141" s="2"/>
      <c r="H141" s="2">
        <f>0</f>
        <v>0</v>
      </c>
      <c r="I141" s="2"/>
      <c r="J141" s="19">
        <f t="shared" si="84"/>
        <v>0</v>
      </c>
      <c r="K141" s="2"/>
      <c r="L141" s="2">
        <f t="shared" si="85"/>
        <v>0</v>
      </c>
      <c r="M141" s="2"/>
      <c r="N141" s="19">
        <f t="shared" si="86"/>
        <v>0</v>
      </c>
      <c r="O141" s="10"/>
      <c r="P141" s="2">
        <f>0</f>
        <v>0</v>
      </c>
      <c r="Q141" s="2"/>
      <c r="R141" s="19">
        <f t="shared" si="87"/>
        <v>0</v>
      </c>
      <c r="S141" s="2"/>
      <c r="T141" s="2">
        <f>--68.76</f>
        <v>68.760000000000005</v>
      </c>
      <c r="U141" s="2"/>
      <c r="V141" s="19">
        <f t="shared" si="88"/>
        <v>1.6748287368264334E-4</v>
      </c>
      <c r="W141" s="2"/>
      <c r="X141" s="2">
        <f t="shared" si="89"/>
        <v>-68.760000000000005</v>
      </c>
      <c r="Y141" s="2"/>
      <c r="Z141" s="19">
        <f t="shared" si="90"/>
        <v>-1</v>
      </c>
    </row>
    <row r="142" spans="1:26" x14ac:dyDescent="0.25">
      <c r="A142" s="9"/>
      <c r="B142" s="11"/>
      <c r="C142" s="11"/>
      <c r="D142" s="3"/>
      <c r="E142" s="3"/>
      <c r="F142" s="8"/>
      <c r="G142" s="3"/>
      <c r="H142" s="3"/>
      <c r="I142" s="3"/>
      <c r="J142" s="8"/>
      <c r="K142" s="3"/>
      <c r="L142" s="3"/>
      <c r="M142" s="3"/>
      <c r="N142" s="8"/>
      <c r="O142" s="11"/>
      <c r="P142" s="3"/>
      <c r="Q142" s="3"/>
      <c r="R142" s="8"/>
      <c r="S142" s="3"/>
      <c r="T142" s="3"/>
      <c r="U142" s="3"/>
      <c r="V142" s="8"/>
      <c r="W142" s="3"/>
      <c r="X142" s="3"/>
      <c r="Y142" s="3"/>
      <c r="Z142" s="8"/>
    </row>
    <row r="143" spans="1:26" s="24" customFormat="1" x14ac:dyDescent="0.25">
      <c r="A143" s="11"/>
      <c r="B143" s="28" t="s">
        <v>276</v>
      </c>
      <c r="C143" s="28"/>
      <c r="D143" s="21">
        <f>+D75-D77+D140</f>
        <v>-175083.1</v>
      </c>
      <c r="E143" s="14"/>
      <c r="F143" s="22">
        <f>IF(D$12=0,0,D143/D$12)</f>
        <v>0</v>
      </c>
      <c r="G143" s="14"/>
      <c r="H143" s="21">
        <f>+H75-H77+H140</f>
        <v>-32855.549999999996</v>
      </c>
      <c r="I143" s="14"/>
      <c r="J143" s="22">
        <f>IF(H$12=0,0,H143/H$12)</f>
        <v>0</v>
      </c>
      <c r="K143" s="15"/>
      <c r="L143" s="21">
        <f>+D143-H143</f>
        <v>-142227.55000000002</v>
      </c>
      <c r="M143" s="15"/>
      <c r="N143" s="22">
        <f>IF(H143=0,0,L143/H143)</f>
        <v>4.3288744215208705</v>
      </c>
      <c r="O143" s="29"/>
      <c r="P143" s="21">
        <f>+P75-P77+P140</f>
        <v>-180346.55999999997</v>
      </c>
      <c r="Q143" s="14"/>
      <c r="R143" s="22">
        <f>IF(P$12=0,0,P143/P$12)</f>
        <v>-8.4622389723685139</v>
      </c>
      <c r="S143" s="14"/>
      <c r="T143" s="21">
        <f>+T75-T77+T140</f>
        <v>53426.88000000023</v>
      </c>
      <c r="U143" s="14"/>
      <c r="V143" s="22">
        <f>IF(T$12=0,0,T143/T$12)</f>
        <v>0.13013506972509864</v>
      </c>
      <c r="W143" s="15"/>
      <c r="X143" s="21">
        <f>+P143-T143</f>
        <v>-233773.44000000021</v>
      </c>
      <c r="Y143" s="15"/>
      <c r="Z143" s="22">
        <f>IF(T143=0,0,X143/T143)</f>
        <v>-4.3755772375253654</v>
      </c>
    </row>
    <row r="144" spans="1:26" x14ac:dyDescent="0.25">
      <c r="A144" s="9"/>
      <c r="B144" s="11"/>
      <c r="C144" s="9"/>
      <c r="D144" s="3"/>
      <c r="E144" s="3"/>
      <c r="F144" s="8"/>
      <c r="G144" s="3"/>
      <c r="H144" s="3"/>
      <c r="I144" s="3"/>
      <c r="J144" s="8"/>
      <c r="K144" s="3"/>
      <c r="L144" s="3"/>
      <c r="M144" s="3"/>
      <c r="N144" s="8"/>
      <c r="P144" s="3"/>
      <c r="Q144" s="3"/>
      <c r="R144" s="8"/>
      <c r="S144" s="3"/>
      <c r="T144" s="3"/>
      <c r="U144" s="3"/>
      <c r="V144" s="8"/>
      <c r="W144" s="3"/>
      <c r="X144" s="3"/>
      <c r="Y144" s="3"/>
      <c r="Z144" s="8"/>
    </row>
    <row r="145" spans="1:26" s="24" customFormat="1" x14ac:dyDescent="0.25">
      <c r="A145" s="51"/>
      <c r="B145" s="11" t="s">
        <v>127</v>
      </c>
      <c r="C145" s="11"/>
      <c r="D145" s="4">
        <v>1344.87</v>
      </c>
      <c r="E145" s="4"/>
      <c r="F145" s="13">
        <f>IF(D$12=0,0,D145/D$12)</f>
        <v>0</v>
      </c>
      <c r="G145" s="4"/>
      <c r="H145" s="4">
        <v>13548.97</v>
      </c>
      <c r="I145" s="4"/>
      <c r="J145" s="13">
        <f>IF(H$12=0,0,H145/H$12)</f>
        <v>0</v>
      </c>
      <c r="K145" s="4"/>
      <c r="L145" s="4">
        <f>+D145-H145</f>
        <v>-12204.099999999999</v>
      </c>
      <c r="M145" s="4"/>
      <c r="N145" s="13">
        <f>IF(H145=0,0,L145/H145)</f>
        <v>-0.90074005625519871</v>
      </c>
      <c r="O145" s="11"/>
      <c r="P145" s="4">
        <v>5899.03</v>
      </c>
      <c r="Q145" s="4"/>
      <c r="R145" s="13">
        <f>IF(P$12=0,0,P145/P$12)</f>
        <v>0.27679486409483522</v>
      </c>
      <c r="S145" s="4"/>
      <c r="T145" s="4">
        <v>62166.47</v>
      </c>
      <c r="U145" s="4"/>
      <c r="V145" s="13">
        <f>IF(T$12=0,0,T145/T$12)</f>
        <v>0.15142261550764743</v>
      </c>
      <c r="W145" s="4"/>
      <c r="X145" s="4">
        <f>+P145-T145</f>
        <v>-56267.44</v>
      </c>
      <c r="Y145" s="4"/>
      <c r="Z145" s="13">
        <f>IF(T145=0,0,X145/T145)</f>
        <v>-0.90510913680638461</v>
      </c>
    </row>
    <row r="146" spans="1:26" x14ac:dyDescent="0.25">
      <c r="A146" s="9"/>
      <c r="B146" s="11"/>
      <c r="C146" s="11"/>
      <c r="D146" s="3"/>
      <c r="E146" s="3"/>
      <c r="F146" s="8"/>
      <c r="G146" s="3"/>
      <c r="H146" s="3"/>
      <c r="I146" s="3"/>
      <c r="J146" s="8"/>
      <c r="K146" s="3"/>
      <c r="L146" s="3"/>
      <c r="M146" s="3"/>
      <c r="N146" s="8"/>
      <c r="O146" s="11"/>
      <c r="P146" s="3"/>
      <c r="Q146" s="3"/>
      <c r="R146" s="8"/>
      <c r="S146" s="3"/>
      <c r="T146" s="3"/>
      <c r="U146" s="3"/>
      <c r="V146" s="8"/>
      <c r="W146" s="3"/>
      <c r="X146" s="3"/>
      <c r="Y146" s="3"/>
      <c r="Z146" s="8"/>
    </row>
    <row r="147" spans="1:26" s="24" customFormat="1" ht="15.75" thickBot="1" x14ac:dyDescent="0.3">
      <c r="A147" s="11"/>
      <c r="B147" s="28" t="s">
        <v>125</v>
      </c>
      <c r="C147" s="28"/>
      <c r="D147" s="34">
        <f>+D143-D145</f>
        <v>-176427.97</v>
      </c>
      <c r="E147" s="14"/>
      <c r="F147" s="31">
        <f>IF(D$12=0,0,D147/D$12)</f>
        <v>0</v>
      </c>
      <c r="G147" s="14"/>
      <c r="H147" s="34">
        <f>+H143-H145</f>
        <v>-46404.52</v>
      </c>
      <c r="I147" s="14"/>
      <c r="J147" s="31">
        <f>IF(H$12=0,0,H147/H$12)</f>
        <v>0</v>
      </c>
      <c r="K147" s="15"/>
      <c r="L147" s="34">
        <f>D147-H147</f>
        <v>-130023.45000000001</v>
      </c>
      <c r="M147" s="15"/>
      <c r="N147" s="31">
        <f>IF(H147=0,0,L147/H147)</f>
        <v>2.8019565766438275</v>
      </c>
      <c r="O147" s="29"/>
      <c r="P147" s="34">
        <f>+P143-P145</f>
        <v>-186245.58999999997</v>
      </c>
      <c r="Q147" s="14"/>
      <c r="R147" s="31">
        <f>IF(P$12=0,0,P147/P$12)</f>
        <v>-8.7390338364633493</v>
      </c>
      <c r="S147" s="14"/>
      <c r="T147" s="34">
        <f>+T143-T145</f>
        <v>-8739.589999999771</v>
      </c>
      <c r="U147" s="14"/>
      <c r="V147" s="31">
        <f>IF(T$12=0,0,T147/T$12)</f>
        <v>-2.1287545782548788E-2</v>
      </c>
      <c r="W147" s="15"/>
      <c r="X147" s="34">
        <f>P147-T147</f>
        <v>-177506.0000000002</v>
      </c>
      <c r="Y147" s="15"/>
      <c r="Z147" s="31">
        <f>IF(T147=0,0,X147/T147)</f>
        <v>20.310563767866096</v>
      </c>
    </row>
    <row r="148" spans="1:26" ht="15.75" thickTop="1" x14ac:dyDescent="0.25">
      <c r="A148" s="9"/>
      <c r="B148" s="9"/>
      <c r="C148" s="9"/>
      <c r="D148" s="3"/>
      <c r="E148" s="3"/>
      <c r="F148" s="8"/>
      <c r="G148" s="3"/>
      <c r="H148" s="3"/>
      <c r="I148" s="3"/>
      <c r="J148" s="8"/>
      <c r="K148" s="3"/>
      <c r="L148" s="3"/>
      <c r="M148" s="3"/>
      <c r="N148" s="8"/>
      <c r="P148" s="3"/>
      <c r="Q148" s="3"/>
      <c r="R148" s="8"/>
      <c r="S148" s="3"/>
      <c r="T148" s="3"/>
      <c r="U148" s="3"/>
      <c r="V148" s="8"/>
      <c r="W148" s="3"/>
      <c r="X148" s="3"/>
      <c r="Y148" s="3"/>
      <c r="Z148" s="8"/>
    </row>
    <row r="149" spans="1:26" x14ac:dyDescent="0.25">
      <c r="A149" s="9"/>
      <c r="B149" s="9"/>
      <c r="C149" s="9"/>
      <c r="D149" s="3"/>
      <c r="E149" s="3"/>
      <c r="F149" s="8"/>
      <c r="G149" s="3"/>
      <c r="H149" s="3"/>
      <c r="I149" s="3"/>
      <c r="J149" s="8"/>
      <c r="K149" s="3"/>
      <c r="L149" s="3"/>
      <c r="M149" s="3"/>
      <c r="N149" s="8"/>
      <c r="P149" s="3"/>
      <c r="Q149" s="3"/>
      <c r="R149" s="8"/>
      <c r="S149" s="3"/>
      <c r="T149" s="3"/>
      <c r="U149" s="3"/>
      <c r="V149" s="8"/>
      <c r="W149" s="3"/>
      <c r="X149" s="3"/>
      <c r="Y149" s="3"/>
      <c r="Z149" s="8"/>
    </row>
    <row r="150" spans="1:26" s="24" customFormat="1" ht="15.75" thickBot="1" x14ac:dyDescent="0.3">
      <c r="A150" s="11"/>
      <c r="B150" s="28" t="s">
        <v>293</v>
      </c>
      <c r="C150" s="28"/>
      <c r="D150" s="33">
        <f>SUM(D147:D149)</f>
        <v>-176427.97</v>
      </c>
      <c r="E150" s="14"/>
      <c r="F150" s="35">
        <f>IF(D$12=0,0,D150/D$12)</f>
        <v>0</v>
      </c>
      <c r="G150" s="14"/>
      <c r="H150" s="33">
        <f>SUM(H147:H149)</f>
        <v>-46404.52</v>
      </c>
      <c r="I150" s="14"/>
      <c r="J150" s="35">
        <f>IF(H$12=0,0,H150/H$12)</f>
        <v>0</v>
      </c>
      <c r="K150" s="15"/>
      <c r="L150" s="33">
        <f>+D150-H150</f>
        <v>-130023.45000000001</v>
      </c>
      <c r="M150" s="15"/>
      <c r="N150" s="35">
        <f>IF(H150=0,0,L150/H150)</f>
        <v>2.8019565766438275</v>
      </c>
      <c r="O150" s="29"/>
      <c r="P150" s="33">
        <f>SUM(P147:P149)</f>
        <v>-186245.58999999997</v>
      </c>
      <c r="Q150" s="14"/>
      <c r="R150" s="35">
        <f>IF(P$12=0,0,P150/P$12)</f>
        <v>-8.7390338364633493</v>
      </c>
      <c r="S150" s="14"/>
      <c r="T150" s="33">
        <f>SUM(T147:T149)</f>
        <v>-8739.589999999771</v>
      </c>
      <c r="U150" s="14"/>
      <c r="V150" s="35">
        <f>IF(T$12=0,0,T150/T$12)</f>
        <v>-2.1287545782548788E-2</v>
      </c>
      <c r="W150" s="15"/>
      <c r="X150" s="33">
        <f>+P150-T150</f>
        <v>-177506.0000000002</v>
      </c>
      <c r="Y150" s="15"/>
      <c r="Z150" s="35">
        <f>IF(T150=0,0,X150/T150)</f>
        <v>20.310563767866096</v>
      </c>
    </row>
    <row r="151" spans="1:26" ht="15.75" thickTop="1" x14ac:dyDescent="0.25">
      <c r="A151" s="9"/>
      <c r="C151" s="9"/>
      <c r="D151" s="18"/>
      <c r="E151" s="18"/>
      <c r="G151" s="18"/>
      <c r="H151" s="18"/>
      <c r="I151" s="18"/>
      <c r="J151" s="43"/>
      <c r="K151" s="18"/>
      <c r="L151" s="18"/>
      <c r="M151" s="18"/>
      <c r="P151" s="18"/>
      <c r="Q151" s="18"/>
      <c r="R151" s="43"/>
      <c r="S151" s="18"/>
      <c r="T151" s="18"/>
      <c r="U151" s="18"/>
      <c r="V151" s="43"/>
      <c r="W151" s="18"/>
      <c r="X151" s="18"/>
    </row>
    <row r="152" spans="1:26" x14ac:dyDescent="0.25">
      <c r="A152" s="9"/>
      <c r="B152" s="56">
        <v>44454.698585613427</v>
      </c>
      <c r="D152" s="18"/>
      <c r="E152" s="18"/>
      <c r="G152" s="18"/>
      <c r="H152" s="18"/>
      <c r="I152" s="18"/>
      <c r="J152" s="43"/>
      <c r="K152" s="18"/>
      <c r="L152" s="18"/>
      <c r="M152" s="18"/>
      <c r="P152" s="18"/>
      <c r="Q152" s="18"/>
      <c r="R152" s="43"/>
      <c r="S152" s="18"/>
      <c r="T152" s="18"/>
      <c r="U152" s="18"/>
      <c r="V152" s="43"/>
      <c r="W152" s="18"/>
      <c r="X152" s="18"/>
    </row>
    <row r="153" spans="1:26" x14ac:dyDescent="0.25">
      <c r="A153" s="9"/>
      <c r="B153" s="55" t="s">
        <v>56</v>
      </c>
      <c r="D153" s="18"/>
      <c r="E153" s="18"/>
      <c r="G153" s="18"/>
      <c r="H153" s="18"/>
      <c r="I153" s="18"/>
      <c r="J153" s="43"/>
      <c r="K153" s="18"/>
      <c r="L153" s="18"/>
      <c r="M153" s="18"/>
      <c r="P153" s="18"/>
      <c r="Q153" s="18"/>
      <c r="R153" s="43"/>
      <c r="S153" s="18"/>
      <c r="T153" s="18"/>
      <c r="U153" s="18"/>
      <c r="V153" s="43"/>
      <c r="W153" s="18"/>
      <c r="X153" s="18"/>
    </row>
    <row r="154" spans="1:26" x14ac:dyDescent="0.25">
      <c r="A154" s="9"/>
      <c r="B154" s="60"/>
      <c r="D154" s="18"/>
      <c r="E154" s="18"/>
      <c r="G154" s="18"/>
      <c r="H154" s="18"/>
      <c r="I154" s="18"/>
      <c r="J154" s="43"/>
      <c r="K154" s="18"/>
      <c r="L154" s="18"/>
      <c r="M154" s="18"/>
      <c r="P154" s="18"/>
      <c r="Q154" s="18"/>
      <c r="R154" s="43"/>
      <c r="S154" s="18"/>
      <c r="T154" s="18"/>
      <c r="U154" s="18"/>
      <c r="V154" s="43"/>
      <c r="W154" s="18"/>
      <c r="X154" s="18"/>
    </row>
    <row r="155" spans="1:26" x14ac:dyDescent="0.25">
      <c r="D155" s="18"/>
      <c r="E155" s="18"/>
      <c r="G155" s="18"/>
      <c r="H155" s="18"/>
      <c r="I155" s="18"/>
      <c r="J155" s="43"/>
      <c r="K155" s="18"/>
      <c r="L155" s="18"/>
      <c r="M155" s="18"/>
      <c r="P155" s="18"/>
      <c r="Q155" s="18"/>
      <c r="R155" s="43"/>
      <c r="S155" s="18"/>
      <c r="T155" s="18"/>
      <c r="U155" s="18"/>
      <c r="V155" s="43"/>
      <c r="W155" s="18"/>
      <c r="X155" s="18"/>
    </row>
  </sheetData>
  <pageMargins left="0.25" right="0.25" top="0.75" bottom="0.75" header="0.3" footer="0.3"/>
  <pageSetup scale="55" fitToWidth="2" orientation="landscape"/>
  <drawing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>
    <tabColor rgb="FF92D050"/>
    <outlinePr summaryBelow="0" summaryRight="0"/>
  </sheetPr>
  <dimension ref="A2:Z11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62" t="s">
        <v>23</v>
      </c>
    </row>
    <row r="3" spans="1:26" x14ac:dyDescent="0.25">
      <c r="D3" s="62" t="s">
        <v>236</v>
      </c>
      <c r="E3" s="17"/>
      <c r="F3" s="46"/>
      <c r="G3" s="17"/>
      <c r="H3" s="17"/>
      <c r="I3" s="17"/>
      <c r="J3" s="38"/>
      <c r="K3" s="17"/>
      <c r="L3" s="17"/>
      <c r="M3" s="17"/>
      <c r="N3" s="46"/>
      <c r="O3" s="53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2" t="str">
        <f>CONCATENATE("Period ",RIGHT(202112,2),", ",2021)</f>
        <v>Period 12, 2021</v>
      </c>
      <c r="E4" s="17"/>
      <c r="F4" s="46"/>
      <c r="G4" s="17"/>
      <c r="H4" s="17"/>
      <c r="I4" s="17"/>
      <c r="J4" s="38"/>
      <c r="K4" s="17"/>
      <c r="L4" s="17"/>
      <c r="M4" s="17"/>
      <c r="N4" s="46"/>
      <c r="O4" s="53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4"/>
      <c r="D5" s="63">
        <v>44377</v>
      </c>
      <c r="E5" s="17"/>
      <c r="F5" s="46"/>
      <c r="G5" s="17"/>
      <c r="H5" s="17"/>
      <c r="I5" s="17"/>
      <c r="J5" s="38"/>
      <c r="K5" s="17"/>
      <c r="L5" s="17"/>
      <c r="M5" s="17"/>
      <c r="N5" s="46"/>
      <c r="O5" s="53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4"/>
      <c r="B6" s="48"/>
      <c r="C6" s="48"/>
      <c r="D6" s="24" t="str">
        <f>CONCATENATE("Department ","314", " - ", "Tech/Supplies")</f>
        <v>Department 314 - Tech/Supplies</v>
      </c>
      <c r="E6" s="17"/>
      <c r="F6" s="46"/>
      <c r="G6" s="17"/>
      <c r="H6" s="17"/>
      <c r="I6" s="17"/>
      <c r="J6" s="38"/>
      <c r="K6" s="17"/>
      <c r="L6" s="17"/>
      <c r="M6" s="17"/>
      <c r="N6" s="46"/>
      <c r="O6" s="54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9"/>
    </row>
    <row r="8" spans="1:26" x14ac:dyDescent="0.25">
      <c r="B8" s="59"/>
    </row>
    <row r="9" spans="1:26" x14ac:dyDescent="0.25">
      <c r="B9" s="9"/>
      <c r="C9" s="9"/>
      <c r="D9" s="16" t="s">
        <v>291</v>
      </c>
      <c r="E9" s="16"/>
      <c r="F9" s="39"/>
      <c r="G9" s="16"/>
      <c r="H9" s="16"/>
      <c r="I9" s="16"/>
      <c r="J9" s="49"/>
      <c r="K9" s="16"/>
      <c r="L9" s="16"/>
      <c r="M9" s="16"/>
      <c r="N9" s="39"/>
      <c r="P9" s="16" t="s">
        <v>39</v>
      </c>
      <c r="Q9" s="16"/>
      <c r="R9" s="39"/>
      <c r="S9" s="16"/>
      <c r="T9" s="16"/>
      <c r="U9" s="16"/>
      <c r="V9" s="49"/>
      <c r="W9" s="16"/>
      <c r="X9" s="16"/>
      <c r="Y9" s="16"/>
      <c r="Z9" s="39"/>
    </row>
    <row r="10" spans="1:26" x14ac:dyDescent="0.25">
      <c r="A10" s="11"/>
      <c r="B10" s="58"/>
      <c r="C10" s="11"/>
      <c r="D10" s="42" t="s">
        <v>57</v>
      </c>
      <c r="E10" s="36"/>
      <c r="F10" s="30" t="s">
        <v>40</v>
      </c>
      <c r="G10" s="36"/>
      <c r="H10" s="50" t="s">
        <v>237</v>
      </c>
      <c r="I10" s="36"/>
      <c r="J10" s="30" t="s">
        <v>40</v>
      </c>
      <c r="K10" s="11"/>
      <c r="L10" s="42" t="s">
        <v>126</v>
      </c>
      <c r="M10" s="11"/>
      <c r="N10" s="30" t="s">
        <v>257</v>
      </c>
      <c r="O10" s="11"/>
      <c r="P10" s="61" t="s">
        <v>57</v>
      </c>
      <c r="Q10" s="36"/>
      <c r="R10" s="30" t="s">
        <v>40</v>
      </c>
      <c r="S10" s="36"/>
      <c r="T10" s="50" t="s">
        <v>237</v>
      </c>
      <c r="U10" s="36"/>
      <c r="V10" s="30" t="s">
        <v>40</v>
      </c>
      <c r="W10" s="11"/>
      <c r="X10" s="42" t="s">
        <v>126</v>
      </c>
      <c r="Y10" s="11"/>
      <c r="Z10" s="30" t="s">
        <v>257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4" customFormat="1" collapsed="1" x14ac:dyDescent="0.25">
      <c r="A12" s="11"/>
      <c r="B12" s="29" t="s">
        <v>139</v>
      </c>
      <c r="C12" s="11"/>
      <c r="D12" s="4">
        <f>SUM(OSRRefD13x_0)</f>
        <v>0</v>
      </c>
      <c r="E12" s="4"/>
      <c r="F12" s="13"/>
      <c r="G12" s="4"/>
      <c r="H12" s="4">
        <f>SUM(OSRRefH13x_0)</f>
        <v>10535.519999999999</v>
      </c>
      <c r="I12" s="4"/>
      <c r="J12" s="13"/>
      <c r="K12" s="4"/>
      <c r="L12" s="4">
        <f t="shared" ref="L12:L34" si="0">+D12-H12</f>
        <v>-10535.519999999999</v>
      </c>
      <c r="M12" s="4"/>
      <c r="N12" s="13">
        <f t="shared" ref="N12:N34" si="1">IF(H12=0,0,L12/H12)</f>
        <v>-1</v>
      </c>
      <c r="O12" s="11"/>
      <c r="P12" s="4">
        <f>SUM(OSRRefP13x_0)</f>
        <v>0</v>
      </c>
      <c r="Q12" s="4"/>
      <c r="R12" s="13"/>
      <c r="S12" s="4"/>
      <c r="T12" s="4">
        <f>SUM(OSRRefT13x_0)</f>
        <v>421668.26999999996</v>
      </c>
      <c r="U12" s="4"/>
      <c r="V12" s="13"/>
      <c r="W12" s="4"/>
      <c r="X12" s="4">
        <f t="shared" ref="X12:X34" si="2">+P12-T12</f>
        <v>-421668.26999999996</v>
      </c>
      <c r="Y12" s="4"/>
      <c r="Z12" s="13">
        <f t="shared" ref="Z12:Z34" si="3">IF(T12=0,0,X12/T12)</f>
        <v>-1</v>
      </c>
    </row>
    <row r="13" spans="1:26" s="23" customFormat="1" hidden="1" outlineLevel="1" x14ac:dyDescent="0.25">
      <c r="A13" s="44"/>
      <c r="B13" s="10" t="str">
        <f>CONCATENATE("          ", "4017", " - ", "TAXABLE SALES-DORM/HOUSEWARES")</f>
        <v xml:space="preserve">          4017 - TAXABLE SALES-DORM/HOUSEWARES</v>
      </c>
      <c r="C13" s="10"/>
      <c r="D13" s="2">
        <f t="shared" ref="D13:D34" si="4">0</f>
        <v>0</v>
      </c>
      <c r="E13" s="2"/>
      <c r="F13" s="19"/>
      <c r="G13" s="2"/>
      <c r="H13" s="2">
        <f t="shared" ref="H13:H14" si="5">0</f>
        <v>0</v>
      </c>
      <c r="I13" s="2"/>
      <c r="J13" s="19"/>
      <c r="K13" s="2"/>
      <c r="L13" s="2">
        <f t="shared" si="0"/>
        <v>0</v>
      </c>
      <c r="M13" s="2"/>
      <c r="N13" s="19">
        <f t="shared" si="1"/>
        <v>0</v>
      </c>
      <c r="O13" s="10"/>
      <c r="P13" s="2">
        <f t="shared" ref="P13:P34" si="6">0</f>
        <v>0</v>
      </c>
      <c r="Q13" s="2"/>
      <c r="R13" s="19"/>
      <c r="S13" s="2"/>
      <c r="T13" s="2">
        <f>--276.15</f>
        <v>276.14999999999998</v>
      </c>
      <c r="U13" s="2"/>
      <c r="V13" s="19"/>
      <c r="W13" s="2"/>
      <c r="X13" s="2">
        <f t="shared" si="2"/>
        <v>-276.14999999999998</v>
      </c>
      <c r="Y13" s="2"/>
      <c r="Z13" s="19">
        <f t="shared" si="3"/>
        <v>-1</v>
      </c>
    </row>
    <row r="14" spans="1:26" s="23" customFormat="1" hidden="1" outlineLevel="1" x14ac:dyDescent="0.25">
      <c r="A14" s="44"/>
      <c r="B14" s="10" t="str">
        <f>CONCATENATE("          ", "4019", " - ", "TAXABLE SALES-BOOK RELATED")</f>
        <v xml:space="preserve">          4019 - TAXABLE SALES-BOOK RELATED</v>
      </c>
      <c r="C14" s="10"/>
      <c r="D14" s="2">
        <f t="shared" si="4"/>
        <v>0</v>
      </c>
      <c r="E14" s="2"/>
      <c r="F14" s="19"/>
      <c r="G14" s="2"/>
      <c r="H14" s="2">
        <f t="shared" si="5"/>
        <v>0</v>
      </c>
      <c r="I14" s="2"/>
      <c r="J14" s="19"/>
      <c r="K14" s="2"/>
      <c r="L14" s="2">
        <f t="shared" si="0"/>
        <v>0</v>
      </c>
      <c r="M14" s="2"/>
      <c r="N14" s="19">
        <f t="shared" si="1"/>
        <v>0</v>
      </c>
      <c r="O14" s="10"/>
      <c r="P14" s="2">
        <f t="shared" si="6"/>
        <v>0</v>
      </c>
      <c r="Q14" s="2"/>
      <c r="R14" s="19"/>
      <c r="S14" s="2"/>
      <c r="T14" s="2">
        <f>--42.85</f>
        <v>42.85</v>
      </c>
      <c r="U14" s="2"/>
      <c r="V14" s="19"/>
      <c r="W14" s="2"/>
      <c r="X14" s="2">
        <f t="shared" si="2"/>
        <v>-42.85</v>
      </c>
      <c r="Y14" s="2"/>
      <c r="Z14" s="19">
        <f t="shared" si="3"/>
        <v>-1</v>
      </c>
    </row>
    <row r="15" spans="1:26" s="23" customFormat="1" hidden="1" outlineLevel="1" x14ac:dyDescent="0.25">
      <c r="A15" s="44"/>
      <c r="B15" s="10" t="str">
        <f>CONCATENATE("          ", "4025", " - ", "TAXABLE SALES-TEST FORMS")</f>
        <v xml:space="preserve">          4025 - TAXABLE SALES-TEST FORMS</v>
      </c>
      <c r="C15" s="10"/>
      <c r="D15" s="2">
        <f t="shared" si="4"/>
        <v>0</v>
      </c>
      <c r="E15" s="2"/>
      <c r="F15" s="19"/>
      <c r="G15" s="2"/>
      <c r="H15" s="2">
        <f>--3099.74</f>
        <v>3099.74</v>
      </c>
      <c r="I15" s="2"/>
      <c r="J15" s="19"/>
      <c r="K15" s="2"/>
      <c r="L15" s="2">
        <f t="shared" si="0"/>
        <v>-3099.74</v>
      </c>
      <c r="M15" s="2"/>
      <c r="N15" s="19">
        <f t="shared" si="1"/>
        <v>-1</v>
      </c>
      <c r="O15" s="10"/>
      <c r="P15" s="2">
        <f t="shared" si="6"/>
        <v>0</v>
      </c>
      <c r="Q15" s="2"/>
      <c r="R15" s="19"/>
      <c r="S15" s="2"/>
      <c r="T15" s="2">
        <f>--55543.29</f>
        <v>55543.29</v>
      </c>
      <c r="U15" s="2"/>
      <c r="V15" s="19"/>
      <c r="W15" s="2"/>
      <c r="X15" s="2">
        <f t="shared" si="2"/>
        <v>-55543.29</v>
      </c>
      <c r="Y15" s="2"/>
      <c r="Z15" s="19">
        <f t="shared" si="3"/>
        <v>-1</v>
      </c>
    </row>
    <row r="16" spans="1:26" s="23" customFormat="1" hidden="1" outlineLevel="1" x14ac:dyDescent="0.25">
      <c r="A16" s="44"/>
      <c r="B16" s="10" t="str">
        <f>CONCATENATE("          ", "4026", " - ", "TAXABLE SALES-WRITING INSTRUME")</f>
        <v xml:space="preserve">          4026 - TAXABLE SALES-WRITING INSTRUME</v>
      </c>
      <c r="C16" s="10"/>
      <c r="D16" s="2">
        <f t="shared" si="4"/>
        <v>0</v>
      </c>
      <c r="E16" s="2"/>
      <c r="F16" s="19"/>
      <c r="G16" s="2"/>
      <c r="H16" s="2">
        <f>--2531.99</f>
        <v>2531.9899999999998</v>
      </c>
      <c r="I16" s="2"/>
      <c r="J16" s="19"/>
      <c r="K16" s="2"/>
      <c r="L16" s="2">
        <f t="shared" si="0"/>
        <v>-2531.9899999999998</v>
      </c>
      <c r="M16" s="2"/>
      <c r="N16" s="19">
        <f t="shared" si="1"/>
        <v>-1</v>
      </c>
      <c r="O16" s="10"/>
      <c r="P16" s="2">
        <f t="shared" si="6"/>
        <v>0</v>
      </c>
      <c r="Q16" s="2"/>
      <c r="R16" s="19"/>
      <c r="S16" s="2"/>
      <c r="T16" s="2">
        <f>--76448.59</f>
        <v>76448.59</v>
      </c>
      <c r="U16" s="2"/>
      <c r="V16" s="19"/>
      <c r="W16" s="2"/>
      <c r="X16" s="2">
        <f t="shared" si="2"/>
        <v>-76448.59</v>
      </c>
      <c r="Y16" s="2"/>
      <c r="Z16" s="19">
        <f t="shared" si="3"/>
        <v>-1</v>
      </c>
    </row>
    <row r="17" spans="1:26" s="23" customFormat="1" hidden="1" outlineLevel="1" x14ac:dyDescent="0.25">
      <c r="A17" s="44"/>
      <c r="B17" s="10" t="str">
        <f>CONCATENATE("          ", "4027", " - ", "TAXABLE SALES-SCHOOL SUPPLIES")</f>
        <v xml:space="preserve">          4027 - TAXABLE SALES-SCHOOL SUPPLIES</v>
      </c>
      <c r="C17" s="10"/>
      <c r="D17" s="2">
        <f t="shared" si="4"/>
        <v>0</v>
      </c>
      <c r="E17" s="2"/>
      <c r="F17" s="19"/>
      <c r="G17" s="2"/>
      <c r="H17" s="2">
        <f>--4073.06</f>
        <v>4073.06</v>
      </c>
      <c r="I17" s="2"/>
      <c r="J17" s="19"/>
      <c r="K17" s="2"/>
      <c r="L17" s="2">
        <f t="shared" si="0"/>
        <v>-4073.06</v>
      </c>
      <c r="M17" s="2"/>
      <c r="N17" s="19">
        <f t="shared" si="1"/>
        <v>-1</v>
      </c>
      <c r="O17" s="10"/>
      <c r="P17" s="2">
        <f t="shared" si="6"/>
        <v>0</v>
      </c>
      <c r="Q17" s="2"/>
      <c r="R17" s="19"/>
      <c r="S17" s="2"/>
      <c r="T17" s="2">
        <f>--271457.41</f>
        <v>271457.40999999997</v>
      </c>
      <c r="U17" s="2"/>
      <c r="V17" s="19"/>
      <c r="W17" s="2"/>
      <c r="X17" s="2">
        <f t="shared" si="2"/>
        <v>-271457.40999999997</v>
      </c>
      <c r="Y17" s="2"/>
      <c r="Z17" s="19">
        <f t="shared" si="3"/>
        <v>-1</v>
      </c>
    </row>
    <row r="18" spans="1:26" s="23" customFormat="1" hidden="1" outlineLevel="1" x14ac:dyDescent="0.25">
      <c r="A18" s="44"/>
      <c r="B18" s="10" t="str">
        <f>CONCATENATE("          ", "4028", " - ", "TAXABLE SALES-ART/TECH")</f>
        <v xml:space="preserve">          4028 - TAXABLE SALES-ART/TECH</v>
      </c>
      <c r="C18" s="10"/>
      <c r="D18" s="2">
        <f t="shared" si="4"/>
        <v>0</v>
      </c>
      <c r="E18" s="2"/>
      <c r="F18" s="19"/>
      <c r="G18" s="2"/>
      <c r="H18" s="2">
        <f>--386.59</f>
        <v>386.59</v>
      </c>
      <c r="I18" s="2"/>
      <c r="J18" s="19"/>
      <c r="K18" s="2"/>
      <c r="L18" s="2">
        <f t="shared" si="0"/>
        <v>-386.59</v>
      </c>
      <c r="M18" s="2"/>
      <c r="N18" s="19">
        <f t="shared" si="1"/>
        <v>-1</v>
      </c>
      <c r="O18" s="10"/>
      <c r="P18" s="2">
        <f t="shared" si="6"/>
        <v>0</v>
      </c>
      <c r="Q18" s="2"/>
      <c r="R18" s="19"/>
      <c r="S18" s="2"/>
      <c r="T18" s="2">
        <f>--13083.92</f>
        <v>13083.92</v>
      </c>
      <c r="U18" s="2"/>
      <c r="V18" s="19"/>
      <c r="W18" s="2"/>
      <c r="X18" s="2">
        <f t="shared" si="2"/>
        <v>-13083.92</v>
      </c>
      <c r="Y18" s="2"/>
      <c r="Z18" s="19">
        <f t="shared" si="3"/>
        <v>-1</v>
      </c>
    </row>
    <row r="19" spans="1:26" s="23" customFormat="1" hidden="1" outlineLevel="1" x14ac:dyDescent="0.25">
      <c r="A19" s="44"/>
      <c r="B19" s="10" t="str">
        <f>CONCATENATE("          ", "4031", " - ", "TAXABLE SALES-FOOD")</f>
        <v xml:space="preserve">          4031 - TAXABLE SALES-FOOD</v>
      </c>
      <c r="C19" s="10"/>
      <c r="D19" s="2">
        <f t="shared" si="4"/>
        <v>0</v>
      </c>
      <c r="E19" s="2"/>
      <c r="F19" s="19"/>
      <c r="G19" s="2"/>
      <c r="H19" s="2">
        <f t="shared" ref="H19:H20" si="7">0</f>
        <v>0</v>
      </c>
      <c r="I19" s="2"/>
      <c r="J19" s="19"/>
      <c r="K19" s="2"/>
      <c r="L19" s="2">
        <f t="shared" si="0"/>
        <v>0</v>
      </c>
      <c r="M19" s="2"/>
      <c r="N19" s="19">
        <f t="shared" si="1"/>
        <v>0</v>
      </c>
      <c r="O19" s="10"/>
      <c r="P19" s="2">
        <f t="shared" si="6"/>
        <v>0</v>
      </c>
      <c r="Q19" s="2"/>
      <c r="R19" s="19"/>
      <c r="S19" s="2"/>
      <c r="T19" s="2">
        <f>0</f>
        <v>0</v>
      </c>
      <c r="U19" s="2"/>
      <c r="V19" s="19"/>
      <c r="W19" s="2"/>
      <c r="X19" s="2">
        <f t="shared" si="2"/>
        <v>0</v>
      </c>
      <c r="Y19" s="2"/>
      <c r="Z19" s="19">
        <f t="shared" si="3"/>
        <v>0</v>
      </c>
    </row>
    <row r="20" spans="1:26" s="23" customFormat="1" hidden="1" outlineLevel="1" x14ac:dyDescent="0.25">
      <c r="A20" s="44"/>
      <c r="B20" s="10" t="str">
        <f>CONCATENATE("          ", "4035", " - ", "TAXABLE SALES-HEALTH &amp; BEAUTY")</f>
        <v xml:space="preserve">          4035 - TAXABLE SALES-HEALTH &amp; BEAUTY</v>
      </c>
      <c r="C20" s="10"/>
      <c r="D20" s="2">
        <f t="shared" si="4"/>
        <v>0</v>
      </c>
      <c r="E20" s="2"/>
      <c r="F20" s="19"/>
      <c r="G20" s="2"/>
      <c r="H20" s="2">
        <f t="shared" si="7"/>
        <v>0</v>
      </c>
      <c r="I20" s="2"/>
      <c r="J20" s="19"/>
      <c r="K20" s="2"/>
      <c r="L20" s="2">
        <f t="shared" si="0"/>
        <v>0</v>
      </c>
      <c r="M20" s="2"/>
      <c r="N20" s="19">
        <f t="shared" si="1"/>
        <v>0</v>
      </c>
      <c r="O20" s="10"/>
      <c r="P20" s="2">
        <f t="shared" si="6"/>
        <v>0</v>
      </c>
      <c r="Q20" s="2"/>
      <c r="R20" s="19"/>
      <c r="S20" s="2"/>
      <c r="T20" s="2">
        <f>--20.15</f>
        <v>20.149999999999999</v>
      </c>
      <c r="U20" s="2"/>
      <c r="V20" s="19"/>
      <c r="W20" s="2"/>
      <c r="X20" s="2">
        <f t="shared" si="2"/>
        <v>-20.149999999999999</v>
      </c>
      <c r="Y20" s="2"/>
      <c r="Z20" s="19">
        <f t="shared" si="3"/>
        <v>-1</v>
      </c>
    </row>
    <row r="21" spans="1:26" s="23" customFormat="1" hidden="1" outlineLevel="1" x14ac:dyDescent="0.25">
      <c r="A21" s="44"/>
      <c r="B21" s="10" t="str">
        <f>CONCATENATE("          ", "4125", " - ", "NON-TAXABLE SALES-TEST FORMS")</f>
        <v xml:space="preserve">          4125 - NON-TAXABLE SALES-TEST FORMS</v>
      </c>
      <c r="C21" s="10"/>
      <c r="D21" s="2">
        <f t="shared" si="4"/>
        <v>0</v>
      </c>
      <c r="E21" s="2"/>
      <c r="F21" s="19"/>
      <c r="G21" s="2"/>
      <c r="H21" s="2">
        <f>--185</f>
        <v>185</v>
      </c>
      <c r="I21" s="2"/>
      <c r="J21" s="19"/>
      <c r="K21" s="2"/>
      <c r="L21" s="2">
        <f t="shared" si="0"/>
        <v>-185</v>
      </c>
      <c r="M21" s="2"/>
      <c r="N21" s="19">
        <f t="shared" si="1"/>
        <v>-1</v>
      </c>
      <c r="O21" s="10"/>
      <c r="P21" s="2">
        <f t="shared" si="6"/>
        <v>0</v>
      </c>
      <c r="Q21" s="2"/>
      <c r="R21" s="19"/>
      <c r="S21" s="2"/>
      <c r="T21" s="2">
        <f>--452.61</f>
        <v>452.61</v>
      </c>
      <c r="U21" s="2"/>
      <c r="V21" s="19"/>
      <c r="W21" s="2"/>
      <c r="X21" s="2">
        <f t="shared" si="2"/>
        <v>-452.61</v>
      </c>
      <c r="Y21" s="2"/>
      <c r="Z21" s="19">
        <f t="shared" si="3"/>
        <v>-1</v>
      </c>
    </row>
    <row r="22" spans="1:26" s="23" customFormat="1" hidden="1" outlineLevel="1" x14ac:dyDescent="0.25">
      <c r="A22" s="44"/>
      <c r="B22" s="10" t="str">
        <f>CONCATENATE("          ", "4126", " - ", "NON-TAXABLE SALES-WRITING INST")</f>
        <v xml:space="preserve">          4126 - NON-TAXABLE SALES-WRITING INST</v>
      </c>
      <c r="C22" s="10"/>
      <c r="D22" s="2">
        <f t="shared" si="4"/>
        <v>0</v>
      </c>
      <c r="E22" s="2"/>
      <c r="F22" s="19"/>
      <c r="G22" s="2"/>
      <c r="H22" s="2">
        <f>--168.02</f>
        <v>168.02</v>
      </c>
      <c r="I22" s="2"/>
      <c r="J22" s="19"/>
      <c r="K22" s="2"/>
      <c r="L22" s="2">
        <f t="shared" si="0"/>
        <v>-168.02</v>
      </c>
      <c r="M22" s="2"/>
      <c r="N22" s="19">
        <f t="shared" si="1"/>
        <v>-1</v>
      </c>
      <c r="O22" s="10"/>
      <c r="P22" s="2">
        <f t="shared" si="6"/>
        <v>0</v>
      </c>
      <c r="Q22" s="2"/>
      <c r="R22" s="19"/>
      <c r="S22" s="2"/>
      <c r="T22" s="2">
        <f>--3298.95</f>
        <v>3298.95</v>
      </c>
      <c r="U22" s="2"/>
      <c r="V22" s="19"/>
      <c r="W22" s="2"/>
      <c r="X22" s="2">
        <f t="shared" si="2"/>
        <v>-3298.95</v>
      </c>
      <c r="Y22" s="2"/>
      <c r="Z22" s="19">
        <f t="shared" si="3"/>
        <v>-1</v>
      </c>
    </row>
    <row r="23" spans="1:26" s="23" customFormat="1" hidden="1" outlineLevel="1" x14ac:dyDescent="0.25">
      <c r="A23" s="44"/>
      <c r="B23" s="10" t="str">
        <f>CONCATENATE("          ", "4127", " - ", "NON-TAXABLE SALES-SCHOOL SUPPL")</f>
        <v xml:space="preserve">          4127 - NON-TAXABLE SALES-SCHOOL SUPPL</v>
      </c>
      <c r="C23" s="10"/>
      <c r="D23" s="2">
        <f t="shared" si="4"/>
        <v>0</v>
      </c>
      <c r="E23" s="2"/>
      <c r="F23" s="19"/>
      <c r="G23" s="2"/>
      <c r="H23" s="2">
        <f>--97.62</f>
        <v>97.62</v>
      </c>
      <c r="I23" s="2"/>
      <c r="J23" s="19"/>
      <c r="K23" s="2"/>
      <c r="L23" s="2">
        <f t="shared" si="0"/>
        <v>-97.62</v>
      </c>
      <c r="M23" s="2"/>
      <c r="N23" s="19">
        <f t="shared" si="1"/>
        <v>-1</v>
      </c>
      <c r="O23" s="10"/>
      <c r="P23" s="2">
        <f t="shared" si="6"/>
        <v>0</v>
      </c>
      <c r="Q23" s="2"/>
      <c r="R23" s="19"/>
      <c r="S23" s="2"/>
      <c r="T23" s="2">
        <f>--6454.88</f>
        <v>6454.88</v>
      </c>
      <c r="U23" s="2"/>
      <c r="V23" s="19"/>
      <c r="W23" s="2"/>
      <c r="X23" s="2">
        <f t="shared" si="2"/>
        <v>-6454.88</v>
      </c>
      <c r="Y23" s="2"/>
      <c r="Z23" s="19">
        <f t="shared" si="3"/>
        <v>-1</v>
      </c>
    </row>
    <row r="24" spans="1:26" s="23" customFormat="1" hidden="1" outlineLevel="1" x14ac:dyDescent="0.25">
      <c r="A24" s="44"/>
      <c r="B24" s="10" t="str">
        <f>CONCATENATE("          ", "4128", " - ", "NON-TAXABLE SALES-ART/TECH")</f>
        <v xml:space="preserve">          4128 - NON-TAXABLE SALES-ART/TECH</v>
      </c>
      <c r="C24" s="10"/>
      <c r="D24" s="2">
        <f t="shared" si="4"/>
        <v>0</v>
      </c>
      <c r="E24" s="2"/>
      <c r="F24" s="19"/>
      <c r="G24" s="2"/>
      <c r="H24" s="2">
        <f>--0.74</f>
        <v>0.74</v>
      </c>
      <c r="I24" s="2"/>
      <c r="J24" s="19"/>
      <c r="K24" s="2"/>
      <c r="L24" s="2">
        <f t="shared" si="0"/>
        <v>-0.74</v>
      </c>
      <c r="M24" s="2"/>
      <c r="N24" s="19">
        <f t="shared" si="1"/>
        <v>-1</v>
      </c>
      <c r="O24" s="10"/>
      <c r="P24" s="2">
        <f t="shared" si="6"/>
        <v>0</v>
      </c>
      <c r="Q24" s="2"/>
      <c r="R24" s="19"/>
      <c r="S24" s="2"/>
      <c r="T24" s="2">
        <f>--489.27</f>
        <v>489.27</v>
      </c>
      <c r="U24" s="2"/>
      <c r="V24" s="19"/>
      <c r="W24" s="2"/>
      <c r="X24" s="2">
        <f t="shared" si="2"/>
        <v>-489.27</v>
      </c>
      <c r="Y24" s="2"/>
      <c r="Z24" s="19">
        <f t="shared" si="3"/>
        <v>-1</v>
      </c>
    </row>
    <row r="25" spans="1:26" s="23" customFormat="1" hidden="1" outlineLevel="1" x14ac:dyDescent="0.25">
      <c r="A25" s="44"/>
      <c r="B25" s="10" t="str">
        <f>CONCATENATE("          ", "4131", " - ", "NON-TAXABLE SALES-FOOD")</f>
        <v xml:space="preserve">          4131 - NON-TAXABLE SALES-FOOD</v>
      </c>
      <c r="C25" s="10"/>
      <c r="D25" s="2">
        <f t="shared" si="4"/>
        <v>0</v>
      </c>
      <c r="E25" s="2"/>
      <c r="F25" s="19"/>
      <c r="G25" s="2"/>
      <c r="H25" s="2">
        <f>--64.14</f>
        <v>64.14</v>
      </c>
      <c r="I25" s="2"/>
      <c r="J25" s="19"/>
      <c r="K25" s="2"/>
      <c r="L25" s="2">
        <f t="shared" si="0"/>
        <v>-64.14</v>
      </c>
      <c r="M25" s="2"/>
      <c r="N25" s="19">
        <f t="shared" si="1"/>
        <v>-1</v>
      </c>
      <c r="O25" s="10"/>
      <c r="P25" s="2">
        <f t="shared" si="6"/>
        <v>0</v>
      </c>
      <c r="Q25" s="2"/>
      <c r="R25" s="19"/>
      <c r="S25" s="2"/>
      <c r="T25" s="2">
        <f>--1647.7</f>
        <v>1647.7</v>
      </c>
      <c r="U25" s="2"/>
      <c r="V25" s="19"/>
      <c r="W25" s="2"/>
      <c r="X25" s="2">
        <f t="shared" si="2"/>
        <v>-1647.7</v>
      </c>
      <c r="Y25" s="2"/>
      <c r="Z25" s="19">
        <f t="shared" si="3"/>
        <v>-1</v>
      </c>
    </row>
    <row r="26" spans="1:26" s="23" customFormat="1" hidden="1" outlineLevel="1" x14ac:dyDescent="0.25">
      <c r="A26" s="44"/>
      <c r="B26" s="10" t="str">
        <f>CONCATENATE("          ", "4133", " - ", "NON-TAXABLE SALES-CANDY")</f>
        <v xml:space="preserve">          4133 - NON-TAXABLE SALES-CANDY</v>
      </c>
      <c r="C26" s="10"/>
      <c r="D26" s="2">
        <f t="shared" si="4"/>
        <v>0</v>
      </c>
      <c r="E26" s="2"/>
      <c r="F26" s="19"/>
      <c r="G26" s="2"/>
      <c r="H26" s="2">
        <f>--13.47</f>
        <v>13.47</v>
      </c>
      <c r="I26" s="2"/>
      <c r="J26" s="19"/>
      <c r="K26" s="2"/>
      <c r="L26" s="2">
        <f t="shared" si="0"/>
        <v>-13.47</v>
      </c>
      <c r="M26" s="2"/>
      <c r="N26" s="19">
        <f t="shared" si="1"/>
        <v>-1</v>
      </c>
      <c r="O26" s="10"/>
      <c r="P26" s="2">
        <f t="shared" si="6"/>
        <v>0</v>
      </c>
      <c r="Q26" s="2"/>
      <c r="R26" s="19"/>
      <c r="S26" s="2"/>
      <c r="T26" s="2">
        <f>--2326.36</f>
        <v>2326.36</v>
      </c>
      <c r="U26" s="2"/>
      <c r="V26" s="19"/>
      <c r="W26" s="2"/>
      <c r="X26" s="2">
        <f t="shared" si="2"/>
        <v>-2326.36</v>
      </c>
      <c r="Y26" s="2"/>
      <c r="Z26" s="19">
        <f t="shared" si="3"/>
        <v>-1</v>
      </c>
    </row>
    <row r="27" spans="1:26" s="23" customFormat="1" hidden="1" outlineLevel="1" x14ac:dyDescent="0.25">
      <c r="A27" s="44"/>
      <c r="B27" s="10" t="str">
        <f>CONCATENATE("          ", "4135", " - ", "NON-TAXABLE SALES")</f>
        <v xml:space="preserve">          4135 - NON-TAXABLE SALES</v>
      </c>
      <c r="C27" s="10"/>
      <c r="D27" s="2">
        <f t="shared" si="4"/>
        <v>0</v>
      </c>
      <c r="E27" s="2"/>
      <c r="F27" s="19"/>
      <c r="G27" s="2"/>
      <c r="H27" s="2">
        <f t="shared" ref="H27:H30" si="8">0</f>
        <v>0</v>
      </c>
      <c r="I27" s="2"/>
      <c r="J27" s="19"/>
      <c r="K27" s="2"/>
      <c r="L27" s="2">
        <f t="shared" si="0"/>
        <v>0</v>
      </c>
      <c r="M27" s="2"/>
      <c r="N27" s="19">
        <f t="shared" si="1"/>
        <v>0</v>
      </c>
      <c r="O27" s="10"/>
      <c r="P27" s="2">
        <f t="shared" si="6"/>
        <v>0</v>
      </c>
      <c r="Q27" s="2"/>
      <c r="R27" s="19"/>
      <c r="S27" s="2"/>
      <c r="T27" s="2">
        <f>--50.16</f>
        <v>50.16</v>
      </c>
      <c r="U27" s="2"/>
      <c r="V27" s="19"/>
      <c r="W27" s="2"/>
      <c r="X27" s="2">
        <f t="shared" si="2"/>
        <v>-50.16</v>
      </c>
      <c r="Y27" s="2"/>
      <c r="Z27" s="19">
        <f t="shared" si="3"/>
        <v>-1</v>
      </c>
    </row>
    <row r="28" spans="1:26" s="23" customFormat="1" hidden="1" outlineLevel="1" x14ac:dyDescent="0.25">
      <c r="A28" s="44"/>
      <c r="B28" s="10" t="str">
        <f>CONCATENATE("          ", "4217", " - ", "NON-TAXABLE SALES-DORM/HOUSEWA")</f>
        <v xml:space="preserve">          4217 - NON-TAXABLE SALES-DORM/HOUSEWA</v>
      </c>
      <c r="C28" s="10"/>
      <c r="D28" s="2">
        <f t="shared" si="4"/>
        <v>0</v>
      </c>
      <c r="E28" s="2"/>
      <c r="F28" s="19"/>
      <c r="G28" s="2"/>
      <c r="H28" s="2">
        <f t="shared" si="8"/>
        <v>0</v>
      </c>
      <c r="I28" s="2"/>
      <c r="J28" s="19"/>
      <c r="K28" s="2"/>
      <c r="L28" s="2">
        <f t="shared" si="0"/>
        <v>0</v>
      </c>
      <c r="M28" s="2"/>
      <c r="N28" s="19">
        <f t="shared" si="1"/>
        <v>0</v>
      </c>
      <c r="O28" s="10"/>
      <c r="P28" s="2">
        <f t="shared" si="6"/>
        <v>0</v>
      </c>
      <c r="Q28" s="2"/>
      <c r="R28" s="19"/>
      <c r="S28" s="2"/>
      <c r="T28" s="2">
        <f>-2.98</f>
        <v>-2.98</v>
      </c>
      <c r="U28" s="2"/>
      <c r="V28" s="19"/>
      <c r="W28" s="2"/>
      <c r="X28" s="2">
        <f t="shared" si="2"/>
        <v>2.98</v>
      </c>
      <c r="Y28" s="2"/>
      <c r="Z28" s="19">
        <f t="shared" si="3"/>
        <v>-1</v>
      </c>
    </row>
    <row r="29" spans="1:26" s="23" customFormat="1" hidden="1" outlineLevel="1" x14ac:dyDescent="0.25">
      <c r="A29" s="44"/>
      <c r="B29" s="10" t="str">
        <f>CONCATENATE("          ", "4225", " - ", "SALES RETURN TAXABLE-TEST FORM")</f>
        <v xml:space="preserve">          4225 - SALES RETURN TAXABLE-TEST FORM</v>
      </c>
      <c r="C29" s="10"/>
      <c r="D29" s="2">
        <f t="shared" si="4"/>
        <v>0</v>
      </c>
      <c r="E29" s="2"/>
      <c r="F29" s="19"/>
      <c r="G29" s="2"/>
      <c r="H29" s="2">
        <f t="shared" si="8"/>
        <v>0</v>
      </c>
      <c r="I29" s="2"/>
      <c r="J29" s="19"/>
      <c r="K29" s="2"/>
      <c r="L29" s="2">
        <f t="shared" si="0"/>
        <v>0</v>
      </c>
      <c r="M29" s="2"/>
      <c r="N29" s="19">
        <f t="shared" si="1"/>
        <v>0</v>
      </c>
      <c r="O29" s="10"/>
      <c r="P29" s="2">
        <f t="shared" si="6"/>
        <v>0</v>
      </c>
      <c r="Q29" s="2"/>
      <c r="R29" s="19"/>
      <c r="S29" s="2"/>
      <c r="T29" s="2">
        <f>-170.78</f>
        <v>-170.78</v>
      </c>
      <c r="U29" s="2"/>
      <c r="V29" s="19"/>
      <c r="W29" s="2"/>
      <c r="X29" s="2">
        <f t="shared" si="2"/>
        <v>170.78</v>
      </c>
      <c r="Y29" s="2"/>
      <c r="Z29" s="19">
        <f t="shared" si="3"/>
        <v>-1</v>
      </c>
    </row>
    <row r="30" spans="1:26" s="23" customFormat="1" hidden="1" outlineLevel="1" x14ac:dyDescent="0.25">
      <c r="A30" s="44"/>
      <c r="B30" s="10" t="str">
        <f>CONCATENATE("          ", "4226", " - ", "SALES RETURN TAXABLE-WRITING I")</f>
        <v xml:space="preserve">          4226 - SALES RETURN TAXABLE-WRITING I</v>
      </c>
      <c r="C30" s="10"/>
      <c r="D30" s="2">
        <f t="shared" si="4"/>
        <v>0</v>
      </c>
      <c r="E30" s="2"/>
      <c r="F30" s="19"/>
      <c r="G30" s="2"/>
      <c r="H30" s="2">
        <f t="shared" si="8"/>
        <v>0</v>
      </c>
      <c r="I30" s="2"/>
      <c r="J30" s="19"/>
      <c r="K30" s="2"/>
      <c r="L30" s="2">
        <f t="shared" si="0"/>
        <v>0</v>
      </c>
      <c r="M30" s="2"/>
      <c r="N30" s="19">
        <f t="shared" si="1"/>
        <v>0</v>
      </c>
      <c r="O30" s="10"/>
      <c r="P30" s="2">
        <f t="shared" si="6"/>
        <v>0</v>
      </c>
      <c r="Q30" s="2"/>
      <c r="R30" s="19"/>
      <c r="S30" s="2"/>
      <c r="T30" s="2">
        <f>-778.59</f>
        <v>-778.59</v>
      </c>
      <c r="U30" s="2"/>
      <c r="V30" s="19"/>
      <c r="W30" s="2"/>
      <c r="X30" s="2">
        <f t="shared" si="2"/>
        <v>778.59</v>
      </c>
      <c r="Y30" s="2"/>
      <c r="Z30" s="19">
        <f t="shared" si="3"/>
        <v>-1</v>
      </c>
    </row>
    <row r="31" spans="1:26" s="23" customFormat="1" hidden="1" outlineLevel="1" x14ac:dyDescent="0.25">
      <c r="A31" s="44"/>
      <c r="B31" s="10" t="str">
        <f>CONCATENATE("          ", "4227", " - ", "SALES RETURN TAXABLE-SCHOOL SU")</f>
        <v xml:space="preserve">          4227 - SALES RETURN TAXABLE-SCHOOL SU</v>
      </c>
      <c r="C31" s="10"/>
      <c r="D31" s="2">
        <f t="shared" si="4"/>
        <v>0</v>
      </c>
      <c r="E31" s="2"/>
      <c r="F31" s="19"/>
      <c r="G31" s="2"/>
      <c r="H31" s="2">
        <f>-81.87</f>
        <v>-81.87</v>
      </c>
      <c r="I31" s="2"/>
      <c r="J31" s="19"/>
      <c r="K31" s="2"/>
      <c r="L31" s="2">
        <f t="shared" si="0"/>
        <v>81.87</v>
      </c>
      <c r="M31" s="2"/>
      <c r="N31" s="19">
        <f t="shared" si="1"/>
        <v>-1</v>
      </c>
      <c r="O31" s="10"/>
      <c r="P31" s="2">
        <f t="shared" si="6"/>
        <v>0</v>
      </c>
      <c r="Q31" s="2"/>
      <c r="R31" s="19"/>
      <c r="S31" s="2"/>
      <c r="T31" s="2">
        <f>-8686.84</f>
        <v>-8686.84</v>
      </c>
      <c r="U31" s="2"/>
      <c r="V31" s="19"/>
      <c r="W31" s="2"/>
      <c r="X31" s="2">
        <f t="shared" si="2"/>
        <v>8686.84</v>
      </c>
      <c r="Y31" s="2"/>
      <c r="Z31" s="19">
        <f t="shared" si="3"/>
        <v>-1</v>
      </c>
    </row>
    <row r="32" spans="1:26" s="23" customFormat="1" hidden="1" outlineLevel="1" x14ac:dyDescent="0.25">
      <c r="A32" s="44"/>
      <c r="B32" s="10" t="str">
        <f>CONCATENATE("          ", "4228", " - ", "SALES RETURN TAXABLE-ART/TECH")</f>
        <v xml:space="preserve">          4228 - SALES RETURN TAXABLE-ART/TECH</v>
      </c>
      <c r="C32" s="10"/>
      <c r="D32" s="2">
        <f t="shared" si="4"/>
        <v>0</v>
      </c>
      <c r="E32" s="2"/>
      <c r="F32" s="19"/>
      <c r="G32" s="2"/>
      <c r="H32" s="2">
        <f>0</f>
        <v>0</v>
      </c>
      <c r="I32" s="2"/>
      <c r="J32" s="19"/>
      <c r="K32" s="2"/>
      <c r="L32" s="2">
        <f t="shared" si="0"/>
        <v>0</v>
      </c>
      <c r="M32" s="2"/>
      <c r="N32" s="19">
        <f t="shared" si="1"/>
        <v>0</v>
      </c>
      <c r="O32" s="10"/>
      <c r="P32" s="2">
        <f t="shared" si="6"/>
        <v>0</v>
      </c>
      <c r="Q32" s="2"/>
      <c r="R32" s="19"/>
      <c r="S32" s="2"/>
      <c r="T32" s="2">
        <f>-259.98</f>
        <v>-259.98</v>
      </c>
      <c r="U32" s="2"/>
      <c r="V32" s="19"/>
      <c r="W32" s="2"/>
      <c r="X32" s="2">
        <f t="shared" si="2"/>
        <v>259.98</v>
      </c>
      <c r="Y32" s="2"/>
      <c r="Z32" s="19">
        <f t="shared" si="3"/>
        <v>-1</v>
      </c>
    </row>
    <row r="33" spans="1:26" s="23" customFormat="1" hidden="1" outlineLevel="1" x14ac:dyDescent="0.25">
      <c r="A33" s="44"/>
      <c r="B33" s="10" t="str">
        <f>CONCATENATE("          ", "4326", " - ", "SALES RETURN NON TAXABLE-WRITI")</f>
        <v xml:space="preserve">          4326 - SALES RETURN NON TAXABLE-WRITI</v>
      </c>
      <c r="C33" s="10"/>
      <c r="D33" s="2">
        <f t="shared" si="4"/>
        <v>0</v>
      </c>
      <c r="E33" s="2"/>
      <c r="F33" s="19"/>
      <c r="G33" s="2"/>
      <c r="H33" s="2">
        <f>-2.98</f>
        <v>-2.98</v>
      </c>
      <c r="I33" s="2"/>
      <c r="J33" s="19"/>
      <c r="K33" s="2"/>
      <c r="L33" s="2">
        <f t="shared" si="0"/>
        <v>2.98</v>
      </c>
      <c r="M33" s="2"/>
      <c r="N33" s="19">
        <f t="shared" si="1"/>
        <v>-1</v>
      </c>
      <c r="O33" s="10"/>
      <c r="P33" s="2">
        <f t="shared" si="6"/>
        <v>0</v>
      </c>
      <c r="Q33" s="2"/>
      <c r="R33" s="19"/>
      <c r="S33" s="2"/>
      <c r="T33" s="2">
        <f>-2.98</f>
        <v>-2.98</v>
      </c>
      <c r="U33" s="2"/>
      <c r="V33" s="19"/>
      <c r="W33" s="2"/>
      <c r="X33" s="2">
        <f t="shared" si="2"/>
        <v>2.98</v>
      </c>
      <c r="Y33" s="2"/>
      <c r="Z33" s="19">
        <f t="shared" si="3"/>
        <v>-1</v>
      </c>
    </row>
    <row r="34" spans="1:26" s="23" customFormat="1" hidden="1" outlineLevel="1" x14ac:dyDescent="0.25">
      <c r="A34" s="44"/>
      <c r="B34" s="10" t="str">
        <f>CONCATENATE("          ", "4327", " - ", "SALES RETURN NON TAXABLE-SCHOO")</f>
        <v xml:space="preserve">          4327 - SALES RETURN NON TAXABLE-SCHOO</v>
      </c>
      <c r="C34" s="10"/>
      <c r="D34" s="2">
        <f t="shared" si="4"/>
        <v>0</v>
      </c>
      <c r="E34" s="2"/>
      <c r="F34" s="19"/>
      <c r="G34" s="2"/>
      <c r="H34" s="2">
        <f>0</f>
        <v>0</v>
      </c>
      <c r="I34" s="2"/>
      <c r="J34" s="19"/>
      <c r="K34" s="2"/>
      <c r="L34" s="2">
        <f t="shared" si="0"/>
        <v>0</v>
      </c>
      <c r="M34" s="2"/>
      <c r="N34" s="19">
        <f t="shared" si="1"/>
        <v>0</v>
      </c>
      <c r="O34" s="10"/>
      <c r="P34" s="2">
        <f t="shared" si="6"/>
        <v>0</v>
      </c>
      <c r="Q34" s="2"/>
      <c r="R34" s="19"/>
      <c r="S34" s="2"/>
      <c r="T34" s="2">
        <f>-21.87</f>
        <v>-21.87</v>
      </c>
      <c r="U34" s="2"/>
      <c r="V34" s="19"/>
      <c r="W34" s="2"/>
      <c r="X34" s="2">
        <f t="shared" si="2"/>
        <v>21.87</v>
      </c>
      <c r="Y34" s="2"/>
      <c r="Z34" s="19">
        <f t="shared" si="3"/>
        <v>-1</v>
      </c>
    </row>
    <row r="35" spans="1:26" x14ac:dyDescent="0.25">
      <c r="A35" s="9"/>
      <c r="B35" s="11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4" customFormat="1" collapsed="1" x14ac:dyDescent="0.25">
      <c r="A36" s="11"/>
      <c r="B36" s="29" t="s">
        <v>256</v>
      </c>
      <c r="C36" s="11"/>
      <c r="D36" s="4">
        <f>SUM(OSRRefD16x_0)</f>
        <v>0</v>
      </c>
      <c r="E36" s="4"/>
      <c r="F36" s="13">
        <f t="shared" ref="F36:F51" si="9">IF(D$12=0,0,D36/D$12)</f>
        <v>0</v>
      </c>
      <c r="G36" s="4"/>
      <c r="H36" s="4">
        <f>SUM(OSRRefH16x_0)</f>
        <v>30221.7</v>
      </c>
      <c r="I36" s="4"/>
      <c r="J36" s="13">
        <f t="shared" ref="J36:J51" si="10">IF(H$12=0,0,H36/H$12)</f>
        <v>2.8685532370495244</v>
      </c>
      <c r="K36" s="4"/>
      <c r="L36" s="4">
        <f t="shared" ref="L36:L51" si="11">+D36-H36</f>
        <v>-30221.7</v>
      </c>
      <c r="M36" s="4"/>
      <c r="N36" s="13">
        <f t="shared" ref="N36:N51" si="12">IF(H36=0,0,L36/H36)</f>
        <v>-1</v>
      </c>
      <c r="O36" s="11"/>
      <c r="P36" s="4">
        <f>SUM(OSRRefP16x_0)</f>
        <v>0</v>
      </c>
      <c r="Q36" s="4"/>
      <c r="R36" s="13">
        <f t="shared" ref="R36:R51" si="13">IF(P$12=0,0,P36/P$12)</f>
        <v>0</v>
      </c>
      <c r="S36" s="4"/>
      <c r="T36" s="4">
        <f>SUM(OSRRefT16x_0)</f>
        <v>228545.38999999998</v>
      </c>
      <c r="U36" s="4"/>
      <c r="V36" s="13">
        <f t="shared" ref="V36:V51" si="14">IF(T$12=0,0,T36/T$12)</f>
        <v>0.54200281657427063</v>
      </c>
      <c r="W36" s="4"/>
      <c r="X36" s="4">
        <f t="shared" ref="X36:X51" si="15">+P36-T36</f>
        <v>-228545.38999999998</v>
      </c>
      <c r="Y36" s="4"/>
      <c r="Z36" s="13">
        <f t="shared" ref="Z36:Z51" si="16">IF(T36=0,0,X36/T36)</f>
        <v>-1</v>
      </c>
    </row>
    <row r="37" spans="1:26" s="23" customFormat="1" hidden="1" outlineLevel="1" x14ac:dyDescent="0.25">
      <c r="A37" s="44"/>
      <c r="B37" s="10" t="str">
        <f>CONCATENATE("          ", "5017", " - ", "PURCHASES @ COST-DORM/HOUSEWAR")</f>
        <v xml:space="preserve">          5017 - PURCHASES @ COST-DORM/HOUSEWAR</v>
      </c>
      <c r="C37" s="10"/>
      <c r="D37" s="2"/>
      <c r="E37" s="2"/>
      <c r="F37" s="19">
        <f t="shared" si="9"/>
        <v>0</v>
      </c>
      <c r="G37" s="2"/>
      <c r="H37" s="2"/>
      <c r="I37" s="2"/>
      <c r="J37" s="19">
        <f t="shared" si="10"/>
        <v>0</v>
      </c>
      <c r="K37" s="2"/>
      <c r="L37" s="2">
        <f t="shared" si="11"/>
        <v>0</v>
      </c>
      <c r="M37" s="2"/>
      <c r="N37" s="19">
        <f t="shared" si="12"/>
        <v>0</v>
      </c>
      <c r="O37" s="10"/>
      <c r="P37" s="2"/>
      <c r="Q37" s="2"/>
      <c r="R37" s="19">
        <f t="shared" si="13"/>
        <v>0</v>
      </c>
      <c r="S37" s="2"/>
      <c r="T37" s="2">
        <v>14.46</v>
      </c>
      <c r="U37" s="2"/>
      <c r="V37" s="19">
        <f t="shared" si="14"/>
        <v>3.4292359726284367E-5</v>
      </c>
      <c r="W37" s="2"/>
      <c r="X37" s="2">
        <f t="shared" si="15"/>
        <v>-14.46</v>
      </c>
      <c r="Y37" s="2"/>
      <c r="Z37" s="19">
        <f t="shared" si="16"/>
        <v>-1</v>
      </c>
    </row>
    <row r="38" spans="1:26" s="23" customFormat="1" hidden="1" outlineLevel="1" x14ac:dyDescent="0.25">
      <c r="A38" s="44"/>
      <c r="B38" s="10" t="str">
        <f>CONCATENATE("          ", "5025", " - ", "PURCHASES @ COST-TEST FORMS")</f>
        <v xml:space="preserve">          5025 - PURCHASES @ COST-TEST FORMS</v>
      </c>
      <c r="C38" s="10"/>
      <c r="D38" s="2"/>
      <c r="E38" s="2"/>
      <c r="F38" s="19">
        <f t="shared" si="9"/>
        <v>0</v>
      </c>
      <c r="G38" s="2"/>
      <c r="H38" s="2"/>
      <c r="I38" s="2"/>
      <c r="J38" s="19">
        <f t="shared" si="10"/>
        <v>0</v>
      </c>
      <c r="K38" s="2"/>
      <c r="L38" s="2">
        <f t="shared" si="11"/>
        <v>0</v>
      </c>
      <c r="M38" s="2"/>
      <c r="N38" s="19">
        <f t="shared" si="12"/>
        <v>0</v>
      </c>
      <c r="O38" s="10"/>
      <c r="P38" s="2"/>
      <c r="Q38" s="2"/>
      <c r="R38" s="19">
        <f t="shared" si="13"/>
        <v>0</v>
      </c>
      <c r="S38" s="2"/>
      <c r="T38" s="2">
        <v>25706.15</v>
      </c>
      <c r="U38" s="2"/>
      <c r="V38" s="19">
        <f t="shared" si="14"/>
        <v>6.0962969777166309E-2</v>
      </c>
      <c r="W38" s="2"/>
      <c r="X38" s="2">
        <f t="shared" si="15"/>
        <v>-25706.15</v>
      </c>
      <c r="Y38" s="2"/>
      <c r="Z38" s="19">
        <f t="shared" si="16"/>
        <v>-1</v>
      </c>
    </row>
    <row r="39" spans="1:26" s="23" customFormat="1" hidden="1" outlineLevel="1" x14ac:dyDescent="0.25">
      <c r="A39" s="44"/>
      <c r="B39" s="10" t="str">
        <f>CONCATENATE("          ", "5026", " - ", "PURCHASES @ COST-WRITING INSTR")</f>
        <v xml:space="preserve">          5026 - PURCHASES @ COST-WRITING INSTR</v>
      </c>
      <c r="C39" s="10"/>
      <c r="D39" s="2"/>
      <c r="E39" s="2"/>
      <c r="F39" s="19">
        <f t="shared" si="9"/>
        <v>0</v>
      </c>
      <c r="G39" s="2"/>
      <c r="H39" s="2"/>
      <c r="I39" s="2"/>
      <c r="J39" s="19">
        <f t="shared" si="10"/>
        <v>0</v>
      </c>
      <c r="K39" s="2"/>
      <c r="L39" s="2">
        <f t="shared" si="11"/>
        <v>0</v>
      </c>
      <c r="M39" s="2"/>
      <c r="N39" s="19">
        <f t="shared" si="12"/>
        <v>0</v>
      </c>
      <c r="O39" s="10"/>
      <c r="P39" s="2">
        <v>0</v>
      </c>
      <c r="Q39" s="2"/>
      <c r="R39" s="19">
        <f t="shared" si="13"/>
        <v>0</v>
      </c>
      <c r="S39" s="2"/>
      <c r="T39" s="2">
        <v>39626.85</v>
      </c>
      <c r="U39" s="2"/>
      <c r="V39" s="19">
        <f t="shared" si="14"/>
        <v>9.3976362034544361E-2</v>
      </c>
      <c r="W39" s="2"/>
      <c r="X39" s="2">
        <f t="shared" si="15"/>
        <v>-39626.85</v>
      </c>
      <c r="Y39" s="2"/>
      <c r="Z39" s="19">
        <f t="shared" si="16"/>
        <v>-1</v>
      </c>
    </row>
    <row r="40" spans="1:26" s="23" customFormat="1" hidden="1" outlineLevel="1" x14ac:dyDescent="0.25">
      <c r="A40" s="44"/>
      <c r="B40" s="10" t="str">
        <f>CONCATENATE("          ", "5027", " - ", "PURCHASES @ COST-SCHOOL SUPPLI")</f>
        <v xml:space="preserve">          5027 - PURCHASES @ COST-SCHOOL SUPPLI</v>
      </c>
      <c r="C40" s="10"/>
      <c r="D40" s="2"/>
      <c r="E40" s="2"/>
      <c r="F40" s="19">
        <f t="shared" si="9"/>
        <v>0</v>
      </c>
      <c r="G40" s="2"/>
      <c r="H40" s="2">
        <v>11947.58</v>
      </c>
      <c r="I40" s="2"/>
      <c r="J40" s="19">
        <f t="shared" si="10"/>
        <v>1.1340285054748129</v>
      </c>
      <c r="K40" s="2"/>
      <c r="L40" s="2">
        <f t="shared" si="11"/>
        <v>-11947.58</v>
      </c>
      <c r="M40" s="2"/>
      <c r="N40" s="19">
        <f t="shared" si="12"/>
        <v>-1</v>
      </c>
      <c r="O40" s="10"/>
      <c r="P40" s="2">
        <v>0</v>
      </c>
      <c r="Q40" s="2"/>
      <c r="R40" s="19">
        <f t="shared" si="13"/>
        <v>0</v>
      </c>
      <c r="S40" s="2"/>
      <c r="T40" s="2">
        <v>149000.62</v>
      </c>
      <c r="U40" s="2"/>
      <c r="V40" s="19">
        <f t="shared" si="14"/>
        <v>0.35335981054491011</v>
      </c>
      <c r="W40" s="2"/>
      <c r="X40" s="2">
        <f t="shared" si="15"/>
        <v>-149000.62</v>
      </c>
      <c r="Y40" s="2"/>
      <c r="Z40" s="19">
        <f t="shared" si="16"/>
        <v>-1</v>
      </c>
    </row>
    <row r="41" spans="1:26" s="23" customFormat="1" hidden="1" outlineLevel="1" x14ac:dyDescent="0.25">
      <c r="A41" s="44"/>
      <c r="B41" s="10" t="str">
        <f>CONCATENATE("          ", "5028", " - ", "PURCHASES @ COST-ART/TECH")</f>
        <v xml:space="preserve">          5028 - PURCHASES @ COST-ART/TECH</v>
      </c>
      <c r="C41" s="10"/>
      <c r="D41" s="2"/>
      <c r="E41" s="2"/>
      <c r="F41" s="19">
        <f t="shared" si="9"/>
        <v>0</v>
      </c>
      <c r="G41" s="2"/>
      <c r="H41" s="2">
        <v>-2263.88</v>
      </c>
      <c r="I41" s="2"/>
      <c r="J41" s="19">
        <f t="shared" si="10"/>
        <v>-0.21488070830865494</v>
      </c>
      <c r="K41" s="2"/>
      <c r="L41" s="2">
        <f t="shared" si="11"/>
        <v>2263.88</v>
      </c>
      <c r="M41" s="2"/>
      <c r="N41" s="19">
        <f t="shared" si="12"/>
        <v>-1</v>
      </c>
      <c r="O41" s="10"/>
      <c r="P41" s="2">
        <v>0</v>
      </c>
      <c r="Q41" s="2"/>
      <c r="R41" s="19">
        <f t="shared" si="13"/>
        <v>0</v>
      </c>
      <c r="S41" s="2"/>
      <c r="T41" s="2">
        <v>5398.13</v>
      </c>
      <c r="U41" s="2"/>
      <c r="V41" s="19">
        <f t="shared" si="14"/>
        <v>1.2801840650708673E-2</v>
      </c>
      <c r="W41" s="2"/>
      <c r="X41" s="2">
        <f t="shared" si="15"/>
        <v>-5398.13</v>
      </c>
      <c r="Y41" s="2"/>
      <c r="Z41" s="19">
        <f t="shared" si="16"/>
        <v>-1</v>
      </c>
    </row>
    <row r="42" spans="1:26" s="23" customFormat="1" hidden="1" outlineLevel="1" x14ac:dyDescent="0.25">
      <c r="A42" s="44"/>
      <c r="B42" s="10" t="str">
        <f>CONCATENATE("          ", "5031", " - ", "PURCHASES @ COST-FOOD")</f>
        <v xml:space="preserve">          5031 - PURCHASES @ COST-FOOD</v>
      </c>
      <c r="C42" s="10"/>
      <c r="D42" s="2"/>
      <c r="E42" s="2"/>
      <c r="F42" s="19">
        <f t="shared" si="9"/>
        <v>0</v>
      </c>
      <c r="G42" s="2"/>
      <c r="H42" s="2"/>
      <c r="I42" s="2"/>
      <c r="J42" s="19">
        <f t="shared" si="10"/>
        <v>0</v>
      </c>
      <c r="K42" s="2"/>
      <c r="L42" s="2">
        <f t="shared" si="11"/>
        <v>0</v>
      </c>
      <c r="M42" s="2"/>
      <c r="N42" s="19">
        <f t="shared" si="12"/>
        <v>0</v>
      </c>
      <c r="O42" s="10"/>
      <c r="P42" s="2"/>
      <c r="Q42" s="2"/>
      <c r="R42" s="19">
        <f t="shared" si="13"/>
        <v>0</v>
      </c>
      <c r="S42" s="2"/>
      <c r="T42" s="2">
        <v>780.53</v>
      </c>
      <c r="U42" s="2"/>
      <c r="V42" s="19">
        <f t="shared" si="14"/>
        <v>1.8510522501491518E-3</v>
      </c>
      <c r="W42" s="2"/>
      <c r="X42" s="2">
        <f t="shared" si="15"/>
        <v>-780.53</v>
      </c>
      <c r="Y42" s="2"/>
      <c r="Z42" s="19">
        <f t="shared" si="16"/>
        <v>-1</v>
      </c>
    </row>
    <row r="43" spans="1:26" s="23" customFormat="1" hidden="1" outlineLevel="1" x14ac:dyDescent="0.25">
      <c r="A43" s="44"/>
      <c r="B43" s="10" t="str">
        <f>CONCATENATE("          ", "5033", " - ", "PURCHASES @ COST-CANDY")</f>
        <v xml:space="preserve">          5033 - PURCHASES @ COST-CANDY</v>
      </c>
      <c r="C43" s="10"/>
      <c r="D43" s="2"/>
      <c r="E43" s="2"/>
      <c r="F43" s="19">
        <f t="shared" si="9"/>
        <v>0</v>
      </c>
      <c r="G43" s="2"/>
      <c r="H43" s="2"/>
      <c r="I43" s="2"/>
      <c r="J43" s="19">
        <f t="shared" si="10"/>
        <v>0</v>
      </c>
      <c r="K43" s="2"/>
      <c r="L43" s="2">
        <f t="shared" si="11"/>
        <v>0</v>
      </c>
      <c r="M43" s="2"/>
      <c r="N43" s="19">
        <f t="shared" si="12"/>
        <v>0</v>
      </c>
      <c r="O43" s="10"/>
      <c r="P43" s="2"/>
      <c r="Q43" s="2"/>
      <c r="R43" s="19">
        <f t="shared" si="13"/>
        <v>0</v>
      </c>
      <c r="S43" s="2"/>
      <c r="T43" s="2">
        <v>1119.08</v>
      </c>
      <c r="U43" s="2"/>
      <c r="V43" s="19">
        <f t="shared" si="14"/>
        <v>2.6539345727863281E-3</v>
      </c>
      <c r="W43" s="2"/>
      <c r="X43" s="2">
        <f t="shared" si="15"/>
        <v>-1119.08</v>
      </c>
      <c r="Y43" s="2"/>
      <c r="Z43" s="19">
        <f t="shared" si="16"/>
        <v>-1</v>
      </c>
    </row>
    <row r="44" spans="1:26" s="23" customFormat="1" hidden="1" outlineLevel="1" x14ac:dyDescent="0.25">
      <c r="A44" s="44"/>
      <c r="B44" s="10" t="str">
        <f>CONCATENATE("          ", "5035", " - ", "PURCHASES @ COST-HEALTH &amp; BEAU")</f>
        <v xml:space="preserve">          5035 - PURCHASES @ COST-HEALTH &amp; BEAU</v>
      </c>
      <c r="C44" s="10"/>
      <c r="D44" s="2"/>
      <c r="E44" s="2"/>
      <c r="F44" s="19">
        <f t="shared" si="9"/>
        <v>0</v>
      </c>
      <c r="G44" s="2"/>
      <c r="H44" s="2"/>
      <c r="I44" s="2"/>
      <c r="J44" s="19">
        <f t="shared" si="10"/>
        <v>0</v>
      </c>
      <c r="K44" s="2"/>
      <c r="L44" s="2">
        <f t="shared" si="11"/>
        <v>0</v>
      </c>
      <c r="M44" s="2"/>
      <c r="N44" s="19">
        <f t="shared" si="12"/>
        <v>0</v>
      </c>
      <c r="O44" s="10"/>
      <c r="P44" s="2"/>
      <c r="Q44" s="2"/>
      <c r="R44" s="19">
        <f t="shared" si="13"/>
        <v>0</v>
      </c>
      <c r="S44" s="2"/>
      <c r="T44" s="2">
        <v>36.25</v>
      </c>
      <c r="U44" s="2"/>
      <c r="V44" s="19">
        <f t="shared" si="14"/>
        <v>8.596805256416377E-5</v>
      </c>
      <c r="W44" s="2"/>
      <c r="X44" s="2">
        <f t="shared" si="15"/>
        <v>-36.25</v>
      </c>
      <c r="Y44" s="2"/>
      <c r="Z44" s="19">
        <f t="shared" si="16"/>
        <v>-1</v>
      </c>
    </row>
    <row r="45" spans="1:26" s="23" customFormat="1" hidden="1" outlineLevel="1" x14ac:dyDescent="0.25">
      <c r="A45" s="44"/>
      <c r="B45" s="10" t="str">
        <f>CONCATENATE("          ", "5200", " - ", "PURCHASES OFFSET")</f>
        <v xml:space="preserve">          5200 - PURCHASES OFFSET</v>
      </c>
      <c r="C45" s="10"/>
      <c r="D45" s="2"/>
      <c r="E45" s="2"/>
      <c r="F45" s="19">
        <f t="shared" si="9"/>
        <v>0</v>
      </c>
      <c r="G45" s="2"/>
      <c r="H45" s="2">
        <v>-9684</v>
      </c>
      <c r="I45" s="2"/>
      <c r="J45" s="19">
        <f t="shared" si="10"/>
        <v>-0.9191762722675294</v>
      </c>
      <c r="K45" s="2"/>
      <c r="L45" s="2">
        <f t="shared" si="11"/>
        <v>9684</v>
      </c>
      <c r="M45" s="2"/>
      <c r="N45" s="19">
        <f t="shared" si="12"/>
        <v>-1</v>
      </c>
      <c r="O45" s="10"/>
      <c r="P45" s="2"/>
      <c r="Q45" s="2"/>
      <c r="R45" s="19">
        <f t="shared" si="13"/>
        <v>0</v>
      </c>
      <c r="S45" s="2"/>
      <c r="T45" s="2">
        <v>-225111</v>
      </c>
      <c r="U45" s="2"/>
      <c r="V45" s="19">
        <f t="shared" si="14"/>
        <v>-0.53385804912473023</v>
      </c>
      <c r="W45" s="2"/>
      <c r="X45" s="2">
        <f t="shared" si="15"/>
        <v>225111</v>
      </c>
      <c r="Y45" s="2"/>
      <c r="Z45" s="19">
        <f t="shared" si="16"/>
        <v>-1</v>
      </c>
    </row>
    <row r="46" spans="1:26" s="23" customFormat="1" hidden="1" outlineLevel="1" x14ac:dyDescent="0.25">
      <c r="A46" s="44"/>
      <c r="B46" s="10" t="str">
        <f>CONCATENATE("          ", "5300", " - ", "COG$ OFFSET")</f>
        <v xml:space="preserve">          5300 - COG$ OFFSET</v>
      </c>
      <c r="C46" s="10"/>
      <c r="D46" s="2"/>
      <c r="E46" s="2"/>
      <c r="F46" s="19">
        <f t="shared" si="9"/>
        <v>0</v>
      </c>
      <c r="G46" s="2"/>
      <c r="H46" s="2">
        <v>30222</v>
      </c>
      <c r="I46" s="2"/>
      <c r="J46" s="19">
        <f t="shared" si="10"/>
        <v>2.8685817121508954</v>
      </c>
      <c r="K46" s="2"/>
      <c r="L46" s="2">
        <f t="shared" si="11"/>
        <v>-30222</v>
      </c>
      <c r="M46" s="2"/>
      <c r="N46" s="19">
        <f t="shared" si="12"/>
        <v>-1</v>
      </c>
      <c r="O46" s="10"/>
      <c r="P46" s="2"/>
      <c r="Q46" s="2"/>
      <c r="R46" s="19">
        <f t="shared" si="13"/>
        <v>0</v>
      </c>
      <c r="S46" s="2"/>
      <c r="T46" s="2">
        <v>228540</v>
      </c>
      <c r="U46" s="2"/>
      <c r="V46" s="19">
        <f t="shared" si="14"/>
        <v>0.541990034014179</v>
      </c>
      <c r="W46" s="2"/>
      <c r="X46" s="2">
        <f t="shared" si="15"/>
        <v>-228540</v>
      </c>
      <c r="Y46" s="2"/>
      <c r="Z46" s="19">
        <f t="shared" si="16"/>
        <v>-1</v>
      </c>
    </row>
    <row r="47" spans="1:26" s="23" customFormat="1" hidden="1" outlineLevel="1" x14ac:dyDescent="0.25">
      <c r="A47" s="44"/>
      <c r="B47" s="10" t="str">
        <f>CONCATENATE("          ", "5500", " - ", "FREIGHT-IN")</f>
        <v xml:space="preserve">          5500 - FREIGHT-IN</v>
      </c>
      <c r="C47" s="10"/>
      <c r="D47" s="2"/>
      <c r="E47" s="2"/>
      <c r="F47" s="19">
        <f t="shared" si="9"/>
        <v>0</v>
      </c>
      <c r="G47" s="2"/>
      <c r="H47" s="2"/>
      <c r="I47" s="2"/>
      <c r="J47" s="19">
        <f t="shared" si="10"/>
        <v>0</v>
      </c>
      <c r="K47" s="2"/>
      <c r="L47" s="2">
        <f t="shared" si="11"/>
        <v>0</v>
      </c>
      <c r="M47" s="2"/>
      <c r="N47" s="19">
        <f t="shared" si="12"/>
        <v>0</v>
      </c>
      <c r="O47" s="10"/>
      <c r="P47" s="2"/>
      <c r="Q47" s="2"/>
      <c r="R47" s="19">
        <f t="shared" si="13"/>
        <v>0</v>
      </c>
      <c r="S47" s="2"/>
      <c r="T47" s="2">
        <v>6</v>
      </c>
      <c r="U47" s="2"/>
      <c r="V47" s="19">
        <f t="shared" si="14"/>
        <v>1.4229194907171935E-5</v>
      </c>
      <c r="W47" s="2"/>
      <c r="X47" s="2">
        <f t="shared" si="15"/>
        <v>-6</v>
      </c>
      <c r="Y47" s="2"/>
      <c r="Z47" s="19">
        <f t="shared" si="16"/>
        <v>-1</v>
      </c>
    </row>
    <row r="48" spans="1:26" s="23" customFormat="1" hidden="1" outlineLevel="1" x14ac:dyDescent="0.25">
      <c r="A48" s="44"/>
      <c r="B48" s="10" t="str">
        <f>CONCATENATE("          ", "5525", " - ", "FREIGHT-IN-TEST FORMS")</f>
        <v xml:space="preserve">          5525 - FREIGHT-IN-TEST FORMS</v>
      </c>
      <c r="C48" s="10"/>
      <c r="D48" s="2"/>
      <c r="E48" s="2"/>
      <c r="F48" s="19">
        <f t="shared" si="9"/>
        <v>0</v>
      </c>
      <c r="G48" s="2"/>
      <c r="H48" s="2"/>
      <c r="I48" s="2"/>
      <c r="J48" s="19">
        <f t="shared" si="10"/>
        <v>0</v>
      </c>
      <c r="K48" s="2"/>
      <c r="L48" s="2">
        <f t="shared" si="11"/>
        <v>0</v>
      </c>
      <c r="M48" s="2"/>
      <c r="N48" s="19">
        <f t="shared" si="12"/>
        <v>0</v>
      </c>
      <c r="O48" s="10"/>
      <c r="P48" s="2"/>
      <c r="Q48" s="2"/>
      <c r="R48" s="19">
        <f t="shared" si="13"/>
        <v>0</v>
      </c>
      <c r="S48" s="2"/>
      <c r="T48" s="2">
        <v>1614.32</v>
      </c>
      <c r="U48" s="2"/>
      <c r="V48" s="19">
        <f t="shared" si="14"/>
        <v>3.8284123204242997E-3</v>
      </c>
      <c r="W48" s="2"/>
      <c r="X48" s="2">
        <f t="shared" si="15"/>
        <v>-1614.32</v>
      </c>
      <c r="Y48" s="2"/>
      <c r="Z48" s="19">
        <f t="shared" si="16"/>
        <v>-1</v>
      </c>
    </row>
    <row r="49" spans="1:26" s="23" customFormat="1" hidden="1" outlineLevel="1" x14ac:dyDescent="0.25">
      <c r="A49" s="44"/>
      <c r="B49" s="10" t="str">
        <f>CONCATENATE("          ", "5526", " - ", "FREIGHT-IN-WRITING INSTRUMENTS")</f>
        <v xml:space="preserve">          5526 - FREIGHT-IN-WRITING INSTRUMENTS</v>
      </c>
      <c r="C49" s="10"/>
      <c r="D49" s="2"/>
      <c r="E49" s="2"/>
      <c r="F49" s="19">
        <f t="shared" si="9"/>
        <v>0</v>
      </c>
      <c r="G49" s="2"/>
      <c r="H49" s="2"/>
      <c r="I49" s="2"/>
      <c r="J49" s="19">
        <f t="shared" si="10"/>
        <v>0</v>
      </c>
      <c r="K49" s="2"/>
      <c r="L49" s="2">
        <f t="shared" si="11"/>
        <v>0</v>
      </c>
      <c r="M49" s="2"/>
      <c r="N49" s="19">
        <f t="shared" si="12"/>
        <v>0</v>
      </c>
      <c r="O49" s="10"/>
      <c r="P49" s="2"/>
      <c r="Q49" s="2"/>
      <c r="R49" s="19">
        <f t="shared" si="13"/>
        <v>0</v>
      </c>
      <c r="S49" s="2"/>
      <c r="T49" s="2">
        <v>274.5</v>
      </c>
      <c r="U49" s="2"/>
      <c r="V49" s="19">
        <f t="shared" si="14"/>
        <v>6.5098566700311602E-4</v>
      </c>
      <c r="W49" s="2"/>
      <c r="X49" s="2">
        <f t="shared" si="15"/>
        <v>-274.5</v>
      </c>
      <c r="Y49" s="2"/>
      <c r="Z49" s="19">
        <f t="shared" si="16"/>
        <v>-1</v>
      </c>
    </row>
    <row r="50" spans="1:26" s="23" customFormat="1" hidden="1" outlineLevel="1" x14ac:dyDescent="0.25">
      <c r="A50" s="44"/>
      <c r="B50" s="10" t="str">
        <f>CONCATENATE("          ", "5527", " - ", "FREIGHT-IN-SCHOOL SUPPLIES")</f>
        <v xml:space="preserve">          5527 - FREIGHT-IN-SCHOOL SUPPLIES</v>
      </c>
      <c r="C50" s="10"/>
      <c r="D50" s="2"/>
      <c r="E50" s="2"/>
      <c r="F50" s="19">
        <f t="shared" si="9"/>
        <v>0</v>
      </c>
      <c r="G50" s="2"/>
      <c r="H50" s="2"/>
      <c r="I50" s="2"/>
      <c r="J50" s="19">
        <f t="shared" si="10"/>
        <v>0</v>
      </c>
      <c r="K50" s="2"/>
      <c r="L50" s="2">
        <f t="shared" si="11"/>
        <v>0</v>
      </c>
      <c r="M50" s="2"/>
      <c r="N50" s="19">
        <f t="shared" si="12"/>
        <v>0</v>
      </c>
      <c r="O50" s="10"/>
      <c r="P50" s="2"/>
      <c r="Q50" s="2"/>
      <c r="R50" s="19">
        <f t="shared" si="13"/>
        <v>0</v>
      </c>
      <c r="S50" s="2"/>
      <c r="T50" s="2">
        <v>1438.72</v>
      </c>
      <c r="U50" s="2"/>
      <c r="V50" s="19">
        <f t="shared" si="14"/>
        <v>3.4119712161410679E-3</v>
      </c>
      <c r="W50" s="2"/>
      <c r="X50" s="2">
        <f t="shared" si="15"/>
        <v>-1438.72</v>
      </c>
      <c r="Y50" s="2"/>
      <c r="Z50" s="19">
        <f t="shared" si="16"/>
        <v>-1</v>
      </c>
    </row>
    <row r="51" spans="1:26" s="23" customFormat="1" hidden="1" outlineLevel="1" x14ac:dyDescent="0.25">
      <c r="A51" s="44"/>
      <c r="B51" s="10" t="str">
        <f>CONCATENATE("          ", "5528", " - ", "FREIGHT-IN-ART/TECH")</f>
        <v xml:space="preserve">          5528 - FREIGHT-IN-ART/TECH</v>
      </c>
      <c r="C51" s="10"/>
      <c r="D51" s="2"/>
      <c r="E51" s="2"/>
      <c r="F51" s="19">
        <f t="shared" si="9"/>
        <v>0</v>
      </c>
      <c r="G51" s="2"/>
      <c r="H51" s="2"/>
      <c r="I51" s="2"/>
      <c r="J51" s="19">
        <f t="shared" si="10"/>
        <v>0</v>
      </c>
      <c r="K51" s="2"/>
      <c r="L51" s="2">
        <f t="shared" si="11"/>
        <v>0</v>
      </c>
      <c r="M51" s="2"/>
      <c r="N51" s="19">
        <f t="shared" si="12"/>
        <v>0</v>
      </c>
      <c r="O51" s="10"/>
      <c r="P51" s="2"/>
      <c r="Q51" s="2"/>
      <c r="R51" s="19">
        <f t="shared" si="13"/>
        <v>0</v>
      </c>
      <c r="S51" s="2"/>
      <c r="T51" s="2">
        <v>100.78</v>
      </c>
      <c r="U51" s="2"/>
      <c r="V51" s="19">
        <f t="shared" si="14"/>
        <v>2.3900304379079795E-4</v>
      </c>
      <c r="W51" s="2"/>
      <c r="X51" s="2">
        <f t="shared" si="15"/>
        <v>-100.78</v>
      </c>
      <c r="Y51" s="2"/>
      <c r="Z51" s="19">
        <f t="shared" si="16"/>
        <v>-1</v>
      </c>
    </row>
    <row r="52" spans="1:26" x14ac:dyDescent="0.25">
      <c r="A52" s="9"/>
      <c r="B52" s="11"/>
      <c r="C52" s="11"/>
      <c r="D52" s="3"/>
      <c r="E52" s="3"/>
      <c r="F52" s="8"/>
      <c r="G52" s="3"/>
      <c r="H52" s="3"/>
      <c r="I52" s="3"/>
      <c r="J52" s="8"/>
      <c r="K52" s="3"/>
      <c r="L52" s="3"/>
      <c r="M52" s="3"/>
      <c r="N52" s="8"/>
      <c r="O52" s="11"/>
      <c r="P52" s="3"/>
      <c r="Q52" s="3"/>
      <c r="R52" s="8"/>
      <c r="S52" s="3"/>
      <c r="T52" s="3"/>
      <c r="U52" s="3"/>
      <c r="V52" s="8"/>
      <c r="W52" s="3"/>
      <c r="X52" s="3"/>
      <c r="Y52" s="3"/>
      <c r="Z52" s="8"/>
    </row>
    <row r="53" spans="1:26" s="24" customFormat="1" x14ac:dyDescent="0.25">
      <c r="A53" s="11"/>
      <c r="B53" s="28" t="s">
        <v>107</v>
      </c>
      <c r="C53" s="28"/>
      <c r="D53" s="21">
        <f>D12-D36</f>
        <v>0</v>
      </c>
      <c r="E53" s="14"/>
      <c r="F53" s="22">
        <f>IF(D$12=0,0,D53/D$12)</f>
        <v>0</v>
      </c>
      <c r="G53" s="14"/>
      <c r="H53" s="21">
        <f>H12-H36</f>
        <v>-19686.18</v>
      </c>
      <c r="I53" s="14"/>
      <c r="J53" s="22">
        <f>IF(H$12=0,0,H53/H$12)</f>
        <v>-1.8685532370495241</v>
      </c>
      <c r="K53" s="15"/>
      <c r="L53" s="21">
        <f>+D53-H53</f>
        <v>19686.18</v>
      </c>
      <c r="M53" s="15"/>
      <c r="N53" s="22">
        <f>IF(H53=0,0,L53/H53)</f>
        <v>-1</v>
      </c>
      <c r="O53" s="29"/>
      <c r="P53" s="21">
        <f>P12-P36</f>
        <v>0</v>
      </c>
      <c r="Q53" s="14"/>
      <c r="R53" s="22">
        <f>IF(P$12=0,0,P53/P$12)</f>
        <v>0</v>
      </c>
      <c r="S53" s="14"/>
      <c r="T53" s="21">
        <f>T12-T36</f>
        <v>193122.87999999998</v>
      </c>
      <c r="U53" s="14"/>
      <c r="V53" s="22">
        <f>IF(T$12=0,0,T53/T$12)</f>
        <v>0.45799718342572943</v>
      </c>
      <c r="W53" s="15"/>
      <c r="X53" s="21">
        <f>+P53-T53</f>
        <v>-193122.87999999998</v>
      </c>
      <c r="Y53" s="15"/>
      <c r="Z53" s="22">
        <f>IF(T53=0,0,X53/T53)</f>
        <v>-1</v>
      </c>
    </row>
    <row r="54" spans="1:26" x14ac:dyDescent="0.25">
      <c r="A54" s="9"/>
      <c r="B54" s="11"/>
      <c r="C54" s="9"/>
      <c r="D54" s="1"/>
      <c r="E54" s="1"/>
      <c r="F54" s="5"/>
      <c r="G54" s="1"/>
      <c r="H54" s="1"/>
      <c r="I54" s="1"/>
      <c r="J54" s="5"/>
      <c r="K54" s="1"/>
      <c r="L54" s="1"/>
      <c r="M54" s="1"/>
      <c r="N54" s="5"/>
      <c r="O54" s="37"/>
      <c r="P54" s="1"/>
      <c r="Q54" s="1"/>
      <c r="R54" s="5"/>
      <c r="S54" s="1"/>
      <c r="T54" s="1"/>
      <c r="U54" s="1"/>
      <c r="V54" s="5"/>
      <c r="W54" s="1"/>
      <c r="X54" s="1"/>
      <c r="Y54" s="1"/>
      <c r="Z54" s="5"/>
    </row>
    <row r="55" spans="1:26" s="24" customFormat="1" x14ac:dyDescent="0.25">
      <c r="A55" s="11"/>
      <c r="B55" s="29" t="s">
        <v>294</v>
      </c>
      <c r="C55" s="11"/>
      <c r="D55" s="20">
        <f>SUM(OSRRefD22x_0)</f>
        <v>0</v>
      </c>
      <c r="E55" s="20"/>
      <c r="F55" s="32">
        <f t="shared" ref="F55:F65" si="17">IF(D$12=0,0,D55/D$12)</f>
        <v>0</v>
      </c>
      <c r="G55" s="20"/>
      <c r="H55" s="20">
        <f>SUM(OSRRefH22x_0)</f>
        <v>32173.5</v>
      </c>
      <c r="I55" s="20"/>
      <c r="J55" s="32">
        <f t="shared" ref="J55:J65" si="18">IF(H$12=0,0,H55/H$12)</f>
        <v>3.053812246571598</v>
      </c>
      <c r="K55" s="4"/>
      <c r="L55" s="20">
        <f t="shared" ref="L55:L65" si="19">+D55-H55</f>
        <v>-32173.5</v>
      </c>
      <c r="M55" s="4"/>
      <c r="N55" s="32">
        <f t="shared" ref="N55:N65" si="20">IF(H55=0,0,L55/H55)</f>
        <v>-1</v>
      </c>
      <c r="O55" s="11"/>
      <c r="P55" s="20">
        <f>SUM(OSRRefP22x_0)</f>
        <v>0</v>
      </c>
      <c r="Q55" s="20"/>
      <c r="R55" s="32">
        <f t="shared" ref="R55:R65" si="21">IF(P$12=0,0,P55/P$12)</f>
        <v>0</v>
      </c>
      <c r="S55" s="20"/>
      <c r="T55" s="20">
        <f>SUM(OSRRefT22x_0)</f>
        <v>140416.29</v>
      </c>
      <c r="U55" s="20"/>
      <c r="V55" s="32">
        <f t="shared" ref="V55:V65" si="22">IF(T$12=0,0,T55/T$12)</f>
        <v>0.33300179309199629</v>
      </c>
      <c r="W55" s="4"/>
      <c r="X55" s="20">
        <f t="shared" ref="X55:X65" si="23">+P55-T55</f>
        <v>-140416.29</v>
      </c>
      <c r="Y55" s="4"/>
      <c r="Z55" s="32">
        <f t="shared" ref="Z55:Z65" si="24">IF(T55=0,0,X55/T55)</f>
        <v>-1</v>
      </c>
    </row>
    <row r="56" spans="1:26" s="27" customFormat="1" outlineLevel="1" collapsed="1" x14ac:dyDescent="0.25">
      <c r="A56" s="26"/>
      <c r="B56" s="12" t="str">
        <f>CONCATENATE("     ","*Benefits                                         ")</f>
        <v xml:space="preserve">     *Benefits                                         </v>
      </c>
      <c r="C56" s="12"/>
      <c r="D56" s="1">
        <f>SUM(OSRRefD22_0x_0)</f>
        <v>0</v>
      </c>
      <c r="E56" s="1"/>
      <c r="F56" s="5">
        <f t="shared" si="17"/>
        <v>0</v>
      </c>
      <c r="G56" s="1"/>
      <c r="H56" s="1">
        <f>SUM(OSRRefH22_0x_0)</f>
        <v>2630.68</v>
      </c>
      <c r="I56" s="1"/>
      <c r="J56" s="5">
        <f t="shared" si="18"/>
        <v>0.24969626558537217</v>
      </c>
      <c r="K56" s="1"/>
      <c r="L56" s="1">
        <f t="shared" si="19"/>
        <v>-2630.68</v>
      </c>
      <c r="M56" s="1"/>
      <c r="N56" s="5">
        <f t="shared" si="20"/>
        <v>-1</v>
      </c>
      <c r="O56" s="12"/>
      <c r="P56" s="1">
        <f>SUM(OSRRefP22_0x_0)</f>
        <v>0</v>
      </c>
      <c r="Q56" s="1"/>
      <c r="R56" s="5">
        <f t="shared" si="21"/>
        <v>0</v>
      </c>
      <c r="S56" s="1"/>
      <c r="T56" s="1">
        <f>SUM(OSRRefT22_0x_0)</f>
        <v>18557.940000000002</v>
      </c>
      <c r="U56" s="1"/>
      <c r="V56" s="5">
        <f t="shared" si="22"/>
        <v>4.4010757555933727E-2</v>
      </c>
      <c r="W56" s="1"/>
      <c r="X56" s="1">
        <f t="shared" si="23"/>
        <v>-18557.940000000002</v>
      </c>
      <c r="Y56" s="1"/>
      <c r="Z56" s="5">
        <f t="shared" si="24"/>
        <v>-1</v>
      </c>
    </row>
    <row r="57" spans="1:26" s="23" customFormat="1" hidden="1" outlineLevel="2" x14ac:dyDescent="0.25">
      <c r="A57" s="25"/>
      <c r="B57" s="10" t="str">
        <f>CONCATENATE("          ", "6111", " - ", "F.I.C.A.")</f>
        <v xml:space="preserve">          6111 - F.I.C.A.</v>
      </c>
      <c r="C57" s="10"/>
      <c r="D57" s="6"/>
      <c r="E57" s="2"/>
      <c r="F57" s="7">
        <f t="shared" si="17"/>
        <v>0</v>
      </c>
      <c r="G57" s="2"/>
      <c r="H57" s="6">
        <v>318.24</v>
      </c>
      <c r="I57" s="2"/>
      <c r="J57" s="7">
        <f t="shared" si="18"/>
        <v>3.0206387534739629E-2</v>
      </c>
      <c r="K57" s="2"/>
      <c r="L57" s="6">
        <f t="shared" si="19"/>
        <v>-318.24</v>
      </c>
      <c r="M57" s="2"/>
      <c r="N57" s="7">
        <f t="shared" si="20"/>
        <v>-1</v>
      </c>
      <c r="O57" s="10"/>
      <c r="P57" s="6"/>
      <c r="Q57" s="2"/>
      <c r="R57" s="7">
        <f t="shared" si="21"/>
        <v>0</v>
      </c>
      <c r="S57" s="2"/>
      <c r="T57" s="6">
        <v>3894.14</v>
      </c>
      <c r="U57" s="2"/>
      <c r="V57" s="7">
        <f t="shared" si="22"/>
        <v>9.2350795093024199E-3</v>
      </c>
      <c r="W57" s="2"/>
      <c r="X57" s="6">
        <f t="shared" si="23"/>
        <v>-3894.14</v>
      </c>
      <c r="Y57" s="2"/>
      <c r="Z57" s="7">
        <f t="shared" si="24"/>
        <v>-1</v>
      </c>
    </row>
    <row r="58" spans="1:26" s="23" customFormat="1" hidden="1" outlineLevel="2" x14ac:dyDescent="0.25">
      <c r="A58" s="25"/>
      <c r="B58" s="10" t="str">
        <f>CONCATENATE("          ", "6112", " - ", "COMPENSATION INSURANCE")</f>
        <v xml:space="preserve">          6112 - COMPENSATION INSURANCE</v>
      </c>
      <c r="C58" s="10"/>
      <c r="D58" s="6"/>
      <c r="E58" s="2"/>
      <c r="F58" s="7">
        <f t="shared" si="17"/>
        <v>0</v>
      </c>
      <c r="G58" s="2"/>
      <c r="H58" s="6">
        <v>79.040000000000006</v>
      </c>
      <c r="I58" s="2"/>
      <c r="J58" s="7">
        <f t="shared" si="18"/>
        <v>7.5022400413078819E-3</v>
      </c>
      <c r="K58" s="2"/>
      <c r="L58" s="6">
        <f t="shared" si="19"/>
        <v>-79.040000000000006</v>
      </c>
      <c r="M58" s="2"/>
      <c r="N58" s="7">
        <f t="shared" si="20"/>
        <v>-1</v>
      </c>
      <c r="O58" s="10"/>
      <c r="P58" s="6"/>
      <c r="Q58" s="2"/>
      <c r="R58" s="7">
        <f t="shared" si="21"/>
        <v>0</v>
      </c>
      <c r="S58" s="2"/>
      <c r="T58" s="6">
        <v>1508.41</v>
      </c>
      <c r="U58" s="2"/>
      <c r="V58" s="7">
        <f t="shared" si="22"/>
        <v>3.5772433149878699E-3</v>
      </c>
      <c r="W58" s="2"/>
      <c r="X58" s="6">
        <f t="shared" si="23"/>
        <v>-1508.41</v>
      </c>
      <c r="Y58" s="2"/>
      <c r="Z58" s="7">
        <f t="shared" si="24"/>
        <v>-1</v>
      </c>
    </row>
    <row r="59" spans="1:26" s="23" customFormat="1" hidden="1" outlineLevel="2" x14ac:dyDescent="0.25">
      <c r="A59" s="25"/>
      <c r="B59" s="10" t="str">
        <f>CONCATENATE("          ", "6113", " - ", "GROUP INSURANCE")</f>
        <v xml:space="preserve">          6113 - GROUP INSURANCE</v>
      </c>
      <c r="C59" s="10"/>
      <c r="D59" s="6"/>
      <c r="E59" s="2"/>
      <c r="F59" s="7">
        <f t="shared" si="17"/>
        <v>0</v>
      </c>
      <c r="G59" s="2"/>
      <c r="H59" s="6">
        <v>1367.58</v>
      </c>
      <c r="I59" s="2"/>
      <c r="J59" s="7">
        <f t="shared" si="18"/>
        <v>0.12980659711148573</v>
      </c>
      <c r="K59" s="2"/>
      <c r="L59" s="6">
        <f t="shared" si="19"/>
        <v>-1367.58</v>
      </c>
      <c r="M59" s="2"/>
      <c r="N59" s="7">
        <f t="shared" si="20"/>
        <v>-1</v>
      </c>
      <c r="O59" s="10"/>
      <c r="P59" s="6">
        <v>0</v>
      </c>
      <c r="Q59" s="2"/>
      <c r="R59" s="7">
        <f t="shared" si="21"/>
        <v>0</v>
      </c>
      <c r="S59" s="2"/>
      <c r="T59" s="6">
        <v>12765.44</v>
      </c>
      <c r="U59" s="2"/>
      <c r="V59" s="7">
        <f t="shared" si="22"/>
        <v>3.0273655639301487E-2</v>
      </c>
      <c r="W59" s="2"/>
      <c r="X59" s="6">
        <f t="shared" si="23"/>
        <v>-12765.44</v>
      </c>
      <c r="Y59" s="2"/>
      <c r="Z59" s="7">
        <f t="shared" si="24"/>
        <v>-1</v>
      </c>
    </row>
    <row r="60" spans="1:26" s="23" customFormat="1" hidden="1" outlineLevel="2" x14ac:dyDescent="0.25">
      <c r="A60" s="25"/>
      <c r="B60" s="10" t="str">
        <f>CONCATENATE("          ", "6114", " - ", "STATE UNEMPLOYMENT INSURANCE")</f>
        <v xml:space="preserve">          6114 - STATE UNEMPLOYMENT INSURANCE</v>
      </c>
      <c r="C60" s="10"/>
      <c r="D60" s="6"/>
      <c r="E60" s="2"/>
      <c r="F60" s="7">
        <f t="shared" si="17"/>
        <v>0</v>
      </c>
      <c r="G60" s="2"/>
      <c r="H60" s="6">
        <v>-215.17</v>
      </c>
      <c r="I60" s="2"/>
      <c r="J60" s="7">
        <f t="shared" si="18"/>
        <v>-2.0423291873585738E-2</v>
      </c>
      <c r="K60" s="2"/>
      <c r="L60" s="6">
        <f t="shared" si="19"/>
        <v>215.17</v>
      </c>
      <c r="M60" s="2"/>
      <c r="N60" s="7">
        <f t="shared" si="20"/>
        <v>-1</v>
      </c>
      <c r="O60" s="10"/>
      <c r="P60" s="6"/>
      <c r="Q60" s="2"/>
      <c r="R60" s="7">
        <f t="shared" si="21"/>
        <v>0</v>
      </c>
      <c r="S60" s="2"/>
      <c r="T60" s="6">
        <v>0</v>
      </c>
      <c r="U60" s="2"/>
      <c r="V60" s="7">
        <f t="shared" si="22"/>
        <v>0</v>
      </c>
      <c r="W60" s="2"/>
      <c r="X60" s="6">
        <f t="shared" si="23"/>
        <v>0</v>
      </c>
      <c r="Y60" s="2"/>
      <c r="Z60" s="7">
        <f t="shared" si="24"/>
        <v>0</v>
      </c>
    </row>
    <row r="61" spans="1:26" s="23" customFormat="1" hidden="1" outlineLevel="2" x14ac:dyDescent="0.25">
      <c r="A61" s="25"/>
      <c r="B61" s="10" t="str">
        <f>CONCATENATE("          ", "6115", " - ", "P.E.R.S.")</f>
        <v xml:space="preserve">          6115 - P.E.R.S.</v>
      </c>
      <c r="C61" s="10"/>
      <c r="D61" s="6"/>
      <c r="E61" s="2"/>
      <c r="F61" s="7">
        <f t="shared" si="17"/>
        <v>0</v>
      </c>
      <c r="G61" s="2"/>
      <c r="H61" s="6">
        <v>425.19</v>
      </c>
      <c r="I61" s="2"/>
      <c r="J61" s="7">
        <f t="shared" si="18"/>
        <v>4.0357761173629783E-2</v>
      </c>
      <c r="K61" s="2"/>
      <c r="L61" s="6">
        <f t="shared" si="19"/>
        <v>-425.19</v>
      </c>
      <c r="M61" s="2"/>
      <c r="N61" s="7">
        <f t="shared" si="20"/>
        <v>-1</v>
      </c>
      <c r="O61" s="10"/>
      <c r="P61" s="6"/>
      <c r="Q61" s="2"/>
      <c r="R61" s="7">
        <f t="shared" si="21"/>
        <v>0</v>
      </c>
      <c r="S61" s="2"/>
      <c r="T61" s="6">
        <v>3263.92</v>
      </c>
      <c r="U61" s="2"/>
      <c r="V61" s="7">
        <f t="shared" si="22"/>
        <v>7.7404923069027704E-3</v>
      </c>
      <c r="W61" s="2"/>
      <c r="X61" s="6">
        <f t="shared" si="23"/>
        <v>-3263.92</v>
      </c>
      <c r="Y61" s="2"/>
      <c r="Z61" s="7">
        <f t="shared" si="24"/>
        <v>-1</v>
      </c>
    </row>
    <row r="62" spans="1:26" s="23" customFormat="1" hidden="1" outlineLevel="2" x14ac:dyDescent="0.25">
      <c r="A62" s="25"/>
      <c r="B62" s="10" t="str">
        <f>CONCATENATE("          ", "6117", " - ", "RETIREMENT STAFF HOURLY")</f>
        <v xml:space="preserve">          6117 - RETIREMENT STAFF HOURLY</v>
      </c>
      <c r="C62" s="10"/>
      <c r="D62" s="6"/>
      <c r="E62" s="2"/>
      <c r="F62" s="7">
        <f t="shared" si="17"/>
        <v>0</v>
      </c>
      <c r="G62" s="2"/>
      <c r="H62" s="6"/>
      <c r="I62" s="2"/>
      <c r="J62" s="7">
        <f t="shared" si="18"/>
        <v>0</v>
      </c>
      <c r="K62" s="2"/>
      <c r="L62" s="6">
        <f t="shared" si="19"/>
        <v>0</v>
      </c>
      <c r="M62" s="2"/>
      <c r="N62" s="7">
        <f t="shared" si="20"/>
        <v>0</v>
      </c>
      <c r="O62" s="10"/>
      <c r="P62" s="6">
        <v>0</v>
      </c>
      <c r="Q62" s="2"/>
      <c r="R62" s="7">
        <f t="shared" si="21"/>
        <v>0</v>
      </c>
      <c r="S62" s="2"/>
      <c r="T62" s="6">
        <v>46.65</v>
      </c>
      <c r="U62" s="2"/>
      <c r="V62" s="7">
        <f t="shared" si="22"/>
        <v>1.1063199040326179E-4</v>
      </c>
      <c r="W62" s="2"/>
      <c r="X62" s="6">
        <f t="shared" si="23"/>
        <v>-46.65</v>
      </c>
      <c r="Y62" s="2"/>
      <c r="Z62" s="7">
        <f t="shared" si="24"/>
        <v>-1</v>
      </c>
    </row>
    <row r="63" spans="1:26" s="23" customFormat="1" hidden="1" outlineLevel="2" x14ac:dyDescent="0.25">
      <c r="A63" s="25"/>
      <c r="B63" s="10" t="str">
        <f>CONCATENATE("          ", "6118", " - ", "VACATION")</f>
        <v xml:space="preserve">          6118 - VACATION</v>
      </c>
      <c r="C63" s="10"/>
      <c r="D63" s="6"/>
      <c r="E63" s="2"/>
      <c r="F63" s="7">
        <f t="shared" si="17"/>
        <v>0</v>
      </c>
      <c r="G63" s="2"/>
      <c r="H63" s="6">
        <v>335.92</v>
      </c>
      <c r="I63" s="2"/>
      <c r="J63" s="7">
        <f t="shared" si="18"/>
        <v>3.1884520175558498E-2</v>
      </c>
      <c r="K63" s="2"/>
      <c r="L63" s="6">
        <f t="shared" si="19"/>
        <v>-335.92</v>
      </c>
      <c r="M63" s="2"/>
      <c r="N63" s="7">
        <f t="shared" si="20"/>
        <v>-1</v>
      </c>
      <c r="O63" s="10"/>
      <c r="P63" s="6"/>
      <c r="Q63" s="2"/>
      <c r="R63" s="7">
        <f t="shared" si="21"/>
        <v>0</v>
      </c>
      <c r="S63" s="2"/>
      <c r="T63" s="6">
        <v>2749.48</v>
      </c>
      <c r="U63" s="2"/>
      <c r="V63" s="7">
        <f t="shared" si="22"/>
        <v>6.5204811355618489E-3</v>
      </c>
      <c r="W63" s="2"/>
      <c r="X63" s="6">
        <f t="shared" si="23"/>
        <v>-2749.48</v>
      </c>
      <c r="Y63" s="2"/>
      <c r="Z63" s="7">
        <f t="shared" si="24"/>
        <v>-1</v>
      </c>
    </row>
    <row r="64" spans="1:26" s="23" customFormat="1" hidden="1" outlineLevel="2" x14ac:dyDescent="0.25">
      <c r="A64" s="25"/>
      <c r="B64" s="10" t="str">
        <f>CONCATENATE("          ", "6119", " - ", "SICK LEAVE")</f>
        <v xml:space="preserve">          6119 - SICK LEAVE</v>
      </c>
      <c r="C64" s="10"/>
      <c r="D64" s="6"/>
      <c r="E64" s="2"/>
      <c r="F64" s="7">
        <f t="shared" si="17"/>
        <v>0</v>
      </c>
      <c r="G64" s="2"/>
      <c r="H64" s="6">
        <v>191.88</v>
      </c>
      <c r="I64" s="2"/>
      <c r="J64" s="7">
        <f t="shared" si="18"/>
        <v>1.8212674837122422E-2</v>
      </c>
      <c r="K64" s="2"/>
      <c r="L64" s="6">
        <f t="shared" si="19"/>
        <v>-191.88</v>
      </c>
      <c r="M64" s="2"/>
      <c r="N64" s="7">
        <f t="shared" si="20"/>
        <v>-1</v>
      </c>
      <c r="O64" s="10"/>
      <c r="P64" s="6"/>
      <c r="Q64" s="2"/>
      <c r="R64" s="7">
        <f t="shared" si="21"/>
        <v>0</v>
      </c>
      <c r="S64" s="2"/>
      <c r="T64" s="6">
        <v>-6282.95</v>
      </c>
      <c r="U64" s="2"/>
      <c r="V64" s="7">
        <f t="shared" si="22"/>
        <v>-1.4900220023669319E-2</v>
      </c>
      <c r="W64" s="2"/>
      <c r="X64" s="6">
        <f t="shared" si="23"/>
        <v>6282.95</v>
      </c>
      <c r="Y64" s="2"/>
      <c r="Z64" s="7">
        <f t="shared" si="24"/>
        <v>-1</v>
      </c>
    </row>
    <row r="65" spans="1:26" s="23" customFormat="1" hidden="1" outlineLevel="2" x14ac:dyDescent="0.25">
      <c r="A65" s="25"/>
      <c r="B65" s="10" t="str">
        <f>CONCATENATE("          ", "6156", " - ", "EMPLOYEE MEALS")</f>
        <v xml:space="preserve">          6156 - EMPLOYEE MEALS</v>
      </c>
      <c r="C65" s="10"/>
      <c r="D65" s="6"/>
      <c r="E65" s="2"/>
      <c r="F65" s="7">
        <f t="shared" si="17"/>
        <v>0</v>
      </c>
      <c r="G65" s="2"/>
      <c r="H65" s="6">
        <v>128</v>
      </c>
      <c r="I65" s="2"/>
      <c r="J65" s="7">
        <f t="shared" si="18"/>
        <v>1.2149376585113978E-2</v>
      </c>
      <c r="K65" s="2"/>
      <c r="L65" s="6">
        <f t="shared" si="19"/>
        <v>-128</v>
      </c>
      <c r="M65" s="2"/>
      <c r="N65" s="7">
        <f t="shared" si="20"/>
        <v>-1</v>
      </c>
      <c r="O65" s="10"/>
      <c r="P65" s="6"/>
      <c r="Q65" s="2"/>
      <c r="R65" s="7">
        <f t="shared" si="21"/>
        <v>0</v>
      </c>
      <c r="S65" s="2"/>
      <c r="T65" s="6">
        <v>612.85</v>
      </c>
      <c r="U65" s="2"/>
      <c r="V65" s="7">
        <f t="shared" si="22"/>
        <v>1.4533936831433868E-3</v>
      </c>
      <c r="W65" s="2"/>
      <c r="X65" s="6">
        <f t="shared" si="23"/>
        <v>-612.85</v>
      </c>
      <c r="Y65" s="2"/>
      <c r="Z65" s="7">
        <f t="shared" si="24"/>
        <v>-1</v>
      </c>
    </row>
    <row r="66" spans="1:26" s="27" customFormat="1" outlineLevel="1" collapsed="1" x14ac:dyDescent="0.25">
      <c r="A66" s="26"/>
      <c r="B66" s="12" t="str">
        <f>CONCATENATE("     ","*Payroll                                          ")</f>
        <v xml:space="preserve">     *Payroll                                          </v>
      </c>
      <c r="C66" s="12"/>
      <c r="D66" s="1">
        <f>SUM(OSRRefD22_1x_0)</f>
        <v>0</v>
      </c>
      <c r="E66" s="1"/>
      <c r="F66" s="5">
        <f t="shared" ref="F66:F69" si="25">IF(D$12=0,0,D66/D$12)</f>
        <v>0</v>
      </c>
      <c r="G66" s="1"/>
      <c r="H66" s="1">
        <f>SUM(OSRRefH22_1x_0)</f>
        <v>3952</v>
      </c>
      <c r="I66" s="1"/>
      <c r="J66" s="5">
        <f t="shared" ref="J66:J69" si="26">IF(H$12=0,0,H66/H$12)</f>
        <v>0.37511200206539408</v>
      </c>
      <c r="K66" s="1"/>
      <c r="L66" s="1">
        <f t="shared" ref="L66:L69" si="27">+D66-H66</f>
        <v>-3952</v>
      </c>
      <c r="M66" s="1"/>
      <c r="N66" s="5">
        <f t="shared" ref="N66:N69" si="28">IF(H66=0,0,L66/H66)</f>
        <v>-1</v>
      </c>
      <c r="O66" s="12"/>
      <c r="P66" s="1">
        <f>SUM(OSRRefP22_1x_0)</f>
        <v>0</v>
      </c>
      <c r="Q66" s="1"/>
      <c r="R66" s="5">
        <f t="shared" ref="R66:R69" si="29">IF(P$12=0,0,P66/P$12)</f>
        <v>0</v>
      </c>
      <c r="S66" s="1"/>
      <c r="T66" s="1">
        <f>SUM(OSRRefT22_1x_0)</f>
        <v>82930.86</v>
      </c>
      <c r="U66" s="1"/>
      <c r="V66" s="5">
        <f t="shared" ref="V66:V69" si="30">IF(T$12=0,0,T66/T$12)</f>
        <v>0.19667322845989813</v>
      </c>
      <c r="W66" s="1"/>
      <c r="X66" s="1">
        <f t="shared" ref="X66:X69" si="31">+P66-T66</f>
        <v>-82930.86</v>
      </c>
      <c r="Y66" s="1"/>
      <c r="Z66" s="5">
        <f t="shared" ref="Z66:Z69" si="32">IF(T66=0,0,X66/T66)</f>
        <v>-1</v>
      </c>
    </row>
    <row r="67" spans="1:26" s="23" customFormat="1" hidden="1" outlineLevel="2" x14ac:dyDescent="0.25">
      <c r="A67" s="25"/>
      <c r="B67" s="10" t="str">
        <f>CONCATENATE("          ", "6002", " - ", "STAFF SALARIES")</f>
        <v xml:space="preserve">          6002 - STAFF SALARIES</v>
      </c>
      <c r="C67" s="10"/>
      <c r="D67" s="6"/>
      <c r="E67" s="2"/>
      <c r="F67" s="7">
        <f t="shared" si="25"/>
        <v>0</v>
      </c>
      <c r="G67" s="2"/>
      <c r="H67" s="6">
        <v>3952</v>
      </c>
      <c r="I67" s="2"/>
      <c r="J67" s="7">
        <f t="shared" si="26"/>
        <v>0.37511200206539408</v>
      </c>
      <c r="K67" s="2"/>
      <c r="L67" s="6">
        <f t="shared" si="27"/>
        <v>-3952</v>
      </c>
      <c r="M67" s="2"/>
      <c r="N67" s="7">
        <f t="shared" si="28"/>
        <v>-1</v>
      </c>
      <c r="O67" s="10"/>
      <c r="P67" s="6"/>
      <c r="Q67" s="2"/>
      <c r="R67" s="7">
        <f t="shared" si="29"/>
        <v>0</v>
      </c>
      <c r="S67" s="2"/>
      <c r="T67" s="6">
        <v>38729.01</v>
      </c>
      <c r="U67" s="2"/>
      <c r="V67" s="7">
        <f t="shared" si="30"/>
        <v>9.1847105308635157E-2</v>
      </c>
      <c r="W67" s="2"/>
      <c r="X67" s="6">
        <f t="shared" si="31"/>
        <v>-38729.01</v>
      </c>
      <c r="Y67" s="2"/>
      <c r="Z67" s="7">
        <f t="shared" si="32"/>
        <v>-1</v>
      </c>
    </row>
    <row r="68" spans="1:26" s="23" customFormat="1" hidden="1" outlineLevel="2" x14ac:dyDescent="0.25">
      <c r="A68" s="25"/>
      <c r="B68" s="10" t="str">
        <f>CONCATENATE("          ", "6004", " - ", "STAFF HOURLY")</f>
        <v xml:space="preserve">          6004 - STAFF HOURLY</v>
      </c>
      <c r="C68" s="10"/>
      <c r="D68" s="6"/>
      <c r="E68" s="2"/>
      <c r="F68" s="7">
        <f t="shared" si="25"/>
        <v>0</v>
      </c>
      <c r="G68" s="2"/>
      <c r="H68" s="6"/>
      <c r="I68" s="2"/>
      <c r="J68" s="7">
        <f t="shared" si="26"/>
        <v>0</v>
      </c>
      <c r="K68" s="2"/>
      <c r="L68" s="6">
        <f t="shared" si="27"/>
        <v>0</v>
      </c>
      <c r="M68" s="2"/>
      <c r="N68" s="7">
        <f t="shared" si="28"/>
        <v>0</v>
      </c>
      <c r="O68" s="10"/>
      <c r="P68" s="6"/>
      <c r="Q68" s="2"/>
      <c r="R68" s="7">
        <f t="shared" si="29"/>
        <v>0</v>
      </c>
      <c r="S68" s="2"/>
      <c r="T68" s="6">
        <v>-48</v>
      </c>
      <c r="U68" s="2"/>
      <c r="V68" s="7">
        <f t="shared" si="30"/>
        <v>-1.1383355925737548E-4</v>
      </c>
      <c r="W68" s="2"/>
      <c r="X68" s="6">
        <f t="shared" si="31"/>
        <v>48</v>
      </c>
      <c r="Y68" s="2"/>
      <c r="Z68" s="7">
        <f t="shared" si="32"/>
        <v>-1</v>
      </c>
    </row>
    <row r="69" spans="1:26" s="23" customFormat="1" hidden="1" outlineLevel="2" x14ac:dyDescent="0.25">
      <c r="A69" s="25"/>
      <c r="B69" s="10" t="str">
        <f>CONCATENATE("          ", "6007", " - ", "STUDENT HOURLY")</f>
        <v xml:space="preserve">          6007 - STUDENT HOURLY</v>
      </c>
      <c r="C69" s="10"/>
      <c r="D69" s="6"/>
      <c r="E69" s="2"/>
      <c r="F69" s="7">
        <f t="shared" si="25"/>
        <v>0</v>
      </c>
      <c r="G69" s="2"/>
      <c r="H69" s="6"/>
      <c r="I69" s="2"/>
      <c r="J69" s="7">
        <f t="shared" si="26"/>
        <v>0</v>
      </c>
      <c r="K69" s="2"/>
      <c r="L69" s="6">
        <f t="shared" si="27"/>
        <v>0</v>
      </c>
      <c r="M69" s="2"/>
      <c r="N69" s="7">
        <f t="shared" si="28"/>
        <v>0</v>
      </c>
      <c r="O69" s="10"/>
      <c r="P69" s="6"/>
      <c r="Q69" s="2"/>
      <c r="R69" s="7">
        <f t="shared" si="29"/>
        <v>0</v>
      </c>
      <c r="S69" s="2"/>
      <c r="T69" s="6">
        <v>44249.85</v>
      </c>
      <c r="U69" s="2"/>
      <c r="V69" s="7">
        <f t="shared" si="30"/>
        <v>0.10493995671052034</v>
      </c>
      <c r="W69" s="2"/>
      <c r="X69" s="6">
        <f t="shared" si="31"/>
        <v>-44249.85</v>
      </c>
      <c r="Y69" s="2"/>
      <c r="Z69" s="7">
        <f t="shared" si="32"/>
        <v>-1</v>
      </c>
    </row>
    <row r="70" spans="1:26" s="27" customFormat="1" outlineLevel="1" collapsed="1" x14ac:dyDescent="0.25">
      <c r="A70" s="26"/>
      <c r="B70" s="12" t="str">
        <f>CONCATENATE("     ","Advertising/Promo                                 ")</f>
        <v xml:space="preserve">     Advertising/Promo                                 </v>
      </c>
      <c r="C70" s="12"/>
      <c r="D70" s="1">
        <f>SUM(OSRRefD22_2x_0)</f>
        <v>0</v>
      </c>
      <c r="E70" s="1"/>
      <c r="F70" s="5">
        <f t="shared" ref="F70:F74" si="33">IF(D$12=0,0,D70/D$12)</f>
        <v>0</v>
      </c>
      <c r="G70" s="1"/>
      <c r="H70" s="1">
        <f>SUM(OSRRefH22_2x_0)</f>
        <v>0</v>
      </c>
      <c r="I70" s="1"/>
      <c r="J70" s="5">
        <f t="shared" ref="J70:J74" si="34">IF(H$12=0,0,H70/H$12)</f>
        <v>0</v>
      </c>
      <c r="K70" s="1"/>
      <c r="L70" s="1">
        <f t="shared" ref="L70:L74" si="35">+D70-H70</f>
        <v>0</v>
      </c>
      <c r="M70" s="1"/>
      <c r="N70" s="5">
        <f t="shared" ref="N70:N74" si="36">IF(H70=0,0,L70/H70)</f>
        <v>0</v>
      </c>
      <c r="O70" s="12"/>
      <c r="P70" s="1">
        <f>SUM(OSRRefP22_2x_0)</f>
        <v>0</v>
      </c>
      <c r="Q70" s="1"/>
      <c r="R70" s="5">
        <f t="shared" ref="R70:R74" si="37">IF(P$12=0,0,P70/P$12)</f>
        <v>0</v>
      </c>
      <c r="S70" s="1"/>
      <c r="T70" s="1">
        <f>SUM(OSRRefT22_2x_0)</f>
        <v>1181.76</v>
      </c>
      <c r="U70" s="1"/>
      <c r="V70" s="5">
        <f t="shared" ref="V70:V74" si="38">IF(T$12=0,0,T70/T$12)</f>
        <v>2.8025822289165845E-3</v>
      </c>
      <c r="W70" s="1"/>
      <c r="X70" s="1">
        <f t="shared" ref="X70:X74" si="39">+P70-T70</f>
        <v>-1181.76</v>
      </c>
      <c r="Y70" s="1"/>
      <c r="Z70" s="5">
        <f t="shared" ref="Z70:Z74" si="40">IF(T70=0,0,X70/T70)</f>
        <v>-1</v>
      </c>
    </row>
    <row r="71" spans="1:26" s="23" customFormat="1" hidden="1" outlineLevel="2" x14ac:dyDescent="0.25">
      <c r="A71" s="25"/>
      <c r="B71" s="10" t="str">
        <f>CONCATENATE("          ", "6362", " - ", "ADVERTISING EXPENSE")</f>
        <v xml:space="preserve">          6362 - ADVERTISING EXPENSE</v>
      </c>
      <c r="C71" s="10"/>
      <c r="D71" s="6"/>
      <c r="E71" s="2"/>
      <c r="F71" s="7">
        <f t="shared" si="33"/>
        <v>0</v>
      </c>
      <c r="G71" s="2"/>
      <c r="H71" s="6"/>
      <c r="I71" s="2"/>
      <c r="J71" s="7">
        <f t="shared" si="34"/>
        <v>0</v>
      </c>
      <c r="K71" s="2"/>
      <c r="L71" s="6">
        <f t="shared" si="35"/>
        <v>0</v>
      </c>
      <c r="M71" s="2"/>
      <c r="N71" s="7">
        <f t="shared" si="36"/>
        <v>0</v>
      </c>
      <c r="O71" s="10"/>
      <c r="P71" s="6"/>
      <c r="Q71" s="2"/>
      <c r="R71" s="7">
        <f t="shared" si="37"/>
        <v>0</v>
      </c>
      <c r="S71" s="2"/>
      <c r="T71" s="6">
        <v>1181.76</v>
      </c>
      <c r="U71" s="2"/>
      <c r="V71" s="7">
        <f t="shared" si="38"/>
        <v>2.8025822289165845E-3</v>
      </c>
      <c r="W71" s="2"/>
      <c r="X71" s="6">
        <f t="shared" si="39"/>
        <v>-1181.76</v>
      </c>
      <c r="Y71" s="2"/>
      <c r="Z71" s="7">
        <f t="shared" si="40"/>
        <v>-1</v>
      </c>
    </row>
    <row r="72" spans="1:26" s="27" customFormat="1" outlineLevel="1" collapsed="1" x14ac:dyDescent="0.25">
      <c r="A72" s="26"/>
      <c r="B72" s="12" t="str">
        <f>CONCATENATE("     ","Discounts and Markdowns                           ")</f>
        <v xml:space="preserve">     Discounts and Markdowns                           </v>
      </c>
      <c r="C72" s="12"/>
      <c r="D72" s="1">
        <f>SUM(OSRRefD22_3x_0)</f>
        <v>0</v>
      </c>
      <c r="E72" s="1"/>
      <c r="F72" s="5">
        <f t="shared" si="33"/>
        <v>0</v>
      </c>
      <c r="G72" s="1"/>
      <c r="H72" s="1">
        <f>SUM(OSRRefH22_3x_0)</f>
        <v>4841.82</v>
      </c>
      <c r="I72" s="1"/>
      <c r="J72" s="5">
        <f t="shared" si="34"/>
        <v>0.45957105107294183</v>
      </c>
      <c r="K72" s="1"/>
      <c r="L72" s="1">
        <f t="shared" si="35"/>
        <v>-4841.82</v>
      </c>
      <c r="M72" s="1"/>
      <c r="N72" s="5">
        <f t="shared" si="36"/>
        <v>-1</v>
      </c>
      <c r="O72" s="12"/>
      <c r="P72" s="1">
        <f>SUM(OSRRefP22_3x_0)</f>
        <v>0</v>
      </c>
      <c r="Q72" s="1"/>
      <c r="R72" s="5">
        <f t="shared" si="37"/>
        <v>0</v>
      </c>
      <c r="S72" s="1"/>
      <c r="T72" s="1">
        <f>SUM(OSRRefT22_3x_0)</f>
        <v>16768.41</v>
      </c>
      <c r="U72" s="1"/>
      <c r="V72" s="5">
        <f t="shared" si="38"/>
        <v>3.9766829028895161E-2</v>
      </c>
      <c r="W72" s="1"/>
      <c r="X72" s="1">
        <f t="shared" si="39"/>
        <v>-16768.41</v>
      </c>
      <c r="Y72" s="1"/>
      <c r="Z72" s="5">
        <f t="shared" si="40"/>
        <v>-1</v>
      </c>
    </row>
    <row r="73" spans="1:26" s="23" customFormat="1" hidden="1" outlineLevel="2" x14ac:dyDescent="0.25">
      <c r="A73" s="25"/>
      <c r="B73" s="10" t="str">
        <f>CONCATENATE("          ", "6382", " - ", "DISCOUNTS/MARK DOWNS")</f>
        <v xml:space="preserve">          6382 - DISCOUNTS/MARK DOWNS</v>
      </c>
      <c r="C73" s="10"/>
      <c r="D73" s="6"/>
      <c r="E73" s="2"/>
      <c r="F73" s="7">
        <f t="shared" si="33"/>
        <v>0</v>
      </c>
      <c r="G73" s="2"/>
      <c r="H73" s="6">
        <v>4841.82</v>
      </c>
      <c r="I73" s="2"/>
      <c r="J73" s="7">
        <f t="shared" si="34"/>
        <v>0.45957105107294183</v>
      </c>
      <c r="K73" s="2"/>
      <c r="L73" s="6">
        <f t="shared" si="35"/>
        <v>-4841.82</v>
      </c>
      <c r="M73" s="2"/>
      <c r="N73" s="7">
        <f t="shared" si="36"/>
        <v>-1</v>
      </c>
      <c r="O73" s="10"/>
      <c r="P73" s="6">
        <v>0</v>
      </c>
      <c r="Q73" s="2"/>
      <c r="R73" s="7">
        <f t="shared" si="37"/>
        <v>0</v>
      </c>
      <c r="S73" s="2"/>
      <c r="T73" s="6">
        <v>16768.41</v>
      </c>
      <c r="U73" s="2"/>
      <c r="V73" s="7">
        <f t="shared" si="38"/>
        <v>3.9766829028895161E-2</v>
      </c>
      <c r="W73" s="2"/>
      <c r="X73" s="6">
        <f t="shared" si="39"/>
        <v>-16768.41</v>
      </c>
      <c r="Y73" s="2"/>
      <c r="Z73" s="7">
        <f t="shared" si="40"/>
        <v>-1</v>
      </c>
    </row>
    <row r="74" spans="1:26" s="23" customFormat="1" hidden="1" outlineLevel="2" x14ac:dyDescent="0.25">
      <c r="A74" s="25"/>
      <c r="B74" s="10" t="str">
        <f>CONCATENATE("          ", "9175", " - ", "EARNED DISCOUNTS")</f>
        <v xml:space="preserve">          9175 - EARNED DISCOUNTS</v>
      </c>
      <c r="C74" s="10"/>
      <c r="D74" s="6">
        <v>0</v>
      </c>
      <c r="E74" s="2"/>
      <c r="F74" s="7">
        <f t="shared" si="33"/>
        <v>0</v>
      </c>
      <c r="G74" s="2"/>
      <c r="H74" s="6"/>
      <c r="I74" s="2"/>
      <c r="J74" s="7">
        <f t="shared" si="34"/>
        <v>0</v>
      </c>
      <c r="K74" s="2"/>
      <c r="L74" s="6">
        <f t="shared" si="35"/>
        <v>0</v>
      </c>
      <c r="M74" s="2"/>
      <c r="N74" s="7">
        <f t="shared" si="36"/>
        <v>0</v>
      </c>
      <c r="O74" s="10"/>
      <c r="P74" s="6">
        <v>0</v>
      </c>
      <c r="Q74" s="2"/>
      <c r="R74" s="7">
        <f t="shared" si="37"/>
        <v>0</v>
      </c>
      <c r="S74" s="2"/>
      <c r="T74" s="6">
        <v>0</v>
      </c>
      <c r="U74" s="2"/>
      <c r="V74" s="7">
        <f t="shared" si="38"/>
        <v>0</v>
      </c>
      <c r="W74" s="2"/>
      <c r="X74" s="6">
        <f t="shared" si="39"/>
        <v>0</v>
      </c>
      <c r="Y74" s="2"/>
      <c r="Z74" s="7">
        <f t="shared" si="40"/>
        <v>0</v>
      </c>
    </row>
    <row r="75" spans="1:26" s="27" customFormat="1" outlineLevel="1" collapsed="1" x14ac:dyDescent="0.25">
      <c r="A75" s="26"/>
      <c r="B75" s="12" t="str">
        <f>CONCATENATE("     ","Freight out/Postage                               ")</f>
        <v xml:space="preserve">     Freight out/Postage                               </v>
      </c>
      <c r="C75" s="12"/>
      <c r="D75" s="1">
        <f>SUM(OSRRefD22_4x_0)</f>
        <v>0</v>
      </c>
      <c r="E75" s="1"/>
      <c r="F75" s="5">
        <f t="shared" ref="F75:F86" si="41">IF(D$12=0,0,D75/D$12)</f>
        <v>0</v>
      </c>
      <c r="G75" s="1"/>
      <c r="H75" s="1">
        <f>SUM(OSRRefH22_4x_0)</f>
        <v>0</v>
      </c>
      <c r="I75" s="1"/>
      <c r="J75" s="5">
        <f t="shared" ref="J75:J86" si="42">IF(H$12=0,0,H75/H$12)</f>
        <v>0</v>
      </c>
      <c r="K75" s="1"/>
      <c r="L75" s="1">
        <f t="shared" ref="L75:L86" si="43">+D75-H75</f>
        <v>0</v>
      </c>
      <c r="M75" s="1"/>
      <c r="N75" s="5">
        <f t="shared" ref="N75:N86" si="44">IF(H75=0,0,L75/H75)</f>
        <v>0</v>
      </c>
      <c r="O75" s="12"/>
      <c r="P75" s="1">
        <f>SUM(OSRRefP22_4x_0)</f>
        <v>0</v>
      </c>
      <c r="Q75" s="1"/>
      <c r="R75" s="5">
        <f t="shared" ref="R75:R86" si="45">IF(P$12=0,0,P75/P$12)</f>
        <v>0</v>
      </c>
      <c r="S75" s="1"/>
      <c r="T75" s="1">
        <f>SUM(OSRRefT22_4x_0)</f>
        <v>15.81</v>
      </c>
      <c r="U75" s="1"/>
      <c r="V75" s="5">
        <f t="shared" ref="V75:V86" si="46">IF(T$12=0,0,T75/T$12)</f>
        <v>3.7493928580398048E-5</v>
      </c>
      <c r="W75" s="1"/>
      <c r="X75" s="1">
        <f t="shared" ref="X75:X86" si="47">+P75-T75</f>
        <v>-15.81</v>
      </c>
      <c r="Y75" s="1"/>
      <c r="Z75" s="5">
        <f t="shared" ref="Z75:Z86" si="48">IF(T75=0,0,X75/T75)</f>
        <v>-1</v>
      </c>
    </row>
    <row r="76" spans="1:26" s="23" customFormat="1" hidden="1" outlineLevel="2" x14ac:dyDescent="0.25">
      <c r="A76" s="25"/>
      <c r="B76" s="10" t="str">
        <f>CONCATENATE("          ", "6305", " - ", "FREIGHT OUT")</f>
        <v xml:space="preserve">          6305 - FREIGHT OUT</v>
      </c>
      <c r="C76" s="10"/>
      <c r="D76" s="6"/>
      <c r="E76" s="2"/>
      <c r="F76" s="7">
        <f t="shared" si="41"/>
        <v>0</v>
      </c>
      <c r="G76" s="2"/>
      <c r="H76" s="6"/>
      <c r="I76" s="2"/>
      <c r="J76" s="7">
        <f t="shared" si="42"/>
        <v>0</v>
      </c>
      <c r="K76" s="2"/>
      <c r="L76" s="6">
        <f t="shared" si="43"/>
        <v>0</v>
      </c>
      <c r="M76" s="2"/>
      <c r="N76" s="7">
        <f t="shared" si="44"/>
        <v>0</v>
      </c>
      <c r="O76" s="10"/>
      <c r="P76" s="6">
        <v>0</v>
      </c>
      <c r="Q76" s="2"/>
      <c r="R76" s="7">
        <f t="shared" si="45"/>
        <v>0</v>
      </c>
      <c r="S76" s="2"/>
      <c r="T76" s="6">
        <v>15.81</v>
      </c>
      <c r="U76" s="2"/>
      <c r="V76" s="7">
        <f t="shared" si="46"/>
        <v>3.7493928580398048E-5</v>
      </c>
      <c r="W76" s="2"/>
      <c r="X76" s="6">
        <f t="shared" si="47"/>
        <v>-15.81</v>
      </c>
      <c r="Y76" s="2"/>
      <c r="Z76" s="7">
        <f t="shared" si="48"/>
        <v>-1</v>
      </c>
    </row>
    <row r="77" spans="1:26" s="27" customFormat="1" outlineLevel="1" collapsed="1" x14ac:dyDescent="0.25">
      <c r="A77" s="26"/>
      <c r="B77" s="12" t="str">
        <f>CONCATENATE("     ","Inventory Adjustment                              ")</f>
        <v xml:space="preserve">     Inventory Adjustment                              </v>
      </c>
      <c r="C77" s="12"/>
      <c r="D77" s="1">
        <f>SUM(OSRRefD22_5x_0)</f>
        <v>0</v>
      </c>
      <c r="E77" s="1"/>
      <c r="F77" s="5">
        <f t="shared" si="41"/>
        <v>0</v>
      </c>
      <c r="G77" s="1"/>
      <c r="H77" s="1">
        <f>SUM(OSRRefH22_5x_0)</f>
        <v>20749</v>
      </c>
      <c r="I77" s="1"/>
      <c r="J77" s="5">
        <f t="shared" si="42"/>
        <v>1.9694329278478901</v>
      </c>
      <c r="K77" s="1"/>
      <c r="L77" s="1">
        <f t="shared" si="43"/>
        <v>-20749</v>
      </c>
      <c r="M77" s="1"/>
      <c r="N77" s="5">
        <f t="shared" si="44"/>
        <v>-1</v>
      </c>
      <c r="O77" s="12"/>
      <c r="P77" s="1">
        <f>SUM(OSRRefP22_5x_0)</f>
        <v>0</v>
      </c>
      <c r="Q77" s="1"/>
      <c r="R77" s="5">
        <f t="shared" si="45"/>
        <v>0</v>
      </c>
      <c r="S77" s="1"/>
      <c r="T77" s="1">
        <f>SUM(OSRRefT22_5x_0)</f>
        <v>20749</v>
      </c>
      <c r="U77" s="1"/>
      <c r="V77" s="5">
        <f t="shared" si="46"/>
        <v>4.9206927521485082E-2</v>
      </c>
      <c r="W77" s="1"/>
      <c r="X77" s="1">
        <f t="shared" si="47"/>
        <v>-20749</v>
      </c>
      <c r="Y77" s="1"/>
      <c r="Z77" s="5">
        <f t="shared" si="48"/>
        <v>-1</v>
      </c>
    </row>
    <row r="78" spans="1:26" s="23" customFormat="1" hidden="1" outlineLevel="2" x14ac:dyDescent="0.25">
      <c r="A78" s="25"/>
      <c r="B78" s="10" t="str">
        <f>CONCATENATE("          ", "7717", " - ", "INV. SHRINKAGE-DORM/HOUSEWARES")</f>
        <v xml:space="preserve">          7717 - INV. SHRINKAGE-DORM/HOUSEWARES</v>
      </c>
      <c r="C78" s="10"/>
      <c r="D78" s="6"/>
      <c r="E78" s="2"/>
      <c r="F78" s="7">
        <f t="shared" si="41"/>
        <v>0</v>
      </c>
      <c r="G78" s="2"/>
      <c r="H78" s="6">
        <v>-150</v>
      </c>
      <c r="I78" s="2"/>
      <c r="J78" s="7">
        <f t="shared" si="42"/>
        <v>-1.4237550685680443E-2</v>
      </c>
      <c r="K78" s="2"/>
      <c r="L78" s="6">
        <f t="shared" si="43"/>
        <v>150</v>
      </c>
      <c r="M78" s="2"/>
      <c r="N78" s="7">
        <f t="shared" si="44"/>
        <v>-1</v>
      </c>
      <c r="O78" s="10"/>
      <c r="P78" s="6"/>
      <c r="Q78" s="2"/>
      <c r="R78" s="7">
        <f t="shared" si="45"/>
        <v>0</v>
      </c>
      <c r="S78" s="2"/>
      <c r="T78" s="6">
        <v>-150</v>
      </c>
      <c r="U78" s="2"/>
      <c r="V78" s="7">
        <f t="shared" si="46"/>
        <v>-3.5572987267929839E-4</v>
      </c>
      <c r="W78" s="2"/>
      <c r="X78" s="6">
        <f t="shared" si="47"/>
        <v>150</v>
      </c>
      <c r="Y78" s="2"/>
      <c r="Z78" s="7">
        <f t="shared" si="48"/>
        <v>-1</v>
      </c>
    </row>
    <row r="79" spans="1:26" s="23" customFormat="1" hidden="1" outlineLevel="2" x14ac:dyDescent="0.25">
      <c r="A79" s="25"/>
      <c r="B79" s="10" t="str">
        <f>CONCATENATE("          ", "7719", " - ", "INV. SHRINKAGE-BOOK RELATED")</f>
        <v xml:space="preserve">          7719 - INV. SHRINKAGE-BOOK RELATED</v>
      </c>
      <c r="C79" s="10"/>
      <c r="D79" s="6"/>
      <c r="E79" s="2"/>
      <c r="F79" s="7">
        <f t="shared" si="41"/>
        <v>0</v>
      </c>
      <c r="G79" s="2"/>
      <c r="H79" s="6">
        <v>-43</v>
      </c>
      <c r="I79" s="2"/>
      <c r="J79" s="7">
        <f t="shared" si="42"/>
        <v>-4.0814311965617269E-3</v>
      </c>
      <c r="K79" s="2"/>
      <c r="L79" s="6">
        <f t="shared" si="43"/>
        <v>43</v>
      </c>
      <c r="M79" s="2"/>
      <c r="N79" s="7">
        <f t="shared" si="44"/>
        <v>-1</v>
      </c>
      <c r="O79" s="10"/>
      <c r="P79" s="6"/>
      <c r="Q79" s="2"/>
      <c r="R79" s="7">
        <f t="shared" si="45"/>
        <v>0</v>
      </c>
      <c r="S79" s="2"/>
      <c r="T79" s="6">
        <v>-43</v>
      </c>
      <c r="U79" s="2"/>
      <c r="V79" s="7">
        <f t="shared" si="46"/>
        <v>-1.0197589683473221E-4</v>
      </c>
      <c r="W79" s="2"/>
      <c r="X79" s="6">
        <f t="shared" si="47"/>
        <v>43</v>
      </c>
      <c r="Y79" s="2"/>
      <c r="Z79" s="7">
        <f t="shared" si="48"/>
        <v>-1</v>
      </c>
    </row>
    <row r="80" spans="1:26" s="23" customFormat="1" hidden="1" outlineLevel="2" x14ac:dyDescent="0.25">
      <c r="A80" s="25"/>
      <c r="B80" s="10" t="str">
        <f>CONCATENATE("          ", "7725", " - ", "INV. SHRINKAGE-TEST FORMS")</f>
        <v xml:space="preserve">          7725 - INV. SHRINKAGE-TEST FORMS</v>
      </c>
      <c r="C80" s="10"/>
      <c r="D80" s="6"/>
      <c r="E80" s="2"/>
      <c r="F80" s="7">
        <f t="shared" si="41"/>
        <v>0</v>
      </c>
      <c r="G80" s="2"/>
      <c r="H80" s="6">
        <v>4307</v>
      </c>
      <c r="I80" s="2"/>
      <c r="J80" s="7">
        <f t="shared" si="42"/>
        <v>0.4088075386881711</v>
      </c>
      <c r="K80" s="2"/>
      <c r="L80" s="6">
        <f t="shared" si="43"/>
        <v>-4307</v>
      </c>
      <c r="M80" s="2"/>
      <c r="N80" s="7">
        <f t="shared" si="44"/>
        <v>-1</v>
      </c>
      <c r="O80" s="10"/>
      <c r="P80" s="6"/>
      <c r="Q80" s="2"/>
      <c r="R80" s="7">
        <f t="shared" si="45"/>
        <v>0</v>
      </c>
      <c r="S80" s="2"/>
      <c r="T80" s="6">
        <v>4307</v>
      </c>
      <c r="U80" s="2"/>
      <c r="V80" s="7">
        <f t="shared" si="46"/>
        <v>1.0214190410864922E-2</v>
      </c>
      <c r="W80" s="2"/>
      <c r="X80" s="6">
        <f t="shared" si="47"/>
        <v>-4307</v>
      </c>
      <c r="Y80" s="2"/>
      <c r="Z80" s="7">
        <f t="shared" si="48"/>
        <v>-1</v>
      </c>
    </row>
    <row r="81" spans="1:26" s="23" customFormat="1" hidden="1" outlineLevel="2" x14ac:dyDescent="0.25">
      <c r="A81" s="25"/>
      <c r="B81" s="10" t="str">
        <f>CONCATENATE("          ", "7726", " - ", "INV. SHRINKAGE-WRITING INSTRUM")</f>
        <v xml:space="preserve">          7726 - INV. SHRINKAGE-WRITING INSTRUM</v>
      </c>
      <c r="C81" s="10"/>
      <c r="D81" s="6"/>
      <c r="E81" s="2"/>
      <c r="F81" s="7">
        <f t="shared" si="41"/>
        <v>0</v>
      </c>
      <c r="G81" s="2"/>
      <c r="H81" s="6">
        <v>7931</v>
      </c>
      <c r="I81" s="2"/>
      <c r="J81" s="7">
        <f t="shared" si="42"/>
        <v>0.75278676325421057</v>
      </c>
      <c r="K81" s="2"/>
      <c r="L81" s="6">
        <f t="shared" si="43"/>
        <v>-7931</v>
      </c>
      <c r="M81" s="2"/>
      <c r="N81" s="7">
        <f t="shared" si="44"/>
        <v>-1</v>
      </c>
      <c r="O81" s="10"/>
      <c r="P81" s="6"/>
      <c r="Q81" s="2"/>
      <c r="R81" s="7">
        <f t="shared" si="45"/>
        <v>0</v>
      </c>
      <c r="S81" s="2"/>
      <c r="T81" s="6">
        <v>7931</v>
      </c>
      <c r="U81" s="2"/>
      <c r="V81" s="7">
        <f t="shared" si="46"/>
        <v>1.880862413479677E-2</v>
      </c>
      <c r="W81" s="2"/>
      <c r="X81" s="6">
        <f t="shared" si="47"/>
        <v>-7931</v>
      </c>
      <c r="Y81" s="2"/>
      <c r="Z81" s="7">
        <f t="shared" si="48"/>
        <v>-1</v>
      </c>
    </row>
    <row r="82" spans="1:26" s="23" customFormat="1" hidden="1" outlineLevel="2" x14ac:dyDescent="0.25">
      <c r="A82" s="25"/>
      <c r="B82" s="10" t="str">
        <f>CONCATENATE("          ", "7727", " - ", "INV. SHRINKAGE-SCHOOL SUPPLIES")</f>
        <v xml:space="preserve">          7727 - INV. SHRINKAGE-SCHOOL SUPPLIES</v>
      </c>
      <c r="C82" s="10"/>
      <c r="D82" s="6"/>
      <c r="E82" s="2"/>
      <c r="F82" s="7">
        <f t="shared" si="41"/>
        <v>0</v>
      </c>
      <c r="G82" s="2"/>
      <c r="H82" s="6">
        <v>12707</v>
      </c>
      <c r="I82" s="2"/>
      <c r="J82" s="7">
        <f t="shared" si="42"/>
        <v>1.206110377086276</v>
      </c>
      <c r="K82" s="2"/>
      <c r="L82" s="6">
        <f t="shared" si="43"/>
        <v>-12707</v>
      </c>
      <c r="M82" s="2"/>
      <c r="N82" s="7">
        <f t="shared" si="44"/>
        <v>-1</v>
      </c>
      <c r="O82" s="10"/>
      <c r="P82" s="6"/>
      <c r="Q82" s="2"/>
      <c r="R82" s="7">
        <f t="shared" si="45"/>
        <v>0</v>
      </c>
      <c r="S82" s="2"/>
      <c r="T82" s="6">
        <v>12707</v>
      </c>
      <c r="U82" s="2"/>
      <c r="V82" s="7">
        <f t="shared" si="46"/>
        <v>3.0135063280905629E-2</v>
      </c>
      <c r="W82" s="2"/>
      <c r="X82" s="6">
        <f t="shared" si="47"/>
        <v>-12707</v>
      </c>
      <c r="Y82" s="2"/>
      <c r="Z82" s="7">
        <f t="shared" si="48"/>
        <v>-1</v>
      </c>
    </row>
    <row r="83" spans="1:26" s="23" customFormat="1" hidden="1" outlineLevel="2" x14ac:dyDescent="0.25">
      <c r="A83" s="25"/>
      <c r="B83" s="10" t="str">
        <f>CONCATENATE("          ", "7728", " - ", "INV. SHRINKAGE-ART/TECH")</f>
        <v xml:space="preserve">          7728 - INV. SHRINKAGE-ART/TECH</v>
      </c>
      <c r="C83" s="10"/>
      <c r="D83" s="6"/>
      <c r="E83" s="2"/>
      <c r="F83" s="7">
        <f t="shared" si="41"/>
        <v>0</v>
      </c>
      <c r="G83" s="2"/>
      <c r="H83" s="6">
        <v>-4554</v>
      </c>
      <c r="I83" s="2"/>
      <c r="J83" s="7">
        <f t="shared" si="42"/>
        <v>-0.43225203881725827</v>
      </c>
      <c r="K83" s="2"/>
      <c r="L83" s="6">
        <f t="shared" si="43"/>
        <v>4554</v>
      </c>
      <c r="M83" s="2"/>
      <c r="N83" s="7">
        <f t="shared" si="44"/>
        <v>-1</v>
      </c>
      <c r="O83" s="10"/>
      <c r="P83" s="6"/>
      <c r="Q83" s="2"/>
      <c r="R83" s="7">
        <f t="shared" si="45"/>
        <v>0</v>
      </c>
      <c r="S83" s="2"/>
      <c r="T83" s="6">
        <v>-4554</v>
      </c>
      <c r="U83" s="2"/>
      <c r="V83" s="7">
        <f t="shared" si="46"/>
        <v>-1.0799958934543498E-2</v>
      </c>
      <c r="W83" s="2"/>
      <c r="X83" s="6">
        <f t="shared" si="47"/>
        <v>4554</v>
      </c>
      <c r="Y83" s="2"/>
      <c r="Z83" s="7">
        <f t="shared" si="48"/>
        <v>-1</v>
      </c>
    </row>
    <row r="84" spans="1:26" s="23" customFormat="1" hidden="1" outlineLevel="2" x14ac:dyDescent="0.25">
      <c r="A84" s="25"/>
      <c r="B84" s="10" t="str">
        <f>CONCATENATE("          ", "7731", " - ", "INV. SHRINKAGE-FOOD")</f>
        <v xml:space="preserve">          7731 - INV. SHRINKAGE-FOOD</v>
      </c>
      <c r="C84" s="10"/>
      <c r="D84" s="6"/>
      <c r="E84" s="2"/>
      <c r="F84" s="7">
        <f t="shared" si="41"/>
        <v>0</v>
      </c>
      <c r="G84" s="2"/>
      <c r="H84" s="6">
        <v>-193</v>
      </c>
      <c r="I84" s="2"/>
      <c r="J84" s="7">
        <f t="shared" si="42"/>
        <v>-1.831898188224217E-2</v>
      </c>
      <c r="K84" s="2"/>
      <c r="L84" s="6">
        <f t="shared" si="43"/>
        <v>193</v>
      </c>
      <c r="M84" s="2"/>
      <c r="N84" s="7">
        <f t="shared" si="44"/>
        <v>-1</v>
      </c>
      <c r="O84" s="10"/>
      <c r="P84" s="6"/>
      <c r="Q84" s="2"/>
      <c r="R84" s="7">
        <f t="shared" si="45"/>
        <v>0</v>
      </c>
      <c r="S84" s="2"/>
      <c r="T84" s="6">
        <v>-193</v>
      </c>
      <c r="U84" s="2"/>
      <c r="V84" s="7">
        <f t="shared" si="46"/>
        <v>-4.577057695140306E-4</v>
      </c>
      <c r="W84" s="2"/>
      <c r="X84" s="6">
        <f t="shared" si="47"/>
        <v>193</v>
      </c>
      <c r="Y84" s="2"/>
      <c r="Z84" s="7">
        <f t="shared" si="48"/>
        <v>-1</v>
      </c>
    </row>
    <row r="85" spans="1:26" s="23" customFormat="1" hidden="1" outlineLevel="2" x14ac:dyDescent="0.25">
      <c r="A85" s="25"/>
      <c r="B85" s="10" t="str">
        <f>CONCATENATE("          ", "7733", " - ", "INV. SHRINKAGE-CANDY")</f>
        <v xml:space="preserve">          7733 - INV. SHRINKAGE-CANDY</v>
      </c>
      <c r="C85" s="10"/>
      <c r="D85" s="6"/>
      <c r="E85" s="2"/>
      <c r="F85" s="7">
        <f t="shared" si="41"/>
        <v>0</v>
      </c>
      <c r="G85" s="2"/>
      <c r="H85" s="6">
        <v>421</v>
      </c>
      <c r="I85" s="2"/>
      <c r="J85" s="7">
        <f t="shared" si="42"/>
        <v>3.9960058924476446E-2</v>
      </c>
      <c r="K85" s="2"/>
      <c r="L85" s="6">
        <f t="shared" si="43"/>
        <v>-421</v>
      </c>
      <c r="M85" s="2"/>
      <c r="N85" s="7">
        <f t="shared" si="44"/>
        <v>-1</v>
      </c>
      <c r="O85" s="10"/>
      <c r="P85" s="6"/>
      <c r="Q85" s="2"/>
      <c r="R85" s="7">
        <f t="shared" si="45"/>
        <v>0</v>
      </c>
      <c r="S85" s="2"/>
      <c r="T85" s="6">
        <v>421</v>
      </c>
      <c r="U85" s="2"/>
      <c r="V85" s="7">
        <f t="shared" si="46"/>
        <v>9.9841517598656419E-4</v>
      </c>
      <c r="W85" s="2"/>
      <c r="X85" s="6">
        <f t="shared" si="47"/>
        <v>-421</v>
      </c>
      <c r="Y85" s="2"/>
      <c r="Z85" s="7">
        <f t="shared" si="48"/>
        <v>-1</v>
      </c>
    </row>
    <row r="86" spans="1:26" s="23" customFormat="1" hidden="1" outlineLevel="2" x14ac:dyDescent="0.25">
      <c r="A86" s="25"/>
      <c r="B86" s="10" t="str">
        <f>CONCATENATE("          ", "7735", " - ", "INV. SHRINKAGE-HEALTH/BEAUTY")</f>
        <v xml:space="preserve">          7735 - INV. SHRINKAGE-HEALTH/BEAUTY</v>
      </c>
      <c r="C86" s="10"/>
      <c r="D86" s="6"/>
      <c r="E86" s="2"/>
      <c r="F86" s="7">
        <f t="shared" si="41"/>
        <v>0</v>
      </c>
      <c r="G86" s="2"/>
      <c r="H86" s="6">
        <v>323</v>
      </c>
      <c r="I86" s="2"/>
      <c r="J86" s="7">
        <f t="shared" si="42"/>
        <v>3.0658192476498553E-2</v>
      </c>
      <c r="K86" s="2"/>
      <c r="L86" s="6">
        <f t="shared" si="43"/>
        <v>-323</v>
      </c>
      <c r="M86" s="2"/>
      <c r="N86" s="7">
        <f t="shared" si="44"/>
        <v>-1</v>
      </c>
      <c r="O86" s="10"/>
      <c r="P86" s="6"/>
      <c r="Q86" s="2"/>
      <c r="R86" s="7">
        <f t="shared" si="45"/>
        <v>0</v>
      </c>
      <c r="S86" s="2"/>
      <c r="T86" s="6">
        <v>323</v>
      </c>
      <c r="U86" s="2"/>
      <c r="V86" s="7">
        <f t="shared" si="46"/>
        <v>7.660049925027559E-4</v>
      </c>
      <c r="W86" s="2"/>
      <c r="X86" s="6">
        <f t="shared" si="47"/>
        <v>-323</v>
      </c>
      <c r="Y86" s="2"/>
      <c r="Z86" s="7">
        <f t="shared" si="48"/>
        <v>-1</v>
      </c>
    </row>
    <row r="87" spans="1:26" s="27" customFormat="1" outlineLevel="1" collapsed="1" x14ac:dyDescent="0.25">
      <c r="A87" s="26"/>
      <c r="B87" s="12" t="str">
        <f>CONCATENATE("     ","Subscriptions &amp; Dues                              ")</f>
        <v xml:space="preserve">     Subscriptions &amp; Dues                              </v>
      </c>
      <c r="C87" s="12"/>
      <c r="D87" s="1">
        <f>SUM(OSRRefD22_6x_0)</f>
        <v>0</v>
      </c>
      <c r="E87" s="1"/>
      <c r="F87" s="5">
        <f t="shared" ref="F87:F91" si="49">IF(D$12=0,0,D87/D$12)</f>
        <v>0</v>
      </c>
      <c r="G87" s="1"/>
      <c r="H87" s="1">
        <f>SUM(OSRRefH22_6x_0)</f>
        <v>0</v>
      </c>
      <c r="I87" s="1"/>
      <c r="J87" s="5">
        <f t="shared" ref="J87:J91" si="50">IF(H$12=0,0,H87/H$12)</f>
        <v>0</v>
      </c>
      <c r="K87" s="1"/>
      <c r="L87" s="1">
        <f t="shared" ref="L87:L91" si="51">+D87-H87</f>
        <v>0</v>
      </c>
      <c r="M87" s="1"/>
      <c r="N87" s="5">
        <f t="shared" ref="N87:N91" si="52">IF(H87=0,0,L87/H87)</f>
        <v>0</v>
      </c>
      <c r="O87" s="12"/>
      <c r="P87" s="1">
        <f>SUM(OSRRefP22_6x_0)</f>
        <v>0</v>
      </c>
      <c r="Q87" s="1"/>
      <c r="R87" s="5">
        <f t="shared" ref="R87:R91" si="53">IF(P$12=0,0,P87/P$12)</f>
        <v>0</v>
      </c>
      <c r="S87" s="1"/>
      <c r="T87" s="1">
        <f>SUM(OSRRefT22_6x_0)</f>
        <v>120</v>
      </c>
      <c r="U87" s="1"/>
      <c r="V87" s="5">
        <f t="shared" ref="V87:V91" si="54">IF(T$12=0,0,T87/T$12)</f>
        <v>2.8458389814343873E-4</v>
      </c>
      <c r="W87" s="1"/>
      <c r="X87" s="1">
        <f t="shared" ref="X87:X91" si="55">+P87-T87</f>
        <v>-120</v>
      </c>
      <c r="Y87" s="1"/>
      <c r="Z87" s="5">
        <f t="shared" ref="Z87:Z91" si="56">IF(T87=0,0,X87/T87)</f>
        <v>-1</v>
      </c>
    </row>
    <row r="88" spans="1:26" s="23" customFormat="1" hidden="1" outlineLevel="2" x14ac:dyDescent="0.25">
      <c r="A88" s="25"/>
      <c r="B88" s="10" t="str">
        <f>CONCATENATE("          ", "6258", " - ", "MEMBERSHIP DUES")</f>
        <v xml:space="preserve">          6258 - MEMBERSHIP DUES</v>
      </c>
      <c r="C88" s="10"/>
      <c r="D88" s="6"/>
      <c r="E88" s="2"/>
      <c r="F88" s="7">
        <f t="shared" si="49"/>
        <v>0</v>
      </c>
      <c r="G88" s="2"/>
      <c r="H88" s="6"/>
      <c r="I88" s="2"/>
      <c r="J88" s="7">
        <f t="shared" si="50"/>
        <v>0</v>
      </c>
      <c r="K88" s="2"/>
      <c r="L88" s="6">
        <f t="shared" si="51"/>
        <v>0</v>
      </c>
      <c r="M88" s="2"/>
      <c r="N88" s="7">
        <f t="shared" si="52"/>
        <v>0</v>
      </c>
      <c r="O88" s="10"/>
      <c r="P88" s="6"/>
      <c r="Q88" s="2"/>
      <c r="R88" s="7">
        <f t="shared" si="53"/>
        <v>0</v>
      </c>
      <c r="S88" s="2"/>
      <c r="T88" s="6">
        <v>120</v>
      </c>
      <c r="U88" s="2"/>
      <c r="V88" s="7">
        <f t="shared" si="54"/>
        <v>2.8458389814343873E-4</v>
      </c>
      <c r="W88" s="2"/>
      <c r="X88" s="6">
        <f t="shared" si="55"/>
        <v>-120</v>
      </c>
      <c r="Y88" s="2"/>
      <c r="Z88" s="7">
        <f t="shared" si="56"/>
        <v>-1</v>
      </c>
    </row>
    <row r="89" spans="1:26" s="27" customFormat="1" outlineLevel="1" collapsed="1" x14ac:dyDescent="0.25">
      <c r="A89" s="26"/>
      <c r="B89" s="12" t="str">
        <f>CONCATENATE("     ","Supplies                                          ")</f>
        <v xml:space="preserve">     Supplies                                          </v>
      </c>
      <c r="C89" s="12"/>
      <c r="D89" s="1">
        <f>SUM(OSRRefD22_7x_0)</f>
        <v>0</v>
      </c>
      <c r="E89" s="1"/>
      <c r="F89" s="5">
        <f t="shared" si="49"/>
        <v>0</v>
      </c>
      <c r="G89" s="1"/>
      <c r="H89" s="1">
        <f>SUM(OSRRefH22_7x_0)</f>
        <v>0</v>
      </c>
      <c r="I89" s="1"/>
      <c r="J89" s="5">
        <f t="shared" si="50"/>
        <v>0</v>
      </c>
      <c r="K89" s="1"/>
      <c r="L89" s="1">
        <f t="shared" si="51"/>
        <v>0</v>
      </c>
      <c r="M89" s="1"/>
      <c r="N89" s="5">
        <f t="shared" si="52"/>
        <v>0</v>
      </c>
      <c r="O89" s="12"/>
      <c r="P89" s="1">
        <f>SUM(OSRRefP22_7x_0)</f>
        <v>0</v>
      </c>
      <c r="Q89" s="1"/>
      <c r="R89" s="5">
        <f t="shared" si="53"/>
        <v>0</v>
      </c>
      <c r="S89" s="1"/>
      <c r="T89" s="1">
        <f>SUM(OSRRefT22_7x_0)</f>
        <v>355.52</v>
      </c>
      <c r="U89" s="1"/>
      <c r="V89" s="5">
        <f t="shared" si="54"/>
        <v>8.4312722889962771E-4</v>
      </c>
      <c r="W89" s="1"/>
      <c r="X89" s="1">
        <f t="shared" si="55"/>
        <v>-355.52</v>
      </c>
      <c r="Y89" s="1"/>
      <c r="Z89" s="5">
        <f t="shared" si="56"/>
        <v>-1</v>
      </c>
    </row>
    <row r="90" spans="1:26" s="23" customFormat="1" hidden="1" outlineLevel="2" x14ac:dyDescent="0.25">
      <c r="A90" s="25"/>
      <c r="B90" s="10" t="str">
        <f>CONCATENATE("          ", "6241", " - ", "OFFICE EXPENSE")</f>
        <v xml:space="preserve">          6241 - OFFICE EXPENSE</v>
      </c>
      <c r="C90" s="10"/>
      <c r="D90" s="6"/>
      <c r="E90" s="2"/>
      <c r="F90" s="7">
        <f t="shared" si="49"/>
        <v>0</v>
      </c>
      <c r="G90" s="2"/>
      <c r="H90" s="6"/>
      <c r="I90" s="2"/>
      <c r="J90" s="7">
        <f t="shared" si="50"/>
        <v>0</v>
      </c>
      <c r="K90" s="2"/>
      <c r="L90" s="6">
        <f t="shared" si="51"/>
        <v>0</v>
      </c>
      <c r="M90" s="2"/>
      <c r="N90" s="7">
        <f t="shared" si="52"/>
        <v>0</v>
      </c>
      <c r="O90" s="10"/>
      <c r="P90" s="6"/>
      <c r="Q90" s="2"/>
      <c r="R90" s="7">
        <f t="shared" si="53"/>
        <v>0</v>
      </c>
      <c r="S90" s="2"/>
      <c r="T90" s="6">
        <v>252.29</v>
      </c>
      <c r="U90" s="2"/>
      <c r="V90" s="7">
        <f t="shared" si="54"/>
        <v>5.9831393052173459E-4</v>
      </c>
      <c r="W90" s="2"/>
      <c r="X90" s="6">
        <f t="shared" si="55"/>
        <v>-252.29</v>
      </c>
      <c r="Y90" s="2"/>
      <c r="Z90" s="7">
        <f t="shared" si="56"/>
        <v>-1</v>
      </c>
    </row>
    <row r="91" spans="1:26" s="23" customFormat="1" hidden="1" outlineLevel="2" x14ac:dyDescent="0.25">
      <c r="A91" s="25"/>
      <c r="B91" s="10" t="str">
        <f>CONCATENATE("          ", "6247", " - ", "STORE SUPPLIES")</f>
        <v xml:space="preserve">          6247 - STORE SUPPLIES</v>
      </c>
      <c r="C91" s="10"/>
      <c r="D91" s="6"/>
      <c r="E91" s="2"/>
      <c r="F91" s="7">
        <f t="shared" si="49"/>
        <v>0</v>
      </c>
      <c r="G91" s="2"/>
      <c r="H91" s="6"/>
      <c r="I91" s="2"/>
      <c r="J91" s="7">
        <f t="shared" si="50"/>
        <v>0</v>
      </c>
      <c r="K91" s="2"/>
      <c r="L91" s="6">
        <f t="shared" si="51"/>
        <v>0</v>
      </c>
      <c r="M91" s="2"/>
      <c r="N91" s="7">
        <f t="shared" si="52"/>
        <v>0</v>
      </c>
      <c r="O91" s="10"/>
      <c r="P91" s="6"/>
      <c r="Q91" s="2"/>
      <c r="R91" s="7">
        <f t="shared" si="53"/>
        <v>0</v>
      </c>
      <c r="S91" s="2"/>
      <c r="T91" s="6">
        <v>103.23</v>
      </c>
      <c r="U91" s="2"/>
      <c r="V91" s="7">
        <f t="shared" si="54"/>
        <v>2.4481329837789317E-4</v>
      </c>
      <c r="W91" s="2"/>
      <c r="X91" s="6">
        <f t="shared" si="55"/>
        <v>-103.23</v>
      </c>
      <c r="Y91" s="2"/>
      <c r="Z91" s="7">
        <f t="shared" si="56"/>
        <v>-1</v>
      </c>
    </row>
    <row r="92" spans="1:26" s="27" customFormat="1" outlineLevel="1" collapsed="1" x14ac:dyDescent="0.25">
      <c r="A92" s="26"/>
      <c r="B92" s="12" t="str">
        <f>CONCATENATE("     ","Training                                          ")</f>
        <v xml:space="preserve">     Training                                          </v>
      </c>
      <c r="C92" s="12"/>
      <c r="D92" s="1">
        <f>SUM(OSRRefD22_8x_0)</f>
        <v>0</v>
      </c>
      <c r="E92" s="1"/>
      <c r="F92" s="5">
        <f t="shared" ref="F92:F95" si="57">IF(D$12=0,0,D92/D$12)</f>
        <v>0</v>
      </c>
      <c r="G92" s="1"/>
      <c r="H92" s="1">
        <f>SUM(OSRRefH22_8x_0)</f>
        <v>0</v>
      </c>
      <c r="I92" s="1"/>
      <c r="J92" s="5">
        <f t="shared" ref="J92:J95" si="58">IF(H$12=0,0,H92/H$12)</f>
        <v>0</v>
      </c>
      <c r="K92" s="1"/>
      <c r="L92" s="1">
        <f t="shared" ref="L92:L95" si="59">+D92-H92</f>
        <v>0</v>
      </c>
      <c r="M92" s="1"/>
      <c r="N92" s="5">
        <f t="shared" ref="N92:N95" si="60">IF(H92=0,0,L92/H92)</f>
        <v>0</v>
      </c>
      <c r="O92" s="12"/>
      <c r="P92" s="1">
        <f>SUM(OSRRefP22_8x_0)</f>
        <v>0</v>
      </c>
      <c r="Q92" s="1"/>
      <c r="R92" s="5">
        <f t="shared" ref="R92:R95" si="61">IF(P$12=0,0,P92/P$12)</f>
        <v>0</v>
      </c>
      <c r="S92" s="1"/>
      <c r="T92" s="1">
        <f>SUM(OSRRefT22_8x_0)</f>
        <v>60</v>
      </c>
      <c r="U92" s="1"/>
      <c r="V92" s="5">
        <f t="shared" ref="V92:V95" si="62">IF(T$12=0,0,T92/T$12)</f>
        <v>1.4229194907171936E-4</v>
      </c>
      <c r="W92" s="1"/>
      <c r="X92" s="1">
        <f t="shared" ref="X92:X95" si="63">+P92-T92</f>
        <v>-60</v>
      </c>
      <c r="Y92" s="1"/>
      <c r="Z92" s="5">
        <f t="shared" ref="Z92:Z95" si="64">IF(T92=0,0,X92/T92)</f>
        <v>-1</v>
      </c>
    </row>
    <row r="93" spans="1:26" s="23" customFormat="1" hidden="1" outlineLevel="2" x14ac:dyDescent="0.25">
      <c r="A93" s="25"/>
      <c r="B93" s="10" t="str">
        <f>CONCATENATE("          ", "6376", " - ", "TRAINING")</f>
        <v xml:space="preserve">          6376 - TRAINING</v>
      </c>
      <c r="C93" s="10"/>
      <c r="D93" s="6"/>
      <c r="E93" s="2"/>
      <c r="F93" s="7">
        <f t="shared" si="57"/>
        <v>0</v>
      </c>
      <c r="G93" s="2"/>
      <c r="H93" s="6"/>
      <c r="I93" s="2"/>
      <c r="J93" s="7">
        <f t="shared" si="58"/>
        <v>0</v>
      </c>
      <c r="K93" s="2"/>
      <c r="L93" s="6">
        <f t="shared" si="59"/>
        <v>0</v>
      </c>
      <c r="M93" s="2"/>
      <c r="N93" s="7">
        <f t="shared" si="60"/>
        <v>0</v>
      </c>
      <c r="O93" s="10"/>
      <c r="P93" s="6"/>
      <c r="Q93" s="2"/>
      <c r="R93" s="7">
        <f t="shared" si="61"/>
        <v>0</v>
      </c>
      <c r="S93" s="2"/>
      <c r="T93" s="6">
        <v>60</v>
      </c>
      <c r="U93" s="2"/>
      <c r="V93" s="7">
        <f t="shared" si="62"/>
        <v>1.4229194907171936E-4</v>
      </c>
      <c r="W93" s="2"/>
      <c r="X93" s="6">
        <f t="shared" si="63"/>
        <v>-60</v>
      </c>
      <c r="Y93" s="2"/>
      <c r="Z93" s="7">
        <f t="shared" si="64"/>
        <v>-1</v>
      </c>
    </row>
    <row r="94" spans="1:26" s="27" customFormat="1" outlineLevel="1" collapsed="1" x14ac:dyDescent="0.25">
      <c r="A94" s="26"/>
      <c r="B94" s="12" t="str">
        <f>CONCATENATE("     ","Travel                                            ")</f>
        <v xml:space="preserve">     Travel                                            </v>
      </c>
      <c r="C94" s="12"/>
      <c r="D94" s="1">
        <f>SUM(OSRRefD22_9x_0)</f>
        <v>0</v>
      </c>
      <c r="E94" s="1"/>
      <c r="F94" s="5">
        <f t="shared" si="57"/>
        <v>0</v>
      </c>
      <c r="G94" s="1"/>
      <c r="H94" s="1">
        <f>SUM(OSRRefH22_9x_0)</f>
        <v>0</v>
      </c>
      <c r="I94" s="1"/>
      <c r="J94" s="5">
        <f t="shared" si="58"/>
        <v>0</v>
      </c>
      <c r="K94" s="1"/>
      <c r="L94" s="1">
        <f t="shared" si="59"/>
        <v>0</v>
      </c>
      <c r="M94" s="1"/>
      <c r="N94" s="5">
        <f t="shared" si="60"/>
        <v>0</v>
      </c>
      <c r="O94" s="12"/>
      <c r="P94" s="1">
        <f>SUM(OSRRefP22_9x_0)</f>
        <v>0</v>
      </c>
      <c r="Q94" s="1"/>
      <c r="R94" s="5">
        <f t="shared" si="61"/>
        <v>0</v>
      </c>
      <c r="S94" s="1"/>
      <c r="T94" s="1">
        <f>SUM(OSRRefT22_9x_0)</f>
        <v>-323.01</v>
      </c>
      <c r="U94" s="1"/>
      <c r="V94" s="5">
        <f t="shared" si="62"/>
        <v>-7.6602870782760109E-4</v>
      </c>
      <c r="W94" s="1"/>
      <c r="X94" s="1">
        <f t="shared" si="63"/>
        <v>323.01</v>
      </c>
      <c r="Y94" s="1"/>
      <c r="Z94" s="5">
        <f t="shared" si="64"/>
        <v>-1</v>
      </c>
    </row>
    <row r="95" spans="1:26" s="23" customFormat="1" hidden="1" outlineLevel="2" x14ac:dyDescent="0.25">
      <c r="A95" s="25"/>
      <c r="B95" s="10" t="str">
        <f>CONCATENATE("          ", "6292", " - ", "TRAVEL/CONFERENCE")</f>
        <v xml:space="preserve">          6292 - TRAVEL/CONFERENCE</v>
      </c>
      <c r="C95" s="10"/>
      <c r="D95" s="6"/>
      <c r="E95" s="2"/>
      <c r="F95" s="7">
        <f t="shared" si="57"/>
        <v>0</v>
      </c>
      <c r="G95" s="2"/>
      <c r="H95" s="6"/>
      <c r="I95" s="2"/>
      <c r="J95" s="7">
        <f t="shared" si="58"/>
        <v>0</v>
      </c>
      <c r="K95" s="2"/>
      <c r="L95" s="6">
        <f t="shared" si="59"/>
        <v>0</v>
      </c>
      <c r="M95" s="2"/>
      <c r="N95" s="7">
        <f t="shared" si="60"/>
        <v>0</v>
      </c>
      <c r="O95" s="10"/>
      <c r="P95" s="6"/>
      <c r="Q95" s="2"/>
      <c r="R95" s="7">
        <f t="shared" si="61"/>
        <v>0</v>
      </c>
      <c r="S95" s="2"/>
      <c r="T95" s="6">
        <v>-323.01</v>
      </c>
      <c r="U95" s="2"/>
      <c r="V95" s="7">
        <f t="shared" si="62"/>
        <v>-7.6602870782760109E-4</v>
      </c>
      <c r="W95" s="2"/>
      <c r="X95" s="6">
        <f t="shared" si="63"/>
        <v>323.01</v>
      </c>
      <c r="Y95" s="2"/>
      <c r="Z95" s="7">
        <f t="shared" si="64"/>
        <v>-1</v>
      </c>
    </row>
    <row r="96" spans="1:26" s="52" customFormat="1" x14ac:dyDescent="0.25">
      <c r="A96" s="37"/>
      <c r="B96" s="37"/>
      <c r="C96" s="37"/>
      <c r="D96" s="1"/>
      <c r="E96" s="1"/>
      <c r="F96" s="5"/>
      <c r="G96" s="1"/>
      <c r="H96" s="1"/>
      <c r="I96" s="1"/>
      <c r="J96" s="5"/>
      <c r="K96" s="1"/>
      <c r="L96" s="1"/>
      <c r="M96" s="1"/>
      <c r="N96" s="5"/>
      <c r="O96" s="37"/>
      <c r="P96" s="1"/>
      <c r="Q96" s="1"/>
      <c r="R96" s="5"/>
      <c r="S96" s="1"/>
      <c r="T96" s="1"/>
      <c r="U96" s="1"/>
      <c r="V96" s="5"/>
      <c r="W96" s="1"/>
      <c r="X96" s="1"/>
      <c r="Y96" s="1"/>
      <c r="Z96" s="5"/>
    </row>
    <row r="97" spans="1:26" s="24" customFormat="1" x14ac:dyDescent="0.25">
      <c r="A97" s="11"/>
      <c r="B97" s="29" t="s">
        <v>292</v>
      </c>
      <c r="C97" s="11"/>
      <c r="D97" s="4">
        <f>SUM(0)</f>
        <v>0</v>
      </c>
      <c r="E97" s="4"/>
      <c r="F97" s="13">
        <f>IF(D$12=0,0,D97/D$12)</f>
        <v>0</v>
      </c>
      <c r="G97" s="4"/>
      <c r="H97" s="4">
        <f>SUM(0)</f>
        <v>0</v>
      </c>
      <c r="I97" s="4"/>
      <c r="J97" s="13">
        <f>IF(H$12=0,0,H97/H$12)</f>
        <v>0</v>
      </c>
      <c r="K97" s="4"/>
      <c r="L97" s="4">
        <f>+D97-H97</f>
        <v>0</v>
      </c>
      <c r="M97" s="4"/>
      <c r="N97" s="13">
        <f>IF(H97=0,0,L97/H97)</f>
        <v>0</v>
      </c>
      <c r="O97" s="11"/>
      <c r="P97" s="4">
        <f>SUM(0)</f>
        <v>0</v>
      </c>
      <c r="Q97" s="4"/>
      <c r="R97" s="13">
        <f>IF(P$12=0,0,P97/P$12)</f>
        <v>0</v>
      </c>
      <c r="S97" s="4"/>
      <c r="T97" s="4">
        <f>SUM(0)</f>
        <v>0</v>
      </c>
      <c r="U97" s="4"/>
      <c r="V97" s="13">
        <f>IF(T$12=0,0,T97/T$12)</f>
        <v>0</v>
      </c>
      <c r="W97" s="4"/>
      <c r="X97" s="4">
        <f>+P97-T97</f>
        <v>0</v>
      </c>
      <c r="Y97" s="4"/>
      <c r="Z97" s="13">
        <f>IF(T97=0,0,X97/T97)</f>
        <v>0</v>
      </c>
    </row>
    <row r="98" spans="1:26" x14ac:dyDescent="0.25">
      <c r="A98" s="9"/>
      <c r="B98" s="11"/>
      <c r="C98" s="11"/>
      <c r="D98" s="3"/>
      <c r="E98" s="3"/>
      <c r="F98" s="8"/>
      <c r="G98" s="3"/>
      <c r="H98" s="3"/>
      <c r="I98" s="3"/>
      <c r="J98" s="8"/>
      <c r="K98" s="3"/>
      <c r="L98" s="3"/>
      <c r="M98" s="3"/>
      <c r="N98" s="8"/>
      <c r="O98" s="11"/>
      <c r="P98" s="3"/>
      <c r="Q98" s="3"/>
      <c r="R98" s="8"/>
      <c r="S98" s="3"/>
      <c r="T98" s="3"/>
      <c r="U98" s="3"/>
      <c r="V98" s="8"/>
      <c r="W98" s="3"/>
      <c r="X98" s="3"/>
      <c r="Y98" s="3"/>
      <c r="Z98" s="8"/>
    </row>
    <row r="99" spans="1:26" s="24" customFormat="1" x14ac:dyDescent="0.25">
      <c r="A99" s="11"/>
      <c r="B99" s="28" t="s">
        <v>276</v>
      </c>
      <c r="C99" s="28"/>
      <c r="D99" s="21">
        <f>+D53-D55+D97</f>
        <v>0</v>
      </c>
      <c r="E99" s="14"/>
      <c r="F99" s="22">
        <f>IF(D$12=0,0,D99/D$12)</f>
        <v>0</v>
      </c>
      <c r="G99" s="14"/>
      <c r="H99" s="21">
        <f>+H53-H55+H97</f>
        <v>-51859.68</v>
      </c>
      <c r="I99" s="14"/>
      <c r="J99" s="22">
        <f>IF(H$12=0,0,H99/H$12)</f>
        <v>-4.9223654836211228</v>
      </c>
      <c r="K99" s="15"/>
      <c r="L99" s="21">
        <f>+D99-H99</f>
        <v>51859.68</v>
      </c>
      <c r="M99" s="15"/>
      <c r="N99" s="22">
        <f>IF(H99=0,0,L99/H99)</f>
        <v>-1</v>
      </c>
      <c r="O99" s="29"/>
      <c r="P99" s="21">
        <f>+P53-P55+P97</f>
        <v>0</v>
      </c>
      <c r="Q99" s="14"/>
      <c r="R99" s="22">
        <f>IF(P$12=0,0,P99/P$12)</f>
        <v>0</v>
      </c>
      <c r="S99" s="14"/>
      <c r="T99" s="21">
        <f>+T53-T55+T97</f>
        <v>52706.589999999967</v>
      </c>
      <c r="U99" s="14"/>
      <c r="V99" s="22">
        <f>IF(T$12=0,0,T99/T$12)</f>
        <v>0.12499539033373314</v>
      </c>
      <c r="W99" s="15"/>
      <c r="X99" s="21">
        <f>+P99-T99</f>
        <v>-52706.589999999967</v>
      </c>
      <c r="Y99" s="15"/>
      <c r="Z99" s="22">
        <f>IF(T99=0,0,X99/T99)</f>
        <v>-1</v>
      </c>
    </row>
    <row r="100" spans="1:26" x14ac:dyDescent="0.25">
      <c r="A100" s="9"/>
      <c r="B100" s="11"/>
      <c r="C100" s="9"/>
      <c r="D100" s="3"/>
      <c r="E100" s="3"/>
      <c r="F100" s="8"/>
      <c r="G100" s="3"/>
      <c r="H100" s="3"/>
      <c r="I100" s="3"/>
      <c r="J100" s="8"/>
      <c r="K100" s="3"/>
      <c r="L100" s="3"/>
      <c r="M100" s="3"/>
      <c r="N100" s="8"/>
      <c r="P100" s="3"/>
      <c r="Q100" s="3"/>
      <c r="R100" s="8"/>
      <c r="S100" s="3"/>
      <c r="T100" s="3"/>
      <c r="U100" s="3"/>
      <c r="V100" s="8"/>
      <c r="W100" s="3"/>
      <c r="X100" s="3"/>
      <c r="Y100" s="3"/>
      <c r="Z100" s="8"/>
    </row>
    <row r="101" spans="1:26" s="24" customFormat="1" x14ac:dyDescent="0.25">
      <c r="A101" s="51"/>
      <c r="B101" s="11" t="s">
        <v>127</v>
      </c>
      <c r="C101" s="11"/>
      <c r="D101" s="4"/>
      <c r="E101" s="4"/>
      <c r="F101" s="13">
        <f>IF(D$12=0,0,D101/D$12)</f>
        <v>0</v>
      </c>
      <c r="G101" s="4"/>
      <c r="H101" s="4">
        <v>15163.54</v>
      </c>
      <c r="I101" s="4"/>
      <c r="J101" s="13">
        <f>IF(H$12=0,0,H101/H$12)</f>
        <v>1.4392777954956189</v>
      </c>
      <c r="K101" s="4"/>
      <c r="L101" s="4">
        <f>+D101-H101</f>
        <v>-15163.54</v>
      </c>
      <c r="M101" s="4"/>
      <c r="N101" s="13">
        <f>IF(H101=0,0,L101/H101)</f>
        <v>-1</v>
      </c>
      <c r="O101" s="11"/>
      <c r="P101" s="4"/>
      <c r="Q101" s="4"/>
      <c r="R101" s="13">
        <f>IF(P$12=0,0,P101/P$12)</f>
        <v>0</v>
      </c>
      <c r="S101" s="4"/>
      <c r="T101" s="4">
        <v>63850.12</v>
      </c>
      <c r="U101" s="4"/>
      <c r="V101" s="13">
        <f>IF(T$12=0,0,T101/T$12)</f>
        <v>0.15142263372105283</v>
      </c>
      <c r="W101" s="4"/>
      <c r="X101" s="4">
        <f>+P101-T101</f>
        <v>-63850.12</v>
      </c>
      <c r="Y101" s="4"/>
      <c r="Z101" s="13">
        <f>IF(T101=0,0,X101/T101)</f>
        <v>-1</v>
      </c>
    </row>
    <row r="102" spans="1:26" x14ac:dyDescent="0.25">
      <c r="A102" s="9"/>
      <c r="B102" s="11"/>
      <c r="C102" s="11"/>
      <c r="D102" s="3"/>
      <c r="E102" s="3"/>
      <c r="F102" s="8"/>
      <c r="G102" s="3"/>
      <c r="H102" s="3"/>
      <c r="I102" s="3"/>
      <c r="J102" s="8"/>
      <c r="K102" s="3"/>
      <c r="L102" s="3"/>
      <c r="M102" s="3"/>
      <c r="N102" s="8"/>
      <c r="O102" s="11"/>
      <c r="P102" s="3"/>
      <c r="Q102" s="3"/>
      <c r="R102" s="8"/>
      <c r="S102" s="3"/>
      <c r="T102" s="3"/>
      <c r="U102" s="3"/>
      <c r="V102" s="8"/>
      <c r="W102" s="3"/>
      <c r="X102" s="3"/>
      <c r="Y102" s="3"/>
      <c r="Z102" s="8"/>
    </row>
    <row r="103" spans="1:26" s="24" customFormat="1" ht="15.75" thickBot="1" x14ac:dyDescent="0.3">
      <c r="A103" s="11"/>
      <c r="B103" s="28" t="s">
        <v>125</v>
      </c>
      <c r="C103" s="28"/>
      <c r="D103" s="34">
        <f>+D99-D101</f>
        <v>0</v>
      </c>
      <c r="E103" s="14"/>
      <c r="F103" s="31">
        <f>IF(D$12=0,0,D103/D$12)</f>
        <v>0</v>
      </c>
      <c r="G103" s="14"/>
      <c r="H103" s="34">
        <f>+H99-H101</f>
        <v>-67023.22</v>
      </c>
      <c r="I103" s="14"/>
      <c r="J103" s="31">
        <f>IF(H$12=0,0,H103/H$12)</f>
        <v>-6.3616432791167412</v>
      </c>
      <c r="K103" s="15"/>
      <c r="L103" s="34">
        <f>D103-H103</f>
        <v>67023.22</v>
      </c>
      <c r="M103" s="15"/>
      <c r="N103" s="31">
        <f>IF(H103=0,0,L103/H103)</f>
        <v>-1</v>
      </c>
      <c r="O103" s="29"/>
      <c r="P103" s="34">
        <f>+P99-P101</f>
        <v>0</v>
      </c>
      <c r="Q103" s="14"/>
      <c r="R103" s="31">
        <f>IF(P$12=0,0,P103/P$12)</f>
        <v>0</v>
      </c>
      <c r="S103" s="14"/>
      <c r="T103" s="34">
        <f>+T99-T101</f>
        <v>-11143.530000000035</v>
      </c>
      <c r="U103" s="14"/>
      <c r="V103" s="31">
        <f>IF(T$12=0,0,T103/T$12)</f>
        <v>-2.6427243387319697E-2</v>
      </c>
      <c r="W103" s="15"/>
      <c r="X103" s="34">
        <f>P103-T103</f>
        <v>11143.530000000035</v>
      </c>
      <c r="Y103" s="15"/>
      <c r="Z103" s="31">
        <f>IF(T103=0,0,X103/T103)</f>
        <v>-1</v>
      </c>
    </row>
    <row r="104" spans="1:26" ht="15.75" thickTop="1" x14ac:dyDescent="0.25">
      <c r="A104" s="9"/>
      <c r="B104" s="9"/>
      <c r="C104" s="9"/>
      <c r="D104" s="3"/>
      <c r="E104" s="3"/>
      <c r="F104" s="8"/>
      <c r="G104" s="3"/>
      <c r="H104" s="3"/>
      <c r="I104" s="3"/>
      <c r="J104" s="8"/>
      <c r="K104" s="3"/>
      <c r="L104" s="3"/>
      <c r="M104" s="3"/>
      <c r="N104" s="8"/>
      <c r="P104" s="3"/>
      <c r="Q104" s="3"/>
      <c r="R104" s="8"/>
      <c r="S104" s="3"/>
      <c r="T104" s="3"/>
      <c r="U104" s="3"/>
      <c r="V104" s="8"/>
      <c r="W104" s="3"/>
      <c r="X104" s="3"/>
      <c r="Y104" s="3"/>
      <c r="Z104" s="8"/>
    </row>
    <row r="105" spans="1:26" x14ac:dyDescent="0.25">
      <c r="A105" s="9"/>
      <c r="B105" s="9"/>
      <c r="C105" s="9"/>
      <c r="D105" s="3"/>
      <c r="E105" s="3"/>
      <c r="F105" s="8"/>
      <c r="G105" s="3"/>
      <c r="H105" s="3"/>
      <c r="I105" s="3"/>
      <c r="J105" s="8"/>
      <c r="K105" s="3"/>
      <c r="L105" s="3"/>
      <c r="M105" s="3"/>
      <c r="N105" s="8"/>
      <c r="P105" s="3"/>
      <c r="Q105" s="3"/>
      <c r="R105" s="8"/>
      <c r="S105" s="3"/>
      <c r="T105" s="3"/>
      <c r="U105" s="3"/>
      <c r="V105" s="8"/>
      <c r="W105" s="3"/>
      <c r="X105" s="3"/>
      <c r="Y105" s="3"/>
      <c r="Z105" s="8"/>
    </row>
    <row r="106" spans="1:26" s="24" customFormat="1" ht="15.75" thickBot="1" x14ac:dyDescent="0.3">
      <c r="A106" s="11"/>
      <c r="B106" s="28" t="s">
        <v>293</v>
      </c>
      <c r="C106" s="28"/>
      <c r="D106" s="33">
        <f>SUM(D103:D105)</f>
        <v>0</v>
      </c>
      <c r="E106" s="14"/>
      <c r="F106" s="35">
        <f>IF(D$12=0,0,D106/D$12)</f>
        <v>0</v>
      </c>
      <c r="G106" s="14"/>
      <c r="H106" s="33">
        <f>SUM(H103:H105)</f>
        <v>-67023.22</v>
      </c>
      <c r="I106" s="14"/>
      <c r="J106" s="35">
        <f>IF(H$12=0,0,H106/H$12)</f>
        <v>-6.3616432791167412</v>
      </c>
      <c r="K106" s="15"/>
      <c r="L106" s="33">
        <f>+D106-H106</f>
        <v>67023.22</v>
      </c>
      <c r="M106" s="15"/>
      <c r="N106" s="35">
        <f>IF(H106=0,0,L106/H106)</f>
        <v>-1</v>
      </c>
      <c r="O106" s="29"/>
      <c r="P106" s="33">
        <f>SUM(P103:P105)</f>
        <v>0</v>
      </c>
      <c r="Q106" s="14"/>
      <c r="R106" s="35">
        <f>IF(P$12=0,0,P106/P$12)</f>
        <v>0</v>
      </c>
      <c r="S106" s="14"/>
      <c r="T106" s="33">
        <f>SUM(T103:T105)</f>
        <v>-11143.530000000035</v>
      </c>
      <c r="U106" s="14"/>
      <c r="V106" s="35">
        <f>IF(T$12=0,0,T106/T$12)</f>
        <v>-2.6427243387319697E-2</v>
      </c>
      <c r="W106" s="15"/>
      <c r="X106" s="33">
        <f>+P106-T106</f>
        <v>11143.530000000035</v>
      </c>
      <c r="Y106" s="15"/>
      <c r="Z106" s="35">
        <f>IF(T106=0,0,X106/T106)</f>
        <v>-1</v>
      </c>
    </row>
    <row r="107" spans="1:26" ht="15.75" thickTop="1" x14ac:dyDescent="0.25">
      <c r="A107" s="9"/>
      <c r="C107" s="9"/>
      <c r="D107" s="18"/>
      <c r="E107" s="18"/>
      <c r="G107" s="18"/>
      <c r="H107" s="18"/>
      <c r="I107" s="18"/>
      <c r="J107" s="43"/>
      <c r="K107" s="18"/>
      <c r="L107" s="18"/>
      <c r="M107" s="18"/>
      <c r="P107" s="18"/>
      <c r="Q107" s="18"/>
      <c r="R107" s="43"/>
      <c r="S107" s="18"/>
      <c r="T107" s="18"/>
      <c r="U107" s="18"/>
      <c r="V107" s="43"/>
      <c r="W107" s="18"/>
      <c r="X107" s="18"/>
    </row>
    <row r="108" spans="1:26" x14ac:dyDescent="0.25">
      <c r="A108" s="9"/>
      <c r="B108" s="56">
        <v>44454.698585613427</v>
      </c>
      <c r="D108" s="18"/>
      <c r="E108" s="18"/>
      <c r="G108" s="18"/>
      <c r="H108" s="18"/>
      <c r="I108" s="18"/>
      <c r="J108" s="43"/>
      <c r="K108" s="18"/>
      <c r="L108" s="18"/>
      <c r="M108" s="18"/>
      <c r="P108" s="18"/>
      <c r="Q108" s="18"/>
      <c r="R108" s="43"/>
      <c r="S108" s="18"/>
      <c r="T108" s="18"/>
      <c r="U108" s="18"/>
      <c r="V108" s="43"/>
      <c r="W108" s="18"/>
      <c r="X108" s="18"/>
    </row>
    <row r="109" spans="1:26" x14ac:dyDescent="0.25">
      <c r="A109" s="9"/>
      <c r="B109" s="55" t="s">
        <v>56</v>
      </c>
      <c r="D109" s="18"/>
      <c r="E109" s="18"/>
      <c r="G109" s="18"/>
      <c r="H109" s="18"/>
      <c r="I109" s="18"/>
      <c r="J109" s="43"/>
      <c r="K109" s="18"/>
      <c r="L109" s="18"/>
      <c r="M109" s="18"/>
      <c r="P109" s="18"/>
      <c r="Q109" s="18"/>
      <c r="R109" s="43"/>
      <c r="S109" s="18"/>
      <c r="T109" s="18"/>
      <c r="U109" s="18"/>
      <c r="V109" s="43"/>
      <c r="W109" s="18"/>
      <c r="X109" s="18"/>
    </row>
    <row r="110" spans="1:26" x14ac:dyDescent="0.25">
      <c r="A110" s="9"/>
      <c r="B110" s="60"/>
      <c r="D110" s="18"/>
      <c r="E110" s="18"/>
      <c r="G110" s="18"/>
      <c r="H110" s="18"/>
      <c r="I110" s="18"/>
      <c r="J110" s="43"/>
      <c r="K110" s="18"/>
      <c r="L110" s="18"/>
      <c r="M110" s="18"/>
      <c r="P110" s="18"/>
      <c r="Q110" s="18"/>
      <c r="R110" s="43"/>
      <c r="S110" s="18"/>
      <c r="T110" s="18"/>
      <c r="U110" s="18"/>
      <c r="V110" s="43"/>
      <c r="W110" s="18"/>
      <c r="X110" s="18"/>
    </row>
    <row r="111" spans="1:26" x14ac:dyDescent="0.25">
      <c r="D111" s="18"/>
      <c r="E111" s="18"/>
      <c r="G111" s="18"/>
      <c r="H111" s="18"/>
      <c r="I111" s="18"/>
      <c r="J111" s="43"/>
      <c r="K111" s="18"/>
      <c r="L111" s="18"/>
      <c r="M111" s="18"/>
      <c r="P111" s="18"/>
      <c r="Q111" s="18"/>
      <c r="R111" s="43"/>
      <c r="S111" s="18"/>
      <c r="T111" s="18"/>
      <c r="U111" s="18"/>
      <c r="V111" s="43"/>
      <c r="W111" s="18"/>
      <c r="X111" s="18"/>
    </row>
  </sheetData>
  <pageMargins left="0.25" right="0.25" top="0.75" bottom="0.75" header="0.3" footer="0.3"/>
  <pageSetup scale="55" fitToWidth="2" orientation="landscape"/>
  <drawing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rgb="FFFFFF00"/>
    <outlinePr summaryBelow="0" summaryRight="0"/>
  </sheetPr>
  <dimension ref="A2:Z145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62" t="s">
        <v>23</v>
      </c>
    </row>
    <row r="3" spans="1:26" x14ac:dyDescent="0.25">
      <c r="D3" s="62" t="s">
        <v>236</v>
      </c>
      <c r="E3" s="17"/>
      <c r="F3" s="46"/>
      <c r="G3" s="17"/>
      <c r="H3" s="17"/>
      <c r="I3" s="17"/>
      <c r="J3" s="38"/>
      <c r="K3" s="17"/>
      <c r="L3" s="17"/>
      <c r="M3" s="17"/>
      <c r="N3" s="46"/>
      <c r="O3" s="53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2" t="str">
        <f>CONCATENATE("Period ",RIGHT(202112,2),", ",2021)</f>
        <v>Period 12, 2021</v>
      </c>
      <c r="E4" s="17"/>
      <c r="F4" s="46"/>
      <c r="G4" s="17"/>
      <c r="H4" s="17"/>
      <c r="I4" s="17"/>
      <c r="J4" s="38"/>
      <c r="K4" s="17"/>
      <c r="L4" s="17"/>
      <c r="M4" s="17"/>
      <c r="N4" s="46"/>
      <c r="O4" s="53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4"/>
      <c r="D5" s="63">
        <v>44377</v>
      </c>
      <c r="E5" s="17"/>
      <c r="F5" s="46"/>
      <c r="G5" s="17"/>
      <c r="H5" s="17"/>
      <c r="I5" s="17"/>
      <c r="J5" s="38"/>
      <c r="K5" s="17"/>
      <c r="L5" s="17"/>
      <c r="M5" s="17"/>
      <c r="N5" s="46"/>
      <c r="O5" s="53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4"/>
      <c r="B6" s="48"/>
      <c r="C6" s="48"/>
      <c r="D6" s="24" t="s">
        <v>21</v>
      </c>
      <c r="E6" s="17"/>
      <c r="F6" s="46"/>
      <c r="G6" s="17"/>
      <c r="H6" s="17"/>
      <c r="I6" s="17"/>
      <c r="J6" s="38"/>
      <c r="K6" s="17"/>
      <c r="L6" s="17"/>
      <c r="M6" s="17"/>
      <c r="N6" s="46"/>
      <c r="O6" s="54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9"/>
    </row>
    <row r="8" spans="1:26" x14ac:dyDescent="0.25">
      <c r="B8" s="59"/>
    </row>
    <row r="9" spans="1:26" x14ac:dyDescent="0.25">
      <c r="B9" s="9"/>
      <c r="C9" s="9"/>
      <c r="D9" s="16" t="s">
        <v>291</v>
      </c>
      <c r="E9" s="16"/>
      <c r="F9" s="39"/>
      <c r="G9" s="16"/>
      <c r="H9" s="16"/>
      <c r="I9" s="16"/>
      <c r="J9" s="49"/>
      <c r="K9" s="16"/>
      <c r="L9" s="16"/>
      <c r="M9" s="16"/>
      <c r="N9" s="39"/>
      <c r="P9" s="16" t="s">
        <v>39</v>
      </c>
      <c r="Q9" s="16"/>
      <c r="R9" s="39"/>
      <c r="S9" s="16"/>
      <c r="T9" s="16"/>
      <c r="U9" s="16"/>
      <c r="V9" s="49"/>
      <c r="W9" s="16"/>
      <c r="X9" s="16"/>
      <c r="Y9" s="16"/>
      <c r="Z9" s="39"/>
    </row>
    <row r="10" spans="1:26" x14ac:dyDescent="0.25">
      <c r="A10" s="11"/>
      <c r="B10" s="58"/>
      <c r="C10" s="11"/>
      <c r="D10" s="42" t="s">
        <v>57</v>
      </c>
      <c r="E10" s="36"/>
      <c r="F10" s="30" t="s">
        <v>40</v>
      </c>
      <c r="G10" s="36"/>
      <c r="H10" s="50" t="s">
        <v>237</v>
      </c>
      <c r="I10" s="36"/>
      <c r="J10" s="30" t="s">
        <v>40</v>
      </c>
      <c r="K10" s="11"/>
      <c r="L10" s="42" t="s">
        <v>126</v>
      </c>
      <c r="M10" s="11"/>
      <c r="N10" s="30" t="s">
        <v>257</v>
      </c>
      <c r="O10" s="11"/>
      <c r="P10" s="61" t="s">
        <v>57</v>
      </c>
      <c r="Q10" s="36"/>
      <c r="R10" s="30" t="s">
        <v>40</v>
      </c>
      <c r="S10" s="36"/>
      <c r="T10" s="50" t="s">
        <v>237</v>
      </c>
      <c r="U10" s="36"/>
      <c r="V10" s="30" t="s">
        <v>40</v>
      </c>
      <c r="W10" s="11"/>
      <c r="X10" s="42" t="s">
        <v>126</v>
      </c>
      <c r="Y10" s="11"/>
      <c r="Z10" s="30" t="s">
        <v>257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4" customFormat="1" collapsed="1" x14ac:dyDescent="0.25">
      <c r="A12" s="11"/>
      <c r="B12" s="29" t="s">
        <v>139</v>
      </c>
      <c r="C12" s="11"/>
      <c r="D12" s="4">
        <f>SUM(OSRRefD13x_0)</f>
        <v>4051.7399999999975</v>
      </c>
      <c r="E12" s="4"/>
      <c r="F12" s="13"/>
      <c r="G12" s="4"/>
      <c r="H12" s="4">
        <f>SUM(OSRRefH13x_0)</f>
        <v>21864.080000000005</v>
      </c>
      <c r="I12" s="4"/>
      <c r="J12" s="13"/>
      <c r="K12" s="4"/>
      <c r="L12" s="4">
        <f t="shared" ref="L12:L43" si="0">+D12-H12</f>
        <v>-17812.340000000007</v>
      </c>
      <c r="M12" s="4"/>
      <c r="N12" s="13">
        <f t="shared" ref="N12:N43" si="1">IF(H12=0,0,L12/H12)</f>
        <v>-0.81468509079732621</v>
      </c>
      <c r="O12" s="11"/>
      <c r="P12" s="4">
        <f>SUM(OSRRefP13x_0)</f>
        <v>2747382.1500000004</v>
      </c>
      <c r="Q12" s="4"/>
      <c r="R12" s="13"/>
      <c r="S12" s="4"/>
      <c r="T12" s="4">
        <f>SUM(OSRRefT13x_0)</f>
        <v>4951110.9999999981</v>
      </c>
      <c r="U12" s="4"/>
      <c r="V12" s="13"/>
      <c r="W12" s="4"/>
      <c r="X12" s="4">
        <f t="shared" ref="X12:X43" si="2">+P12-T12</f>
        <v>-2203728.8499999978</v>
      </c>
      <c r="Y12" s="4"/>
      <c r="Z12" s="13">
        <f t="shared" ref="Z12:Z43" si="3">IF(T12=0,0,X12/T12)</f>
        <v>-0.44509784773558875</v>
      </c>
    </row>
    <row r="13" spans="1:26" s="23" customFormat="1" hidden="1" outlineLevel="1" x14ac:dyDescent="0.25">
      <c r="A13" s="44"/>
      <c r="B13" s="10" t="str">
        <f>CONCATENATE("          ", "4000", " - ", "TAXABLE SALES")</f>
        <v xml:space="preserve">          4000 - TAXABLE SALES</v>
      </c>
      <c r="C13" s="10"/>
      <c r="D13" s="2">
        <f>-260.84</f>
        <v>-260.83999999999997</v>
      </c>
      <c r="E13" s="2"/>
      <c r="F13" s="19"/>
      <c r="G13" s="2"/>
      <c r="H13" s="2">
        <f>0</f>
        <v>0</v>
      </c>
      <c r="I13" s="2"/>
      <c r="J13" s="19"/>
      <c r="K13" s="2"/>
      <c r="L13" s="2">
        <f t="shared" si="0"/>
        <v>-260.83999999999997</v>
      </c>
      <c r="M13" s="2"/>
      <c r="N13" s="19">
        <f t="shared" si="1"/>
        <v>0</v>
      </c>
      <c r="O13" s="10"/>
      <c r="P13" s="2">
        <f>-9541.2</f>
        <v>-9541.2000000000007</v>
      </c>
      <c r="Q13" s="2"/>
      <c r="R13" s="19"/>
      <c r="S13" s="2"/>
      <c r="T13" s="2">
        <f>0</f>
        <v>0</v>
      </c>
      <c r="U13" s="2"/>
      <c r="V13" s="19"/>
      <c r="W13" s="2"/>
      <c r="X13" s="2">
        <f t="shared" si="2"/>
        <v>-9541.2000000000007</v>
      </c>
      <c r="Y13" s="2"/>
      <c r="Z13" s="19">
        <f t="shared" si="3"/>
        <v>0</v>
      </c>
    </row>
    <row r="14" spans="1:26" s="23" customFormat="1" hidden="1" outlineLevel="1" x14ac:dyDescent="0.25">
      <c r="A14" s="44"/>
      <c r="B14" s="10" t="str">
        <f>CONCATENATE("          ", "4001", " - ", "TAXABLE SALES-NEW TEXT")</f>
        <v xml:space="preserve">          4001 - TAXABLE SALES-NEW TEXT</v>
      </c>
      <c r="C14" s="10"/>
      <c r="D14" s="2">
        <f>--9691.34</f>
        <v>9691.34</v>
      </c>
      <c r="E14" s="2"/>
      <c r="F14" s="19"/>
      <c r="G14" s="2"/>
      <c r="H14" s="2">
        <f>--15904.07</f>
        <v>15904.07</v>
      </c>
      <c r="I14" s="2"/>
      <c r="J14" s="19"/>
      <c r="K14" s="2"/>
      <c r="L14" s="2">
        <f t="shared" si="0"/>
        <v>-6212.73</v>
      </c>
      <c r="M14" s="2"/>
      <c r="N14" s="19">
        <f t="shared" si="1"/>
        <v>-0.39063774241436311</v>
      </c>
      <c r="O14" s="10"/>
      <c r="P14" s="2">
        <f>--1308779.9</f>
        <v>1308779.8999999999</v>
      </c>
      <c r="Q14" s="2"/>
      <c r="R14" s="19"/>
      <c r="S14" s="2"/>
      <c r="T14" s="2">
        <f>--2451163.71</f>
        <v>2451163.71</v>
      </c>
      <c r="U14" s="2"/>
      <c r="V14" s="19"/>
      <c r="W14" s="2"/>
      <c r="X14" s="2">
        <f t="shared" si="2"/>
        <v>-1142383.81</v>
      </c>
      <c r="Y14" s="2"/>
      <c r="Z14" s="19">
        <f t="shared" si="3"/>
        <v>-0.46605773630680919</v>
      </c>
    </row>
    <row r="15" spans="1:26" s="23" customFormat="1" hidden="1" outlineLevel="1" x14ac:dyDescent="0.25">
      <c r="A15" s="44"/>
      <c r="B15" s="10" t="str">
        <f>CONCATENATE("          ", "4002", " - ", "TAXABLE SALES-USED TEXT")</f>
        <v xml:space="preserve">          4002 - TAXABLE SALES-USED TEXT</v>
      </c>
      <c r="C15" s="10"/>
      <c r="D15" s="2">
        <f>--6642.8</f>
        <v>6642.8</v>
      </c>
      <c r="E15" s="2"/>
      <c r="F15" s="19"/>
      <c r="G15" s="2"/>
      <c r="H15" s="2">
        <f>--15376.45</f>
        <v>15376.45</v>
      </c>
      <c r="I15" s="2"/>
      <c r="J15" s="19"/>
      <c r="K15" s="2"/>
      <c r="L15" s="2">
        <f t="shared" si="0"/>
        <v>-8733.6500000000015</v>
      </c>
      <c r="M15" s="2"/>
      <c r="N15" s="19">
        <f t="shared" si="1"/>
        <v>-0.56798871000783668</v>
      </c>
      <c r="O15" s="10"/>
      <c r="P15" s="2">
        <f>--596913.27</f>
        <v>596913.27</v>
      </c>
      <c r="Q15" s="2"/>
      <c r="R15" s="19"/>
      <c r="S15" s="2"/>
      <c r="T15" s="2">
        <f>--1271803.19</f>
        <v>1271803.19</v>
      </c>
      <c r="U15" s="2"/>
      <c r="V15" s="19"/>
      <c r="W15" s="2"/>
      <c r="X15" s="2">
        <f t="shared" si="2"/>
        <v>-674889.91999999993</v>
      </c>
      <c r="Y15" s="2"/>
      <c r="Z15" s="19">
        <f t="shared" si="3"/>
        <v>-0.53065594213519773</v>
      </c>
    </row>
    <row r="16" spans="1:26" s="23" customFormat="1" hidden="1" outlineLevel="1" x14ac:dyDescent="0.25">
      <c r="A16" s="44"/>
      <c r="B16" s="10" t="str">
        <f>CONCATENATE("          ", "4003", " - ", "TAXABLE SALES-RENTAL TEXT")</f>
        <v xml:space="preserve">          4003 - TAXABLE SALES-RENTAL TEXT</v>
      </c>
      <c r="C16" s="10"/>
      <c r="D16" s="2">
        <f>--1103.98</f>
        <v>1103.98</v>
      </c>
      <c r="E16" s="2"/>
      <c r="F16" s="19"/>
      <c r="G16" s="2"/>
      <c r="H16" s="2">
        <f>--895</f>
        <v>895</v>
      </c>
      <c r="I16" s="2"/>
      <c r="J16" s="19"/>
      <c r="K16" s="2"/>
      <c r="L16" s="2">
        <f t="shared" si="0"/>
        <v>208.98000000000002</v>
      </c>
      <c r="M16" s="2"/>
      <c r="N16" s="19">
        <f t="shared" si="1"/>
        <v>0.23349720670391064</v>
      </c>
      <c r="O16" s="10"/>
      <c r="P16" s="2">
        <f>--19596.82</f>
        <v>19596.82</v>
      </c>
      <c r="Q16" s="2"/>
      <c r="R16" s="19"/>
      <c r="S16" s="2"/>
      <c r="T16" s="2">
        <f>--34659.88</f>
        <v>34659.879999999997</v>
      </c>
      <c r="U16" s="2"/>
      <c r="V16" s="19"/>
      <c r="W16" s="2"/>
      <c r="X16" s="2">
        <f t="shared" si="2"/>
        <v>-15063.059999999998</v>
      </c>
      <c r="Y16" s="2"/>
      <c r="Z16" s="19">
        <f t="shared" si="3"/>
        <v>-0.43459642676200838</v>
      </c>
    </row>
    <row r="17" spans="1:26" s="23" customFormat="1" hidden="1" outlineLevel="1" x14ac:dyDescent="0.25">
      <c r="A17" s="44"/>
      <c r="B17" s="10" t="str">
        <f>CONCATENATE("          ", "4004", " - ", "TAXABLE SALES-DIGITAL TEXT")</f>
        <v xml:space="preserve">          4004 - TAXABLE SALES-DIGITAL TEXT</v>
      </c>
      <c r="C17" s="10"/>
      <c r="D17" s="2">
        <f t="shared" ref="D17:D18" si="4">0</f>
        <v>0</v>
      </c>
      <c r="E17" s="2"/>
      <c r="F17" s="19"/>
      <c r="G17" s="2"/>
      <c r="H17" s="2">
        <f t="shared" ref="H17:H18" si="5">0</f>
        <v>0</v>
      </c>
      <c r="I17" s="2"/>
      <c r="J17" s="19"/>
      <c r="K17" s="2"/>
      <c r="L17" s="2">
        <f t="shared" si="0"/>
        <v>0</v>
      </c>
      <c r="M17" s="2"/>
      <c r="N17" s="19">
        <f t="shared" si="1"/>
        <v>0</v>
      </c>
      <c r="O17" s="10"/>
      <c r="P17" s="2">
        <f>--2659.66</f>
        <v>2659.66</v>
      </c>
      <c r="Q17" s="2"/>
      <c r="R17" s="19"/>
      <c r="S17" s="2"/>
      <c r="T17" s="2">
        <f>--42195.3</f>
        <v>42195.3</v>
      </c>
      <c r="U17" s="2"/>
      <c r="V17" s="19"/>
      <c r="W17" s="2"/>
      <c r="X17" s="2">
        <f t="shared" si="2"/>
        <v>-39535.64</v>
      </c>
      <c r="Y17" s="2"/>
      <c r="Z17" s="19">
        <f t="shared" si="3"/>
        <v>-0.93696786134948673</v>
      </c>
    </row>
    <row r="18" spans="1:26" s="23" customFormat="1" hidden="1" outlineLevel="1" x14ac:dyDescent="0.25">
      <c r="A18" s="44"/>
      <c r="B18" s="10" t="str">
        <f>CONCATENATE("          ", "4011", " - ", "TAXABLE SALES-NO VALUE TEXT")</f>
        <v xml:space="preserve">          4011 - TAXABLE SALES-NO VALUE TEXT</v>
      </c>
      <c r="C18" s="10"/>
      <c r="D18" s="2">
        <f t="shared" si="4"/>
        <v>0</v>
      </c>
      <c r="E18" s="2"/>
      <c r="F18" s="19"/>
      <c r="G18" s="2"/>
      <c r="H18" s="2">
        <f t="shared" si="5"/>
        <v>0</v>
      </c>
      <c r="I18" s="2"/>
      <c r="J18" s="19"/>
      <c r="K18" s="2"/>
      <c r="L18" s="2">
        <f t="shared" si="0"/>
        <v>0</v>
      </c>
      <c r="M18" s="2"/>
      <c r="N18" s="19">
        <f t="shared" si="1"/>
        <v>0</v>
      </c>
      <c r="O18" s="10"/>
      <c r="P18" s="2">
        <f>0</f>
        <v>0</v>
      </c>
      <c r="Q18" s="2"/>
      <c r="R18" s="19"/>
      <c r="S18" s="2"/>
      <c r="T18" s="2">
        <f>--1052.48</f>
        <v>1052.48</v>
      </c>
      <c r="U18" s="2"/>
      <c r="V18" s="19"/>
      <c r="W18" s="2"/>
      <c r="X18" s="2">
        <f t="shared" si="2"/>
        <v>-1052.48</v>
      </c>
      <c r="Y18" s="2"/>
      <c r="Z18" s="19">
        <f t="shared" si="3"/>
        <v>-1</v>
      </c>
    </row>
    <row r="19" spans="1:26" s="23" customFormat="1" hidden="1" outlineLevel="1" x14ac:dyDescent="0.25">
      <c r="A19" s="44"/>
      <c r="B19" s="10" t="str">
        <f>CONCATENATE("          ", "4013", " - ", "TAXABLE SALES-TRADE BOOKS")</f>
        <v xml:space="preserve">          4013 - TAXABLE SALES-TRADE BOOKS</v>
      </c>
      <c r="C19" s="10"/>
      <c r="D19" s="2">
        <f>--92.84</f>
        <v>92.84</v>
      </c>
      <c r="E19" s="2"/>
      <c r="F19" s="19"/>
      <c r="G19" s="2"/>
      <c r="H19" s="2">
        <f>--64.99</f>
        <v>64.989999999999995</v>
      </c>
      <c r="I19" s="2"/>
      <c r="J19" s="19"/>
      <c r="K19" s="2"/>
      <c r="L19" s="2">
        <f t="shared" si="0"/>
        <v>27.850000000000009</v>
      </c>
      <c r="M19" s="2"/>
      <c r="N19" s="19">
        <f t="shared" si="1"/>
        <v>0.42852746576396383</v>
      </c>
      <c r="O19" s="10"/>
      <c r="P19" s="2">
        <f>--1418.63</f>
        <v>1418.63</v>
      </c>
      <c r="Q19" s="2"/>
      <c r="R19" s="19"/>
      <c r="S19" s="2"/>
      <c r="T19" s="2">
        <f>--2778.35</f>
        <v>2778.35</v>
      </c>
      <c r="U19" s="2"/>
      <c r="V19" s="19"/>
      <c r="W19" s="2"/>
      <c r="X19" s="2">
        <f t="shared" si="2"/>
        <v>-1359.7199999999998</v>
      </c>
      <c r="Y19" s="2"/>
      <c r="Z19" s="19">
        <f t="shared" si="3"/>
        <v>-0.48939838393290974</v>
      </c>
    </row>
    <row r="20" spans="1:26" s="23" customFormat="1" hidden="1" outlineLevel="1" x14ac:dyDescent="0.25">
      <c r="A20" s="44"/>
      <c r="B20" s="10" t="str">
        <f>CONCATENATE("          ", "4014", " - ", "TAXABLE SALES-REMAINDERS")</f>
        <v xml:space="preserve">          4014 - TAXABLE SALES-REMAINDERS</v>
      </c>
      <c r="C20" s="10"/>
      <c r="D20" s="2">
        <f>--31.84</f>
        <v>31.84</v>
      </c>
      <c r="E20" s="2"/>
      <c r="F20" s="19"/>
      <c r="G20" s="2"/>
      <c r="H20" s="2">
        <f>--13.9</f>
        <v>13.9</v>
      </c>
      <c r="I20" s="2"/>
      <c r="J20" s="19"/>
      <c r="K20" s="2"/>
      <c r="L20" s="2">
        <f t="shared" si="0"/>
        <v>17.939999999999998</v>
      </c>
      <c r="M20" s="2"/>
      <c r="N20" s="19">
        <f t="shared" si="1"/>
        <v>1.2906474820143883</v>
      </c>
      <c r="O20" s="10"/>
      <c r="P20" s="2">
        <f>--547.56</f>
        <v>547.55999999999995</v>
      </c>
      <c r="Q20" s="2"/>
      <c r="R20" s="19"/>
      <c r="S20" s="2"/>
      <c r="T20" s="2">
        <f>--1233.88</f>
        <v>1233.8800000000001</v>
      </c>
      <c r="U20" s="2"/>
      <c r="V20" s="19"/>
      <c r="W20" s="2"/>
      <c r="X20" s="2">
        <f t="shared" si="2"/>
        <v>-686.32000000000016</v>
      </c>
      <c r="Y20" s="2"/>
      <c r="Z20" s="19">
        <f t="shared" si="3"/>
        <v>-0.55622913087172177</v>
      </c>
    </row>
    <row r="21" spans="1:26" s="23" customFormat="1" hidden="1" outlineLevel="1" x14ac:dyDescent="0.25">
      <c r="A21" s="44"/>
      <c r="B21" s="10" t="str">
        <f>CONCATENATE("          ", "4018", " - ", "TAXABLE SALES-STUDY GUIDES")</f>
        <v xml:space="preserve">          4018 - TAXABLE SALES-STUDY GUIDES</v>
      </c>
      <c r="C21" s="10"/>
      <c r="D21" s="2">
        <f>--114.01</f>
        <v>114.01</v>
      </c>
      <c r="E21" s="2"/>
      <c r="F21" s="19"/>
      <c r="G21" s="2"/>
      <c r="H21" s="2">
        <f>0</f>
        <v>0</v>
      </c>
      <c r="I21" s="2"/>
      <c r="J21" s="19"/>
      <c r="K21" s="2"/>
      <c r="L21" s="2">
        <f t="shared" si="0"/>
        <v>114.01</v>
      </c>
      <c r="M21" s="2"/>
      <c r="N21" s="19">
        <f t="shared" si="1"/>
        <v>0</v>
      </c>
      <c r="O21" s="10"/>
      <c r="P21" s="2">
        <f>--622.49</f>
        <v>622.49</v>
      </c>
      <c r="Q21" s="2"/>
      <c r="R21" s="19"/>
      <c r="S21" s="2"/>
      <c r="T21" s="2">
        <f>--4179.3</f>
        <v>4179.3</v>
      </c>
      <c r="U21" s="2"/>
      <c r="V21" s="19"/>
      <c r="W21" s="2"/>
      <c r="X21" s="2">
        <f t="shared" si="2"/>
        <v>-3556.8100000000004</v>
      </c>
      <c r="Y21" s="2"/>
      <c r="Z21" s="19">
        <f t="shared" si="3"/>
        <v>-0.85105400425908651</v>
      </c>
    </row>
    <row r="22" spans="1:26" s="23" customFormat="1" hidden="1" outlineLevel="1" x14ac:dyDescent="0.25">
      <c r="A22" s="44"/>
      <c r="B22" s="10" t="str">
        <f>CONCATENATE("          ", "4100", " - ", "NON-TAXABLE SALES")</f>
        <v xml:space="preserve">          4100 - NON-TAXABLE SALES</v>
      </c>
      <c r="C22" s="10"/>
      <c r="D22" s="2">
        <f>-14487.2</f>
        <v>-14487.2</v>
      </c>
      <c r="E22" s="2"/>
      <c r="F22" s="19"/>
      <c r="G22" s="2"/>
      <c r="H22" s="2">
        <f>-16200.52</f>
        <v>-16200.52</v>
      </c>
      <c r="I22" s="2"/>
      <c r="J22" s="19"/>
      <c r="K22" s="2"/>
      <c r="L22" s="2">
        <f t="shared" si="0"/>
        <v>1713.3199999999997</v>
      </c>
      <c r="M22" s="2"/>
      <c r="N22" s="19">
        <f t="shared" si="1"/>
        <v>-0.10575709915484192</v>
      </c>
      <c r="O22" s="10"/>
      <c r="P22" s="2">
        <f>--262897.78</f>
        <v>262897.78000000003</v>
      </c>
      <c r="Q22" s="2"/>
      <c r="R22" s="19"/>
      <c r="S22" s="2"/>
      <c r="T22" s="2">
        <f>--591246.5</f>
        <v>591246.5</v>
      </c>
      <c r="U22" s="2"/>
      <c r="V22" s="19"/>
      <c r="W22" s="2"/>
      <c r="X22" s="2">
        <f t="shared" si="2"/>
        <v>-328348.71999999997</v>
      </c>
      <c r="Y22" s="2"/>
      <c r="Z22" s="19">
        <f t="shared" si="3"/>
        <v>-0.55534995978834545</v>
      </c>
    </row>
    <row r="23" spans="1:26" s="23" customFormat="1" hidden="1" outlineLevel="1" x14ac:dyDescent="0.25">
      <c r="A23" s="44"/>
      <c r="B23" s="10" t="str">
        <f>CONCATENATE("          ", "4101", " - ", "NON-TAXABLE SALES-NEW TEXT")</f>
        <v xml:space="preserve">          4101 - NON-TAXABLE SALES-NEW TEXT</v>
      </c>
      <c r="C23" s="10"/>
      <c r="D23" s="2">
        <f>--1301.39</f>
        <v>1301.3900000000001</v>
      </c>
      <c r="E23" s="2"/>
      <c r="F23" s="19"/>
      <c r="G23" s="2"/>
      <c r="H23" s="2">
        <f>--2671.34</f>
        <v>2671.34</v>
      </c>
      <c r="I23" s="2"/>
      <c r="J23" s="19"/>
      <c r="K23" s="2"/>
      <c r="L23" s="2">
        <f t="shared" si="0"/>
        <v>-1369.95</v>
      </c>
      <c r="M23" s="2"/>
      <c r="N23" s="19">
        <f t="shared" si="1"/>
        <v>-0.51283251102442973</v>
      </c>
      <c r="O23" s="10"/>
      <c r="P23" s="2">
        <f>--120548.46</f>
        <v>120548.46</v>
      </c>
      <c r="Q23" s="2"/>
      <c r="R23" s="19"/>
      <c r="S23" s="2"/>
      <c r="T23" s="2">
        <f>--153953.68</f>
        <v>153953.68</v>
      </c>
      <c r="U23" s="2"/>
      <c r="V23" s="19"/>
      <c r="W23" s="2"/>
      <c r="X23" s="2">
        <f t="shared" si="2"/>
        <v>-33405.219999999987</v>
      </c>
      <c r="Y23" s="2"/>
      <c r="Z23" s="19">
        <f t="shared" si="3"/>
        <v>-0.21698227674713583</v>
      </c>
    </row>
    <row r="24" spans="1:26" s="23" customFormat="1" hidden="1" outlineLevel="1" x14ac:dyDescent="0.25">
      <c r="A24" s="44"/>
      <c r="B24" s="10" t="str">
        <f>CONCATENATE("          ", "4102", " - ", "NON-TAXABLE SALES-USED TEXT")</f>
        <v xml:space="preserve">          4102 - NON-TAXABLE SALES-USED TEXT</v>
      </c>
      <c r="C24" s="10"/>
      <c r="D24" s="2">
        <f>--540.91</f>
        <v>540.91</v>
      </c>
      <c r="E24" s="2"/>
      <c r="F24" s="19"/>
      <c r="G24" s="2"/>
      <c r="H24" s="2">
        <f>--1718.15</f>
        <v>1718.15</v>
      </c>
      <c r="I24" s="2"/>
      <c r="J24" s="19"/>
      <c r="K24" s="2"/>
      <c r="L24" s="2">
        <f t="shared" si="0"/>
        <v>-1177.2400000000002</v>
      </c>
      <c r="M24" s="2"/>
      <c r="N24" s="19">
        <f t="shared" si="1"/>
        <v>-0.68517882606291658</v>
      </c>
      <c r="O24" s="10"/>
      <c r="P24" s="2">
        <f>--51587.64</f>
        <v>51587.64</v>
      </c>
      <c r="Q24" s="2"/>
      <c r="R24" s="19"/>
      <c r="S24" s="2"/>
      <c r="T24" s="2">
        <f>--71943.61</f>
        <v>71943.61</v>
      </c>
      <c r="U24" s="2"/>
      <c r="V24" s="19"/>
      <c r="W24" s="2"/>
      <c r="X24" s="2">
        <f t="shared" si="2"/>
        <v>-20355.97</v>
      </c>
      <c r="Y24" s="2"/>
      <c r="Z24" s="19">
        <f t="shared" si="3"/>
        <v>-0.28294340525864631</v>
      </c>
    </row>
    <row r="25" spans="1:26" s="23" customFormat="1" hidden="1" outlineLevel="1" x14ac:dyDescent="0.25">
      <c r="A25" s="44"/>
      <c r="B25" s="10" t="str">
        <f>CONCATENATE("          ", "4103", " - ", "NON-TAXABLE SALES-RENTAL TEXT")</f>
        <v xml:space="preserve">          4103 - NON-TAXABLE SALES-RENTAL TEXT</v>
      </c>
      <c r="C25" s="10"/>
      <c r="D25" s="2">
        <f>0</f>
        <v>0</v>
      </c>
      <c r="E25" s="2"/>
      <c r="F25" s="19"/>
      <c r="G25" s="2"/>
      <c r="H25" s="2">
        <f>0</f>
        <v>0</v>
      </c>
      <c r="I25" s="2"/>
      <c r="J25" s="19"/>
      <c r="K25" s="2"/>
      <c r="L25" s="2">
        <f t="shared" si="0"/>
        <v>0</v>
      </c>
      <c r="M25" s="2"/>
      <c r="N25" s="19">
        <f t="shared" si="1"/>
        <v>0</v>
      </c>
      <c r="O25" s="10"/>
      <c r="P25" s="2">
        <f>--1138.95</f>
        <v>1138.95</v>
      </c>
      <c r="Q25" s="2"/>
      <c r="R25" s="19"/>
      <c r="S25" s="2"/>
      <c r="T25" s="2">
        <f>--664.97</f>
        <v>664.97</v>
      </c>
      <c r="U25" s="2"/>
      <c r="V25" s="19"/>
      <c r="W25" s="2"/>
      <c r="X25" s="2">
        <f t="shared" si="2"/>
        <v>473.98</v>
      </c>
      <c r="Y25" s="2"/>
      <c r="Z25" s="19">
        <f t="shared" si="3"/>
        <v>0.71278403537001667</v>
      </c>
    </row>
    <row r="26" spans="1:26" s="23" customFormat="1" hidden="1" outlineLevel="1" x14ac:dyDescent="0.25">
      <c r="A26" s="44"/>
      <c r="B26" s="10" t="str">
        <f>CONCATENATE("          ", "4104", " - ", "NON-TAXABLE SALES-DIGITAL TEXT")</f>
        <v xml:space="preserve">          4104 - NON-TAXABLE SALES-DIGITAL TEXT</v>
      </c>
      <c r="C26" s="10"/>
      <c r="D26" s="2">
        <f>--695.53</f>
        <v>695.53</v>
      </c>
      <c r="E26" s="2"/>
      <c r="F26" s="19"/>
      <c r="G26" s="2"/>
      <c r="H26" s="2">
        <f>--1836.93</f>
        <v>1836.93</v>
      </c>
      <c r="I26" s="2"/>
      <c r="J26" s="19"/>
      <c r="K26" s="2"/>
      <c r="L26" s="2">
        <f t="shared" si="0"/>
        <v>-1141.4000000000001</v>
      </c>
      <c r="M26" s="2"/>
      <c r="N26" s="19">
        <f t="shared" si="1"/>
        <v>-0.62136281730931497</v>
      </c>
      <c r="O26" s="10"/>
      <c r="P26" s="2">
        <f>--491583.26</f>
        <v>491583.26</v>
      </c>
      <c r="Q26" s="2"/>
      <c r="R26" s="19"/>
      <c r="S26" s="2"/>
      <c r="T26" s="2">
        <f>--533640.31</f>
        <v>533640.31000000006</v>
      </c>
      <c r="U26" s="2"/>
      <c r="V26" s="19"/>
      <c r="W26" s="2"/>
      <c r="X26" s="2">
        <f t="shared" si="2"/>
        <v>-42057.050000000047</v>
      </c>
      <c r="Y26" s="2"/>
      <c r="Z26" s="19">
        <f t="shared" si="3"/>
        <v>-7.8811606267150322E-2</v>
      </c>
    </row>
    <row r="27" spans="1:26" s="23" customFormat="1" hidden="1" outlineLevel="1" x14ac:dyDescent="0.25">
      <c r="A27" s="44"/>
      <c r="B27" s="10" t="str">
        <f>CONCATENATE("          ", "4111", " - ", "NON-TAXABLE SALES-NO VALUE TEX")</f>
        <v xml:space="preserve">          4111 - NON-TAXABLE SALES-NO VALUE TEX</v>
      </c>
      <c r="C27" s="10"/>
      <c r="D27" s="2">
        <f t="shared" ref="D27:D29" si="6">0</f>
        <v>0</v>
      </c>
      <c r="E27" s="2"/>
      <c r="F27" s="19"/>
      <c r="G27" s="2"/>
      <c r="H27" s="2">
        <f>--679.21</f>
        <v>679.21</v>
      </c>
      <c r="I27" s="2"/>
      <c r="J27" s="19"/>
      <c r="K27" s="2"/>
      <c r="L27" s="2">
        <f t="shared" si="0"/>
        <v>-679.21</v>
      </c>
      <c r="M27" s="2"/>
      <c r="N27" s="19">
        <f t="shared" si="1"/>
        <v>-1</v>
      </c>
      <c r="O27" s="10"/>
      <c r="P27" s="2">
        <f>0</f>
        <v>0</v>
      </c>
      <c r="Q27" s="2"/>
      <c r="R27" s="19"/>
      <c r="S27" s="2"/>
      <c r="T27" s="2">
        <f>--16342.67</f>
        <v>16342.67</v>
      </c>
      <c r="U27" s="2"/>
      <c r="V27" s="19"/>
      <c r="W27" s="2"/>
      <c r="X27" s="2">
        <f t="shared" si="2"/>
        <v>-16342.67</v>
      </c>
      <c r="Y27" s="2"/>
      <c r="Z27" s="19">
        <f t="shared" si="3"/>
        <v>-1</v>
      </c>
    </row>
    <row r="28" spans="1:26" s="23" customFormat="1" hidden="1" outlineLevel="1" x14ac:dyDescent="0.25">
      <c r="A28" s="44"/>
      <c r="B28" s="10" t="str">
        <f>CONCATENATE("          ", "4113", " - ", "NON-TAXABLE SALES-TRADE BOOKS")</f>
        <v xml:space="preserve">          4113 - NON-TAXABLE SALES-TRADE BOOKS</v>
      </c>
      <c r="C28" s="10"/>
      <c r="D28" s="2">
        <f t="shared" si="6"/>
        <v>0</v>
      </c>
      <c r="E28" s="2"/>
      <c r="F28" s="19"/>
      <c r="G28" s="2"/>
      <c r="H28" s="2">
        <f t="shared" ref="H28:H29" si="7">0</f>
        <v>0</v>
      </c>
      <c r="I28" s="2"/>
      <c r="J28" s="19"/>
      <c r="K28" s="2"/>
      <c r="L28" s="2">
        <f t="shared" si="0"/>
        <v>0</v>
      </c>
      <c r="M28" s="2"/>
      <c r="N28" s="19">
        <f t="shared" si="1"/>
        <v>0</v>
      </c>
      <c r="O28" s="10"/>
      <c r="P28" s="2">
        <f>--12127.25</f>
        <v>12127.25</v>
      </c>
      <c r="Q28" s="2"/>
      <c r="R28" s="19"/>
      <c r="S28" s="2"/>
      <c r="T28" s="2">
        <f>--8266.16</f>
        <v>8266.16</v>
      </c>
      <c r="U28" s="2"/>
      <c r="V28" s="19"/>
      <c r="W28" s="2"/>
      <c r="X28" s="2">
        <f t="shared" si="2"/>
        <v>3861.09</v>
      </c>
      <c r="Y28" s="2"/>
      <c r="Z28" s="19">
        <f t="shared" si="3"/>
        <v>0.46709596717218155</v>
      </c>
    </row>
    <row r="29" spans="1:26" s="23" customFormat="1" hidden="1" outlineLevel="1" x14ac:dyDescent="0.25">
      <c r="A29" s="44"/>
      <c r="B29" s="10" t="str">
        <f>CONCATENATE("          ", "4114", " - ", "NON-TAXABLE SALES-REMAINDERS")</f>
        <v xml:space="preserve">          4114 - NON-TAXABLE SALES-REMAINDERS</v>
      </c>
      <c r="C29" s="10"/>
      <c r="D29" s="2">
        <f t="shared" si="6"/>
        <v>0</v>
      </c>
      <c r="E29" s="2"/>
      <c r="F29" s="19"/>
      <c r="G29" s="2"/>
      <c r="H29" s="2">
        <f t="shared" si="7"/>
        <v>0</v>
      </c>
      <c r="I29" s="2"/>
      <c r="J29" s="19"/>
      <c r="K29" s="2"/>
      <c r="L29" s="2">
        <f t="shared" si="0"/>
        <v>0</v>
      </c>
      <c r="M29" s="2"/>
      <c r="N29" s="19">
        <f t="shared" si="1"/>
        <v>0</v>
      </c>
      <c r="O29" s="10"/>
      <c r="P29" s="2">
        <f>0</f>
        <v>0</v>
      </c>
      <c r="Q29" s="2"/>
      <c r="R29" s="19"/>
      <c r="S29" s="2"/>
      <c r="T29" s="2">
        <f>--3.19</f>
        <v>3.19</v>
      </c>
      <c r="U29" s="2"/>
      <c r="V29" s="19"/>
      <c r="W29" s="2"/>
      <c r="X29" s="2">
        <f t="shared" si="2"/>
        <v>-3.19</v>
      </c>
      <c r="Y29" s="2"/>
      <c r="Z29" s="19">
        <f t="shared" si="3"/>
        <v>-1</v>
      </c>
    </row>
    <row r="30" spans="1:26" s="23" customFormat="1" hidden="1" outlineLevel="1" x14ac:dyDescent="0.25">
      <c r="A30" s="44"/>
      <c r="B30" s="10" t="str">
        <f>CONCATENATE("          ", "4118", " - ", "NON-TAXABLE SALES-STUDY GUIDES")</f>
        <v xml:space="preserve">          4118 - NON-TAXABLE SALES-STUDY GUIDES</v>
      </c>
      <c r="C30" s="10"/>
      <c r="D30" s="2">
        <f>--594.22</f>
        <v>594.22</v>
      </c>
      <c r="E30" s="2"/>
      <c r="F30" s="19"/>
      <c r="G30" s="2"/>
      <c r="H30" s="2">
        <f>--10.09</f>
        <v>10.09</v>
      </c>
      <c r="I30" s="2"/>
      <c r="J30" s="19"/>
      <c r="K30" s="2"/>
      <c r="L30" s="2">
        <f t="shared" si="0"/>
        <v>584.13</v>
      </c>
      <c r="M30" s="2"/>
      <c r="N30" s="19">
        <f t="shared" si="1"/>
        <v>57.891972249752229</v>
      </c>
      <c r="O30" s="10"/>
      <c r="P30" s="2">
        <f>--1365.95</f>
        <v>1365.95</v>
      </c>
      <c r="Q30" s="2"/>
      <c r="R30" s="19"/>
      <c r="S30" s="2"/>
      <c r="T30" s="2">
        <f>--126.03</f>
        <v>126.03</v>
      </c>
      <c r="U30" s="2"/>
      <c r="V30" s="19"/>
      <c r="W30" s="2"/>
      <c r="X30" s="2">
        <f t="shared" si="2"/>
        <v>1239.92</v>
      </c>
      <c r="Y30" s="2"/>
      <c r="Z30" s="19">
        <f t="shared" si="3"/>
        <v>9.8382924700468148</v>
      </c>
    </row>
    <row r="31" spans="1:26" s="23" customFormat="1" hidden="1" outlineLevel="1" x14ac:dyDescent="0.25">
      <c r="A31" s="44"/>
      <c r="B31" s="10" t="str">
        <f>CONCATENATE("          ", "4201", " - ", "SALES RETURN TAXABLE-NEW TEXT")</f>
        <v xml:space="preserve">          4201 - SALES RETURN TAXABLE-NEW TEXT</v>
      </c>
      <c r="C31" s="10"/>
      <c r="D31" s="2">
        <f>-1101.25</f>
        <v>-1101.25</v>
      </c>
      <c r="E31" s="2"/>
      <c r="F31" s="19"/>
      <c r="G31" s="2"/>
      <c r="H31" s="2">
        <f>0</f>
        <v>0</v>
      </c>
      <c r="I31" s="2"/>
      <c r="J31" s="19"/>
      <c r="K31" s="2"/>
      <c r="L31" s="2">
        <f t="shared" si="0"/>
        <v>-1101.25</v>
      </c>
      <c r="M31" s="2"/>
      <c r="N31" s="19">
        <f t="shared" si="1"/>
        <v>0</v>
      </c>
      <c r="O31" s="10"/>
      <c r="P31" s="2">
        <f>-53397.67</f>
        <v>-53397.67</v>
      </c>
      <c r="Q31" s="2"/>
      <c r="R31" s="19"/>
      <c r="S31" s="2"/>
      <c r="T31" s="2">
        <f>-121451.61</f>
        <v>-121451.61</v>
      </c>
      <c r="U31" s="2"/>
      <c r="V31" s="19"/>
      <c r="W31" s="2"/>
      <c r="X31" s="2">
        <f t="shared" si="2"/>
        <v>68053.94</v>
      </c>
      <c r="Y31" s="2"/>
      <c r="Z31" s="19">
        <f t="shared" si="3"/>
        <v>-0.56033789918470411</v>
      </c>
    </row>
    <row r="32" spans="1:26" s="23" customFormat="1" hidden="1" outlineLevel="1" x14ac:dyDescent="0.25">
      <c r="A32" s="44"/>
      <c r="B32" s="10" t="str">
        <f>CONCATENATE("          ", "4202", " - ", "SALES RETURN TAXABLE-USED TEXT")</f>
        <v xml:space="preserve">          4202 - SALES RETURN TAXABLE-USED TEXT</v>
      </c>
      <c r="C32" s="10"/>
      <c r="D32" s="2">
        <f>-433.75</f>
        <v>-433.75</v>
      </c>
      <c r="E32" s="2"/>
      <c r="F32" s="19"/>
      <c r="G32" s="2"/>
      <c r="H32" s="2">
        <f>-186.35</f>
        <v>-186.35</v>
      </c>
      <c r="I32" s="2"/>
      <c r="J32" s="19"/>
      <c r="K32" s="2"/>
      <c r="L32" s="2">
        <f t="shared" si="0"/>
        <v>-247.4</v>
      </c>
      <c r="M32" s="2"/>
      <c r="N32" s="19">
        <f t="shared" si="1"/>
        <v>1.3276093372685807</v>
      </c>
      <c r="O32" s="10"/>
      <c r="P32" s="2">
        <f>-20889.41</f>
        <v>-20889.41</v>
      </c>
      <c r="Q32" s="2"/>
      <c r="R32" s="19"/>
      <c r="S32" s="2"/>
      <c r="T32" s="2">
        <f>-45799.46</f>
        <v>-45799.46</v>
      </c>
      <c r="U32" s="2"/>
      <c r="V32" s="19"/>
      <c r="W32" s="2"/>
      <c r="X32" s="2">
        <f t="shared" si="2"/>
        <v>24910.05</v>
      </c>
      <c r="Y32" s="2"/>
      <c r="Z32" s="19">
        <f t="shared" si="3"/>
        <v>-0.54389396730878481</v>
      </c>
    </row>
    <row r="33" spans="1:26" s="23" customFormat="1" hidden="1" outlineLevel="1" x14ac:dyDescent="0.25">
      <c r="A33" s="44"/>
      <c r="B33" s="10" t="str">
        <f>CONCATENATE("          ", "4203", " - ", "SALES RETURN TAXABLE-RENTAL TE")</f>
        <v xml:space="preserve">          4203 - SALES RETURN TAXABLE-RENTAL TE</v>
      </c>
      <c r="C33" s="10"/>
      <c r="D33" s="2">
        <f t="shared" ref="D33:D34" si="8">0</f>
        <v>0</v>
      </c>
      <c r="E33" s="2"/>
      <c r="F33" s="19"/>
      <c r="G33" s="2"/>
      <c r="H33" s="2">
        <f t="shared" ref="H33:H34" si="9">0</f>
        <v>0</v>
      </c>
      <c r="I33" s="2"/>
      <c r="J33" s="19"/>
      <c r="K33" s="2"/>
      <c r="L33" s="2">
        <f t="shared" si="0"/>
        <v>0</v>
      </c>
      <c r="M33" s="2"/>
      <c r="N33" s="19">
        <f t="shared" si="1"/>
        <v>0</v>
      </c>
      <c r="O33" s="10"/>
      <c r="P33" s="2">
        <f>0</f>
        <v>0</v>
      </c>
      <c r="Q33" s="2"/>
      <c r="R33" s="19"/>
      <c r="S33" s="2"/>
      <c r="T33" s="2">
        <f>-144.99</f>
        <v>-144.99</v>
      </c>
      <c r="U33" s="2"/>
      <c r="V33" s="19"/>
      <c r="W33" s="2"/>
      <c r="X33" s="2">
        <f t="shared" si="2"/>
        <v>144.99</v>
      </c>
      <c r="Y33" s="2"/>
      <c r="Z33" s="19">
        <f t="shared" si="3"/>
        <v>-1</v>
      </c>
    </row>
    <row r="34" spans="1:26" s="23" customFormat="1" hidden="1" outlineLevel="1" x14ac:dyDescent="0.25">
      <c r="A34" s="44"/>
      <c r="B34" s="10" t="str">
        <f>CONCATENATE("          ", "4204", " - ", "SALES RETURN TAXABLE-DIGITAL T")</f>
        <v xml:space="preserve">          4204 - SALES RETURN TAXABLE-DIGITAL T</v>
      </c>
      <c r="C34" s="10"/>
      <c r="D34" s="2">
        <f t="shared" si="8"/>
        <v>0</v>
      </c>
      <c r="E34" s="2"/>
      <c r="F34" s="19"/>
      <c r="G34" s="2"/>
      <c r="H34" s="2">
        <f t="shared" si="9"/>
        <v>0</v>
      </c>
      <c r="I34" s="2"/>
      <c r="J34" s="19"/>
      <c r="K34" s="2"/>
      <c r="L34" s="2">
        <f t="shared" si="0"/>
        <v>0</v>
      </c>
      <c r="M34" s="2"/>
      <c r="N34" s="19">
        <f t="shared" si="1"/>
        <v>0</v>
      </c>
      <c r="O34" s="10"/>
      <c r="P34" s="2">
        <f>-1763.1</f>
        <v>-1763.1</v>
      </c>
      <c r="Q34" s="2"/>
      <c r="R34" s="19"/>
      <c r="S34" s="2"/>
      <c r="T34" s="2">
        <f>-17255.33</f>
        <v>-17255.330000000002</v>
      </c>
      <c r="U34" s="2"/>
      <c r="V34" s="19"/>
      <c r="W34" s="2"/>
      <c r="X34" s="2">
        <f t="shared" si="2"/>
        <v>15492.230000000001</v>
      </c>
      <c r="Y34" s="2"/>
      <c r="Z34" s="19">
        <f t="shared" si="3"/>
        <v>-0.89782287559843832</v>
      </c>
    </row>
    <row r="35" spans="1:26" s="23" customFormat="1" hidden="1" outlineLevel="1" x14ac:dyDescent="0.25">
      <c r="A35" s="44"/>
      <c r="B35" s="10" t="str">
        <f>CONCATENATE("          ", "4213", " - ", "NON-TAXABLE SALES-TRADE BOOKS")</f>
        <v xml:space="preserve">          4213 - NON-TAXABLE SALES-TRADE BOOKS</v>
      </c>
      <c r="C35" s="10"/>
      <c r="D35" s="2">
        <f>-25</f>
        <v>-25</v>
      </c>
      <c r="E35" s="2"/>
      <c r="F35" s="19"/>
      <c r="G35" s="2"/>
      <c r="H35" s="2">
        <f>-100.7</f>
        <v>-100.7</v>
      </c>
      <c r="I35" s="2"/>
      <c r="J35" s="19"/>
      <c r="K35" s="2"/>
      <c r="L35" s="2">
        <f t="shared" si="0"/>
        <v>75.7</v>
      </c>
      <c r="M35" s="2"/>
      <c r="N35" s="19">
        <f t="shared" si="1"/>
        <v>-0.75173783515392256</v>
      </c>
      <c r="O35" s="10"/>
      <c r="P35" s="2">
        <f>-103.92</f>
        <v>-103.92</v>
      </c>
      <c r="Q35" s="2"/>
      <c r="R35" s="19"/>
      <c r="S35" s="2"/>
      <c r="T35" s="2">
        <f>-2869.37</f>
        <v>-2869.37</v>
      </c>
      <c r="U35" s="2"/>
      <c r="V35" s="19"/>
      <c r="W35" s="2"/>
      <c r="X35" s="2">
        <f t="shared" si="2"/>
        <v>2765.45</v>
      </c>
      <c r="Y35" s="2"/>
      <c r="Z35" s="19">
        <f t="shared" si="3"/>
        <v>-0.96378299069133644</v>
      </c>
    </row>
    <row r="36" spans="1:26" s="23" customFormat="1" hidden="1" outlineLevel="1" x14ac:dyDescent="0.25">
      <c r="A36" s="44"/>
      <c r="B36" s="10" t="str">
        <f>CONCATENATE("          ", "4214", " - ", "SALES RETURN TAXABLE-REMAINDER")</f>
        <v xml:space="preserve">          4214 - SALES RETURN TAXABLE-REMAINDER</v>
      </c>
      <c r="C36" s="10"/>
      <c r="D36" s="2">
        <f>0</f>
        <v>0</v>
      </c>
      <c r="E36" s="2"/>
      <c r="F36" s="19"/>
      <c r="G36" s="2"/>
      <c r="H36" s="2">
        <f t="shared" ref="H36:H37" si="10">0</f>
        <v>0</v>
      </c>
      <c r="I36" s="2"/>
      <c r="J36" s="19"/>
      <c r="K36" s="2"/>
      <c r="L36" s="2">
        <f t="shared" si="0"/>
        <v>0</v>
      </c>
      <c r="M36" s="2"/>
      <c r="N36" s="19">
        <f t="shared" si="1"/>
        <v>0</v>
      </c>
      <c r="O36" s="10"/>
      <c r="P36" s="2">
        <f>0</f>
        <v>0</v>
      </c>
      <c r="Q36" s="2"/>
      <c r="R36" s="19"/>
      <c r="S36" s="2"/>
      <c r="T36" s="2">
        <f>-11.94</f>
        <v>-11.94</v>
      </c>
      <c r="U36" s="2"/>
      <c r="V36" s="19"/>
      <c r="W36" s="2"/>
      <c r="X36" s="2">
        <f t="shared" si="2"/>
        <v>11.94</v>
      </c>
      <c r="Y36" s="2"/>
      <c r="Z36" s="19">
        <f t="shared" si="3"/>
        <v>-1</v>
      </c>
    </row>
    <row r="37" spans="1:26" s="23" customFormat="1" hidden="1" outlineLevel="1" x14ac:dyDescent="0.25">
      <c r="A37" s="44"/>
      <c r="B37" s="10" t="str">
        <f>CONCATENATE("          ", "4218", " - ", "SALES RETURN TAXABLE-STUDY GUI")</f>
        <v xml:space="preserve">          4218 - SALES RETURN TAXABLE-STUDY GUI</v>
      </c>
      <c r="C37" s="10"/>
      <c r="D37" s="2">
        <f>-23.44</f>
        <v>-23.44</v>
      </c>
      <c r="E37" s="2"/>
      <c r="F37" s="19"/>
      <c r="G37" s="2"/>
      <c r="H37" s="2">
        <f t="shared" si="10"/>
        <v>0</v>
      </c>
      <c r="I37" s="2"/>
      <c r="J37" s="19"/>
      <c r="K37" s="2"/>
      <c r="L37" s="2">
        <f t="shared" si="0"/>
        <v>-23.44</v>
      </c>
      <c r="M37" s="2"/>
      <c r="N37" s="19">
        <f t="shared" si="1"/>
        <v>0</v>
      </c>
      <c r="O37" s="10"/>
      <c r="P37" s="2">
        <f>-28.65</f>
        <v>-28.65</v>
      </c>
      <c r="Q37" s="2"/>
      <c r="R37" s="19"/>
      <c r="S37" s="2"/>
      <c r="T37" s="2">
        <f>-39.25</f>
        <v>-39.25</v>
      </c>
      <c r="U37" s="2"/>
      <c r="V37" s="19"/>
      <c r="W37" s="2"/>
      <c r="X37" s="2">
        <f t="shared" si="2"/>
        <v>10.600000000000001</v>
      </c>
      <c r="Y37" s="2"/>
      <c r="Z37" s="19">
        <f t="shared" si="3"/>
        <v>-0.27006369426751597</v>
      </c>
    </row>
    <row r="38" spans="1:26" s="23" customFormat="1" hidden="1" outlineLevel="1" x14ac:dyDescent="0.25">
      <c r="A38" s="44"/>
      <c r="B38" s="10" t="str">
        <f>CONCATENATE("          ", "4301", " - ", "SALES RETURN NON TAXABLE-NEW T")</f>
        <v xml:space="preserve">          4301 - SALES RETURN NON TAXABLE-NEW T</v>
      </c>
      <c r="C38" s="10"/>
      <c r="D38" s="2">
        <f>-169.32</f>
        <v>-169.32</v>
      </c>
      <c r="E38" s="2"/>
      <c r="F38" s="19"/>
      <c r="G38" s="2"/>
      <c r="H38" s="2">
        <f>-253.49</f>
        <v>-253.49</v>
      </c>
      <c r="I38" s="2"/>
      <c r="J38" s="19"/>
      <c r="K38" s="2"/>
      <c r="L38" s="2">
        <f t="shared" si="0"/>
        <v>84.170000000000016</v>
      </c>
      <c r="M38" s="2"/>
      <c r="N38" s="19">
        <f t="shared" si="1"/>
        <v>-0.33204465659394855</v>
      </c>
      <c r="O38" s="10"/>
      <c r="P38" s="2">
        <f>-4965.68</f>
        <v>-4965.68</v>
      </c>
      <c r="Q38" s="2"/>
      <c r="R38" s="19"/>
      <c r="S38" s="2"/>
      <c r="T38" s="2">
        <f>-21543.36</f>
        <v>-21543.360000000001</v>
      </c>
      <c r="U38" s="2"/>
      <c r="V38" s="19"/>
      <c r="W38" s="2"/>
      <c r="X38" s="2">
        <f t="shared" si="2"/>
        <v>16577.68</v>
      </c>
      <c r="Y38" s="2"/>
      <c r="Z38" s="19">
        <f t="shared" si="3"/>
        <v>-0.76950299303358438</v>
      </c>
    </row>
    <row r="39" spans="1:26" s="23" customFormat="1" hidden="1" outlineLevel="1" x14ac:dyDescent="0.25">
      <c r="A39" s="44"/>
      <c r="B39" s="10" t="str">
        <f>CONCATENATE("          ", "4302", " - ", "SALES RETURN NON TAXABLE-TEXT")</f>
        <v xml:space="preserve">          4302 - SALES RETURN NON TAXABLE-TEXT</v>
      </c>
      <c r="C39" s="10"/>
      <c r="D39" s="2">
        <f>-111.43</f>
        <v>-111.43</v>
      </c>
      <c r="E39" s="2"/>
      <c r="F39" s="19"/>
      <c r="G39" s="2"/>
      <c r="H39" s="2">
        <f>-95.75</f>
        <v>-95.75</v>
      </c>
      <c r="I39" s="2"/>
      <c r="J39" s="19"/>
      <c r="K39" s="2"/>
      <c r="L39" s="2">
        <f t="shared" si="0"/>
        <v>-15.680000000000007</v>
      </c>
      <c r="M39" s="2"/>
      <c r="N39" s="19">
        <f t="shared" si="1"/>
        <v>0.16375979112271546</v>
      </c>
      <c r="O39" s="10"/>
      <c r="P39" s="2">
        <f>-2688.97</f>
        <v>-2688.97</v>
      </c>
      <c r="Q39" s="2"/>
      <c r="R39" s="19"/>
      <c r="S39" s="2"/>
      <c r="T39" s="2">
        <f>-1475.62</f>
        <v>-1475.62</v>
      </c>
      <c r="U39" s="2"/>
      <c r="V39" s="19"/>
      <c r="W39" s="2"/>
      <c r="X39" s="2">
        <f t="shared" si="2"/>
        <v>-1213.3499999999999</v>
      </c>
      <c r="Y39" s="2"/>
      <c r="Z39" s="19">
        <f t="shared" si="3"/>
        <v>0.82226453965112967</v>
      </c>
    </row>
    <row r="40" spans="1:26" s="23" customFormat="1" hidden="1" outlineLevel="1" x14ac:dyDescent="0.25">
      <c r="A40" s="44"/>
      <c r="B40" s="10" t="str">
        <f>CONCATENATE("          ", "4303", " - ", "SALES RETURN NON-TAXABLE-RENTA")</f>
        <v xml:space="preserve">          4303 - SALES RETURN NON-TAXABLE-RENTA</v>
      </c>
      <c r="C40" s="10"/>
      <c r="D40" s="2">
        <f>0</f>
        <v>0</v>
      </c>
      <c r="E40" s="2"/>
      <c r="F40" s="19"/>
      <c r="G40" s="2"/>
      <c r="H40" s="2">
        <f>0</f>
        <v>0</v>
      </c>
      <c r="I40" s="2"/>
      <c r="J40" s="19"/>
      <c r="K40" s="2"/>
      <c r="L40" s="2">
        <f t="shared" si="0"/>
        <v>0</v>
      </c>
      <c r="M40" s="2"/>
      <c r="N40" s="19">
        <f t="shared" si="1"/>
        <v>0</v>
      </c>
      <c r="O40" s="10"/>
      <c r="P40" s="2">
        <f>0</f>
        <v>0</v>
      </c>
      <c r="Q40" s="2"/>
      <c r="R40" s="19"/>
      <c r="S40" s="2"/>
      <c r="T40" s="2">
        <f>-184.99</f>
        <v>-184.99</v>
      </c>
      <c r="U40" s="2"/>
      <c r="V40" s="19"/>
      <c r="W40" s="2"/>
      <c r="X40" s="2">
        <f t="shared" si="2"/>
        <v>184.99</v>
      </c>
      <c r="Y40" s="2"/>
      <c r="Z40" s="19">
        <f t="shared" si="3"/>
        <v>-1</v>
      </c>
    </row>
    <row r="41" spans="1:26" s="23" customFormat="1" hidden="1" outlineLevel="1" x14ac:dyDescent="0.25">
      <c r="A41" s="44"/>
      <c r="B41" s="10" t="str">
        <f>CONCATENATE("          ", "4304", " - ", "SALES RETURN NON TAXABLE-DIGIT")</f>
        <v xml:space="preserve">          4304 - SALES RETURN NON TAXABLE-DIGIT</v>
      </c>
      <c r="C41" s="10"/>
      <c r="D41" s="2">
        <f>-144.89</f>
        <v>-144.88999999999999</v>
      </c>
      <c r="E41" s="2"/>
      <c r="F41" s="19"/>
      <c r="G41" s="2"/>
      <c r="H41" s="2">
        <f>-398.87</f>
        <v>-398.87</v>
      </c>
      <c r="I41" s="2"/>
      <c r="J41" s="19"/>
      <c r="K41" s="2"/>
      <c r="L41" s="2">
        <f t="shared" si="0"/>
        <v>253.98000000000002</v>
      </c>
      <c r="M41" s="2"/>
      <c r="N41" s="19">
        <f t="shared" si="1"/>
        <v>-0.63674881540351502</v>
      </c>
      <c r="O41" s="10"/>
      <c r="P41" s="2">
        <f>-31026.87</f>
        <v>-31026.87</v>
      </c>
      <c r="Q41" s="2"/>
      <c r="R41" s="19"/>
      <c r="S41" s="2"/>
      <c r="T41" s="2">
        <f>-19873.2</f>
        <v>-19873.2</v>
      </c>
      <c r="U41" s="2"/>
      <c r="V41" s="19"/>
      <c r="W41" s="2"/>
      <c r="X41" s="2">
        <f t="shared" si="2"/>
        <v>-11153.669999999998</v>
      </c>
      <c r="Y41" s="2"/>
      <c r="Z41" s="19">
        <f t="shared" si="3"/>
        <v>0.56124177283980425</v>
      </c>
    </row>
    <row r="42" spans="1:26" s="23" customFormat="1" hidden="1" outlineLevel="1" x14ac:dyDescent="0.25">
      <c r="A42" s="44"/>
      <c r="B42" s="10" t="str">
        <f>CONCATENATE("          ", "4311", " - ", "SALES RETURN NON TAXABLE-NO VA")</f>
        <v xml:space="preserve">          4311 - SALES RETURN NON TAXABLE-NO VA</v>
      </c>
      <c r="C42" s="10"/>
      <c r="D42" s="2">
        <f t="shared" ref="D42:D43" si="11">0</f>
        <v>0</v>
      </c>
      <c r="E42" s="2"/>
      <c r="F42" s="19"/>
      <c r="G42" s="2"/>
      <c r="H42" s="2">
        <f>-70.37</f>
        <v>-70.37</v>
      </c>
      <c r="I42" s="2"/>
      <c r="J42" s="19"/>
      <c r="K42" s="2"/>
      <c r="L42" s="2">
        <f t="shared" si="0"/>
        <v>70.37</v>
      </c>
      <c r="M42" s="2"/>
      <c r="N42" s="19">
        <f t="shared" si="1"/>
        <v>-1</v>
      </c>
      <c r="O42" s="10"/>
      <c r="P42" s="2">
        <f t="shared" ref="P42:P43" si="12">0</f>
        <v>0</v>
      </c>
      <c r="Q42" s="2"/>
      <c r="R42" s="19"/>
      <c r="S42" s="2"/>
      <c r="T42" s="2">
        <f>-1011.65</f>
        <v>-1011.65</v>
      </c>
      <c r="U42" s="2"/>
      <c r="V42" s="19"/>
      <c r="W42" s="2"/>
      <c r="X42" s="2">
        <f t="shared" si="2"/>
        <v>1011.65</v>
      </c>
      <c r="Y42" s="2"/>
      <c r="Z42" s="19">
        <f t="shared" si="3"/>
        <v>-1</v>
      </c>
    </row>
    <row r="43" spans="1:26" s="23" customFormat="1" hidden="1" outlineLevel="1" x14ac:dyDescent="0.25">
      <c r="A43" s="44"/>
      <c r="B43" s="10" t="str">
        <f>CONCATENATE("          ", "4313", " - ", "SALES RETURN NON TAXABLE-TRADE")</f>
        <v xml:space="preserve">          4313 - SALES RETURN NON TAXABLE-TRADE</v>
      </c>
      <c r="C43" s="10"/>
      <c r="D43" s="2">
        <f t="shared" si="11"/>
        <v>0</v>
      </c>
      <c r="E43" s="2"/>
      <c r="F43" s="19"/>
      <c r="G43" s="2"/>
      <c r="H43" s="2">
        <f>0</f>
        <v>0</v>
      </c>
      <c r="I43" s="2"/>
      <c r="J43" s="19"/>
      <c r="K43" s="2"/>
      <c r="L43" s="2">
        <f t="shared" si="0"/>
        <v>0</v>
      </c>
      <c r="M43" s="2"/>
      <c r="N43" s="19">
        <f t="shared" si="1"/>
        <v>0</v>
      </c>
      <c r="O43" s="10"/>
      <c r="P43" s="2">
        <f t="shared" si="12"/>
        <v>0</v>
      </c>
      <c r="Q43" s="2"/>
      <c r="R43" s="19"/>
      <c r="S43" s="2"/>
      <c r="T43" s="2">
        <f>-2481.44</f>
        <v>-2481.44</v>
      </c>
      <c r="U43" s="2"/>
      <c r="V43" s="19"/>
      <c r="W43" s="2"/>
      <c r="X43" s="2">
        <f t="shared" si="2"/>
        <v>2481.44</v>
      </c>
      <c r="Y43" s="2"/>
      <c r="Z43" s="19">
        <f t="shared" si="3"/>
        <v>-1</v>
      </c>
    </row>
    <row r="44" spans="1:26" x14ac:dyDescent="0.25">
      <c r="A44" s="9"/>
      <c r="B44" s="11"/>
      <c r="C44" s="9"/>
      <c r="D44" s="3"/>
      <c r="E44" s="3"/>
      <c r="F44" s="8"/>
      <c r="G44" s="3"/>
      <c r="H44" s="3"/>
      <c r="I44" s="3"/>
      <c r="J44" s="8"/>
      <c r="K44" s="3"/>
      <c r="L44" s="3"/>
      <c r="M44" s="3"/>
      <c r="N44" s="8"/>
      <c r="P44" s="3"/>
      <c r="Q44" s="3"/>
      <c r="R44" s="8"/>
      <c r="S44" s="3"/>
      <c r="T44" s="3"/>
      <c r="U44" s="3"/>
      <c r="V44" s="8"/>
      <c r="W44" s="3"/>
      <c r="X44" s="3"/>
      <c r="Y44" s="3"/>
      <c r="Z44" s="8"/>
    </row>
    <row r="45" spans="1:26" s="24" customFormat="1" collapsed="1" x14ac:dyDescent="0.25">
      <c r="A45" s="11"/>
      <c r="B45" s="29" t="s">
        <v>256</v>
      </c>
      <c r="C45" s="11"/>
      <c r="D45" s="4">
        <f>SUM(OSRRefD16x_0)</f>
        <v>72505.529999999955</v>
      </c>
      <c r="E45" s="4"/>
      <c r="F45" s="13">
        <f t="shared" ref="F45:F62" si="13">IF(D$12=0,0,D45/D$12)</f>
        <v>17.894911815664383</v>
      </c>
      <c r="G45" s="4"/>
      <c r="H45" s="4">
        <f>SUM(OSRRefH16x_0)</f>
        <v>92599.11</v>
      </c>
      <c r="I45" s="4"/>
      <c r="J45" s="13">
        <f t="shared" ref="J45:J62" si="14">IF(H$12=0,0,H45/H$12)</f>
        <v>4.2352163914511829</v>
      </c>
      <c r="K45" s="4"/>
      <c r="L45" s="4">
        <f t="shared" ref="L45:L62" si="15">+D45-H45</f>
        <v>-20093.580000000045</v>
      </c>
      <c r="M45" s="4"/>
      <c r="N45" s="13">
        <f t="shared" ref="N45:N62" si="16">IF(H45=0,0,L45/H45)</f>
        <v>-0.21699539012848013</v>
      </c>
      <c r="O45" s="11"/>
      <c r="P45" s="4">
        <f>SUM(OSRRefP16x_0)</f>
        <v>2029969.2899999998</v>
      </c>
      <c r="Q45" s="4"/>
      <c r="R45" s="13">
        <f t="shared" ref="R45:R62" si="17">IF(P$12=0,0,P45/P$12)</f>
        <v>0.7388740186726479</v>
      </c>
      <c r="S45" s="4"/>
      <c r="T45" s="4">
        <f>SUM(OSRRefT16x_0)</f>
        <v>3627976.85</v>
      </c>
      <c r="U45" s="4"/>
      <c r="V45" s="13">
        <f t="shared" ref="V45:V62" si="18">IF(T$12=0,0,T45/T$12)</f>
        <v>0.73276015221634128</v>
      </c>
      <c r="W45" s="4"/>
      <c r="X45" s="4">
        <f t="shared" ref="X45:X62" si="19">+P45-T45</f>
        <v>-1598007.5600000003</v>
      </c>
      <c r="Y45" s="4"/>
      <c r="Z45" s="13">
        <f t="shared" ref="Z45:Z62" si="20">IF(T45=0,0,X45/T45)</f>
        <v>-0.44046795943584927</v>
      </c>
    </row>
    <row r="46" spans="1:26" s="23" customFormat="1" hidden="1" outlineLevel="1" x14ac:dyDescent="0.25">
      <c r="A46" s="44"/>
      <c r="B46" s="10" t="str">
        <f>CONCATENATE("          ", "5000", " - ", "PURCHASES @ COST")</f>
        <v xml:space="preserve">          5000 - PURCHASES @ COST</v>
      </c>
      <c r="C46" s="10"/>
      <c r="D46" s="2"/>
      <c r="E46" s="2"/>
      <c r="F46" s="19">
        <f t="shared" si="13"/>
        <v>0</v>
      </c>
      <c r="G46" s="2"/>
      <c r="H46" s="2">
        <v>0</v>
      </c>
      <c r="I46" s="2"/>
      <c r="J46" s="19">
        <f t="shared" si="14"/>
        <v>0</v>
      </c>
      <c r="K46" s="2"/>
      <c r="L46" s="2">
        <f t="shared" si="15"/>
        <v>0</v>
      </c>
      <c r="M46" s="2"/>
      <c r="N46" s="19">
        <f t="shared" si="16"/>
        <v>0</v>
      </c>
      <c r="O46" s="10"/>
      <c r="P46" s="2">
        <v>0</v>
      </c>
      <c r="Q46" s="2"/>
      <c r="R46" s="19">
        <f t="shared" si="17"/>
        <v>0</v>
      </c>
      <c r="S46" s="2"/>
      <c r="T46" s="2">
        <v>0</v>
      </c>
      <c r="U46" s="2"/>
      <c r="V46" s="19">
        <f t="shared" si="18"/>
        <v>0</v>
      </c>
      <c r="W46" s="2"/>
      <c r="X46" s="2">
        <f t="shared" si="19"/>
        <v>0</v>
      </c>
      <c r="Y46" s="2"/>
      <c r="Z46" s="19">
        <f t="shared" si="20"/>
        <v>0</v>
      </c>
    </row>
    <row r="47" spans="1:26" s="23" customFormat="1" hidden="1" outlineLevel="1" x14ac:dyDescent="0.25">
      <c r="A47" s="44"/>
      <c r="B47" s="10" t="str">
        <f>CONCATENATE("          ", "5001", " - ", "PURCHASES @ COST-NEW TEXT")</f>
        <v xml:space="preserve">          5001 - PURCHASES @ COST-NEW TEXT</v>
      </c>
      <c r="C47" s="10"/>
      <c r="D47" s="2">
        <v>142777.26</v>
      </c>
      <c r="E47" s="2"/>
      <c r="F47" s="19">
        <f t="shared" si="13"/>
        <v>35.238504938618988</v>
      </c>
      <c r="G47" s="2"/>
      <c r="H47" s="2">
        <v>21388.81</v>
      </c>
      <c r="I47" s="2"/>
      <c r="J47" s="19">
        <f t="shared" si="14"/>
        <v>0.97826252007859449</v>
      </c>
      <c r="K47" s="2"/>
      <c r="L47" s="2">
        <f t="shared" si="15"/>
        <v>121388.45000000001</v>
      </c>
      <c r="M47" s="2"/>
      <c r="N47" s="19">
        <f t="shared" si="16"/>
        <v>5.6753250882120136</v>
      </c>
      <c r="O47" s="10"/>
      <c r="P47" s="2">
        <v>1214343.74</v>
      </c>
      <c r="Q47" s="2"/>
      <c r="R47" s="19">
        <f t="shared" si="17"/>
        <v>0.44200030199657514</v>
      </c>
      <c r="S47" s="2"/>
      <c r="T47" s="2">
        <v>1662669.27</v>
      </c>
      <c r="U47" s="2"/>
      <c r="V47" s="19">
        <f t="shared" si="18"/>
        <v>0.33581740946627953</v>
      </c>
      <c r="W47" s="2"/>
      <c r="X47" s="2">
        <f t="shared" si="19"/>
        <v>-448325.53</v>
      </c>
      <c r="Y47" s="2"/>
      <c r="Z47" s="19">
        <f t="shared" si="20"/>
        <v>-0.26964203770964024</v>
      </c>
    </row>
    <row r="48" spans="1:26" s="23" customFormat="1" hidden="1" outlineLevel="1" x14ac:dyDescent="0.25">
      <c r="A48" s="44"/>
      <c r="B48" s="10" t="str">
        <f>CONCATENATE("          ", "5002", " - ", "PURCHASES @ COST-USED TEXT")</f>
        <v xml:space="preserve">          5002 - PURCHASES @ COST-USED TEXT</v>
      </c>
      <c r="C48" s="10"/>
      <c r="D48" s="2">
        <v>-17366.759999999998</v>
      </c>
      <c r="E48" s="2"/>
      <c r="F48" s="19">
        <f t="shared" si="13"/>
        <v>-4.28624739001022</v>
      </c>
      <c r="G48" s="2"/>
      <c r="H48" s="2">
        <v>121021.81</v>
      </c>
      <c r="I48" s="2"/>
      <c r="J48" s="19">
        <f t="shared" si="14"/>
        <v>5.5351887662321015</v>
      </c>
      <c r="K48" s="2"/>
      <c r="L48" s="2">
        <f t="shared" si="15"/>
        <v>-138388.57</v>
      </c>
      <c r="M48" s="2"/>
      <c r="N48" s="19">
        <f t="shared" si="16"/>
        <v>-1.1435010763762334</v>
      </c>
      <c r="O48" s="10"/>
      <c r="P48" s="2">
        <v>262546.52</v>
      </c>
      <c r="Q48" s="2"/>
      <c r="R48" s="19">
        <f t="shared" si="17"/>
        <v>9.5562432040988535E-2</v>
      </c>
      <c r="S48" s="2"/>
      <c r="T48" s="2">
        <v>731343.19</v>
      </c>
      <c r="U48" s="2"/>
      <c r="V48" s="19">
        <f t="shared" si="18"/>
        <v>0.14771294563987764</v>
      </c>
      <c r="W48" s="2"/>
      <c r="X48" s="2">
        <f t="shared" si="19"/>
        <v>-468796.66999999993</v>
      </c>
      <c r="Y48" s="2"/>
      <c r="Z48" s="19">
        <f t="shared" si="20"/>
        <v>-0.64100777365548445</v>
      </c>
    </row>
    <row r="49" spans="1:26" s="23" customFormat="1" hidden="1" outlineLevel="1" x14ac:dyDescent="0.25">
      <c r="A49" s="44"/>
      <c r="B49" s="10" t="str">
        <f>CONCATENATE("          ", "5003", " - ", "PURCHASES @ COST-RENTAL TEXT")</f>
        <v xml:space="preserve">          5003 - PURCHASES @ COST-RENTAL TEXT</v>
      </c>
      <c r="C49" s="10"/>
      <c r="D49" s="2">
        <v>6024.36</v>
      </c>
      <c r="E49" s="2"/>
      <c r="F49" s="19">
        <f t="shared" si="13"/>
        <v>1.4868574982600076</v>
      </c>
      <c r="G49" s="2"/>
      <c r="H49" s="2">
        <v>24656.6</v>
      </c>
      <c r="I49" s="2"/>
      <c r="J49" s="19">
        <f t="shared" si="14"/>
        <v>1.1277218158733409</v>
      </c>
      <c r="K49" s="2"/>
      <c r="L49" s="2">
        <f t="shared" si="15"/>
        <v>-18632.239999999998</v>
      </c>
      <c r="M49" s="2"/>
      <c r="N49" s="19">
        <f t="shared" si="16"/>
        <v>-0.75566947592125433</v>
      </c>
      <c r="O49" s="10"/>
      <c r="P49" s="2">
        <v>13236.44</v>
      </c>
      <c r="Q49" s="2"/>
      <c r="R49" s="19">
        <f t="shared" si="17"/>
        <v>4.8178372273402154E-3</v>
      </c>
      <c r="S49" s="2"/>
      <c r="T49" s="2">
        <v>24578.2</v>
      </c>
      <c r="U49" s="2"/>
      <c r="V49" s="19">
        <f t="shared" si="18"/>
        <v>4.9641787469519487E-3</v>
      </c>
      <c r="W49" s="2"/>
      <c r="X49" s="2">
        <f t="shared" si="19"/>
        <v>-11341.76</v>
      </c>
      <c r="Y49" s="2"/>
      <c r="Z49" s="19">
        <f t="shared" si="20"/>
        <v>-0.46145608710157782</v>
      </c>
    </row>
    <row r="50" spans="1:26" s="23" customFormat="1" hidden="1" outlineLevel="1" x14ac:dyDescent="0.25">
      <c r="A50" s="44"/>
      <c r="B50" s="10" t="str">
        <f>CONCATENATE("          ", "5004", " - ", "PURCHASES @ COST-DIGITAL TEXT")</f>
        <v xml:space="preserve">          5004 - PURCHASES @ COST-DIGITAL TEXT</v>
      </c>
      <c r="C50" s="10"/>
      <c r="D50" s="2">
        <v>178285.37</v>
      </c>
      <c r="E50" s="2"/>
      <c r="F50" s="19">
        <f t="shared" si="13"/>
        <v>44.002174374466307</v>
      </c>
      <c r="G50" s="2"/>
      <c r="H50" s="2">
        <v>5038.95</v>
      </c>
      <c r="I50" s="2"/>
      <c r="J50" s="19">
        <f t="shared" si="14"/>
        <v>0.23046704915093608</v>
      </c>
      <c r="K50" s="2"/>
      <c r="L50" s="2">
        <f t="shared" si="15"/>
        <v>173246.41999999998</v>
      </c>
      <c r="M50" s="2"/>
      <c r="N50" s="19">
        <f t="shared" si="16"/>
        <v>34.381452485140748</v>
      </c>
      <c r="O50" s="10"/>
      <c r="P50" s="2">
        <v>377891.8</v>
      </c>
      <c r="Q50" s="2"/>
      <c r="R50" s="19">
        <f t="shared" si="17"/>
        <v>0.13754613641935468</v>
      </c>
      <c r="S50" s="2"/>
      <c r="T50" s="2">
        <v>451308.6</v>
      </c>
      <c r="U50" s="2"/>
      <c r="V50" s="19">
        <f t="shared" si="18"/>
        <v>9.1152995761961328E-2</v>
      </c>
      <c r="W50" s="2"/>
      <c r="X50" s="2">
        <f t="shared" si="19"/>
        <v>-73416.799999999988</v>
      </c>
      <c r="Y50" s="2"/>
      <c r="Z50" s="19">
        <f t="shared" si="20"/>
        <v>-0.16267538442653207</v>
      </c>
    </row>
    <row r="51" spans="1:26" s="23" customFormat="1" hidden="1" outlineLevel="1" x14ac:dyDescent="0.25">
      <c r="A51" s="44"/>
      <c r="B51" s="10" t="str">
        <f>CONCATENATE("          ", "5011", " - ", "PURCHASES @ COST-NO VALUE TEXT")</f>
        <v xml:space="preserve">          5011 - PURCHASES @ COST-NO VALUE TEXT</v>
      </c>
      <c r="C51" s="10"/>
      <c r="D51" s="2">
        <v>63.17</v>
      </c>
      <c r="E51" s="2"/>
      <c r="F51" s="19">
        <f t="shared" si="13"/>
        <v>1.5590832580570332E-2</v>
      </c>
      <c r="G51" s="2"/>
      <c r="H51" s="2">
        <v>99</v>
      </c>
      <c r="I51" s="2"/>
      <c r="J51" s="19">
        <f t="shared" si="14"/>
        <v>4.5279746506598937E-3</v>
      </c>
      <c r="K51" s="2"/>
      <c r="L51" s="2">
        <f t="shared" si="15"/>
        <v>-35.83</v>
      </c>
      <c r="M51" s="2"/>
      <c r="N51" s="19">
        <f t="shared" si="16"/>
        <v>-0.36191919191919192</v>
      </c>
      <c r="O51" s="10"/>
      <c r="P51" s="2">
        <v>130.34</v>
      </c>
      <c r="Q51" s="2"/>
      <c r="R51" s="19">
        <f t="shared" si="17"/>
        <v>4.744152538080659E-5</v>
      </c>
      <c r="S51" s="2"/>
      <c r="T51" s="2">
        <v>6462</v>
      </c>
      <c r="U51" s="2"/>
      <c r="V51" s="19">
        <f t="shared" si="18"/>
        <v>1.3051616091822628E-3</v>
      </c>
      <c r="W51" s="2"/>
      <c r="X51" s="2">
        <f t="shared" si="19"/>
        <v>-6331.66</v>
      </c>
      <c r="Y51" s="2"/>
      <c r="Z51" s="19">
        <f t="shared" si="20"/>
        <v>-0.97982977406375737</v>
      </c>
    </row>
    <row r="52" spans="1:26" s="23" customFormat="1" hidden="1" outlineLevel="1" x14ac:dyDescent="0.25">
      <c r="A52" s="44"/>
      <c r="B52" s="10" t="str">
        <f>CONCATENATE("          ", "5013", " - ", "PURCHASES @ COST-TRADE BOOKS")</f>
        <v xml:space="preserve">          5013 - PURCHASES @ COST-TRADE BOOKS</v>
      </c>
      <c r="C52" s="10"/>
      <c r="D52" s="2">
        <v>1964.92</v>
      </c>
      <c r="E52" s="2"/>
      <c r="F52" s="19">
        <f t="shared" si="13"/>
        <v>0.48495708016802691</v>
      </c>
      <c r="G52" s="2"/>
      <c r="H52" s="2">
        <v>-420.76</v>
      </c>
      <c r="I52" s="2"/>
      <c r="J52" s="19">
        <f t="shared" si="14"/>
        <v>-1.9244349636481382E-2</v>
      </c>
      <c r="K52" s="2"/>
      <c r="L52" s="2">
        <f t="shared" si="15"/>
        <v>2385.6800000000003</v>
      </c>
      <c r="M52" s="2"/>
      <c r="N52" s="19">
        <f t="shared" si="16"/>
        <v>-5.6699306017682298</v>
      </c>
      <c r="O52" s="10"/>
      <c r="P52" s="2">
        <v>11634.94</v>
      </c>
      <c r="Q52" s="2"/>
      <c r="R52" s="19">
        <f t="shared" si="17"/>
        <v>4.2349186843191793E-3</v>
      </c>
      <c r="S52" s="2"/>
      <c r="T52" s="2">
        <v>2777.09</v>
      </c>
      <c r="U52" s="2"/>
      <c r="V52" s="19">
        <f t="shared" si="18"/>
        <v>5.6090239140265709E-4</v>
      </c>
      <c r="W52" s="2"/>
      <c r="X52" s="2">
        <f t="shared" si="19"/>
        <v>8857.85</v>
      </c>
      <c r="Y52" s="2"/>
      <c r="Z52" s="19">
        <f t="shared" si="20"/>
        <v>3.1896157488594175</v>
      </c>
    </row>
    <row r="53" spans="1:26" s="23" customFormat="1" hidden="1" outlineLevel="1" x14ac:dyDescent="0.25">
      <c r="A53" s="44"/>
      <c r="B53" s="10" t="str">
        <f>CONCATENATE("          ", "5014", " - ", "PURCHASES @ COST-REMAINDERS")</f>
        <v xml:space="preserve">          5014 - PURCHASES @ COST-REMAINDERS</v>
      </c>
      <c r="C53" s="10"/>
      <c r="D53" s="2">
        <v>-161.43</v>
      </c>
      <c r="E53" s="2"/>
      <c r="F53" s="19">
        <f t="shared" si="13"/>
        <v>-3.9842141894593459E-2</v>
      </c>
      <c r="G53" s="2"/>
      <c r="H53" s="2">
        <v>132</v>
      </c>
      <c r="I53" s="2"/>
      <c r="J53" s="19">
        <f t="shared" si="14"/>
        <v>6.0372995342131922E-3</v>
      </c>
      <c r="K53" s="2"/>
      <c r="L53" s="2">
        <f t="shared" si="15"/>
        <v>-293.43</v>
      </c>
      <c r="M53" s="2"/>
      <c r="N53" s="19">
        <f t="shared" si="16"/>
        <v>-2.2229545454545456</v>
      </c>
      <c r="O53" s="10"/>
      <c r="P53" s="2">
        <v>-49.86</v>
      </c>
      <c r="Q53" s="2"/>
      <c r="R53" s="19">
        <f t="shared" si="17"/>
        <v>-1.8148185173293054E-5</v>
      </c>
      <c r="S53" s="2"/>
      <c r="T53" s="2">
        <v>732.61</v>
      </c>
      <c r="U53" s="2"/>
      <c r="V53" s="19">
        <f t="shared" si="18"/>
        <v>1.479688094247938E-4</v>
      </c>
      <c r="W53" s="2"/>
      <c r="X53" s="2">
        <f t="shared" si="19"/>
        <v>-782.47</v>
      </c>
      <c r="Y53" s="2"/>
      <c r="Z53" s="19">
        <f t="shared" si="20"/>
        <v>-1.0680580390658059</v>
      </c>
    </row>
    <row r="54" spans="1:26" s="23" customFormat="1" hidden="1" outlineLevel="1" x14ac:dyDescent="0.25">
      <c r="A54" s="44"/>
      <c r="B54" s="10" t="str">
        <f>CONCATENATE("          ", "5018", " - ", "PURCHASES @ COST-STUDY GUIDES")</f>
        <v xml:space="preserve">          5018 - PURCHASES @ COST-STUDY GUIDES</v>
      </c>
      <c r="C54" s="10"/>
      <c r="D54" s="2">
        <v>476.17</v>
      </c>
      <c r="E54" s="2"/>
      <c r="F54" s="19">
        <f t="shared" si="13"/>
        <v>0.11752234842314667</v>
      </c>
      <c r="G54" s="2"/>
      <c r="H54" s="2">
        <v>-249.38</v>
      </c>
      <c r="I54" s="2"/>
      <c r="J54" s="19">
        <f t="shared" si="14"/>
        <v>-1.1405922407894589E-2</v>
      </c>
      <c r="K54" s="2"/>
      <c r="L54" s="2">
        <f t="shared" si="15"/>
        <v>725.55</v>
      </c>
      <c r="M54" s="2"/>
      <c r="N54" s="19">
        <f t="shared" si="16"/>
        <v>-2.9094153500681688</v>
      </c>
      <c r="O54" s="10"/>
      <c r="P54" s="2">
        <v>1443.38</v>
      </c>
      <c r="Q54" s="2"/>
      <c r="R54" s="19">
        <f t="shared" si="17"/>
        <v>5.2536557391551805E-4</v>
      </c>
      <c r="S54" s="2"/>
      <c r="T54" s="2">
        <v>-454.52</v>
      </c>
      <c r="U54" s="2"/>
      <c r="V54" s="19">
        <f t="shared" si="18"/>
        <v>-9.1801617859102772E-5</v>
      </c>
      <c r="W54" s="2"/>
      <c r="X54" s="2">
        <f t="shared" si="19"/>
        <v>1897.9</v>
      </c>
      <c r="Y54" s="2"/>
      <c r="Z54" s="19">
        <f t="shared" si="20"/>
        <v>-4.1756138343747251</v>
      </c>
    </row>
    <row r="55" spans="1:26" s="23" customFormat="1" hidden="1" outlineLevel="1" x14ac:dyDescent="0.25">
      <c r="A55" s="44"/>
      <c r="B55" s="10" t="str">
        <f>CONCATENATE("          ", "5200", " - ", "PURCHASES OFFSET")</f>
        <v xml:space="preserve">          5200 - PURCHASES OFFSET</v>
      </c>
      <c r="C55" s="10"/>
      <c r="D55" s="2">
        <v>-250433.46</v>
      </c>
      <c r="E55" s="2"/>
      <c r="F55" s="19">
        <f t="shared" si="13"/>
        <v>-61.808867301455706</v>
      </c>
      <c r="G55" s="2"/>
      <c r="H55" s="2">
        <v>-173310</v>
      </c>
      <c r="I55" s="2"/>
      <c r="J55" s="19">
        <f t="shared" si="14"/>
        <v>-7.926699865715821</v>
      </c>
      <c r="K55" s="2"/>
      <c r="L55" s="2">
        <f t="shared" si="15"/>
        <v>-77123.459999999992</v>
      </c>
      <c r="M55" s="2"/>
      <c r="N55" s="19">
        <f t="shared" si="16"/>
        <v>0.44500294270382545</v>
      </c>
      <c r="O55" s="10"/>
      <c r="P55" s="2">
        <v>-1338935.1499999999</v>
      </c>
      <c r="Q55" s="2"/>
      <c r="R55" s="19">
        <f t="shared" si="17"/>
        <v>-0.48734943917430623</v>
      </c>
      <c r="S55" s="2"/>
      <c r="T55" s="2">
        <v>-1792162</v>
      </c>
      <c r="U55" s="2"/>
      <c r="V55" s="19">
        <f t="shared" si="18"/>
        <v>-0.36197168675879021</v>
      </c>
      <c r="W55" s="2"/>
      <c r="X55" s="2">
        <f t="shared" si="19"/>
        <v>453226.85000000009</v>
      </c>
      <c r="Y55" s="2"/>
      <c r="Z55" s="19">
        <f t="shared" si="20"/>
        <v>-0.25289390691243319</v>
      </c>
    </row>
    <row r="56" spans="1:26" s="23" customFormat="1" hidden="1" outlineLevel="1" x14ac:dyDescent="0.25">
      <c r="A56" s="44"/>
      <c r="B56" s="10" t="str">
        <f>CONCATENATE("          ", "5300", " - ", "COG$ OFFSET")</f>
        <v xml:space="preserve">          5300 - COG$ OFFSET</v>
      </c>
      <c r="C56" s="10"/>
      <c r="D56" s="2">
        <v>9156</v>
      </c>
      <c r="E56" s="2"/>
      <c r="F56" s="19">
        <f t="shared" si="13"/>
        <v>2.2597698766455907</v>
      </c>
      <c r="G56" s="2"/>
      <c r="H56" s="2">
        <v>91172.53</v>
      </c>
      <c r="I56" s="2"/>
      <c r="J56" s="19">
        <f t="shared" si="14"/>
        <v>4.1699687341063507</v>
      </c>
      <c r="K56" s="2"/>
      <c r="L56" s="2">
        <f t="shared" si="15"/>
        <v>-82016.53</v>
      </c>
      <c r="M56" s="2"/>
      <c r="N56" s="19">
        <f t="shared" si="16"/>
        <v>-0.89957501453562827</v>
      </c>
      <c r="O56" s="10"/>
      <c r="P56" s="2">
        <v>1416064</v>
      </c>
      <c r="Q56" s="2"/>
      <c r="R56" s="19">
        <f t="shared" si="17"/>
        <v>0.51542301823574121</v>
      </c>
      <c r="S56" s="2"/>
      <c r="T56" s="2">
        <v>2452013</v>
      </c>
      <c r="U56" s="2"/>
      <c r="V56" s="19">
        <f t="shared" si="18"/>
        <v>0.4952450066257858</v>
      </c>
      <c r="W56" s="2"/>
      <c r="X56" s="2">
        <f t="shared" si="19"/>
        <v>-1035949</v>
      </c>
      <c r="Y56" s="2"/>
      <c r="Z56" s="19">
        <f t="shared" si="20"/>
        <v>-0.42248919561193193</v>
      </c>
    </row>
    <row r="57" spans="1:26" s="23" customFormat="1" hidden="1" outlineLevel="1" x14ac:dyDescent="0.25">
      <c r="A57" s="44"/>
      <c r="B57" s="10" t="str">
        <f>CONCATENATE("          ", "5500", " - ", "FREIGHT-IN")</f>
        <v xml:space="preserve">          5500 - FREIGHT-IN</v>
      </c>
      <c r="C57" s="10"/>
      <c r="D57" s="2"/>
      <c r="E57" s="2"/>
      <c r="F57" s="19">
        <f t="shared" si="13"/>
        <v>0</v>
      </c>
      <c r="G57" s="2"/>
      <c r="H57" s="2">
        <v>67.13</v>
      </c>
      <c r="I57" s="2"/>
      <c r="J57" s="19">
        <f t="shared" si="14"/>
        <v>3.0703327100888756E-3</v>
      </c>
      <c r="K57" s="2"/>
      <c r="L57" s="2">
        <f t="shared" si="15"/>
        <v>-67.13</v>
      </c>
      <c r="M57" s="2"/>
      <c r="N57" s="19">
        <f t="shared" si="16"/>
        <v>-1</v>
      </c>
      <c r="O57" s="10"/>
      <c r="P57" s="2">
        <v>0</v>
      </c>
      <c r="Q57" s="2"/>
      <c r="R57" s="19">
        <f t="shared" si="17"/>
        <v>0</v>
      </c>
      <c r="S57" s="2"/>
      <c r="T57" s="2">
        <v>108.38</v>
      </c>
      <c r="U57" s="2"/>
      <c r="V57" s="19">
        <f t="shared" si="18"/>
        <v>2.1890036397891308E-5</v>
      </c>
      <c r="W57" s="2"/>
      <c r="X57" s="2">
        <f t="shared" si="19"/>
        <v>-108.38</v>
      </c>
      <c r="Y57" s="2"/>
      <c r="Z57" s="19">
        <f t="shared" si="20"/>
        <v>-1</v>
      </c>
    </row>
    <row r="58" spans="1:26" s="23" customFormat="1" hidden="1" outlineLevel="1" x14ac:dyDescent="0.25">
      <c r="A58" s="44"/>
      <c r="B58" s="10" t="str">
        <f>CONCATENATE("          ", "5501", " - ", "FREIGHT-IN-NEW TEXT")</f>
        <v xml:space="preserve">          5501 - FREIGHT-IN-NEW TEXT</v>
      </c>
      <c r="C58" s="10"/>
      <c r="D58" s="2">
        <v>1565.85</v>
      </c>
      <c r="E58" s="2"/>
      <c r="F58" s="19">
        <f t="shared" si="13"/>
        <v>0.38646359341912384</v>
      </c>
      <c r="G58" s="2"/>
      <c r="H58" s="2">
        <v>2483.06</v>
      </c>
      <c r="I58" s="2"/>
      <c r="J58" s="19">
        <f t="shared" si="14"/>
        <v>0.11356800743502582</v>
      </c>
      <c r="K58" s="2"/>
      <c r="L58" s="2">
        <f t="shared" si="15"/>
        <v>-917.21</v>
      </c>
      <c r="M58" s="2"/>
      <c r="N58" s="19">
        <f t="shared" si="16"/>
        <v>-0.36938696608217281</v>
      </c>
      <c r="O58" s="10"/>
      <c r="P58" s="2">
        <v>53401.99</v>
      </c>
      <c r="Q58" s="2"/>
      <c r="R58" s="19">
        <f t="shared" si="17"/>
        <v>1.9437408807507901E-2</v>
      </c>
      <c r="S58" s="2"/>
      <c r="T58" s="2">
        <v>72230.789999999994</v>
      </c>
      <c r="U58" s="2"/>
      <c r="V58" s="19">
        <f t="shared" si="18"/>
        <v>1.4588804411777482E-2</v>
      </c>
      <c r="W58" s="2"/>
      <c r="X58" s="2">
        <f t="shared" si="19"/>
        <v>-18828.799999999996</v>
      </c>
      <c r="Y58" s="2"/>
      <c r="Z58" s="19">
        <f t="shared" si="20"/>
        <v>-0.26067553739894023</v>
      </c>
    </row>
    <row r="59" spans="1:26" s="23" customFormat="1" hidden="1" outlineLevel="1" x14ac:dyDescent="0.25">
      <c r="A59" s="44"/>
      <c r="B59" s="10" t="str">
        <f>CONCATENATE("          ", "5502", " - ", "FREIGHT-IN-USED TEXT")</f>
        <v xml:space="preserve">          5502 - FREIGHT-IN-USED TEXT</v>
      </c>
      <c r="C59" s="10"/>
      <c r="D59" s="2">
        <v>149.80000000000001</v>
      </c>
      <c r="E59" s="2"/>
      <c r="F59" s="19">
        <f t="shared" si="13"/>
        <v>3.6971770153070065E-2</v>
      </c>
      <c r="G59" s="2"/>
      <c r="H59" s="2">
        <v>519.36</v>
      </c>
      <c r="I59" s="2"/>
      <c r="J59" s="19">
        <f t="shared" si="14"/>
        <v>2.3754029440067905E-2</v>
      </c>
      <c r="K59" s="2"/>
      <c r="L59" s="2">
        <f t="shared" si="15"/>
        <v>-369.56</v>
      </c>
      <c r="M59" s="2"/>
      <c r="N59" s="19">
        <f t="shared" si="16"/>
        <v>-0.71156808379544056</v>
      </c>
      <c r="O59" s="10"/>
      <c r="P59" s="2">
        <v>18142.669999999998</v>
      </c>
      <c r="Q59" s="2"/>
      <c r="R59" s="19">
        <f t="shared" si="17"/>
        <v>6.6036208322893834E-3</v>
      </c>
      <c r="S59" s="2"/>
      <c r="T59" s="2">
        <v>16200.12</v>
      </c>
      <c r="U59" s="2"/>
      <c r="V59" s="19">
        <f t="shared" si="18"/>
        <v>3.2720171290847662E-3</v>
      </c>
      <c r="W59" s="2"/>
      <c r="X59" s="2">
        <f t="shared" si="19"/>
        <v>1942.5499999999975</v>
      </c>
      <c r="Y59" s="2"/>
      <c r="Z59" s="19">
        <f t="shared" si="20"/>
        <v>0.11990960560785953</v>
      </c>
    </row>
    <row r="60" spans="1:26" s="23" customFormat="1" hidden="1" outlineLevel="1" x14ac:dyDescent="0.25">
      <c r="A60" s="44"/>
      <c r="B60" s="10" t="str">
        <f>CONCATENATE("          ", "5504", " - ", "FREIGHT-IN-DIGITAL TEXT")</f>
        <v xml:space="preserve">          5504 - FREIGHT-IN-DIGITAL TEXT</v>
      </c>
      <c r="C60" s="10"/>
      <c r="D60" s="2">
        <v>4.28</v>
      </c>
      <c r="E60" s="2"/>
      <c r="F60" s="19">
        <f t="shared" si="13"/>
        <v>1.0563362900877162E-3</v>
      </c>
      <c r="G60" s="2"/>
      <c r="H60" s="2"/>
      <c r="I60" s="2"/>
      <c r="J60" s="19">
        <f t="shared" si="14"/>
        <v>0</v>
      </c>
      <c r="K60" s="2"/>
      <c r="L60" s="2">
        <f t="shared" si="15"/>
        <v>4.28</v>
      </c>
      <c r="M60" s="2"/>
      <c r="N60" s="19">
        <f t="shared" si="16"/>
        <v>0</v>
      </c>
      <c r="O60" s="10"/>
      <c r="P60" s="2">
        <v>33.200000000000003</v>
      </c>
      <c r="Q60" s="2"/>
      <c r="R60" s="19">
        <f t="shared" si="17"/>
        <v>1.2084230801310257E-5</v>
      </c>
      <c r="S60" s="2"/>
      <c r="T60" s="2">
        <v>118.75</v>
      </c>
      <c r="U60" s="2"/>
      <c r="V60" s="19">
        <f t="shared" si="18"/>
        <v>2.3984515798575319E-5</v>
      </c>
      <c r="W60" s="2"/>
      <c r="X60" s="2">
        <f t="shared" si="19"/>
        <v>-85.55</v>
      </c>
      <c r="Y60" s="2"/>
      <c r="Z60" s="19">
        <f t="shared" si="20"/>
        <v>-0.72042105263157896</v>
      </c>
    </row>
    <row r="61" spans="1:26" s="23" customFormat="1" hidden="1" outlineLevel="1" x14ac:dyDescent="0.25">
      <c r="A61" s="44"/>
      <c r="B61" s="10" t="str">
        <f>CONCATENATE("          ", "5513", " - ", "FREIGHT-IN-TRADE BOOKS")</f>
        <v xml:space="preserve">          5513 - FREIGHT-IN-TRADE BOOKS</v>
      </c>
      <c r="C61" s="10"/>
      <c r="D61" s="2"/>
      <c r="E61" s="2"/>
      <c r="F61" s="19">
        <f t="shared" si="13"/>
        <v>0</v>
      </c>
      <c r="G61" s="2"/>
      <c r="H61" s="2"/>
      <c r="I61" s="2"/>
      <c r="J61" s="19">
        <f t="shared" si="14"/>
        <v>0</v>
      </c>
      <c r="K61" s="2"/>
      <c r="L61" s="2">
        <f t="shared" si="15"/>
        <v>0</v>
      </c>
      <c r="M61" s="2"/>
      <c r="N61" s="19">
        <f t="shared" si="16"/>
        <v>0</v>
      </c>
      <c r="O61" s="10"/>
      <c r="P61" s="2">
        <v>85.28</v>
      </c>
      <c r="Q61" s="2"/>
      <c r="R61" s="19">
        <f t="shared" si="17"/>
        <v>3.1040457913727072E-5</v>
      </c>
      <c r="S61" s="2"/>
      <c r="T61" s="2">
        <v>30.24</v>
      </c>
      <c r="U61" s="2"/>
      <c r="V61" s="19">
        <f t="shared" si="18"/>
        <v>6.1077200652540432E-6</v>
      </c>
      <c r="W61" s="2"/>
      <c r="X61" s="2">
        <f t="shared" si="19"/>
        <v>55.040000000000006</v>
      </c>
      <c r="Y61" s="2"/>
      <c r="Z61" s="19">
        <f t="shared" si="20"/>
        <v>1.8201058201058204</v>
      </c>
    </row>
    <row r="62" spans="1:26" s="23" customFormat="1" hidden="1" outlineLevel="1" x14ac:dyDescent="0.25">
      <c r="A62" s="44"/>
      <c r="B62" s="10" t="str">
        <f>CONCATENATE("          ", "5518", " - ", "FREIGHT-IN-STUDY GUIDES")</f>
        <v xml:space="preserve">          5518 - FREIGHT-IN-STUDY GUIDES</v>
      </c>
      <c r="C62" s="10"/>
      <c r="D62" s="2"/>
      <c r="E62" s="2"/>
      <c r="F62" s="19">
        <f t="shared" si="13"/>
        <v>0</v>
      </c>
      <c r="G62" s="2"/>
      <c r="H62" s="2"/>
      <c r="I62" s="2"/>
      <c r="J62" s="19">
        <f t="shared" si="14"/>
        <v>0</v>
      </c>
      <c r="K62" s="2"/>
      <c r="L62" s="2">
        <f t="shared" si="15"/>
        <v>0</v>
      </c>
      <c r="M62" s="2"/>
      <c r="N62" s="19">
        <f t="shared" si="16"/>
        <v>0</v>
      </c>
      <c r="O62" s="10"/>
      <c r="P62" s="2"/>
      <c r="Q62" s="2"/>
      <c r="R62" s="19">
        <f t="shared" si="17"/>
        <v>0</v>
      </c>
      <c r="S62" s="2"/>
      <c r="T62" s="2">
        <v>21.13</v>
      </c>
      <c r="U62" s="2"/>
      <c r="V62" s="19">
        <f t="shared" si="18"/>
        <v>4.2677290006222863E-6</v>
      </c>
      <c r="W62" s="2"/>
      <c r="X62" s="2">
        <f t="shared" si="19"/>
        <v>-21.13</v>
      </c>
      <c r="Y62" s="2"/>
      <c r="Z62" s="19">
        <f t="shared" si="20"/>
        <v>-1</v>
      </c>
    </row>
    <row r="63" spans="1:26" x14ac:dyDescent="0.25">
      <c r="A63" s="9"/>
      <c r="B63" s="11"/>
      <c r="C63" s="11"/>
      <c r="D63" s="3"/>
      <c r="E63" s="3"/>
      <c r="F63" s="8"/>
      <c r="G63" s="3"/>
      <c r="H63" s="3"/>
      <c r="I63" s="3"/>
      <c r="J63" s="8"/>
      <c r="K63" s="3"/>
      <c r="L63" s="3"/>
      <c r="M63" s="3"/>
      <c r="N63" s="8"/>
      <c r="O63" s="11"/>
      <c r="P63" s="3"/>
      <c r="Q63" s="3"/>
      <c r="R63" s="8"/>
      <c r="S63" s="3"/>
      <c r="T63" s="3"/>
      <c r="U63" s="3"/>
      <c r="V63" s="8"/>
      <c r="W63" s="3"/>
      <c r="X63" s="3"/>
      <c r="Y63" s="3"/>
      <c r="Z63" s="8"/>
    </row>
    <row r="64" spans="1:26" s="24" customFormat="1" x14ac:dyDescent="0.25">
      <c r="A64" s="11"/>
      <c r="B64" s="28" t="s">
        <v>107</v>
      </c>
      <c r="C64" s="28"/>
      <c r="D64" s="21">
        <f>D12-D45</f>
        <v>-68453.789999999964</v>
      </c>
      <c r="E64" s="14"/>
      <c r="F64" s="22">
        <f>IF(D$12=0,0,D64/D$12)</f>
        <v>-16.894911815664383</v>
      </c>
      <c r="G64" s="14"/>
      <c r="H64" s="21">
        <f>H12-H45</f>
        <v>-70735.03</v>
      </c>
      <c r="I64" s="14"/>
      <c r="J64" s="22">
        <f>IF(H$12=0,0,H64/H$12)</f>
        <v>-3.2352163914511829</v>
      </c>
      <c r="K64" s="15"/>
      <c r="L64" s="21">
        <f>+D64-H64</f>
        <v>2281.2400000000343</v>
      </c>
      <c r="M64" s="15"/>
      <c r="N64" s="22">
        <f>IF(H64=0,0,L64/H64)</f>
        <v>-3.2250498798120739E-2</v>
      </c>
      <c r="O64" s="29"/>
      <c r="P64" s="21">
        <f>P12-P45</f>
        <v>717412.86000000057</v>
      </c>
      <c r="Q64" s="14"/>
      <c r="R64" s="22">
        <f>IF(P$12=0,0,P64/P$12)</f>
        <v>0.2611259813273521</v>
      </c>
      <c r="S64" s="14"/>
      <c r="T64" s="21">
        <f>T12-T45</f>
        <v>1323134.149999998</v>
      </c>
      <c r="U64" s="14"/>
      <c r="V64" s="22">
        <f>IF(T$12=0,0,T64/T$12)</f>
        <v>0.26723984778365878</v>
      </c>
      <c r="W64" s="15"/>
      <c r="X64" s="21">
        <f>+P64-T64</f>
        <v>-605721.28999999748</v>
      </c>
      <c r="Y64" s="15"/>
      <c r="Z64" s="22">
        <f>IF(T64=0,0,X64/T64)</f>
        <v>-0.45779280203749434</v>
      </c>
    </row>
    <row r="65" spans="1:26" x14ac:dyDescent="0.25">
      <c r="A65" s="9"/>
      <c r="B65" s="11"/>
      <c r="C65" s="9"/>
      <c r="D65" s="1"/>
      <c r="E65" s="1"/>
      <c r="F65" s="5"/>
      <c r="G65" s="1"/>
      <c r="H65" s="1"/>
      <c r="I65" s="1"/>
      <c r="J65" s="5"/>
      <c r="K65" s="1"/>
      <c r="L65" s="1"/>
      <c r="M65" s="1"/>
      <c r="N65" s="5"/>
      <c r="O65" s="37"/>
      <c r="P65" s="1"/>
      <c r="Q65" s="1"/>
      <c r="R65" s="5"/>
      <c r="S65" s="1"/>
      <c r="T65" s="1"/>
      <c r="U65" s="1"/>
      <c r="V65" s="5"/>
      <c r="W65" s="1"/>
      <c r="X65" s="1"/>
      <c r="Y65" s="1"/>
      <c r="Z65" s="5"/>
    </row>
    <row r="66" spans="1:26" s="24" customFormat="1" x14ac:dyDescent="0.25">
      <c r="A66" s="11"/>
      <c r="B66" s="29" t="s">
        <v>294</v>
      </c>
      <c r="C66" s="11"/>
      <c r="D66" s="20">
        <f>SUM(OSRRefD22x_0)</f>
        <v>21334.860000000008</v>
      </c>
      <c r="E66" s="20"/>
      <c r="F66" s="32">
        <f t="shared" ref="F66:F76" si="21">IF(D$12=0,0,D66/D$12)</f>
        <v>5.2656044069955179</v>
      </c>
      <c r="G66" s="20"/>
      <c r="H66" s="20">
        <f>SUM(OSRRefH22x_0)</f>
        <v>3082.3200000000061</v>
      </c>
      <c r="I66" s="20"/>
      <c r="J66" s="32">
        <f t="shared" ref="J66:J76" si="22">IF(H$12=0,0,H66/H$12)</f>
        <v>0.14097643257800033</v>
      </c>
      <c r="K66" s="4"/>
      <c r="L66" s="20">
        <f t="shared" ref="L66:L76" si="23">+D66-H66</f>
        <v>18252.54</v>
      </c>
      <c r="M66" s="4"/>
      <c r="N66" s="32">
        <f t="shared" ref="N66:N76" si="24">IF(H66=0,0,L66/H66)</f>
        <v>5.9216888577435061</v>
      </c>
      <c r="O66" s="11"/>
      <c r="P66" s="20">
        <f>SUM(OSRRefP22x_0)</f>
        <v>528742.40000000002</v>
      </c>
      <c r="Q66" s="20"/>
      <c r="R66" s="32">
        <f t="shared" ref="R66:R76" si="25">IF(P$12=0,0,P66/P$12)</f>
        <v>0.19245316855538278</v>
      </c>
      <c r="S66" s="20"/>
      <c r="T66" s="20">
        <f>SUM(OSRRefT22x_0)</f>
        <v>512310.92</v>
      </c>
      <c r="U66" s="20"/>
      <c r="V66" s="32">
        <f t="shared" ref="V66:V76" si="26">IF(T$12=0,0,T66/T$12)</f>
        <v>0.10347393140650657</v>
      </c>
      <c r="W66" s="4"/>
      <c r="X66" s="20">
        <f t="shared" ref="X66:X76" si="27">+P66-T66</f>
        <v>16431.48000000004</v>
      </c>
      <c r="Y66" s="4"/>
      <c r="Z66" s="32">
        <f t="shared" ref="Z66:Z76" si="28">IF(T66=0,0,X66/T66)</f>
        <v>3.2073257388306381E-2</v>
      </c>
    </row>
    <row r="67" spans="1:26" s="27" customFormat="1" outlineLevel="1" collapsed="1" x14ac:dyDescent="0.25">
      <c r="A67" s="26"/>
      <c r="B67" s="12" t="str">
        <f>CONCATENATE("     ","*Benefits                                         ")</f>
        <v xml:space="preserve">     *Benefits                                         </v>
      </c>
      <c r="C67" s="12"/>
      <c r="D67" s="1">
        <f>SUM(OSRRefD22_0x_0)</f>
        <v>12433.619999999999</v>
      </c>
      <c r="E67" s="1"/>
      <c r="F67" s="5">
        <f t="shared" si="21"/>
        <v>3.0687112203645857</v>
      </c>
      <c r="G67" s="1"/>
      <c r="H67" s="1">
        <f>SUM(OSRRefH22_0x_0)</f>
        <v>9832.65</v>
      </c>
      <c r="I67" s="1"/>
      <c r="J67" s="5">
        <f t="shared" si="22"/>
        <v>0.44971707019001017</v>
      </c>
      <c r="K67" s="1"/>
      <c r="L67" s="1">
        <f t="shared" si="23"/>
        <v>2600.9699999999993</v>
      </c>
      <c r="M67" s="1"/>
      <c r="N67" s="5">
        <f t="shared" si="24"/>
        <v>0.2645238058915958</v>
      </c>
      <c r="O67" s="12"/>
      <c r="P67" s="1">
        <f>SUM(OSRRefP22_0x_0)</f>
        <v>144311.99</v>
      </c>
      <c r="Q67" s="1"/>
      <c r="R67" s="5">
        <f t="shared" si="25"/>
        <v>5.2527090197481252E-2</v>
      </c>
      <c r="S67" s="1"/>
      <c r="T67" s="1">
        <f>SUM(OSRRefT22_0x_0)</f>
        <v>126499.94000000002</v>
      </c>
      <c r="U67" s="1"/>
      <c r="V67" s="5">
        <f t="shared" si="26"/>
        <v>2.5549808921674362E-2</v>
      </c>
      <c r="W67" s="1"/>
      <c r="X67" s="1">
        <f t="shared" si="27"/>
        <v>17812.049999999974</v>
      </c>
      <c r="Y67" s="1"/>
      <c r="Z67" s="5">
        <f t="shared" si="28"/>
        <v>0.14080678615341613</v>
      </c>
    </row>
    <row r="68" spans="1:26" s="23" customFormat="1" hidden="1" outlineLevel="2" x14ac:dyDescent="0.25">
      <c r="A68" s="25"/>
      <c r="B68" s="10" t="str">
        <f>CONCATENATE("          ", "6111", " - ", "F.I.C.A.")</f>
        <v xml:space="preserve">          6111 - F.I.C.A.</v>
      </c>
      <c r="C68" s="10"/>
      <c r="D68" s="6">
        <v>2190.84</v>
      </c>
      <c r="E68" s="2"/>
      <c r="F68" s="7">
        <f t="shared" si="21"/>
        <v>0.54071584060181588</v>
      </c>
      <c r="G68" s="2"/>
      <c r="H68" s="6">
        <v>1850.99</v>
      </c>
      <c r="I68" s="2"/>
      <c r="J68" s="7">
        <f t="shared" si="22"/>
        <v>8.4658947460858155E-2</v>
      </c>
      <c r="K68" s="2"/>
      <c r="L68" s="6">
        <f t="shared" si="23"/>
        <v>339.85000000000014</v>
      </c>
      <c r="M68" s="2"/>
      <c r="N68" s="7">
        <f t="shared" si="24"/>
        <v>0.1836044495108024</v>
      </c>
      <c r="O68" s="10"/>
      <c r="P68" s="6">
        <v>26197.69</v>
      </c>
      <c r="Q68" s="2"/>
      <c r="R68" s="7">
        <f t="shared" si="25"/>
        <v>9.5355100126860749E-3</v>
      </c>
      <c r="S68" s="2"/>
      <c r="T68" s="6">
        <v>21700.400000000001</v>
      </c>
      <c r="U68" s="2"/>
      <c r="V68" s="7">
        <f t="shared" si="26"/>
        <v>4.3829354664034013E-3</v>
      </c>
      <c r="W68" s="2"/>
      <c r="X68" s="6">
        <f t="shared" si="27"/>
        <v>4497.2899999999972</v>
      </c>
      <c r="Y68" s="2"/>
      <c r="Z68" s="7">
        <f t="shared" si="28"/>
        <v>0.20724456692042528</v>
      </c>
    </row>
    <row r="69" spans="1:26" s="23" customFormat="1" hidden="1" outlineLevel="2" x14ac:dyDescent="0.25">
      <c r="A69" s="25"/>
      <c r="B69" s="10" t="str">
        <f>CONCATENATE("          ", "6112", " - ", "COMPENSATION INSURANCE")</f>
        <v xml:space="preserve">          6112 - COMPENSATION INSURANCE</v>
      </c>
      <c r="C69" s="10"/>
      <c r="D69" s="6">
        <v>129.68</v>
      </c>
      <c r="E69" s="2"/>
      <c r="F69" s="7">
        <f t="shared" si="21"/>
        <v>3.2006002359480146E-2</v>
      </c>
      <c r="G69" s="2"/>
      <c r="H69" s="6">
        <v>154.72</v>
      </c>
      <c r="I69" s="2"/>
      <c r="J69" s="7">
        <f t="shared" si="22"/>
        <v>7.0764468479807959E-3</v>
      </c>
      <c r="K69" s="2"/>
      <c r="L69" s="6">
        <f t="shared" si="23"/>
        <v>-25.039999999999992</v>
      </c>
      <c r="M69" s="2"/>
      <c r="N69" s="7">
        <f t="shared" si="24"/>
        <v>-0.16184074457083758</v>
      </c>
      <c r="O69" s="10"/>
      <c r="P69" s="6">
        <v>1501.57</v>
      </c>
      <c r="Q69" s="2"/>
      <c r="R69" s="7">
        <f t="shared" si="25"/>
        <v>5.4654573627480247E-4</v>
      </c>
      <c r="S69" s="2"/>
      <c r="T69" s="6">
        <v>1246.55</v>
      </c>
      <c r="U69" s="2"/>
      <c r="V69" s="7">
        <f t="shared" si="26"/>
        <v>2.5177177405232893E-4</v>
      </c>
      <c r="W69" s="2"/>
      <c r="X69" s="6">
        <f t="shared" si="27"/>
        <v>255.01999999999998</v>
      </c>
      <c r="Y69" s="2"/>
      <c r="Z69" s="7">
        <f t="shared" si="28"/>
        <v>0.20458064257350286</v>
      </c>
    </row>
    <row r="70" spans="1:26" s="23" customFormat="1" hidden="1" outlineLevel="2" x14ac:dyDescent="0.25">
      <c r="A70" s="25"/>
      <c r="B70" s="10" t="str">
        <f>CONCATENATE("          ", "6113", " - ", "GROUP INSURANCE")</f>
        <v xml:space="preserve">          6113 - GROUP INSURANCE</v>
      </c>
      <c r="C70" s="10"/>
      <c r="D70" s="6">
        <v>4943.91</v>
      </c>
      <c r="E70" s="2"/>
      <c r="F70" s="7">
        <f t="shared" si="21"/>
        <v>1.2201942868989626</v>
      </c>
      <c r="G70" s="2"/>
      <c r="H70" s="6">
        <v>4248.21</v>
      </c>
      <c r="I70" s="2"/>
      <c r="J70" s="7">
        <f t="shared" si="22"/>
        <v>0.19430088071393806</v>
      </c>
      <c r="K70" s="2"/>
      <c r="L70" s="6">
        <f t="shared" si="23"/>
        <v>695.69999999999982</v>
      </c>
      <c r="M70" s="2"/>
      <c r="N70" s="7">
        <f t="shared" si="24"/>
        <v>0.16376309080765777</v>
      </c>
      <c r="O70" s="10"/>
      <c r="P70" s="6">
        <v>55051.68</v>
      </c>
      <c r="Q70" s="2"/>
      <c r="R70" s="7">
        <f t="shared" si="25"/>
        <v>2.0037867684333608E-2</v>
      </c>
      <c r="S70" s="2"/>
      <c r="T70" s="6">
        <v>50500.68</v>
      </c>
      <c r="U70" s="2"/>
      <c r="V70" s="7">
        <f t="shared" si="26"/>
        <v>1.0199868271989867E-2</v>
      </c>
      <c r="W70" s="2"/>
      <c r="X70" s="6">
        <f t="shared" si="27"/>
        <v>4551</v>
      </c>
      <c r="Y70" s="2"/>
      <c r="Z70" s="7">
        <f t="shared" si="28"/>
        <v>9.0117598416496567E-2</v>
      </c>
    </row>
    <row r="71" spans="1:26" s="23" customFormat="1" hidden="1" outlineLevel="2" x14ac:dyDescent="0.25">
      <c r="A71" s="25"/>
      <c r="B71" s="10" t="str">
        <f>CONCATENATE("          ", "6114", " - ", "STATE UNEMPLOYMENT INSURANCE")</f>
        <v xml:space="preserve">          6114 - STATE UNEMPLOYMENT INSURANCE</v>
      </c>
      <c r="C71" s="10"/>
      <c r="D71" s="6">
        <v>78.42</v>
      </c>
      <c r="E71" s="2"/>
      <c r="F71" s="7">
        <f t="shared" si="21"/>
        <v>1.9354647632868854E-2</v>
      </c>
      <c r="G71" s="2"/>
      <c r="H71" s="6">
        <v>-745.41</v>
      </c>
      <c r="I71" s="2"/>
      <c r="J71" s="7">
        <f t="shared" si="22"/>
        <v>-3.4092904892407995E-2</v>
      </c>
      <c r="K71" s="2"/>
      <c r="L71" s="6">
        <f t="shared" si="23"/>
        <v>823.82999999999993</v>
      </c>
      <c r="M71" s="2"/>
      <c r="N71" s="7">
        <f t="shared" si="24"/>
        <v>-1.1052038475469874</v>
      </c>
      <c r="O71" s="10"/>
      <c r="P71" s="6">
        <v>953.93</v>
      </c>
      <c r="Q71" s="2"/>
      <c r="R71" s="7">
        <f t="shared" si="25"/>
        <v>3.4721416531005702E-4</v>
      </c>
      <c r="S71" s="2"/>
      <c r="T71" s="6">
        <v>0</v>
      </c>
      <c r="U71" s="2"/>
      <c r="V71" s="7">
        <f t="shared" si="26"/>
        <v>0</v>
      </c>
      <c r="W71" s="2"/>
      <c r="X71" s="6">
        <f t="shared" si="27"/>
        <v>953.93</v>
      </c>
      <c r="Y71" s="2"/>
      <c r="Z71" s="7">
        <f t="shared" si="28"/>
        <v>0</v>
      </c>
    </row>
    <row r="72" spans="1:26" s="23" customFormat="1" hidden="1" outlineLevel="2" x14ac:dyDescent="0.25">
      <c r="A72" s="25"/>
      <c r="B72" s="10" t="str">
        <f>CONCATENATE("          ", "6115", " - ", "P.E.R.S.")</f>
        <v xml:space="preserve">          6115 - P.E.R.S.</v>
      </c>
      <c r="C72" s="10"/>
      <c r="D72" s="6">
        <v>2644.54</v>
      </c>
      <c r="E72" s="2"/>
      <c r="F72" s="7">
        <f t="shared" si="21"/>
        <v>0.65269242350200196</v>
      </c>
      <c r="G72" s="2"/>
      <c r="H72" s="6">
        <v>1363.4</v>
      </c>
      <c r="I72" s="2"/>
      <c r="J72" s="7">
        <f t="shared" si="22"/>
        <v>6.2357986249592927E-2</v>
      </c>
      <c r="K72" s="2"/>
      <c r="L72" s="6">
        <f t="shared" si="23"/>
        <v>1281.1399999999999</v>
      </c>
      <c r="M72" s="2"/>
      <c r="N72" s="7">
        <f t="shared" si="24"/>
        <v>0.93966554202728458</v>
      </c>
      <c r="O72" s="10"/>
      <c r="P72" s="6">
        <v>22892.11</v>
      </c>
      <c r="Q72" s="2"/>
      <c r="R72" s="7">
        <f t="shared" si="25"/>
        <v>8.3323355653307993E-3</v>
      </c>
      <c r="S72" s="2"/>
      <c r="T72" s="6">
        <v>17203.09</v>
      </c>
      <c r="U72" s="2"/>
      <c r="V72" s="7">
        <f t="shared" si="26"/>
        <v>3.4745918643310576E-3</v>
      </c>
      <c r="W72" s="2"/>
      <c r="X72" s="6">
        <f t="shared" si="27"/>
        <v>5689.02</v>
      </c>
      <c r="Y72" s="2"/>
      <c r="Z72" s="7">
        <f t="shared" si="28"/>
        <v>0.33069756654182475</v>
      </c>
    </row>
    <row r="73" spans="1:26" s="23" customFormat="1" hidden="1" outlineLevel="2" x14ac:dyDescent="0.25">
      <c r="A73" s="25"/>
      <c r="B73" s="10" t="str">
        <f>CONCATENATE("          ", "6117", " - ", "RETIREMENT STAFF HOURLY")</f>
        <v xml:space="preserve">          6117 - RETIREMENT STAFF HOURLY</v>
      </c>
      <c r="C73" s="10"/>
      <c r="D73" s="6">
        <v>246.25</v>
      </c>
      <c r="E73" s="2"/>
      <c r="F73" s="7">
        <f t="shared" si="21"/>
        <v>6.0776357811705622E-2</v>
      </c>
      <c r="G73" s="2"/>
      <c r="H73" s="6">
        <v>220.92</v>
      </c>
      <c r="I73" s="2"/>
      <c r="J73" s="7">
        <f t="shared" si="22"/>
        <v>1.0104244038624078E-2</v>
      </c>
      <c r="K73" s="2"/>
      <c r="L73" s="6">
        <f t="shared" si="23"/>
        <v>25.330000000000013</v>
      </c>
      <c r="M73" s="2"/>
      <c r="N73" s="7">
        <f t="shared" si="24"/>
        <v>0.11465688937171833</v>
      </c>
      <c r="O73" s="10"/>
      <c r="P73" s="6">
        <v>3247.65</v>
      </c>
      <c r="Q73" s="2"/>
      <c r="R73" s="7">
        <f t="shared" si="25"/>
        <v>1.1820889205384113E-3</v>
      </c>
      <c r="S73" s="2"/>
      <c r="T73" s="6">
        <v>2010.19</v>
      </c>
      <c r="U73" s="2"/>
      <c r="V73" s="7">
        <f t="shared" si="26"/>
        <v>4.0600786368958416E-4</v>
      </c>
      <c r="W73" s="2"/>
      <c r="X73" s="6">
        <f t="shared" si="27"/>
        <v>1237.46</v>
      </c>
      <c r="Y73" s="2"/>
      <c r="Z73" s="7">
        <f t="shared" si="28"/>
        <v>0.61559355085837653</v>
      </c>
    </row>
    <row r="74" spans="1:26" s="23" customFormat="1" hidden="1" outlineLevel="2" x14ac:dyDescent="0.25">
      <c r="A74" s="25"/>
      <c r="B74" s="10" t="str">
        <f>CONCATENATE("          ", "6118", " - ", "VACATION")</f>
        <v xml:space="preserve">          6118 - VACATION</v>
      </c>
      <c r="C74" s="10"/>
      <c r="D74" s="6">
        <v>1512.33</v>
      </c>
      <c r="E74" s="2"/>
      <c r="F74" s="7">
        <f t="shared" si="21"/>
        <v>0.37325445364213916</v>
      </c>
      <c r="G74" s="2"/>
      <c r="H74" s="6">
        <v>1355.16</v>
      </c>
      <c r="I74" s="2"/>
      <c r="J74" s="7">
        <f t="shared" si="22"/>
        <v>6.1981112399881438E-2</v>
      </c>
      <c r="K74" s="2"/>
      <c r="L74" s="6">
        <f t="shared" si="23"/>
        <v>157.16999999999985</v>
      </c>
      <c r="M74" s="2"/>
      <c r="N74" s="7">
        <f t="shared" si="24"/>
        <v>0.11597892499778611</v>
      </c>
      <c r="O74" s="10"/>
      <c r="P74" s="6">
        <v>17657.46</v>
      </c>
      <c r="Q74" s="2"/>
      <c r="R74" s="7">
        <f t="shared" si="25"/>
        <v>6.4270127109910778E-3</v>
      </c>
      <c r="S74" s="2"/>
      <c r="T74" s="6">
        <v>13353.38</v>
      </c>
      <c r="U74" s="2"/>
      <c r="V74" s="7">
        <f t="shared" si="26"/>
        <v>2.6970471879947762E-3</v>
      </c>
      <c r="W74" s="2"/>
      <c r="X74" s="6">
        <f t="shared" si="27"/>
        <v>4304.08</v>
      </c>
      <c r="Y74" s="2"/>
      <c r="Z74" s="7">
        <f t="shared" si="28"/>
        <v>0.32232138979045005</v>
      </c>
    </row>
    <row r="75" spans="1:26" s="23" customFormat="1" hidden="1" outlineLevel="2" x14ac:dyDescent="0.25">
      <c r="A75" s="25"/>
      <c r="B75" s="10" t="str">
        <f>CONCATENATE("          ", "6119", " - ", "SICK LEAVE")</f>
        <v xml:space="preserve">          6119 - SICK LEAVE</v>
      </c>
      <c r="C75" s="10"/>
      <c r="D75" s="6">
        <v>284.64</v>
      </c>
      <c r="E75" s="2"/>
      <c r="F75" s="7">
        <f t="shared" si="21"/>
        <v>7.0251299441721371E-2</v>
      </c>
      <c r="G75" s="2"/>
      <c r="H75" s="6">
        <v>944.6</v>
      </c>
      <c r="I75" s="2"/>
      <c r="J75" s="7">
        <f t="shared" si="22"/>
        <v>4.3203281363771072E-2</v>
      </c>
      <c r="K75" s="2"/>
      <c r="L75" s="6">
        <f t="shared" si="23"/>
        <v>-659.96</v>
      </c>
      <c r="M75" s="2"/>
      <c r="N75" s="7">
        <f t="shared" si="24"/>
        <v>-0.69866610205377944</v>
      </c>
      <c r="O75" s="10"/>
      <c r="P75" s="6">
        <v>11746.18</v>
      </c>
      <c r="Q75" s="2"/>
      <c r="R75" s="7">
        <f t="shared" si="25"/>
        <v>4.2754081371606783E-3</v>
      </c>
      <c r="S75" s="2"/>
      <c r="T75" s="6">
        <v>13903.49</v>
      </c>
      <c r="U75" s="2"/>
      <c r="V75" s="7">
        <f t="shared" si="26"/>
        <v>2.8081555836659703E-3</v>
      </c>
      <c r="W75" s="2"/>
      <c r="X75" s="6">
        <f t="shared" si="27"/>
        <v>-2157.3099999999995</v>
      </c>
      <c r="Y75" s="2"/>
      <c r="Z75" s="7">
        <f t="shared" si="28"/>
        <v>-0.15516320003107131</v>
      </c>
    </row>
    <row r="76" spans="1:26" s="23" customFormat="1" hidden="1" outlineLevel="2" x14ac:dyDescent="0.25">
      <c r="A76" s="25"/>
      <c r="B76" s="10" t="str">
        <f>CONCATENATE("          ", "6156", " - ", "EMPLOYEE MEALS")</f>
        <v xml:space="preserve">          6156 - EMPLOYEE MEALS</v>
      </c>
      <c r="C76" s="10"/>
      <c r="D76" s="6">
        <v>403.01</v>
      </c>
      <c r="E76" s="2"/>
      <c r="F76" s="7">
        <f t="shared" si="21"/>
        <v>9.9465908473890294E-2</v>
      </c>
      <c r="G76" s="2"/>
      <c r="H76" s="6">
        <v>440.06</v>
      </c>
      <c r="I76" s="2"/>
      <c r="J76" s="7">
        <f t="shared" si="22"/>
        <v>2.0127076007771645E-2</v>
      </c>
      <c r="K76" s="2"/>
      <c r="L76" s="6">
        <f t="shared" si="23"/>
        <v>-37.050000000000011</v>
      </c>
      <c r="M76" s="2"/>
      <c r="N76" s="7">
        <f t="shared" si="24"/>
        <v>-8.4193064582102461E-2</v>
      </c>
      <c r="O76" s="10"/>
      <c r="P76" s="6">
        <v>5063.72</v>
      </c>
      <c r="Q76" s="2"/>
      <c r="R76" s="7">
        <f t="shared" si="25"/>
        <v>1.8431072648557464E-3</v>
      </c>
      <c r="S76" s="2"/>
      <c r="T76" s="6">
        <v>6582.16</v>
      </c>
      <c r="U76" s="2"/>
      <c r="V76" s="7">
        <f t="shared" si="26"/>
        <v>1.3294309095473727E-3</v>
      </c>
      <c r="W76" s="2"/>
      <c r="X76" s="6">
        <f t="shared" si="27"/>
        <v>-1518.4399999999996</v>
      </c>
      <c r="Y76" s="2"/>
      <c r="Z76" s="7">
        <f t="shared" si="28"/>
        <v>-0.23069022934720512</v>
      </c>
    </row>
    <row r="77" spans="1:26" s="27" customFormat="1" outlineLevel="1" collapsed="1" x14ac:dyDescent="0.25">
      <c r="A77" s="26"/>
      <c r="B77" s="12" t="str">
        <f>CONCATENATE("     ","*Payroll                                          ")</f>
        <v xml:space="preserve">     *Payroll                                          </v>
      </c>
      <c r="C77" s="12"/>
      <c r="D77" s="1">
        <f>SUM(OSRRefD22_1x_0)</f>
        <v>28142.829999999998</v>
      </c>
      <c r="E77" s="1"/>
      <c r="F77" s="5">
        <f t="shared" ref="F77:F84" si="29">IF(D$12=0,0,D77/D$12)</f>
        <v>6.9458627651330085</v>
      </c>
      <c r="G77" s="1"/>
      <c r="H77" s="1">
        <f>SUM(OSRRefH22_1x_0)</f>
        <v>24597.489999999998</v>
      </c>
      <c r="I77" s="1"/>
      <c r="J77" s="5">
        <f t="shared" ref="J77:J84" si="30">IF(H$12=0,0,H77/H$12)</f>
        <v>1.1250182948470731</v>
      </c>
      <c r="K77" s="1"/>
      <c r="L77" s="1">
        <f t="shared" ref="L77:L84" si="31">+D77-H77</f>
        <v>3545.34</v>
      </c>
      <c r="M77" s="1"/>
      <c r="N77" s="5">
        <f t="shared" ref="N77:N84" si="32">IF(H77=0,0,L77/H77)</f>
        <v>0.14413421857270806</v>
      </c>
      <c r="O77" s="12"/>
      <c r="P77" s="1">
        <f>SUM(OSRRefP22_1x_0)</f>
        <v>338965.84999999992</v>
      </c>
      <c r="Q77" s="1"/>
      <c r="R77" s="5">
        <f t="shared" ref="R77:R84" si="33">IF(P$12=0,0,P77/P$12)</f>
        <v>0.12337775798681661</v>
      </c>
      <c r="S77" s="1"/>
      <c r="T77" s="1">
        <f>SUM(OSRRefT22_1x_0)</f>
        <v>331883.89999999997</v>
      </c>
      <c r="U77" s="1"/>
      <c r="V77" s="5">
        <f t="shared" ref="V77:V84" si="34">IF(T$12=0,0,T77/T$12)</f>
        <v>6.7032207518676126E-2</v>
      </c>
      <c r="W77" s="1"/>
      <c r="X77" s="1">
        <f t="shared" ref="X77:X84" si="35">+P77-T77</f>
        <v>7081.9499999999534</v>
      </c>
      <c r="Y77" s="1"/>
      <c r="Z77" s="5">
        <f t="shared" ref="Z77:Z84" si="36">IF(T77=0,0,X77/T77)</f>
        <v>2.1338636794372833E-2</v>
      </c>
    </row>
    <row r="78" spans="1:26" s="23" customFormat="1" hidden="1" outlineLevel="2" x14ac:dyDescent="0.25">
      <c r="A78" s="25"/>
      <c r="B78" s="10" t="str">
        <f>CONCATENATE("          ", "6001", " - ", "ADMINISTRATIVE SALARIES")</f>
        <v xml:space="preserve">          6001 - ADMINISTRATIVE SALARIES</v>
      </c>
      <c r="C78" s="10"/>
      <c r="D78" s="6"/>
      <c r="E78" s="2"/>
      <c r="F78" s="7">
        <f t="shared" si="29"/>
        <v>0</v>
      </c>
      <c r="G78" s="2"/>
      <c r="H78" s="6"/>
      <c r="I78" s="2"/>
      <c r="J78" s="7">
        <f t="shared" si="30"/>
        <v>0</v>
      </c>
      <c r="K78" s="2"/>
      <c r="L78" s="6">
        <f t="shared" si="31"/>
        <v>0</v>
      </c>
      <c r="M78" s="2"/>
      <c r="N78" s="7">
        <f t="shared" si="32"/>
        <v>0</v>
      </c>
      <c r="O78" s="10"/>
      <c r="P78" s="6">
        <v>-311.32</v>
      </c>
      <c r="Q78" s="2"/>
      <c r="R78" s="7">
        <f t="shared" si="33"/>
        <v>-1.1331514256216594E-4</v>
      </c>
      <c r="S78" s="2"/>
      <c r="T78" s="6">
        <v>0</v>
      </c>
      <c r="U78" s="2"/>
      <c r="V78" s="7">
        <f t="shared" si="34"/>
        <v>0</v>
      </c>
      <c r="W78" s="2"/>
      <c r="X78" s="6">
        <f t="shared" si="35"/>
        <v>-311.32</v>
      </c>
      <c r="Y78" s="2"/>
      <c r="Z78" s="7">
        <f t="shared" si="36"/>
        <v>0</v>
      </c>
    </row>
    <row r="79" spans="1:26" s="23" customFormat="1" hidden="1" outlineLevel="2" x14ac:dyDescent="0.25">
      <c r="A79" s="25"/>
      <c r="B79" s="10" t="str">
        <f>CONCATENATE("          ", "6002", " - ", "STAFF SALARIES")</f>
        <v xml:space="preserve">          6002 - STAFF SALARIES</v>
      </c>
      <c r="C79" s="10"/>
      <c r="D79" s="6">
        <v>18030.77</v>
      </c>
      <c r="E79" s="2"/>
      <c r="F79" s="7">
        <f t="shared" si="29"/>
        <v>4.4501300675759081</v>
      </c>
      <c r="G79" s="2"/>
      <c r="H79" s="6">
        <v>14558.33</v>
      </c>
      <c r="I79" s="2"/>
      <c r="J79" s="7">
        <f t="shared" si="30"/>
        <v>0.66585605248425717</v>
      </c>
      <c r="K79" s="2"/>
      <c r="L79" s="6">
        <f t="shared" si="31"/>
        <v>3472.4400000000005</v>
      </c>
      <c r="M79" s="2"/>
      <c r="N79" s="7">
        <f t="shared" si="32"/>
        <v>0.23851911586012961</v>
      </c>
      <c r="O79" s="10"/>
      <c r="P79" s="6">
        <v>210246.3</v>
      </c>
      <c r="Q79" s="2"/>
      <c r="R79" s="7">
        <f t="shared" si="33"/>
        <v>7.6526048624142057E-2</v>
      </c>
      <c r="S79" s="2"/>
      <c r="T79" s="6">
        <v>186567.11</v>
      </c>
      <c r="U79" s="2"/>
      <c r="V79" s="7">
        <f t="shared" si="34"/>
        <v>3.7681867766648752E-2</v>
      </c>
      <c r="W79" s="2"/>
      <c r="X79" s="6">
        <f t="shared" si="35"/>
        <v>23679.190000000002</v>
      </c>
      <c r="Y79" s="2"/>
      <c r="Z79" s="7">
        <f t="shared" si="36"/>
        <v>0.12692049525771185</v>
      </c>
    </row>
    <row r="80" spans="1:26" s="23" customFormat="1" hidden="1" outlineLevel="2" x14ac:dyDescent="0.25">
      <c r="A80" s="25"/>
      <c r="B80" s="10" t="str">
        <f>CONCATENATE("          ", "6004", " - ", "STAFF HOURLY")</f>
        <v xml:space="preserve">          6004 - STAFF HOURLY</v>
      </c>
      <c r="C80" s="10"/>
      <c r="D80" s="6">
        <v>6138.5</v>
      </c>
      <c r="E80" s="2"/>
      <c r="F80" s="7">
        <f t="shared" si="29"/>
        <v>1.5150281113793096</v>
      </c>
      <c r="G80" s="2"/>
      <c r="H80" s="6">
        <v>5669.27</v>
      </c>
      <c r="I80" s="2"/>
      <c r="J80" s="7">
        <f t="shared" si="30"/>
        <v>0.25929606916915776</v>
      </c>
      <c r="K80" s="2"/>
      <c r="L80" s="6">
        <f t="shared" si="31"/>
        <v>469.22999999999956</v>
      </c>
      <c r="M80" s="2"/>
      <c r="N80" s="7">
        <f t="shared" si="32"/>
        <v>8.2767269860140644E-2</v>
      </c>
      <c r="O80" s="10"/>
      <c r="P80" s="6">
        <v>80583.929999999993</v>
      </c>
      <c r="Q80" s="2"/>
      <c r="R80" s="7">
        <f t="shared" si="33"/>
        <v>2.9331168945681614E-2</v>
      </c>
      <c r="S80" s="2"/>
      <c r="T80" s="6">
        <v>51297.07</v>
      </c>
      <c r="U80" s="2"/>
      <c r="V80" s="7">
        <f t="shared" si="34"/>
        <v>1.0360719038615782E-2</v>
      </c>
      <c r="W80" s="2"/>
      <c r="X80" s="6">
        <f t="shared" si="35"/>
        <v>29286.859999999993</v>
      </c>
      <c r="Y80" s="2"/>
      <c r="Z80" s="7">
        <f t="shared" si="36"/>
        <v>0.57092656559136801</v>
      </c>
    </row>
    <row r="81" spans="1:26" s="23" customFormat="1" hidden="1" outlineLevel="2" x14ac:dyDescent="0.25">
      <c r="A81" s="25"/>
      <c r="B81" s="10" t="str">
        <f>CONCATENATE("          ", "6005", " - ", "TEMPORARY WAGES-HOURLY")</f>
        <v xml:space="preserve">          6005 - TEMPORARY WAGES-HOURLY</v>
      </c>
      <c r="C81" s="10"/>
      <c r="D81" s="6">
        <v>3881.44</v>
      </c>
      <c r="E81" s="2"/>
      <c r="F81" s="7">
        <f t="shared" si="29"/>
        <v>0.95796867518646367</v>
      </c>
      <c r="G81" s="2"/>
      <c r="H81" s="6">
        <v>1731.67</v>
      </c>
      <c r="I81" s="2"/>
      <c r="J81" s="7">
        <f t="shared" si="30"/>
        <v>7.9201594578870896E-2</v>
      </c>
      <c r="K81" s="2"/>
      <c r="L81" s="6">
        <f t="shared" si="31"/>
        <v>2149.77</v>
      </c>
      <c r="M81" s="2"/>
      <c r="N81" s="7">
        <f t="shared" si="32"/>
        <v>1.2414432311006138</v>
      </c>
      <c r="O81" s="10"/>
      <c r="P81" s="6">
        <v>21436.6</v>
      </c>
      <c r="Q81" s="2"/>
      <c r="R81" s="7">
        <f t="shared" si="33"/>
        <v>7.8025548793785367E-3</v>
      </c>
      <c r="S81" s="2"/>
      <c r="T81" s="6">
        <v>26163.919999999998</v>
      </c>
      <c r="U81" s="2"/>
      <c r="V81" s="7">
        <f t="shared" si="34"/>
        <v>5.2844543376224058E-3</v>
      </c>
      <c r="W81" s="2"/>
      <c r="X81" s="6">
        <f t="shared" si="35"/>
        <v>-4727.32</v>
      </c>
      <c r="Y81" s="2"/>
      <c r="Z81" s="7">
        <f t="shared" si="36"/>
        <v>-0.18068087656589685</v>
      </c>
    </row>
    <row r="82" spans="1:26" s="23" customFormat="1" hidden="1" outlineLevel="2" x14ac:dyDescent="0.25">
      <c r="A82" s="25"/>
      <c r="B82" s="10" t="str">
        <f>CONCATENATE("          ", "6006", " - ", "TEMPORARY PART TIME")</f>
        <v xml:space="preserve">          6006 - TEMPORARY PART TIME</v>
      </c>
      <c r="C82" s="10"/>
      <c r="D82" s="6"/>
      <c r="E82" s="2"/>
      <c r="F82" s="7">
        <f t="shared" si="29"/>
        <v>0</v>
      </c>
      <c r="G82" s="2"/>
      <c r="H82" s="6">
        <v>899.18</v>
      </c>
      <c r="I82" s="2"/>
      <c r="J82" s="7">
        <f t="shared" si="30"/>
        <v>4.1125901478589529E-2</v>
      </c>
      <c r="K82" s="2"/>
      <c r="L82" s="6">
        <f t="shared" si="31"/>
        <v>-899.18</v>
      </c>
      <c r="M82" s="2"/>
      <c r="N82" s="7">
        <f t="shared" si="32"/>
        <v>-1</v>
      </c>
      <c r="O82" s="10"/>
      <c r="P82" s="6">
        <v>914.04</v>
      </c>
      <c r="Q82" s="2"/>
      <c r="R82" s="7">
        <f t="shared" si="33"/>
        <v>3.3269488920571164E-4</v>
      </c>
      <c r="S82" s="2"/>
      <c r="T82" s="6">
        <v>6181.55</v>
      </c>
      <c r="U82" s="2"/>
      <c r="V82" s="7">
        <f t="shared" si="34"/>
        <v>1.2485177569236485E-3</v>
      </c>
      <c r="W82" s="2"/>
      <c r="X82" s="6">
        <f t="shared" si="35"/>
        <v>-5267.51</v>
      </c>
      <c r="Y82" s="2"/>
      <c r="Z82" s="7">
        <f t="shared" si="36"/>
        <v>-0.85213417346781961</v>
      </c>
    </row>
    <row r="83" spans="1:26" s="23" customFormat="1" hidden="1" outlineLevel="2" x14ac:dyDescent="0.25">
      <c r="A83" s="25"/>
      <c r="B83" s="10" t="str">
        <f>CONCATENATE("          ", "6007", " - ", "STUDENT HOURLY")</f>
        <v xml:space="preserve">          6007 - STUDENT HOURLY</v>
      </c>
      <c r="C83" s="10"/>
      <c r="D83" s="6">
        <v>92.12</v>
      </c>
      <c r="E83" s="2"/>
      <c r="F83" s="7">
        <f t="shared" si="29"/>
        <v>2.2735910991327199E-2</v>
      </c>
      <c r="G83" s="2"/>
      <c r="H83" s="6">
        <v>1739.04</v>
      </c>
      <c r="I83" s="2"/>
      <c r="J83" s="7">
        <f t="shared" si="30"/>
        <v>7.9538677136197791E-2</v>
      </c>
      <c r="K83" s="2"/>
      <c r="L83" s="6">
        <f t="shared" si="31"/>
        <v>-1646.92</v>
      </c>
      <c r="M83" s="2"/>
      <c r="N83" s="7">
        <f t="shared" si="32"/>
        <v>-0.94702824546876441</v>
      </c>
      <c r="O83" s="10"/>
      <c r="P83" s="6">
        <v>25129.040000000001</v>
      </c>
      <c r="Q83" s="2"/>
      <c r="R83" s="7">
        <f t="shared" si="33"/>
        <v>9.1465397341975157E-3</v>
      </c>
      <c r="S83" s="2"/>
      <c r="T83" s="6">
        <v>61674.25</v>
      </c>
      <c r="U83" s="2"/>
      <c r="V83" s="7">
        <f t="shared" si="34"/>
        <v>1.2456648618865548E-2</v>
      </c>
      <c r="W83" s="2"/>
      <c r="X83" s="6">
        <f t="shared" si="35"/>
        <v>-36545.21</v>
      </c>
      <c r="Y83" s="2"/>
      <c r="Z83" s="7">
        <f t="shared" si="36"/>
        <v>-0.59255215912637771</v>
      </c>
    </row>
    <row r="84" spans="1:26" s="23" customFormat="1" hidden="1" outlineLevel="2" x14ac:dyDescent="0.25">
      <c r="A84" s="25"/>
      <c r="B84" s="10" t="str">
        <f>CONCATENATE("          ", "6008", " - ", "STUDENT HOURLY-FICA EXEMPT")</f>
        <v xml:space="preserve">          6008 - STUDENT HOURLY-FICA EXEMPT</v>
      </c>
      <c r="C84" s="10"/>
      <c r="D84" s="6"/>
      <c r="E84" s="2"/>
      <c r="F84" s="7">
        <f t="shared" si="29"/>
        <v>0</v>
      </c>
      <c r="G84" s="2"/>
      <c r="H84" s="6"/>
      <c r="I84" s="2"/>
      <c r="J84" s="7">
        <f t="shared" si="30"/>
        <v>0</v>
      </c>
      <c r="K84" s="2"/>
      <c r="L84" s="6">
        <f t="shared" si="31"/>
        <v>0</v>
      </c>
      <c r="M84" s="2"/>
      <c r="N84" s="7">
        <f t="shared" si="32"/>
        <v>0</v>
      </c>
      <c r="O84" s="10"/>
      <c r="P84" s="6">
        <v>967.26</v>
      </c>
      <c r="Q84" s="2"/>
      <c r="R84" s="7">
        <f t="shared" si="33"/>
        <v>3.5206605677335419E-4</v>
      </c>
      <c r="S84" s="2"/>
      <c r="T84" s="6"/>
      <c r="U84" s="2"/>
      <c r="V84" s="7">
        <f t="shared" si="34"/>
        <v>0</v>
      </c>
      <c r="W84" s="2"/>
      <c r="X84" s="6">
        <f t="shared" si="35"/>
        <v>967.26</v>
      </c>
      <c r="Y84" s="2"/>
      <c r="Z84" s="7">
        <f t="shared" si="36"/>
        <v>0</v>
      </c>
    </row>
    <row r="85" spans="1:26" s="27" customFormat="1" outlineLevel="1" collapsed="1" x14ac:dyDescent="0.25">
      <c r="A85" s="26"/>
      <c r="B85" s="12" t="str">
        <f>CONCATENATE("     ","Advertising/Promo                                 ")</f>
        <v xml:space="preserve">     Advertising/Promo                                 </v>
      </c>
      <c r="C85" s="12"/>
      <c r="D85" s="1">
        <f>SUM(OSRRefD22_2x_0)</f>
        <v>0</v>
      </c>
      <c r="E85" s="1"/>
      <c r="F85" s="5">
        <f t="shared" ref="F85:F89" si="37">IF(D$12=0,0,D85/D$12)</f>
        <v>0</v>
      </c>
      <c r="G85" s="1"/>
      <c r="H85" s="1">
        <f>SUM(OSRRefH22_2x_0)</f>
        <v>0</v>
      </c>
      <c r="I85" s="1"/>
      <c r="J85" s="5">
        <f t="shared" ref="J85:J89" si="38">IF(H$12=0,0,H85/H$12)</f>
        <v>0</v>
      </c>
      <c r="K85" s="1"/>
      <c r="L85" s="1">
        <f t="shared" ref="L85:L89" si="39">+D85-H85</f>
        <v>0</v>
      </c>
      <c r="M85" s="1"/>
      <c r="N85" s="5">
        <f t="shared" ref="N85:N89" si="40">IF(H85=0,0,L85/H85)</f>
        <v>0</v>
      </c>
      <c r="O85" s="12"/>
      <c r="P85" s="1">
        <f>SUM(OSRRefP22_2x_0)</f>
        <v>2380.9899999999998</v>
      </c>
      <c r="Q85" s="1"/>
      <c r="R85" s="5">
        <f t="shared" ref="R85:R89" si="41">IF(P$12=0,0,P85/P$12)</f>
        <v>8.6663953902444898E-4</v>
      </c>
      <c r="S85" s="1"/>
      <c r="T85" s="1">
        <f>SUM(OSRRefT22_2x_0)</f>
        <v>3981.59</v>
      </c>
      <c r="U85" s="1"/>
      <c r="V85" s="5">
        <f t="shared" ref="V85:V89" si="42">IF(T$12=0,0,T85/T$12)</f>
        <v>8.0418112217641694E-4</v>
      </c>
      <c r="W85" s="1"/>
      <c r="X85" s="1">
        <f t="shared" ref="X85:X89" si="43">+P85-T85</f>
        <v>-1600.6000000000004</v>
      </c>
      <c r="Y85" s="1"/>
      <c r="Z85" s="5">
        <f t="shared" ref="Z85:Z89" si="44">IF(T85=0,0,X85/T85)</f>
        <v>-0.40200020594787517</v>
      </c>
    </row>
    <row r="86" spans="1:26" s="23" customFormat="1" hidden="1" outlineLevel="2" x14ac:dyDescent="0.25">
      <c r="A86" s="25"/>
      <c r="B86" s="10" t="str">
        <f>CONCATENATE("          ", "6362", " - ", "ADVERTISING EXPENSE")</f>
        <v xml:space="preserve">          6362 - ADVERTISING EXPENSE</v>
      </c>
      <c r="C86" s="10"/>
      <c r="D86" s="6"/>
      <c r="E86" s="2"/>
      <c r="F86" s="7">
        <f t="shared" si="37"/>
        <v>0</v>
      </c>
      <c r="G86" s="2"/>
      <c r="H86" s="6"/>
      <c r="I86" s="2"/>
      <c r="J86" s="7">
        <f t="shared" si="38"/>
        <v>0</v>
      </c>
      <c r="K86" s="2"/>
      <c r="L86" s="6">
        <f t="shared" si="39"/>
        <v>0</v>
      </c>
      <c r="M86" s="2"/>
      <c r="N86" s="7">
        <f t="shared" si="40"/>
        <v>0</v>
      </c>
      <c r="O86" s="10"/>
      <c r="P86" s="6">
        <v>2380.9899999999998</v>
      </c>
      <c r="Q86" s="2"/>
      <c r="R86" s="7">
        <f t="shared" si="41"/>
        <v>8.6663953902444898E-4</v>
      </c>
      <c r="S86" s="2"/>
      <c r="T86" s="6">
        <v>3981.59</v>
      </c>
      <c r="U86" s="2"/>
      <c r="V86" s="7">
        <f t="shared" si="42"/>
        <v>8.0418112217641694E-4</v>
      </c>
      <c r="W86" s="2"/>
      <c r="X86" s="6">
        <f t="shared" si="43"/>
        <v>-1600.6000000000004</v>
      </c>
      <c r="Y86" s="2"/>
      <c r="Z86" s="7">
        <f t="shared" si="44"/>
        <v>-0.40200020594787517</v>
      </c>
    </row>
    <row r="87" spans="1:26" s="27" customFormat="1" outlineLevel="1" collapsed="1" x14ac:dyDescent="0.25">
      <c r="A87" s="26"/>
      <c r="B87" s="12" t="str">
        <f>CONCATENATE("     ","Discounts and Markdowns                           ")</f>
        <v xml:space="preserve">     Discounts and Markdowns                           </v>
      </c>
      <c r="C87" s="12"/>
      <c r="D87" s="1">
        <f>SUM(OSRRefD22_3x_0)</f>
        <v>0</v>
      </c>
      <c r="E87" s="1"/>
      <c r="F87" s="5">
        <f t="shared" si="37"/>
        <v>0</v>
      </c>
      <c r="G87" s="1"/>
      <c r="H87" s="1">
        <f>SUM(OSRRefH22_3x_0)</f>
        <v>321.91000000000003</v>
      </c>
      <c r="I87" s="1"/>
      <c r="J87" s="5">
        <f t="shared" si="38"/>
        <v>1.4723235553474006E-2</v>
      </c>
      <c r="K87" s="1"/>
      <c r="L87" s="1">
        <f t="shared" si="39"/>
        <v>-321.91000000000003</v>
      </c>
      <c r="M87" s="1"/>
      <c r="N87" s="5">
        <f t="shared" si="40"/>
        <v>-1</v>
      </c>
      <c r="O87" s="12"/>
      <c r="P87" s="1">
        <f>SUM(OSRRefP22_3x_0)</f>
        <v>0</v>
      </c>
      <c r="Q87" s="1"/>
      <c r="R87" s="5">
        <f t="shared" si="41"/>
        <v>0</v>
      </c>
      <c r="S87" s="1"/>
      <c r="T87" s="1">
        <f>SUM(OSRRefT22_3x_0)</f>
        <v>629.67000000000007</v>
      </c>
      <c r="U87" s="1"/>
      <c r="V87" s="5">
        <f t="shared" si="42"/>
        <v>1.2717751631906462E-4</v>
      </c>
      <c r="W87" s="1"/>
      <c r="X87" s="1">
        <f t="shared" si="43"/>
        <v>-629.67000000000007</v>
      </c>
      <c r="Y87" s="1"/>
      <c r="Z87" s="5">
        <f t="shared" si="44"/>
        <v>-1</v>
      </c>
    </row>
    <row r="88" spans="1:26" s="23" customFormat="1" hidden="1" outlineLevel="2" x14ac:dyDescent="0.25">
      <c r="A88" s="25"/>
      <c r="B88" s="10" t="str">
        <f>CONCATENATE("          ", "6382", " - ", "DISCOUNTS/MARK DOWNS")</f>
        <v xml:space="preserve">          6382 - DISCOUNTS/MARK DOWNS</v>
      </c>
      <c r="C88" s="10"/>
      <c r="D88" s="6">
        <v>0</v>
      </c>
      <c r="E88" s="2"/>
      <c r="F88" s="7">
        <f t="shared" si="37"/>
        <v>0</v>
      </c>
      <c r="G88" s="2"/>
      <c r="H88" s="6">
        <v>321.91000000000003</v>
      </c>
      <c r="I88" s="2"/>
      <c r="J88" s="7">
        <f t="shared" si="38"/>
        <v>1.4723235553474006E-2</v>
      </c>
      <c r="K88" s="2"/>
      <c r="L88" s="6">
        <f t="shared" si="39"/>
        <v>-321.91000000000003</v>
      </c>
      <c r="M88" s="2"/>
      <c r="N88" s="7">
        <f t="shared" si="40"/>
        <v>-1</v>
      </c>
      <c r="O88" s="10"/>
      <c r="P88" s="6">
        <v>0</v>
      </c>
      <c r="Q88" s="2"/>
      <c r="R88" s="7">
        <f t="shared" si="41"/>
        <v>0</v>
      </c>
      <c r="S88" s="2"/>
      <c r="T88" s="6">
        <v>1081.94</v>
      </c>
      <c r="U88" s="2"/>
      <c r="V88" s="7">
        <f t="shared" si="42"/>
        <v>2.1852469072093121E-4</v>
      </c>
      <c r="W88" s="2"/>
      <c r="X88" s="6">
        <f t="shared" si="43"/>
        <v>-1081.94</v>
      </c>
      <c r="Y88" s="2"/>
      <c r="Z88" s="7">
        <f t="shared" si="44"/>
        <v>-1</v>
      </c>
    </row>
    <row r="89" spans="1:26" s="23" customFormat="1" hidden="1" outlineLevel="2" x14ac:dyDescent="0.25">
      <c r="A89" s="25"/>
      <c r="B89" s="10" t="str">
        <f>CONCATENATE("          ", "9175", " - ", "EARNED DISCOUNTS")</f>
        <v xml:space="preserve">          9175 - EARNED DISCOUNTS</v>
      </c>
      <c r="C89" s="10"/>
      <c r="D89" s="6"/>
      <c r="E89" s="2"/>
      <c r="F89" s="7">
        <f t="shared" si="37"/>
        <v>0</v>
      </c>
      <c r="G89" s="2"/>
      <c r="H89" s="6"/>
      <c r="I89" s="2"/>
      <c r="J89" s="7">
        <f t="shared" si="38"/>
        <v>0</v>
      </c>
      <c r="K89" s="2"/>
      <c r="L89" s="6">
        <f t="shared" si="39"/>
        <v>0</v>
      </c>
      <c r="M89" s="2"/>
      <c r="N89" s="7">
        <f t="shared" si="40"/>
        <v>0</v>
      </c>
      <c r="O89" s="10"/>
      <c r="P89" s="6">
        <v>0</v>
      </c>
      <c r="Q89" s="2"/>
      <c r="R89" s="7">
        <f t="shared" si="41"/>
        <v>0</v>
      </c>
      <c r="S89" s="2"/>
      <c r="T89" s="6">
        <v>-452.27</v>
      </c>
      <c r="U89" s="2"/>
      <c r="V89" s="7">
        <f t="shared" si="42"/>
        <v>-9.1347174401866597E-5</v>
      </c>
      <c r="W89" s="2"/>
      <c r="X89" s="6">
        <f t="shared" si="43"/>
        <v>452.27</v>
      </c>
      <c r="Y89" s="2"/>
      <c r="Z89" s="7">
        <f t="shared" si="44"/>
        <v>-1</v>
      </c>
    </row>
    <row r="90" spans="1:26" s="27" customFormat="1" outlineLevel="1" collapsed="1" x14ac:dyDescent="0.25">
      <c r="A90" s="26"/>
      <c r="B90" s="12" t="str">
        <f>CONCATENATE("     ","Employees' Appreciation                           ")</f>
        <v xml:space="preserve">     Employees' Appreciation                           </v>
      </c>
      <c r="C90" s="12"/>
      <c r="D90" s="1">
        <f>SUM(OSRRefD22_4x_0)</f>
        <v>0</v>
      </c>
      <c r="E90" s="1"/>
      <c r="F90" s="5">
        <f t="shared" ref="F90:F96" si="45">IF(D$12=0,0,D90/D$12)</f>
        <v>0</v>
      </c>
      <c r="G90" s="1"/>
      <c r="H90" s="1">
        <f>SUM(OSRRefH22_4x_0)</f>
        <v>0</v>
      </c>
      <c r="I90" s="1"/>
      <c r="J90" s="5">
        <f t="shared" ref="J90:J96" si="46">IF(H$12=0,0,H90/H$12)</f>
        <v>0</v>
      </c>
      <c r="K90" s="1"/>
      <c r="L90" s="1">
        <f t="shared" ref="L90:L96" si="47">+D90-H90</f>
        <v>0</v>
      </c>
      <c r="M90" s="1"/>
      <c r="N90" s="5">
        <f t="shared" ref="N90:N96" si="48">IF(H90=0,0,L90/H90)</f>
        <v>0</v>
      </c>
      <c r="O90" s="12"/>
      <c r="P90" s="1">
        <f>SUM(OSRRefP22_4x_0)</f>
        <v>107.7</v>
      </c>
      <c r="Q90" s="1"/>
      <c r="R90" s="5">
        <f t="shared" ref="R90:R96" si="49">IF(P$12=0,0,P90/P$12)</f>
        <v>3.9200953533166106E-5</v>
      </c>
      <c r="S90" s="1"/>
      <c r="T90" s="1">
        <f>SUM(OSRRefT22_4x_0)</f>
        <v>120.18</v>
      </c>
      <c r="U90" s="1"/>
      <c r="V90" s="5">
        <f t="shared" ref="V90:V96" si="50">IF(T$12=0,0,T90/T$12)</f>
        <v>2.4273339862507636E-5</v>
      </c>
      <c r="W90" s="1"/>
      <c r="X90" s="1">
        <f t="shared" ref="X90:X96" si="51">+P90-T90</f>
        <v>-12.480000000000004</v>
      </c>
      <c r="Y90" s="1"/>
      <c r="Z90" s="5">
        <f t="shared" ref="Z90:Z96" si="52">IF(T90=0,0,X90/T90)</f>
        <v>-0.10384423364952573</v>
      </c>
    </row>
    <row r="91" spans="1:26" s="23" customFormat="1" hidden="1" outlineLevel="2" x14ac:dyDescent="0.25">
      <c r="A91" s="25"/>
      <c r="B91" s="10" t="str">
        <f>CONCATENATE("          ", "6277", " - ", "EMPLOYEE APPRECIATION")</f>
        <v xml:space="preserve">          6277 - EMPLOYEE APPRECIATION</v>
      </c>
      <c r="C91" s="10"/>
      <c r="D91" s="6"/>
      <c r="E91" s="2"/>
      <c r="F91" s="7">
        <f t="shared" si="45"/>
        <v>0</v>
      </c>
      <c r="G91" s="2"/>
      <c r="H91" s="6"/>
      <c r="I91" s="2"/>
      <c r="J91" s="7">
        <f t="shared" si="46"/>
        <v>0</v>
      </c>
      <c r="K91" s="2"/>
      <c r="L91" s="6">
        <f t="shared" si="47"/>
        <v>0</v>
      </c>
      <c r="M91" s="2"/>
      <c r="N91" s="7">
        <f t="shared" si="48"/>
        <v>0</v>
      </c>
      <c r="O91" s="10"/>
      <c r="P91" s="6">
        <v>107.7</v>
      </c>
      <c r="Q91" s="2"/>
      <c r="R91" s="7">
        <f t="shared" si="49"/>
        <v>3.9200953533166106E-5</v>
      </c>
      <c r="S91" s="2"/>
      <c r="T91" s="6">
        <v>120.18</v>
      </c>
      <c r="U91" s="2"/>
      <c r="V91" s="7">
        <f t="shared" si="50"/>
        <v>2.4273339862507636E-5</v>
      </c>
      <c r="W91" s="2"/>
      <c r="X91" s="6">
        <f t="shared" si="51"/>
        <v>-12.480000000000004</v>
      </c>
      <c r="Y91" s="2"/>
      <c r="Z91" s="7">
        <f t="shared" si="52"/>
        <v>-0.10384423364952573</v>
      </c>
    </row>
    <row r="92" spans="1:26" s="27" customFormat="1" outlineLevel="1" collapsed="1" x14ac:dyDescent="0.25">
      <c r="A92" s="26"/>
      <c r="B92" s="12" t="str">
        <f>CONCATENATE("     ","Equipment Rental                                  ")</f>
        <v xml:space="preserve">     Equipment Rental                                  </v>
      </c>
      <c r="C92" s="12"/>
      <c r="D92" s="1">
        <f>SUM(OSRRefD22_5x_0)</f>
        <v>91.26</v>
      </c>
      <c r="E92" s="1"/>
      <c r="F92" s="5">
        <f t="shared" si="45"/>
        <v>2.2523656503132004E-2</v>
      </c>
      <c r="G92" s="1"/>
      <c r="H92" s="1">
        <f>SUM(OSRRefH22_5x_0)</f>
        <v>91.26</v>
      </c>
      <c r="I92" s="1"/>
      <c r="J92" s="5">
        <f t="shared" si="46"/>
        <v>4.1739693597901209E-3</v>
      </c>
      <c r="K92" s="1"/>
      <c r="L92" s="1">
        <f t="shared" si="47"/>
        <v>0</v>
      </c>
      <c r="M92" s="1"/>
      <c r="N92" s="5">
        <f t="shared" si="48"/>
        <v>0</v>
      </c>
      <c r="O92" s="12"/>
      <c r="P92" s="1">
        <f>SUM(OSRRefP22_5x_0)</f>
        <v>1095.1199999999999</v>
      </c>
      <c r="Q92" s="1"/>
      <c r="R92" s="5">
        <f t="shared" si="49"/>
        <v>3.9860490467261709E-4</v>
      </c>
      <c r="S92" s="1"/>
      <c r="T92" s="1">
        <f>SUM(OSRRefT22_5x_0)</f>
        <v>1095.1199999999999</v>
      </c>
      <c r="U92" s="1"/>
      <c r="V92" s="5">
        <f t="shared" si="50"/>
        <v>2.2118671950598569E-4</v>
      </c>
      <c r="W92" s="1"/>
      <c r="X92" s="1">
        <f t="shared" si="51"/>
        <v>0</v>
      </c>
      <c r="Y92" s="1"/>
      <c r="Z92" s="5">
        <f t="shared" si="52"/>
        <v>0</v>
      </c>
    </row>
    <row r="93" spans="1:26" s="23" customFormat="1" hidden="1" outlineLevel="2" x14ac:dyDescent="0.25">
      <c r="A93" s="25"/>
      <c r="B93" s="10" t="str">
        <f>CONCATENATE("          ", "6351", " - ", "EQUIPMENT RENTAL")</f>
        <v xml:space="preserve">          6351 - EQUIPMENT RENTAL</v>
      </c>
      <c r="C93" s="10"/>
      <c r="D93" s="6">
        <v>91.26</v>
      </c>
      <c r="E93" s="2"/>
      <c r="F93" s="7">
        <f t="shared" si="45"/>
        <v>2.2523656503132004E-2</v>
      </c>
      <c r="G93" s="2"/>
      <c r="H93" s="6">
        <v>91.26</v>
      </c>
      <c r="I93" s="2"/>
      <c r="J93" s="7">
        <f t="shared" si="46"/>
        <v>4.1739693597901209E-3</v>
      </c>
      <c r="K93" s="2"/>
      <c r="L93" s="6">
        <f t="shared" si="47"/>
        <v>0</v>
      </c>
      <c r="M93" s="2"/>
      <c r="N93" s="7">
        <f t="shared" si="48"/>
        <v>0</v>
      </c>
      <c r="O93" s="10"/>
      <c r="P93" s="6">
        <v>1095.1199999999999</v>
      </c>
      <c r="Q93" s="2"/>
      <c r="R93" s="7">
        <f t="shared" si="49"/>
        <v>3.9860490467261709E-4</v>
      </c>
      <c r="S93" s="2"/>
      <c r="T93" s="6">
        <v>1095.1199999999999</v>
      </c>
      <c r="U93" s="2"/>
      <c r="V93" s="7">
        <f t="shared" si="50"/>
        <v>2.2118671950598569E-4</v>
      </c>
      <c r="W93" s="2"/>
      <c r="X93" s="6">
        <f t="shared" si="51"/>
        <v>0</v>
      </c>
      <c r="Y93" s="2"/>
      <c r="Z93" s="7">
        <f t="shared" si="52"/>
        <v>0</v>
      </c>
    </row>
    <row r="94" spans="1:26" s="27" customFormat="1" outlineLevel="1" collapsed="1" x14ac:dyDescent="0.25">
      <c r="A94" s="26"/>
      <c r="B94" s="12" t="str">
        <f>CONCATENATE("     ","Freight out/Postage                               ")</f>
        <v xml:space="preserve">     Freight out/Postage                               </v>
      </c>
      <c r="C94" s="12"/>
      <c r="D94" s="1">
        <f>SUM(OSRRefD22_6x_0)</f>
        <v>0</v>
      </c>
      <c r="E94" s="1"/>
      <c r="F94" s="5">
        <f t="shared" si="45"/>
        <v>0</v>
      </c>
      <c r="G94" s="1"/>
      <c r="H94" s="1">
        <f>SUM(OSRRefH22_6x_0)</f>
        <v>6701.46</v>
      </c>
      <c r="I94" s="1"/>
      <c r="J94" s="5">
        <f t="shared" si="46"/>
        <v>0.30650546467082074</v>
      </c>
      <c r="K94" s="1"/>
      <c r="L94" s="1">
        <f t="shared" si="47"/>
        <v>-6701.46</v>
      </c>
      <c r="M94" s="1"/>
      <c r="N94" s="5">
        <f t="shared" si="48"/>
        <v>-1</v>
      </c>
      <c r="O94" s="12"/>
      <c r="P94" s="1">
        <f>SUM(OSRRefP22_6x_0)</f>
        <v>26453.74</v>
      </c>
      <c r="Q94" s="1"/>
      <c r="R94" s="5">
        <f t="shared" si="49"/>
        <v>9.6287078228269041E-3</v>
      </c>
      <c r="S94" s="1"/>
      <c r="T94" s="1">
        <f>SUM(OSRRefT22_6x_0)</f>
        <v>30550.66</v>
      </c>
      <c r="U94" s="1"/>
      <c r="V94" s="5">
        <f t="shared" si="50"/>
        <v>6.1704655783318147E-3</v>
      </c>
      <c r="W94" s="1"/>
      <c r="X94" s="1">
        <f t="shared" si="51"/>
        <v>-4096.9199999999983</v>
      </c>
      <c r="Y94" s="1"/>
      <c r="Z94" s="5">
        <f t="shared" si="52"/>
        <v>-0.13410250384116082</v>
      </c>
    </row>
    <row r="95" spans="1:26" s="23" customFormat="1" hidden="1" outlineLevel="2" x14ac:dyDescent="0.25">
      <c r="A95" s="25"/>
      <c r="B95" s="10" t="str">
        <f>CONCATENATE("          ", "6305", " - ", "FREIGHT OUT")</f>
        <v xml:space="preserve">          6305 - FREIGHT OUT</v>
      </c>
      <c r="C95" s="10"/>
      <c r="D95" s="6"/>
      <c r="E95" s="2"/>
      <c r="F95" s="7">
        <f t="shared" si="45"/>
        <v>0</v>
      </c>
      <c r="G95" s="2"/>
      <c r="H95" s="6">
        <v>6699.46</v>
      </c>
      <c r="I95" s="2"/>
      <c r="J95" s="7">
        <f t="shared" si="46"/>
        <v>0.30641399043545386</v>
      </c>
      <c r="K95" s="2"/>
      <c r="L95" s="6">
        <f t="shared" si="47"/>
        <v>-6699.46</v>
      </c>
      <c r="M95" s="2"/>
      <c r="N95" s="7">
        <f t="shared" si="48"/>
        <v>-1</v>
      </c>
      <c r="O95" s="10"/>
      <c r="P95" s="6">
        <v>26453.24</v>
      </c>
      <c r="Q95" s="2"/>
      <c r="R95" s="7">
        <f t="shared" si="49"/>
        <v>9.6285258313991724E-3</v>
      </c>
      <c r="S95" s="2"/>
      <c r="T95" s="6">
        <v>30546.71</v>
      </c>
      <c r="U95" s="2"/>
      <c r="V95" s="7">
        <f t="shared" si="50"/>
        <v>6.1696677775957779E-3</v>
      </c>
      <c r="W95" s="2"/>
      <c r="X95" s="6">
        <f t="shared" si="51"/>
        <v>-4093.4699999999975</v>
      </c>
      <c r="Y95" s="2"/>
      <c r="Z95" s="7">
        <f t="shared" si="52"/>
        <v>-0.13400690287104561</v>
      </c>
    </row>
    <row r="96" spans="1:26" s="23" customFormat="1" hidden="1" outlineLevel="2" x14ac:dyDescent="0.25">
      <c r="A96" s="25"/>
      <c r="B96" s="10" t="str">
        <f>CONCATENATE("          ", "6307", " - ", "POSTAGE")</f>
        <v xml:space="preserve">          6307 - POSTAGE</v>
      </c>
      <c r="C96" s="10"/>
      <c r="D96" s="6"/>
      <c r="E96" s="2"/>
      <c r="F96" s="7">
        <f t="shared" si="45"/>
        <v>0</v>
      </c>
      <c r="G96" s="2"/>
      <c r="H96" s="6">
        <v>2</v>
      </c>
      <c r="I96" s="2"/>
      <c r="J96" s="7">
        <f t="shared" si="46"/>
        <v>9.1474235366866553E-5</v>
      </c>
      <c r="K96" s="2"/>
      <c r="L96" s="6">
        <f t="shared" si="47"/>
        <v>-2</v>
      </c>
      <c r="M96" s="2"/>
      <c r="N96" s="7">
        <f t="shared" si="48"/>
        <v>-1</v>
      </c>
      <c r="O96" s="10"/>
      <c r="P96" s="6">
        <v>0.5</v>
      </c>
      <c r="Q96" s="2"/>
      <c r="R96" s="7">
        <f t="shared" si="49"/>
        <v>1.8199142773057615E-7</v>
      </c>
      <c r="S96" s="2"/>
      <c r="T96" s="6">
        <v>3.95</v>
      </c>
      <c r="U96" s="2"/>
      <c r="V96" s="7">
        <f t="shared" si="50"/>
        <v>7.9780073603682119E-7</v>
      </c>
      <c r="W96" s="2"/>
      <c r="X96" s="6">
        <f t="shared" si="51"/>
        <v>-3.45</v>
      </c>
      <c r="Y96" s="2"/>
      <c r="Z96" s="7">
        <f t="shared" si="52"/>
        <v>-0.87341772151898733</v>
      </c>
    </row>
    <row r="97" spans="1:26" s="27" customFormat="1" outlineLevel="1" collapsed="1" x14ac:dyDescent="0.25">
      <c r="A97" s="26"/>
      <c r="B97" s="12" t="str">
        <f>CONCATENATE("     ","General                                           ")</f>
        <v xml:space="preserve">     General                                           </v>
      </c>
      <c r="C97" s="12"/>
      <c r="D97" s="1">
        <f>SUM(OSRRefD22_7x_0)</f>
        <v>-3391.74</v>
      </c>
      <c r="E97" s="1"/>
      <c r="F97" s="5">
        <f t="shared" ref="F97:F108" si="53">IF(D$12=0,0,D97/D$12)</f>
        <v>-0.83710702068740883</v>
      </c>
      <c r="G97" s="1"/>
      <c r="H97" s="1">
        <f>SUM(OSRRefH22_7x_0)</f>
        <v>-1613.24</v>
      </c>
      <c r="I97" s="1"/>
      <c r="J97" s="5">
        <f t="shared" ref="J97:J108" si="54">IF(H$12=0,0,H97/H$12)</f>
        <v>-7.3784947731621892E-2</v>
      </c>
      <c r="K97" s="1"/>
      <c r="L97" s="1">
        <f t="shared" ref="L97:L108" si="55">+D97-H97</f>
        <v>-1778.4999999999998</v>
      </c>
      <c r="M97" s="1"/>
      <c r="N97" s="5">
        <f t="shared" ref="N97:N108" si="56">IF(H97=0,0,L97/H97)</f>
        <v>1.1024398105675532</v>
      </c>
      <c r="O97" s="12"/>
      <c r="P97" s="1">
        <f>SUM(OSRRefP22_7x_0)</f>
        <v>-4434.76</v>
      </c>
      <c r="Q97" s="1"/>
      <c r="R97" s="5">
        <f t="shared" ref="R97:R108" si="57">IF(P$12=0,0,P97/P$12)</f>
        <v>-1.6141766080848999E-3</v>
      </c>
      <c r="S97" s="1"/>
      <c r="T97" s="1">
        <f>SUM(OSRRefT22_7x_0)</f>
        <v>5979.79</v>
      </c>
      <c r="U97" s="1"/>
      <c r="V97" s="5">
        <f t="shared" ref="V97:V108" si="58">IF(T$12=0,0,T97/T$12)</f>
        <v>1.207767307176107E-3</v>
      </c>
      <c r="W97" s="1"/>
      <c r="X97" s="1">
        <f t="shared" ref="X97:X108" si="59">+P97-T97</f>
        <v>-10414.549999999999</v>
      </c>
      <c r="Y97" s="1"/>
      <c r="Z97" s="5">
        <f t="shared" ref="Z97:Z108" si="60">IF(T97=0,0,X97/T97)</f>
        <v>-1.7416247058843202</v>
      </c>
    </row>
    <row r="98" spans="1:26" s="23" customFormat="1" hidden="1" outlineLevel="2" x14ac:dyDescent="0.25">
      <c r="A98" s="25"/>
      <c r="B98" s="10" t="str">
        <f>CONCATENATE("          ", "6279", " - ", "GENERAL EXPENSE")</f>
        <v xml:space="preserve">          6279 - GENERAL EXPENSE</v>
      </c>
      <c r="C98" s="10"/>
      <c r="D98" s="6">
        <v>-3391.74</v>
      </c>
      <c r="E98" s="2"/>
      <c r="F98" s="7">
        <f t="shared" si="53"/>
        <v>-0.83710702068740883</v>
      </c>
      <c r="G98" s="2"/>
      <c r="H98" s="6">
        <v>-1613.24</v>
      </c>
      <c r="I98" s="2"/>
      <c r="J98" s="7">
        <f t="shared" si="54"/>
        <v>-7.3784947731621892E-2</v>
      </c>
      <c r="K98" s="2"/>
      <c r="L98" s="6">
        <f t="shared" si="55"/>
        <v>-1778.4999999999998</v>
      </c>
      <c r="M98" s="2"/>
      <c r="N98" s="7">
        <f t="shared" si="56"/>
        <v>1.1024398105675532</v>
      </c>
      <c r="O98" s="10"/>
      <c r="P98" s="6">
        <v>-4434.76</v>
      </c>
      <c r="Q98" s="2"/>
      <c r="R98" s="7">
        <f t="shared" si="57"/>
        <v>-1.6141766080848999E-3</v>
      </c>
      <c r="S98" s="2"/>
      <c r="T98" s="6">
        <v>5979.79</v>
      </c>
      <c r="U98" s="2"/>
      <c r="V98" s="7">
        <f t="shared" si="58"/>
        <v>1.207767307176107E-3</v>
      </c>
      <c r="W98" s="2"/>
      <c r="X98" s="6">
        <f t="shared" si="59"/>
        <v>-10414.549999999999</v>
      </c>
      <c r="Y98" s="2"/>
      <c r="Z98" s="7">
        <f t="shared" si="60"/>
        <v>-1.7416247058843202</v>
      </c>
    </row>
    <row r="99" spans="1:26" s="27" customFormat="1" outlineLevel="1" collapsed="1" x14ac:dyDescent="0.25">
      <c r="A99" s="26"/>
      <c r="B99" s="12" t="str">
        <f>CONCATENATE("     ","Inventory Adjustment                              ")</f>
        <v xml:space="preserve">     Inventory Adjustment                              </v>
      </c>
      <c r="C99" s="12"/>
      <c r="D99" s="1">
        <f>SUM(OSRRefD22_8x_0)</f>
        <v>-16000</v>
      </c>
      <c r="E99" s="1"/>
      <c r="F99" s="5">
        <f t="shared" si="53"/>
        <v>-3.9489207106082844</v>
      </c>
      <c r="G99" s="1"/>
      <c r="H99" s="1">
        <f>SUM(OSRRefH22_8x_0)</f>
        <v>-50217</v>
      </c>
      <c r="I99" s="1"/>
      <c r="J99" s="5">
        <f t="shared" si="54"/>
        <v>-2.2967808387089685</v>
      </c>
      <c r="K99" s="1"/>
      <c r="L99" s="1">
        <f t="shared" si="55"/>
        <v>34217</v>
      </c>
      <c r="M99" s="1"/>
      <c r="N99" s="5">
        <f t="shared" si="56"/>
        <v>-0.68138279865384233</v>
      </c>
      <c r="O99" s="12"/>
      <c r="P99" s="1">
        <f>SUM(OSRRefP22_8x_0)</f>
        <v>0</v>
      </c>
      <c r="Q99" s="1"/>
      <c r="R99" s="5">
        <f t="shared" si="57"/>
        <v>0</v>
      </c>
      <c r="S99" s="1"/>
      <c r="T99" s="1">
        <f>SUM(OSRRefT22_8x_0)</f>
        <v>-33417</v>
      </c>
      <c r="U99" s="1"/>
      <c r="V99" s="5">
        <f t="shared" si="58"/>
        <v>-6.7493942268715065E-3</v>
      </c>
      <c r="W99" s="1"/>
      <c r="X99" s="1">
        <f t="shared" si="59"/>
        <v>33417</v>
      </c>
      <c r="Y99" s="1"/>
      <c r="Z99" s="5">
        <f t="shared" si="60"/>
        <v>-1</v>
      </c>
    </row>
    <row r="100" spans="1:26" s="23" customFormat="1" hidden="1" outlineLevel="2" x14ac:dyDescent="0.25">
      <c r="A100" s="25"/>
      <c r="B100" s="10" t="str">
        <f>CONCATENATE("          ", "6408", " - ", "INVENTORY ADJUSTMENT")</f>
        <v xml:space="preserve">          6408 - INVENTORY ADJUSTMENT</v>
      </c>
      <c r="C100" s="10"/>
      <c r="D100" s="6">
        <v>-16000</v>
      </c>
      <c r="E100" s="2"/>
      <c r="F100" s="7">
        <f t="shared" si="53"/>
        <v>-3.9489207106082844</v>
      </c>
      <c r="G100" s="2"/>
      <c r="H100" s="6">
        <v>-16800</v>
      </c>
      <c r="I100" s="2"/>
      <c r="J100" s="7">
        <f t="shared" si="54"/>
        <v>-0.76838357708167904</v>
      </c>
      <c r="K100" s="2"/>
      <c r="L100" s="6">
        <f t="shared" si="55"/>
        <v>800</v>
      </c>
      <c r="M100" s="2"/>
      <c r="N100" s="7">
        <f t="shared" si="56"/>
        <v>-4.7619047619047616E-2</v>
      </c>
      <c r="O100" s="10"/>
      <c r="P100" s="6">
        <v>0</v>
      </c>
      <c r="Q100" s="2"/>
      <c r="R100" s="7">
        <f t="shared" si="57"/>
        <v>0</v>
      </c>
      <c r="S100" s="2"/>
      <c r="T100" s="6">
        <v>0</v>
      </c>
      <c r="U100" s="2"/>
      <c r="V100" s="7">
        <f t="shared" si="58"/>
        <v>0</v>
      </c>
      <c r="W100" s="2"/>
      <c r="X100" s="6">
        <f t="shared" si="59"/>
        <v>0</v>
      </c>
      <c r="Y100" s="2"/>
      <c r="Z100" s="7">
        <f t="shared" si="60"/>
        <v>0</v>
      </c>
    </row>
    <row r="101" spans="1:26" s="23" customFormat="1" hidden="1" outlineLevel="2" x14ac:dyDescent="0.25">
      <c r="A101" s="25"/>
      <c r="B101" s="10" t="str">
        <f>CONCATENATE("          ", "7701", " - ", "INV. SHRINKAGE-NEW TEXT")</f>
        <v xml:space="preserve">          7701 - INV. SHRINKAGE-NEW TEXT</v>
      </c>
      <c r="C101" s="10"/>
      <c r="D101" s="6"/>
      <c r="E101" s="2"/>
      <c r="F101" s="7">
        <f t="shared" si="53"/>
        <v>0</v>
      </c>
      <c r="G101" s="2"/>
      <c r="H101" s="6">
        <v>-4346</v>
      </c>
      <c r="I101" s="2"/>
      <c r="J101" s="7">
        <f t="shared" si="54"/>
        <v>-0.19877351345220101</v>
      </c>
      <c r="K101" s="2"/>
      <c r="L101" s="6">
        <f t="shared" si="55"/>
        <v>4346</v>
      </c>
      <c r="M101" s="2"/>
      <c r="N101" s="7">
        <f t="shared" si="56"/>
        <v>-1</v>
      </c>
      <c r="O101" s="10"/>
      <c r="P101" s="6"/>
      <c r="Q101" s="2"/>
      <c r="R101" s="7">
        <f t="shared" si="57"/>
        <v>0</v>
      </c>
      <c r="S101" s="2"/>
      <c r="T101" s="6">
        <v>-4346</v>
      </c>
      <c r="U101" s="2"/>
      <c r="V101" s="7">
        <f t="shared" si="58"/>
        <v>-8.7778278451038593E-4</v>
      </c>
      <c r="W101" s="2"/>
      <c r="X101" s="6">
        <f t="shared" si="59"/>
        <v>4346</v>
      </c>
      <c r="Y101" s="2"/>
      <c r="Z101" s="7">
        <f t="shared" si="60"/>
        <v>-1</v>
      </c>
    </row>
    <row r="102" spans="1:26" s="23" customFormat="1" hidden="1" outlineLevel="2" x14ac:dyDescent="0.25">
      <c r="A102" s="25"/>
      <c r="B102" s="10" t="str">
        <f>CONCATENATE("          ", "7702", " - ", "INV. SHRINKAGE-USED TEXT")</f>
        <v xml:space="preserve">          7702 - INV. SHRINKAGE-USED TEXT</v>
      </c>
      <c r="C102" s="10"/>
      <c r="D102" s="6"/>
      <c r="E102" s="2"/>
      <c r="F102" s="7">
        <f t="shared" si="53"/>
        <v>0</v>
      </c>
      <c r="G102" s="2"/>
      <c r="H102" s="6">
        <v>-29494</v>
      </c>
      <c r="I102" s="2"/>
      <c r="J102" s="7">
        <f t="shared" si="54"/>
        <v>-1.3489705489551809</v>
      </c>
      <c r="K102" s="2"/>
      <c r="L102" s="6">
        <f t="shared" si="55"/>
        <v>29494</v>
      </c>
      <c r="M102" s="2"/>
      <c r="N102" s="7">
        <f t="shared" si="56"/>
        <v>-1</v>
      </c>
      <c r="O102" s="10"/>
      <c r="P102" s="6"/>
      <c r="Q102" s="2"/>
      <c r="R102" s="7">
        <f t="shared" si="57"/>
        <v>0</v>
      </c>
      <c r="S102" s="2"/>
      <c r="T102" s="6">
        <v>-29494</v>
      </c>
      <c r="U102" s="2"/>
      <c r="V102" s="7">
        <f t="shared" si="58"/>
        <v>-5.9570468123215196E-3</v>
      </c>
      <c r="W102" s="2"/>
      <c r="X102" s="6">
        <f t="shared" si="59"/>
        <v>29494</v>
      </c>
      <c r="Y102" s="2"/>
      <c r="Z102" s="7">
        <f t="shared" si="60"/>
        <v>-1</v>
      </c>
    </row>
    <row r="103" spans="1:26" s="23" customFormat="1" hidden="1" outlineLevel="2" x14ac:dyDescent="0.25">
      <c r="A103" s="25"/>
      <c r="B103" s="10" t="str">
        <f>CONCATENATE("          ", "7703", " - ", "INV. SHRINKAGE-RENTAL TEXT")</f>
        <v xml:space="preserve">          7703 - INV. SHRINKAGE-RENTAL TEXT</v>
      </c>
      <c r="C103" s="10"/>
      <c r="D103" s="6"/>
      <c r="E103" s="2"/>
      <c r="F103" s="7">
        <f t="shared" si="53"/>
        <v>0</v>
      </c>
      <c r="G103" s="2"/>
      <c r="H103" s="6">
        <v>526</v>
      </c>
      <c r="I103" s="2"/>
      <c r="J103" s="7">
        <f t="shared" si="54"/>
        <v>2.4057723901485903E-2</v>
      </c>
      <c r="K103" s="2"/>
      <c r="L103" s="6">
        <f t="shared" si="55"/>
        <v>-526</v>
      </c>
      <c r="M103" s="2"/>
      <c r="N103" s="7">
        <f t="shared" si="56"/>
        <v>-1</v>
      </c>
      <c r="O103" s="10"/>
      <c r="P103" s="6"/>
      <c r="Q103" s="2"/>
      <c r="R103" s="7">
        <f t="shared" si="57"/>
        <v>0</v>
      </c>
      <c r="S103" s="2"/>
      <c r="T103" s="6">
        <v>526</v>
      </c>
      <c r="U103" s="2"/>
      <c r="V103" s="7">
        <f t="shared" si="58"/>
        <v>1.0623878155832099E-4</v>
      </c>
      <c r="W103" s="2"/>
      <c r="X103" s="6">
        <f t="shared" si="59"/>
        <v>-526</v>
      </c>
      <c r="Y103" s="2"/>
      <c r="Z103" s="7">
        <f t="shared" si="60"/>
        <v>-1</v>
      </c>
    </row>
    <row r="104" spans="1:26" s="23" customFormat="1" hidden="1" outlineLevel="2" x14ac:dyDescent="0.25">
      <c r="A104" s="25"/>
      <c r="B104" s="10" t="str">
        <f>CONCATENATE("          ", "7704", " - ", "INV. SHRINKAGE-DIGITAL TEXT")</f>
        <v xml:space="preserve">          7704 - INV. SHRINKAGE-DIGITAL TEXT</v>
      </c>
      <c r="C104" s="10"/>
      <c r="D104" s="6"/>
      <c r="E104" s="2"/>
      <c r="F104" s="7">
        <f t="shared" si="53"/>
        <v>0</v>
      </c>
      <c r="G104" s="2"/>
      <c r="H104" s="6">
        <v>816</v>
      </c>
      <c r="I104" s="2"/>
      <c r="J104" s="7">
        <f t="shared" si="54"/>
        <v>3.7321488029681549E-2</v>
      </c>
      <c r="K104" s="2"/>
      <c r="L104" s="6">
        <f t="shared" si="55"/>
        <v>-816</v>
      </c>
      <c r="M104" s="2"/>
      <c r="N104" s="7">
        <f t="shared" si="56"/>
        <v>-1</v>
      </c>
      <c r="O104" s="10"/>
      <c r="P104" s="6"/>
      <c r="Q104" s="2"/>
      <c r="R104" s="7">
        <f t="shared" si="57"/>
        <v>0</v>
      </c>
      <c r="S104" s="2"/>
      <c r="T104" s="6">
        <v>816</v>
      </c>
      <c r="U104" s="2"/>
      <c r="V104" s="7">
        <f t="shared" si="58"/>
        <v>1.6481149382431546E-4</v>
      </c>
      <c r="W104" s="2"/>
      <c r="X104" s="6">
        <f t="shared" si="59"/>
        <v>-816</v>
      </c>
      <c r="Y104" s="2"/>
      <c r="Z104" s="7">
        <f t="shared" si="60"/>
        <v>-1</v>
      </c>
    </row>
    <row r="105" spans="1:26" s="23" customFormat="1" hidden="1" outlineLevel="2" x14ac:dyDescent="0.25">
      <c r="A105" s="25"/>
      <c r="B105" s="10" t="str">
        <f>CONCATENATE("          ", "7711", " - ", "INV. SHRINKAGE-NO VALUE TEXT")</f>
        <v xml:space="preserve">          7711 - INV. SHRINKAGE-NO VALUE TEXT</v>
      </c>
      <c r="C105" s="10"/>
      <c r="D105" s="6"/>
      <c r="E105" s="2"/>
      <c r="F105" s="7">
        <f t="shared" si="53"/>
        <v>0</v>
      </c>
      <c r="G105" s="2"/>
      <c r="H105" s="6">
        <v>-1126</v>
      </c>
      <c r="I105" s="2"/>
      <c r="J105" s="7">
        <f t="shared" si="54"/>
        <v>-5.1499994511545868E-2</v>
      </c>
      <c r="K105" s="2"/>
      <c r="L105" s="6">
        <f t="shared" si="55"/>
        <v>1126</v>
      </c>
      <c r="M105" s="2"/>
      <c r="N105" s="7">
        <f t="shared" si="56"/>
        <v>-1</v>
      </c>
      <c r="O105" s="10"/>
      <c r="P105" s="6"/>
      <c r="Q105" s="2"/>
      <c r="R105" s="7">
        <f t="shared" si="57"/>
        <v>0</v>
      </c>
      <c r="S105" s="2"/>
      <c r="T105" s="6">
        <v>-1126</v>
      </c>
      <c r="U105" s="2"/>
      <c r="V105" s="7">
        <f t="shared" si="58"/>
        <v>-2.2742370348796469E-4</v>
      </c>
      <c r="W105" s="2"/>
      <c r="X105" s="6">
        <f t="shared" si="59"/>
        <v>1126</v>
      </c>
      <c r="Y105" s="2"/>
      <c r="Z105" s="7">
        <f t="shared" si="60"/>
        <v>-1</v>
      </c>
    </row>
    <row r="106" spans="1:26" s="23" customFormat="1" hidden="1" outlineLevel="2" x14ac:dyDescent="0.25">
      <c r="A106" s="25"/>
      <c r="B106" s="10" t="str">
        <f>CONCATENATE("          ", "7713", " - ", "INV. SHRINKAGE-TRADE BOOKS")</f>
        <v xml:space="preserve">          7713 - INV. SHRINKAGE-TRADE BOOKS</v>
      </c>
      <c r="C106" s="10"/>
      <c r="D106" s="6"/>
      <c r="E106" s="2"/>
      <c r="F106" s="7">
        <f t="shared" si="53"/>
        <v>0</v>
      </c>
      <c r="G106" s="2"/>
      <c r="H106" s="6">
        <v>-422</v>
      </c>
      <c r="I106" s="2"/>
      <c r="J106" s="7">
        <f t="shared" si="54"/>
        <v>-1.930106366240884E-2</v>
      </c>
      <c r="K106" s="2"/>
      <c r="L106" s="6">
        <f t="shared" si="55"/>
        <v>422</v>
      </c>
      <c r="M106" s="2"/>
      <c r="N106" s="7">
        <f t="shared" si="56"/>
        <v>-1</v>
      </c>
      <c r="O106" s="10"/>
      <c r="P106" s="6"/>
      <c r="Q106" s="2"/>
      <c r="R106" s="7">
        <f t="shared" si="57"/>
        <v>0</v>
      </c>
      <c r="S106" s="2"/>
      <c r="T106" s="6">
        <v>-422</v>
      </c>
      <c r="U106" s="2"/>
      <c r="V106" s="7">
        <f t="shared" si="58"/>
        <v>-8.5233395090516078E-5</v>
      </c>
      <c r="W106" s="2"/>
      <c r="X106" s="6">
        <f t="shared" si="59"/>
        <v>422</v>
      </c>
      <c r="Y106" s="2"/>
      <c r="Z106" s="7">
        <f t="shared" si="60"/>
        <v>-1</v>
      </c>
    </row>
    <row r="107" spans="1:26" s="23" customFormat="1" hidden="1" outlineLevel="2" x14ac:dyDescent="0.25">
      <c r="A107" s="25"/>
      <c r="B107" s="10" t="str">
        <f>CONCATENATE("          ", "7714", " - ", "INV. SHRINKAGE-REMAINDERS")</f>
        <v xml:space="preserve">          7714 - INV. SHRINKAGE-REMAINDERS</v>
      </c>
      <c r="C107" s="10"/>
      <c r="D107" s="6"/>
      <c r="E107" s="2"/>
      <c r="F107" s="7">
        <f t="shared" si="53"/>
        <v>0</v>
      </c>
      <c r="G107" s="2"/>
      <c r="H107" s="6">
        <v>171</v>
      </c>
      <c r="I107" s="2"/>
      <c r="J107" s="7">
        <f t="shared" si="54"/>
        <v>7.8210471238670896E-3</v>
      </c>
      <c r="K107" s="2"/>
      <c r="L107" s="6">
        <f t="shared" si="55"/>
        <v>-171</v>
      </c>
      <c r="M107" s="2"/>
      <c r="N107" s="7">
        <f t="shared" si="56"/>
        <v>-1</v>
      </c>
      <c r="O107" s="10"/>
      <c r="P107" s="6"/>
      <c r="Q107" s="2"/>
      <c r="R107" s="7">
        <f t="shared" si="57"/>
        <v>0</v>
      </c>
      <c r="S107" s="2"/>
      <c r="T107" s="6">
        <v>171</v>
      </c>
      <c r="U107" s="2"/>
      <c r="V107" s="7">
        <f t="shared" si="58"/>
        <v>3.4537702749948462E-5</v>
      </c>
      <c r="W107" s="2"/>
      <c r="X107" s="6">
        <f t="shared" si="59"/>
        <v>-171</v>
      </c>
      <c r="Y107" s="2"/>
      <c r="Z107" s="7">
        <f t="shared" si="60"/>
        <v>-1</v>
      </c>
    </row>
    <row r="108" spans="1:26" s="23" customFormat="1" hidden="1" outlineLevel="2" x14ac:dyDescent="0.25">
      <c r="A108" s="25"/>
      <c r="B108" s="10" t="str">
        <f>CONCATENATE("          ", "7718", " - ", "INV. SHRINKAGE-STUDY GUIDES")</f>
        <v xml:space="preserve">          7718 - INV. SHRINKAGE-STUDY GUIDES</v>
      </c>
      <c r="C108" s="10"/>
      <c r="D108" s="6"/>
      <c r="E108" s="2"/>
      <c r="F108" s="7">
        <f t="shared" si="53"/>
        <v>0</v>
      </c>
      <c r="G108" s="2"/>
      <c r="H108" s="6">
        <v>458</v>
      </c>
      <c r="I108" s="2"/>
      <c r="J108" s="7">
        <f t="shared" si="54"/>
        <v>2.0947599899012438E-2</v>
      </c>
      <c r="K108" s="2"/>
      <c r="L108" s="6">
        <f t="shared" si="55"/>
        <v>-458</v>
      </c>
      <c r="M108" s="2"/>
      <c r="N108" s="7">
        <f t="shared" si="56"/>
        <v>-1</v>
      </c>
      <c r="O108" s="10"/>
      <c r="P108" s="6"/>
      <c r="Q108" s="2"/>
      <c r="R108" s="7">
        <f t="shared" si="57"/>
        <v>0</v>
      </c>
      <c r="S108" s="2"/>
      <c r="T108" s="6">
        <v>458</v>
      </c>
      <c r="U108" s="2"/>
      <c r="V108" s="7">
        <f t="shared" si="58"/>
        <v>9.2504490406294709E-5</v>
      </c>
      <c r="W108" s="2"/>
      <c r="X108" s="6">
        <f t="shared" si="59"/>
        <v>-458</v>
      </c>
      <c r="Y108" s="2"/>
      <c r="Z108" s="7">
        <f t="shared" si="60"/>
        <v>-1</v>
      </c>
    </row>
    <row r="109" spans="1:26" s="27" customFormat="1" outlineLevel="1" collapsed="1" x14ac:dyDescent="0.25">
      <c r="A109" s="26"/>
      <c r="B109" s="12" t="str">
        <f>CONCATENATE("     ","Repair and Maintenance                            ")</f>
        <v xml:space="preserve">     Repair and Maintenance                            </v>
      </c>
      <c r="C109" s="12"/>
      <c r="D109" s="1">
        <f>SUM(OSRRefD22_9x_0)</f>
        <v>10.35</v>
      </c>
      <c r="E109" s="1"/>
      <c r="F109" s="5">
        <f t="shared" ref="F109:F112" si="61">IF(D$12=0,0,D109/D$12)</f>
        <v>2.5544580846747337E-3</v>
      </c>
      <c r="G109" s="1"/>
      <c r="H109" s="1">
        <f>SUM(OSRRefH22_9x_0)</f>
        <v>11567.81</v>
      </c>
      <c r="I109" s="1"/>
      <c r="J109" s="5">
        <f t="shared" ref="J109:J112" si="62">IF(H$12=0,0,H109/H$12)</f>
        <v>0.52907828730959627</v>
      </c>
      <c r="K109" s="1"/>
      <c r="L109" s="1">
        <f t="shared" ref="L109:L112" si="63">+D109-H109</f>
        <v>-11557.46</v>
      </c>
      <c r="M109" s="1"/>
      <c r="N109" s="5">
        <f t="shared" ref="N109:N112" si="64">IF(H109=0,0,L109/H109)</f>
        <v>-0.99910527576092623</v>
      </c>
      <c r="O109" s="12"/>
      <c r="P109" s="1">
        <f>SUM(OSRRefP22_9x_0)</f>
        <v>487.34000000000003</v>
      </c>
      <c r="Q109" s="1"/>
      <c r="R109" s="5">
        <f t="shared" ref="R109:R112" si="65">IF(P$12=0,0,P109/P$12)</f>
        <v>1.7738340478043799E-4</v>
      </c>
      <c r="S109" s="1"/>
      <c r="T109" s="1">
        <f>SUM(OSRRefT22_9x_0)</f>
        <v>11855.98</v>
      </c>
      <c r="U109" s="1"/>
      <c r="V109" s="5">
        <f t="shared" ref="V109:V112" si="66">IF(T$12=0,0,T109/T$12)</f>
        <v>2.394610017832362E-3</v>
      </c>
      <c r="W109" s="1"/>
      <c r="X109" s="1">
        <f t="shared" ref="X109:X112" si="67">+P109-T109</f>
        <v>-11368.64</v>
      </c>
      <c r="Y109" s="1"/>
      <c r="Z109" s="5">
        <f t="shared" ref="Z109:Z112" si="68">IF(T109=0,0,X109/T109)</f>
        <v>-0.95889500488361146</v>
      </c>
    </row>
    <row r="110" spans="1:26" s="23" customFormat="1" hidden="1" outlineLevel="2" x14ac:dyDescent="0.25">
      <c r="A110" s="25"/>
      <c r="B110" s="10" t="str">
        <f>CONCATENATE("          ", "6371", " - ", "COMPUTER SOFTWARE MAINTENANCE")</f>
        <v xml:space="preserve">          6371 - COMPUTER SOFTWARE MAINTENANCE</v>
      </c>
      <c r="C110" s="10"/>
      <c r="D110" s="6"/>
      <c r="E110" s="2"/>
      <c r="F110" s="7">
        <f t="shared" si="61"/>
        <v>0</v>
      </c>
      <c r="G110" s="2"/>
      <c r="H110" s="6">
        <v>11550</v>
      </c>
      <c r="I110" s="2"/>
      <c r="J110" s="7">
        <f t="shared" si="62"/>
        <v>0.52826370924365429</v>
      </c>
      <c r="K110" s="2"/>
      <c r="L110" s="6">
        <f t="shared" si="63"/>
        <v>-11550</v>
      </c>
      <c r="M110" s="2"/>
      <c r="N110" s="7">
        <f t="shared" si="64"/>
        <v>-1</v>
      </c>
      <c r="O110" s="10"/>
      <c r="P110" s="6"/>
      <c r="Q110" s="2"/>
      <c r="R110" s="7">
        <f t="shared" si="65"/>
        <v>0</v>
      </c>
      <c r="S110" s="2"/>
      <c r="T110" s="6">
        <v>11550</v>
      </c>
      <c r="U110" s="2"/>
      <c r="V110" s="7">
        <f t="shared" si="66"/>
        <v>2.3328097471456417E-3</v>
      </c>
      <c r="W110" s="2"/>
      <c r="X110" s="6">
        <f t="shared" si="67"/>
        <v>-11550</v>
      </c>
      <c r="Y110" s="2"/>
      <c r="Z110" s="7">
        <f t="shared" si="68"/>
        <v>-1</v>
      </c>
    </row>
    <row r="111" spans="1:26" s="23" customFormat="1" hidden="1" outlineLevel="2" x14ac:dyDescent="0.25">
      <c r="A111" s="25"/>
      <c r="B111" s="10" t="str">
        <f>CONCATENATE("          ", "6373", " - ", "MAINTENANCE CONTRACTS")</f>
        <v xml:space="preserve">          6373 - MAINTENANCE CONTRACTS</v>
      </c>
      <c r="C111" s="10"/>
      <c r="D111" s="6">
        <v>10.35</v>
      </c>
      <c r="E111" s="2"/>
      <c r="F111" s="7">
        <f t="shared" si="61"/>
        <v>2.5544580846747337E-3</v>
      </c>
      <c r="G111" s="2"/>
      <c r="H111" s="6">
        <v>17.809999999999999</v>
      </c>
      <c r="I111" s="2"/>
      <c r="J111" s="7">
        <f t="shared" si="62"/>
        <v>8.145780659419465E-4</v>
      </c>
      <c r="K111" s="2"/>
      <c r="L111" s="6">
        <f t="shared" si="63"/>
        <v>-7.4599999999999991</v>
      </c>
      <c r="M111" s="2"/>
      <c r="N111" s="7">
        <f t="shared" si="64"/>
        <v>-0.41886580572711957</v>
      </c>
      <c r="O111" s="10"/>
      <c r="P111" s="6">
        <v>229.83</v>
      </c>
      <c r="Q111" s="2"/>
      <c r="R111" s="7">
        <f t="shared" si="65"/>
        <v>8.3654179670636641E-5</v>
      </c>
      <c r="S111" s="2"/>
      <c r="T111" s="6">
        <v>305.98</v>
      </c>
      <c r="U111" s="2"/>
      <c r="V111" s="7">
        <f t="shared" si="66"/>
        <v>6.1800270686720649E-5</v>
      </c>
      <c r="W111" s="2"/>
      <c r="X111" s="6">
        <f t="shared" si="67"/>
        <v>-76.150000000000006</v>
      </c>
      <c r="Y111" s="2"/>
      <c r="Z111" s="7">
        <f t="shared" si="68"/>
        <v>-0.24887247532518467</v>
      </c>
    </row>
    <row r="112" spans="1:26" s="23" customFormat="1" hidden="1" outlineLevel="2" x14ac:dyDescent="0.25">
      <c r="A112" s="25"/>
      <c r="B112" s="10" t="str">
        <f>CONCATENATE("          ", "6375", " - ", "OUTSIDE REPAIRS &amp; MAINTENANCE")</f>
        <v xml:space="preserve">          6375 - OUTSIDE REPAIRS &amp; MAINTENANCE</v>
      </c>
      <c r="C112" s="10"/>
      <c r="D112" s="6"/>
      <c r="E112" s="2"/>
      <c r="F112" s="7">
        <f t="shared" si="61"/>
        <v>0</v>
      </c>
      <c r="G112" s="2"/>
      <c r="H112" s="6"/>
      <c r="I112" s="2"/>
      <c r="J112" s="7">
        <f t="shared" si="62"/>
        <v>0</v>
      </c>
      <c r="K112" s="2"/>
      <c r="L112" s="6">
        <f t="shared" si="63"/>
        <v>0</v>
      </c>
      <c r="M112" s="2"/>
      <c r="N112" s="7">
        <f t="shared" si="64"/>
        <v>0</v>
      </c>
      <c r="O112" s="10"/>
      <c r="P112" s="6">
        <v>257.51</v>
      </c>
      <c r="Q112" s="2"/>
      <c r="R112" s="7">
        <f t="shared" si="65"/>
        <v>9.3729225109801334E-5</v>
      </c>
      <c r="S112" s="2"/>
      <c r="T112" s="6"/>
      <c r="U112" s="2"/>
      <c r="V112" s="7">
        <f t="shared" si="66"/>
        <v>0</v>
      </c>
      <c r="W112" s="2"/>
      <c r="X112" s="6">
        <f t="shared" si="67"/>
        <v>257.51</v>
      </c>
      <c r="Y112" s="2"/>
      <c r="Z112" s="7">
        <f t="shared" si="68"/>
        <v>0</v>
      </c>
    </row>
    <row r="113" spans="1:26" s="27" customFormat="1" outlineLevel="1" collapsed="1" x14ac:dyDescent="0.25">
      <c r="A113" s="26"/>
      <c r="B113" s="12" t="str">
        <f>CONCATENATE("     ","Subscriptions &amp; Dues                              ")</f>
        <v xml:space="preserve">     Subscriptions &amp; Dues                              </v>
      </c>
      <c r="C113" s="12"/>
      <c r="D113" s="1">
        <f>SUM(OSRRefD22_10x_0)</f>
        <v>-911</v>
      </c>
      <c r="E113" s="1"/>
      <c r="F113" s="5">
        <f t="shared" ref="F113:F115" si="69">IF(D$12=0,0,D113/D$12)</f>
        <v>-0.2248416729602592</v>
      </c>
      <c r="G113" s="1"/>
      <c r="H113" s="1">
        <f>SUM(OSRRefH22_10x_0)</f>
        <v>981.28</v>
      </c>
      <c r="I113" s="1"/>
      <c r="J113" s="5">
        <f t="shared" ref="J113:J115" si="70">IF(H$12=0,0,H113/H$12)</f>
        <v>4.4880918840399402E-2</v>
      </c>
      <c r="K113" s="1"/>
      <c r="L113" s="1">
        <f t="shared" ref="L113:L115" si="71">+D113-H113</f>
        <v>-1892.28</v>
      </c>
      <c r="M113" s="1"/>
      <c r="N113" s="5">
        <f t="shared" ref="N113:N115" si="72">IF(H113=0,0,L113/H113)</f>
        <v>-1.9283792597423772</v>
      </c>
      <c r="O113" s="12"/>
      <c r="P113" s="1">
        <f>SUM(OSRRefP22_10x_0)</f>
        <v>4298.66</v>
      </c>
      <c r="Q113" s="1"/>
      <c r="R113" s="5">
        <f t="shared" ref="R113:R115" si="73">IF(P$12=0,0,P113/P$12)</f>
        <v>1.5646385414566368E-3</v>
      </c>
      <c r="S113" s="1"/>
      <c r="T113" s="1">
        <f>SUM(OSRRefT22_10x_0)</f>
        <v>6291.84</v>
      </c>
      <c r="U113" s="1"/>
      <c r="V113" s="5">
        <f t="shared" ref="V113:V115" si="74">IF(T$12=0,0,T113/T$12)</f>
        <v>1.2707935653230159E-3</v>
      </c>
      <c r="W113" s="1"/>
      <c r="X113" s="1">
        <f t="shared" ref="X113:X115" si="75">+P113-T113</f>
        <v>-1993.1800000000003</v>
      </c>
      <c r="Y113" s="1"/>
      <c r="Z113" s="5">
        <f t="shared" ref="Z113:Z115" si="76">IF(T113=0,0,X113/T113)</f>
        <v>-0.31678809378496597</v>
      </c>
    </row>
    <row r="114" spans="1:26" s="23" customFormat="1" hidden="1" outlineLevel="2" x14ac:dyDescent="0.25">
      <c r="A114" s="25"/>
      <c r="B114" s="10" t="str">
        <f>CONCATENATE("          ", "6258", " - ", "MEMBERSHIP DUES")</f>
        <v xml:space="preserve">          6258 - MEMBERSHIP DUES</v>
      </c>
      <c r="C114" s="10"/>
      <c r="D114" s="6">
        <v>-911</v>
      </c>
      <c r="E114" s="2"/>
      <c r="F114" s="7">
        <f t="shared" si="69"/>
        <v>-0.2248416729602592</v>
      </c>
      <c r="G114" s="2"/>
      <c r="H114" s="6">
        <v>981.28</v>
      </c>
      <c r="I114" s="2"/>
      <c r="J114" s="7">
        <f t="shared" si="70"/>
        <v>4.4880918840399402E-2</v>
      </c>
      <c r="K114" s="2"/>
      <c r="L114" s="6">
        <f t="shared" si="71"/>
        <v>-1892.28</v>
      </c>
      <c r="M114" s="2"/>
      <c r="N114" s="7">
        <f t="shared" si="72"/>
        <v>-1.9283792597423772</v>
      </c>
      <c r="O114" s="10"/>
      <c r="P114" s="6">
        <v>2446.58</v>
      </c>
      <c r="Q114" s="2"/>
      <c r="R114" s="7">
        <f t="shared" si="73"/>
        <v>8.9051317451414598E-4</v>
      </c>
      <c r="S114" s="2"/>
      <c r="T114" s="6">
        <v>4439.76</v>
      </c>
      <c r="U114" s="2"/>
      <c r="V114" s="7">
        <f t="shared" si="74"/>
        <v>8.9671994831059165E-4</v>
      </c>
      <c r="W114" s="2"/>
      <c r="X114" s="6">
        <f t="shared" si="75"/>
        <v>-1993.1800000000003</v>
      </c>
      <c r="Y114" s="2"/>
      <c r="Z114" s="7">
        <f t="shared" si="76"/>
        <v>-0.44893868137016418</v>
      </c>
    </row>
    <row r="115" spans="1:26" s="23" customFormat="1" hidden="1" outlineLevel="2" x14ac:dyDescent="0.25">
      <c r="A115" s="25"/>
      <c r="B115" s="10" t="str">
        <f>CONCATENATE("          ", "6275", " - ", "SUBSCRIPTIONS")</f>
        <v xml:space="preserve">          6275 - SUBSCRIPTIONS</v>
      </c>
      <c r="C115" s="10"/>
      <c r="D115" s="6"/>
      <c r="E115" s="2"/>
      <c r="F115" s="7">
        <f t="shared" si="69"/>
        <v>0</v>
      </c>
      <c r="G115" s="2"/>
      <c r="H115" s="6"/>
      <c r="I115" s="2"/>
      <c r="J115" s="7">
        <f t="shared" si="70"/>
        <v>0</v>
      </c>
      <c r="K115" s="2"/>
      <c r="L115" s="6">
        <f t="shared" si="71"/>
        <v>0</v>
      </c>
      <c r="M115" s="2"/>
      <c r="N115" s="7">
        <f t="shared" si="72"/>
        <v>0</v>
      </c>
      <c r="O115" s="10"/>
      <c r="P115" s="6">
        <v>1852.08</v>
      </c>
      <c r="Q115" s="2"/>
      <c r="R115" s="7">
        <f t="shared" si="73"/>
        <v>6.7412536694249096E-4</v>
      </c>
      <c r="S115" s="2"/>
      <c r="T115" s="6">
        <v>1852.08</v>
      </c>
      <c r="U115" s="2"/>
      <c r="V115" s="7">
        <f t="shared" si="74"/>
        <v>3.7407361701242422E-4</v>
      </c>
      <c r="W115" s="2"/>
      <c r="X115" s="6">
        <f t="shared" si="75"/>
        <v>0</v>
      </c>
      <c r="Y115" s="2"/>
      <c r="Z115" s="7">
        <f t="shared" si="76"/>
        <v>0</v>
      </c>
    </row>
    <row r="116" spans="1:26" s="27" customFormat="1" outlineLevel="1" collapsed="1" x14ac:dyDescent="0.25">
      <c r="A116" s="26"/>
      <c r="B116" s="12" t="str">
        <f>CONCATENATE("     ","Supplies                                          ")</f>
        <v xml:space="preserve">     Supplies                                          </v>
      </c>
      <c r="C116" s="12"/>
      <c r="D116" s="1">
        <f>SUM(OSRRefD22_11x_0)</f>
        <v>238.34</v>
      </c>
      <c r="E116" s="1"/>
      <c r="F116" s="5">
        <f t="shared" ref="F116:F119" si="77">IF(D$12=0,0,D116/D$12)</f>
        <v>5.8824110135398656E-2</v>
      </c>
      <c r="G116" s="1"/>
      <c r="H116" s="1">
        <f>SUM(OSRRefH22_11x_0)</f>
        <v>516.1</v>
      </c>
      <c r="I116" s="1"/>
      <c r="J116" s="5">
        <f t="shared" ref="J116:J119" si="78">IF(H$12=0,0,H116/H$12)</f>
        <v>2.3604926436419912E-2</v>
      </c>
      <c r="K116" s="1"/>
      <c r="L116" s="1">
        <f t="shared" ref="L116:L119" si="79">+D116-H116</f>
        <v>-277.76</v>
      </c>
      <c r="M116" s="1"/>
      <c r="N116" s="5">
        <f t="shared" ref="N116:N119" si="80">IF(H116=0,0,L116/H116)</f>
        <v>-0.53819027320286761</v>
      </c>
      <c r="O116" s="12"/>
      <c r="P116" s="1">
        <f>SUM(OSRRefP22_11x_0)</f>
        <v>5604.71</v>
      </c>
      <c r="Q116" s="1"/>
      <c r="R116" s="5">
        <f t="shared" ref="R116:R119" si="81">IF(P$12=0,0,P116/P$12)</f>
        <v>2.0400183498316751E-3</v>
      </c>
      <c r="S116" s="1"/>
      <c r="T116" s="1">
        <f>SUM(OSRRefT22_11x_0)</f>
        <v>14036.529999999999</v>
      </c>
      <c r="U116" s="1"/>
      <c r="V116" s="5">
        <f t="shared" ref="V116:V119" si="82">IF(T$12=0,0,T116/T$12)</f>
        <v>2.8350263203551695E-3</v>
      </c>
      <c r="W116" s="1"/>
      <c r="X116" s="1">
        <f t="shared" ref="X116:X119" si="83">+P116-T116</f>
        <v>-8431.82</v>
      </c>
      <c r="Y116" s="1"/>
      <c r="Z116" s="5">
        <f t="shared" ref="Z116:Z119" si="84">IF(T116=0,0,X116/T116)</f>
        <v>-0.60070544500670753</v>
      </c>
    </row>
    <row r="117" spans="1:26" s="23" customFormat="1" hidden="1" outlineLevel="2" x14ac:dyDescent="0.25">
      <c r="A117" s="25"/>
      <c r="B117" s="10" t="str">
        <f>CONCATENATE("          ", "6241", " - ", "OFFICE EXPENSE")</f>
        <v xml:space="preserve">          6241 - OFFICE EXPENSE</v>
      </c>
      <c r="C117" s="10"/>
      <c r="D117" s="6">
        <v>238.34</v>
      </c>
      <c r="E117" s="2"/>
      <c r="F117" s="7">
        <f t="shared" si="77"/>
        <v>5.8824110135398656E-2</v>
      </c>
      <c r="G117" s="2"/>
      <c r="H117" s="6">
        <v>62.67</v>
      </c>
      <c r="I117" s="2"/>
      <c r="J117" s="7">
        <f t="shared" si="78"/>
        <v>2.8663451652207635E-3</v>
      </c>
      <c r="K117" s="2"/>
      <c r="L117" s="6">
        <f t="shared" si="79"/>
        <v>175.67000000000002</v>
      </c>
      <c r="M117" s="2"/>
      <c r="N117" s="7">
        <f t="shared" si="80"/>
        <v>2.8030955800223394</v>
      </c>
      <c r="O117" s="10"/>
      <c r="P117" s="6">
        <v>1863.09</v>
      </c>
      <c r="Q117" s="2"/>
      <c r="R117" s="7">
        <f t="shared" si="81"/>
        <v>6.7813281818111825E-4</v>
      </c>
      <c r="S117" s="2"/>
      <c r="T117" s="6">
        <v>4341.16</v>
      </c>
      <c r="U117" s="2"/>
      <c r="V117" s="7">
        <f t="shared" si="82"/>
        <v>8.7680522614015351E-4</v>
      </c>
      <c r="W117" s="2"/>
      <c r="X117" s="6">
        <f t="shared" si="83"/>
        <v>-2478.0699999999997</v>
      </c>
      <c r="Y117" s="2"/>
      <c r="Z117" s="7">
        <f t="shared" si="84"/>
        <v>-0.57083129854693215</v>
      </c>
    </row>
    <row r="118" spans="1:26" s="23" customFormat="1" hidden="1" outlineLevel="2" x14ac:dyDescent="0.25">
      <c r="A118" s="25"/>
      <c r="B118" s="10" t="str">
        <f>CONCATENATE("          ", "6245", " - ", "PRINTING")</f>
        <v xml:space="preserve">          6245 - PRINTING</v>
      </c>
      <c r="C118" s="10"/>
      <c r="D118" s="6"/>
      <c r="E118" s="2"/>
      <c r="F118" s="7">
        <f t="shared" si="77"/>
        <v>0</v>
      </c>
      <c r="G118" s="2"/>
      <c r="H118" s="6"/>
      <c r="I118" s="2"/>
      <c r="J118" s="7">
        <f t="shared" si="78"/>
        <v>0</v>
      </c>
      <c r="K118" s="2"/>
      <c r="L118" s="6">
        <f t="shared" si="79"/>
        <v>0</v>
      </c>
      <c r="M118" s="2"/>
      <c r="N118" s="7">
        <f t="shared" si="80"/>
        <v>0</v>
      </c>
      <c r="O118" s="10"/>
      <c r="P118" s="6"/>
      <c r="Q118" s="2"/>
      <c r="R118" s="7">
        <f t="shared" si="81"/>
        <v>0</v>
      </c>
      <c r="S118" s="2"/>
      <c r="T118" s="6">
        <v>5198.58</v>
      </c>
      <c r="U118" s="2"/>
      <c r="V118" s="7">
        <f t="shared" si="82"/>
        <v>1.049982519075012E-3</v>
      </c>
      <c r="W118" s="2"/>
      <c r="X118" s="6">
        <f t="shared" si="83"/>
        <v>-5198.58</v>
      </c>
      <c r="Y118" s="2"/>
      <c r="Z118" s="7">
        <f t="shared" si="84"/>
        <v>-1</v>
      </c>
    </row>
    <row r="119" spans="1:26" s="23" customFormat="1" hidden="1" outlineLevel="2" x14ac:dyDescent="0.25">
      <c r="A119" s="25"/>
      <c r="B119" s="10" t="str">
        <f>CONCATENATE("          ", "6247", " - ", "STORE SUPPLIES")</f>
        <v xml:space="preserve">          6247 - STORE SUPPLIES</v>
      </c>
      <c r="C119" s="10"/>
      <c r="D119" s="6"/>
      <c r="E119" s="2"/>
      <c r="F119" s="7">
        <f t="shared" si="77"/>
        <v>0</v>
      </c>
      <c r="G119" s="2"/>
      <c r="H119" s="6">
        <v>453.43</v>
      </c>
      <c r="I119" s="2"/>
      <c r="J119" s="7">
        <f t="shared" si="78"/>
        <v>2.0738581271199149E-2</v>
      </c>
      <c r="K119" s="2"/>
      <c r="L119" s="6">
        <f t="shared" si="79"/>
        <v>-453.43</v>
      </c>
      <c r="M119" s="2"/>
      <c r="N119" s="7">
        <f t="shared" si="80"/>
        <v>-1</v>
      </c>
      <c r="O119" s="10"/>
      <c r="P119" s="6">
        <v>3741.62</v>
      </c>
      <c r="Q119" s="2"/>
      <c r="R119" s="7">
        <f t="shared" si="81"/>
        <v>1.3618855316505567E-3</v>
      </c>
      <c r="S119" s="2"/>
      <c r="T119" s="6">
        <v>4496.79</v>
      </c>
      <c r="U119" s="2"/>
      <c r="V119" s="7">
        <f t="shared" si="82"/>
        <v>9.0823857514000421E-4</v>
      </c>
      <c r="W119" s="2"/>
      <c r="X119" s="6">
        <f t="shared" si="83"/>
        <v>-755.17000000000007</v>
      </c>
      <c r="Y119" s="2"/>
      <c r="Z119" s="7">
        <f t="shared" si="84"/>
        <v>-0.1679353494381548</v>
      </c>
    </row>
    <row r="120" spans="1:26" s="27" customFormat="1" outlineLevel="1" collapsed="1" x14ac:dyDescent="0.25">
      <c r="A120" s="26"/>
      <c r="B120" s="12" t="str">
        <f>CONCATENATE("     ","Telephone/Data Lines                              ")</f>
        <v xml:space="preserve">     Telephone/Data Lines                              </v>
      </c>
      <c r="C120" s="12"/>
      <c r="D120" s="1">
        <f>SUM(OSRRefD22_12x_0)</f>
        <v>721.2</v>
      </c>
      <c r="E120" s="1"/>
      <c r="F120" s="5">
        <f t="shared" ref="F120:F122" si="85">IF(D$12=0,0,D120/D$12)</f>
        <v>0.17799760103066842</v>
      </c>
      <c r="G120" s="1"/>
      <c r="H120" s="1">
        <f>SUM(OSRRefH22_12x_0)</f>
        <v>302.60000000000002</v>
      </c>
      <c r="I120" s="1"/>
      <c r="J120" s="5">
        <f t="shared" ref="J120:J122" si="86">IF(H$12=0,0,H120/H$12)</f>
        <v>1.384005181100691E-2</v>
      </c>
      <c r="K120" s="1"/>
      <c r="L120" s="1">
        <f t="shared" ref="L120:L122" si="87">+D120-H120</f>
        <v>418.6</v>
      </c>
      <c r="M120" s="1"/>
      <c r="N120" s="5">
        <f t="shared" ref="N120:N122" si="88">IF(H120=0,0,L120/H120)</f>
        <v>1.3833443489755453</v>
      </c>
      <c r="O120" s="12"/>
      <c r="P120" s="1">
        <f>SUM(OSRRefP22_12x_0)</f>
        <v>9470.9</v>
      </c>
      <c r="Q120" s="1"/>
      <c r="R120" s="5">
        <f t="shared" ref="R120:R122" si="89">IF(P$12=0,0,P120/P$12)</f>
        <v>3.4472452257870274E-3</v>
      </c>
      <c r="S120" s="1"/>
      <c r="T120" s="1">
        <f>SUM(OSRRefT22_12x_0)</f>
        <v>8561.64</v>
      </c>
      <c r="U120" s="1"/>
      <c r="V120" s="5">
        <f t="shared" ref="V120:V122" si="90">IF(T$12=0,0,T120/T$12)</f>
        <v>1.7292361249828579E-3</v>
      </c>
      <c r="W120" s="1"/>
      <c r="X120" s="1">
        <f t="shared" ref="X120:X122" si="91">+P120-T120</f>
        <v>909.26000000000022</v>
      </c>
      <c r="Y120" s="1"/>
      <c r="Z120" s="5">
        <f t="shared" ref="Z120:Z122" si="92">IF(T120=0,0,X120/T120)</f>
        <v>0.10620161557832382</v>
      </c>
    </row>
    <row r="121" spans="1:26" s="23" customFormat="1" hidden="1" outlineLevel="2" x14ac:dyDescent="0.25">
      <c r="A121" s="25"/>
      <c r="B121" s="10" t="str">
        <f>CONCATENATE("          ", "6303", " - ", "DATA PHONE LINES")</f>
        <v xml:space="preserve">          6303 - DATA PHONE LINES</v>
      </c>
      <c r="C121" s="10"/>
      <c r="D121" s="6"/>
      <c r="E121" s="2"/>
      <c r="F121" s="7">
        <f t="shared" si="85"/>
        <v>0</v>
      </c>
      <c r="G121" s="2"/>
      <c r="H121" s="6"/>
      <c r="I121" s="2"/>
      <c r="J121" s="7">
        <f t="shared" si="86"/>
        <v>0</v>
      </c>
      <c r="K121" s="2"/>
      <c r="L121" s="6">
        <f t="shared" si="87"/>
        <v>0</v>
      </c>
      <c r="M121" s="2"/>
      <c r="N121" s="7">
        <f t="shared" si="88"/>
        <v>0</v>
      </c>
      <c r="O121" s="10"/>
      <c r="P121" s="6">
        <v>3540</v>
      </c>
      <c r="Q121" s="2"/>
      <c r="R121" s="7">
        <f t="shared" si="89"/>
        <v>1.2884993083324791E-3</v>
      </c>
      <c r="S121" s="2"/>
      <c r="T121" s="6">
        <v>2950</v>
      </c>
      <c r="U121" s="2"/>
      <c r="V121" s="7">
        <f t="shared" si="90"/>
        <v>5.9582586615408164E-4</v>
      </c>
      <c r="W121" s="2"/>
      <c r="X121" s="6">
        <f t="shared" si="91"/>
        <v>590</v>
      </c>
      <c r="Y121" s="2"/>
      <c r="Z121" s="7">
        <f t="shared" si="92"/>
        <v>0.2</v>
      </c>
    </row>
    <row r="122" spans="1:26" s="23" customFormat="1" hidden="1" outlineLevel="2" x14ac:dyDescent="0.25">
      <c r="A122" s="25"/>
      <c r="B122" s="10" t="str">
        <f>CONCATENATE("          ", "6309", " - ", "TELEPHONE")</f>
        <v xml:space="preserve">          6309 - TELEPHONE</v>
      </c>
      <c r="C122" s="10"/>
      <c r="D122" s="6">
        <v>721.2</v>
      </c>
      <c r="E122" s="2"/>
      <c r="F122" s="7">
        <f t="shared" si="85"/>
        <v>0.17799760103066842</v>
      </c>
      <c r="G122" s="2"/>
      <c r="H122" s="6">
        <v>302.60000000000002</v>
      </c>
      <c r="I122" s="2"/>
      <c r="J122" s="7">
        <f t="shared" si="86"/>
        <v>1.384005181100691E-2</v>
      </c>
      <c r="K122" s="2"/>
      <c r="L122" s="6">
        <f t="shared" si="87"/>
        <v>418.6</v>
      </c>
      <c r="M122" s="2"/>
      <c r="N122" s="7">
        <f t="shared" si="88"/>
        <v>1.3833443489755453</v>
      </c>
      <c r="O122" s="10"/>
      <c r="P122" s="6">
        <v>5930.9</v>
      </c>
      <c r="Q122" s="2"/>
      <c r="R122" s="7">
        <f t="shared" si="89"/>
        <v>2.1587459174545482E-3</v>
      </c>
      <c r="S122" s="2"/>
      <c r="T122" s="6">
        <v>5611.64</v>
      </c>
      <c r="U122" s="2"/>
      <c r="V122" s="7">
        <f t="shared" si="90"/>
        <v>1.1334102588287764E-3</v>
      </c>
      <c r="W122" s="2"/>
      <c r="X122" s="6">
        <f t="shared" si="91"/>
        <v>319.25999999999931</v>
      </c>
      <c r="Y122" s="2"/>
      <c r="Z122" s="7">
        <f t="shared" si="92"/>
        <v>5.689245924542545E-2</v>
      </c>
    </row>
    <row r="123" spans="1:26" s="27" customFormat="1" outlineLevel="1" collapsed="1" x14ac:dyDescent="0.25">
      <c r="A123" s="26"/>
      <c r="B123" s="12" t="str">
        <f>CONCATENATE("     ","Training                                          ")</f>
        <v xml:space="preserve">     Training                                          </v>
      </c>
      <c r="C123" s="12"/>
      <c r="D123" s="1">
        <f>SUM(OSRRefD22_13x_0)</f>
        <v>0</v>
      </c>
      <c r="E123" s="1"/>
      <c r="F123" s="5">
        <f t="shared" ref="F123:F126" si="93">IF(D$12=0,0,D123/D$12)</f>
        <v>0</v>
      </c>
      <c r="G123" s="1"/>
      <c r="H123" s="1">
        <f>SUM(OSRRefH22_13x_0)</f>
        <v>0</v>
      </c>
      <c r="I123" s="1"/>
      <c r="J123" s="5">
        <f t="shared" ref="J123:J126" si="94">IF(H$12=0,0,H123/H$12)</f>
        <v>0</v>
      </c>
      <c r="K123" s="1"/>
      <c r="L123" s="1">
        <f t="shared" ref="L123:L126" si="95">+D123-H123</f>
        <v>0</v>
      </c>
      <c r="M123" s="1"/>
      <c r="N123" s="5">
        <f t="shared" ref="N123:N126" si="96">IF(H123=0,0,L123/H123)</f>
        <v>0</v>
      </c>
      <c r="O123" s="12"/>
      <c r="P123" s="1">
        <f>SUM(OSRRefP22_13x_0)</f>
        <v>0</v>
      </c>
      <c r="Q123" s="1"/>
      <c r="R123" s="5">
        <f t="shared" ref="R123:R126" si="97">IF(P$12=0,0,P123/P$12)</f>
        <v>0</v>
      </c>
      <c r="S123" s="1"/>
      <c r="T123" s="1">
        <f>SUM(OSRRefT22_13x_0)</f>
        <v>4157.1499999999996</v>
      </c>
      <c r="U123" s="1"/>
      <c r="V123" s="5">
        <f t="shared" ref="V123:V126" si="98">IF(T$12=0,0,T123/T$12)</f>
        <v>8.3963983033303051E-4</v>
      </c>
      <c r="W123" s="1"/>
      <c r="X123" s="1">
        <f t="shared" ref="X123:X126" si="99">+P123-T123</f>
        <v>-4157.1499999999996</v>
      </c>
      <c r="Y123" s="1"/>
      <c r="Z123" s="5">
        <f t="shared" ref="Z123:Z126" si="100">IF(T123=0,0,X123/T123)</f>
        <v>-1</v>
      </c>
    </row>
    <row r="124" spans="1:26" s="23" customFormat="1" hidden="1" outlineLevel="2" x14ac:dyDescent="0.25">
      <c r="A124" s="25"/>
      <c r="B124" s="10" t="str">
        <f>CONCATENATE("          ", "6376", " - ", "TRAINING")</f>
        <v xml:space="preserve">          6376 - TRAINING</v>
      </c>
      <c r="C124" s="10"/>
      <c r="D124" s="6"/>
      <c r="E124" s="2"/>
      <c r="F124" s="7">
        <f t="shared" si="93"/>
        <v>0</v>
      </c>
      <c r="G124" s="2"/>
      <c r="H124" s="6"/>
      <c r="I124" s="2"/>
      <c r="J124" s="7">
        <f t="shared" si="94"/>
        <v>0</v>
      </c>
      <c r="K124" s="2"/>
      <c r="L124" s="6">
        <f t="shared" si="95"/>
        <v>0</v>
      </c>
      <c r="M124" s="2"/>
      <c r="N124" s="7">
        <f t="shared" si="96"/>
        <v>0</v>
      </c>
      <c r="O124" s="10"/>
      <c r="P124" s="6"/>
      <c r="Q124" s="2"/>
      <c r="R124" s="7">
        <f t="shared" si="97"/>
        <v>0</v>
      </c>
      <c r="S124" s="2"/>
      <c r="T124" s="6">
        <v>4157.1499999999996</v>
      </c>
      <c r="U124" s="2"/>
      <c r="V124" s="7">
        <f t="shared" si="98"/>
        <v>8.3963983033303051E-4</v>
      </c>
      <c r="W124" s="2"/>
      <c r="X124" s="6">
        <f t="shared" si="99"/>
        <v>-4157.1499999999996</v>
      </c>
      <c r="Y124" s="2"/>
      <c r="Z124" s="7">
        <f t="shared" si="100"/>
        <v>-1</v>
      </c>
    </row>
    <row r="125" spans="1:26" s="27" customFormat="1" outlineLevel="1" collapsed="1" x14ac:dyDescent="0.25">
      <c r="A125" s="26"/>
      <c r="B125" s="12" t="str">
        <f>CONCATENATE("     ","Travel                                            ")</f>
        <v xml:space="preserve">     Travel                                            </v>
      </c>
      <c r="C125" s="12"/>
      <c r="D125" s="1">
        <f>SUM(OSRRefD22_14x_0)</f>
        <v>0</v>
      </c>
      <c r="E125" s="1"/>
      <c r="F125" s="5">
        <f t="shared" si="93"/>
        <v>0</v>
      </c>
      <c r="G125" s="1"/>
      <c r="H125" s="1">
        <f>SUM(OSRRefH22_14x_0)</f>
        <v>0</v>
      </c>
      <c r="I125" s="1"/>
      <c r="J125" s="5">
        <f t="shared" si="94"/>
        <v>0</v>
      </c>
      <c r="K125" s="1"/>
      <c r="L125" s="1">
        <f t="shared" si="95"/>
        <v>0</v>
      </c>
      <c r="M125" s="1"/>
      <c r="N125" s="5">
        <f t="shared" si="96"/>
        <v>0</v>
      </c>
      <c r="O125" s="12"/>
      <c r="P125" s="1">
        <f>SUM(OSRRefP22_14x_0)</f>
        <v>0.16</v>
      </c>
      <c r="Q125" s="1"/>
      <c r="R125" s="5">
        <f t="shared" si="97"/>
        <v>5.8237256873784368E-8</v>
      </c>
      <c r="S125" s="1"/>
      <c r="T125" s="1">
        <f>SUM(OSRRefT22_14x_0)</f>
        <v>83.93</v>
      </c>
      <c r="U125" s="1"/>
      <c r="V125" s="5">
        <f t="shared" si="98"/>
        <v>1.6951750829258329E-5</v>
      </c>
      <c r="W125" s="1"/>
      <c r="X125" s="1">
        <f t="shared" si="99"/>
        <v>-83.77000000000001</v>
      </c>
      <c r="Y125" s="1"/>
      <c r="Z125" s="5">
        <f t="shared" si="100"/>
        <v>-0.99809364946979628</v>
      </c>
    </row>
    <row r="126" spans="1:26" s="23" customFormat="1" hidden="1" outlineLevel="2" x14ac:dyDescent="0.25">
      <c r="A126" s="25"/>
      <c r="B126" s="10" t="str">
        <f>CONCATENATE("          ", "6292", " - ", "TRAVEL/CONFERENCE")</f>
        <v xml:space="preserve">          6292 - TRAVEL/CONFERENCE</v>
      </c>
      <c r="C126" s="10"/>
      <c r="D126" s="6"/>
      <c r="E126" s="2"/>
      <c r="F126" s="7">
        <f t="shared" si="93"/>
        <v>0</v>
      </c>
      <c r="G126" s="2"/>
      <c r="H126" s="6"/>
      <c r="I126" s="2"/>
      <c r="J126" s="7">
        <f t="shared" si="94"/>
        <v>0</v>
      </c>
      <c r="K126" s="2"/>
      <c r="L126" s="6">
        <f t="shared" si="95"/>
        <v>0</v>
      </c>
      <c r="M126" s="2"/>
      <c r="N126" s="7">
        <f t="shared" si="96"/>
        <v>0</v>
      </c>
      <c r="O126" s="10"/>
      <c r="P126" s="6">
        <v>0.16</v>
      </c>
      <c r="Q126" s="2"/>
      <c r="R126" s="7">
        <f t="shared" si="97"/>
        <v>5.8237256873784368E-8</v>
      </c>
      <c r="S126" s="2"/>
      <c r="T126" s="6">
        <v>83.93</v>
      </c>
      <c r="U126" s="2"/>
      <c r="V126" s="7">
        <f t="shared" si="98"/>
        <v>1.6951750829258329E-5</v>
      </c>
      <c r="W126" s="2"/>
      <c r="X126" s="6">
        <f t="shared" si="99"/>
        <v>-83.77000000000001</v>
      </c>
      <c r="Y126" s="2"/>
      <c r="Z126" s="7">
        <f t="shared" si="100"/>
        <v>-0.99809364946979628</v>
      </c>
    </row>
    <row r="127" spans="1:26" s="52" customFormat="1" x14ac:dyDescent="0.25">
      <c r="A127" s="37"/>
      <c r="B127" s="37"/>
      <c r="C127" s="37"/>
      <c r="D127" s="1"/>
      <c r="E127" s="1"/>
      <c r="F127" s="5"/>
      <c r="G127" s="1"/>
      <c r="H127" s="1"/>
      <c r="I127" s="1"/>
      <c r="J127" s="5"/>
      <c r="K127" s="1"/>
      <c r="L127" s="1"/>
      <c r="M127" s="1"/>
      <c r="N127" s="5"/>
      <c r="O127" s="37"/>
      <c r="P127" s="1"/>
      <c r="Q127" s="1"/>
      <c r="R127" s="5"/>
      <c r="S127" s="1"/>
      <c r="T127" s="1"/>
      <c r="U127" s="1"/>
      <c r="V127" s="5"/>
      <c r="W127" s="1"/>
      <c r="X127" s="1"/>
      <c r="Y127" s="1"/>
      <c r="Z127" s="5"/>
    </row>
    <row r="128" spans="1:26" s="24" customFormat="1" collapsed="1" x14ac:dyDescent="0.25">
      <c r="A128" s="11"/>
      <c r="B128" s="29" t="s">
        <v>292</v>
      </c>
      <c r="C128" s="11"/>
      <c r="D128" s="4">
        <f>SUM(OSRRefD25x_0)</f>
        <v>-78.120000000000118</v>
      </c>
      <c r="E128" s="4"/>
      <c r="F128" s="13">
        <f t="shared" ref="F128:F131" si="101">IF(D$12=0,0,D128/D$12)</f>
        <v>-1.9280605369544977E-2</v>
      </c>
      <c r="G128" s="4"/>
      <c r="H128" s="4">
        <f>SUM(OSRRefH25x_0)</f>
        <v>-16039.510000000002</v>
      </c>
      <c r="I128" s="4"/>
      <c r="J128" s="13">
        <f t="shared" ref="J128:J131" si="102">IF(H$12=0,0,H128/H$12)</f>
        <v>-0.73360095645460488</v>
      </c>
      <c r="K128" s="4"/>
      <c r="L128" s="4">
        <f t="shared" ref="L128:L131" si="103">+D128-H128</f>
        <v>15961.390000000001</v>
      </c>
      <c r="M128" s="4"/>
      <c r="N128" s="13">
        <f t="shared" ref="N128:N131" si="104">IF(H128=0,0,L128/H128)</f>
        <v>-0.99512952702420454</v>
      </c>
      <c r="O128" s="11"/>
      <c r="P128" s="4">
        <f>SUM(OSRRefP25x_0)</f>
        <v>334238.96000000002</v>
      </c>
      <c r="Q128" s="4"/>
      <c r="R128" s="13">
        <f t="shared" ref="R128:R131" si="105">IF(P$12=0,0,P128/P$12)</f>
        <v>0.12165725106716588</v>
      </c>
      <c r="S128" s="4"/>
      <c r="T128" s="4">
        <f>SUM(OSRRefT25x_0)</f>
        <v>177870.38</v>
      </c>
      <c r="U128" s="4"/>
      <c r="V128" s="13">
        <f t="shared" ref="V128:V131" si="106">IF(T$12=0,0,T128/T$12)</f>
        <v>3.5925346856493436E-2</v>
      </c>
      <c r="W128" s="4"/>
      <c r="X128" s="4">
        <f t="shared" ref="X128:X131" si="107">+P128-T128</f>
        <v>156368.58000000002</v>
      </c>
      <c r="Y128" s="4"/>
      <c r="Z128" s="13">
        <f t="shared" ref="Z128:Z131" si="108">IF(T128=0,0,X128/T128)</f>
        <v>0.87911534230713406</v>
      </c>
    </row>
    <row r="129" spans="1:26" s="23" customFormat="1" hidden="1" outlineLevel="1" x14ac:dyDescent="0.25">
      <c r="A129" s="44"/>
      <c r="B129" s="10" t="str">
        <f>CONCATENATE("          ", "9150", " - ", "MISC. INCOME")</f>
        <v xml:space="preserve">          9150 - MISC. INCOME</v>
      </c>
      <c r="C129" s="10"/>
      <c r="D129" s="2">
        <f>-1833.66</f>
        <v>-1833.66</v>
      </c>
      <c r="E129" s="2"/>
      <c r="F129" s="19">
        <f t="shared" si="101"/>
        <v>-0.45256112188837416</v>
      </c>
      <c r="G129" s="2"/>
      <c r="H129" s="2">
        <f>--1895.85</f>
        <v>1895.85</v>
      </c>
      <c r="I129" s="2"/>
      <c r="J129" s="19">
        <f t="shared" si="102"/>
        <v>8.6710714560136973E-2</v>
      </c>
      <c r="K129" s="2"/>
      <c r="L129" s="2">
        <f t="shared" si="103"/>
        <v>-3729.51</v>
      </c>
      <c r="M129" s="2"/>
      <c r="N129" s="19">
        <f t="shared" si="104"/>
        <v>-1.9671967718965111</v>
      </c>
      <c r="O129" s="10"/>
      <c r="P129" s="2">
        <f>--31202.39</f>
        <v>31202.39</v>
      </c>
      <c r="Q129" s="2"/>
      <c r="R129" s="19">
        <f t="shared" si="105"/>
        <v>1.1357135009412505E-2</v>
      </c>
      <c r="S129" s="2"/>
      <c r="T129" s="2">
        <f>--23186.55</f>
        <v>23186.55</v>
      </c>
      <c r="U129" s="2"/>
      <c r="V129" s="19">
        <f t="shared" si="106"/>
        <v>4.6831004192796344E-3</v>
      </c>
      <c r="W129" s="2"/>
      <c r="X129" s="2">
        <f t="shared" si="107"/>
        <v>8015.84</v>
      </c>
      <c r="Y129" s="2"/>
      <c r="Z129" s="19">
        <f t="shared" si="108"/>
        <v>0.34571076766487469</v>
      </c>
    </row>
    <row r="130" spans="1:26" s="23" customFormat="1" hidden="1" outlineLevel="1" x14ac:dyDescent="0.25">
      <c r="A130" s="44"/>
      <c r="B130" s="10" t="str">
        <f>CONCATENATE("          ", "9151", " - ", "MISC. INCOME")</f>
        <v xml:space="preserve">          9151 - MISC. INCOME</v>
      </c>
      <c r="C130" s="10"/>
      <c r="D130" s="2">
        <f>0</f>
        <v>0</v>
      </c>
      <c r="E130" s="2"/>
      <c r="F130" s="19">
        <f t="shared" si="101"/>
        <v>0</v>
      </c>
      <c r="G130" s="2"/>
      <c r="H130" s="2">
        <f>-18698.07</f>
        <v>-18698.07</v>
      </c>
      <c r="I130" s="2"/>
      <c r="J130" s="19">
        <f t="shared" si="102"/>
        <v>-0.85519582804307315</v>
      </c>
      <c r="K130" s="2"/>
      <c r="L130" s="2">
        <f t="shared" si="103"/>
        <v>18698.07</v>
      </c>
      <c r="M130" s="2"/>
      <c r="N130" s="19">
        <f t="shared" si="104"/>
        <v>-1</v>
      </c>
      <c r="O130" s="10"/>
      <c r="P130" s="2">
        <f>--295628.46</f>
        <v>295628.46000000002</v>
      </c>
      <c r="Q130" s="2"/>
      <c r="R130" s="19">
        <f t="shared" si="105"/>
        <v>0.10760369102638305</v>
      </c>
      <c r="S130" s="2"/>
      <c r="T130" s="2">
        <f>--144046.23</f>
        <v>144046.23000000001</v>
      </c>
      <c r="U130" s="2"/>
      <c r="V130" s="19">
        <f t="shared" si="106"/>
        <v>2.9093718561349173E-2</v>
      </c>
      <c r="W130" s="2"/>
      <c r="X130" s="2">
        <f t="shared" si="107"/>
        <v>151582.23000000001</v>
      </c>
      <c r="Y130" s="2"/>
      <c r="Z130" s="19">
        <f t="shared" si="108"/>
        <v>1.0523165375449257</v>
      </c>
    </row>
    <row r="131" spans="1:26" s="23" customFormat="1" hidden="1" outlineLevel="1" x14ac:dyDescent="0.25">
      <c r="A131" s="44"/>
      <c r="B131" s="10" t="str">
        <f>CONCATENATE("          ", "9152", " - ", "MISC. INCOME")</f>
        <v xml:space="preserve">          9152 - MISC. INCOME</v>
      </c>
      <c r="C131" s="10"/>
      <c r="D131" s="2">
        <f>--1755.54</f>
        <v>1755.54</v>
      </c>
      <c r="E131" s="2"/>
      <c r="F131" s="19">
        <f t="shared" si="101"/>
        <v>0.43328051651882921</v>
      </c>
      <c r="G131" s="2"/>
      <c r="H131" s="2">
        <f>--762.71</f>
        <v>762.71</v>
      </c>
      <c r="I131" s="2"/>
      <c r="J131" s="19">
        <f t="shared" si="102"/>
        <v>3.4884157028331392E-2</v>
      </c>
      <c r="K131" s="2"/>
      <c r="L131" s="2">
        <f t="shared" si="103"/>
        <v>992.82999999999993</v>
      </c>
      <c r="M131" s="2"/>
      <c r="N131" s="19">
        <f t="shared" si="104"/>
        <v>1.3017136264110867</v>
      </c>
      <c r="O131" s="10"/>
      <c r="P131" s="2">
        <f>--7408.11</f>
        <v>7408.11</v>
      </c>
      <c r="Q131" s="2"/>
      <c r="R131" s="19">
        <f t="shared" si="105"/>
        <v>2.6964250313703171E-3</v>
      </c>
      <c r="S131" s="2"/>
      <c r="T131" s="2">
        <f>--10637.6</f>
        <v>10637.6</v>
      </c>
      <c r="U131" s="2"/>
      <c r="V131" s="19">
        <f t="shared" si="106"/>
        <v>2.1485278758646299E-3</v>
      </c>
      <c r="W131" s="2"/>
      <c r="X131" s="2">
        <f t="shared" si="107"/>
        <v>-3229.4900000000007</v>
      </c>
      <c r="Y131" s="2"/>
      <c r="Z131" s="19">
        <f t="shared" si="108"/>
        <v>-0.30359197563360163</v>
      </c>
    </row>
    <row r="132" spans="1:26" x14ac:dyDescent="0.25">
      <c r="A132" s="9"/>
      <c r="B132" s="11"/>
      <c r="C132" s="11"/>
      <c r="D132" s="3"/>
      <c r="E132" s="3"/>
      <c r="F132" s="8"/>
      <c r="G132" s="3"/>
      <c r="H132" s="3"/>
      <c r="I132" s="3"/>
      <c r="J132" s="8"/>
      <c r="K132" s="3"/>
      <c r="L132" s="3"/>
      <c r="M132" s="3"/>
      <c r="N132" s="8"/>
      <c r="O132" s="11"/>
      <c r="P132" s="3"/>
      <c r="Q132" s="3"/>
      <c r="R132" s="8"/>
      <c r="S132" s="3"/>
      <c r="T132" s="3"/>
      <c r="U132" s="3"/>
      <c r="V132" s="8"/>
      <c r="W132" s="3"/>
      <c r="X132" s="3"/>
      <c r="Y132" s="3"/>
      <c r="Z132" s="8"/>
    </row>
    <row r="133" spans="1:26" s="24" customFormat="1" x14ac:dyDescent="0.25">
      <c r="A133" s="11"/>
      <c r="B133" s="28" t="s">
        <v>276</v>
      </c>
      <c r="C133" s="28"/>
      <c r="D133" s="21">
        <f>+D64-D66+D128</f>
        <v>-89866.76999999996</v>
      </c>
      <c r="E133" s="14"/>
      <c r="F133" s="22">
        <f>IF(D$12=0,0,D133/D$12)</f>
        <v>-22.179796828029442</v>
      </c>
      <c r="G133" s="14"/>
      <c r="H133" s="21">
        <f>+H64-H66+H128</f>
        <v>-89856.860000000015</v>
      </c>
      <c r="I133" s="14"/>
      <c r="J133" s="22">
        <f>IF(H$12=0,0,H133/H$12)</f>
        <v>-4.1097937804837885</v>
      </c>
      <c r="K133" s="15"/>
      <c r="L133" s="21">
        <f>+D133-H133</f>
        <v>-9.9099999999452848</v>
      </c>
      <c r="M133" s="15"/>
      <c r="N133" s="22">
        <f>IF(H133=0,0,L133/H133)</f>
        <v>1.1028651568667416E-4</v>
      </c>
      <c r="O133" s="29"/>
      <c r="P133" s="21">
        <f>+P64-P66+P128</f>
        <v>522909.42000000057</v>
      </c>
      <c r="Q133" s="14"/>
      <c r="R133" s="22">
        <f>IF(P$12=0,0,P133/P$12)</f>
        <v>0.1903300638391352</v>
      </c>
      <c r="S133" s="14"/>
      <c r="T133" s="21">
        <f>+T64-T66+T128</f>
        <v>988693.60999999812</v>
      </c>
      <c r="U133" s="14"/>
      <c r="V133" s="22">
        <f>IF(T$12=0,0,T133/T$12)</f>
        <v>0.19969126323364564</v>
      </c>
      <c r="W133" s="15"/>
      <c r="X133" s="21">
        <f>+P133-T133</f>
        <v>-465784.18999999756</v>
      </c>
      <c r="Y133" s="15"/>
      <c r="Z133" s="22">
        <f>IF(T133=0,0,X133/T133)</f>
        <v>-0.47111075189410645</v>
      </c>
    </row>
    <row r="134" spans="1:26" x14ac:dyDescent="0.25">
      <c r="A134" s="9"/>
      <c r="B134" s="11"/>
      <c r="C134" s="9"/>
      <c r="D134" s="3"/>
      <c r="E134" s="3"/>
      <c r="F134" s="8"/>
      <c r="G134" s="3"/>
      <c r="H134" s="3"/>
      <c r="I134" s="3"/>
      <c r="J134" s="8"/>
      <c r="K134" s="3"/>
      <c r="L134" s="3"/>
      <c r="M134" s="3"/>
      <c r="N134" s="8"/>
      <c r="P134" s="3"/>
      <c r="Q134" s="3"/>
      <c r="R134" s="8"/>
      <c r="S134" s="3"/>
      <c r="T134" s="3"/>
      <c r="U134" s="3"/>
      <c r="V134" s="8"/>
      <c r="W134" s="3"/>
      <c r="X134" s="3"/>
      <c r="Y134" s="3"/>
      <c r="Z134" s="8"/>
    </row>
    <row r="135" spans="1:26" s="24" customFormat="1" x14ac:dyDescent="0.25">
      <c r="A135" s="51"/>
      <c r="B135" s="11" t="s">
        <v>127</v>
      </c>
      <c r="C135" s="11"/>
      <c r="D135" s="4">
        <v>174236.97</v>
      </c>
      <c r="E135" s="4"/>
      <c r="F135" s="13">
        <f>IF(D$12=0,0,D135/D$12)</f>
        <v>43.002998711664645</v>
      </c>
      <c r="G135" s="4"/>
      <c r="H135" s="4">
        <v>165985.96</v>
      </c>
      <c r="I135" s="4"/>
      <c r="J135" s="13">
        <f>IF(H$12=0,0,H135/H$12)</f>
        <v>7.5917193863176475</v>
      </c>
      <c r="K135" s="4"/>
      <c r="L135" s="4">
        <f>+D135-H135</f>
        <v>8251.0100000000093</v>
      </c>
      <c r="M135" s="4"/>
      <c r="N135" s="13">
        <f>IF(H135=0,0,L135/H135)</f>
        <v>4.9709083828535915E-2</v>
      </c>
      <c r="O135" s="11"/>
      <c r="P135" s="4">
        <v>760460.67</v>
      </c>
      <c r="Q135" s="4"/>
      <c r="R135" s="13">
        <f>IF(P$12=0,0,P135/P$12)</f>
        <v>0.27679464613250104</v>
      </c>
      <c r="S135" s="4"/>
      <c r="T135" s="4">
        <v>749710.21</v>
      </c>
      <c r="U135" s="4"/>
      <c r="V135" s="13">
        <f>IF(T$12=0,0,T135/T$12)</f>
        <v>0.15142262211451132</v>
      </c>
      <c r="W135" s="4"/>
      <c r="X135" s="4">
        <f>+P135-T135</f>
        <v>10750.460000000079</v>
      </c>
      <c r="Y135" s="4"/>
      <c r="Z135" s="13">
        <f>IF(T135=0,0,X135/T135)</f>
        <v>1.4339487253348304E-2</v>
      </c>
    </row>
    <row r="136" spans="1:26" x14ac:dyDescent="0.25">
      <c r="A136" s="9"/>
      <c r="B136" s="11"/>
      <c r="C136" s="11"/>
      <c r="D136" s="3"/>
      <c r="E136" s="3"/>
      <c r="F136" s="8"/>
      <c r="G136" s="3"/>
      <c r="H136" s="3"/>
      <c r="I136" s="3"/>
      <c r="J136" s="8"/>
      <c r="K136" s="3"/>
      <c r="L136" s="3"/>
      <c r="M136" s="3"/>
      <c r="N136" s="8"/>
      <c r="O136" s="11"/>
      <c r="P136" s="3"/>
      <c r="Q136" s="3"/>
      <c r="R136" s="8"/>
      <c r="S136" s="3"/>
      <c r="T136" s="3"/>
      <c r="U136" s="3"/>
      <c r="V136" s="8"/>
      <c r="W136" s="3"/>
      <c r="X136" s="3"/>
      <c r="Y136" s="3"/>
      <c r="Z136" s="8"/>
    </row>
    <row r="137" spans="1:26" s="24" customFormat="1" ht="15.75" thickBot="1" x14ac:dyDescent="0.3">
      <c r="A137" s="11"/>
      <c r="B137" s="28" t="s">
        <v>125</v>
      </c>
      <c r="C137" s="28"/>
      <c r="D137" s="34">
        <f>+D133-D135</f>
        <v>-264103.74</v>
      </c>
      <c r="E137" s="14"/>
      <c r="F137" s="31">
        <f>IF(D$12=0,0,D137/D$12)</f>
        <v>-65.182795539694098</v>
      </c>
      <c r="G137" s="14"/>
      <c r="H137" s="34">
        <f>+H133-H135</f>
        <v>-255842.82</v>
      </c>
      <c r="I137" s="14"/>
      <c r="J137" s="31">
        <f>IF(H$12=0,0,H137/H$12)</f>
        <v>-11.701513166801437</v>
      </c>
      <c r="K137" s="15"/>
      <c r="L137" s="34">
        <f>D137-H137</f>
        <v>-8260.9199999999837</v>
      </c>
      <c r="M137" s="15"/>
      <c r="N137" s="31">
        <f>IF(H137=0,0,L137/H137)</f>
        <v>3.2289043718326679E-2</v>
      </c>
      <c r="O137" s="29"/>
      <c r="P137" s="34">
        <f>+P133-P135</f>
        <v>-237551.24999999948</v>
      </c>
      <c r="Q137" s="14"/>
      <c r="R137" s="31">
        <f>IF(P$12=0,0,P137/P$12)</f>
        <v>-8.6464582293365871E-2</v>
      </c>
      <c r="S137" s="14"/>
      <c r="T137" s="34">
        <f>+T133-T135</f>
        <v>238983.39999999816</v>
      </c>
      <c r="U137" s="14"/>
      <c r="V137" s="31">
        <f>IF(T$12=0,0,T137/T$12)</f>
        <v>4.8268641119134321E-2</v>
      </c>
      <c r="W137" s="15"/>
      <c r="X137" s="34">
        <f>P137-T137</f>
        <v>-476534.64999999764</v>
      </c>
      <c r="Y137" s="15"/>
      <c r="Z137" s="31">
        <f>IF(T137=0,0,X137/T137)</f>
        <v>-1.9940073243580989</v>
      </c>
    </row>
    <row r="138" spans="1:26" ht="15.75" thickTop="1" x14ac:dyDescent="0.25">
      <c r="A138" s="9"/>
      <c r="B138" s="9"/>
      <c r="C138" s="9"/>
      <c r="D138" s="3"/>
      <c r="E138" s="3"/>
      <c r="F138" s="8"/>
      <c r="G138" s="3"/>
      <c r="H138" s="3"/>
      <c r="I138" s="3"/>
      <c r="J138" s="8"/>
      <c r="K138" s="3"/>
      <c r="L138" s="3"/>
      <c r="M138" s="3"/>
      <c r="N138" s="8"/>
      <c r="P138" s="3"/>
      <c r="Q138" s="3"/>
      <c r="R138" s="8"/>
      <c r="S138" s="3"/>
      <c r="T138" s="3"/>
      <c r="U138" s="3"/>
      <c r="V138" s="8"/>
      <c r="W138" s="3"/>
      <c r="X138" s="3"/>
      <c r="Y138" s="3"/>
      <c r="Z138" s="8"/>
    </row>
    <row r="139" spans="1:26" x14ac:dyDescent="0.25">
      <c r="A139" s="9"/>
      <c r="B139" s="9"/>
      <c r="C139" s="9"/>
      <c r="D139" s="3"/>
      <c r="E139" s="3"/>
      <c r="F139" s="8"/>
      <c r="G139" s="3"/>
      <c r="H139" s="3"/>
      <c r="I139" s="3"/>
      <c r="J139" s="8"/>
      <c r="K139" s="3"/>
      <c r="L139" s="3"/>
      <c r="M139" s="3"/>
      <c r="N139" s="8"/>
      <c r="P139" s="3"/>
      <c r="Q139" s="3"/>
      <c r="R139" s="8"/>
      <c r="S139" s="3"/>
      <c r="T139" s="3"/>
      <c r="U139" s="3"/>
      <c r="V139" s="8"/>
      <c r="W139" s="3"/>
      <c r="X139" s="3"/>
      <c r="Y139" s="3"/>
      <c r="Z139" s="8"/>
    </row>
    <row r="140" spans="1:26" s="24" customFormat="1" ht="15.75" thickBot="1" x14ac:dyDescent="0.3">
      <c r="A140" s="11"/>
      <c r="B140" s="28" t="s">
        <v>293</v>
      </c>
      <c r="C140" s="28"/>
      <c r="D140" s="33">
        <f>SUM(D137:D139)</f>
        <v>-264103.74</v>
      </c>
      <c r="E140" s="14"/>
      <c r="F140" s="35">
        <f>IF(D$12=0,0,D140/D$12)</f>
        <v>-65.182795539694098</v>
      </c>
      <c r="G140" s="14"/>
      <c r="H140" s="33">
        <f>SUM(H137:H139)</f>
        <v>-255842.82</v>
      </c>
      <c r="I140" s="14"/>
      <c r="J140" s="35">
        <f>IF(H$12=0,0,H140/H$12)</f>
        <v>-11.701513166801437</v>
      </c>
      <c r="K140" s="15"/>
      <c r="L140" s="33">
        <f>+D140-H140</f>
        <v>-8260.9199999999837</v>
      </c>
      <c r="M140" s="15"/>
      <c r="N140" s="35">
        <f>IF(H140=0,0,L140/H140)</f>
        <v>3.2289043718326679E-2</v>
      </c>
      <c r="O140" s="29"/>
      <c r="P140" s="33">
        <f>SUM(P137:P139)</f>
        <v>-237551.24999999948</v>
      </c>
      <c r="Q140" s="14"/>
      <c r="R140" s="35">
        <f>IF(P$12=0,0,P140/P$12)</f>
        <v>-8.6464582293365871E-2</v>
      </c>
      <c r="S140" s="14"/>
      <c r="T140" s="33">
        <f>SUM(T137:T139)</f>
        <v>238983.39999999816</v>
      </c>
      <c r="U140" s="14"/>
      <c r="V140" s="35">
        <f>IF(T$12=0,0,T140/T$12)</f>
        <v>4.8268641119134321E-2</v>
      </c>
      <c r="W140" s="15"/>
      <c r="X140" s="33">
        <f>+P140-T140</f>
        <v>-476534.64999999764</v>
      </c>
      <c r="Y140" s="15"/>
      <c r="Z140" s="35">
        <f>IF(T140=0,0,X140/T140)</f>
        <v>-1.9940073243580989</v>
      </c>
    </row>
    <row r="141" spans="1:26" ht="15.75" thickTop="1" x14ac:dyDescent="0.25">
      <c r="A141" s="9"/>
      <c r="C141" s="9"/>
      <c r="D141" s="18"/>
      <c r="E141" s="18"/>
      <c r="G141" s="18"/>
      <c r="H141" s="18"/>
      <c r="I141" s="18"/>
      <c r="J141" s="43"/>
      <c r="K141" s="18"/>
      <c r="L141" s="18"/>
      <c r="M141" s="18"/>
      <c r="P141" s="18"/>
      <c r="Q141" s="18"/>
      <c r="R141" s="43"/>
      <c r="S141" s="18"/>
      <c r="T141" s="18"/>
      <c r="U141" s="18"/>
      <c r="V141" s="43"/>
      <c r="W141" s="18"/>
      <c r="X141" s="18"/>
    </row>
    <row r="142" spans="1:26" x14ac:dyDescent="0.25">
      <c r="A142" s="9"/>
      <c r="B142" s="56">
        <v>44454.698478321756</v>
      </c>
      <c r="D142" s="18"/>
      <c r="E142" s="18"/>
      <c r="G142" s="18"/>
      <c r="H142" s="18"/>
      <c r="I142" s="18"/>
      <c r="J142" s="43"/>
      <c r="K142" s="18"/>
      <c r="L142" s="18"/>
      <c r="M142" s="18"/>
      <c r="P142" s="18"/>
      <c r="Q142" s="18"/>
      <c r="R142" s="43"/>
      <c r="S142" s="18"/>
      <c r="T142" s="18"/>
      <c r="U142" s="18"/>
      <c r="V142" s="43"/>
      <c r="W142" s="18"/>
      <c r="X142" s="18"/>
    </row>
    <row r="143" spans="1:26" x14ac:dyDescent="0.25">
      <c r="A143" s="9"/>
      <c r="B143" s="55" t="s">
        <v>56</v>
      </c>
      <c r="D143" s="18"/>
      <c r="E143" s="18"/>
      <c r="G143" s="18"/>
      <c r="H143" s="18"/>
      <c r="I143" s="18"/>
      <c r="J143" s="43"/>
      <c r="K143" s="18"/>
      <c r="L143" s="18"/>
      <c r="M143" s="18"/>
      <c r="P143" s="18"/>
      <c r="Q143" s="18"/>
      <c r="R143" s="43"/>
      <c r="S143" s="18"/>
      <c r="T143" s="18"/>
      <c r="U143" s="18"/>
      <c r="V143" s="43"/>
      <c r="W143" s="18"/>
      <c r="X143" s="18"/>
    </row>
    <row r="144" spans="1:26" x14ac:dyDescent="0.25">
      <c r="A144" s="9"/>
      <c r="B144" s="60"/>
      <c r="D144" s="18"/>
      <c r="E144" s="18"/>
      <c r="G144" s="18"/>
      <c r="H144" s="18"/>
      <c r="I144" s="18"/>
      <c r="J144" s="43"/>
      <c r="K144" s="18"/>
      <c r="L144" s="18"/>
      <c r="M144" s="18"/>
      <c r="P144" s="18"/>
      <c r="Q144" s="18"/>
      <c r="R144" s="43"/>
      <c r="S144" s="18"/>
      <c r="T144" s="18"/>
      <c r="U144" s="18"/>
      <c r="V144" s="43"/>
      <c r="W144" s="18"/>
      <c r="X144" s="18"/>
    </row>
    <row r="145" spans="4:24" x14ac:dyDescent="0.25">
      <c r="D145" s="18"/>
      <c r="E145" s="18"/>
      <c r="G145" s="18"/>
      <c r="H145" s="18"/>
      <c r="I145" s="18"/>
      <c r="J145" s="43"/>
      <c r="K145" s="18"/>
      <c r="L145" s="18"/>
      <c r="M145" s="18"/>
      <c r="P145" s="18"/>
      <c r="Q145" s="18"/>
      <c r="R145" s="43"/>
      <c r="S145" s="18"/>
      <c r="T145" s="18"/>
      <c r="U145" s="18"/>
      <c r="V145" s="43"/>
      <c r="W145" s="18"/>
      <c r="X145" s="18"/>
    </row>
  </sheetData>
  <pageMargins left="0.25" right="0.25" top="0.75" bottom="0.75" header="0.3" footer="0.3"/>
  <pageSetup scale="55" fitToWidth="2" orientation="landscape"/>
  <drawing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>
    <tabColor rgb="FF92D050"/>
    <outlinePr summaryBelow="0" summaryRight="0"/>
  </sheetPr>
  <dimension ref="A2:Z144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62" t="s">
        <v>23</v>
      </c>
    </row>
    <row r="3" spans="1:26" x14ac:dyDescent="0.25">
      <c r="D3" s="62" t="s">
        <v>236</v>
      </c>
      <c r="E3" s="17"/>
      <c r="F3" s="46"/>
      <c r="G3" s="17"/>
      <c r="H3" s="17"/>
      <c r="I3" s="17"/>
      <c r="J3" s="38"/>
      <c r="K3" s="17"/>
      <c r="L3" s="17"/>
      <c r="M3" s="17"/>
      <c r="N3" s="46"/>
      <c r="O3" s="53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2" t="str">
        <f>CONCATENATE("Period ",RIGHT(202112,2),", ",2021)</f>
        <v>Period 12, 2021</v>
      </c>
      <c r="E4" s="17"/>
      <c r="F4" s="46"/>
      <c r="G4" s="17"/>
      <c r="H4" s="17"/>
      <c r="I4" s="17"/>
      <c r="J4" s="38"/>
      <c r="K4" s="17"/>
      <c r="L4" s="17"/>
      <c r="M4" s="17"/>
      <c r="N4" s="46"/>
      <c r="O4" s="53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4"/>
      <c r="D5" s="63">
        <v>44377</v>
      </c>
      <c r="E5" s="17"/>
      <c r="F5" s="46"/>
      <c r="G5" s="17"/>
      <c r="H5" s="17"/>
      <c r="I5" s="17"/>
      <c r="J5" s="38"/>
      <c r="K5" s="17"/>
      <c r="L5" s="17"/>
      <c r="M5" s="17"/>
      <c r="N5" s="46"/>
      <c r="O5" s="53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4"/>
      <c r="B6" s="48"/>
      <c r="C6" s="48"/>
      <c r="D6" s="24" t="str">
        <f>CONCATENATE("Department ","311", " - ", "Textbooks")</f>
        <v>Department 311 - Textbooks</v>
      </c>
      <c r="E6" s="17"/>
      <c r="F6" s="46"/>
      <c r="G6" s="17"/>
      <c r="H6" s="17"/>
      <c r="I6" s="17"/>
      <c r="J6" s="38"/>
      <c r="K6" s="17"/>
      <c r="L6" s="17"/>
      <c r="M6" s="17"/>
      <c r="N6" s="46"/>
      <c r="O6" s="54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9"/>
    </row>
    <row r="8" spans="1:26" x14ac:dyDescent="0.25">
      <c r="B8" s="59"/>
    </row>
    <row r="9" spans="1:26" x14ac:dyDescent="0.25">
      <c r="B9" s="9"/>
      <c r="C9" s="9"/>
      <c r="D9" s="16" t="s">
        <v>291</v>
      </c>
      <c r="E9" s="16"/>
      <c r="F9" s="39"/>
      <c r="G9" s="16"/>
      <c r="H9" s="16"/>
      <c r="I9" s="16"/>
      <c r="J9" s="49"/>
      <c r="K9" s="16"/>
      <c r="L9" s="16"/>
      <c r="M9" s="16"/>
      <c r="N9" s="39"/>
      <c r="P9" s="16" t="s">
        <v>39</v>
      </c>
      <c r="Q9" s="16"/>
      <c r="R9" s="39"/>
      <c r="S9" s="16"/>
      <c r="T9" s="16"/>
      <c r="U9" s="16"/>
      <c r="V9" s="49"/>
      <c r="W9" s="16"/>
      <c r="X9" s="16"/>
      <c r="Y9" s="16"/>
      <c r="Z9" s="39"/>
    </row>
    <row r="10" spans="1:26" x14ac:dyDescent="0.25">
      <c r="A10" s="11"/>
      <c r="B10" s="58"/>
      <c r="C10" s="11"/>
      <c r="D10" s="42" t="s">
        <v>57</v>
      </c>
      <c r="E10" s="36"/>
      <c r="F10" s="30" t="s">
        <v>40</v>
      </c>
      <c r="G10" s="36"/>
      <c r="H10" s="50" t="s">
        <v>237</v>
      </c>
      <c r="I10" s="36"/>
      <c r="J10" s="30" t="s">
        <v>40</v>
      </c>
      <c r="K10" s="11"/>
      <c r="L10" s="42" t="s">
        <v>126</v>
      </c>
      <c r="M10" s="11"/>
      <c r="N10" s="30" t="s">
        <v>257</v>
      </c>
      <c r="O10" s="11"/>
      <c r="P10" s="61" t="s">
        <v>57</v>
      </c>
      <c r="Q10" s="36"/>
      <c r="R10" s="30" t="s">
        <v>40</v>
      </c>
      <c r="S10" s="36"/>
      <c r="T10" s="50" t="s">
        <v>237</v>
      </c>
      <c r="U10" s="36"/>
      <c r="V10" s="30" t="s">
        <v>40</v>
      </c>
      <c r="W10" s="11"/>
      <c r="X10" s="42" t="s">
        <v>126</v>
      </c>
      <c r="Y10" s="11"/>
      <c r="Z10" s="30" t="s">
        <v>257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4" customFormat="1" collapsed="1" x14ac:dyDescent="0.25">
      <c r="A12" s="11"/>
      <c r="B12" s="29" t="s">
        <v>139</v>
      </c>
      <c r="C12" s="11"/>
      <c r="D12" s="4">
        <f>SUM(OSRRefD13x_0)</f>
        <v>10542.05</v>
      </c>
      <c r="E12" s="4"/>
      <c r="F12" s="13"/>
      <c r="G12" s="4"/>
      <c r="H12" s="4">
        <f>SUM(OSRRefH13x_0)</f>
        <v>16646.41</v>
      </c>
      <c r="I12" s="4"/>
      <c r="J12" s="13"/>
      <c r="K12" s="4"/>
      <c r="L12" s="4">
        <f t="shared" ref="L12:L42" si="0">+D12-H12</f>
        <v>-6104.3600000000006</v>
      </c>
      <c r="M12" s="4"/>
      <c r="N12" s="13">
        <f t="shared" ref="N12:N42" si="1">IF(H12=0,0,L12/H12)</f>
        <v>-0.36670729604761632</v>
      </c>
      <c r="O12" s="11"/>
      <c r="P12" s="4">
        <f>SUM(OSRRefP13x_0)</f>
        <v>1976687.1099999999</v>
      </c>
      <c r="Q12" s="4"/>
      <c r="R12" s="13"/>
      <c r="S12" s="4"/>
      <c r="T12" s="4">
        <f>SUM(OSRRefT13x_0)</f>
        <v>3348053.5699999994</v>
      </c>
      <c r="U12" s="4"/>
      <c r="V12" s="13"/>
      <c r="W12" s="4"/>
      <c r="X12" s="4">
        <f t="shared" ref="X12:X42" si="2">+P12-T12</f>
        <v>-1371366.4599999995</v>
      </c>
      <c r="Y12" s="4"/>
      <c r="Z12" s="13">
        <f t="shared" ref="Z12:Z42" si="3">IF(T12=0,0,X12/T12)</f>
        <v>-0.40960111041472963</v>
      </c>
    </row>
    <row r="13" spans="1:26" s="23" customFormat="1" hidden="1" outlineLevel="1" x14ac:dyDescent="0.25">
      <c r="A13" s="44"/>
      <c r="B13" s="10" t="str">
        <f>CONCATENATE("          ", "4000", " - ", "TAXABLE SALES")</f>
        <v xml:space="preserve">          4000 - TAXABLE SALES</v>
      </c>
      <c r="C13" s="10"/>
      <c r="D13" s="2">
        <f>-260.84</f>
        <v>-260.83999999999997</v>
      </c>
      <c r="E13" s="2"/>
      <c r="F13" s="19"/>
      <c r="G13" s="2"/>
      <c r="H13" s="2">
        <f>0</f>
        <v>0</v>
      </c>
      <c r="I13" s="2"/>
      <c r="J13" s="19"/>
      <c r="K13" s="2"/>
      <c r="L13" s="2">
        <f t="shared" si="0"/>
        <v>-260.83999999999997</v>
      </c>
      <c r="M13" s="2"/>
      <c r="N13" s="19">
        <f t="shared" si="1"/>
        <v>0</v>
      </c>
      <c r="O13" s="10"/>
      <c r="P13" s="2">
        <f>-9541.2</f>
        <v>-9541.2000000000007</v>
      </c>
      <c r="Q13" s="2"/>
      <c r="R13" s="19"/>
      <c r="S13" s="2"/>
      <c r="T13" s="2">
        <f>0</f>
        <v>0</v>
      </c>
      <c r="U13" s="2"/>
      <c r="V13" s="19"/>
      <c r="W13" s="2"/>
      <c r="X13" s="2">
        <f t="shared" si="2"/>
        <v>-9541.2000000000007</v>
      </c>
      <c r="Y13" s="2"/>
      <c r="Z13" s="19">
        <f t="shared" si="3"/>
        <v>0</v>
      </c>
    </row>
    <row r="14" spans="1:26" s="23" customFormat="1" hidden="1" outlineLevel="1" x14ac:dyDescent="0.25">
      <c r="A14" s="44"/>
      <c r="B14" s="10" t="str">
        <f>CONCATENATE("          ", "4001", " - ", "TAXABLE SALES-NEW TEXT")</f>
        <v xml:space="preserve">          4001 - TAXABLE SALES-NEW TEXT</v>
      </c>
      <c r="C14" s="10"/>
      <c r="D14" s="2">
        <f>--5351.15</f>
        <v>5351.15</v>
      </c>
      <c r="E14" s="2"/>
      <c r="F14" s="19"/>
      <c r="G14" s="2"/>
      <c r="H14" s="2">
        <f>--6687.78</f>
        <v>6687.78</v>
      </c>
      <c r="I14" s="2"/>
      <c r="J14" s="19"/>
      <c r="K14" s="2"/>
      <c r="L14" s="2">
        <f t="shared" si="0"/>
        <v>-1336.63</v>
      </c>
      <c r="M14" s="2"/>
      <c r="N14" s="19">
        <f t="shared" si="1"/>
        <v>-0.19986153850754662</v>
      </c>
      <c r="O14" s="10"/>
      <c r="P14" s="2">
        <f>--1034593.04</f>
        <v>1034593.04</v>
      </c>
      <c r="Q14" s="2"/>
      <c r="R14" s="19"/>
      <c r="S14" s="2"/>
      <c r="T14" s="2">
        <f>--2020717.57</f>
        <v>2020717.57</v>
      </c>
      <c r="U14" s="2"/>
      <c r="V14" s="19"/>
      <c r="W14" s="2"/>
      <c r="X14" s="2">
        <f t="shared" si="2"/>
        <v>-986124.53</v>
      </c>
      <c r="Y14" s="2"/>
      <c r="Z14" s="19">
        <f t="shared" si="3"/>
        <v>-0.48800710432779582</v>
      </c>
    </row>
    <row r="15" spans="1:26" s="23" customFormat="1" hidden="1" outlineLevel="1" x14ac:dyDescent="0.25">
      <c r="A15" s="44"/>
      <c r="B15" s="10" t="str">
        <f>CONCATENATE("          ", "4002", " - ", "TAXABLE SALES-USED TEXT")</f>
        <v xml:space="preserve">          4002 - TAXABLE SALES-USED TEXT</v>
      </c>
      <c r="C15" s="10"/>
      <c r="D15" s="2">
        <f>--2986.1</f>
        <v>2986.1</v>
      </c>
      <c r="E15" s="2"/>
      <c r="F15" s="19"/>
      <c r="G15" s="2"/>
      <c r="H15" s="2">
        <f>--3174.55</f>
        <v>3174.55</v>
      </c>
      <c r="I15" s="2"/>
      <c r="J15" s="19"/>
      <c r="K15" s="2"/>
      <c r="L15" s="2">
        <f t="shared" si="0"/>
        <v>-188.45000000000027</v>
      </c>
      <c r="M15" s="2"/>
      <c r="N15" s="19">
        <f t="shared" si="1"/>
        <v>-5.936274432596754E-2</v>
      </c>
      <c r="O15" s="10"/>
      <c r="P15" s="2">
        <f>--363302.87</f>
        <v>363302.87</v>
      </c>
      <c r="Q15" s="2"/>
      <c r="R15" s="19"/>
      <c r="S15" s="2"/>
      <c r="T15" s="2">
        <f>--690438.4</f>
        <v>690438.4</v>
      </c>
      <c r="U15" s="2"/>
      <c r="V15" s="19"/>
      <c r="W15" s="2"/>
      <c r="X15" s="2">
        <f t="shared" si="2"/>
        <v>-327135.53000000003</v>
      </c>
      <c r="Y15" s="2"/>
      <c r="Z15" s="19">
        <f t="shared" si="3"/>
        <v>-0.47380842374931642</v>
      </c>
    </row>
    <row r="16" spans="1:26" s="23" customFormat="1" hidden="1" outlineLevel="1" x14ac:dyDescent="0.25">
      <c r="A16" s="44"/>
      <c r="B16" s="10" t="str">
        <f>CONCATENATE("          ", "4003", " - ", "TAXABLE SALES-RENTAL TEXT")</f>
        <v xml:space="preserve">          4003 - TAXABLE SALES-RENTAL TEXT</v>
      </c>
      <c r="C16" s="10"/>
      <c r="D16" s="2">
        <f>--1103.98</f>
        <v>1103.98</v>
      </c>
      <c r="E16" s="2"/>
      <c r="F16" s="19"/>
      <c r="G16" s="2"/>
      <c r="H16" s="2">
        <f>--895</f>
        <v>895</v>
      </c>
      <c r="I16" s="2"/>
      <c r="J16" s="19"/>
      <c r="K16" s="2"/>
      <c r="L16" s="2">
        <f t="shared" si="0"/>
        <v>208.98000000000002</v>
      </c>
      <c r="M16" s="2"/>
      <c r="N16" s="19">
        <f t="shared" si="1"/>
        <v>0.23349720670391064</v>
      </c>
      <c r="O16" s="10"/>
      <c r="P16" s="2">
        <f>--19596.82</f>
        <v>19596.82</v>
      </c>
      <c r="Q16" s="2"/>
      <c r="R16" s="19"/>
      <c r="S16" s="2"/>
      <c r="T16" s="2">
        <f>--34659.88</f>
        <v>34659.879999999997</v>
      </c>
      <c r="U16" s="2"/>
      <c r="V16" s="19"/>
      <c r="W16" s="2"/>
      <c r="X16" s="2">
        <f t="shared" si="2"/>
        <v>-15063.059999999998</v>
      </c>
      <c r="Y16" s="2"/>
      <c r="Z16" s="19">
        <f t="shared" si="3"/>
        <v>-0.43459642676200838</v>
      </c>
    </row>
    <row r="17" spans="1:26" s="23" customFormat="1" hidden="1" outlineLevel="1" x14ac:dyDescent="0.25">
      <c r="A17" s="44"/>
      <c r="B17" s="10" t="str">
        <f>CONCATENATE("          ", "4004", " - ", "TAXABLE SALES-DIGITAL TEXT")</f>
        <v xml:space="preserve">          4004 - TAXABLE SALES-DIGITAL TEXT</v>
      </c>
      <c r="C17" s="10"/>
      <c r="D17" s="2">
        <f t="shared" ref="D17:D18" si="4">0</f>
        <v>0</v>
      </c>
      <c r="E17" s="2"/>
      <c r="F17" s="19"/>
      <c r="G17" s="2"/>
      <c r="H17" s="2">
        <f t="shared" ref="H17:H18" si="5">0</f>
        <v>0</v>
      </c>
      <c r="I17" s="2"/>
      <c r="J17" s="19"/>
      <c r="K17" s="2"/>
      <c r="L17" s="2">
        <f t="shared" si="0"/>
        <v>0</v>
      </c>
      <c r="M17" s="2"/>
      <c r="N17" s="19">
        <f t="shared" si="1"/>
        <v>0</v>
      </c>
      <c r="O17" s="10"/>
      <c r="P17" s="2">
        <f>--2659.66</f>
        <v>2659.66</v>
      </c>
      <c r="Q17" s="2"/>
      <c r="R17" s="19"/>
      <c r="S17" s="2"/>
      <c r="T17" s="2">
        <f>--42195.3</f>
        <v>42195.3</v>
      </c>
      <c r="U17" s="2"/>
      <c r="V17" s="19"/>
      <c r="W17" s="2"/>
      <c r="X17" s="2">
        <f t="shared" si="2"/>
        <v>-39535.64</v>
      </c>
      <c r="Y17" s="2"/>
      <c r="Z17" s="19">
        <f t="shared" si="3"/>
        <v>-0.93696786134948673</v>
      </c>
    </row>
    <row r="18" spans="1:26" s="23" customFormat="1" hidden="1" outlineLevel="1" x14ac:dyDescent="0.25">
      <c r="A18" s="44"/>
      <c r="B18" s="10" t="str">
        <f>CONCATENATE("          ", "4011", " - ", "TAXABLE SALES-NO VALUE TEXT")</f>
        <v xml:space="preserve">          4011 - TAXABLE SALES-NO VALUE TEXT</v>
      </c>
      <c r="C18" s="10"/>
      <c r="D18" s="2">
        <f t="shared" si="4"/>
        <v>0</v>
      </c>
      <c r="E18" s="2"/>
      <c r="F18" s="19"/>
      <c r="G18" s="2"/>
      <c r="H18" s="2">
        <f t="shared" si="5"/>
        <v>0</v>
      </c>
      <c r="I18" s="2"/>
      <c r="J18" s="19"/>
      <c r="K18" s="2"/>
      <c r="L18" s="2">
        <f t="shared" si="0"/>
        <v>0</v>
      </c>
      <c r="M18" s="2"/>
      <c r="N18" s="19">
        <f t="shared" si="1"/>
        <v>0</v>
      </c>
      <c r="O18" s="10"/>
      <c r="P18" s="2">
        <f>0</f>
        <v>0</v>
      </c>
      <c r="Q18" s="2"/>
      <c r="R18" s="19"/>
      <c r="S18" s="2"/>
      <c r="T18" s="2">
        <f>--1052.48</f>
        <v>1052.48</v>
      </c>
      <c r="U18" s="2"/>
      <c r="V18" s="19"/>
      <c r="W18" s="2"/>
      <c r="X18" s="2">
        <f t="shared" si="2"/>
        <v>-1052.48</v>
      </c>
      <c r="Y18" s="2"/>
      <c r="Z18" s="19">
        <f t="shared" si="3"/>
        <v>-1</v>
      </c>
    </row>
    <row r="19" spans="1:26" s="23" customFormat="1" hidden="1" outlineLevel="1" x14ac:dyDescent="0.25">
      <c r="A19" s="44"/>
      <c r="B19" s="10" t="str">
        <f>CONCATENATE("          ", "4013", " - ", "TAXABLE SALES-TRADE BOOKS")</f>
        <v xml:space="preserve">          4013 - TAXABLE SALES-TRADE BOOKS</v>
      </c>
      <c r="C19" s="10"/>
      <c r="D19" s="2">
        <f>--92.84</f>
        <v>92.84</v>
      </c>
      <c r="E19" s="2"/>
      <c r="F19" s="19"/>
      <c r="G19" s="2"/>
      <c r="H19" s="2">
        <f>--64.99</f>
        <v>64.989999999999995</v>
      </c>
      <c r="I19" s="2"/>
      <c r="J19" s="19"/>
      <c r="K19" s="2"/>
      <c r="L19" s="2">
        <f t="shared" si="0"/>
        <v>27.850000000000009</v>
      </c>
      <c r="M19" s="2"/>
      <c r="N19" s="19">
        <f t="shared" si="1"/>
        <v>0.42852746576396383</v>
      </c>
      <c r="O19" s="10"/>
      <c r="P19" s="2">
        <f>--1418.63</f>
        <v>1418.63</v>
      </c>
      <c r="Q19" s="2"/>
      <c r="R19" s="19"/>
      <c r="S19" s="2"/>
      <c r="T19" s="2">
        <f>--2778.35</f>
        <v>2778.35</v>
      </c>
      <c r="U19" s="2"/>
      <c r="V19" s="19"/>
      <c r="W19" s="2"/>
      <c r="X19" s="2">
        <f t="shared" si="2"/>
        <v>-1359.7199999999998</v>
      </c>
      <c r="Y19" s="2"/>
      <c r="Z19" s="19">
        <f t="shared" si="3"/>
        <v>-0.48939838393290974</v>
      </c>
    </row>
    <row r="20" spans="1:26" s="23" customFormat="1" hidden="1" outlineLevel="1" x14ac:dyDescent="0.25">
      <c r="A20" s="44"/>
      <c r="B20" s="10" t="str">
        <f>CONCATENATE("          ", "4014", " - ", "TAXABLE SALES-REMAINDERS")</f>
        <v xml:space="preserve">          4014 - TAXABLE SALES-REMAINDERS</v>
      </c>
      <c r="C20" s="10"/>
      <c r="D20" s="2">
        <f>--31.84</f>
        <v>31.84</v>
      </c>
      <c r="E20" s="2"/>
      <c r="F20" s="19"/>
      <c r="G20" s="2"/>
      <c r="H20" s="2">
        <f>--13.9</f>
        <v>13.9</v>
      </c>
      <c r="I20" s="2"/>
      <c r="J20" s="19"/>
      <c r="K20" s="2"/>
      <c r="L20" s="2">
        <f t="shared" si="0"/>
        <v>17.939999999999998</v>
      </c>
      <c r="M20" s="2"/>
      <c r="N20" s="19">
        <f t="shared" si="1"/>
        <v>1.2906474820143883</v>
      </c>
      <c r="O20" s="10"/>
      <c r="P20" s="2">
        <f>--547.56</f>
        <v>547.55999999999995</v>
      </c>
      <c r="Q20" s="2"/>
      <c r="R20" s="19"/>
      <c r="S20" s="2"/>
      <c r="T20" s="2">
        <f>--1233.88</f>
        <v>1233.8800000000001</v>
      </c>
      <c r="U20" s="2"/>
      <c r="V20" s="19"/>
      <c r="W20" s="2"/>
      <c r="X20" s="2">
        <f t="shared" si="2"/>
        <v>-686.32000000000016</v>
      </c>
      <c r="Y20" s="2"/>
      <c r="Z20" s="19">
        <f t="shared" si="3"/>
        <v>-0.55622913087172177</v>
      </c>
    </row>
    <row r="21" spans="1:26" s="23" customFormat="1" hidden="1" outlineLevel="1" x14ac:dyDescent="0.25">
      <c r="A21" s="44"/>
      <c r="B21" s="10" t="str">
        <f>CONCATENATE("          ", "4018", " - ", "TAXABLE SALES-STUDY GUIDES")</f>
        <v xml:space="preserve">          4018 - TAXABLE SALES-STUDY GUIDES</v>
      </c>
      <c r="C21" s="10"/>
      <c r="D21" s="2">
        <f>--114.01</f>
        <v>114.01</v>
      </c>
      <c r="E21" s="2"/>
      <c r="F21" s="19"/>
      <c r="G21" s="2"/>
      <c r="H21" s="2">
        <f>0</f>
        <v>0</v>
      </c>
      <c r="I21" s="2"/>
      <c r="J21" s="19"/>
      <c r="K21" s="2"/>
      <c r="L21" s="2">
        <f t="shared" si="0"/>
        <v>114.01</v>
      </c>
      <c r="M21" s="2"/>
      <c r="N21" s="19">
        <f t="shared" si="1"/>
        <v>0</v>
      </c>
      <c r="O21" s="10"/>
      <c r="P21" s="2">
        <f>--622.49</f>
        <v>622.49</v>
      </c>
      <c r="Q21" s="2"/>
      <c r="R21" s="19"/>
      <c r="S21" s="2"/>
      <c r="T21" s="2">
        <f>--4179.3</f>
        <v>4179.3</v>
      </c>
      <c r="U21" s="2"/>
      <c r="V21" s="19"/>
      <c r="W21" s="2"/>
      <c r="X21" s="2">
        <f t="shared" si="2"/>
        <v>-3556.8100000000004</v>
      </c>
      <c r="Y21" s="2"/>
      <c r="Z21" s="19">
        <f t="shared" si="3"/>
        <v>-0.85105400425908651</v>
      </c>
    </row>
    <row r="22" spans="1:26" s="23" customFormat="1" hidden="1" outlineLevel="1" x14ac:dyDescent="0.25">
      <c r="A22" s="44"/>
      <c r="B22" s="10" t="str">
        <f>CONCATENATE("          ", "4101", " - ", "NON-TAXABLE SALES-NEW TEXT")</f>
        <v xml:space="preserve">          4101 - NON-TAXABLE SALES-NEW TEXT</v>
      </c>
      <c r="C22" s="10"/>
      <c r="D22" s="2">
        <f>--1301.39</f>
        <v>1301.3900000000001</v>
      </c>
      <c r="E22" s="2"/>
      <c r="F22" s="19"/>
      <c r="G22" s="2"/>
      <c r="H22" s="2">
        <f>--2671.34</f>
        <v>2671.34</v>
      </c>
      <c r="I22" s="2"/>
      <c r="J22" s="19"/>
      <c r="K22" s="2"/>
      <c r="L22" s="2">
        <f t="shared" si="0"/>
        <v>-1369.95</v>
      </c>
      <c r="M22" s="2"/>
      <c r="N22" s="19">
        <f t="shared" si="1"/>
        <v>-0.51283251102442973</v>
      </c>
      <c r="O22" s="10"/>
      <c r="P22" s="2">
        <f>--120548.46</f>
        <v>120548.46</v>
      </c>
      <c r="Q22" s="2"/>
      <c r="R22" s="19"/>
      <c r="S22" s="2"/>
      <c r="T22" s="2">
        <f>--153953.68</f>
        <v>153953.68</v>
      </c>
      <c r="U22" s="2"/>
      <c r="V22" s="19"/>
      <c r="W22" s="2"/>
      <c r="X22" s="2">
        <f t="shared" si="2"/>
        <v>-33405.219999999987</v>
      </c>
      <c r="Y22" s="2"/>
      <c r="Z22" s="19">
        <f t="shared" si="3"/>
        <v>-0.21698227674713583</v>
      </c>
    </row>
    <row r="23" spans="1:26" s="23" customFormat="1" hidden="1" outlineLevel="1" x14ac:dyDescent="0.25">
      <c r="A23" s="44"/>
      <c r="B23" s="10" t="str">
        <f>CONCATENATE("          ", "4102", " - ", "NON-TAXABLE SALES-USED TEXT")</f>
        <v xml:space="preserve">          4102 - NON-TAXABLE SALES-USED TEXT</v>
      </c>
      <c r="C23" s="10"/>
      <c r="D23" s="2">
        <f>--540.91</f>
        <v>540.91</v>
      </c>
      <c r="E23" s="2"/>
      <c r="F23" s="19"/>
      <c r="G23" s="2"/>
      <c r="H23" s="2">
        <f>--1718.15</f>
        <v>1718.15</v>
      </c>
      <c r="I23" s="2"/>
      <c r="J23" s="19"/>
      <c r="K23" s="2"/>
      <c r="L23" s="2">
        <f t="shared" si="0"/>
        <v>-1177.2400000000002</v>
      </c>
      <c r="M23" s="2"/>
      <c r="N23" s="19">
        <f t="shared" si="1"/>
        <v>-0.68517882606291658</v>
      </c>
      <c r="O23" s="10"/>
      <c r="P23" s="2">
        <f>--51587.64</f>
        <v>51587.64</v>
      </c>
      <c r="Q23" s="2"/>
      <c r="R23" s="19"/>
      <c r="S23" s="2"/>
      <c r="T23" s="2">
        <f>--71943.61</f>
        <v>71943.61</v>
      </c>
      <c r="U23" s="2"/>
      <c r="V23" s="19"/>
      <c r="W23" s="2"/>
      <c r="X23" s="2">
        <f t="shared" si="2"/>
        <v>-20355.97</v>
      </c>
      <c r="Y23" s="2"/>
      <c r="Z23" s="19">
        <f t="shared" si="3"/>
        <v>-0.28294340525864631</v>
      </c>
    </row>
    <row r="24" spans="1:26" s="23" customFormat="1" hidden="1" outlineLevel="1" x14ac:dyDescent="0.25">
      <c r="A24" s="44"/>
      <c r="B24" s="10" t="str">
        <f>CONCATENATE("          ", "4103", " - ", "NON-TAXABLE SALES-RENTAL TEXT")</f>
        <v xml:space="preserve">          4103 - NON-TAXABLE SALES-RENTAL TEXT</v>
      </c>
      <c r="C24" s="10"/>
      <c r="D24" s="2">
        <f>0</f>
        <v>0</v>
      </c>
      <c r="E24" s="2"/>
      <c r="F24" s="19"/>
      <c r="G24" s="2"/>
      <c r="H24" s="2">
        <f>0</f>
        <v>0</v>
      </c>
      <c r="I24" s="2"/>
      <c r="J24" s="19"/>
      <c r="K24" s="2"/>
      <c r="L24" s="2">
        <f t="shared" si="0"/>
        <v>0</v>
      </c>
      <c r="M24" s="2"/>
      <c r="N24" s="19">
        <f t="shared" si="1"/>
        <v>0</v>
      </c>
      <c r="O24" s="10"/>
      <c r="P24" s="2">
        <f>--1138.95</f>
        <v>1138.95</v>
      </c>
      <c r="Q24" s="2"/>
      <c r="R24" s="19"/>
      <c r="S24" s="2"/>
      <c r="T24" s="2">
        <f>--664.97</f>
        <v>664.97</v>
      </c>
      <c r="U24" s="2"/>
      <c r="V24" s="19"/>
      <c r="W24" s="2"/>
      <c r="X24" s="2">
        <f t="shared" si="2"/>
        <v>473.98</v>
      </c>
      <c r="Y24" s="2"/>
      <c r="Z24" s="19">
        <f t="shared" si="3"/>
        <v>0.71278403537001667</v>
      </c>
    </row>
    <row r="25" spans="1:26" s="23" customFormat="1" hidden="1" outlineLevel="1" x14ac:dyDescent="0.25">
      <c r="A25" s="44"/>
      <c r="B25" s="10" t="str">
        <f>CONCATENATE("          ", "4104", " - ", "NON-TAXABLE SALES-DIGITAL TEXT")</f>
        <v xml:space="preserve">          4104 - NON-TAXABLE SALES-DIGITAL TEXT</v>
      </c>
      <c r="C25" s="10"/>
      <c r="D25" s="2">
        <f>--695.53</f>
        <v>695.53</v>
      </c>
      <c r="E25" s="2"/>
      <c r="F25" s="19"/>
      <c r="G25" s="2"/>
      <c r="H25" s="2">
        <f>--1836.93</f>
        <v>1836.93</v>
      </c>
      <c r="I25" s="2"/>
      <c r="J25" s="19"/>
      <c r="K25" s="2"/>
      <c r="L25" s="2">
        <f t="shared" si="0"/>
        <v>-1141.4000000000001</v>
      </c>
      <c r="M25" s="2"/>
      <c r="N25" s="19">
        <f t="shared" si="1"/>
        <v>-0.62136281730931497</v>
      </c>
      <c r="O25" s="10"/>
      <c r="P25" s="2">
        <f>--491583.26</f>
        <v>491583.26</v>
      </c>
      <c r="Q25" s="2"/>
      <c r="R25" s="19"/>
      <c r="S25" s="2"/>
      <c r="T25" s="2">
        <f>--533640.31</f>
        <v>533640.31000000006</v>
      </c>
      <c r="U25" s="2"/>
      <c r="V25" s="19"/>
      <c r="W25" s="2"/>
      <c r="X25" s="2">
        <f t="shared" si="2"/>
        <v>-42057.050000000047</v>
      </c>
      <c r="Y25" s="2"/>
      <c r="Z25" s="19">
        <f t="shared" si="3"/>
        <v>-7.8811606267150322E-2</v>
      </c>
    </row>
    <row r="26" spans="1:26" s="23" customFormat="1" hidden="1" outlineLevel="1" x14ac:dyDescent="0.25">
      <c r="A26" s="44"/>
      <c r="B26" s="10" t="str">
        <f>CONCATENATE("          ", "4111", " - ", "NON-TAXABLE SALES-NO VALUE TEX")</f>
        <v xml:space="preserve">          4111 - NON-TAXABLE SALES-NO VALUE TEX</v>
      </c>
      <c r="C26" s="10"/>
      <c r="D26" s="2">
        <f t="shared" ref="D26:D28" si="6">0</f>
        <v>0</v>
      </c>
      <c r="E26" s="2"/>
      <c r="F26" s="19"/>
      <c r="G26" s="2"/>
      <c r="H26" s="2">
        <f>--679.21</f>
        <v>679.21</v>
      </c>
      <c r="I26" s="2"/>
      <c r="J26" s="19"/>
      <c r="K26" s="2"/>
      <c r="L26" s="2">
        <f t="shared" si="0"/>
        <v>-679.21</v>
      </c>
      <c r="M26" s="2"/>
      <c r="N26" s="19">
        <f t="shared" si="1"/>
        <v>-1</v>
      </c>
      <c r="O26" s="10"/>
      <c r="P26" s="2">
        <f>0</f>
        <v>0</v>
      </c>
      <c r="Q26" s="2"/>
      <c r="R26" s="19"/>
      <c r="S26" s="2"/>
      <c r="T26" s="2">
        <f>--16342.67</f>
        <v>16342.67</v>
      </c>
      <c r="U26" s="2"/>
      <c r="V26" s="19"/>
      <c r="W26" s="2"/>
      <c r="X26" s="2">
        <f t="shared" si="2"/>
        <v>-16342.67</v>
      </c>
      <c r="Y26" s="2"/>
      <c r="Z26" s="19">
        <f t="shared" si="3"/>
        <v>-1</v>
      </c>
    </row>
    <row r="27" spans="1:26" s="23" customFormat="1" hidden="1" outlineLevel="1" x14ac:dyDescent="0.25">
      <c r="A27" s="44"/>
      <c r="B27" s="10" t="str">
        <f>CONCATENATE("          ", "4113", " - ", "NON-TAXABLE SALES-TRADE BOOKS")</f>
        <v xml:space="preserve">          4113 - NON-TAXABLE SALES-TRADE BOOKS</v>
      </c>
      <c r="C27" s="10"/>
      <c r="D27" s="2">
        <f t="shared" si="6"/>
        <v>0</v>
      </c>
      <c r="E27" s="2"/>
      <c r="F27" s="19"/>
      <c r="G27" s="2"/>
      <c r="H27" s="2">
        <f t="shared" ref="H27:H28" si="7">0</f>
        <v>0</v>
      </c>
      <c r="I27" s="2"/>
      <c r="J27" s="19"/>
      <c r="K27" s="2"/>
      <c r="L27" s="2">
        <f t="shared" si="0"/>
        <v>0</v>
      </c>
      <c r="M27" s="2"/>
      <c r="N27" s="19">
        <f t="shared" si="1"/>
        <v>0</v>
      </c>
      <c r="O27" s="10"/>
      <c r="P27" s="2">
        <f>--12127.25</f>
        <v>12127.25</v>
      </c>
      <c r="Q27" s="2"/>
      <c r="R27" s="19"/>
      <c r="S27" s="2"/>
      <c r="T27" s="2">
        <f>--8266.16</f>
        <v>8266.16</v>
      </c>
      <c r="U27" s="2"/>
      <c r="V27" s="19"/>
      <c r="W27" s="2"/>
      <c r="X27" s="2">
        <f t="shared" si="2"/>
        <v>3861.09</v>
      </c>
      <c r="Y27" s="2"/>
      <c r="Z27" s="19">
        <f t="shared" si="3"/>
        <v>0.46709596717218155</v>
      </c>
    </row>
    <row r="28" spans="1:26" s="23" customFormat="1" hidden="1" outlineLevel="1" x14ac:dyDescent="0.25">
      <c r="A28" s="44"/>
      <c r="B28" s="10" t="str">
        <f>CONCATENATE("          ", "4114", " - ", "NON-TAXABLE SALES-REMAINDERS")</f>
        <v xml:space="preserve">          4114 - NON-TAXABLE SALES-REMAINDERS</v>
      </c>
      <c r="C28" s="10"/>
      <c r="D28" s="2">
        <f t="shared" si="6"/>
        <v>0</v>
      </c>
      <c r="E28" s="2"/>
      <c r="F28" s="19"/>
      <c r="G28" s="2"/>
      <c r="H28" s="2">
        <f t="shared" si="7"/>
        <v>0</v>
      </c>
      <c r="I28" s="2"/>
      <c r="J28" s="19"/>
      <c r="K28" s="2"/>
      <c r="L28" s="2">
        <f t="shared" si="0"/>
        <v>0</v>
      </c>
      <c r="M28" s="2"/>
      <c r="N28" s="19">
        <f t="shared" si="1"/>
        <v>0</v>
      </c>
      <c r="O28" s="10"/>
      <c r="P28" s="2">
        <f>0</f>
        <v>0</v>
      </c>
      <c r="Q28" s="2"/>
      <c r="R28" s="19"/>
      <c r="S28" s="2"/>
      <c r="T28" s="2">
        <f>--3.19</f>
        <v>3.19</v>
      </c>
      <c r="U28" s="2"/>
      <c r="V28" s="19"/>
      <c r="W28" s="2"/>
      <c r="X28" s="2">
        <f t="shared" si="2"/>
        <v>-3.19</v>
      </c>
      <c r="Y28" s="2"/>
      <c r="Z28" s="19">
        <f t="shared" si="3"/>
        <v>-1</v>
      </c>
    </row>
    <row r="29" spans="1:26" s="23" customFormat="1" hidden="1" outlineLevel="1" x14ac:dyDescent="0.25">
      <c r="A29" s="44"/>
      <c r="B29" s="10" t="str">
        <f>CONCATENATE("          ", "4118", " - ", "NON-TAXABLE SALES-STUDY GUIDES")</f>
        <v xml:space="preserve">          4118 - NON-TAXABLE SALES-STUDY GUIDES</v>
      </c>
      <c r="C29" s="10"/>
      <c r="D29" s="2">
        <f>--594.22</f>
        <v>594.22</v>
      </c>
      <c r="E29" s="2"/>
      <c r="F29" s="19"/>
      <c r="G29" s="2"/>
      <c r="H29" s="2">
        <f>--10.09</f>
        <v>10.09</v>
      </c>
      <c r="I29" s="2"/>
      <c r="J29" s="19"/>
      <c r="K29" s="2"/>
      <c r="L29" s="2">
        <f t="shared" si="0"/>
        <v>584.13</v>
      </c>
      <c r="M29" s="2"/>
      <c r="N29" s="19">
        <f t="shared" si="1"/>
        <v>57.891972249752229</v>
      </c>
      <c r="O29" s="10"/>
      <c r="P29" s="2">
        <f>--1365.95</f>
        <v>1365.95</v>
      </c>
      <c r="Q29" s="2"/>
      <c r="R29" s="19"/>
      <c r="S29" s="2"/>
      <c r="T29" s="2">
        <f>--126.03</f>
        <v>126.03</v>
      </c>
      <c r="U29" s="2"/>
      <c r="V29" s="19"/>
      <c r="W29" s="2"/>
      <c r="X29" s="2">
        <f t="shared" si="2"/>
        <v>1239.92</v>
      </c>
      <c r="Y29" s="2"/>
      <c r="Z29" s="19">
        <f t="shared" si="3"/>
        <v>9.8382924700468148</v>
      </c>
    </row>
    <row r="30" spans="1:26" s="23" customFormat="1" hidden="1" outlineLevel="1" x14ac:dyDescent="0.25">
      <c r="A30" s="44"/>
      <c r="B30" s="10" t="str">
        <f>CONCATENATE("          ", "4201", " - ", "SALES RETURN TAXABLE-NEW TEXT")</f>
        <v xml:space="preserve">          4201 - SALES RETURN TAXABLE-NEW TEXT</v>
      </c>
      <c r="C30" s="10"/>
      <c r="D30" s="2">
        <f>-1101.25</f>
        <v>-1101.25</v>
      </c>
      <c r="E30" s="2"/>
      <c r="F30" s="19"/>
      <c r="G30" s="2"/>
      <c r="H30" s="2">
        <f>0</f>
        <v>0</v>
      </c>
      <c r="I30" s="2"/>
      <c r="J30" s="19"/>
      <c r="K30" s="2"/>
      <c r="L30" s="2">
        <f t="shared" si="0"/>
        <v>-1101.25</v>
      </c>
      <c r="M30" s="2"/>
      <c r="N30" s="19">
        <f t="shared" si="1"/>
        <v>0</v>
      </c>
      <c r="O30" s="10"/>
      <c r="P30" s="2">
        <f>-53397.67</f>
        <v>-53397.67</v>
      </c>
      <c r="Q30" s="2"/>
      <c r="R30" s="19"/>
      <c r="S30" s="2"/>
      <c r="T30" s="2">
        <f>-121451.61</f>
        <v>-121451.61</v>
      </c>
      <c r="U30" s="2"/>
      <c r="V30" s="19"/>
      <c r="W30" s="2"/>
      <c r="X30" s="2">
        <f t="shared" si="2"/>
        <v>68053.94</v>
      </c>
      <c r="Y30" s="2"/>
      <c r="Z30" s="19">
        <f t="shared" si="3"/>
        <v>-0.56033789918470411</v>
      </c>
    </row>
    <row r="31" spans="1:26" s="23" customFormat="1" hidden="1" outlineLevel="1" x14ac:dyDescent="0.25">
      <c r="A31" s="44"/>
      <c r="B31" s="10" t="str">
        <f>CONCATENATE("          ", "4202", " - ", "SALES RETURN TAXABLE-USED TEXT")</f>
        <v xml:space="preserve">          4202 - SALES RETURN TAXABLE-USED TEXT</v>
      </c>
      <c r="C31" s="10"/>
      <c r="D31" s="2">
        <f>-433.75</f>
        <v>-433.75</v>
      </c>
      <c r="E31" s="2"/>
      <c r="F31" s="19"/>
      <c r="G31" s="2"/>
      <c r="H31" s="2">
        <f>-186.35</f>
        <v>-186.35</v>
      </c>
      <c r="I31" s="2"/>
      <c r="J31" s="19"/>
      <c r="K31" s="2"/>
      <c r="L31" s="2">
        <f t="shared" si="0"/>
        <v>-247.4</v>
      </c>
      <c r="M31" s="2"/>
      <c r="N31" s="19">
        <f t="shared" si="1"/>
        <v>1.3276093372685807</v>
      </c>
      <c r="O31" s="10"/>
      <c r="P31" s="2">
        <f>-20889.41</f>
        <v>-20889.41</v>
      </c>
      <c r="Q31" s="2"/>
      <c r="R31" s="19"/>
      <c r="S31" s="2"/>
      <c r="T31" s="2">
        <f>-45799.46</f>
        <v>-45799.46</v>
      </c>
      <c r="U31" s="2"/>
      <c r="V31" s="19"/>
      <c r="W31" s="2"/>
      <c r="X31" s="2">
        <f t="shared" si="2"/>
        <v>24910.05</v>
      </c>
      <c r="Y31" s="2"/>
      <c r="Z31" s="19">
        <f t="shared" si="3"/>
        <v>-0.54389396730878481</v>
      </c>
    </row>
    <row r="32" spans="1:26" s="23" customFormat="1" hidden="1" outlineLevel="1" x14ac:dyDescent="0.25">
      <c r="A32" s="44"/>
      <c r="B32" s="10" t="str">
        <f>CONCATENATE("          ", "4203", " - ", "SALES RETURN TAXABLE-RENTAL TE")</f>
        <v xml:space="preserve">          4203 - SALES RETURN TAXABLE-RENTAL TE</v>
      </c>
      <c r="C32" s="10"/>
      <c r="D32" s="2">
        <f t="shared" ref="D32:D33" si="8">0</f>
        <v>0</v>
      </c>
      <c r="E32" s="2"/>
      <c r="F32" s="19"/>
      <c r="G32" s="2"/>
      <c r="H32" s="2">
        <f t="shared" ref="H32:H33" si="9">0</f>
        <v>0</v>
      </c>
      <c r="I32" s="2"/>
      <c r="J32" s="19"/>
      <c r="K32" s="2"/>
      <c r="L32" s="2">
        <f t="shared" si="0"/>
        <v>0</v>
      </c>
      <c r="M32" s="2"/>
      <c r="N32" s="19">
        <f t="shared" si="1"/>
        <v>0</v>
      </c>
      <c r="O32" s="10"/>
      <c r="P32" s="2">
        <f>0</f>
        <v>0</v>
      </c>
      <c r="Q32" s="2"/>
      <c r="R32" s="19"/>
      <c r="S32" s="2"/>
      <c r="T32" s="2">
        <f>-144.99</f>
        <v>-144.99</v>
      </c>
      <c r="U32" s="2"/>
      <c r="V32" s="19"/>
      <c r="W32" s="2"/>
      <c r="X32" s="2">
        <f t="shared" si="2"/>
        <v>144.99</v>
      </c>
      <c r="Y32" s="2"/>
      <c r="Z32" s="19">
        <f t="shared" si="3"/>
        <v>-1</v>
      </c>
    </row>
    <row r="33" spans="1:26" s="23" customFormat="1" hidden="1" outlineLevel="1" x14ac:dyDescent="0.25">
      <c r="A33" s="44"/>
      <c r="B33" s="10" t="str">
        <f>CONCATENATE("          ", "4204", " - ", "SALES RETURN TAXABLE-DIGITAL T")</f>
        <v xml:space="preserve">          4204 - SALES RETURN TAXABLE-DIGITAL T</v>
      </c>
      <c r="C33" s="10"/>
      <c r="D33" s="2">
        <f t="shared" si="8"/>
        <v>0</v>
      </c>
      <c r="E33" s="2"/>
      <c r="F33" s="19"/>
      <c r="G33" s="2"/>
      <c r="H33" s="2">
        <f t="shared" si="9"/>
        <v>0</v>
      </c>
      <c r="I33" s="2"/>
      <c r="J33" s="19"/>
      <c r="K33" s="2"/>
      <c r="L33" s="2">
        <f t="shared" si="0"/>
        <v>0</v>
      </c>
      <c r="M33" s="2"/>
      <c r="N33" s="19">
        <f t="shared" si="1"/>
        <v>0</v>
      </c>
      <c r="O33" s="10"/>
      <c r="P33" s="2">
        <f>-1763.1</f>
        <v>-1763.1</v>
      </c>
      <c r="Q33" s="2"/>
      <c r="R33" s="19"/>
      <c r="S33" s="2"/>
      <c r="T33" s="2">
        <f>-17255.33</f>
        <v>-17255.330000000002</v>
      </c>
      <c r="U33" s="2"/>
      <c r="V33" s="19"/>
      <c r="W33" s="2"/>
      <c r="X33" s="2">
        <f t="shared" si="2"/>
        <v>15492.230000000001</v>
      </c>
      <c r="Y33" s="2"/>
      <c r="Z33" s="19">
        <f t="shared" si="3"/>
        <v>-0.89782287559843832</v>
      </c>
    </row>
    <row r="34" spans="1:26" s="23" customFormat="1" hidden="1" outlineLevel="1" x14ac:dyDescent="0.25">
      <c r="A34" s="44"/>
      <c r="B34" s="10" t="str">
        <f>CONCATENATE("          ", "4213", " - ", "NON-TAXABLE SALES-TRADE BOOKS")</f>
        <v xml:space="preserve">          4213 - NON-TAXABLE SALES-TRADE BOOKS</v>
      </c>
      <c r="C34" s="10"/>
      <c r="D34" s="2">
        <f>-25</f>
        <v>-25</v>
      </c>
      <c r="E34" s="2"/>
      <c r="F34" s="19"/>
      <c r="G34" s="2"/>
      <c r="H34" s="2">
        <f>-100.7</f>
        <v>-100.7</v>
      </c>
      <c r="I34" s="2"/>
      <c r="J34" s="19"/>
      <c r="K34" s="2"/>
      <c r="L34" s="2">
        <f t="shared" si="0"/>
        <v>75.7</v>
      </c>
      <c r="M34" s="2"/>
      <c r="N34" s="19">
        <f t="shared" si="1"/>
        <v>-0.75173783515392256</v>
      </c>
      <c r="O34" s="10"/>
      <c r="P34" s="2">
        <f>-103.92</f>
        <v>-103.92</v>
      </c>
      <c r="Q34" s="2"/>
      <c r="R34" s="19"/>
      <c r="S34" s="2"/>
      <c r="T34" s="2">
        <f>-2869.37</f>
        <v>-2869.37</v>
      </c>
      <c r="U34" s="2"/>
      <c r="V34" s="19"/>
      <c r="W34" s="2"/>
      <c r="X34" s="2">
        <f t="shared" si="2"/>
        <v>2765.45</v>
      </c>
      <c r="Y34" s="2"/>
      <c r="Z34" s="19">
        <f t="shared" si="3"/>
        <v>-0.96378299069133644</v>
      </c>
    </row>
    <row r="35" spans="1:26" s="23" customFormat="1" hidden="1" outlineLevel="1" x14ac:dyDescent="0.25">
      <c r="A35" s="44"/>
      <c r="B35" s="10" t="str">
        <f>CONCATENATE("          ", "4214", " - ", "SALES RETURN TAXABLE-REMAINDER")</f>
        <v xml:space="preserve">          4214 - SALES RETURN TAXABLE-REMAINDER</v>
      </c>
      <c r="C35" s="10"/>
      <c r="D35" s="2">
        <f>0</f>
        <v>0</v>
      </c>
      <c r="E35" s="2"/>
      <c r="F35" s="19"/>
      <c r="G35" s="2"/>
      <c r="H35" s="2">
        <f t="shared" ref="H35:H36" si="10">0</f>
        <v>0</v>
      </c>
      <c r="I35" s="2"/>
      <c r="J35" s="19"/>
      <c r="K35" s="2"/>
      <c r="L35" s="2">
        <f t="shared" si="0"/>
        <v>0</v>
      </c>
      <c r="M35" s="2"/>
      <c r="N35" s="19">
        <f t="shared" si="1"/>
        <v>0</v>
      </c>
      <c r="O35" s="10"/>
      <c r="P35" s="2">
        <f>0</f>
        <v>0</v>
      </c>
      <c r="Q35" s="2"/>
      <c r="R35" s="19"/>
      <c r="S35" s="2"/>
      <c r="T35" s="2">
        <f>-11.94</f>
        <v>-11.94</v>
      </c>
      <c r="U35" s="2"/>
      <c r="V35" s="19"/>
      <c r="W35" s="2"/>
      <c r="X35" s="2">
        <f t="shared" si="2"/>
        <v>11.94</v>
      </c>
      <c r="Y35" s="2"/>
      <c r="Z35" s="19">
        <f t="shared" si="3"/>
        <v>-1</v>
      </c>
    </row>
    <row r="36" spans="1:26" s="23" customFormat="1" hidden="1" outlineLevel="1" x14ac:dyDescent="0.25">
      <c r="A36" s="44"/>
      <c r="B36" s="10" t="str">
        <f>CONCATENATE("          ", "4218", " - ", "SALES RETURN TAXABLE-STUDY GUI")</f>
        <v xml:space="preserve">          4218 - SALES RETURN TAXABLE-STUDY GUI</v>
      </c>
      <c r="C36" s="10"/>
      <c r="D36" s="2">
        <f>-23.44</f>
        <v>-23.44</v>
      </c>
      <c r="E36" s="2"/>
      <c r="F36" s="19"/>
      <c r="G36" s="2"/>
      <c r="H36" s="2">
        <f t="shared" si="10"/>
        <v>0</v>
      </c>
      <c r="I36" s="2"/>
      <c r="J36" s="19"/>
      <c r="K36" s="2"/>
      <c r="L36" s="2">
        <f t="shared" si="0"/>
        <v>-23.44</v>
      </c>
      <c r="M36" s="2"/>
      <c r="N36" s="19">
        <f t="shared" si="1"/>
        <v>0</v>
      </c>
      <c r="O36" s="10"/>
      <c r="P36" s="2">
        <f>-28.65</f>
        <v>-28.65</v>
      </c>
      <c r="Q36" s="2"/>
      <c r="R36" s="19"/>
      <c r="S36" s="2"/>
      <c r="T36" s="2">
        <f>-39.25</f>
        <v>-39.25</v>
      </c>
      <c r="U36" s="2"/>
      <c r="V36" s="19"/>
      <c r="W36" s="2"/>
      <c r="X36" s="2">
        <f t="shared" si="2"/>
        <v>10.600000000000001</v>
      </c>
      <c r="Y36" s="2"/>
      <c r="Z36" s="19">
        <f t="shared" si="3"/>
        <v>-0.27006369426751597</v>
      </c>
    </row>
    <row r="37" spans="1:26" s="23" customFormat="1" hidden="1" outlineLevel="1" x14ac:dyDescent="0.25">
      <c r="A37" s="44"/>
      <c r="B37" s="10" t="str">
        <f>CONCATENATE("          ", "4301", " - ", "SALES RETURN NON TAXABLE-NEW T")</f>
        <v xml:space="preserve">          4301 - SALES RETURN NON TAXABLE-NEW T</v>
      </c>
      <c r="C37" s="10"/>
      <c r="D37" s="2">
        <f>-169.32</f>
        <v>-169.32</v>
      </c>
      <c r="E37" s="2"/>
      <c r="F37" s="19"/>
      <c r="G37" s="2"/>
      <c r="H37" s="2">
        <f>-253.49</f>
        <v>-253.49</v>
      </c>
      <c r="I37" s="2"/>
      <c r="J37" s="19"/>
      <c r="K37" s="2"/>
      <c r="L37" s="2">
        <f t="shared" si="0"/>
        <v>84.170000000000016</v>
      </c>
      <c r="M37" s="2"/>
      <c r="N37" s="19">
        <f t="shared" si="1"/>
        <v>-0.33204465659394855</v>
      </c>
      <c r="O37" s="10"/>
      <c r="P37" s="2">
        <f>-4965.68</f>
        <v>-4965.68</v>
      </c>
      <c r="Q37" s="2"/>
      <c r="R37" s="19"/>
      <c r="S37" s="2"/>
      <c r="T37" s="2">
        <f>-21543.36</f>
        <v>-21543.360000000001</v>
      </c>
      <c r="U37" s="2"/>
      <c r="V37" s="19"/>
      <c r="W37" s="2"/>
      <c r="X37" s="2">
        <f t="shared" si="2"/>
        <v>16577.68</v>
      </c>
      <c r="Y37" s="2"/>
      <c r="Z37" s="19">
        <f t="shared" si="3"/>
        <v>-0.76950299303358438</v>
      </c>
    </row>
    <row r="38" spans="1:26" s="23" customFormat="1" hidden="1" outlineLevel="1" x14ac:dyDescent="0.25">
      <c r="A38" s="44"/>
      <c r="B38" s="10" t="str">
        <f>CONCATENATE("          ", "4302", " - ", "SALES RETURN NON TAXABLE-TEXT")</f>
        <v xml:space="preserve">          4302 - SALES RETURN NON TAXABLE-TEXT</v>
      </c>
      <c r="C38" s="10"/>
      <c r="D38" s="2">
        <f>-111.43</f>
        <v>-111.43</v>
      </c>
      <c r="E38" s="2"/>
      <c r="F38" s="19"/>
      <c r="G38" s="2"/>
      <c r="H38" s="2">
        <f>-95.75</f>
        <v>-95.75</v>
      </c>
      <c r="I38" s="2"/>
      <c r="J38" s="19"/>
      <c r="K38" s="2"/>
      <c r="L38" s="2">
        <f t="shared" si="0"/>
        <v>-15.680000000000007</v>
      </c>
      <c r="M38" s="2"/>
      <c r="N38" s="19">
        <f t="shared" si="1"/>
        <v>0.16375979112271546</v>
      </c>
      <c r="O38" s="10"/>
      <c r="P38" s="2">
        <f>-2688.97</f>
        <v>-2688.97</v>
      </c>
      <c r="Q38" s="2"/>
      <c r="R38" s="19"/>
      <c r="S38" s="2"/>
      <c r="T38" s="2">
        <f>-1475.62</f>
        <v>-1475.62</v>
      </c>
      <c r="U38" s="2"/>
      <c r="V38" s="19"/>
      <c r="W38" s="2"/>
      <c r="X38" s="2">
        <f t="shared" si="2"/>
        <v>-1213.3499999999999</v>
      </c>
      <c r="Y38" s="2"/>
      <c r="Z38" s="19">
        <f t="shared" si="3"/>
        <v>0.82226453965112967</v>
      </c>
    </row>
    <row r="39" spans="1:26" s="23" customFormat="1" hidden="1" outlineLevel="1" x14ac:dyDescent="0.25">
      <c r="A39" s="44"/>
      <c r="B39" s="10" t="str">
        <f>CONCATENATE("          ", "4303", " - ", "SALES RETURN NON-TAXABLE-RENTA")</f>
        <v xml:space="preserve">          4303 - SALES RETURN NON-TAXABLE-RENTA</v>
      </c>
      <c r="C39" s="10"/>
      <c r="D39" s="2">
        <f>0</f>
        <v>0</v>
      </c>
      <c r="E39" s="2"/>
      <c r="F39" s="19"/>
      <c r="G39" s="2"/>
      <c r="H39" s="2">
        <f>0</f>
        <v>0</v>
      </c>
      <c r="I39" s="2"/>
      <c r="J39" s="19"/>
      <c r="K39" s="2"/>
      <c r="L39" s="2">
        <f t="shared" si="0"/>
        <v>0</v>
      </c>
      <c r="M39" s="2"/>
      <c r="N39" s="19">
        <f t="shared" si="1"/>
        <v>0</v>
      </c>
      <c r="O39" s="10"/>
      <c r="P39" s="2">
        <f>0</f>
        <v>0</v>
      </c>
      <c r="Q39" s="2"/>
      <c r="R39" s="19"/>
      <c r="S39" s="2"/>
      <c r="T39" s="2">
        <f>-184.99</f>
        <v>-184.99</v>
      </c>
      <c r="U39" s="2"/>
      <c r="V39" s="19"/>
      <c r="W39" s="2"/>
      <c r="X39" s="2">
        <f t="shared" si="2"/>
        <v>184.99</v>
      </c>
      <c r="Y39" s="2"/>
      <c r="Z39" s="19">
        <f t="shared" si="3"/>
        <v>-1</v>
      </c>
    </row>
    <row r="40" spans="1:26" s="23" customFormat="1" hidden="1" outlineLevel="1" x14ac:dyDescent="0.25">
      <c r="A40" s="44"/>
      <c r="B40" s="10" t="str">
        <f>CONCATENATE("          ", "4304", " - ", "SALES RETURN NON TAXABLE-DIGIT")</f>
        <v xml:space="preserve">          4304 - SALES RETURN NON TAXABLE-DIGIT</v>
      </c>
      <c r="C40" s="10"/>
      <c r="D40" s="2">
        <f>-144.89</f>
        <v>-144.88999999999999</v>
      </c>
      <c r="E40" s="2"/>
      <c r="F40" s="19"/>
      <c r="G40" s="2"/>
      <c r="H40" s="2">
        <f>-398.87</f>
        <v>-398.87</v>
      </c>
      <c r="I40" s="2"/>
      <c r="J40" s="19"/>
      <c r="K40" s="2"/>
      <c r="L40" s="2">
        <f t="shared" si="0"/>
        <v>253.98000000000002</v>
      </c>
      <c r="M40" s="2"/>
      <c r="N40" s="19">
        <f t="shared" si="1"/>
        <v>-0.63674881540351502</v>
      </c>
      <c r="O40" s="10"/>
      <c r="P40" s="2">
        <f>-31026.87</f>
        <v>-31026.87</v>
      </c>
      <c r="Q40" s="2"/>
      <c r="R40" s="19"/>
      <c r="S40" s="2"/>
      <c r="T40" s="2">
        <f>-19873.2</f>
        <v>-19873.2</v>
      </c>
      <c r="U40" s="2"/>
      <c r="V40" s="19"/>
      <c r="W40" s="2"/>
      <c r="X40" s="2">
        <f t="shared" si="2"/>
        <v>-11153.669999999998</v>
      </c>
      <c r="Y40" s="2"/>
      <c r="Z40" s="19">
        <f t="shared" si="3"/>
        <v>0.56124177283980425</v>
      </c>
    </row>
    <row r="41" spans="1:26" s="23" customFormat="1" hidden="1" outlineLevel="1" x14ac:dyDescent="0.25">
      <c r="A41" s="44"/>
      <c r="B41" s="10" t="str">
        <f>CONCATENATE("          ", "4311", " - ", "SALES RETURN NON TAXABLE-NO VA")</f>
        <v xml:space="preserve">          4311 - SALES RETURN NON TAXABLE-NO VA</v>
      </c>
      <c r="C41" s="10"/>
      <c r="D41" s="2">
        <f t="shared" ref="D41:D42" si="11">0</f>
        <v>0</v>
      </c>
      <c r="E41" s="2"/>
      <c r="F41" s="19"/>
      <c r="G41" s="2"/>
      <c r="H41" s="2">
        <f>-70.37</f>
        <v>-70.37</v>
      </c>
      <c r="I41" s="2"/>
      <c r="J41" s="19"/>
      <c r="K41" s="2"/>
      <c r="L41" s="2">
        <f t="shared" si="0"/>
        <v>70.37</v>
      </c>
      <c r="M41" s="2"/>
      <c r="N41" s="19">
        <f t="shared" si="1"/>
        <v>-1</v>
      </c>
      <c r="O41" s="10"/>
      <c r="P41" s="2">
        <f t="shared" ref="P41:P42" si="12">0</f>
        <v>0</v>
      </c>
      <c r="Q41" s="2"/>
      <c r="R41" s="19"/>
      <c r="S41" s="2"/>
      <c r="T41" s="2">
        <f>-1011.65</f>
        <v>-1011.65</v>
      </c>
      <c r="U41" s="2"/>
      <c r="V41" s="19"/>
      <c r="W41" s="2"/>
      <c r="X41" s="2">
        <f t="shared" si="2"/>
        <v>1011.65</v>
      </c>
      <c r="Y41" s="2"/>
      <c r="Z41" s="19">
        <f t="shared" si="3"/>
        <v>-1</v>
      </c>
    </row>
    <row r="42" spans="1:26" s="23" customFormat="1" hidden="1" outlineLevel="1" x14ac:dyDescent="0.25">
      <c r="A42" s="44"/>
      <c r="B42" s="10" t="str">
        <f>CONCATENATE("          ", "4313", " - ", "SALES RETURN NON TAXABLE-TRADE")</f>
        <v xml:space="preserve">          4313 - SALES RETURN NON TAXABLE-TRADE</v>
      </c>
      <c r="C42" s="10"/>
      <c r="D42" s="2">
        <f t="shared" si="11"/>
        <v>0</v>
      </c>
      <c r="E42" s="2"/>
      <c r="F42" s="19"/>
      <c r="G42" s="2"/>
      <c r="H42" s="2">
        <f>0</f>
        <v>0</v>
      </c>
      <c r="I42" s="2"/>
      <c r="J42" s="19"/>
      <c r="K42" s="2"/>
      <c r="L42" s="2">
        <f t="shared" si="0"/>
        <v>0</v>
      </c>
      <c r="M42" s="2"/>
      <c r="N42" s="19">
        <f t="shared" si="1"/>
        <v>0</v>
      </c>
      <c r="O42" s="10"/>
      <c r="P42" s="2">
        <f t="shared" si="12"/>
        <v>0</v>
      </c>
      <c r="Q42" s="2"/>
      <c r="R42" s="19"/>
      <c r="S42" s="2"/>
      <c r="T42" s="2">
        <f>-2481.44</f>
        <v>-2481.44</v>
      </c>
      <c r="U42" s="2"/>
      <c r="V42" s="19"/>
      <c r="W42" s="2"/>
      <c r="X42" s="2">
        <f t="shared" si="2"/>
        <v>2481.44</v>
      </c>
      <c r="Y42" s="2"/>
      <c r="Z42" s="19">
        <f t="shared" si="3"/>
        <v>-1</v>
      </c>
    </row>
    <row r="43" spans="1:26" x14ac:dyDescent="0.25">
      <c r="A43" s="9"/>
      <c r="B43" s="11"/>
      <c r="C43" s="9"/>
      <c r="D43" s="3"/>
      <c r="E43" s="3"/>
      <c r="F43" s="8"/>
      <c r="G43" s="3"/>
      <c r="H43" s="3"/>
      <c r="I43" s="3"/>
      <c r="J43" s="8"/>
      <c r="K43" s="3"/>
      <c r="L43" s="3"/>
      <c r="M43" s="3"/>
      <c r="N43" s="8"/>
      <c r="P43" s="3"/>
      <c r="Q43" s="3"/>
      <c r="R43" s="8"/>
      <c r="S43" s="3"/>
      <c r="T43" s="3"/>
      <c r="U43" s="3"/>
      <c r="V43" s="8"/>
      <c r="W43" s="3"/>
      <c r="X43" s="3"/>
      <c r="Y43" s="3"/>
      <c r="Z43" s="8"/>
    </row>
    <row r="44" spans="1:26" s="24" customFormat="1" collapsed="1" x14ac:dyDescent="0.25">
      <c r="A44" s="11"/>
      <c r="B44" s="29" t="s">
        <v>256</v>
      </c>
      <c r="C44" s="11"/>
      <c r="D44" s="4">
        <f>SUM(OSRRefD16x_0)</f>
        <v>72505.529999999955</v>
      </c>
      <c r="E44" s="4"/>
      <c r="F44" s="13">
        <f t="shared" ref="F44:F61" si="13">IF(D$12=0,0,D44/D$12)</f>
        <v>6.8777448408990622</v>
      </c>
      <c r="G44" s="4"/>
      <c r="H44" s="4">
        <f>SUM(OSRRefH16x_0)</f>
        <v>91239.349999999991</v>
      </c>
      <c r="I44" s="4"/>
      <c r="J44" s="13">
        <f t="shared" ref="J44:J61" si="14">IF(H$12=0,0,H44/H$12)</f>
        <v>5.4810226349104694</v>
      </c>
      <c r="K44" s="4"/>
      <c r="L44" s="4">
        <f t="shared" ref="L44:L61" si="15">+D44-H44</f>
        <v>-18733.820000000036</v>
      </c>
      <c r="M44" s="4"/>
      <c r="N44" s="13">
        <f t="shared" ref="N44:N61" si="16">IF(H44=0,0,L44/H44)</f>
        <v>-0.20532610107371477</v>
      </c>
      <c r="O44" s="11"/>
      <c r="P44" s="4">
        <f>SUM(OSRRefP16x_0)</f>
        <v>1479413.5299999998</v>
      </c>
      <c r="Q44" s="4"/>
      <c r="R44" s="13">
        <f t="shared" ref="R44:R61" si="17">IF(P$12=0,0,P44/P$12)</f>
        <v>0.74843080754444735</v>
      </c>
      <c r="S44" s="4"/>
      <c r="T44" s="4">
        <f>SUM(OSRRefT16x_0)</f>
        <v>2452116.4700000002</v>
      </c>
      <c r="U44" s="4"/>
      <c r="V44" s="13">
        <f t="shared" ref="V44:V61" si="18">IF(T$12=0,0,T44/T$12)</f>
        <v>0.73240060791500439</v>
      </c>
      <c r="W44" s="4"/>
      <c r="X44" s="4">
        <f t="shared" ref="X44:X61" si="19">+P44-T44</f>
        <v>-972702.94000000041</v>
      </c>
      <c r="Y44" s="4"/>
      <c r="Z44" s="13">
        <f t="shared" ref="Z44:Z61" si="20">IF(T44=0,0,X44/T44)</f>
        <v>-0.39667893099710727</v>
      </c>
    </row>
    <row r="45" spans="1:26" s="23" customFormat="1" hidden="1" outlineLevel="1" x14ac:dyDescent="0.25">
      <c r="A45" s="44"/>
      <c r="B45" s="10" t="str">
        <f>CONCATENATE("          ", "5000", " - ", "PURCHASES @ COST")</f>
        <v xml:space="preserve">          5000 - PURCHASES @ COST</v>
      </c>
      <c r="C45" s="10"/>
      <c r="D45" s="2"/>
      <c r="E45" s="2"/>
      <c r="F45" s="19">
        <f t="shared" si="13"/>
        <v>0</v>
      </c>
      <c r="G45" s="2"/>
      <c r="H45" s="2">
        <v>0</v>
      </c>
      <c r="I45" s="2"/>
      <c r="J45" s="19">
        <f t="shared" si="14"/>
        <v>0</v>
      </c>
      <c r="K45" s="2"/>
      <c r="L45" s="2">
        <f t="shared" si="15"/>
        <v>0</v>
      </c>
      <c r="M45" s="2"/>
      <c r="N45" s="19">
        <f t="shared" si="16"/>
        <v>0</v>
      </c>
      <c r="O45" s="10"/>
      <c r="P45" s="2">
        <v>0</v>
      </c>
      <c r="Q45" s="2"/>
      <c r="R45" s="19">
        <f t="shared" si="17"/>
        <v>0</v>
      </c>
      <c r="S45" s="2"/>
      <c r="T45" s="2">
        <v>0</v>
      </c>
      <c r="U45" s="2"/>
      <c r="V45" s="19">
        <f t="shared" si="18"/>
        <v>0</v>
      </c>
      <c r="W45" s="2"/>
      <c r="X45" s="2">
        <f t="shared" si="19"/>
        <v>0</v>
      </c>
      <c r="Y45" s="2"/>
      <c r="Z45" s="19">
        <f t="shared" si="20"/>
        <v>0</v>
      </c>
    </row>
    <row r="46" spans="1:26" s="23" customFormat="1" hidden="1" outlineLevel="1" x14ac:dyDescent="0.25">
      <c r="A46" s="44"/>
      <c r="B46" s="10" t="str">
        <f>CONCATENATE("          ", "5001", " - ", "PURCHASES @ COST-NEW TEXT")</f>
        <v xml:space="preserve">          5001 - PURCHASES @ COST-NEW TEXT</v>
      </c>
      <c r="C46" s="10"/>
      <c r="D46" s="2">
        <v>142777.26</v>
      </c>
      <c r="E46" s="2"/>
      <c r="F46" s="19">
        <f t="shared" si="13"/>
        <v>13.543595410759769</v>
      </c>
      <c r="G46" s="2"/>
      <c r="H46" s="2">
        <v>20029.05</v>
      </c>
      <c r="I46" s="2"/>
      <c r="J46" s="19">
        <f t="shared" si="14"/>
        <v>1.203205375813764</v>
      </c>
      <c r="K46" s="2"/>
      <c r="L46" s="2">
        <f t="shared" si="15"/>
        <v>122748.21</v>
      </c>
      <c r="M46" s="2"/>
      <c r="N46" s="19">
        <f t="shared" si="16"/>
        <v>6.1285088409085811</v>
      </c>
      <c r="O46" s="10"/>
      <c r="P46" s="2">
        <v>908998.77</v>
      </c>
      <c r="Q46" s="2"/>
      <c r="R46" s="19">
        <f t="shared" si="17"/>
        <v>0.45985971446942864</v>
      </c>
      <c r="S46" s="2"/>
      <c r="T46" s="2">
        <v>1173925.31</v>
      </c>
      <c r="U46" s="2"/>
      <c r="V46" s="19">
        <f t="shared" si="18"/>
        <v>0.35062918960403622</v>
      </c>
      <c r="W46" s="2"/>
      <c r="X46" s="2">
        <f t="shared" si="19"/>
        <v>-264926.54000000004</v>
      </c>
      <c r="Y46" s="2"/>
      <c r="Z46" s="19">
        <f t="shared" si="20"/>
        <v>-0.2256758055587029</v>
      </c>
    </row>
    <row r="47" spans="1:26" s="23" customFormat="1" hidden="1" outlineLevel="1" x14ac:dyDescent="0.25">
      <c r="A47" s="44"/>
      <c r="B47" s="10" t="str">
        <f>CONCATENATE("          ", "5002", " - ", "PURCHASES @ COST-USED TEXT")</f>
        <v xml:space="preserve">          5002 - PURCHASES @ COST-USED TEXT</v>
      </c>
      <c r="C47" s="10"/>
      <c r="D47" s="2">
        <v>-17366.759999999998</v>
      </c>
      <c r="E47" s="2"/>
      <c r="F47" s="19">
        <f t="shared" si="13"/>
        <v>-1.6473797790752274</v>
      </c>
      <c r="G47" s="2"/>
      <c r="H47" s="2">
        <v>121021.81</v>
      </c>
      <c r="I47" s="2"/>
      <c r="J47" s="19">
        <f t="shared" si="14"/>
        <v>7.2701447339095937</v>
      </c>
      <c r="K47" s="2"/>
      <c r="L47" s="2">
        <f t="shared" si="15"/>
        <v>-138388.57</v>
      </c>
      <c r="M47" s="2"/>
      <c r="N47" s="19">
        <f t="shared" si="16"/>
        <v>-1.1435010763762334</v>
      </c>
      <c r="O47" s="10"/>
      <c r="P47" s="2">
        <v>17335.73</v>
      </c>
      <c r="Q47" s="2"/>
      <c r="R47" s="19">
        <f t="shared" si="17"/>
        <v>8.7700931079577899E-3</v>
      </c>
      <c r="S47" s="2"/>
      <c r="T47" s="2">
        <v>44226.77</v>
      </c>
      <c r="U47" s="2"/>
      <c r="V47" s="19">
        <f t="shared" si="18"/>
        <v>1.3209696044379602E-2</v>
      </c>
      <c r="W47" s="2"/>
      <c r="X47" s="2">
        <f t="shared" si="19"/>
        <v>-26891.039999999997</v>
      </c>
      <c r="Y47" s="2"/>
      <c r="Z47" s="19">
        <f t="shared" si="20"/>
        <v>-0.6080263152837071</v>
      </c>
    </row>
    <row r="48" spans="1:26" s="23" customFormat="1" hidden="1" outlineLevel="1" x14ac:dyDescent="0.25">
      <c r="A48" s="44"/>
      <c r="B48" s="10" t="str">
        <f>CONCATENATE("          ", "5003", " - ", "PURCHASES @ COST-RENTAL TEXT")</f>
        <v xml:space="preserve">          5003 - PURCHASES @ COST-RENTAL TEXT</v>
      </c>
      <c r="C48" s="10"/>
      <c r="D48" s="2">
        <v>6024.36</v>
      </c>
      <c r="E48" s="2"/>
      <c r="F48" s="19">
        <f t="shared" si="13"/>
        <v>0.5714600101498285</v>
      </c>
      <c r="G48" s="2"/>
      <c r="H48" s="2">
        <v>24656.6</v>
      </c>
      <c r="I48" s="2"/>
      <c r="J48" s="19">
        <f t="shared" si="14"/>
        <v>1.4811962459172878</v>
      </c>
      <c r="K48" s="2"/>
      <c r="L48" s="2">
        <f t="shared" si="15"/>
        <v>-18632.239999999998</v>
      </c>
      <c r="M48" s="2"/>
      <c r="N48" s="19">
        <f t="shared" si="16"/>
        <v>-0.75566947592125433</v>
      </c>
      <c r="O48" s="10"/>
      <c r="P48" s="2">
        <v>13236.44</v>
      </c>
      <c r="Q48" s="2"/>
      <c r="R48" s="19">
        <f t="shared" si="17"/>
        <v>6.6962747584264877E-3</v>
      </c>
      <c r="S48" s="2"/>
      <c r="T48" s="2">
        <v>24578.2</v>
      </c>
      <c r="U48" s="2"/>
      <c r="V48" s="19">
        <f t="shared" si="18"/>
        <v>7.3410414397879556E-3</v>
      </c>
      <c r="W48" s="2"/>
      <c r="X48" s="2">
        <f t="shared" si="19"/>
        <v>-11341.76</v>
      </c>
      <c r="Y48" s="2"/>
      <c r="Z48" s="19">
        <f t="shared" si="20"/>
        <v>-0.46145608710157782</v>
      </c>
    </row>
    <row r="49" spans="1:26" s="23" customFormat="1" hidden="1" outlineLevel="1" x14ac:dyDescent="0.25">
      <c r="A49" s="44"/>
      <c r="B49" s="10" t="str">
        <f>CONCATENATE("          ", "5004", " - ", "PURCHASES @ COST-DIGITAL TEXT")</f>
        <v xml:space="preserve">          5004 - PURCHASES @ COST-DIGITAL TEXT</v>
      </c>
      <c r="C49" s="10"/>
      <c r="D49" s="2">
        <v>178285.37</v>
      </c>
      <c r="E49" s="2"/>
      <c r="F49" s="19">
        <f t="shared" si="13"/>
        <v>16.911831190328257</v>
      </c>
      <c r="G49" s="2"/>
      <c r="H49" s="2">
        <v>5038.95</v>
      </c>
      <c r="I49" s="2"/>
      <c r="J49" s="19">
        <f t="shared" si="14"/>
        <v>0.30270490754462975</v>
      </c>
      <c r="K49" s="2"/>
      <c r="L49" s="2">
        <f t="shared" si="15"/>
        <v>173246.41999999998</v>
      </c>
      <c r="M49" s="2"/>
      <c r="N49" s="19">
        <f t="shared" si="16"/>
        <v>34.381452485140748</v>
      </c>
      <c r="O49" s="10"/>
      <c r="P49" s="2">
        <v>377891.8</v>
      </c>
      <c r="Q49" s="2"/>
      <c r="R49" s="19">
        <f t="shared" si="17"/>
        <v>0.19117431286330391</v>
      </c>
      <c r="S49" s="2"/>
      <c r="T49" s="2">
        <v>451308.6</v>
      </c>
      <c r="U49" s="2"/>
      <c r="V49" s="19">
        <f t="shared" si="18"/>
        <v>0.1347973055281789</v>
      </c>
      <c r="W49" s="2"/>
      <c r="X49" s="2">
        <f t="shared" si="19"/>
        <v>-73416.799999999988</v>
      </c>
      <c r="Y49" s="2"/>
      <c r="Z49" s="19">
        <f t="shared" si="20"/>
        <v>-0.16267538442653207</v>
      </c>
    </row>
    <row r="50" spans="1:26" s="23" customFormat="1" hidden="1" outlineLevel="1" x14ac:dyDescent="0.25">
      <c r="A50" s="44"/>
      <c r="B50" s="10" t="str">
        <f>CONCATENATE("          ", "5011", " - ", "PURCHASES @ COST-NO VALUE TEXT")</f>
        <v xml:space="preserve">          5011 - PURCHASES @ COST-NO VALUE TEXT</v>
      </c>
      <c r="C50" s="10"/>
      <c r="D50" s="2">
        <v>63.17</v>
      </c>
      <c r="E50" s="2"/>
      <c r="F50" s="19">
        <f t="shared" si="13"/>
        <v>5.9921931692602489E-3</v>
      </c>
      <c r="G50" s="2"/>
      <c r="H50" s="2">
        <v>99</v>
      </c>
      <c r="I50" s="2"/>
      <c r="J50" s="19">
        <f t="shared" si="14"/>
        <v>5.9472282612286972E-3</v>
      </c>
      <c r="K50" s="2"/>
      <c r="L50" s="2">
        <f t="shared" si="15"/>
        <v>-35.83</v>
      </c>
      <c r="M50" s="2"/>
      <c r="N50" s="19">
        <f t="shared" si="16"/>
        <v>-0.36191919191919192</v>
      </c>
      <c r="O50" s="10"/>
      <c r="P50" s="2">
        <v>130.34</v>
      </c>
      <c r="Q50" s="2"/>
      <c r="R50" s="19">
        <f t="shared" si="17"/>
        <v>6.5938609778256715E-5</v>
      </c>
      <c r="S50" s="2"/>
      <c r="T50" s="2">
        <v>6462</v>
      </c>
      <c r="U50" s="2"/>
      <c r="V50" s="19">
        <f t="shared" si="18"/>
        <v>1.9300766445024358E-3</v>
      </c>
      <c r="W50" s="2"/>
      <c r="X50" s="2">
        <f t="shared" si="19"/>
        <v>-6331.66</v>
      </c>
      <c r="Y50" s="2"/>
      <c r="Z50" s="19">
        <f t="shared" si="20"/>
        <v>-0.97982977406375737</v>
      </c>
    </row>
    <row r="51" spans="1:26" s="23" customFormat="1" hidden="1" outlineLevel="1" x14ac:dyDescent="0.25">
      <c r="A51" s="44"/>
      <c r="B51" s="10" t="str">
        <f>CONCATENATE("          ", "5013", " - ", "PURCHASES @ COST-TRADE BOOKS")</f>
        <v xml:space="preserve">          5013 - PURCHASES @ COST-TRADE BOOKS</v>
      </c>
      <c r="C51" s="10"/>
      <c r="D51" s="2">
        <v>1964.92</v>
      </c>
      <c r="E51" s="2"/>
      <c r="F51" s="19">
        <f t="shared" si="13"/>
        <v>0.18638879534815336</v>
      </c>
      <c r="G51" s="2"/>
      <c r="H51" s="2">
        <v>-420.76</v>
      </c>
      <c r="I51" s="2"/>
      <c r="J51" s="19">
        <f t="shared" si="14"/>
        <v>-2.5276320840349361E-2</v>
      </c>
      <c r="K51" s="2"/>
      <c r="L51" s="2">
        <f t="shared" si="15"/>
        <v>2385.6800000000003</v>
      </c>
      <c r="M51" s="2"/>
      <c r="N51" s="19">
        <f t="shared" si="16"/>
        <v>-5.6699306017682298</v>
      </c>
      <c r="O51" s="10"/>
      <c r="P51" s="2">
        <v>11634.94</v>
      </c>
      <c r="Q51" s="2"/>
      <c r="R51" s="19">
        <f t="shared" si="17"/>
        <v>5.8860807768408028E-3</v>
      </c>
      <c r="S51" s="2"/>
      <c r="T51" s="2">
        <v>2777.09</v>
      </c>
      <c r="U51" s="2"/>
      <c r="V51" s="19">
        <f t="shared" si="18"/>
        <v>8.2946402796058027E-4</v>
      </c>
      <c r="W51" s="2"/>
      <c r="X51" s="2">
        <f t="shared" si="19"/>
        <v>8857.85</v>
      </c>
      <c r="Y51" s="2"/>
      <c r="Z51" s="19">
        <f t="shared" si="20"/>
        <v>3.1896157488594175</v>
      </c>
    </row>
    <row r="52" spans="1:26" s="23" customFormat="1" hidden="1" outlineLevel="1" x14ac:dyDescent="0.25">
      <c r="A52" s="44"/>
      <c r="B52" s="10" t="str">
        <f>CONCATENATE("          ", "5014", " - ", "PURCHASES @ COST-REMAINDERS")</f>
        <v xml:space="preserve">          5014 - PURCHASES @ COST-REMAINDERS</v>
      </c>
      <c r="C52" s="10"/>
      <c r="D52" s="2">
        <v>-161.43</v>
      </c>
      <c r="E52" s="2"/>
      <c r="F52" s="19">
        <f t="shared" si="13"/>
        <v>-1.5312960951617572E-2</v>
      </c>
      <c r="G52" s="2"/>
      <c r="H52" s="2">
        <v>132</v>
      </c>
      <c r="I52" s="2"/>
      <c r="J52" s="19">
        <f t="shared" si="14"/>
        <v>7.929637681638263E-3</v>
      </c>
      <c r="K52" s="2"/>
      <c r="L52" s="2">
        <f t="shared" si="15"/>
        <v>-293.43</v>
      </c>
      <c r="M52" s="2"/>
      <c r="N52" s="19">
        <f t="shared" si="16"/>
        <v>-2.2229545454545456</v>
      </c>
      <c r="O52" s="10"/>
      <c r="P52" s="2">
        <v>-49.86</v>
      </c>
      <c r="Q52" s="2"/>
      <c r="R52" s="19">
        <f t="shared" si="17"/>
        <v>-2.5224022430135644E-5</v>
      </c>
      <c r="S52" s="2"/>
      <c r="T52" s="2">
        <v>732.61</v>
      </c>
      <c r="U52" s="2"/>
      <c r="V52" s="19">
        <f t="shared" si="18"/>
        <v>2.1881668996114663E-4</v>
      </c>
      <c r="W52" s="2"/>
      <c r="X52" s="2">
        <f t="shared" si="19"/>
        <v>-782.47</v>
      </c>
      <c r="Y52" s="2"/>
      <c r="Z52" s="19">
        <f t="shared" si="20"/>
        <v>-1.0680580390658059</v>
      </c>
    </row>
    <row r="53" spans="1:26" s="23" customFormat="1" hidden="1" outlineLevel="1" x14ac:dyDescent="0.25">
      <c r="A53" s="44"/>
      <c r="B53" s="10" t="str">
        <f>CONCATENATE("          ", "5018", " - ", "PURCHASES @ COST-STUDY GUIDES")</f>
        <v xml:space="preserve">          5018 - PURCHASES @ COST-STUDY GUIDES</v>
      </c>
      <c r="C53" s="10"/>
      <c r="D53" s="2">
        <v>476.17</v>
      </c>
      <c r="E53" s="2"/>
      <c r="F53" s="19">
        <f t="shared" si="13"/>
        <v>4.516863418405339E-2</v>
      </c>
      <c r="G53" s="2"/>
      <c r="H53" s="2">
        <v>-249.38</v>
      </c>
      <c r="I53" s="2"/>
      <c r="J53" s="19">
        <f t="shared" si="14"/>
        <v>-1.4981007917022348E-2</v>
      </c>
      <c r="K53" s="2"/>
      <c r="L53" s="2">
        <f t="shared" si="15"/>
        <v>725.55</v>
      </c>
      <c r="M53" s="2"/>
      <c r="N53" s="19">
        <f t="shared" si="16"/>
        <v>-2.9094153500681688</v>
      </c>
      <c r="O53" s="10"/>
      <c r="P53" s="2">
        <v>1443.38</v>
      </c>
      <c r="Q53" s="2"/>
      <c r="R53" s="19">
        <f t="shared" si="17"/>
        <v>7.3020155425610085E-4</v>
      </c>
      <c r="S53" s="2"/>
      <c r="T53" s="2">
        <v>-454.52</v>
      </c>
      <c r="U53" s="2"/>
      <c r="V53" s="19">
        <f t="shared" si="18"/>
        <v>-1.3575648970276185E-4</v>
      </c>
      <c r="W53" s="2"/>
      <c r="X53" s="2">
        <f t="shared" si="19"/>
        <v>1897.9</v>
      </c>
      <c r="Y53" s="2"/>
      <c r="Z53" s="19">
        <f t="shared" si="20"/>
        <v>-4.1756138343747251</v>
      </c>
    </row>
    <row r="54" spans="1:26" s="23" customFormat="1" hidden="1" outlineLevel="1" x14ac:dyDescent="0.25">
      <c r="A54" s="44"/>
      <c r="B54" s="10" t="str">
        <f>CONCATENATE("          ", "5200", " - ", "PURCHASES OFFSET")</f>
        <v xml:space="preserve">          5200 - PURCHASES OFFSET</v>
      </c>
      <c r="C54" s="10"/>
      <c r="D54" s="2">
        <v>-250433.46</v>
      </c>
      <c r="E54" s="2"/>
      <c r="F54" s="19">
        <f t="shared" si="13"/>
        <v>-23.755669912398442</v>
      </c>
      <c r="G54" s="2"/>
      <c r="H54" s="2">
        <v>-173310</v>
      </c>
      <c r="I54" s="2"/>
      <c r="J54" s="19">
        <f t="shared" si="14"/>
        <v>-10.411253837914602</v>
      </c>
      <c r="K54" s="2"/>
      <c r="L54" s="2">
        <f t="shared" si="15"/>
        <v>-77123.459999999992</v>
      </c>
      <c r="M54" s="2"/>
      <c r="N54" s="19">
        <f t="shared" si="16"/>
        <v>0.44500294270382545</v>
      </c>
      <c r="O54" s="10"/>
      <c r="P54" s="2">
        <v>-1338935.1499999999</v>
      </c>
      <c r="Q54" s="2"/>
      <c r="R54" s="19">
        <f t="shared" si="17"/>
        <v>-0.67736322214394362</v>
      </c>
      <c r="S54" s="2"/>
      <c r="T54" s="2">
        <v>-1792162</v>
      </c>
      <c r="U54" s="2"/>
      <c r="V54" s="19">
        <f t="shared" si="18"/>
        <v>-0.53528474456279396</v>
      </c>
      <c r="W54" s="2"/>
      <c r="X54" s="2">
        <f t="shared" si="19"/>
        <v>453226.85000000009</v>
      </c>
      <c r="Y54" s="2"/>
      <c r="Z54" s="19">
        <f t="shared" si="20"/>
        <v>-0.25289390691243319</v>
      </c>
    </row>
    <row r="55" spans="1:26" s="23" customFormat="1" hidden="1" outlineLevel="1" x14ac:dyDescent="0.25">
      <c r="A55" s="44"/>
      <c r="B55" s="10" t="str">
        <f>CONCATENATE("          ", "5300", " - ", "COG$ OFFSET")</f>
        <v xml:space="preserve">          5300 - COG$ OFFSET</v>
      </c>
      <c r="C55" s="10"/>
      <c r="D55" s="2">
        <v>9156</v>
      </c>
      <c r="E55" s="2"/>
      <c r="F55" s="19">
        <f t="shared" si="13"/>
        <v>0.86852177707371914</v>
      </c>
      <c r="G55" s="2"/>
      <c r="H55" s="2">
        <v>91172.53</v>
      </c>
      <c r="I55" s="2"/>
      <c r="J55" s="19">
        <f t="shared" si="14"/>
        <v>5.4770085561992046</v>
      </c>
      <c r="K55" s="2"/>
      <c r="L55" s="2">
        <f t="shared" si="15"/>
        <v>-82016.53</v>
      </c>
      <c r="M55" s="2"/>
      <c r="N55" s="19">
        <f t="shared" si="16"/>
        <v>-0.89957501453562827</v>
      </c>
      <c r="O55" s="10"/>
      <c r="P55" s="2">
        <v>1416064</v>
      </c>
      <c r="Q55" s="2"/>
      <c r="R55" s="19">
        <f t="shared" si="17"/>
        <v>0.71638247289425594</v>
      </c>
      <c r="S55" s="2"/>
      <c r="T55" s="2">
        <v>2452013</v>
      </c>
      <c r="U55" s="2"/>
      <c r="V55" s="19">
        <f t="shared" si="18"/>
        <v>0.73236970339157403</v>
      </c>
      <c r="W55" s="2"/>
      <c r="X55" s="2">
        <f t="shared" si="19"/>
        <v>-1035949</v>
      </c>
      <c r="Y55" s="2"/>
      <c r="Z55" s="19">
        <f t="shared" si="20"/>
        <v>-0.42248919561193193</v>
      </c>
    </row>
    <row r="56" spans="1:26" s="23" customFormat="1" hidden="1" outlineLevel="1" x14ac:dyDescent="0.25">
      <c r="A56" s="44"/>
      <c r="B56" s="10" t="str">
        <f>CONCATENATE("          ", "5500", " - ", "FREIGHT-IN")</f>
        <v xml:space="preserve">          5500 - FREIGHT-IN</v>
      </c>
      <c r="C56" s="10"/>
      <c r="D56" s="2"/>
      <c r="E56" s="2"/>
      <c r="F56" s="19">
        <f t="shared" si="13"/>
        <v>0</v>
      </c>
      <c r="G56" s="2"/>
      <c r="H56" s="2">
        <v>67.13</v>
      </c>
      <c r="I56" s="2"/>
      <c r="J56" s="19">
        <f t="shared" si="14"/>
        <v>4.0327013452149743E-3</v>
      </c>
      <c r="K56" s="2"/>
      <c r="L56" s="2">
        <f t="shared" si="15"/>
        <v>-67.13</v>
      </c>
      <c r="M56" s="2"/>
      <c r="N56" s="19">
        <f t="shared" si="16"/>
        <v>-1</v>
      </c>
      <c r="O56" s="10"/>
      <c r="P56" s="2">
        <v>0</v>
      </c>
      <c r="Q56" s="2"/>
      <c r="R56" s="19">
        <f t="shared" si="17"/>
        <v>0</v>
      </c>
      <c r="S56" s="2"/>
      <c r="T56" s="2">
        <v>108.38</v>
      </c>
      <c r="U56" s="2"/>
      <c r="V56" s="19">
        <f t="shared" si="18"/>
        <v>3.2371047157408538E-5</v>
      </c>
      <c r="W56" s="2"/>
      <c r="X56" s="2">
        <f t="shared" si="19"/>
        <v>-108.38</v>
      </c>
      <c r="Y56" s="2"/>
      <c r="Z56" s="19">
        <f t="shared" si="20"/>
        <v>-1</v>
      </c>
    </row>
    <row r="57" spans="1:26" s="23" customFormat="1" hidden="1" outlineLevel="1" x14ac:dyDescent="0.25">
      <c r="A57" s="44"/>
      <c r="B57" s="10" t="str">
        <f>CONCATENATE("          ", "5501", " - ", "FREIGHT-IN-NEW TEXT")</f>
        <v xml:space="preserve">          5501 - FREIGHT-IN-NEW TEXT</v>
      </c>
      <c r="C57" s="10"/>
      <c r="D57" s="2">
        <v>1565.85</v>
      </c>
      <c r="E57" s="2"/>
      <c r="F57" s="19">
        <f t="shared" si="13"/>
        <v>0.14853372920826594</v>
      </c>
      <c r="G57" s="2"/>
      <c r="H57" s="2">
        <v>2483.06</v>
      </c>
      <c r="I57" s="2"/>
      <c r="J57" s="19">
        <f t="shared" si="14"/>
        <v>0.14916489501339927</v>
      </c>
      <c r="K57" s="2"/>
      <c r="L57" s="2">
        <f t="shared" si="15"/>
        <v>-917.21</v>
      </c>
      <c r="M57" s="2"/>
      <c r="N57" s="19">
        <f t="shared" si="16"/>
        <v>-0.36938696608217281</v>
      </c>
      <c r="O57" s="10"/>
      <c r="P57" s="2">
        <v>53401.99</v>
      </c>
      <c r="Q57" s="2"/>
      <c r="R57" s="19">
        <f t="shared" si="17"/>
        <v>2.7015904403808251E-2</v>
      </c>
      <c r="S57" s="2"/>
      <c r="T57" s="2">
        <v>72230.789999999994</v>
      </c>
      <c r="U57" s="2"/>
      <c r="V57" s="19">
        <f t="shared" si="18"/>
        <v>2.1573964839517189E-2</v>
      </c>
      <c r="W57" s="2"/>
      <c r="X57" s="2">
        <f t="shared" si="19"/>
        <v>-18828.799999999996</v>
      </c>
      <c r="Y57" s="2"/>
      <c r="Z57" s="19">
        <f t="shared" si="20"/>
        <v>-0.26067553739894023</v>
      </c>
    </row>
    <row r="58" spans="1:26" s="23" customFormat="1" hidden="1" outlineLevel="1" x14ac:dyDescent="0.25">
      <c r="A58" s="44"/>
      <c r="B58" s="10" t="str">
        <f>CONCATENATE("          ", "5502", " - ", "FREIGHT-IN-USED TEXT")</f>
        <v xml:space="preserve">          5502 - FREIGHT-IN-USED TEXT</v>
      </c>
      <c r="C58" s="10"/>
      <c r="D58" s="2">
        <v>149.80000000000001</v>
      </c>
      <c r="E58" s="2"/>
      <c r="F58" s="19">
        <f t="shared" si="13"/>
        <v>1.4209759961297853E-2</v>
      </c>
      <c r="G58" s="2"/>
      <c r="H58" s="2">
        <v>519.36</v>
      </c>
      <c r="I58" s="2"/>
      <c r="J58" s="19">
        <f t="shared" si="14"/>
        <v>3.1199519896482186E-2</v>
      </c>
      <c r="K58" s="2"/>
      <c r="L58" s="2">
        <f t="shared" si="15"/>
        <v>-369.56</v>
      </c>
      <c r="M58" s="2"/>
      <c r="N58" s="19">
        <f t="shared" si="16"/>
        <v>-0.71156808379544056</v>
      </c>
      <c r="O58" s="10"/>
      <c r="P58" s="2">
        <v>18142.669999999998</v>
      </c>
      <c r="Q58" s="2"/>
      <c r="R58" s="19">
        <f t="shared" si="17"/>
        <v>9.1783216009335943E-3</v>
      </c>
      <c r="S58" s="2"/>
      <c r="T58" s="2">
        <v>16200.12</v>
      </c>
      <c r="U58" s="2"/>
      <c r="V58" s="19">
        <f t="shared" si="18"/>
        <v>4.8386680981332099E-3</v>
      </c>
      <c r="W58" s="2"/>
      <c r="X58" s="2">
        <f t="shared" si="19"/>
        <v>1942.5499999999975</v>
      </c>
      <c r="Y58" s="2"/>
      <c r="Z58" s="19">
        <f t="shared" si="20"/>
        <v>0.11990960560785953</v>
      </c>
    </row>
    <row r="59" spans="1:26" s="23" customFormat="1" hidden="1" outlineLevel="1" x14ac:dyDescent="0.25">
      <c r="A59" s="44"/>
      <c r="B59" s="10" t="str">
        <f>CONCATENATE("          ", "5504", " - ", "FREIGHT-IN-DIGITAL TEXT")</f>
        <v xml:space="preserve">          5504 - FREIGHT-IN-DIGITAL TEXT</v>
      </c>
      <c r="C59" s="10"/>
      <c r="D59" s="2">
        <v>4.28</v>
      </c>
      <c r="E59" s="2"/>
      <c r="F59" s="19">
        <f t="shared" si="13"/>
        <v>4.0599314175136721E-4</v>
      </c>
      <c r="G59" s="2"/>
      <c r="H59" s="2"/>
      <c r="I59" s="2"/>
      <c r="J59" s="19">
        <f t="shared" si="14"/>
        <v>0</v>
      </c>
      <c r="K59" s="2"/>
      <c r="L59" s="2">
        <f t="shared" si="15"/>
        <v>4.28</v>
      </c>
      <c r="M59" s="2"/>
      <c r="N59" s="19">
        <f t="shared" si="16"/>
        <v>0</v>
      </c>
      <c r="O59" s="10"/>
      <c r="P59" s="2">
        <v>33.200000000000003</v>
      </c>
      <c r="Q59" s="2"/>
      <c r="R59" s="19">
        <f t="shared" si="17"/>
        <v>1.6795779075020124E-5</v>
      </c>
      <c r="S59" s="2"/>
      <c r="T59" s="2">
        <v>118.75</v>
      </c>
      <c r="U59" s="2"/>
      <c r="V59" s="19">
        <f t="shared" si="18"/>
        <v>3.5468369163519693E-5</v>
      </c>
      <c r="W59" s="2"/>
      <c r="X59" s="2">
        <f t="shared" si="19"/>
        <v>-85.55</v>
      </c>
      <c r="Y59" s="2"/>
      <c r="Z59" s="19">
        <f t="shared" si="20"/>
        <v>-0.72042105263157896</v>
      </c>
    </row>
    <row r="60" spans="1:26" s="23" customFormat="1" hidden="1" outlineLevel="1" x14ac:dyDescent="0.25">
      <c r="A60" s="44"/>
      <c r="B60" s="10" t="str">
        <f>CONCATENATE("          ", "5513", " - ", "FREIGHT-IN-TRADE BOOKS")</f>
        <v xml:space="preserve">          5513 - FREIGHT-IN-TRADE BOOKS</v>
      </c>
      <c r="C60" s="10"/>
      <c r="D60" s="2"/>
      <c r="E60" s="2"/>
      <c r="F60" s="19">
        <f t="shared" si="13"/>
        <v>0</v>
      </c>
      <c r="G60" s="2"/>
      <c r="H60" s="2"/>
      <c r="I60" s="2"/>
      <c r="J60" s="19">
        <f t="shared" si="14"/>
        <v>0</v>
      </c>
      <c r="K60" s="2"/>
      <c r="L60" s="2">
        <f t="shared" si="15"/>
        <v>0</v>
      </c>
      <c r="M60" s="2"/>
      <c r="N60" s="19">
        <f t="shared" si="16"/>
        <v>0</v>
      </c>
      <c r="O60" s="10"/>
      <c r="P60" s="2">
        <v>85.28</v>
      </c>
      <c r="Q60" s="2"/>
      <c r="R60" s="19">
        <f t="shared" si="17"/>
        <v>4.3142892756557714E-5</v>
      </c>
      <c r="S60" s="2"/>
      <c r="T60" s="2">
        <v>30.24</v>
      </c>
      <c r="U60" s="2"/>
      <c r="V60" s="19">
        <f t="shared" si="18"/>
        <v>9.0321135453038771E-6</v>
      </c>
      <c r="W60" s="2"/>
      <c r="X60" s="2">
        <f t="shared" si="19"/>
        <v>55.040000000000006</v>
      </c>
      <c r="Y60" s="2"/>
      <c r="Z60" s="19">
        <f t="shared" si="20"/>
        <v>1.8201058201058204</v>
      </c>
    </row>
    <row r="61" spans="1:26" s="23" customFormat="1" hidden="1" outlineLevel="1" x14ac:dyDescent="0.25">
      <c r="A61" s="44"/>
      <c r="B61" s="10" t="str">
        <f>CONCATENATE("          ", "5518", " - ", "FREIGHT-IN-STUDY GUIDES")</f>
        <v xml:space="preserve">          5518 - FREIGHT-IN-STUDY GUIDES</v>
      </c>
      <c r="C61" s="10"/>
      <c r="D61" s="2"/>
      <c r="E61" s="2"/>
      <c r="F61" s="19">
        <f t="shared" si="13"/>
        <v>0</v>
      </c>
      <c r="G61" s="2"/>
      <c r="H61" s="2"/>
      <c r="I61" s="2"/>
      <c r="J61" s="19">
        <f t="shared" si="14"/>
        <v>0</v>
      </c>
      <c r="K61" s="2"/>
      <c r="L61" s="2">
        <f t="shared" si="15"/>
        <v>0</v>
      </c>
      <c r="M61" s="2"/>
      <c r="N61" s="19">
        <f t="shared" si="16"/>
        <v>0</v>
      </c>
      <c r="O61" s="10"/>
      <c r="P61" s="2"/>
      <c r="Q61" s="2"/>
      <c r="R61" s="19">
        <f t="shared" si="17"/>
        <v>0</v>
      </c>
      <c r="S61" s="2"/>
      <c r="T61" s="2">
        <v>21.13</v>
      </c>
      <c r="U61" s="2"/>
      <c r="V61" s="19">
        <f t="shared" si="18"/>
        <v>6.3111296035803882E-6</v>
      </c>
      <c r="W61" s="2"/>
      <c r="X61" s="2">
        <f t="shared" si="19"/>
        <v>-21.13</v>
      </c>
      <c r="Y61" s="2"/>
      <c r="Z61" s="19">
        <f t="shared" si="20"/>
        <v>-1</v>
      </c>
    </row>
    <row r="62" spans="1:26" x14ac:dyDescent="0.25">
      <c r="A62" s="9"/>
      <c r="B62" s="11"/>
      <c r="C62" s="11"/>
      <c r="D62" s="3"/>
      <c r="E62" s="3"/>
      <c r="F62" s="8"/>
      <c r="G62" s="3"/>
      <c r="H62" s="3"/>
      <c r="I62" s="3"/>
      <c r="J62" s="8"/>
      <c r="K62" s="3"/>
      <c r="L62" s="3"/>
      <c r="M62" s="3"/>
      <c r="N62" s="8"/>
      <c r="O62" s="11"/>
      <c r="P62" s="3"/>
      <c r="Q62" s="3"/>
      <c r="R62" s="8"/>
      <c r="S62" s="3"/>
      <c r="T62" s="3"/>
      <c r="U62" s="3"/>
      <c r="V62" s="8"/>
      <c r="W62" s="3"/>
      <c r="X62" s="3"/>
      <c r="Y62" s="3"/>
      <c r="Z62" s="8"/>
    </row>
    <row r="63" spans="1:26" s="24" customFormat="1" x14ac:dyDescent="0.25">
      <c r="A63" s="11"/>
      <c r="B63" s="28" t="s">
        <v>107</v>
      </c>
      <c r="C63" s="28"/>
      <c r="D63" s="21">
        <f>D12-D44</f>
        <v>-61963.479999999952</v>
      </c>
      <c r="E63" s="14"/>
      <c r="F63" s="22">
        <f>IF(D$12=0,0,D63/D$12)</f>
        <v>-5.8777448408990622</v>
      </c>
      <c r="G63" s="14"/>
      <c r="H63" s="21">
        <f>H12-H44</f>
        <v>-74592.939999999988</v>
      </c>
      <c r="I63" s="14"/>
      <c r="J63" s="22">
        <f>IF(H$12=0,0,H63/H$12)</f>
        <v>-4.4810226349104694</v>
      </c>
      <c r="K63" s="15"/>
      <c r="L63" s="21">
        <f>+D63-H63</f>
        <v>12629.460000000036</v>
      </c>
      <c r="M63" s="15"/>
      <c r="N63" s="22">
        <f>IF(H63=0,0,L63/H63)</f>
        <v>-0.16931173379142903</v>
      </c>
      <c r="O63" s="29"/>
      <c r="P63" s="21">
        <f>P12-P44</f>
        <v>497273.58000000007</v>
      </c>
      <c r="Q63" s="14"/>
      <c r="R63" s="22">
        <f>IF(P$12=0,0,P63/P$12)</f>
        <v>0.25156919245555259</v>
      </c>
      <c r="S63" s="14"/>
      <c r="T63" s="21">
        <f>T12-T44</f>
        <v>895937.09999999916</v>
      </c>
      <c r="U63" s="14"/>
      <c r="V63" s="22">
        <f>IF(T$12=0,0,T63/T$12)</f>
        <v>0.26759939208499561</v>
      </c>
      <c r="W63" s="15"/>
      <c r="X63" s="21">
        <f>+P63-T63</f>
        <v>-398663.51999999909</v>
      </c>
      <c r="Y63" s="15"/>
      <c r="Z63" s="22">
        <f>IF(T63=0,0,X63/T63)</f>
        <v>-0.44496820145074856</v>
      </c>
    </row>
    <row r="64" spans="1:26" x14ac:dyDescent="0.25">
      <c r="A64" s="9"/>
      <c r="B64" s="11"/>
      <c r="C64" s="9"/>
      <c r="D64" s="1"/>
      <c r="E64" s="1"/>
      <c r="F64" s="5"/>
      <c r="G64" s="1"/>
      <c r="H64" s="1"/>
      <c r="I64" s="1"/>
      <c r="J64" s="5"/>
      <c r="K64" s="1"/>
      <c r="L64" s="1"/>
      <c r="M64" s="1"/>
      <c r="N64" s="5"/>
      <c r="O64" s="37"/>
      <c r="P64" s="1"/>
      <c r="Q64" s="1"/>
      <c r="R64" s="5"/>
      <c r="S64" s="1"/>
      <c r="T64" s="1"/>
      <c r="U64" s="1"/>
      <c r="V64" s="5"/>
      <c r="W64" s="1"/>
      <c r="X64" s="1"/>
      <c r="Y64" s="1"/>
      <c r="Z64" s="5"/>
    </row>
    <row r="65" spans="1:26" s="24" customFormat="1" x14ac:dyDescent="0.25">
      <c r="A65" s="11"/>
      <c r="B65" s="29" t="s">
        <v>294</v>
      </c>
      <c r="C65" s="11"/>
      <c r="D65" s="20">
        <f>SUM(OSRRefD22x_0)</f>
        <v>21334.860000000008</v>
      </c>
      <c r="E65" s="20"/>
      <c r="F65" s="32">
        <f t="shared" ref="F65:F75" si="21">IF(D$12=0,0,D65/D$12)</f>
        <v>2.0237866449125179</v>
      </c>
      <c r="G65" s="20"/>
      <c r="H65" s="20">
        <f>SUM(OSRRefH22x_0)</f>
        <v>3082.3200000000061</v>
      </c>
      <c r="I65" s="20"/>
      <c r="J65" s="32">
        <f t="shared" ref="J65:J75" si="22">IF(H$12=0,0,H65/H$12)</f>
        <v>0.18516424862778258</v>
      </c>
      <c r="K65" s="4"/>
      <c r="L65" s="20">
        <f t="shared" ref="L65:L75" si="23">+D65-H65</f>
        <v>18252.54</v>
      </c>
      <c r="M65" s="4"/>
      <c r="N65" s="32">
        <f t="shared" ref="N65:N75" si="24">IF(H65=0,0,L65/H65)</f>
        <v>5.9216888577435061</v>
      </c>
      <c r="O65" s="11"/>
      <c r="P65" s="20">
        <f>SUM(OSRRefP22x_0)</f>
        <v>528742.40000000002</v>
      </c>
      <c r="Q65" s="20"/>
      <c r="R65" s="32">
        <f t="shared" ref="R65:R75" si="25">IF(P$12=0,0,P65/P$12)</f>
        <v>0.26748917283120244</v>
      </c>
      <c r="S65" s="20"/>
      <c r="T65" s="20">
        <f>SUM(OSRRefT22x_0)</f>
        <v>512310.92</v>
      </c>
      <c r="U65" s="20"/>
      <c r="V65" s="32">
        <f t="shared" ref="V65:V75" si="26">IF(T$12=0,0,T65/T$12)</f>
        <v>0.15301753968052551</v>
      </c>
      <c r="W65" s="4"/>
      <c r="X65" s="20">
        <f t="shared" ref="X65:X75" si="27">+P65-T65</f>
        <v>16431.48000000004</v>
      </c>
      <c r="Y65" s="4"/>
      <c r="Z65" s="32">
        <f t="shared" ref="Z65:Z75" si="28">IF(T65=0,0,X65/T65)</f>
        <v>3.2073257388306381E-2</v>
      </c>
    </row>
    <row r="66" spans="1:26" s="27" customFormat="1" outlineLevel="1" collapsed="1" x14ac:dyDescent="0.25">
      <c r="A66" s="26"/>
      <c r="B66" s="12" t="str">
        <f>CONCATENATE("     ","*Benefits                                         ")</f>
        <v xml:space="preserve">     *Benefits                                         </v>
      </c>
      <c r="C66" s="12"/>
      <c r="D66" s="1">
        <f>SUM(OSRRefD22_0x_0)</f>
        <v>12433.619999999999</v>
      </c>
      <c r="E66" s="1"/>
      <c r="F66" s="5">
        <f t="shared" si="21"/>
        <v>1.1794309455940732</v>
      </c>
      <c r="G66" s="1"/>
      <c r="H66" s="1">
        <f>SUM(OSRRefH22_0x_0)</f>
        <v>9832.65</v>
      </c>
      <c r="I66" s="1"/>
      <c r="J66" s="5">
        <f t="shared" si="22"/>
        <v>0.59067690871485201</v>
      </c>
      <c r="K66" s="1"/>
      <c r="L66" s="1">
        <f t="shared" si="23"/>
        <v>2600.9699999999993</v>
      </c>
      <c r="M66" s="1"/>
      <c r="N66" s="5">
        <f t="shared" si="24"/>
        <v>0.2645238058915958</v>
      </c>
      <c r="O66" s="12"/>
      <c r="P66" s="1">
        <f>SUM(OSRRefP22_0x_0)</f>
        <v>144311.99</v>
      </c>
      <c r="Q66" s="1"/>
      <c r="R66" s="5">
        <f t="shared" si="25"/>
        <v>7.3006997045678104E-2</v>
      </c>
      <c r="S66" s="1"/>
      <c r="T66" s="1">
        <f>SUM(OSRRefT22_0x_0)</f>
        <v>126499.94000000002</v>
      </c>
      <c r="U66" s="1"/>
      <c r="V66" s="5">
        <f t="shared" si="26"/>
        <v>3.7783129019647088E-2</v>
      </c>
      <c r="W66" s="1"/>
      <c r="X66" s="1">
        <f t="shared" si="27"/>
        <v>17812.049999999974</v>
      </c>
      <c r="Y66" s="1"/>
      <c r="Z66" s="5">
        <f t="shared" si="28"/>
        <v>0.14080678615341613</v>
      </c>
    </row>
    <row r="67" spans="1:26" s="23" customFormat="1" hidden="1" outlineLevel="2" x14ac:dyDescent="0.25">
      <c r="A67" s="25"/>
      <c r="B67" s="10" t="str">
        <f>CONCATENATE("          ", "6111", " - ", "F.I.C.A.")</f>
        <v xml:space="preserve">          6111 - F.I.C.A.</v>
      </c>
      <c r="C67" s="10"/>
      <c r="D67" s="6">
        <v>2190.84</v>
      </c>
      <c r="E67" s="2"/>
      <c r="F67" s="7">
        <f t="shared" si="21"/>
        <v>0.20781916230714143</v>
      </c>
      <c r="G67" s="2"/>
      <c r="H67" s="6">
        <v>1850.99</v>
      </c>
      <c r="I67" s="2"/>
      <c r="J67" s="7">
        <f t="shared" si="22"/>
        <v>0.11119454585102734</v>
      </c>
      <c r="K67" s="2"/>
      <c r="L67" s="6">
        <f t="shared" si="23"/>
        <v>339.85000000000014</v>
      </c>
      <c r="M67" s="2"/>
      <c r="N67" s="7">
        <f t="shared" si="24"/>
        <v>0.1836044495108024</v>
      </c>
      <c r="O67" s="10"/>
      <c r="P67" s="6">
        <v>26197.69</v>
      </c>
      <c r="Q67" s="2"/>
      <c r="R67" s="7">
        <f t="shared" si="25"/>
        <v>1.3253331732405541E-2</v>
      </c>
      <c r="S67" s="2"/>
      <c r="T67" s="6">
        <v>21700.400000000001</v>
      </c>
      <c r="U67" s="2"/>
      <c r="V67" s="7">
        <f t="shared" si="26"/>
        <v>6.481497247966676E-3</v>
      </c>
      <c r="W67" s="2"/>
      <c r="X67" s="6">
        <f t="shared" si="27"/>
        <v>4497.2899999999972</v>
      </c>
      <c r="Y67" s="2"/>
      <c r="Z67" s="7">
        <f t="shared" si="28"/>
        <v>0.20724456692042528</v>
      </c>
    </row>
    <row r="68" spans="1:26" s="23" customFormat="1" hidden="1" outlineLevel="2" x14ac:dyDescent="0.25">
      <c r="A68" s="25"/>
      <c r="B68" s="10" t="str">
        <f>CONCATENATE("          ", "6112", " - ", "COMPENSATION INSURANCE")</f>
        <v xml:space="preserve">          6112 - COMPENSATION INSURANCE</v>
      </c>
      <c r="C68" s="10"/>
      <c r="D68" s="6">
        <v>129.68</v>
      </c>
      <c r="E68" s="2"/>
      <c r="F68" s="7">
        <f t="shared" si="21"/>
        <v>1.2301212762223668E-2</v>
      </c>
      <c r="G68" s="2"/>
      <c r="H68" s="6">
        <v>154.72</v>
      </c>
      <c r="I68" s="2"/>
      <c r="J68" s="7">
        <f t="shared" si="22"/>
        <v>9.2944965310838793E-3</v>
      </c>
      <c r="K68" s="2"/>
      <c r="L68" s="6">
        <f t="shared" si="23"/>
        <v>-25.039999999999992</v>
      </c>
      <c r="M68" s="2"/>
      <c r="N68" s="7">
        <f t="shared" si="24"/>
        <v>-0.16184074457083758</v>
      </c>
      <c r="O68" s="10"/>
      <c r="P68" s="6">
        <v>1501.57</v>
      </c>
      <c r="Q68" s="2"/>
      <c r="R68" s="7">
        <f t="shared" si="25"/>
        <v>7.596396983637942E-4</v>
      </c>
      <c r="S68" s="2"/>
      <c r="T68" s="6">
        <v>1246.55</v>
      </c>
      <c r="U68" s="2"/>
      <c r="V68" s="7">
        <f t="shared" si="26"/>
        <v>3.7232080489082504E-4</v>
      </c>
      <c r="W68" s="2"/>
      <c r="X68" s="6">
        <f t="shared" si="27"/>
        <v>255.01999999999998</v>
      </c>
      <c r="Y68" s="2"/>
      <c r="Z68" s="7">
        <f t="shared" si="28"/>
        <v>0.20458064257350286</v>
      </c>
    </row>
    <row r="69" spans="1:26" s="23" customFormat="1" hidden="1" outlineLevel="2" x14ac:dyDescent="0.25">
      <c r="A69" s="25"/>
      <c r="B69" s="10" t="str">
        <f>CONCATENATE("          ", "6113", " - ", "GROUP INSURANCE")</f>
        <v xml:space="preserve">          6113 - GROUP INSURANCE</v>
      </c>
      <c r="C69" s="10"/>
      <c r="D69" s="6">
        <v>4943.91</v>
      </c>
      <c r="E69" s="2"/>
      <c r="F69" s="7">
        <f t="shared" si="21"/>
        <v>0.46897045641028073</v>
      </c>
      <c r="G69" s="2"/>
      <c r="H69" s="6">
        <v>4248.21</v>
      </c>
      <c r="I69" s="2"/>
      <c r="J69" s="7">
        <f t="shared" si="22"/>
        <v>0.25520277345085218</v>
      </c>
      <c r="K69" s="2"/>
      <c r="L69" s="6">
        <f t="shared" si="23"/>
        <v>695.69999999999982</v>
      </c>
      <c r="M69" s="2"/>
      <c r="N69" s="7">
        <f t="shared" si="24"/>
        <v>0.16376309080765777</v>
      </c>
      <c r="O69" s="10"/>
      <c r="P69" s="6">
        <v>55051.68</v>
      </c>
      <c r="Q69" s="2"/>
      <c r="R69" s="7">
        <f t="shared" si="25"/>
        <v>2.7850477559900718E-2</v>
      </c>
      <c r="S69" s="2"/>
      <c r="T69" s="6">
        <v>50500.68</v>
      </c>
      <c r="U69" s="2"/>
      <c r="V69" s="7">
        <f t="shared" si="26"/>
        <v>1.5083593778937058E-2</v>
      </c>
      <c r="W69" s="2"/>
      <c r="X69" s="6">
        <f t="shared" si="27"/>
        <v>4551</v>
      </c>
      <c r="Y69" s="2"/>
      <c r="Z69" s="7">
        <f t="shared" si="28"/>
        <v>9.0117598416496567E-2</v>
      </c>
    </row>
    <row r="70" spans="1:26" s="23" customFormat="1" hidden="1" outlineLevel="2" x14ac:dyDescent="0.25">
      <c r="A70" s="25"/>
      <c r="B70" s="10" t="str">
        <f>CONCATENATE("          ", "6114", " - ", "STATE UNEMPLOYMENT INSURANCE")</f>
        <v xml:space="preserve">          6114 - STATE UNEMPLOYMENT INSURANCE</v>
      </c>
      <c r="C70" s="10"/>
      <c r="D70" s="6">
        <v>78.42</v>
      </c>
      <c r="E70" s="2"/>
      <c r="F70" s="7">
        <f t="shared" si="21"/>
        <v>7.4387808822762181E-3</v>
      </c>
      <c r="G70" s="2"/>
      <c r="H70" s="6">
        <v>-745.41</v>
      </c>
      <c r="I70" s="2"/>
      <c r="J70" s="7">
        <f t="shared" si="22"/>
        <v>-4.4779024426287707E-2</v>
      </c>
      <c r="K70" s="2"/>
      <c r="L70" s="6">
        <f t="shared" si="23"/>
        <v>823.82999999999993</v>
      </c>
      <c r="M70" s="2"/>
      <c r="N70" s="7">
        <f t="shared" si="24"/>
        <v>-1.1052038475469874</v>
      </c>
      <c r="O70" s="10"/>
      <c r="P70" s="6">
        <v>953.93</v>
      </c>
      <c r="Q70" s="2"/>
      <c r="R70" s="7">
        <f t="shared" si="25"/>
        <v>4.8259028713957668E-4</v>
      </c>
      <c r="S70" s="2"/>
      <c r="T70" s="6">
        <v>0</v>
      </c>
      <c r="U70" s="2"/>
      <c r="V70" s="7">
        <f t="shared" si="26"/>
        <v>0</v>
      </c>
      <c r="W70" s="2"/>
      <c r="X70" s="6">
        <f t="shared" si="27"/>
        <v>953.93</v>
      </c>
      <c r="Y70" s="2"/>
      <c r="Z70" s="7">
        <f t="shared" si="28"/>
        <v>0</v>
      </c>
    </row>
    <row r="71" spans="1:26" s="23" customFormat="1" hidden="1" outlineLevel="2" x14ac:dyDescent="0.25">
      <c r="A71" s="25"/>
      <c r="B71" s="10" t="str">
        <f>CONCATENATE("          ", "6115", " - ", "P.E.R.S.")</f>
        <v xml:space="preserve">          6115 - P.E.R.S.</v>
      </c>
      <c r="C71" s="10"/>
      <c r="D71" s="6">
        <v>2644.54</v>
      </c>
      <c r="E71" s="2"/>
      <c r="F71" s="7">
        <f t="shared" si="21"/>
        <v>0.25085633249700012</v>
      </c>
      <c r="G71" s="2"/>
      <c r="H71" s="6">
        <v>1363.4</v>
      </c>
      <c r="I71" s="2"/>
      <c r="J71" s="7">
        <f t="shared" si="22"/>
        <v>8.1903545569284919E-2</v>
      </c>
      <c r="K71" s="2"/>
      <c r="L71" s="6">
        <f t="shared" si="23"/>
        <v>1281.1399999999999</v>
      </c>
      <c r="M71" s="2"/>
      <c r="N71" s="7">
        <f t="shared" si="24"/>
        <v>0.93966554202728458</v>
      </c>
      <c r="O71" s="10"/>
      <c r="P71" s="6">
        <v>22892.11</v>
      </c>
      <c r="Q71" s="2"/>
      <c r="R71" s="7">
        <f t="shared" si="25"/>
        <v>1.1581048859068041E-2</v>
      </c>
      <c r="S71" s="2"/>
      <c r="T71" s="6">
        <v>17203.09</v>
      </c>
      <c r="U71" s="2"/>
      <c r="V71" s="7">
        <f t="shared" si="26"/>
        <v>5.1382361841958235E-3</v>
      </c>
      <c r="W71" s="2"/>
      <c r="X71" s="6">
        <f t="shared" si="27"/>
        <v>5689.02</v>
      </c>
      <c r="Y71" s="2"/>
      <c r="Z71" s="7">
        <f t="shared" si="28"/>
        <v>0.33069756654182475</v>
      </c>
    </row>
    <row r="72" spans="1:26" s="23" customFormat="1" hidden="1" outlineLevel="2" x14ac:dyDescent="0.25">
      <c r="A72" s="25"/>
      <c r="B72" s="10" t="str">
        <f>CONCATENATE("          ", "6117", " - ", "RETIREMENT STAFF HOURLY")</f>
        <v xml:space="preserve">          6117 - RETIREMENT STAFF HOURLY</v>
      </c>
      <c r="C72" s="10"/>
      <c r="D72" s="6">
        <v>246.25</v>
      </c>
      <c r="E72" s="2"/>
      <c r="F72" s="7">
        <f t="shared" si="21"/>
        <v>2.3358834382307049E-2</v>
      </c>
      <c r="G72" s="2"/>
      <c r="H72" s="6">
        <v>220.92</v>
      </c>
      <c r="I72" s="2"/>
      <c r="J72" s="7">
        <f t="shared" si="22"/>
        <v>1.3271329974450947E-2</v>
      </c>
      <c r="K72" s="2"/>
      <c r="L72" s="6">
        <f t="shared" si="23"/>
        <v>25.330000000000013</v>
      </c>
      <c r="M72" s="2"/>
      <c r="N72" s="7">
        <f t="shared" si="24"/>
        <v>0.11465688937171833</v>
      </c>
      <c r="O72" s="10"/>
      <c r="P72" s="6">
        <v>3247.65</v>
      </c>
      <c r="Q72" s="2"/>
      <c r="R72" s="7">
        <f t="shared" si="25"/>
        <v>1.6429762624394308E-3</v>
      </c>
      <c r="S72" s="2"/>
      <c r="T72" s="6">
        <v>2010.19</v>
      </c>
      <c r="U72" s="2"/>
      <c r="V72" s="7">
        <f t="shared" si="26"/>
        <v>6.004055663900266E-4</v>
      </c>
      <c r="W72" s="2"/>
      <c r="X72" s="6">
        <f t="shared" si="27"/>
        <v>1237.46</v>
      </c>
      <c r="Y72" s="2"/>
      <c r="Z72" s="7">
        <f t="shared" si="28"/>
        <v>0.61559355085837653</v>
      </c>
    </row>
    <row r="73" spans="1:26" s="23" customFormat="1" hidden="1" outlineLevel="2" x14ac:dyDescent="0.25">
      <c r="A73" s="25"/>
      <c r="B73" s="10" t="str">
        <f>CONCATENATE("          ", "6118", " - ", "VACATION")</f>
        <v xml:space="preserve">          6118 - VACATION</v>
      </c>
      <c r="C73" s="10"/>
      <c r="D73" s="6">
        <v>1512.33</v>
      </c>
      <c r="E73" s="2"/>
      <c r="F73" s="7">
        <f t="shared" si="21"/>
        <v>0.14345691777216008</v>
      </c>
      <c r="G73" s="2"/>
      <c r="H73" s="6">
        <v>1355.16</v>
      </c>
      <c r="I73" s="2"/>
      <c r="J73" s="7">
        <f t="shared" si="22"/>
        <v>8.1408543944309922E-2</v>
      </c>
      <c r="K73" s="2"/>
      <c r="L73" s="6">
        <f t="shared" si="23"/>
        <v>157.16999999999985</v>
      </c>
      <c r="M73" s="2"/>
      <c r="N73" s="7">
        <f t="shared" si="24"/>
        <v>0.11597892499778611</v>
      </c>
      <c r="O73" s="10"/>
      <c r="P73" s="6">
        <v>17657.46</v>
      </c>
      <c r="Q73" s="2"/>
      <c r="R73" s="7">
        <f t="shared" si="25"/>
        <v>8.9328553369278554E-3</v>
      </c>
      <c r="S73" s="2"/>
      <c r="T73" s="6">
        <v>13353.38</v>
      </c>
      <c r="U73" s="2"/>
      <c r="V73" s="7">
        <f t="shared" si="26"/>
        <v>3.9884009382800886E-3</v>
      </c>
      <c r="W73" s="2"/>
      <c r="X73" s="6">
        <f t="shared" si="27"/>
        <v>4304.08</v>
      </c>
      <c r="Y73" s="2"/>
      <c r="Z73" s="7">
        <f t="shared" si="28"/>
        <v>0.32232138979045005</v>
      </c>
    </row>
    <row r="74" spans="1:26" s="23" customFormat="1" hidden="1" outlineLevel="2" x14ac:dyDescent="0.25">
      <c r="A74" s="25"/>
      <c r="B74" s="10" t="str">
        <f>CONCATENATE("          ", "6119", " - ", "SICK LEAVE")</f>
        <v xml:space="preserve">          6119 - SICK LEAVE</v>
      </c>
      <c r="C74" s="10"/>
      <c r="D74" s="6">
        <v>284.64</v>
      </c>
      <c r="E74" s="2"/>
      <c r="F74" s="7">
        <f t="shared" si="21"/>
        <v>2.7000441090679707E-2</v>
      </c>
      <c r="G74" s="2"/>
      <c r="H74" s="6">
        <v>944.6</v>
      </c>
      <c r="I74" s="2"/>
      <c r="J74" s="7">
        <f t="shared" si="22"/>
        <v>5.6744967833905327E-2</v>
      </c>
      <c r="K74" s="2"/>
      <c r="L74" s="6">
        <f t="shared" si="23"/>
        <v>-659.96</v>
      </c>
      <c r="M74" s="2"/>
      <c r="N74" s="7">
        <f t="shared" si="24"/>
        <v>-0.69866610205377944</v>
      </c>
      <c r="O74" s="10"/>
      <c r="P74" s="6">
        <v>11746.18</v>
      </c>
      <c r="Q74" s="2"/>
      <c r="R74" s="7">
        <f t="shared" si="25"/>
        <v>5.942356754681322E-3</v>
      </c>
      <c r="S74" s="2"/>
      <c r="T74" s="6">
        <v>13903.49</v>
      </c>
      <c r="U74" s="2"/>
      <c r="V74" s="7">
        <f t="shared" si="26"/>
        <v>4.1527083451057215E-3</v>
      </c>
      <c r="W74" s="2"/>
      <c r="X74" s="6">
        <f t="shared" si="27"/>
        <v>-2157.3099999999995</v>
      </c>
      <c r="Y74" s="2"/>
      <c r="Z74" s="7">
        <f t="shared" si="28"/>
        <v>-0.15516320003107131</v>
      </c>
    </row>
    <row r="75" spans="1:26" s="23" customFormat="1" hidden="1" outlineLevel="2" x14ac:dyDescent="0.25">
      <c r="A75" s="25"/>
      <c r="B75" s="10" t="str">
        <f>CONCATENATE("          ", "6156", " - ", "EMPLOYEE MEALS")</f>
        <v xml:space="preserve">          6156 - EMPLOYEE MEALS</v>
      </c>
      <c r="C75" s="10"/>
      <c r="D75" s="6">
        <v>403.01</v>
      </c>
      <c r="E75" s="2"/>
      <c r="F75" s="7">
        <f t="shared" si="21"/>
        <v>3.8228807490004318E-2</v>
      </c>
      <c r="G75" s="2"/>
      <c r="H75" s="6">
        <v>440.06</v>
      </c>
      <c r="I75" s="2"/>
      <c r="J75" s="7">
        <f t="shared" si="22"/>
        <v>2.6435729986225259E-2</v>
      </c>
      <c r="K75" s="2"/>
      <c r="L75" s="6">
        <f t="shared" si="23"/>
        <v>-37.050000000000011</v>
      </c>
      <c r="M75" s="2"/>
      <c r="N75" s="7">
        <f t="shared" si="24"/>
        <v>-8.4193064582102461E-2</v>
      </c>
      <c r="O75" s="10"/>
      <c r="P75" s="6">
        <v>5063.72</v>
      </c>
      <c r="Q75" s="2"/>
      <c r="R75" s="7">
        <f t="shared" si="25"/>
        <v>2.5617205547518347E-3</v>
      </c>
      <c r="S75" s="2"/>
      <c r="T75" s="6">
        <v>6582.16</v>
      </c>
      <c r="U75" s="2"/>
      <c r="V75" s="7">
        <f t="shared" si="26"/>
        <v>1.9659661538808655E-3</v>
      </c>
      <c r="W75" s="2"/>
      <c r="X75" s="6">
        <f t="shared" si="27"/>
        <v>-1518.4399999999996</v>
      </c>
      <c r="Y75" s="2"/>
      <c r="Z75" s="7">
        <f t="shared" si="28"/>
        <v>-0.23069022934720512</v>
      </c>
    </row>
    <row r="76" spans="1:26" s="27" customFormat="1" outlineLevel="1" collapsed="1" x14ac:dyDescent="0.25">
      <c r="A76" s="26"/>
      <c r="B76" s="12" t="str">
        <f>CONCATENATE("     ","*Payroll                                          ")</f>
        <v xml:space="preserve">     *Payroll                                          </v>
      </c>
      <c r="C76" s="12"/>
      <c r="D76" s="1">
        <f>SUM(OSRRefD22_1x_0)</f>
        <v>28142.829999999998</v>
      </c>
      <c r="E76" s="1"/>
      <c r="F76" s="5">
        <f t="shared" ref="F76:F83" si="29">IF(D$12=0,0,D76/D$12)</f>
        <v>2.669578497540801</v>
      </c>
      <c r="G76" s="1"/>
      <c r="H76" s="1">
        <f>SUM(OSRRefH22_1x_0)</f>
        <v>24597.489999999998</v>
      </c>
      <c r="I76" s="1"/>
      <c r="J76" s="5">
        <f t="shared" ref="J76:J83" si="30">IF(H$12=0,0,H76/H$12)</f>
        <v>1.4776453301342451</v>
      </c>
      <c r="K76" s="1"/>
      <c r="L76" s="1">
        <f t="shared" ref="L76:L83" si="31">+D76-H76</f>
        <v>3545.34</v>
      </c>
      <c r="M76" s="1"/>
      <c r="N76" s="5">
        <f t="shared" ref="N76:N83" si="32">IF(H76=0,0,L76/H76)</f>
        <v>0.14413421857270806</v>
      </c>
      <c r="O76" s="12"/>
      <c r="P76" s="1">
        <f>SUM(OSRRefP22_1x_0)</f>
        <v>338965.84999999992</v>
      </c>
      <c r="Q76" s="1"/>
      <c r="R76" s="5">
        <f t="shared" ref="R76:R83" si="33">IF(P$12=0,0,P76/P$12)</f>
        <v>0.17148179308965086</v>
      </c>
      <c r="S76" s="1"/>
      <c r="T76" s="1">
        <f>SUM(OSRRefT22_1x_0)</f>
        <v>331883.89999999997</v>
      </c>
      <c r="U76" s="1"/>
      <c r="V76" s="5">
        <f t="shared" ref="V76:V83" si="34">IF(T$12=0,0,T76/T$12)</f>
        <v>9.9127416291609705E-2</v>
      </c>
      <c r="W76" s="1"/>
      <c r="X76" s="1">
        <f t="shared" ref="X76:X83" si="35">+P76-T76</f>
        <v>7081.9499999999534</v>
      </c>
      <c r="Y76" s="1"/>
      <c r="Z76" s="5">
        <f t="shared" ref="Z76:Z83" si="36">IF(T76=0,0,X76/T76)</f>
        <v>2.1338636794372833E-2</v>
      </c>
    </row>
    <row r="77" spans="1:26" s="23" customFormat="1" hidden="1" outlineLevel="2" x14ac:dyDescent="0.25">
      <c r="A77" s="25"/>
      <c r="B77" s="10" t="str">
        <f>CONCATENATE("          ", "6001", " - ", "ADMINISTRATIVE SALARIES")</f>
        <v xml:space="preserve">          6001 - ADMINISTRATIVE SALARIES</v>
      </c>
      <c r="C77" s="10"/>
      <c r="D77" s="6"/>
      <c r="E77" s="2"/>
      <c r="F77" s="7">
        <f t="shared" si="29"/>
        <v>0</v>
      </c>
      <c r="G77" s="2"/>
      <c r="H77" s="6"/>
      <c r="I77" s="2"/>
      <c r="J77" s="7">
        <f t="shared" si="30"/>
        <v>0</v>
      </c>
      <c r="K77" s="2"/>
      <c r="L77" s="6">
        <f t="shared" si="31"/>
        <v>0</v>
      </c>
      <c r="M77" s="2"/>
      <c r="N77" s="7">
        <f t="shared" si="32"/>
        <v>0</v>
      </c>
      <c r="O77" s="10"/>
      <c r="P77" s="6">
        <v>-311.32</v>
      </c>
      <c r="Q77" s="2"/>
      <c r="R77" s="7">
        <f t="shared" si="33"/>
        <v>-1.5749584161552001E-4</v>
      </c>
      <c r="S77" s="2"/>
      <c r="T77" s="6">
        <v>0</v>
      </c>
      <c r="U77" s="2"/>
      <c r="V77" s="7">
        <f t="shared" si="34"/>
        <v>0</v>
      </c>
      <c r="W77" s="2"/>
      <c r="X77" s="6">
        <f t="shared" si="35"/>
        <v>-311.32</v>
      </c>
      <c r="Y77" s="2"/>
      <c r="Z77" s="7">
        <f t="shared" si="36"/>
        <v>0</v>
      </c>
    </row>
    <row r="78" spans="1:26" s="23" customFormat="1" hidden="1" outlineLevel="2" x14ac:dyDescent="0.25">
      <c r="A78" s="25"/>
      <c r="B78" s="10" t="str">
        <f>CONCATENATE("          ", "6002", " - ", "STAFF SALARIES")</f>
        <v xml:space="preserve">          6002 - STAFF SALARIES</v>
      </c>
      <c r="C78" s="10"/>
      <c r="D78" s="6">
        <v>18030.77</v>
      </c>
      <c r="E78" s="2"/>
      <c r="F78" s="7">
        <f t="shared" si="29"/>
        <v>1.7103665795552101</v>
      </c>
      <c r="G78" s="2"/>
      <c r="H78" s="6">
        <v>14558.33</v>
      </c>
      <c r="I78" s="2"/>
      <c r="J78" s="7">
        <f t="shared" si="30"/>
        <v>0.87456274355852104</v>
      </c>
      <c r="K78" s="2"/>
      <c r="L78" s="6">
        <f t="shared" si="31"/>
        <v>3472.4400000000005</v>
      </c>
      <c r="M78" s="2"/>
      <c r="N78" s="7">
        <f t="shared" si="32"/>
        <v>0.23851911586012961</v>
      </c>
      <c r="O78" s="10"/>
      <c r="P78" s="6">
        <v>210246.3</v>
      </c>
      <c r="Q78" s="2"/>
      <c r="R78" s="7">
        <f t="shared" si="33"/>
        <v>0.1063629640403736</v>
      </c>
      <c r="S78" s="2"/>
      <c r="T78" s="6">
        <v>186567.11</v>
      </c>
      <c r="U78" s="2"/>
      <c r="V78" s="7">
        <f t="shared" si="34"/>
        <v>5.5724051631587251E-2</v>
      </c>
      <c r="W78" s="2"/>
      <c r="X78" s="6">
        <f t="shared" si="35"/>
        <v>23679.190000000002</v>
      </c>
      <c r="Y78" s="2"/>
      <c r="Z78" s="7">
        <f t="shared" si="36"/>
        <v>0.12692049525771185</v>
      </c>
    </row>
    <row r="79" spans="1:26" s="23" customFormat="1" hidden="1" outlineLevel="2" x14ac:dyDescent="0.25">
      <c r="A79" s="25"/>
      <c r="B79" s="10" t="str">
        <f>CONCATENATE("          ", "6004", " - ", "STAFF HOURLY")</f>
        <v xml:space="preserve">          6004 - STAFF HOURLY</v>
      </c>
      <c r="C79" s="10"/>
      <c r="D79" s="6">
        <v>6138.5</v>
      </c>
      <c r="E79" s="2"/>
      <c r="F79" s="7">
        <f t="shared" si="29"/>
        <v>0.58228712631793633</v>
      </c>
      <c r="G79" s="2"/>
      <c r="H79" s="6">
        <v>5669.27</v>
      </c>
      <c r="I79" s="2"/>
      <c r="J79" s="7">
        <f t="shared" si="30"/>
        <v>0.34057012893470728</v>
      </c>
      <c r="K79" s="2"/>
      <c r="L79" s="6">
        <f t="shared" si="31"/>
        <v>469.22999999999956</v>
      </c>
      <c r="M79" s="2"/>
      <c r="N79" s="7">
        <f t="shared" si="32"/>
        <v>8.2767269860140644E-2</v>
      </c>
      <c r="O79" s="10"/>
      <c r="P79" s="6">
        <v>80583.929999999993</v>
      </c>
      <c r="Q79" s="2"/>
      <c r="R79" s="7">
        <f t="shared" si="33"/>
        <v>4.0767165219183325E-2</v>
      </c>
      <c r="S79" s="2"/>
      <c r="T79" s="6">
        <v>51297.07</v>
      </c>
      <c r="U79" s="2"/>
      <c r="V79" s="7">
        <f t="shared" si="34"/>
        <v>1.5321460343300305E-2</v>
      </c>
      <c r="W79" s="2"/>
      <c r="X79" s="6">
        <f t="shared" si="35"/>
        <v>29286.859999999993</v>
      </c>
      <c r="Y79" s="2"/>
      <c r="Z79" s="7">
        <f t="shared" si="36"/>
        <v>0.57092656559136801</v>
      </c>
    </row>
    <row r="80" spans="1:26" s="23" customFormat="1" hidden="1" outlineLevel="2" x14ac:dyDescent="0.25">
      <c r="A80" s="25"/>
      <c r="B80" s="10" t="str">
        <f>CONCATENATE("          ", "6005", " - ", "TEMPORARY WAGES-HOURLY")</f>
        <v xml:space="preserve">          6005 - TEMPORARY WAGES-HOURLY</v>
      </c>
      <c r="C80" s="10"/>
      <c r="D80" s="6">
        <v>3881.44</v>
      </c>
      <c r="E80" s="2"/>
      <c r="F80" s="7">
        <f t="shared" si="29"/>
        <v>0.36818645329893146</v>
      </c>
      <c r="G80" s="2"/>
      <c r="H80" s="6">
        <v>1731.67</v>
      </c>
      <c r="I80" s="2"/>
      <c r="J80" s="7">
        <f t="shared" si="30"/>
        <v>0.10402663397092828</v>
      </c>
      <c r="K80" s="2"/>
      <c r="L80" s="6">
        <f t="shared" si="31"/>
        <v>2149.77</v>
      </c>
      <c r="M80" s="2"/>
      <c r="N80" s="7">
        <f t="shared" si="32"/>
        <v>1.2414432311006138</v>
      </c>
      <c r="O80" s="10"/>
      <c r="P80" s="6">
        <v>21436.6</v>
      </c>
      <c r="Q80" s="2"/>
      <c r="R80" s="7">
        <f t="shared" si="33"/>
        <v>1.0844710774686035E-2</v>
      </c>
      <c r="S80" s="2"/>
      <c r="T80" s="6">
        <v>26163.919999999998</v>
      </c>
      <c r="U80" s="2"/>
      <c r="V80" s="7">
        <f t="shared" si="34"/>
        <v>7.8146658806298626E-3</v>
      </c>
      <c r="W80" s="2"/>
      <c r="X80" s="6">
        <f t="shared" si="35"/>
        <v>-4727.32</v>
      </c>
      <c r="Y80" s="2"/>
      <c r="Z80" s="7">
        <f t="shared" si="36"/>
        <v>-0.18068087656589685</v>
      </c>
    </row>
    <row r="81" spans="1:26" s="23" customFormat="1" hidden="1" outlineLevel="2" x14ac:dyDescent="0.25">
      <c r="A81" s="25"/>
      <c r="B81" s="10" t="str">
        <f>CONCATENATE("          ", "6006", " - ", "TEMPORARY PART TIME")</f>
        <v xml:space="preserve">          6006 - TEMPORARY PART TIME</v>
      </c>
      <c r="C81" s="10"/>
      <c r="D81" s="6"/>
      <c r="E81" s="2"/>
      <c r="F81" s="7">
        <f t="shared" si="29"/>
        <v>0</v>
      </c>
      <c r="G81" s="2"/>
      <c r="H81" s="6">
        <v>899.18</v>
      </c>
      <c r="I81" s="2"/>
      <c r="J81" s="7">
        <f t="shared" si="30"/>
        <v>5.401645159526889E-2</v>
      </c>
      <c r="K81" s="2"/>
      <c r="L81" s="6">
        <f t="shared" si="31"/>
        <v>-899.18</v>
      </c>
      <c r="M81" s="2"/>
      <c r="N81" s="7">
        <f t="shared" si="32"/>
        <v>-1</v>
      </c>
      <c r="O81" s="10"/>
      <c r="P81" s="6">
        <v>914.04</v>
      </c>
      <c r="Q81" s="2"/>
      <c r="R81" s="7">
        <f t="shared" si="33"/>
        <v>4.6241005740154799E-4</v>
      </c>
      <c r="S81" s="2"/>
      <c r="T81" s="6">
        <v>6181.55</v>
      </c>
      <c r="U81" s="2"/>
      <c r="V81" s="7">
        <f t="shared" si="34"/>
        <v>1.8463115570758329E-3</v>
      </c>
      <c r="W81" s="2"/>
      <c r="X81" s="6">
        <f t="shared" si="35"/>
        <v>-5267.51</v>
      </c>
      <c r="Y81" s="2"/>
      <c r="Z81" s="7">
        <f t="shared" si="36"/>
        <v>-0.85213417346781961</v>
      </c>
    </row>
    <row r="82" spans="1:26" s="23" customFormat="1" hidden="1" outlineLevel="2" x14ac:dyDescent="0.25">
      <c r="A82" s="25"/>
      <c r="B82" s="10" t="str">
        <f>CONCATENATE("          ", "6007", " - ", "STUDENT HOURLY")</f>
        <v xml:space="preserve">          6007 - STUDENT HOURLY</v>
      </c>
      <c r="C82" s="10"/>
      <c r="D82" s="6">
        <v>92.12</v>
      </c>
      <c r="E82" s="2"/>
      <c r="F82" s="7">
        <f t="shared" si="29"/>
        <v>8.7383383687233522E-3</v>
      </c>
      <c r="G82" s="2"/>
      <c r="H82" s="6">
        <v>1739.04</v>
      </c>
      <c r="I82" s="2"/>
      <c r="J82" s="7">
        <f t="shared" si="30"/>
        <v>0.10446937207481974</v>
      </c>
      <c r="K82" s="2"/>
      <c r="L82" s="6">
        <f t="shared" si="31"/>
        <v>-1646.92</v>
      </c>
      <c r="M82" s="2"/>
      <c r="N82" s="7">
        <f t="shared" si="32"/>
        <v>-0.94702824546876441</v>
      </c>
      <c r="O82" s="10"/>
      <c r="P82" s="6">
        <v>25129.040000000001</v>
      </c>
      <c r="Q82" s="2"/>
      <c r="R82" s="7">
        <f t="shared" si="33"/>
        <v>1.2712704946004329E-2</v>
      </c>
      <c r="S82" s="2"/>
      <c r="T82" s="6">
        <v>61674.25</v>
      </c>
      <c r="U82" s="2"/>
      <c r="V82" s="7">
        <f t="shared" si="34"/>
        <v>1.8420926879016458E-2</v>
      </c>
      <c r="W82" s="2"/>
      <c r="X82" s="6">
        <f t="shared" si="35"/>
        <v>-36545.21</v>
      </c>
      <c r="Y82" s="2"/>
      <c r="Z82" s="7">
        <f t="shared" si="36"/>
        <v>-0.59255215912637771</v>
      </c>
    </row>
    <row r="83" spans="1:26" s="23" customFormat="1" hidden="1" outlineLevel="2" x14ac:dyDescent="0.25">
      <c r="A83" s="25"/>
      <c r="B83" s="10" t="str">
        <f>CONCATENATE("          ", "6008", " - ", "STUDENT HOURLY-FICA EXEMPT")</f>
        <v xml:space="preserve">          6008 - STUDENT HOURLY-FICA EXEMPT</v>
      </c>
      <c r="C83" s="10"/>
      <c r="D83" s="6"/>
      <c r="E83" s="2"/>
      <c r="F83" s="7">
        <f t="shared" si="29"/>
        <v>0</v>
      </c>
      <c r="G83" s="2"/>
      <c r="H83" s="6"/>
      <c r="I83" s="2"/>
      <c r="J83" s="7">
        <f t="shared" si="30"/>
        <v>0</v>
      </c>
      <c r="K83" s="2"/>
      <c r="L83" s="6">
        <f t="shared" si="31"/>
        <v>0</v>
      </c>
      <c r="M83" s="2"/>
      <c r="N83" s="7">
        <f t="shared" si="32"/>
        <v>0</v>
      </c>
      <c r="O83" s="10"/>
      <c r="P83" s="6">
        <v>967.26</v>
      </c>
      <c r="Q83" s="2"/>
      <c r="R83" s="7">
        <f t="shared" si="33"/>
        <v>4.8933389361758932E-4</v>
      </c>
      <c r="S83" s="2"/>
      <c r="T83" s="6"/>
      <c r="U83" s="2"/>
      <c r="V83" s="7">
        <f t="shared" si="34"/>
        <v>0</v>
      </c>
      <c r="W83" s="2"/>
      <c r="X83" s="6">
        <f t="shared" si="35"/>
        <v>967.26</v>
      </c>
      <c r="Y83" s="2"/>
      <c r="Z83" s="7">
        <f t="shared" si="36"/>
        <v>0</v>
      </c>
    </row>
    <row r="84" spans="1:26" s="27" customFormat="1" outlineLevel="1" collapsed="1" x14ac:dyDescent="0.25">
      <c r="A84" s="26"/>
      <c r="B84" s="12" t="str">
        <f>CONCATENATE("     ","Advertising/Promo                                 ")</f>
        <v xml:space="preserve">     Advertising/Promo                                 </v>
      </c>
      <c r="C84" s="12"/>
      <c r="D84" s="1">
        <f>SUM(OSRRefD22_2x_0)</f>
        <v>0</v>
      </c>
      <c r="E84" s="1"/>
      <c r="F84" s="5">
        <f t="shared" ref="F84:F88" si="37">IF(D$12=0,0,D84/D$12)</f>
        <v>0</v>
      </c>
      <c r="G84" s="1"/>
      <c r="H84" s="1">
        <f>SUM(OSRRefH22_2x_0)</f>
        <v>0</v>
      </c>
      <c r="I84" s="1"/>
      <c r="J84" s="5">
        <f t="shared" ref="J84:J88" si="38">IF(H$12=0,0,H84/H$12)</f>
        <v>0</v>
      </c>
      <c r="K84" s="1"/>
      <c r="L84" s="1">
        <f t="shared" ref="L84:L88" si="39">+D84-H84</f>
        <v>0</v>
      </c>
      <c r="M84" s="1"/>
      <c r="N84" s="5">
        <f t="shared" ref="N84:N88" si="40">IF(H84=0,0,L84/H84)</f>
        <v>0</v>
      </c>
      <c r="O84" s="12"/>
      <c r="P84" s="1">
        <f>SUM(OSRRefP22_2x_0)</f>
        <v>2380.9899999999998</v>
      </c>
      <c r="Q84" s="1"/>
      <c r="R84" s="5">
        <f t="shared" ref="R84:R88" si="41">IF(P$12=0,0,P84/P$12)</f>
        <v>1.2045356030069927E-3</v>
      </c>
      <c r="S84" s="1"/>
      <c r="T84" s="1">
        <f>SUM(OSRRefT22_2x_0)</f>
        <v>3981.59</v>
      </c>
      <c r="U84" s="1"/>
      <c r="V84" s="5">
        <f t="shared" ref="V84:V88" si="42">IF(T$12=0,0,T84/T$12)</f>
        <v>1.1892252966549759E-3</v>
      </c>
      <c r="W84" s="1"/>
      <c r="X84" s="1">
        <f t="shared" ref="X84:X88" si="43">+P84-T84</f>
        <v>-1600.6000000000004</v>
      </c>
      <c r="Y84" s="1"/>
      <c r="Z84" s="5">
        <f t="shared" ref="Z84:Z88" si="44">IF(T84=0,0,X84/T84)</f>
        <v>-0.40200020594787517</v>
      </c>
    </row>
    <row r="85" spans="1:26" s="23" customFormat="1" hidden="1" outlineLevel="2" x14ac:dyDescent="0.25">
      <c r="A85" s="25"/>
      <c r="B85" s="10" t="str">
        <f>CONCATENATE("          ", "6362", " - ", "ADVERTISING EXPENSE")</f>
        <v xml:space="preserve">          6362 - ADVERTISING EXPENSE</v>
      </c>
      <c r="C85" s="10"/>
      <c r="D85" s="6"/>
      <c r="E85" s="2"/>
      <c r="F85" s="7">
        <f t="shared" si="37"/>
        <v>0</v>
      </c>
      <c r="G85" s="2"/>
      <c r="H85" s="6"/>
      <c r="I85" s="2"/>
      <c r="J85" s="7">
        <f t="shared" si="38"/>
        <v>0</v>
      </c>
      <c r="K85" s="2"/>
      <c r="L85" s="6">
        <f t="shared" si="39"/>
        <v>0</v>
      </c>
      <c r="M85" s="2"/>
      <c r="N85" s="7">
        <f t="shared" si="40"/>
        <v>0</v>
      </c>
      <c r="O85" s="10"/>
      <c r="P85" s="6">
        <v>2380.9899999999998</v>
      </c>
      <c r="Q85" s="2"/>
      <c r="R85" s="7">
        <f t="shared" si="41"/>
        <v>1.2045356030069927E-3</v>
      </c>
      <c r="S85" s="2"/>
      <c r="T85" s="6">
        <v>3981.59</v>
      </c>
      <c r="U85" s="2"/>
      <c r="V85" s="7">
        <f t="shared" si="42"/>
        <v>1.1892252966549759E-3</v>
      </c>
      <c r="W85" s="2"/>
      <c r="X85" s="6">
        <f t="shared" si="43"/>
        <v>-1600.6000000000004</v>
      </c>
      <c r="Y85" s="2"/>
      <c r="Z85" s="7">
        <f t="shared" si="44"/>
        <v>-0.40200020594787517</v>
      </c>
    </row>
    <row r="86" spans="1:26" s="27" customFormat="1" outlineLevel="1" collapsed="1" x14ac:dyDescent="0.25">
      <c r="A86" s="26"/>
      <c r="B86" s="12" t="str">
        <f>CONCATENATE("     ","Discounts and Markdowns                           ")</f>
        <v xml:space="preserve">     Discounts and Markdowns                           </v>
      </c>
      <c r="C86" s="12"/>
      <c r="D86" s="1">
        <f>SUM(OSRRefD22_3x_0)</f>
        <v>0</v>
      </c>
      <c r="E86" s="1"/>
      <c r="F86" s="5">
        <f t="shared" si="37"/>
        <v>0</v>
      </c>
      <c r="G86" s="1"/>
      <c r="H86" s="1">
        <f>SUM(OSRRefH22_3x_0)</f>
        <v>321.91000000000003</v>
      </c>
      <c r="I86" s="1"/>
      <c r="J86" s="5">
        <f t="shared" si="38"/>
        <v>1.9338103531031617E-2</v>
      </c>
      <c r="K86" s="1"/>
      <c r="L86" s="1">
        <f t="shared" si="39"/>
        <v>-321.91000000000003</v>
      </c>
      <c r="M86" s="1"/>
      <c r="N86" s="5">
        <f t="shared" si="40"/>
        <v>-1</v>
      </c>
      <c r="O86" s="12"/>
      <c r="P86" s="1">
        <f>SUM(OSRRefP22_3x_0)</f>
        <v>0</v>
      </c>
      <c r="Q86" s="1"/>
      <c r="R86" s="5">
        <f t="shared" si="41"/>
        <v>0</v>
      </c>
      <c r="S86" s="1"/>
      <c r="T86" s="1">
        <f>SUM(OSRRefT22_3x_0)</f>
        <v>629.67000000000007</v>
      </c>
      <c r="U86" s="1"/>
      <c r="V86" s="5">
        <f t="shared" si="42"/>
        <v>1.8807046746268166E-4</v>
      </c>
      <c r="W86" s="1"/>
      <c r="X86" s="1">
        <f t="shared" si="43"/>
        <v>-629.67000000000007</v>
      </c>
      <c r="Y86" s="1"/>
      <c r="Z86" s="5">
        <f t="shared" si="44"/>
        <v>-1</v>
      </c>
    </row>
    <row r="87" spans="1:26" s="23" customFormat="1" hidden="1" outlineLevel="2" x14ac:dyDescent="0.25">
      <c r="A87" s="25"/>
      <c r="B87" s="10" t="str">
        <f>CONCATENATE("          ", "6382", " - ", "DISCOUNTS/MARK DOWNS")</f>
        <v xml:space="preserve">          6382 - DISCOUNTS/MARK DOWNS</v>
      </c>
      <c r="C87" s="10"/>
      <c r="D87" s="6">
        <v>0</v>
      </c>
      <c r="E87" s="2"/>
      <c r="F87" s="7">
        <f t="shared" si="37"/>
        <v>0</v>
      </c>
      <c r="G87" s="2"/>
      <c r="H87" s="6">
        <v>321.91000000000003</v>
      </c>
      <c r="I87" s="2"/>
      <c r="J87" s="7">
        <f t="shared" si="38"/>
        <v>1.9338103531031617E-2</v>
      </c>
      <c r="K87" s="2"/>
      <c r="L87" s="6">
        <f t="shared" si="39"/>
        <v>-321.91000000000003</v>
      </c>
      <c r="M87" s="2"/>
      <c r="N87" s="7">
        <f t="shared" si="40"/>
        <v>-1</v>
      </c>
      <c r="O87" s="10"/>
      <c r="P87" s="6">
        <v>0</v>
      </c>
      <c r="Q87" s="2"/>
      <c r="R87" s="7">
        <f t="shared" si="41"/>
        <v>0</v>
      </c>
      <c r="S87" s="2"/>
      <c r="T87" s="6">
        <v>1081.94</v>
      </c>
      <c r="U87" s="2"/>
      <c r="V87" s="7">
        <f t="shared" si="42"/>
        <v>3.2315492490760843E-4</v>
      </c>
      <c r="W87" s="2"/>
      <c r="X87" s="6">
        <f t="shared" si="43"/>
        <v>-1081.94</v>
      </c>
      <c r="Y87" s="2"/>
      <c r="Z87" s="7">
        <f t="shared" si="44"/>
        <v>-1</v>
      </c>
    </row>
    <row r="88" spans="1:26" s="23" customFormat="1" hidden="1" outlineLevel="2" x14ac:dyDescent="0.25">
      <c r="A88" s="25"/>
      <c r="B88" s="10" t="str">
        <f>CONCATENATE("          ", "9175", " - ", "EARNED DISCOUNTS")</f>
        <v xml:space="preserve">          9175 - EARNED DISCOUNTS</v>
      </c>
      <c r="C88" s="10"/>
      <c r="D88" s="6"/>
      <c r="E88" s="2"/>
      <c r="F88" s="7">
        <f t="shared" si="37"/>
        <v>0</v>
      </c>
      <c r="G88" s="2"/>
      <c r="H88" s="6"/>
      <c r="I88" s="2"/>
      <c r="J88" s="7">
        <f t="shared" si="38"/>
        <v>0</v>
      </c>
      <c r="K88" s="2"/>
      <c r="L88" s="6">
        <f t="shared" si="39"/>
        <v>0</v>
      </c>
      <c r="M88" s="2"/>
      <c r="N88" s="7">
        <f t="shared" si="40"/>
        <v>0</v>
      </c>
      <c r="O88" s="10"/>
      <c r="P88" s="6">
        <v>0</v>
      </c>
      <c r="Q88" s="2"/>
      <c r="R88" s="7">
        <f t="shared" si="41"/>
        <v>0</v>
      </c>
      <c r="S88" s="2"/>
      <c r="T88" s="6">
        <v>-452.27</v>
      </c>
      <c r="U88" s="2"/>
      <c r="V88" s="7">
        <f t="shared" si="42"/>
        <v>-1.3508445744492674E-4</v>
      </c>
      <c r="W88" s="2"/>
      <c r="X88" s="6">
        <f t="shared" si="43"/>
        <v>452.27</v>
      </c>
      <c r="Y88" s="2"/>
      <c r="Z88" s="7">
        <f t="shared" si="44"/>
        <v>-1</v>
      </c>
    </row>
    <row r="89" spans="1:26" s="27" customFormat="1" outlineLevel="1" collapsed="1" x14ac:dyDescent="0.25">
      <c r="A89" s="26"/>
      <c r="B89" s="12" t="str">
        <f>CONCATENATE("     ","Employees' Appreciation                           ")</f>
        <v xml:space="preserve">     Employees' Appreciation                           </v>
      </c>
      <c r="C89" s="12"/>
      <c r="D89" s="1">
        <f>SUM(OSRRefD22_4x_0)</f>
        <v>0</v>
      </c>
      <c r="E89" s="1"/>
      <c r="F89" s="5">
        <f t="shared" ref="F89:F95" si="45">IF(D$12=0,0,D89/D$12)</f>
        <v>0</v>
      </c>
      <c r="G89" s="1"/>
      <c r="H89" s="1">
        <f>SUM(OSRRefH22_4x_0)</f>
        <v>0</v>
      </c>
      <c r="I89" s="1"/>
      <c r="J89" s="5">
        <f t="shared" ref="J89:J95" si="46">IF(H$12=0,0,H89/H$12)</f>
        <v>0</v>
      </c>
      <c r="K89" s="1"/>
      <c r="L89" s="1">
        <f t="shared" ref="L89:L95" si="47">+D89-H89</f>
        <v>0</v>
      </c>
      <c r="M89" s="1"/>
      <c r="N89" s="5">
        <f t="shared" ref="N89:N95" si="48">IF(H89=0,0,L89/H89)</f>
        <v>0</v>
      </c>
      <c r="O89" s="12"/>
      <c r="P89" s="1">
        <f>SUM(OSRRefP22_4x_0)</f>
        <v>107.7</v>
      </c>
      <c r="Q89" s="1"/>
      <c r="R89" s="5">
        <f t="shared" ref="R89:R95" si="49">IF(P$12=0,0,P89/P$12)</f>
        <v>5.4485102601797214E-5</v>
      </c>
      <c r="S89" s="1"/>
      <c r="T89" s="1">
        <f>SUM(OSRRefT22_4x_0)</f>
        <v>120.18</v>
      </c>
      <c r="U89" s="1"/>
      <c r="V89" s="5">
        <f t="shared" ref="V89:V95" si="50">IF(T$12=0,0,T89/T$12)</f>
        <v>3.5895482998499345E-5</v>
      </c>
      <c r="W89" s="1"/>
      <c r="X89" s="1">
        <f t="shared" ref="X89:X95" si="51">+P89-T89</f>
        <v>-12.480000000000004</v>
      </c>
      <c r="Y89" s="1"/>
      <c r="Z89" s="5">
        <f t="shared" ref="Z89:Z95" si="52">IF(T89=0,0,X89/T89)</f>
        <v>-0.10384423364952573</v>
      </c>
    </row>
    <row r="90" spans="1:26" s="23" customFormat="1" hidden="1" outlineLevel="2" x14ac:dyDescent="0.25">
      <c r="A90" s="25"/>
      <c r="B90" s="10" t="str">
        <f>CONCATENATE("          ", "6277", " - ", "EMPLOYEE APPRECIATION")</f>
        <v xml:space="preserve">          6277 - EMPLOYEE APPRECIATION</v>
      </c>
      <c r="C90" s="10"/>
      <c r="D90" s="6"/>
      <c r="E90" s="2"/>
      <c r="F90" s="7">
        <f t="shared" si="45"/>
        <v>0</v>
      </c>
      <c r="G90" s="2"/>
      <c r="H90" s="6"/>
      <c r="I90" s="2"/>
      <c r="J90" s="7">
        <f t="shared" si="46"/>
        <v>0</v>
      </c>
      <c r="K90" s="2"/>
      <c r="L90" s="6">
        <f t="shared" si="47"/>
        <v>0</v>
      </c>
      <c r="M90" s="2"/>
      <c r="N90" s="7">
        <f t="shared" si="48"/>
        <v>0</v>
      </c>
      <c r="O90" s="10"/>
      <c r="P90" s="6">
        <v>107.7</v>
      </c>
      <c r="Q90" s="2"/>
      <c r="R90" s="7">
        <f t="shared" si="49"/>
        <v>5.4485102601797214E-5</v>
      </c>
      <c r="S90" s="2"/>
      <c r="T90" s="6">
        <v>120.18</v>
      </c>
      <c r="U90" s="2"/>
      <c r="V90" s="7">
        <f t="shared" si="50"/>
        <v>3.5895482998499345E-5</v>
      </c>
      <c r="W90" s="2"/>
      <c r="X90" s="6">
        <f t="shared" si="51"/>
        <v>-12.480000000000004</v>
      </c>
      <c r="Y90" s="2"/>
      <c r="Z90" s="7">
        <f t="shared" si="52"/>
        <v>-0.10384423364952573</v>
      </c>
    </row>
    <row r="91" spans="1:26" s="27" customFormat="1" outlineLevel="1" collapsed="1" x14ac:dyDescent="0.25">
      <c r="A91" s="26"/>
      <c r="B91" s="12" t="str">
        <f>CONCATENATE("     ","Equipment Rental                                  ")</f>
        <v xml:space="preserve">     Equipment Rental                                  </v>
      </c>
      <c r="C91" s="12"/>
      <c r="D91" s="1">
        <f>SUM(OSRRefD22_5x_0)</f>
        <v>91.26</v>
      </c>
      <c r="E91" s="1"/>
      <c r="F91" s="5">
        <f t="shared" si="45"/>
        <v>8.6567603075303201E-3</v>
      </c>
      <c r="G91" s="1"/>
      <c r="H91" s="1">
        <f>SUM(OSRRefH22_5x_0)</f>
        <v>91.26</v>
      </c>
      <c r="I91" s="1"/>
      <c r="J91" s="5">
        <f t="shared" si="46"/>
        <v>5.4822631426235452E-3</v>
      </c>
      <c r="K91" s="1"/>
      <c r="L91" s="1">
        <f t="shared" si="47"/>
        <v>0</v>
      </c>
      <c r="M91" s="1"/>
      <c r="N91" s="5">
        <f t="shared" si="48"/>
        <v>0</v>
      </c>
      <c r="O91" s="12"/>
      <c r="P91" s="1">
        <f>SUM(OSRRefP22_5x_0)</f>
        <v>1095.1199999999999</v>
      </c>
      <c r="Q91" s="1"/>
      <c r="R91" s="5">
        <f t="shared" si="49"/>
        <v>5.540178789348204E-4</v>
      </c>
      <c r="S91" s="1"/>
      <c r="T91" s="1">
        <f>SUM(OSRRefT22_5x_0)</f>
        <v>1095.1199999999999</v>
      </c>
      <c r="U91" s="1"/>
      <c r="V91" s="5">
        <f t="shared" si="50"/>
        <v>3.2709154053350468E-4</v>
      </c>
      <c r="W91" s="1"/>
      <c r="X91" s="1">
        <f t="shared" si="51"/>
        <v>0</v>
      </c>
      <c r="Y91" s="1"/>
      <c r="Z91" s="5">
        <f t="shared" si="52"/>
        <v>0</v>
      </c>
    </row>
    <row r="92" spans="1:26" s="23" customFormat="1" hidden="1" outlineLevel="2" x14ac:dyDescent="0.25">
      <c r="A92" s="25"/>
      <c r="B92" s="10" t="str">
        <f>CONCATENATE("          ", "6351", " - ", "EQUIPMENT RENTAL")</f>
        <v xml:space="preserve">          6351 - EQUIPMENT RENTAL</v>
      </c>
      <c r="C92" s="10"/>
      <c r="D92" s="6">
        <v>91.26</v>
      </c>
      <c r="E92" s="2"/>
      <c r="F92" s="7">
        <f t="shared" si="45"/>
        <v>8.6567603075303201E-3</v>
      </c>
      <c r="G92" s="2"/>
      <c r="H92" s="6">
        <v>91.26</v>
      </c>
      <c r="I92" s="2"/>
      <c r="J92" s="7">
        <f t="shared" si="46"/>
        <v>5.4822631426235452E-3</v>
      </c>
      <c r="K92" s="2"/>
      <c r="L92" s="6">
        <f t="shared" si="47"/>
        <v>0</v>
      </c>
      <c r="M92" s="2"/>
      <c r="N92" s="7">
        <f t="shared" si="48"/>
        <v>0</v>
      </c>
      <c r="O92" s="10"/>
      <c r="P92" s="6">
        <v>1095.1199999999999</v>
      </c>
      <c r="Q92" s="2"/>
      <c r="R92" s="7">
        <f t="shared" si="49"/>
        <v>5.540178789348204E-4</v>
      </c>
      <c r="S92" s="2"/>
      <c r="T92" s="6">
        <v>1095.1199999999999</v>
      </c>
      <c r="U92" s="2"/>
      <c r="V92" s="7">
        <f t="shared" si="50"/>
        <v>3.2709154053350468E-4</v>
      </c>
      <c r="W92" s="2"/>
      <c r="X92" s="6">
        <f t="shared" si="51"/>
        <v>0</v>
      </c>
      <c r="Y92" s="2"/>
      <c r="Z92" s="7">
        <f t="shared" si="52"/>
        <v>0</v>
      </c>
    </row>
    <row r="93" spans="1:26" s="27" customFormat="1" outlineLevel="1" collapsed="1" x14ac:dyDescent="0.25">
      <c r="A93" s="26"/>
      <c r="B93" s="12" t="str">
        <f>CONCATENATE("     ","Freight out/Postage                               ")</f>
        <v xml:space="preserve">     Freight out/Postage                               </v>
      </c>
      <c r="C93" s="12"/>
      <c r="D93" s="1">
        <f>SUM(OSRRefD22_6x_0)</f>
        <v>0</v>
      </c>
      <c r="E93" s="1"/>
      <c r="F93" s="5">
        <f t="shared" si="45"/>
        <v>0</v>
      </c>
      <c r="G93" s="1"/>
      <c r="H93" s="1">
        <f>SUM(OSRRefH22_6x_0)</f>
        <v>6701.46</v>
      </c>
      <c r="I93" s="1"/>
      <c r="J93" s="5">
        <f t="shared" si="46"/>
        <v>0.40257689195448149</v>
      </c>
      <c r="K93" s="1"/>
      <c r="L93" s="1">
        <f t="shared" si="47"/>
        <v>-6701.46</v>
      </c>
      <c r="M93" s="1"/>
      <c r="N93" s="5">
        <f t="shared" si="48"/>
        <v>-1</v>
      </c>
      <c r="O93" s="12"/>
      <c r="P93" s="1">
        <f>SUM(OSRRefP22_6x_0)</f>
        <v>26453.74</v>
      </c>
      <c r="Q93" s="1"/>
      <c r="R93" s="5">
        <f t="shared" si="49"/>
        <v>1.3382866649036833E-2</v>
      </c>
      <c r="S93" s="1"/>
      <c r="T93" s="1">
        <f>SUM(OSRRefT22_6x_0)</f>
        <v>30550.66</v>
      </c>
      <c r="U93" s="1"/>
      <c r="V93" s="5">
        <f t="shared" si="50"/>
        <v>9.1249017858456797E-3</v>
      </c>
      <c r="W93" s="1"/>
      <c r="X93" s="1">
        <f t="shared" si="51"/>
        <v>-4096.9199999999983</v>
      </c>
      <c r="Y93" s="1"/>
      <c r="Z93" s="5">
        <f t="shared" si="52"/>
        <v>-0.13410250384116082</v>
      </c>
    </row>
    <row r="94" spans="1:26" s="23" customFormat="1" hidden="1" outlineLevel="2" x14ac:dyDescent="0.25">
      <c r="A94" s="25"/>
      <c r="B94" s="10" t="str">
        <f>CONCATENATE("          ", "6305", " - ", "FREIGHT OUT")</f>
        <v xml:space="preserve">          6305 - FREIGHT OUT</v>
      </c>
      <c r="C94" s="10"/>
      <c r="D94" s="6"/>
      <c r="E94" s="2"/>
      <c r="F94" s="7">
        <f t="shared" si="45"/>
        <v>0</v>
      </c>
      <c r="G94" s="2"/>
      <c r="H94" s="6">
        <v>6699.46</v>
      </c>
      <c r="I94" s="2"/>
      <c r="J94" s="7">
        <f t="shared" si="46"/>
        <v>0.4024567459290021</v>
      </c>
      <c r="K94" s="2"/>
      <c r="L94" s="6">
        <f t="shared" si="47"/>
        <v>-6699.46</v>
      </c>
      <c r="M94" s="2"/>
      <c r="N94" s="7">
        <f t="shared" si="48"/>
        <v>-1</v>
      </c>
      <c r="O94" s="10"/>
      <c r="P94" s="6">
        <v>26453.24</v>
      </c>
      <c r="Q94" s="2"/>
      <c r="R94" s="7">
        <f t="shared" si="49"/>
        <v>1.3382613700556788E-2</v>
      </c>
      <c r="S94" s="2"/>
      <c r="T94" s="6">
        <v>30546.71</v>
      </c>
      <c r="U94" s="2"/>
      <c r="V94" s="7">
        <f t="shared" si="50"/>
        <v>9.1237219958819251E-3</v>
      </c>
      <c r="W94" s="2"/>
      <c r="X94" s="6">
        <f t="shared" si="51"/>
        <v>-4093.4699999999975</v>
      </c>
      <c r="Y94" s="2"/>
      <c r="Z94" s="7">
        <f t="shared" si="52"/>
        <v>-0.13400690287104561</v>
      </c>
    </row>
    <row r="95" spans="1:26" s="23" customFormat="1" hidden="1" outlineLevel="2" x14ac:dyDescent="0.25">
      <c r="A95" s="25"/>
      <c r="B95" s="10" t="str">
        <f>CONCATENATE("          ", "6307", " - ", "POSTAGE")</f>
        <v xml:space="preserve">          6307 - POSTAGE</v>
      </c>
      <c r="C95" s="10"/>
      <c r="D95" s="6"/>
      <c r="E95" s="2"/>
      <c r="F95" s="7">
        <f t="shared" si="45"/>
        <v>0</v>
      </c>
      <c r="G95" s="2"/>
      <c r="H95" s="6">
        <v>2</v>
      </c>
      <c r="I95" s="2"/>
      <c r="J95" s="7">
        <f t="shared" si="46"/>
        <v>1.2014602547936762E-4</v>
      </c>
      <c r="K95" s="2"/>
      <c r="L95" s="6">
        <f t="shared" si="47"/>
        <v>-2</v>
      </c>
      <c r="M95" s="2"/>
      <c r="N95" s="7">
        <f t="shared" si="48"/>
        <v>-1</v>
      </c>
      <c r="O95" s="10"/>
      <c r="P95" s="6">
        <v>0.5</v>
      </c>
      <c r="Q95" s="2"/>
      <c r="R95" s="7">
        <f t="shared" si="49"/>
        <v>2.5294848004548381E-7</v>
      </c>
      <c r="S95" s="2"/>
      <c r="T95" s="6">
        <v>3.95</v>
      </c>
      <c r="U95" s="2"/>
      <c r="V95" s="7">
        <f t="shared" si="50"/>
        <v>1.1797899637549709E-6</v>
      </c>
      <c r="W95" s="2"/>
      <c r="X95" s="6">
        <f t="shared" si="51"/>
        <v>-3.45</v>
      </c>
      <c r="Y95" s="2"/>
      <c r="Z95" s="7">
        <f t="shared" si="52"/>
        <v>-0.87341772151898733</v>
      </c>
    </row>
    <row r="96" spans="1:26" s="27" customFormat="1" outlineLevel="1" collapsed="1" x14ac:dyDescent="0.25">
      <c r="A96" s="26"/>
      <c r="B96" s="12" t="str">
        <f>CONCATENATE("     ","General                                           ")</f>
        <v xml:space="preserve">     General                                           </v>
      </c>
      <c r="C96" s="12"/>
      <c r="D96" s="1">
        <f>SUM(OSRRefD22_7x_0)</f>
        <v>-3391.74</v>
      </c>
      <c r="E96" s="1"/>
      <c r="F96" s="5">
        <f t="shared" ref="F96:F107" si="53">IF(D$12=0,0,D96/D$12)</f>
        <v>-0.32173438752424816</v>
      </c>
      <c r="G96" s="1"/>
      <c r="H96" s="1">
        <f>SUM(OSRRefH22_7x_0)</f>
        <v>-1613.24</v>
      </c>
      <c r="I96" s="1"/>
      <c r="J96" s="5">
        <f t="shared" ref="J96:J107" si="54">IF(H$12=0,0,H96/H$12)</f>
        <v>-9.6912187072167519E-2</v>
      </c>
      <c r="K96" s="1"/>
      <c r="L96" s="1">
        <f t="shared" ref="L96:L107" si="55">+D96-H96</f>
        <v>-1778.4999999999998</v>
      </c>
      <c r="M96" s="1"/>
      <c r="N96" s="5">
        <f t="shared" ref="N96:N107" si="56">IF(H96=0,0,L96/H96)</f>
        <v>1.1024398105675532</v>
      </c>
      <c r="O96" s="12"/>
      <c r="P96" s="1">
        <f>SUM(OSRRefP22_7x_0)</f>
        <v>-4434.76</v>
      </c>
      <c r="Q96" s="1"/>
      <c r="R96" s="5">
        <f t="shared" ref="R96:R107" si="57">IF(P$12=0,0,P96/P$12)</f>
        <v>-2.2435316027330197E-3</v>
      </c>
      <c r="S96" s="1"/>
      <c r="T96" s="1">
        <f>SUM(OSRRefT22_7x_0)</f>
        <v>5979.79</v>
      </c>
      <c r="U96" s="1"/>
      <c r="V96" s="5">
        <f t="shared" ref="V96:V107" si="58">IF(T$12=0,0,T96/T$12)</f>
        <v>1.7860496778132498E-3</v>
      </c>
      <c r="W96" s="1"/>
      <c r="X96" s="1">
        <f t="shared" ref="X96:X107" si="59">+P96-T96</f>
        <v>-10414.549999999999</v>
      </c>
      <c r="Y96" s="1"/>
      <c r="Z96" s="5">
        <f t="shared" ref="Z96:Z107" si="60">IF(T96=0,0,X96/T96)</f>
        <v>-1.7416247058843202</v>
      </c>
    </row>
    <row r="97" spans="1:26" s="23" customFormat="1" hidden="1" outlineLevel="2" x14ac:dyDescent="0.25">
      <c r="A97" s="25"/>
      <c r="B97" s="10" t="str">
        <f>CONCATENATE("          ", "6279", " - ", "GENERAL EXPENSE")</f>
        <v xml:space="preserve">          6279 - GENERAL EXPENSE</v>
      </c>
      <c r="C97" s="10"/>
      <c r="D97" s="6">
        <v>-3391.74</v>
      </c>
      <c r="E97" s="2"/>
      <c r="F97" s="7">
        <f t="shared" si="53"/>
        <v>-0.32173438752424816</v>
      </c>
      <c r="G97" s="2"/>
      <c r="H97" s="6">
        <v>-1613.24</v>
      </c>
      <c r="I97" s="2"/>
      <c r="J97" s="7">
        <f t="shared" si="54"/>
        <v>-9.6912187072167519E-2</v>
      </c>
      <c r="K97" s="2"/>
      <c r="L97" s="6">
        <f t="shared" si="55"/>
        <v>-1778.4999999999998</v>
      </c>
      <c r="M97" s="2"/>
      <c r="N97" s="7">
        <f t="shared" si="56"/>
        <v>1.1024398105675532</v>
      </c>
      <c r="O97" s="10"/>
      <c r="P97" s="6">
        <v>-4434.76</v>
      </c>
      <c r="Q97" s="2"/>
      <c r="R97" s="7">
        <f t="shared" si="57"/>
        <v>-2.2435316027330197E-3</v>
      </c>
      <c r="S97" s="2"/>
      <c r="T97" s="6">
        <v>5979.79</v>
      </c>
      <c r="U97" s="2"/>
      <c r="V97" s="7">
        <f t="shared" si="58"/>
        <v>1.7860496778132498E-3</v>
      </c>
      <c r="W97" s="2"/>
      <c r="X97" s="6">
        <f t="shared" si="59"/>
        <v>-10414.549999999999</v>
      </c>
      <c r="Y97" s="2"/>
      <c r="Z97" s="7">
        <f t="shared" si="60"/>
        <v>-1.7416247058843202</v>
      </c>
    </row>
    <row r="98" spans="1:26" s="27" customFormat="1" outlineLevel="1" collapsed="1" x14ac:dyDescent="0.25">
      <c r="A98" s="26"/>
      <c r="B98" s="12" t="str">
        <f>CONCATENATE("     ","Inventory Adjustment                              ")</f>
        <v xml:space="preserve">     Inventory Adjustment                              </v>
      </c>
      <c r="C98" s="12"/>
      <c r="D98" s="1">
        <f>SUM(OSRRefD22_8x_0)</f>
        <v>-16000</v>
      </c>
      <c r="E98" s="1"/>
      <c r="F98" s="5">
        <f t="shared" si="53"/>
        <v>-1.5177313710331484</v>
      </c>
      <c r="G98" s="1"/>
      <c r="H98" s="1">
        <f>SUM(OSRRefH22_8x_0)</f>
        <v>-50217</v>
      </c>
      <c r="I98" s="1"/>
      <c r="J98" s="5">
        <f t="shared" si="54"/>
        <v>-3.0166864807487022</v>
      </c>
      <c r="K98" s="1"/>
      <c r="L98" s="1">
        <f t="shared" si="55"/>
        <v>34217</v>
      </c>
      <c r="M98" s="1"/>
      <c r="N98" s="5">
        <f t="shared" si="56"/>
        <v>-0.68138279865384233</v>
      </c>
      <c r="O98" s="12"/>
      <c r="P98" s="1">
        <f>SUM(OSRRefP22_8x_0)</f>
        <v>0</v>
      </c>
      <c r="Q98" s="1"/>
      <c r="R98" s="5">
        <f t="shared" si="57"/>
        <v>0</v>
      </c>
      <c r="S98" s="1"/>
      <c r="T98" s="1">
        <f>SUM(OSRRefT22_8x_0)</f>
        <v>-33417</v>
      </c>
      <c r="U98" s="1"/>
      <c r="V98" s="5">
        <f t="shared" si="58"/>
        <v>-9.981023093367054E-3</v>
      </c>
      <c r="W98" s="1"/>
      <c r="X98" s="1">
        <f t="shared" si="59"/>
        <v>33417</v>
      </c>
      <c r="Y98" s="1"/>
      <c r="Z98" s="5">
        <f t="shared" si="60"/>
        <v>-1</v>
      </c>
    </row>
    <row r="99" spans="1:26" s="23" customFormat="1" hidden="1" outlineLevel="2" x14ac:dyDescent="0.25">
      <c r="A99" s="25"/>
      <c r="B99" s="10" t="str">
        <f>CONCATENATE("          ", "6408", " - ", "INVENTORY ADJUSTMENT")</f>
        <v xml:space="preserve">          6408 - INVENTORY ADJUSTMENT</v>
      </c>
      <c r="C99" s="10"/>
      <c r="D99" s="6">
        <v>-16000</v>
      </c>
      <c r="E99" s="2"/>
      <c r="F99" s="7">
        <f t="shared" si="53"/>
        <v>-1.5177313710331484</v>
      </c>
      <c r="G99" s="2"/>
      <c r="H99" s="6">
        <v>-16800</v>
      </c>
      <c r="I99" s="2"/>
      <c r="J99" s="7">
        <f t="shared" si="54"/>
        <v>-1.0092266140266881</v>
      </c>
      <c r="K99" s="2"/>
      <c r="L99" s="6">
        <f t="shared" si="55"/>
        <v>800</v>
      </c>
      <c r="M99" s="2"/>
      <c r="N99" s="7">
        <f t="shared" si="56"/>
        <v>-4.7619047619047616E-2</v>
      </c>
      <c r="O99" s="10"/>
      <c r="P99" s="6">
        <v>0</v>
      </c>
      <c r="Q99" s="2"/>
      <c r="R99" s="7">
        <f t="shared" si="57"/>
        <v>0</v>
      </c>
      <c r="S99" s="2"/>
      <c r="T99" s="6">
        <v>0</v>
      </c>
      <c r="U99" s="2"/>
      <c r="V99" s="7">
        <f t="shared" si="58"/>
        <v>0</v>
      </c>
      <c r="W99" s="2"/>
      <c r="X99" s="6">
        <f t="shared" si="59"/>
        <v>0</v>
      </c>
      <c r="Y99" s="2"/>
      <c r="Z99" s="7">
        <f t="shared" si="60"/>
        <v>0</v>
      </c>
    </row>
    <row r="100" spans="1:26" s="23" customFormat="1" hidden="1" outlineLevel="2" x14ac:dyDescent="0.25">
      <c r="A100" s="25"/>
      <c r="B100" s="10" t="str">
        <f>CONCATENATE("          ", "7701", " - ", "INV. SHRINKAGE-NEW TEXT")</f>
        <v xml:space="preserve">          7701 - INV. SHRINKAGE-NEW TEXT</v>
      </c>
      <c r="C100" s="10"/>
      <c r="D100" s="6"/>
      <c r="E100" s="2"/>
      <c r="F100" s="7">
        <f t="shared" si="53"/>
        <v>0</v>
      </c>
      <c r="G100" s="2"/>
      <c r="H100" s="6">
        <v>-4346</v>
      </c>
      <c r="I100" s="2"/>
      <c r="J100" s="7">
        <f t="shared" si="54"/>
        <v>-0.26107731336666584</v>
      </c>
      <c r="K100" s="2"/>
      <c r="L100" s="6">
        <f t="shared" si="55"/>
        <v>4346</v>
      </c>
      <c r="M100" s="2"/>
      <c r="N100" s="7">
        <f t="shared" si="56"/>
        <v>-1</v>
      </c>
      <c r="O100" s="10"/>
      <c r="P100" s="6"/>
      <c r="Q100" s="2"/>
      <c r="R100" s="7">
        <f t="shared" si="57"/>
        <v>0</v>
      </c>
      <c r="S100" s="2"/>
      <c r="T100" s="6">
        <v>-4346</v>
      </c>
      <c r="U100" s="2"/>
      <c r="V100" s="7">
        <f t="shared" si="58"/>
        <v>-1.2980676411339502E-3</v>
      </c>
      <c r="W100" s="2"/>
      <c r="X100" s="6">
        <f t="shared" si="59"/>
        <v>4346</v>
      </c>
      <c r="Y100" s="2"/>
      <c r="Z100" s="7">
        <f t="shared" si="60"/>
        <v>-1</v>
      </c>
    </row>
    <row r="101" spans="1:26" s="23" customFormat="1" hidden="1" outlineLevel="2" x14ac:dyDescent="0.25">
      <c r="A101" s="25"/>
      <c r="B101" s="10" t="str">
        <f>CONCATENATE("          ", "7702", " - ", "INV. SHRINKAGE-USED TEXT")</f>
        <v xml:space="preserve">          7702 - INV. SHRINKAGE-USED TEXT</v>
      </c>
      <c r="C101" s="10"/>
      <c r="D101" s="6"/>
      <c r="E101" s="2"/>
      <c r="F101" s="7">
        <f t="shared" si="53"/>
        <v>0</v>
      </c>
      <c r="G101" s="2"/>
      <c r="H101" s="6">
        <v>-29494</v>
      </c>
      <c r="I101" s="2"/>
      <c r="J101" s="7">
        <f t="shared" si="54"/>
        <v>-1.7717934377442344</v>
      </c>
      <c r="K101" s="2"/>
      <c r="L101" s="6">
        <f t="shared" si="55"/>
        <v>29494</v>
      </c>
      <c r="M101" s="2"/>
      <c r="N101" s="7">
        <f t="shared" si="56"/>
        <v>-1</v>
      </c>
      <c r="O101" s="10"/>
      <c r="P101" s="6"/>
      <c r="Q101" s="2"/>
      <c r="R101" s="7">
        <f t="shared" si="57"/>
        <v>0</v>
      </c>
      <c r="S101" s="2"/>
      <c r="T101" s="6">
        <v>-29494</v>
      </c>
      <c r="U101" s="2"/>
      <c r="V101" s="7">
        <f t="shared" si="58"/>
        <v>-8.8092975167061039E-3</v>
      </c>
      <c r="W101" s="2"/>
      <c r="X101" s="6">
        <f t="shared" si="59"/>
        <v>29494</v>
      </c>
      <c r="Y101" s="2"/>
      <c r="Z101" s="7">
        <f t="shared" si="60"/>
        <v>-1</v>
      </c>
    </row>
    <row r="102" spans="1:26" s="23" customFormat="1" hidden="1" outlineLevel="2" x14ac:dyDescent="0.25">
      <c r="A102" s="25"/>
      <c r="B102" s="10" t="str">
        <f>CONCATENATE("          ", "7703", " - ", "INV. SHRINKAGE-RENTAL TEXT")</f>
        <v xml:space="preserve">          7703 - INV. SHRINKAGE-RENTAL TEXT</v>
      </c>
      <c r="C102" s="10"/>
      <c r="D102" s="6"/>
      <c r="E102" s="2"/>
      <c r="F102" s="7">
        <f t="shared" si="53"/>
        <v>0</v>
      </c>
      <c r="G102" s="2"/>
      <c r="H102" s="6">
        <v>526</v>
      </c>
      <c r="I102" s="2"/>
      <c r="J102" s="7">
        <f t="shared" si="54"/>
        <v>3.1598404701073682E-2</v>
      </c>
      <c r="K102" s="2"/>
      <c r="L102" s="6">
        <f t="shared" si="55"/>
        <v>-526</v>
      </c>
      <c r="M102" s="2"/>
      <c r="N102" s="7">
        <f t="shared" si="56"/>
        <v>-1</v>
      </c>
      <c r="O102" s="10"/>
      <c r="P102" s="6"/>
      <c r="Q102" s="2"/>
      <c r="R102" s="7">
        <f t="shared" si="57"/>
        <v>0</v>
      </c>
      <c r="S102" s="2"/>
      <c r="T102" s="6">
        <v>526</v>
      </c>
      <c r="U102" s="2"/>
      <c r="V102" s="7">
        <f t="shared" si="58"/>
        <v>1.571062078316746E-4</v>
      </c>
      <c r="W102" s="2"/>
      <c r="X102" s="6">
        <f t="shared" si="59"/>
        <v>-526</v>
      </c>
      <c r="Y102" s="2"/>
      <c r="Z102" s="7">
        <f t="shared" si="60"/>
        <v>-1</v>
      </c>
    </row>
    <row r="103" spans="1:26" s="23" customFormat="1" hidden="1" outlineLevel="2" x14ac:dyDescent="0.25">
      <c r="A103" s="25"/>
      <c r="B103" s="10" t="str">
        <f>CONCATENATE("          ", "7704", " - ", "INV. SHRINKAGE-DIGITAL TEXT")</f>
        <v xml:space="preserve">          7704 - INV. SHRINKAGE-DIGITAL TEXT</v>
      </c>
      <c r="C103" s="10"/>
      <c r="D103" s="6"/>
      <c r="E103" s="2"/>
      <c r="F103" s="7">
        <f t="shared" si="53"/>
        <v>0</v>
      </c>
      <c r="G103" s="2"/>
      <c r="H103" s="6">
        <v>816</v>
      </c>
      <c r="I103" s="2"/>
      <c r="J103" s="7">
        <f t="shared" si="54"/>
        <v>4.9019578395581992E-2</v>
      </c>
      <c r="K103" s="2"/>
      <c r="L103" s="6">
        <f t="shared" si="55"/>
        <v>-816</v>
      </c>
      <c r="M103" s="2"/>
      <c r="N103" s="7">
        <f t="shared" si="56"/>
        <v>-1</v>
      </c>
      <c r="O103" s="10"/>
      <c r="P103" s="6"/>
      <c r="Q103" s="2"/>
      <c r="R103" s="7">
        <f t="shared" si="57"/>
        <v>0</v>
      </c>
      <c r="S103" s="2"/>
      <c r="T103" s="6">
        <v>816</v>
      </c>
      <c r="U103" s="2"/>
      <c r="V103" s="7">
        <f t="shared" si="58"/>
        <v>2.4372369884153322E-4</v>
      </c>
      <c r="W103" s="2"/>
      <c r="X103" s="6">
        <f t="shared" si="59"/>
        <v>-816</v>
      </c>
      <c r="Y103" s="2"/>
      <c r="Z103" s="7">
        <f t="shared" si="60"/>
        <v>-1</v>
      </c>
    </row>
    <row r="104" spans="1:26" s="23" customFormat="1" hidden="1" outlineLevel="2" x14ac:dyDescent="0.25">
      <c r="A104" s="25"/>
      <c r="B104" s="10" t="str">
        <f>CONCATENATE("          ", "7711", " - ", "INV. SHRINKAGE-NO VALUE TEXT")</f>
        <v xml:space="preserve">          7711 - INV. SHRINKAGE-NO VALUE TEXT</v>
      </c>
      <c r="C104" s="10"/>
      <c r="D104" s="6"/>
      <c r="E104" s="2"/>
      <c r="F104" s="7">
        <f t="shared" si="53"/>
        <v>0</v>
      </c>
      <c r="G104" s="2"/>
      <c r="H104" s="6">
        <v>-1126</v>
      </c>
      <c r="I104" s="2"/>
      <c r="J104" s="7">
        <f t="shared" si="54"/>
        <v>-6.7642212344883976E-2</v>
      </c>
      <c r="K104" s="2"/>
      <c r="L104" s="6">
        <f t="shared" si="55"/>
        <v>1126</v>
      </c>
      <c r="M104" s="2"/>
      <c r="N104" s="7">
        <f t="shared" si="56"/>
        <v>-1</v>
      </c>
      <c r="O104" s="10"/>
      <c r="P104" s="6"/>
      <c r="Q104" s="2"/>
      <c r="R104" s="7">
        <f t="shared" si="57"/>
        <v>0</v>
      </c>
      <c r="S104" s="2"/>
      <c r="T104" s="6">
        <v>-1126</v>
      </c>
      <c r="U104" s="2"/>
      <c r="V104" s="7">
        <f t="shared" si="58"/>
        <v>-3.3631480992103724E-4</v>
      </c>
      <c r="W104" s="2"/>
      <c r="X104" s="6">
        <f t="shared" si="59"/>
        <v>1126</v>
      </c>
      <c r="Y104" s="2"/>
      <c r="Z104" s="7">
        <f t="shared" si="60"/>
        <v>-1</v>
      </c>
    </row>
    <row r="105" spans="1:26" s="23" customFormat="1" hidden="1" outlineLevel="2" x14ac:dyDescent="0.25">
      <c r="A105" s="25"/>
      <c r="B105" s="10" t="str">
        <f>CONCATENATE("          ", "7713", " - ", "INV. SHRINKAGE-TRADE BOOKS")</f>
        <v xml:space="preserve">          7713 - INV. SHRINKAGE-TRADE BOOKS</v>
      </c>
      <c r="C105" s="10"/>
      <c r="D105" s="6"/>
      <c r="E105" s="2"/>
      <c r="F105" s="7">
        <f t="shared" si="53"/>
        <v>0</v>
      </c>
      <c r="G105" s="2"/>
      <c r="H105" s="6">
        <v>-422</v>
      </c>
      <c r="I105" s="2"/>
      <c r="J105" s="7">
        <f t="shared" si="54"/>
        <v>-2.535081137614657E-2</v>
      </c>
      <c r="K105" s="2"/>
      <c r="L105" s="6">
        <f t="shared" si="55"/>
        <v>422</v>
      </c>
      <c r="M105" s="2"/>
      <c r="N105" s="7">
        <f t="shared" si="56"/>
        <v>-1</v>
      </c>
      <c r="O105" s="10"/>
      <c r="P105" s="6"/>
      <c r="Q105" s="2"/>
      <c r="R105" s="7">
        <f t="shared" si="57"/>
        <v>0</v>
      </c>
      <c r="S105" s="2"/>
      <c r="T105" s="6">
        <v>-422</v>
      </c>
      <c r="U105" s="2"/>
      <c r="V105" s="7">
        <f t="shared" si="58"/>
        <v>-1.260433834695184E-4</v>
      </c>
      <c r="W105" s="2"/>
      <c r="X105" s="6">
        <f t="shared" si="59"/>
        <v>422</v>
      </c>
      <c r="Y105" s="2"/>
      <c r="Z105" s="7">
        <f t="shared" si="60"/>
        <v>-1</v>
      </c>
    </row>
    <row r="106" spans="1:26" s="23" customFormat="1" hidden="1" outlineLevel="2" x14ac:dyDescent="0.25">
      <c r="A106" s="25"/>
      <c r="B106" s="10" t="str">
        <f>CONCATENATE("          ", "7714", " - ", "INV. SHRINKAGE-REMAINDERS")</f>
        <v xml:space="preserve">          7714 - INV. SHRINKAGE-REMAINDERS</v>
      </c>
      <c r="C106" s="10"/>
      <c r="D106" s="6"/>
      <c r="E106" s="2"/>
      <c r="F106" s="7">
        <f t="shared" si="53"/>
        <v>0</v>
      </c>
      <c r="G106" s="2"/>
      <c r="H106" s="6">
        <v>171</v>
      </c>
      <c r="I106" s="2"/>
      <c r="J106" s="7">
        <f t="shared" si="54"/>
        <v>1.0272485178485932E-2</v>
      </c>
      <c r="K106" s="2"/>
      <c r="L106" s="6">
        <f t="shared" si="55"/>
        <v>-171</v>
      </c>
      <c r="M106" s="2"/>
      <c r="N106" s="7">
        <f t="shared" si="56"/>
        <v>-1</v>
      </c>
      <c r="O106" s="10"/>
      <c r="P106" s="6"/>
      <c r="Q106" s="2"/>
      <c r="R106" s="7">
        <f t="shared" si="57"/>
        <v>0</v>
      </c>
      <c r="S106" s="2"/>
      <c r="T106" s="6">
        <v>171</v>
      </c>
      <c r="U106" s="2"/>
      <c r="V106" s="7">
        <f t="shared" si="58"/>
        <v>5.1074451595468356E-5</v>
      </c>
      <c r="W106" s="2"/>
      <c r="X106" s="6">
        <f t="shared" si="59"/>
        <v>-171</v>
      </c>
      <c r="Y106" s="2"/>
      <c r="Z106" s="7">
        <f t="shared" si="60"/>
        <v>-1</v>
      </c>
    </row>
    <row r="107" spans="1:26" s="23" customFormat="1" hidden="1" outlineLevel="2" x14ac:dyDescent="0.25">
      <c r="A107" s="25"/>
      <c r="B107" s="10" t="str">
        <f>CONCATENATE("          ", "7718", " - ", "INV. SHRINKAGE-STUDY GUIDES")</f>
        <v xml:space="preserve">          7718 - INV. SHRINKAGE-STUDY GUIDES</v>
      </c>
      <c r="C107" s="10"/>
      <c r="D107" s="6"/>
      <c r="E107" s="2"/>
      <c r="F107" s="7">
        <f t="shared" si="53"/>
        <v>0</v>
      </c>
      <c r="G107" s="2"/>
      <c r="H107" s="6">
        <v>458</v>
      </c>
      <c r="I107" s="2"/>
      <c r="J107" s="7">
        <f t="shared" si="54"/>
        <v>2.7513439834775187E-2</v>
      </c>
      <c r="K107" s="2"/>
      <c r="L107" s="6">
        <f t="shared" si="55"/>
        <v>-458</v>
      </c>
      <c r="M107" s="2"/>
      <c r="N107" s="7">
        <f t="shared" si="56"/>
        <v>-1</v>
      </c>
      <c r="O107" s="10"/>
      <c r="P107" s="6"/>
      <c r="Q107" s="2"/>
      <c r="R107" s="7">
        <f t="shared" si="57"/>
        <v>0</v>
      </c>
      <c r="S107" s="2"/>
      <c r="T107" s="6">
        <v>458</v>
      </c>
      <c r="U107" s="2"/>
      <c r="V107" s="7">
        <f t="shared" si="58"/>
        <v>1.3679589959488016E-4</v>
      </c>
      <c r="W107" s="2"/>
      <c r="X107" s="6">
        <f t="shared" si="59"/>
        <v>-458</v>
      </c>
      <c r="Y107" s="2"/>
      <c r="Z107" s="7">
        <f t="shared" si="60"/>
        <v>-1</v>
      </c>
    </row>
    <row r="108" spans="1:26" s="27" customFormat="1" outlineLevel="1" collapsed="1" x14ac:dyDescent="0.25">
      <c r="A108" s="26"/>
      <c r="B108" s="12" t="str">
        <f>CONCATENATE("     ","Repair and Maintenance                            ")</f>
        <v xml:space="preserve">     Repair and Maintenance                            </v>
      </c>
      <c r="C108" s="12"/>
      <c r="D108" s="1">
        <f>SUM(OSRRefD22_9x_0)</f>
        <v>10.35</v>
      </c>
      <c r="E108" s="1"/>
      <c r="F108" s="5">
        <f t="shared" ref="F108:F111" si="61">IF(D$12=0,0,D108/D$12)</f>
        <v>9.8178248063706774E-4</v>
      </c>
      <c r="G108" s="1"/>
      <c r="H108" s="1">
        <f>SUM(OSRRefH22_9x_0)</f>
        <v>11567.81</v>
      </c>
      <c r="I108" s="1"/>
      <c r="J108" s="5">
        <f t="shared" ref="J108:J111" si="62">IF(H$12=0,0,H108/H$12)</f>
        <v>0.69491319750024172</v>
      </c>
      <c r="K108" s="1"/>
      <c r="L108" s="1">
        <f t="shared" ref="L108:L111" si="63">+D108-H108</f>
        <v>-11557.46</v>
      </c>
      <c r="M108" s="1"/>
      <c r="N108" s="5">
        <f t="shared" ref="N108:N111" si="64">IF(H108=0,0,L108/H108)</f>
        <v>-0.99910527576092623</v>
      </c>
      <c r="O108" s="12"/>
      <c r="P108" s="1">
        <f>SUM(OSRRefP22_9x_0)</f>
        <v>487.34000000000003</v>
      </c>
      <c r="Q108" s="1"/>
      <c r="R108" s="5">
        <f t="shared" ref="R108:R111" si="65">IF(P$12=0,0,P108/P$12)</f>
        <v>2.4654382453073216E-4</v>
      </c>
      <c r="S108" s="1"/>
      <c r="T108" s="1">
        <f>SUM(OSRRefT22_9x_0)</f>
        <v>11855.98</v>
      </c>
      <c r="U108" s="1"/>
      <c r="V108" s="5">
        <f t="shared" ref="V108:V111" si="66">IF(T$12=0,0,T108/T$12)</f>
        <v>3.5411560036657363E-3</v>
      </c>
      <c r="W108" s="1"/>
      <c r="X108" s="1">
        <f t="shared" ref="X108:X111" si="67">+P108-T108</f>
        <v>-11368.64</v>
      </c>
      <c r="Y108" s="1"/>
      <c r="Z108" s="5">
        <f t="shared" ref="Z108:Z111" si="68">IF(T108=0,0,X108/T108)</f>
        <v>-0.95889500488361146</v>
      </c>
    </row>
    <row r="109" spans="1:26" s="23" customFormat="1" hidden="1" outlineLevel="2" x14ac:dyDescent="0.25">
      <c r="A109" s="25"/>
      <c r="B109" s="10" t="str">
        <f>CONCATENATE("          ", "6371", " - ", "COMPUTER SOFTWARE MAINTENANCE")</f>
        <v xml:space="preserve">          6371 - COMPUTER SOFTWARE MAINTENANCE</v>
      </c>
      <c r="C109" s="10"/>
      <c r="D109" s="6"/>
      <c r="E109" s="2"/>
      <c r="F109" s="7">
        <f t="shared" si="61"/>
        <v>0</v>
      </c>
      <c r="G109" s="2"/>
      <c r="H109" s="6">
        <v>11550</v>
      </c>
      <c r="I109" s="2"/>
      <c r="J109" s="7">
        <f t="shared" si="62"/>
        <v>0.69384329714334803</v>
      </c>
      <c r="K109" s="2"/>
      <c r="L109" s="6">
        <f t="shared" si="63"/>
        <v>-11550</v>
      </c>
      <c r="M109" s="2"/>
      <c r="N109" s="7">
        <f t="shared" si="64"/>
        <v>-1</v>
      </c>
      <c r="O109" s="10"/>
      <c r="P109" s="6"/>
      <c r="Q109" s="2"/>
      <c r="R109" s="7">
        <f t="shared" si="65"/>
        <v>0</v>
      </c>
      <c r="S109" s="2"/>
      <c r="T109" s="6">
        <v>11550</v>
      </c>
      <c r="U109" s="2"/>
      <c r="V109" s="7">
        <f t="shared" si="66"/>
        <v>3.4497655902202312E-3</v>
      </c>
      <c r="W109" s="2"/>
      <c r="X109" s="6">
        <f t="shared" si="67"/>
        <v>-11550</v>
      </c>
      <c r="Y109" s="2"/>
      <c r="Z109" s="7">
        <f t="shared" si="68"/>
        <v>-1</v>
      </c>
    </row>
    <row r="110" spans="1:26" s="23" customFormat="1" hidden="1" outlineLevel="2" x14ac:dyDescent="0.25">
      <c r="A110" s="25"/>
      <c r="B110" s="10" t="str">
        <f>CONCATENATE("          ", "6373", " - ", "MAINTENANCE CONTRACTS")</f>
        <v xml:space="preserve">          6373 - MAINTENANCE CONTRACTS</v>
      </c>
      <c r="C110" s="10"/>
      <c r="D110" s="6">
        <v>10.35</v>
      </c>
      <c r="E110" s="2"/>
      <c r="F110" s="7">
        <f t="shared" si="61"/>
        <v>9.8178248063706774E-4</v>
      </c>
      <c r="G110" s="2"/>
      <c r="H110" s="6">
        <v>17.809999999999999</v>
      </c>
      <c r="I110" s="2"/>
      <c r="J110" s="7">
        <f t="shared" si="62"/>
        <v>1.0699003568937686E-3</v>
      </c>
      <c r="K110" s="2"/>
      <c r="L110" s="6">
        <f t="shared" si="63"/>
        <v>-7.4599999999999991</v>
      </c>
      <c r="M110" s="2"/>
      <c r="N110" s="7">
        <f t="shared" si="64"/>
        <v>-0.41886580572711957</v>
      </c>
      <c r="O110" s="10"/>
      <c r="P110" s="6">
        <v>229.83</v>
      </c>
      <c r="Q110" s="2"/>
      <c r="R110" s="7">
        <f t="shared" si="65"/>
        <v>1.1627029833770709E-4</v>
      </c>
      <c r="S110" s="2"/>
      <c r="T110" s="6">
        <v>305.98</v>
      </c>
      <c r="U110" s="2"/>
      <c r="V110" s="7">
        <f t="shared" si="66"/>
        <v>9.1390413445505321E-5</v>
      </c>
      <c r="W110" s="2"/>
      <c r="X110" s="6">
        <f t="shared" si="67"/>
        <v>-76.150000000000006</v>
      </c>
      <c r="Y110" s="2"/>
      <c r="Z110" s="7">
        <f t="shared" si="68"/>
        <v>-0.24887247532518467</v>
      </c>
    </row>
    <row r="111" spans="1:26" s="23" customFormat="1" hidden="1" outlineLevel="2" x14ac:dyDescent="0.25">
      <c r="A111" s="25"/>
      <c r="B111" s="10" t="str">
        <f>CONCATENATE("          ", "6375", " - ", "OUTSIDE REPAIRS &amp; MAINTENANCE")</f>
        <v xml:space="preserve">          6375 - OUTSIDE REPAIRS &amp; MAINTENANCE</v>
      </c>
      <c r="C111" s="10"/>
      <c r="D111" s="6"/>
      <c r="E111" s="2"/>
      <c r="F111" s="7">
        <f t="shared" si="61"/>
        <v>0</v>
      </c>
      <c r="G111" s="2"/>
      <c r="H111" s="6"/>
      <c r="I111" s="2"/>
      <c r="J111" s="7">
        <f t="shared" si="62"/>
        <v>0</v>
      </c>
      <c r="K111" s="2"/>
      <c r="L111" s="6">
        <f t="shared" si="63"/>
        <v>0</v>
      </c>
      <c r="M111" s="2"/>
      <c r="N111" s="7">
        <f t="shared" si="64"/>
        <v>0</v>
      </c>
      <c r="O111" s="10"/>
      <c r="P111" s="6">
        <v>257.51</v>
      </c>
      <c r="Q111" s="2"/>
      <c r="R111" s="7">
        <f t="shared" si="65"/>
        <v>1.3027352619302506E-4</v>
      </c>
      <c r="S111" s="2"/>
      <c r="T111" s="6"/>
      <c r="U111" s="2"/>
      <c r="V111" s="7">
        <f t="shared" si="66"/>
        <v>0</v>
      </c>
      <c r="W111" s="2"/>
      <c r="X111" s="6">
        <f t="shared" si="67"/>
        <v>257.51</v>
      </c>
      <c r="Y111" s="2"/>
      <c r="Z111" s="7">
        <f t="shared" si="68"/>
        <v>0</v>
      </c>
    </row>
    <row r="112" spans="1:26" s="27" customFormat="1" outlineLevel="1" collapsed="1" x14ac:dyDescent="0.25">
      <c r="A112" s="26"/>
      <c r="B112" s="12" t="str">
        <f>CONCATENATE("     ","Subscriptions &amp; Dues                              ")</f>
        <v xml:space="preserve">     Subscriptions &amp; Dues                              </v>
      </c>
      <c r="C112" s="12"/>
      <c r="D112" s="1">
        <f>SUM(OSRRefD22_10x_0)</f>
        <v>-911</v>
      </c>
      <c r="E112" s="1"/>
      <c r="F112" s="5">
        <f t="shared" ref="F112:F114" si="69">IF(D$12=0,0,D112/D$12)</f>
        <v>-8.6415829938199878E-2</v>
      </c>
      <c r="G112" s="1"/>
      <c r="H112" s="1">
        <f>SUM(OSRRefH22_10x_0)</f>
        <v>981.28</v>
      </c>
      <c r="I112" s="1"/>
      <c r="J112" s="5">
        <f t="shared" ref="J112:J114" si="70">IF(H$12=0,0,H112/H$12)</f>
        <v>5.8948445941196928E-2</v>
      </c>
      <c r="K112" s="1"/>
      <c r="L112" s="1">
        <f t="shared" ref="L112:L114" si="71">+D112-H112</f>
        <v>-1892.28</v>
      </c>
      <c r="M112" s="1"/>
      <c r="N112" s="5">
        <f t="shared" ref="N112:N114" si="72">IF(H112=0,0,L112/H112)</f>
        <v>-1.9283792597423772</v>
      </c>
      <c r="O112" s="12"/>
      <c r="P112" s="1">
        <f>SUM(OSRRefP22_10x_0)</f>
        <v>4298.66</v>
      </c>
      <c r="Q112" s="1"/>
      <c r="R112" s="5">
        <f t="shared" ref="R112:R114" si="73">IF(P$12=0,0,P112/P$12)</f>
        <v>2.1746790264646387E-3</v>
      </c>
      <c r="S112" s="1"/>
      <c r="T112" s="1">
        <f>SUM(OSRRefT22_10x_0)</f>
        <v>6291.84</v>
      </c>
      <c r="U112" s="1"/>
      <c r="V112" s="5">
        <f t="shared" ref="V112:V114" si="74">IF(T$12=0,0,T112/T$12)</f>
        <v>1.8792530849498926E-3</v>
      </c>
      <c r="W112" s="1"/>
      <c r="X112" s="1">
        <f t="shared" ref="X112:X114" si="75">+P112-T112</f>
        <v>-1993.1800000000003</v>
      </c>
      <c r="Y112" s="1"/>
      <c r="Z112" s="5">
        <f t="shared" ref="Z112:Z114" si="76">IF(T112=0,0,X112/T112)</f>
        <v>-0.31678809378496597</v>
      </c>
    </row>
    <row r="113" spans="1:26" s="23" customFormat="1" hidden="1" outlineLevel="2" x14ac:dyDescent="0.25">
      <c r="A113" s="25"/>
      <c r="B113" s="10" t="str">
        <f>CONCATENATE("          ", "6258", " - ", "MEMBERSHIP DUES")</f>
        <v xml:space="preserve">          6258 - MEMBERSHIP DUES</v>
      </c>
      <c r="C113" s="10"/>
      <c r="D113" s="6">
        <v>-911</v>
      </c>
      <c r="E113" s="2"/>
      <c r="F113" s="7">
        <f t="shared" si="69"/>
        <v>-8.6415829938199878E-2</v>
      </c>
      <c r="G113" s="2"/>
      <c r="H113" s="6">
        <v>981.28</v>
      </c>
      <c r="I113" s="2"/>
      <c r="J113" s="7">
        <f t="shared" si="70"/>
        <v>5.8948445941196928E-2</v>
      </c>
      <c r="K113" s="2"/>
      <c r="L113" s="6">
        <f t="shared" si="71"/>
        <v>-1892.28</v>
      </c>
      <c r="M113" s="2"/>
      <c r="N113" s="7">
        <f t="shared" si="72"/>
        <v>-1.9283792597423772</v>
      </c>
      <c r="O113" s="10"/>
      <c r="P113" s="6">
        <v>2446.58</v>
      </c>
      <c r="Q113" s="2"/>
      <c r="R113" s="7">
        <f t="shared" si="73"/>
        <v>1.2377173846193595E-3</v>
      </c>
      <c r="S113" s="2"/>
      <c r="T113" s="6">
        <v>4439.76</v>
      </c>
      <c r="U113" s="2"/>
      <c r="V113" s="7">
        <f t="shared" si="74"/>
        <v>1.3260719720204479E-3</v>
      </c>
      <c r="W113" s="2"/>
      <c r="X113" s="6">
        <f t="shared" si="75"/>
        <v>-1993.1800000000003</v>
      </c>
      <c r="Y113" s="2"/>
      <c r="Z113" s="7">
        <f t="shared" si="76"/>
        <v>-0.44893868137016418</v>
      </c>
    </row>
    <row r="114" spans="1:26" s="23" customFormat="1" hidden="1" outlineLevel="2" x14ac:dyDescent="0.25">
      <c r="A114" s="25"/>
      <c r="B114" s="10" t="str">
        <f>CONCATENATE("          ", "6275", " - ", "SUBSCRIPTIONS")</f>
        <v xml:space="preserve">          6275 - SUBSCRIPTIONS</v>
      </c>
      <c r="C114" s="10"/>
      <c r="D114" s="6"/>
      <c r="E114" s="2"/>
      <c r="F114" s="7">
        <f t="shared" si="69"/>
        <v>0</v>
      </c>
      <c r="G114" s="2"/>
      <c r="H114" s="6"/>
      <c r="I114" s="2"/>
      <c r="J114" s="7">
        <f t="shared" si="70"/>
        <v>0</v>
      </c>
      <c r="K114" s="2"/>
      <c r="L114" s="6">
        <f t="shared" si="71"/>
        <v>0</v>
      </c>
      <c r="M114" s="2"/>
      <c r="N114" s="7">
        <f t="shared" si="72"/>
        <v>0</v>
      </c>
      <c r="O114" s="10"/>
      <c r="P114" s="6">
        <v>1852.08</v>
      </c>
      <c r="Q114" s="2"/>
      <c r="R114" s="7">
        <f t="shared" si="73"/>
        <v>9.3696164184527923E-4</v>
      </c>
      <c r="S114" s="2"/>
      <c r="T114" s="6">
        <v>1852.08</v>
      </c>
      <c r="U114" s="2"/>
      <c r="V114" s="7">
        <f t="shared" si="74"/>
        <v>5.5318111292944469E-4</v>
      </c>
      <c r="W114" s="2"/>
      <c r="X114" s="6">
        <f t="shared" si="75"/>
        <v>0</v>
      </c>
      <c r="Y114" s="2"/>
      <c r="Z114" s="7">
        <f t="shared" si="76"/>
        <v>0</v>
      </c>
    </row>
    <row r="115" spans="1:26" s="27" customFormat="1" outlineLevel="1" collapsed="1" x14ac:dyDescent="0.25">
      <c r="A115" s="26"/>
      <c r="B115" s="12" t="str">
        <f>CONCATENATE("     ","Supplies                                          ")</f>
        <v xml:space="preserve">     Supplies                                          </v>
      </c>
      <c r="C115" s="12"/>
      <c r="D115" s="1">
        <f>SUM(OSRRefD22_11x_0)</f>
        <v>238.34</v>
      </c>
      <c r="E115" s="1"/>
      <c r="F115" s="5">
        <f t="shared" ref="F115:F118" si="77">IF(D$12=0,0,D115/D$12)</f>
        <v>2.2608505935752535E-2</v>
      </c>
      <c r="G115" s="1"/>
      <c r="H115" s="1">
        <f>SUM(OSRRefH22_11x_0)</f>
        <v>516.1</v>
      </c>
      <c r="I115" s="1"/>
      <c r="J115" s="5">
        <f t="shared" ref="J115:J118" si="78">IF(H$12=0,0,H115/H$12)</f>
        <v>3.1003681874950818E-2</v>
      </c>
      <c r="K115" s="1"/>
      <c r="L115" s="1">
        <f t="shared" ref="L115:L118" si="79">+D115-H115</f>
        <v>-277.76</v>
      </c>
      <c r="M115" s="1"/>
      <c r="N115" s="5">
        <f t="shared" ref="N115:N118" si="80">IF(H115=0,0,L115/H115)</f>
        <v>-0.53819027320286761</v>
      </c>
      <c r="O115" s="12"/>
      <c r="P115" s="1">
        <f>SUM(OSRRefP22_11x_0)</f>
        <v>5604.71</v>
      </c>
      <c r="Q115" s="1"/>
      <c r="R115" s="5">
        <f t="shared" ref="R115:R118" si="81">IF(P$12=0,0,P115/P$12)</f>
        <v>2.8354057511914472E-3</v>
      </c>
      <c r="S115" s="1"/>
      <c r="T115" s="1">
        <f>SUM(OSRRefT22_11x_0)</f>
        <v>14036.529999999999</v>
      </c>
      <c r="U115" s="1"/>
      <c r="V115" s="5">
        <f t="shared" ref="V115:V118" si="82">IF(T$12=0,0,T115/T$12)</f>
        <v>4.1924448658090026E-3</v>
      </c>
      <c r="W115" s="1"/>
      <c r="X115" s="1">
        <f t="shared" ref="X115:X118" si="83">+P115-T115</f>
        <v>-8431.82</v>
      </c>
      <c r="Y115" s="1"/>
      <c r="Z115" s="5">
        <f t="shared" ref="Z115:Z118" si="84">IF(T115=0,0,X115/T115)</f>
        <v>-0.60070544500670753</v>
      </c>
    </row>
    <row r="116" spans="1:26" s="23" customFormat="1" hidden="1" outlineLevel="2" x14ac:dyDescent="0.25">
      <c r="A116" s="25"/>
      <c r="B116" s="10" t="str">
        <f>CONCATENATE("          ", "6241", " - ", "OFFICE EXPENSE")</f>
        <v xml:space="preserve">          6241 - OFFICE EXPENSE</v>
      </c>
      <c r="C116" s="10"/>
      <c r="D116" s="6">
        <v>238.34</v>
      </c>
      <c r="E116" s="2"/>
      <c r="F116" s="7">
        <f t="shared" si="77"/>
        <v>2.2608505935752535E-2</v>
      </c>
      <c r="G116" s="2"/>
      <c r="H116" s="6">
        <v>62.67</v>
      </c>
      <c r="I116" s="2"/>
      <c r="J116" s="7">
        <f t="shared" si="78"/>
        <v>3.7647757083959848E-3</v>
      </c>
      <c r="K116" s="2"/>
      <c r="L116" s="6">
        <f t="shared" si="79"/>
        <v>175.67000000000002</v>
      </c>
      <c r="M116" s="2"/>
      <c r="N116" s="7">
        <f t="shared" si="80"/>
        <v>2.8030955800223394</v>
      </c>
      <c r="O116" s="10"/>
      <c r="P116" s="6">
        <v>1863.09</v>
      </c>
      <c r="Q116" s="2"/>
      <c r="R116" s="7">
        <f t="shared" si="81"/>
        <v>9.4253156737588079E-4</v>
      </c>
      <c r="S116" s="2"/>
      <c r="T116" s="6">
        <v>4341.16</v>
      </c>
      <c r="U116" s="2"/>
      <c r="V116" s="7">
        <f t="shared" si="82"/>
        <v>1.2966220250770959E-3</v>
      </c>
      <c r="W116" s="2"/>
      <c r="X116" s="6">
        <f t="shared" si="83"/>
        <v>-2478.0699999999997</v>
      </c>
      <c r="Y116" s="2"/>
      <c r="Z116" s="7">
        <f t="shared" si="84"/>
        <v>-0.57083129854693215</v>
      </c>
    </row>
    <row r="117" spans="1:26" s="23" customFormat="1" hidden="1" outlineLevel="2" x14ac:dyDescent="0.25">
      <c r="A117" s="25"/>
      <c r="B117" s="10" t="str">
        <f>CONCATENATE("          ", "6245", " - ", "PRINTING")</f>
        <v xml:space="preserve">          6245 - PRINTING</v>
      </c>
      <c r="C117" s="10"/>
      <c r="D117" s="6"/>
      <c r="E117" s="2"/>
      <c r="F117" s="7">
        <f t="shared" si="77"/>
        <v>0</v>
      </c>
      <c r="G117" s="2"/>
      <c r="H117" s="6"/>
      <c r="I117" s="2"/>
      <c r="J117" s="7">
        <f t="shared" si="78"/>
        <v>0</v>
      </c>
      <c r="K117" s="2"/>
      <c r="L117" s="6">
        <f t="shared" si="79"/>
        <v>0</v>
      </c>
      <c r="M117" s="2"/>
      <c r="N117" s="7">
        <f t="shared" si="80"/>
        <v>0</v>
      </c>
      <c r="O117" s="10"/>
      <c r="P117" s="6"/>
      <c r="Q117" s="2"/>
      <c r="R117" s="7">
        <f t="shared" si="81"/>
        <v>0</v>
      </c>
      <c r="S117" s="2"/>
      <c r="T117" s="6">
        <v>5198.58</v>
      </c>
      <c r="U117" s="2"/>
      <c r="V117" s="7">
        <f t="shared" si="82"/>
        <v>1.5527170910828649E-3</v>
      </c>
      <c r="W117" s="2"/>
      <c r="X117" s="6">
        <f t="shared" si="83"/>
        <v>-5198.58</v>
      </c>
      <c r="Y117" s="2"/>
      <c r="Z117" s="7">
        <f t="shared" si="84"/>
        <v>-1</v>
      </c>
    </row>
    <row r="118" spans="1:26" s="23" customFormat="1" hidden="1" outlineLevel="2" x14ac:dyDescent="0.25">
      <c r="A118" s="25"/>
      <c r="B118" s="10" t="str">
        <f>CONCATENATE("          ", "6247", " - ", "STORE SUPPLIES")</f>
        <v xml:space="preserve">          6247 - STORE SUPPLIES</v>
      </c>
      <c r="C118" s="10"/>
      <c r="D118" s="6"/>
      <c r="E118" s="2"/>
      <c r="F118" s="7">
        <f t="shared" si="77"/>
        <v>0</v>
      </c>
      <c r="G118" s="2"/>
      <c r="H118" s="6">
        <v>453.43</v>
      </c>
      <c r="I118" s="2"/>
      <c r="J118" s="7">
        <f t="shared" si="78"/>
        <v>2.7238906166554833E-2</v>
      </c>
      <c r="K118" s="2"/>
      <c r="L118" s="6">
        <f t="shared" si="79"/>
        <v>-453.43</v>
      </c>
      <c r="M118" s="2"/>
      <c r="N118" s="7">
        <f t="shared" si="80"/>
        <v>-1</v>
      </c>
      <c r="O118" s="10"/>
      <c r="P118" s="6">
        <v>3741.62</v>
      </c>
      <c r="Q118" s="2"/>
      <c r="R118" s="7">
        <f t="shared" si="81"/>
        <v>1.8928741838155662E-3</v>
      </c>
      <c r="S118" s="2"/>
      <c r="T118" s="6">
        <v>4496.79</v>
      </c>
      <c r="U118" s="2"/>
      <c r="V118" s="7">
        <f t="shared" si="82"/>
        <v>1.3431057496490419E-3</v>
      </c>
      <c r="W118" s="2"/>
      <c r="X118" s="6">
        <f t="shared" si="83"/>
        <v>-755.17000000000007</v>
      </c>
      <c r="Y118" s="2"/>
      <c r="Z118" s="7">
        <f t="shared" si="84"/>
        <v>-0.1679353494381548</v>
      </c>
    </row>
    <row r="119" spans="1:26" s="27" customFormat="1" outlineLevel="1" collapsed="1" x14ac:dyDescent="0.25">
      <c r="A119" s="26"/>
      <c r="B119" s="12" t="str">
        <f>CONCATENATE("     ","Telephone/Data Lines                              ")</f>
        <v xml:space="preserve">     Telephone/Data Lines                              </v>
      </c>
      <c r="C119" s="12"/>
      <c r="D119" s="1">
        <f>SUM(OSRRefD22_12x_0)</f>
        <v>721.2</v>
      </c>
      <c r="E119" s="1"/>
      <c r="F119" s="5">
        <f t="shared" ref="F119:F121" si="85">IF(D$12=0,0,D119/D$12)</f>
        <v>6.8411741549319158E-2</v>
      </c>
      <c r="G119" s="1"/>
      <c r="H119" s="1">
        <f>SUM(OSRRefH22_12x_0)</f>
        <v>302.60000000000002</v>
      </c>
      <c r="I119" s="1"/>
      <c r="J119" s="5">
        <f t="shared" ref="J119:J121" si="86">IF(H$12=0,0,H119/H$12)</f>
        <v>1.8178093655028323E-2</v>
      </c>
      <c r="K119" s="1"/>
      <c r="L119" s="1">
        <f t="shared" ref="L119:L121" si="87">+D119-H119</f>
        <v>418.6</v>
      </c>
      <c r="M119" s="1"/>
      <c r="N119" s="5">
        <f t="shared" ref="N119:N121" si="88">IF(H119=0,0,L119/H119)</f>
        <v>1.3833443489755453</v>
      </c>
      <c r="O119" s="12"/>
      <c r="P119" s="1">
        <f>SUM(OSRRefP22_12x_0)</f>
        <v>9470.9</v>
      </c>
      <c r="Q119" s="1"/>
      <c r="R119" s="5">
        <f t="shared" ref="R119:R121" si="89">IF(P$12=0,0,P119/P$12)</f>
        <v>4.791299519325545E-3</v>
      </c>
      <c r="S119" s="1"/>
      <c r="T119" s="1">
        <f>SUM(OSRRefT22_12x_0)</f>
        <v>8561.64</v>
      </c>
      <c r="U119" s="1"/>
      <c r="V119" s="5">
        <f t="shared" ref="V119:V121" si="90">IF(T$12=0,0,T119/T$12)</f>
        <v>2.5571992266539513E-3</v>
      </c>
      <c r="W119" s="1"/>
      <c r="X119" s="1">
        <f t="shared" ref="X119:X121" si="91">+P119-T119</f>
        <v>909.26000000000022</v>
      </c>
      <c r="Y119" s="1"/>
      <c r="Z119" s="5">
        <f t="shared" ref="Z119:Z121" si="92">IF(T119=0,0,X119/T119)</f>
        <v>0.10620161557832382</v>
      </c>
    </row>
    <row r="120" spans="1:26" s="23" customFormat="1" hidden="1" outlineLevel="2" x14ac:dyDescent="0.25">
      <c r="A120" s="25"/>
      <c r="B120" s="10" t="str">
        <f>CONCATENATE("          ", "6303", " - ", "DATA PHONE LINES")</f>
        <v xml:space="preserve">          6303 - DATA PHONE LINES</v>
      </c>
      <c r="C120" s="10"/>
      <c r="D120" s="6"/>
      <c r="E120" s="2"/>
      <c r="F120" s="7">
        <f t="shared" si="85"/>
        <v>0</v>
      </c>
      <c r="G120" s="2"/>
      <c r="H120" s="6"/>
      <c r="I120" s="2"/>
      <c r="J120" s="7">
        <f t="shared" si="86"/>
        <v>0</v>
      </c>
      <c r="K120" s="2"/>
      <c r="L120" s="6">
        <f t="shared" si="87"/>
        <v>0</v>
      </c>
      <c r="M120" s="2"/>
      <c r="N120" s="7">
        <f t="shared" si="88"/>
        <v>0</v>
      </c>
      <c r="O120" s="10"/>
      <c r="P120" s="6">
        <v>3540</v>
      </c>
      <c r="Q120" s="2"/>
      <c r="R120" s="7">
        <f t="shared" si="89"/>
        <v>1.7908752387220254E-3</v>
      </c>
      <c r="S120" s="2"/>
      <c r="T120" s="6">
        <v>2950</v>
      </c>
      <c r="U120" s="2"/>
      <c r="V120" s="7">
        <f t="shared" si="90"/>
        <v>8.811089602726997E-4</v>
      </c>
      <c r="W120" s="2"/>
      <c r="X120" s="6">
        <f t="shared" si="91"/>
        <v>590</v>
      </c>
      <c r="Y120" s="2"/>
      <c r="Z120" s="7">
        <f t="shared" si="92"/>
        <v>0.2</v>
      </c>
    </row>
    <row r="121" spans="1:26" s="23" customFormat="1" hidden="1" outlineLevel="2" x14ac:dyDescent="0.25">
      <c r="A121" s="25"/>
      <c r="B121" s="10" t="str">
        <f>CONCATENATE("          ", "6309", " - ", "TELEPHONE")</f>
        <v xml:space="preserve">          6309 - TELEPHONE</v>
      </c>
      <c r="C121" s="10"/>
      <c r="D121" s="6">
        <v>721.2</v>
      </c>
      <c r="E121" s="2"/>
      <c r="F121" s="7">
        <f t="shared" si="85"/>
        <v>6.8411741549319158E-2</v>
      </c>
      <c r="G121" s="2"/>
      <c r="H121" s="6">
        <v>302.60000000000002</v>
      </c>
      <c r="I121" s="2"/>
      <c r="J121" s="7">
        <f t="shared" si="86"/>
        <v>1.8178093655028323E-2</v>
      </c>
      <c r="K121" s="2"/>
      <c r="L121" s="6">
        <f t="shared" si="87"/>
        <v>418.6</v>
      </c>
      <c r="M121" s="2"/>
      <c r="N121" s="7">
        <f t="shared" si="88"/>
        <v>1.3833443489755453</v>
      </c>
      <c r="O121" s="10"/>
      <c r="P121" s="6">
        <v>5930.9</v>
      </c>
      <c r="Q121" s="2"/>
      <c r="R121" s="7">
        <f t="shared" si="89"/>
        <v>3.0004242806035194E-3</v>
      </c>
      <c r="S121" s="2"/>
      <c r="T121" s="6">
        <v>5611.64</v>
      </c>
      <c r="U121" s="2"/>
      <c r="V121" s="7">
        <f t="shared" si="90"/>
        <v>1.676090266381252E-3</v>
      </c>
      <c r="W121" s="2"/>
      <c r="X121" s="6">
        <f t="shared" si="91"/>
        <v>319.25999999999931</v>
      </c>
      <c r="Y121" s="2"/>
      <c r="Z121" s="7">
        <f t="shared" si="92"/>
        <v>5.689245924542545E-2</v>
      </c>
    </row>
    <row r="122" spans="1:26" s="27" customFormat="1" outlineLevel="1" collapsed="1" x14ac:dyDescent="0.25">
      <c r="A122" s="26"/>
      <c r="B122" s="12" t="str">
        <f>CONCATENATE("     ","Training                                          ")</f>
        <v xml:space="preserve">     Training                                          </v>
      </c>
      <c r="C122" s="12"/>
      <c r="D122" s="1">
        <f>SUM(OSRRefD22_13x_0)</f>
        <v>0</v>
      </c>
      <c r="E122" s="1"/>
      <c r="F122" s="5">
        <f t="shared" ref="F122:F125" si="93">IF(D$12=0,0,D122/D$12)</f>
        <v>0</v>
      </c>
      <c r="G122" s="1"/>
      <c r="H122" s="1">
        <f>SUM(OSRRefH22_13x_0)</f>
        <v>0</v>
      </c>
      <c r="I122" s="1"/>
      <c r="J122" s="5">
        <f t="shared" ref="J122:J125" si="94">IF(H$12=0,0,H122/H$12)</f>
        <v>0</v>
      </c>
      <c r="K122" s="1"/>
      <c r="L122" s="1">
        <f t="shared" ref="L122:L125" si="95">+D122-H122</f>
        <v>0</v>
      </c>
      <c r="M122" s="1"/>
      <c r="N122" s="5">
        <f t="shared" ref="N122:N125" si="96">IF(H122=0,0,L122/H122)</f>
        <v>0</v>
      </c>
      <c r="O122" s="12"/>
      <c r="P122" s="1">
        <f>SUM(OSRRefP22_13x_0)</f>
        <v>0</v>
      </c>
      <c r="Q122" s="1"/>
      <c r="R122" s="5">
        <f t="shared" ref="R122:R125" si="97">IF(P$12=0,0,P122/P$12)</f>
        <v>0</v>
      </c>
      <c r="S122" s="1"/>
      <c r="T122" s="1">
        <f>SUM(OSRRefT22_13x_0)</f>
        <v>4157.1499999999996</v>
      </c>
      <c r="U122" s="1"/>
      <c r="V122" s="5">
        <f t="shared" ref="V122:V125" si="98">IF(T$12=0,0,T122/T$12)</f>
        <v>1.2416617336263231E-3</v>
      </c>
      <c r="W122" s="1"/>
      <c r="X122" s="1">
        <f t="shared" ref="X122:X125" si="99">+P122-T122</f>
        <v>-4157.1499999999996</v>
      </c>
      <c r="Y122" s="1"/>
      <c r="Z122" s="5">
        <f t="shared" ref="Z122:Z125" si="100">IF(T122=0,0,X122/T122)</f>
        <v>-1</v>
      </c>
    </row>
    <row r="123" spans="1:26" s="23" customFormat="1" hidden="1" outlineLevel="2" x14ac:dyDescent="0.25">
      <c r="A123" s="25"/>
      <c r="B123" s="10" t="str">
        <f>CONCATENATE("          ", "6376", " - ", "TRAINING")</f>
        <v xml:space="preserve">          6376 - TRAINING</v>
      </c>
      <c r="C123" s="10"/>
      <c r="D123" s="6"/>
      <c r="E123" s="2"/>
      <c r="F123" s="7">
        <f t="shared" si="93"/>
        <v>0</v>
      </c>
      <c r="G123" s="2"/>
      <c r="H123" s="6"/>
      <c r="I123" s="2"/>
      <c r="J123" s="7">
        <f t="shared" si="94"/>
        <v>0</v>
      </c>
      <c r="K123" s="2"/>
      <c r="L123" s="6">
        <f t="shared" si="95"/>
        <v>0</v>
      </c>
      <c r="M123" s="2"/>
      <c r="N123" s="7">
        <f t="shared" si="96"/>
        <v>0</v>
      </c>
      <c r="O123" s="10"/>
      <c r="P123" s="6"/>
      <c r="Q123" s="2"/>
      <c r="R123" s="7">
        <f t="shared" si="97"/>
        <v>0</v>
      </c>
      <c r="S123" s="2"/>
      <c r="T123" s="6">
        <v>4157.1499999999996</v>
      </c>
      <c r="U123" s="2"/>
      <c r="V123" s="7">
        <f t="shared" si="98"/>
        <v>1.2416617336263231E-3</v>
      </c>
      <c r="W123" s="2"/>
      <c r="X123" s="6">
        <f t="shared" si="99"/>
        <v>-4157.1499999999996</v>
      </c>
      <c r="Y123" s="2"/>
      <c r="Z123" s="7">
        <f t="shared" si="100"/>
        <v>-1</v>
      </c>
    </row>
    <row r="124" spans="1:26" s="27" customFormat="1" outlineLevel="1" collapsed="1" x14ac:dyDescent="0.25">
      <c r="A124" s="26"/>
      <c r="B124" s="12" t="str">
        <f>CONCATENATE("     ","Travel                                            ")</f>
        <v xml:space="preserve">     Travel                                            </v>
      </c>
      <c r="C124" s="12"/>
      <c r="D124" s="1">
        <f>SUM(OSRRefD22_14x_0)</f>
        <v>0</v>
      </c>
      <c r="E124" s="1"/>
      <c r="F124" s="5">
        <f t="shared" si="93"/>
        <v>0</v>
      </c>
      <c r="G124" s="1"/>
      <c r="H124" s="1">
        <f>SUM(OSRRefH22_14x_0)</f>
        <v>0</v>
      </c>
      <c r="I124" s="1"/>
      <c r="J124" s="5">
        <f t="shared" si="94"/>
        <v>0</v>
      </c>
      <c r="K124" s="1"/>
      <c r="L124" s="1">
        <f t="shared" si="95"/>
        <v>0</v>
      </c>
      <c r="M124" s="1"/>
      <c r="N124" s="5">
        <f t="shared" si="96"/>
        <v>0</v>
      </c>
      <c r="O124" s="12"/>
      <c r="P124" s="1">
        <f>SUM(OSRRefP22_14x_0)</f>
        <v>0.16</v>
      </c>
      <c r="Q124" s="1"/>
      <c r="R124" s="5">
        <f t="shared" si="97"/>
        <v>8.0943513614554822E-8</v>
      </c>
      <c r="S124" s="1"/>
      <c r="T124" s="1">
        <f>SUM(OSRRefT22_14x_0)</f>
        <v>83.93</v>
      </c>
      <c r="U124" s="1"/>
      <c r="V124" s="5">
        <f t="shared" si="98"/>
        <v>2.5068296622267016E-5</v>
      </c>
      <c r="W124" s="1"/>
      <c r="X124" s="1">
        <f t="shared" si="99"/>
        <v>-83.77000000000001</v>
      </c>
      <c r="Y124" s="1"/>
      <c r="Z124" s="5">
        <f t="shared" si="100"/>
        <v>-0.99809364946979628</v>
      </c>
    </row>
    <row r="125" spans="1:26" s="23" customFormat="1" hidden="1" outlineLevel="2" x14ac:dyDescent="0.25">
      <c r="A125" s="25"/>
      <c r="B125" s="10" t="str">
        <f>CONCATENATE("          ", "6292", " - ", "TRAVEL/CONFERENCE")</f>
        <v xml:space="preserve">          6292 - TRAVEL/CONFERENCE</v>
      </c>
      <c r="C125" s="10"/>
      <c r="D125" s="6"/>
      <c r="E125" s="2"/>
      <c r="F125" s="7">
        <f t="shared" si="93"/>
        <v>0</v>
      </c>
      <c r="G125" s="2"/>
      <c r="H125" s="6"/>
      <c r="I125" s="2"/>
      <c r="J125" s="7">
        <f t="shared" si="94"/>
        <v>0</v>
      </c>
      <c r="K125" s="2"/>
      <c r="L125" s="6">
        <f t="shared" si="95"/>
        <v>0</v>
      </c>
      <c r="M125" s="2"/>
      <c r="N125" s="7">
        <f t="shared" si="96"/>
        <v>0</v>
      </c>
      <c r="O125" s="10"/>
      <c r="P125" s="6">
        <v>0.16</v>
      </c>
      <c r="Q125" s="2"/>
      <c r="R125" s="7">
        <f t="shared" si="97"/>
        <v>8.0943513614554822E-8</v>
      </c>
      <c r="S125" s="2"/>
      <c r="T125" s="6">
        <v>83.93</v>
      </c>
      <c r="U125" s="2"/>
      <c r="V125" s="7">
        <f t="shared" si="98"/>
        <v>2.5068296622267016E-5</v>
      </c>
      <c r="W125" s="2"/>
      <c r="X125" s="6">
        <f t="shared" si="99"/>
        <v>-83.77000000000001</v>
      </c>
      <c r="Y125" s="2"/>
      <c r="Z125" s="7">
        <f t="shared" si="100"/>
        <v>-0.99809364946979628</v>
      </c>
    </row>
    <row r="126" spans="1:26" s="52" customFormat="1" x14ac:dyDescent="0.25">
      <c r="A126" s="37"/>
      <c r="B126" s="37"/>
      <c r="C126" s="37"/>
      <c r="D126" s="1"/>
      <c r="E126" s="1"/>
      <c r="F126" s="5"/>
      <c r="G126" s="1"/>
      <c r="H126" s="1"/>
      <c r="I126" s="1"/>
      <c r="J126" s="5"/>
      <c r="K126" s="1"/>
      <c r="L126" s="1"/>
      <c r="M126" s="1"/>
      <c r="N126" s="5"/>
      <c r="O126" s="37"/>
      <c r="P126" s="1"/>
      <c r="Q126" s="1"/>
      <c r="R126" s="5"/>
      <c r="S126" s="1"/>
      <c r="T126" s="1"/>
      <c r="U126" s="1"/>
      <c r="V126" s="5"/>
      <c r="W126" s="1"/>
      <c r="X126" s="1"/>
      <c r="Y126" s="1"/>
      <c r="Z126" s="5"/>
    </row>
    <row r="127" spans="1:26" s="24" customFormat="1" collapsed="1" x14ac:dyDescent="0.25">
      <c r="A127" s="11"/>
      <c r="B127" s="29" t="s">
        <v>292</v>
      </c>
      <c r="C127" s="11"/>
      <c r="D127" s="4">
        <f>SUM(OSRRefD25x_0)</f>
        <v>-78.120000000000118</v>
      </c>
      <c r="E127" s="4"/>
      <c r="F127" s="13">
        <f t="shared" ref="F127:F130" si="101">IF(D$12=0,0,D127/D$12)</f>
        <v>-7.4103234190693581E-3</v>
      </c>
      <c r="G127" s="4"/>
      <c r="H127" s="4">
        <f>SUM(OSRRefH25x_0)</f>
        <v>-16039.510000000002</v>
      </c>
      <c r="I127" s="4"/>
      <c r="J127" s="13">
        <f t="shared" ref="J127:J130" si="102">IF(H$12=0,0,H127/H$12)</f>
        <v>-0.96354168856828604</v>
      </c>
      <c r="K127" s="4"/>
      <c r="L127" s="4">
        <f t="shared" ref="L127:L130" si="103">+D127-H127</f>
        <v>15961.390000000001</v>
      </c>
      <c r="M127" s="4"/>
      <c r="N127" s="13">
        <f t="shared" ref="N127:N130" si="104">IF(H127=0,0,L127/H127)</f>
        <v>-0.99512952702420454</v>
      </c>
      <c r="O127" s="11"/>
      <c r="P127" s="4">
        <f>SUM(OSRRefP25x_0)</f>
        <v>334238.96000000002</v>
      </c>
      <c r="Q127" s="4"/>
      <c r="R127" s="13">
        <f t="shared" ref="R127:R130" si="105">IF(P$12=0,0,P127/P$12)</f>
        <v>0.16909047380796652</v>
      </c>
      <c r="S127" s="4"/>
      <c r="T127" s="4">
        <f>SUM(OSRRefT25x_0)</f>
        <v>177870.38</v>
      </c>
      <c r="U127" s="4"/>
      <c r="V127" s="13">
        <f t="shared" ref="V127:V130" si="106">IF(T$12=0,0,T127/T$12)</f>
        <v>5.3126503588172884E-2</v>
      </c>
      <c r="W127" s="4"/>
      <c r="X127" s="4">
        <f t="shared" ref="X127:X130" si="107">+P127-T127</f>
        <v>156368.58000000002</v>
      </c>
      <c r="Y127" s="4"/>
      <c r="Z127" s="13">
        <f t="shared" ref="Z127:Z130" si="108">IF(T127=0,0,X127/T127)</f>
        <v>0.87911534230713406</v>
      </c>
    </row>
    <row r="128" spans="1:26" s="23" customFormat="1" hidden="1" outlineLevel="1" x14ac:dyDescent="0.25">
      <c r="A128" s="44"/>
      <c r="B128" s="10" t="str">
        <f>CONCATENATE("          ", "9150", " - ", "MISC. INCOME")</f>
        <v xml:space="preserve">          9150 - MISC. INCOME</v>
      </c>
      <c r="C128" s="10"/>
      <c r="D128" s="2">
        <f>-1833.66</f>
        <v>-1833.66</v>
      </c>
      <c r="E128" s="2"/>
      <c r="F128" s="19">
        <f t="shared" si="101"/>
        <v>-0.17393770661304017</v>
      </c>
      <c r="G128" s="2"/>
      <c r="H128" s="2">
        <f>--1895.85</f>
        <v>1895.85</v>
      </c>
      <c r="I128" s="2"/>
      <c r="J128" s="19">
        <f t="shared" si="102"/>
        <v>0.11388942120252955</v>
      </c>
      <c r="K128" s="2"/>
      <c r="L128" s="2">
        <f t="shared" si="103"/>
        <v>-3729.51</v>
      </c>
      <c r="M128" s="2"/>
      <c r="N128" s="19">
        <f t="shared" si="104"/>
        <v>-1.9671967718965111</v>
      </c>
      <c r="O128" s="10"/>
      <c r="P128" s="2">
        <f>--31202.39</f>
        <v>31202.39</v>
      </c>
      <c r="Q128" s="2"/>
      <c r="R128" s="19">
        <f t="shared" si="105"/>
        <v>1.5785194248572807E-2</v>
      </c>
      <c r="S128" s="2"/>
      <c r="T128" s="2">
        <f>--23186.55</f>
        <v>23186.55</v>
      </c>
      <c r="U128" s="2"/>
      <c r="V128" s="19">
        <f t="shared" si="106"/>
        <v>6.9253820212918527E-3</v>
      </c>
      <c r="W128" s="2"/>
      <c r="X128" s="2">
        <f t="shared" si="107"/>
        <v>8015.84</v>
      </c>
      <c r="Y128" s="2"/>
      <c r="Z128" s="19">
        <f t="shared" si="108"/>
        <v>0.34571076766487469</v>
      </c>
    </row>
    <row r="129" spans="1:26" s="23" customFormat="1" hidden="1" outlineLevel="1" x14ac:dyDescent="0.25">
      <c r="A129" s="44"/>
      <c r="B129" s="10" t="str">
        <f>CONCATENATE("          ", "9151", " - ", "MISC. INCOME")</f>
        <v xml:space="preserve">          9151 - MISC. INCOME</v>
      </c>
      <c r="C129" s="10"/>
      <c r="D129" s="2">
        <f>0</f>
        <v>0</v>
      </c>
      <c r="E129" s="2"/>
      <c r="F129" s="19">
        <f t="shared" si="101"/>
        <v>0</v>
      </c>
      <c r="G129" s="2"/>
      <c r="H129" s="2">
        <f>-18698.07</f>
        <v>-18698.07</v>
      </c>
      <c r="I129" s="2"/>
      <c r="J129" s="19">
        <f t="shared" si="102"/>
        <v>-1.1232493973174997</v>
      </c>
      <c r="K129" s="2"/>
      <c r="L129" s="2">
        <f t="shared" si="103"/>
        <v>18698.07</v>
      </c>
      <c r="M129" s="2"/>
      <c r="N129" s="19">
        <f t="shared" si="104"/>
        <v>-1</v>
      </c>
      <c r="O129" s="10"/>
      <c r="P129" s="2">
        <f>--295628.46</f>
        <v>295628.46000000002</v>
      </c>
      <c r="Q129" s="2"/>
      <c r="R129" s="19">
        <f t="shared" si="105"/>
        <v>0.14955753923037421</v>
      </c>
      <c r="S129" s="2"/>
      <c r="T129" s="2">
        <f>--144046.23</f>
        <v>144046.23000000001</v>
      </c>
      <c r="U129" s="2"/>
      <c r="V129" s="19">
        <f t="shared" si="106"/>
        <v>4.3023872524238026E-2</v>
      </c>
      <c r="W129" s="2"/>
      <c r="X129" s="2">
        <f t="shared" si="107"/>
        <v>151582.23000000001</v>
      </c>
      <c r="Y129" s="2"/>
      <c r="Z129" s="19">
        <f t="shared" si="108"/>
        <v>1.0523165375449257</v>
      </c>
    </row>
    <row r="130" spans="1:26" s="23" customFormat="1" hidden="1" outlineLevel="1" x14ac:dyDescent="0.25">
      <c r="A130" s="44"/>
      <c r="B130" s="10" t="str">
        <f>CONCATENATE("          ", "9152", " - ", "MISC. INCOME")</f>
        <v xml:space="preserve">          9152 - MISC. INCOME</v>
      </c>
      <c r="C130" s="10"/>
      <c r="D130" s="2">
        <f>--1755.54</f>
        <v>1755.54</v>
      </c>
      <c r="E130" s="2"/>
      <c r="F130" s="19">
        <f t="shared" si="101"/>
        <v>0.16652738319397081</v>
      </c>
      <c r="G130" s="2"/>
      <c r="H130" s="2">
        <f>--762.71</f>
        <v>762.71</v>
      </c>
      <c r="I130" s="2"/>
      <c r="J130" s="19">
        <f t="shared" si="102"/>
        <v>4.5818287546684246E-2</v>
      </c>
      <c r="K130" s="2"/>
      <c r="L130" s="2">
        <f t="shared" si="103"/>
        <v>992.82999999999993</v>
      </c>
      <c r="M130" s="2"/>
      <c r="N130" s="19">
        <f t="shared" si="104"/>
        <v>1.3017136264110867</v>
      </c>
      <c r="O130" s="10"/>
      <c r="P130" s="2">
        <f>--7408.11</f>
        <v>7408.11</v>
      </c>
      <c r="Q130" s="2"/>
      <c r="R130" s="19">
        <f t="shared" si="105"/>
        <v>3.7477403290194977E-3</v>
      </c>
      <c r="S130" s="2"/>
      <c r="T130" s="2">
        <f>--10637.6</f>
        <v>10637.6</v>
      </c>
      <c r="U130" s="2"/>
      <c r="V130" s="19">
        <f t="shared" si="106"/>
        <v>3.1772490426430072E-3</v>
      </c>
      <c r="W130" s="2"/>
      <c r="X130" s="2">
        <f t="shared" si="107"/>
        <v>-3229.4900000000007</v>
      </c>
      <c r="Y130" s="2"/>
      <c r="Z130" s="19">
        <f t="shared" si="108"/>
        <v>-0.30359197563360163</v>
      </c>
    </row>
    <row r="131" spans="1:26" x14ac:dyDescent="0.25">
      <c r="A131" s="9"/>
      <c r="B131" s="11"/>
      <c r="C131" s="11"/>
      <c r="D131" s="3"/>
      <c r="E131" s="3"/>
      <c r="F131" s="8"/>
      <c r="G131" s="3"/>
      <c r="H131" s="3"/>
      <c r="I131" s="3"/>
      <c r="J131" s="8"/>
      <c r="K131" s="3"/>
      <c r="L131" s="3"/>
      <c r="M131" s="3"/>
      <c r="N131" s="8"/>
      <c r="O131" s="11"/>
      <c r="P131" s="3"/>
      <c r="Q131" s="3"/>
      <c r="R131" s="8"/>
      <c r="S131" s="3"/>
      <c r="T131" s="3"/>
      <c r="U131" s="3"/>
      <c r="V131" s="8"/>
      <c r="W131" s="3"/>
      <c r="X131" s="3"/>
      <c r="Y131" s="3"/>
      <c r="Z131" s="8"/>
    </row>
    <row r="132" spans="1:26" s="24" customFormat="1" x14ac:dyDescent="0.25">
      <c r="A132" s="11"/>
      <c r="B132" s="28" t="s">
        <v>276</v>
      </c>
      <c r="C132" s="28"/>
      <c r="D132" s="21">
        <f>+D63-D65+D127</f>
        <v>-83376.459999999963</v>
      </c>
      <c r="E132" s="14"/>
      <c r="F132" s="22">
        <f>IF(D$12=0,0,D132/D$12)</f>
        <v>-7.9089418092306492</v>
      </c>
      <c r="G132" s="14"/>
      <c r="H132" s="21">
        <f>+H63-H65+H127</f>
        <v>-93714.76999999999</v>
      </c>
      <c r="I132" s="14"/>
      <c r="J132" s="22">
        <f>IF(H$12=0,0,H132/H$12)</f>
        <v>-5.6297285721065373</v>
      </c>
      <c r="K132" s="15"/>
      <c r="L132" s="21">
        <f>+D132-H132</f>
        <v>10338.310000000027</v>
      </c>
      <c r="M132" s="15"/>
      <c r="N132" s="22">
        <f>IF(H132=0,0,L132/H132)</f>
        <v>-0.11031676223502472</v>
      </c>
      <c r="O132" s="29"/>
      <c r="P132" s="21">
        <f>+P63-P65+P127</f>
        <v>302770.14000000007</v>
      </c>
      <c r="Q132" s="14"/>
      <c r="R132" s="22">
        <f>IF(P$12=0,0,P132/P$12)</f>
        <v>0.1531704934323167</v>
      </c>
      <c r="S132" s="14"/>
      <c r="T132" s="21">
        <f>+T63-T65+T127</f>
        <v>561496.55999999912</v>
      </c>
      <c r="U132" s="14"/>
      <c r="V132" s="22">
        <f>IF(T$12=0,0,T132/T$12)</f>
        <v>0.16770835599264297</v>
      </c>
      <c r="W132" s="15"/>
      <c r="X132" s="21">
        <f>+P132-T132</f>
        <v>-258726.41999999905</v>
      </c>
      <c r="Y132" s="15"/>
      <c r="Z132" s="22">
        <f>IF(T132=0,0,X132/T132)</f>
        <v>-0.46078006248159287</v>
      </c>
    </row>
    <row r="133" spans="1:26" x14ac:dyDescent="0.25">
      <c r="A133" s="9"/>
      <c r="B133" s="11"/>
      <c r="C133" s="9"/>
      <c r="D133" s="3"/>
      <c r="E133" s="3"/>
      <c r="F133" s="8"/>
      <c r="G133" s="3"/>
      <c r="H133" s="3"/>
      <c r="I133" s="3"/>
      <c r="J133" s="8"/>
      <c r="K133" s="3"/>
      <c r="L133" s="3"/>
      <c r="M133" s="3"/>
      <c r="N133" s="8"/>
      <c r="P133" s="3"/>
      <c r="Q133" s="3"/>
      <c r="R133" s="8"/>
      <c r="S133" s="3"/>
      <c r="T133" s="3"/>
      <c r="U133" s="3"/>
      <c r="V133" s="8"/>
      <c r="W133" s="3"/>
      <c r="X133" s="3"/>
      <c r="Y133" s="3"/>
      <c r="Z133" s="8"/>
    </row>
    <row r="134" spans="1:26" s="24" customFormat="1" x14ac:dyDescent="0.25">
      <c r="A134" s="51"/>
      <c r="B134" s="11" t="s">
        <v>127</v>
      </c>
      <c r="C134" s="11"/>
      <c r="D134" s="4">
        <v>126989.85</v>
      </c>
      <c r="E134" s="4"/>
      <c r="F134" s="13">
        <f>IF(D$12=0,0,D134/D$12)</f>
        <v>12.046029946737116</v>
      </c>
      <c r="G134" s="4"/>
      <c r="H134" s="4">
        <v>112463.9</v>
      </c>
      <c r="I134" s="4"/>
      <c r="J134" s="13">
        <f>IF(H$12=0,0,H134/H$12)</f>
        <v>6.7560452974545262</v>
      </c>
      <c r="K134" s="4"/>
      <c r="L134" s="4">
        <f>+D134-H134</f>
        <v>14525.950000000012</v>
      </c>
      <c r="M134" s="4"/>
      <c r="N134" s="13">
        <f>IF(H134=0,0,L134/H134)</f>
        <v>0.12916100188593863</v>
      </c>
      <c r="O134" s="11"/>
      <c r="P134" s="4">
        <v>547136.41</v>
      </c>
      <c r="Q134" s="4"/>
      <c r="R134" s="13">
        <f>IF(P$12=0,0,P134/P$12)</f>
        <v>0.27679464657408531</v>
      </c>
      <c r="S134" s="4"/>
      <c r="T134" s="4">
        <v>506971.05</v>
      </c>
      <c r="U134" s="4"/>
      <c r="V134" s="13">
        <f>IF(T$12=0,0,T134/T$12)</f>
        <v>0.15142262195046063</v>
      </c>
      <c r="W134" s="4"/>
      <c r="X134" s="4">
        <f>+P134-T134</f>
        <v>40165.360000000044</v>
      </c>
      <c r="Y134" s="4"/>
      <c r="Z134" s="13">
        <f>IF(T134=0,0,X134/T134)</f>
        <v>7.9226141216544893E-2</v>
      </c>
    </row>
    <row r="135" spans="1:26" x14ac:dyDescent="0.25">
      <c r="A135" s="9"/>
      <c r="B135" s="11"/>
      <c r="C135" s="11"/>
      <c r="D135" s="3"/>
      <c r="E135" s="3"/>
      <c r="F135" s="8"/>
      <c r="G135" s="3"/>
      <c r="H135" s="3"/>
      <c r="I135" s="3"/>
      <c r="J135" s="8"/>
      <c r="K135" s="3"/>
      <c r="L135" s="3"/>
      <c r="M135" s="3"/>
      <c r="N135" s="8"/>
      <c r="O135" s="11"/>
      <c r="P135" s="3"/>
      <c r="Q135" s="3"/>
      <c r="R135" s="8"/>
      <c r="S135" s="3"/>
      <c r="T135" s="3"/>
      <c r="U135" s="3"/>
      <c r="V135" s="8"/>
      <c r="W135" s="3"/>
      <c r="X135" s="3"/>
      <c r="Y135" s="3"/>
      <c r="Z135" s="8"/>
    </row>
    <row r="136" spans="1:26" s="24" customFormat="1" ht="15.75" thickBot="1" x14ac:dyDescent="0.3">
      <c r="A136" s="11"/>
      <c r="B136" s="28" t="s">
        <v>125</v>
      </c>
      <c r="C136" s="28"/>
      <c r="D136" s="34">
        <f>+D132-D134</f>
        <v>-210366.30999999997</v>
      </c>
      <c r="E136" s="14"/>
      <c r="F136" s="31">
        <f>IF(D$12=0,0,D136/D$12)</f>
        <v>-19.954971755967765</v>
      </c>
      <c r="G136" s="14"/>
      <c r="H136" s="34">
        <f>+H132-H134</f>
        <v>-206178.66999999998</v>
      </c>
      <c r="I136" s="14"/>
      <c r="J136" s="31">
        <f>IF(H$12=0,0,H136/H$12)</f>
        <v>-12.385773869561064</v>
      </c>
      <c r="K136" s="15"/>
      <c r="L136" s="34">
        <f>D136-H136</f>
        <v>-4187.6399999999849</v>
      </c>
      <c r="M136" s="15"/>
      <c r="N136" s="31">
        <f>IF(H136=0,0,L136/H136)</f>
        <v>2.0310733404187663E-2</v>
      </c>
      <c r="O136" s="29"/>
      <c r="P136" s="34">
        <f>+P132-P134</f>
        <v>-244366.26999999996</v>
      </c>
      <c r="Q136" s="14"/>
      <c r="R136" s="31">
        <f>IF(P$12=0,0,P136/P$12)</f>
        <v>-0.1236241531417686</v>
      </c>
      <c r="S136" s="14"/>
      <c r="T136" s="34">
        <f>+T132-T134</f>
        <v>54525.509999999136</v>
      </c>
      <c r="U136" s="14"/>
      <c r="V136" s="31">
        <f>IF(T$12=0,0,T136/T$12)</f>
        <v>1.6285734042182351E-2</v>
      </c>
      <c r="W136" s="15"/>
      <c r="X136" s="34">
        <f>P136-T136</f>
        <v>-298891.7799999991</v>
      </c>
      <c r="Y136" s="15"/>
      <c r="Z136" s="31">
        <f>IF(T136=0,0,X136/T136)</f>
        <v>-5.4816870121894103</v>
      </c>
    </row>
    <row r="137" spans="1:26" ht="15.75" thickTop="1" x14ac:dyDescent="0.25">
      <c r="A137" s="9"/>
      <c r="B137" s="9"/>
      <c r="C137" s="9"/>
      <c r="D137" s="3"/>
      <c r="E137" s="3"/>
      <c r="F137" s="8"/>
      <c r="G137" s="3"/>
      <c r="H137" s="3"/>
      <c r="I137" s="3"/>
      <c r="J137" s="8"/>
      <c r="K137" s="3"/>
      <c r="L137" s="3"/>
      <c r="M137" s="3"/>
      <c r="N137" s="8"/>
      <c r="P137" s="3"/>
      <c r="Q137" s="3"/>
      <c r="R137" s="8"/>
      <c r="S137" s="3"/>
      <c r="T137" s="3"/>
      <c r="U137" s="3"/>
      <c r="V137" s="8"/>
      <c r="W137" s="3"/>
      <c r="X137" s="3"/>
      <c r="Y137" s="3"/>
      <c r="Z137" s="8"/>
    </row>
    <row r="138" spans="1:26" x14ac:dyDescent="0.25">
      <c r="A138" s="9"/>
      <c r="B138" s="9"/>
      <c r="C138" s="9"/>
      <c r="D138" s="3"/>
      <c r="E138" s="3"/>
      <c r="F138" s="8"/>
      <c r="G138" s="3"/>
      <c r="H138" s="3"/>
      <c r="I138" s="3"/>
      <c r="J138" s="8"/>
      <c r="K138" s="3"/>
      <c r="L138" s="3"/>
      <c r="M138" s="3"/>
      <c r="N138" s="8"/>
      <c r="P138" s="3"/>
      <c r="Q138" s="3"/>
      <c r="R138" s="8"/>
      <c r="S138" s="3"/>
      <c r="T138" s="3"/>
      <c r="U138" s="3"/>
      <c r="V138" s="8"/>
      <c r="W138" s="3"/>
      <c r="X138" s="3"/>
      <c r="Y138" s="3"/>
      <c r="Z138" s="8"/>
    </row>
    <row r="139" spans="1:26" s="24" customFormat="1" ht="15.75" thickBot="1" x14ac:dyDescent="0.3">
      <c r="A139" s="11"/>
      <c r="B139" s="28" t="s">
        <v>293</v>
      </c>
      <c r="C139" s="28"/>
      <c r="D139" s="33">
        <f>SUM(D136:D138)</f>
        <v>-210366.30999999997</v>
      </c>
      <c r="E139" s="14"/>
      <c r="F139" s="35">
        <f>IF(D$12=0,0,D139/D$12)</f>
        <v>-19.954971755967765</v>
      </c>
      <c r="G139" s="14"/>
      <c r="H139" s="33">
        <f>SUM(H136:H138)</f>
        <v>-206178.66999999998</v>
      </c>
      <c r="I139" s="14"/>
      <c r="J139" s="35">
        <f>IF(H$12=0,0,H139/H$12)</f>
        <v>-12.385773869561064</v>
      </c>
      <c r="K139" s="15"/>
      <c r="L139" s="33">
        <f>+D139-H139</f>
        <v>-4187.6399999999849</v>
      </c>
      <c r="M139" s="15"/>
      <c r="N139" s="35">
        <f>IF(H139=0,0,L139/H139)</f>
        <v>2.0310733404187663E-2</v>
      </c>
      <c r="O139" s="29"/>
      <c r="P139" s="33">
        <f>SUM(P136:P138)</f>
        <v>-244366.26999999996</v>
      </c>
      <c r="Q139" s="14"/>
      <c r="R139" s="35">
        <f>IF(P$12=0,0,P139/P$12)</f>
        <v>-0.1236241531417686</v>
      </c>
      <c r="S139" s="14"/>
      <c r="T139" s="33">
        <f>SUM(T136:T138)</f>
        <v>54525.509999999136</v>
      </c>
      <c r="U139" s="14"/>
      <c r="V139" s="35">
        <f>IF(T$12=0,0,T139/T$12)</f>
        <v>1.6285734042182351E-2</v>
      </c>
      <c r="W139" s="15"/>
      <c r="X139" s="33">
        <f>+P139-T139</f>
        <v>-298891.7799999991</v>
      </c>
      <c r="Y139" s="15"/>
      <c r="Z139" s="35">
        <f>IF(T139=0,0,X139/T139)</f>
        <v>-5.4816870121894103</v>
      </c>
    </row>
    <row r="140" spans="1:26" ht="15.75" thickTop="1" x14ac:dyDescent="0.25">
      <c r="A140" s="9"/>
      <c r="C140" s="9"/>
      <c r="D140" s="18"/>
      <c r="E140" s="18"/>
      <c r="G140" s="18"/>
      <c r="H140" s="18"/>
      <c r="I140" s="18"/>
      <c r="J140" s="43"/>
      <c r="K140" s="18"/>
      <c r="L140" s="18"/>
      <c r="M140" s="18"/>
      <c r="P140" s="18"/>
      <c r="Q140" s="18"/>
      <c r="R140" s="43"/>
      <c r="S140" s="18"/>
      <c r="T140" s="18"/>
      <c r="U140" s="18"/>
      <c r="V140" s="43"/>
      <c r="W140" s="18"/>
      <c r="X140" s="18"/>
    </row>
    <row r="141" spans="1:26" x14ac:dyDescent="0.25">
      <c r="A141" s="9"/>
      <c r="B141" s="56">
        <v>44454.698585613427</v>
      </c>
      <c r="D141" s="18"/>
      <c r="E141" s="18"/>
      <c r="G141" s="18"/>
      <c r="H141" s="18"/>
      <c r="I141" s="18"/>
      <c r="J141" s="43"/>
      <c r="K141" s="18"/>
      <c r="L141" s="18"/>
      <c r="M141" s="18"/>
      <c r="P141" s="18"/>
      <c r="Q141" s="18"/>
      <c r="R141" s="43"/>
      <c r="S141" s="18"/>
      <c r="T141" s="18"/>
      <c r="U141" s="18"/>
      <c r="V141" s="43"/>
      <c r="W141" s="18"/>
      <c r="X141" s="18"/>
    </row>
    <row r="142" spans="1:26" x14ac:dyDescent="0.25">
      <c r="A142" s="9"/>
      <c r="B142" s="55" t="s">
        <v>56</v>
      </c>
      <c r="D142" s="18"/>
      <c r="E142" s="18"/>
      <c r="G142" s="18"/>
      <c r="H142" s="18"/>
      <c r="I142" s="18"/>
      <c r="J142" s="43"/>
      <c r="K142" s="18"/>
      <c r="L142" s="18"/>
      <c r="M142" s="18"/>
      <c r="P142" s="18"/>
      <c r="Q142" s="18"/>
      <c r="R142" s="43"/>
      <c r="S142" s="18"/>
      <c r="T142" s="18"/>
      <c r="U142" s="18"/>
      <c r="V142" s="43"/>
      <c r="W142" s="18"/>
      <c r="X142" s="18"/>
    </row>
    <row r="143" spans="1:26" x14ac:dyDescent="0.25">
      <c r="A143" s="9"/>
      <c r="B143" s="60"/>
      <c r="D143" s="18"/>
      <c r="E143" s="18"/>
      <c r="G143" s="18"/>
      <c r="H143" s="18"/>
      <c r="I143" s="18"/>
      <c r="J143" s="43"/>
      <c r="K143" s="18"/>
      <c r="L143" s="18"/>
      <c r="M143" s="18"/>
      <c r="P143" s="18"/>
      <c r="Q143" s="18"/>
      <c r="R143" s="43"/>
      <c r="S143" s="18"/>
      <c r="T143" s="18"/>
      <c r="U143" s="18"/>
      <c r="V143" s="43"/>
      <c r="W143" s="18"/>
      <c r="X143" s="18"/>
    </row>
    <row r="144" spans="1:26" x14ac:dyDescent="0.25">
      <c r="D144" s="18"/>
      <c r="E144" s="18"/>
      <c r="G144" s="18"/>
      <c r="H144" s="18"/>
      <c r="I144" s="18"/>
      <c r="J144" s="43"/>
      <c r="K144" s="18"/>
      <c r="L144" s="18"/>
      <c r="M144" s="18"/>
      <c r="P144" s="18"/>
      <c r="Q144" s="18"/>
      <c r="R144" s="43"/>
      <c r="S144" s="18"/>
      <c r="T144" s="18"/>
      <c r="U144" s="18"/>
      <c r="V144" s="43"/>
      <c r="W144" s="18"/>
      <c r="X144" s="18"/>
    </row>
  </sheetData>
  <pageMargins left="0.25" right="0.25" top="0.75" bottom="0.75" header="0.3" footer="0.3"/>
  <pageSetup scale="55" fitToWidth="2" orientation="landscape"/>
  <drawing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rgb="FFFFFF00"/>
    <outlinePr summaryBelow="0" summaryRight="0"/>
  </sheetPr>
  <dimension ref="A2:Z192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62" t="s">
        <v>23</v>
      </c>
    </row>
    <row r="3" spans="1:26" x14ac:dyDescent="0.25">
      <c r="D3" s="62" t="s">
        <v>236</v>
      </c>
      <c r="E3" s="17"/>
      <c r="F3" s="46"/>
      <c r="G3" s="17"/>
      <c r="H3" s="17"/>
      <c r="I3" s="17"/>
      <c r="J3" s="38"/>
      <c r="K3" s="17"/>
      <c r="L3" s="17"/>
      <c r="M3" s="17"/>
      <c r="N3" s="46"/>
      <c r="O3" s="53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2" t="str">
        <f>CONCATENATE("Period ",RIGHT(202112,2),", ",2021)</f>
        <v>Period 12, 2021</v>
      </c>
      <c r="E4" s="17"/>
      <c r="F4" s="46"/>
      <c r="G4" s="17"/>
      <c r="H4" s="17"/>
      <c r="I4" s="17"/>
      <c r="J4" s="38"/>
      <c r="K4" s="17"/>
      <c r="L4" s="17"/>
      <c r="M4" s="17"/>
      <c r="N4" s="46"/>
      <c r="O4" s="53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4"/>
      <c r="D5" s="63">
        <v>44377</v>
      </c>
      <c r="E5" s="17"/>
      <c r="F5" s="46"/>
      <c r="G5" s="17"/>
      <c r="H5" s="17"/>
      <c r="I5" s="17"/>
      <c r="J5" s="38"/>
      <c r="K5" s="17"/>
      <c r="L5" s="17"/>
      <c r="M5" s="17"/>
      <c r="N5" s="46"/>
      <c r="O5" s="53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4"/>
      <c r="B6" s="48"/>
      <c r="C6" s="48"/>
      <c r="D6" s="24" t="s">
        <v>22</v>
      </c>
      <c r="E6" s="17"/>
      <c r="F6" s="46"/>
      <c r="G6" s="17"/>
      <c r="H6" s="17"/>
      <c r="I6" s="17"/>
      <c r="J6" s="38"/>
      <c r="K6" s="17"/>
      <c r="L6" s="17"/>
      <c r="M6" s="17"/>
      <c r="N6" s="46"/>
      <c r="O6" s="54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9"/>
    </row>
    <row r="8" spans="1:26" x14ac:dyDescent="0.25">
      <c r="B8" s="59"/>
    </row>
    <row r="9" spans="1:26" x14ac:dyDescent="0.25">
      <c r="B9" s="9"/>
      <c r="C9" s="9"/>
      <c r="D9" s="16" t="s">
        <v>291</v>
      </c>
      <c r="E9" s="16"/>
      <c r="F9" s="39"/>
      <c r="G9" s="16"/>
      <c r="H9" s="16"/>
      <c r="I9" s="16"/>
      <c r="J9" s="49"/>
      <c r="K9" s="16"/>
      <c r="L9" s="16"/>
      <c r="M9" s="16"/>
      <c r="N9" s="39"/>
      <c r="P9" s="16" t="s">
        <v>39</v>
      </c>
      <c r="Q9" s="16"/>
      <c r="R9" s="39"/>
      <c r="S9" s="16"/>
      <c r="T9" s="16"/>
      <c r="U9" s="16"/>
      <c r="V9" s="49"/>
      <c r="W9" s="16"/>
      <c r="X9" s="16"/>
      <c r="Y9" s="16"/>
      <c r="Z9" s="39"/>
    </row>
    <row r="10" spans="1:26" x14ac:dyDescent="0.25">
      <c r="A10" s="11"/>
      <c r="B10" s="58"/>
      <c r="C10" s="11"/>
      <c r="D10" s="42" t="s">
        <v>57</v>
      </c>
      <c r="E10" s="36"/>
      <c r="F10" s="30" t="s">
        <v>40</v>
      </c>
      <c r="G10" s="36"/>
      <c r="H10" s="50" t="s">
        <v>237</v>
      </c>
      <c r="I10" s="36"/>
      <c r="J10" s="30" t="s">
        <v>40</v>
      </c>
      <c r="K10" s="11"/>
      <c r="L10" s="42" t="s">
        <v>126</v>
      </c>
      <c r="M10" s="11"/>
      <c r="N10" s="30" t="s">
        <v>257</v>
      </c>
      <c r="O10" s="11"/>
      <c r="P10" s="61" t="s">
        <v>57</v>
      </c>
      <c r="Q10" s="36"/>
      <c r="R10" s="30" t="s">
        <v>40</v>
      </c>
      <c r="S10" s="36"/>
      <c r="T10" s="50" t="s">
        <v>237</v>
      </c>
      <c r="U10" s="36"/>
      <c r="V10" s="30" t="s">
        <v>40</v>
      </c>
      <c r="W10" s="11"/>
      <c r="X10" s="42" t="s">
        <v>126</v>
      </c>
      <c r="Y10" s="11"/>
      <c r="Z10" s="30" t="s">
        <v>257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4" customFormat="1" collapsed="1" x14ac:dyDescent="0.25">
      <c r="A12" s="11"/>
      <c r="B12" s="29" t="s">
        <v>139</v>
      </c>
      <c r="C12" s="11"/>
      <c r="D12" s="4">
        <f>SUM(OSRRefD13x_0)</f>
        <v>255640.00000000003</v>
      </c>
      <c r="E12" s="4"/>
      <c r="F12" s="13"/>
      <c r="G12" s="4"/>
      <c r="H12" s="4">
        <f>SUM(OSRRefH13x_0)</f>
        <v>168787.31000000003</v>
      </c>
      <c r="I12" s="4"/>
      <c r="J12" s="13"/>
      <c r="K12" s="4"/>
      <c r="L12" s="4">
        <f t="shared" ref="L12:L55" si="0">+D12-H12</f>
        <v>86852.69</v>
      </c>
      <c r="M12" s="4"/>
      <c r="N12" s="13">
        <f t="shared" ref="N12:N55" si="1">IF(H12=0,0,L12/H12)</f>
        <v>0.51456883814310439</v>
      </c>
      <c r="O12" s="11"/>
      <c r="P12" s="4">
        <f>SUM(OSRRefP13x_0)</f>
        <v>2572755.8200000008</v>
      </c>
      <c r="Q12" s="4"/>
      <c r="R12" s="13"/>
      <c r="S12" s="4"/>
      <c r="T12" s="4">
        <f>SUM(OSRRefT13x_0)</f>
        <v>2936241.2100000004</v>
      </c>
      <c r="U12" s="4"/>
      <c r="V12" s="13"/>
      <c r="W12" s="4"/>
      <c r="X12" s="4">
        <f t="shared" ref="X12:X55" si="2">+P12-T12</f>
        <v>-363485.38999999966</v>
      </c>
      <c r="Y12" s="4"/>
      <c r="Z12" s="13">
        <f t="shared" ref="Z12:Z55" si="3">IF(T12=0,0,X12/T12)</f>
        <v>-0.12379275543237798</v>
      </c>
    </row>
    <row r="13" spans="1:26" s="23" customFormat="1" hidden="1" outlineLevel="1" x14ac:dyDescent="0.25">
      <c r="A13" s="44"/>
      <c r="B13" s="10" t="str">
        <f>CONCATENATE("          ", "4000", " - ", "TAXABLE SALES")</f>
        <v xml:space="preserve">          4000 - TAXABLE SALES</v>
      </c>
      <c r="C13" s="10"/>
      <c r="D13" s="2">
        <f>-6259.7</f>
        <v>-6259.7</v>
      </c>
      <c r="E13" s="2"/>
      <c r="F13" s="19"/>
      <c r="G13" s="2"/>
      <c r="H13" s="2">
        <f t="shared" ref="H13:H19" si="4">0</f>
        <v>0</v>
      </c>
      <c r="I13" s="2"/>
      <c r="J13" s="19"/>
      <c r="K13" s="2"/>
      <c r="L13" s="2">
        <f t="shared" si="0"/>
        <v>-6259.7</v>
      </c>
      <c r="M13" s="2"/>
      <c r="N13" s="19">
        <f t="shared" si="1"/>
        <v>0</v>
      </c>
      <c r="O13" s="10"/>
      <c r="P13" s="2">
        <f>-140321.65</f>
        <v>-140321.65</v>
      </c>
      <c r="Q13" s="2"/>
      <c r="R13" s="19"/>
      <c r="S13" s="2"/>
      <c r="T13" s="2">
        <f>0</f>
        <v>0</v>
      </c>
      <c r="U13" s="2"/>
      <c r="V13" s="19"/>
      <c r="W13" s="2"/>
      <c r="X13" s="2">
        <f t="shared" si="2"/>
        <v>-140321.65</v>
      </c>
      <c r="Y13" s="2"/>
      <c r="Z13" s="19">
        <f t="shared" si="3"/>
        <v>0</v>
      </c>
    </row>
    <row r="14" spans="1:26" s="23" customFormat="1" hidden="1" outlineLevel="1" x14ac:dyDescent="0.25">
      <c r="A14" s="44"/>
      <c r="B14" s="10" t="str">
        <f>CONCATENATE("          ", "4025", " - ", "TAXABLE SALES-TEST FORMS")</f>
        <v xml:space="preserve">          4025 - TAXABLE SALES-TEST FORMS</v>
      </c>
      <c r="C14" s="10"/>
      <c r="D14" s="2">
        <f>0</f>
        <v>0</v>
      </c>
      <c r="E14" s="2"/>
      <c r="F14" s="19"/>
      <c r="G14" s="2"/>
      <c r="H14" s="2">
        <f t="shared" si="4"/>
        <v>0</v>
      </c>
      <c r="I14" s="2"/>
      <c r="J14" s="19"/>
      <c r="K14" s="2"/>
      <c r="L14" s="2">
        <f t="shared" si="0"/>
        <v>0</v>
      </c>
      <c r="M14" s="2"/>
      <c r="N14" s="19">
        <f t="shared" si="1"/>
        <v>0</v>
      </c>
      <c r="O14" s="10"/>
      <c r="P14" s="2">
        <f>0</f>
        <v>0</v>
      </c>
      <c r="Q14" s="2"/>
      <c r="R14" s="19"/>
      <c r="S14" s="2"/>
      <c r="T14" s="2">
        <f>--13.62</f>
        <v>13.62</v>
      </c>
      <c r="U14" s="2"/>
      <c r="V14" s="19"/>
      <c r="W14" s="2"/>
      <c r="X14" s="2">
        <f t="shared" si="2"/>
        <v>-13.62</v>
      </c>
      <c r="Y14" s="2"/>
      <c r="Z14" s="19">
        <f t="shared" si="3"/>
        <v>-1</v>
      </c>
    </row>
    <row r="15" spans="1:26" s="23" customFormat="1" hidden="1" outlineLevel="1" x14ac:dyDescent="0.25">
      <c r="A15" s="44"/>
      <c r="B15" s="10" t="str">
        <f>CONCATENATE("          ", "4026", " - ", "TAXABLE SALES-WRITING INSTRUME")</f>
        <v xml:space="preserve">          4026 - TAXABLE SALES-WRITING INSTRUME</v>
      </c>
      <c r="C15" s="10"/>
      <c r="D15" s="2">
        <f>--25.1</f>
        <v>25.1</v>
      </c>
      <c r="E15" s="2"/>
      <c r="F15" s="19"/>
      <c r="G15" s="2"/>
      <c r="H15" s="2">
        <f t="shared" si="4"/>
        <v>0</v>
      </c>
      <c r="I15" s="2"/>
      <c r="J15" s="19"/>
      <c r="K15" s="2"/>
      <c r="L15" s="2">
        <f t="shared" si="0"/>
        <v>25.1</v>
      </c>
      <c r="M15" s="2"/>
      <c r="N15" s="19">
        <f t="shared" si="1"/>
        <v>0</v>
      </c>
      <c r="O15" s="10"/>
      <c r="P15" s="2">
        <f>--530.13</f>
        <v>530.13</v>
      </c>
      <c r="Q15" s="2"/>
      <c r="R15" s="19"/>
      <c r="S15" s="2"/>
      <c r="T15" s="2">
        <f>--229.51</f>
        <v>229.51</v>
      </c>
      <c r="U15" s="2"/>
      <c r="V15" s="19"/>
      <c r="W15" s="2"/>
      <c r="X15" s="2">
        <f t="shared" si="2"/>
        <v>300.62</v>
      </c>
      <c r="Y15" s="2"/>
      <c r="Z15" s="19">
        <f t="shared" si="3"/>
        <v>1.3098339941614745</v>
      </c>
    </row>
    <row r="16" spans="1:26" s="23" customFormat="1" hidden="1" outlineLevel="1" x14ac:dyDescent="0.25">
      <c r="A16" s="44"/>
      <c r="B16" s="10" t="str">
        <f>CONCATENATE("          ", "4027", " - ", "TAXABLE SALES-SCHOOL SUPPLIES")</f>
        <v xml:space="preserve">          4027 - TAXABLE SALES-SCHOOL SUPPLIES</v>
      </c>
      <c r="C16" s="10"/>
      <c r="D16" s="2">
        <f>--3459.71</f>
        <v>3459.71</v>
      </c>
      <c r="E16" s="2"/>
      <c r="F16" s="19"/>
      <c r="G16" s="2"/>
      <c r="H16" s="2">
        <f t="shared" si="4"/>
        <v>0</v>
      </c>
      <c r="I16" s="2"/>
      <c r="J16" s="19"/>
      <c r="K16" s="2"/>
      <c r="L16" s="2">
        <f t="shared" si="0"/>
        <v>3459.71</v>
      </c>
      <c r="M16" s="2"/>
      <c r="N16" s="19">
        <f t="shared" si="1"/>
        <v>0</v>
      </c>
      <c r="O16" s="10"/>
      <c r="P16" s="2">
        <f>--65573.68</f>
        <v>65573.679999999993</v>
      </c>
      <c r="Q16" s="2"/>
      <c r="R16" s="19"/>
      <c r="S16" s="2"/>
      <c r="T16" s="2">
        <f>--161.59</f>
        <v>161.59</v>
      </c>
      <c r="U16" s="2"/>
      <c r="V16" s="19"/>
      <c r="W16" s="2"/>
      <c r="X16" s="2">
        <f t="shared" si="2"/>
        <v>65412.09</v>
      </c>
      <c r="Y16" s="2"/>
      <c r="Z16" s="19">
        <f t="shared" si="3"/>
        <v>404.80283433380777</v>
      </c>
    </row>
    <row r="17" spans="1:26" s="23" customFormat="1" hidden="1" outlineLevel="1" x14ac:dyDescent="0.25">
      <c r="A17" s="44"/>
      <c r="B17" s="10" t="str">
        <f>CONCATENATE("          ", "4028", " - ", "TAXABLE SALES-ART/TECH")</f>
        <v xml:space="preserve">          4028 - TAXABLE SALES-ART/TECH</v>
      </c>
      <c r="C17" s="10"/>
      <c r="D17" s="2">
        <f>--2312.88</f>
        <v>2312.88</v>
      </c>
      <c r="E17" s="2"/>
      <c r="F17" s="19"/>
      <c r="G17" s="2"/>
      <c r="H17" s="2">
        <f t="shared" si="4"/>
        <v>0</v>
      </c>
      <c r="I17" s="2"/>
      <c r="J17" s="19"/>
      <c r="K17" s="2"/>
      <c r="L17" s="2">
        <f t="shared" si="0"/>
        <v>2312.88</v>
      </c>
      <c r="M17" s="2"/>
      <c r="N17" s="19">
        <f t="shared" si="1"/>
        <v>0</v>
      </c>
      <c r="O17" s="10"/>
      <c r="P17" s="2">
        <f>--38229.15</f>
        <v>38229.15</v>
      </c>
      <c r="Q17" s="2"/>
      <c r="R17" s="19"/>
      <c r="S17" s="2"/>
      <c r="T17" s="2">
        <f t="shared" ref="T17:T19" si="5">0</f>
        <v>0</v>
      </c>
      <c r="U17" s="2"/>
      <c r="V17" s="19"/>
      <c r="W17" s="2"/>
      <c r="X17" s="2">
        <f t="shared" si="2"/>
        <v>38229.15</v>
      </c>
      <c r="Y17" s="2"/>
      <c r="Z17" s="19">
        <f t="shared" si="3"/>
        <v>0</v>
      </c>
    </row>
    <row r="18" spans="1:26" s="23" customFormat="1" hidden="1" outlineLevel="1" x14ac:dyDescent="0.25">
      <c r="A18" s="44"/>
      <c r="B18" s="10" t="str">
        <f>CONCATENATE("          ", "4031", " - ", "TAXABLE SALES-FOOD")</f>
        <v xml:space="preserve">          4031 - TAXABLE SALES-FOOD</v>
      </c>
      <c r="C18" s="10"/>
      <c r="D18" s="2">
        <f>--380.76</f>
        <v>380.76</v>
      </c>
      <c r="E18" s="2"/>
      <c r="F18" s="19"/>
      <c r="G18" s="2"/>
      <c r="H18" s="2">
        <f t="shared" si="4"/>
        <v>0</v>
      </c>
      <c r="I18" s="2"/>
      <c r="J18" s="19"/>
      <c r="K18" s="2"/>
      <c r="L18" s="2">
        <f t="shared" si="0"/>
        <v>380.76</v>
      </c>
      <c r="M18" s="2"/>
      <c r="N18" s="19">
        <f t="shared" si="1"/>
        <v>0</v>
      </c>
      <c r="O18" s="10"/>
      <c r="P18" s="2">
        <f>--4706.92</f>
        <v>4706.92</v>
      </c>
      <c r="Q18" s="2"/>
      <c r="R18" s="19"/>
      <c r="S18" s="2"/>
      <c r="T18" s="2">
        <f t="shared" si="5"/>
        <v>0</v>
      </c>
      <c r="U18" s="2"/>
      <c r="V18" s="19"/>
      <c r="W18" s="2"/>
      <c r="X18" s="2">
        <f t="shared" si="2"/>
        <v>4706.92</v>
      </c>
      <c r="Y18" s="2"/>
      <c r="Z18" s="19">
        <f t="shared" si="3"/>
        <v>0</v>
      </c>
    </row>
    <row r="19" spans="1:26" s="23" customFormat="1" hidden="1" outlineLevel="1" x14ac:dyDescent="0.25">
      <c r="A19" s="44"/>
      <c r="B19" s="10" t="str">
        <f>CONCATENATE("          ", "4034", " - ", "TAXABLE SALES-SODA")</f>
        <v xml:space="preserve">          4034 - TAXABLE SALES-SODA</v>
      </c>
      <c r="C19" s="10"/>
      <c r="D19" s="2">
        <f>0</f>
        <v>0</v>
      </c>
      <c r="E19" s="2"/>
      <c r="F19" s="19"/>
      <c r="G19" s="2"/>
      <c r="H19" s="2">
        <f t="shared" si="4"/>
        <v>0</v>
      </c>
      <c r="I19" s="2"/>
      <c r="J19" s="19"/>
      <c r="K19" s="2"/>
      <c r="L19" s="2">
        <f t="shared" si="0"/>
        <v>0</v>
      </c>
      <c r="M19" s="2"/>
      <c r="N19" s="19">
        <f t="shared" si="1"/>
        <v>0</v>
      </c>
      <c r="O19" s="10"/>
      <c r="P19" s="2">
        <f>--6.78</f>
        <v>6.78</v>
      </c>
      <c r="Q19" s="2"/>
      <c r="R19" s="19"/>
      <c r="S19" s="2"/>
      <c r="T19" s="2">
        <f t="shared" si="5"/>
        <v>0</v>
      </c>
      <c r="U19" s="2"/>
      <c r="V19" s="19"/>
      <c r="W19" s="2"/>
      <c r="X19" s="2">
        <f t="shared" si="2"/>
        <v>6.78</v>
      </c>
      <c r="Y19" s="2"/>
      <c r="Z19" s="19">
        <f t="shared" si="3"/>
        <v>0</v>
      </c>
    </row>
    <row r="20" spans="1:26" s="23" customFormat="1" hidden="1" outlineLevel="1" x14ac:dyDescent="0.25">
      <c r="A20" s="44"/>
      <c r="B20" s="10" t="str">
        <f>CONCATENATE("          ", "4040", " - ", "TAXABLE SALES-LOGO CLOTHING")</f>
        <v xml:space="preserve">          4040 - TAXABLE SALES-LOGO CLOTHING</v>
      </c>
      <c r="C20" s="10"/>
      <c r="D20" s="2">
        <f>--109798.76</f>
        <v>109798.76</v>
      </c>
      <c r="E20" s="2"/>
      <c r="F20" s="19"/>
      <c r="G20" s="2"/>
      <c r="H20" s="2">
        <f>--46364.3</f>
        <v>46364.3</v>
      </c>
      <c r="I20" s="2"/>
      <c r="J20" s="19"/>
      <c r="K20" s="2"/>
      <c r="L20" s="2">
        <f t="shared" si="0"/>
        <v>63434.459999999992</v>
      </c>
      <c r="M20" s="2"/>
      <c r="N20" s="19">
        <f t="shared" si="1"/>
        <v>1.3681746516177316</v>
      </c>
      <c r="O20" s="10"/>
      <c r="P20" s="2">
        <f>--1210378.91</f>
        <v>1210378.9099999999</v>
      </c>
      <c r="Q20" s="2"/>
      <c r="R20" s="19"/>
      <c r="S20" s="2"/>
      <c r="T20" s="2">
        <f>--1941274.42</f>
        <v>1941274.42</v>
      </c>
      <c r="U20" s="2"/>
      <c r="V20" s="19"/>
      <c r="W20" s="2"/>
      <c r="X20" s="2">
        <f t="shared" si="2"/>
        <v>-730895.51</v>
      </c>
      <c r="Y20" s="2"/>
      <c r="Z20" s="19">
        <f t="shared" si="3"/>
        <v>-0.37650293151238251</v>
      </c>
    </row>
    <row r="21" spans="1:26" s="23" customFormat="1" hidden="1" outlineLevel="1" x14ac:dyDescent="0.25">
      <c r="A21" s="44"/>
      <c r="B21" s="10" t="str">
        <f>CONCATENATE("          ", "4041", " - ", "TAXABLE SALES-LOGO GIFTS")</f>
        <v xml:space="preserve">          4041 - TAXABLE SALES-LOGO GIFTS</v>
      </c>
      <c r="C21" s="10"/>
      <c r="D21" s="2">
        <f>--80214.77</f>
        <v>80214.77</v>
      </c>
      <c r="E21" s="2"/>
      <c r="F21" s="19"/>
      <c r="G21" s="2"/>
      <c r="H21" s="2">
        <f>--29345.98</f>
        <v>29345.98</v>
      </c>
      <c r="I21" s="2"/>
      <c r="J21" s="19"/>
      <c r="K21" s="2"/>
      <c r="L21" s="2">
        <f t="shared" si="0"/>
        <v>50868.790000000008</v>
      </c>
      <c r="M21" s="2"/>
      <c r="N21" s="19">
        <f t="shared" si="1"/>
        <v>1.7334159568022607</v>
      </c>
      <c r="O21" s="10"/>
      <c r="P21" s="2">
        <f>--618685.64</f>
        <v>618685.64</v>
      </c>
      <c r="Q21" s="2"/>
      <c r="R21" s="19"/>
      <c r="S21" s="2"/>
      <c r="T21" s="2">
        <f>--380463.99</f>
        <v>380463.99</v>
      </c>
      <c r="U21" s="2"/>
      <c r="V21" s="19"/>
      <c r="W21" s="2"/>
      <c r="X21" s="2">
        <f t="shared" si="2"/>
        <v>238221.65000000002</v>
      </c>
      <c r="Y21" s="2"/>
      <c r="Z21" s="19">
        <f t="shared" si="3"/>
        <v>0.62613455218192926</v>
      </c>
    </row>
    <row r="22" spans="1:26" s="23" customFormat="1" hidden="1" outlineLevel="1" x14ac:dyDescent="0.25">
      <c r="A22" s="44"/>
      <c r="B22" s="10" t="str">
        <f>CONCATENATE("          ", "4042", " - ", "TAXABLE SALES-EVERYDAY GIFTS")</f>
        <v xml:space="preserve">          4042 - TAXABLE SALES-EVERYDAY GIFTS</v>
      </c>
      <c r="C22" s="10"/>
      <c r="D22" s="2">
        <f>--4764.33</f>
        <v>4764.33</v>
      </c>
      <c r="E22" s="2"/>
      <c r="F22" s="19"/>
      <c r="G22" s="2"/>
      <c r="H22" s="2">
        <f>--2752.94</f>
        <v>2752.94</v>
      </c>
      <c r="I22" s="2"/>
      <c r="J22" s="19"/>
      <c r="K22" s="2"/>
      <c r="L22" s="2">
        <f t="shared" si="0"/>
        <v>2011.3899999999999</v>
      </c>
      <c r="M22" s="2"/>
      <c r="N22" s="19">
        <f t="shared" si="1"/>
        <v>0.73063343189462893</v>
      </c>
      <c r="O22" s="10"/>
      <c r="P22" s="2">
        <f>--95345.21</f>
        <v>95345.21</v>
      </c>
      <c r="Q22" s="2"/>
      <c r="R22" s="19"/>
      <c r="S22" s="2"/>
      <c r="T22" s="2">
        <f>--208367.78</f>
        <v>208367.78</v>
      </c>
      <c r="U22" s="2"/>
      <c r="V22" s="19"/>
      <c r="W22" s="2"/>
      <c r="X22" s="2">
        <f t="shared" si="2"/>
        <v>-113022.56999999999</v>
      </c>
      <c r="Y22" s="2"/>
      <c r="Z22" s="19">
        <f t="shared" si="3"/>
        <v>-0.54241865033067971</v>
      </c>
    </row>
    <row r="23" spans="1:26" s="23" customFormat="1" hidden="1" outlineLevel="1" x14ac:dyDescent="0.25">
      <c r="A23" s="44"/>
      <c r="B23" s="10" t="str">
        <f>CONCATENATE("          ", "4043", " - ", "TAXABLE SALES-CARDS")</f>
        <v xml:space="preserve">          4043 - TAXABLE SALES-CARDS</v>
      </c>
      <c r="C23" s="10"/>
      <c r="D23" s="2">
        <f>--2905.23</f>
        <v>2905.23</v>
      </c>
      <c r="E23" s="2"/>
      <c r="F23" s="19"/>
      <c r="G23" s="2"/>
      <c r="H23" s="2">
        <f>--54.96</f>
        <v>54.96</v>
      </c>
      <c r="I23" s="2"/>
      <c r="J23" s="19"/>
      <c r="K23" s="2"/>
      <c r="L23" s="2">
        <f t="shared" si="0"/>
        <v>2850.27</v>
      </c>
      <c r="M23" s="2"/>
      <c r="N23" s="19">
        <f t="shared" si="1"/>
        <v>51.860807860262007</v>
      </c>
      <c r="O23" s="10"/>
      <c r="P23" s="2">
        <f>--146920.75</f>
        <v>146920.75</v>
      </c>
      <c r="Q23" s="2"/>
      <c r="R23" s="19"/>
      <c r="S23" s="2"/>
      <c r="T23" s="2">
        <f>--76402.42</f>
        <v>76402.42</v>
      </c>
      <c r="U23" s="2"/>
      <c r="V23" s="19"/>
      <c r="W23" s="2"/>
      <c r="X23" s="2">
        <f t="shared" si="2"/>
        <v>70518.33</v>
      </c>
      <c r="Y23" s="2"/>
      <c r="Z23" s="19">
        <f t="shared" si="3"/>
        <v>0.92298555464604393</v>
      </c>
    </row>
    <row r="24" spans="1:26" s="23" customFormat="1" hidden="1" outlineLevel="1" x14ac:dyDescent="0.25">
      <c r="A24" s="44"/>
      <c r="B24" s="10" t="str">
        <f>CONCATENATE("          ", "4044", " - ", "TAXABLE SALES-ACCESSORIES")</f>
        <v xml:space="preserve">          4044 - TAXABLE SALES-ACCESSORIES</v>
      </c>
      <c r="C24" s="10"/>
      <c r="D24" s="2">
        <f>--2172.33</f>
        <v>2172.33</v>
      </c>
      <c r="E24" s="2"/>
      <c r="F24" s="19"/>
      <c r="G24" s="2"/>
      <c r="H24" s="2">
        <f>--2524.8</f>
        <v>2524.8000000000002</v>
      </c>
      <c r="I24" s="2"/>
      <c r="J24" s="19"/>
      <c r="K24" s="2"/>
      <c r="L24" s="2">
        <f t="shared" si="0"/>
        <v>-352.47000000000025</v>
      </c>
      <c r="M24" s="2"/>
      <c r="N24" s="19">
        <f t="shared" si="1"/>
        <v>-0.13960313688212936</v>
      </c>
      <c r="O24" s="10"/>
      <c r="P24" s="2">
        <f>--43288.66</f>
        <v>43288.66</v>
      </c>
      <c r="Q24" s="2"/>
      <c r="R24" s="19"/>
      <c r="S24" s="2"/>
      <c r="T24" s="2">
        <f>--73365.88</f>
        <v>73365.88</v>
      </c>
      <c r="U24" s="2"/>
      <c r="V24" s="19"/>
      <c r="W24" s="2"/>
      <c r="X24" s="2">
        <f t="shared" si="2"/>
        <v>-30077.22</v>
      </c>
      <c r="Y24" s="2"/>
      <c r="Z24" s="19">
        <f t="shared" si="3"/>
        <v>-0.40996196051897693</v>
      </c>
    </row>
    <row r="25" spans="1:26" s="23" customFormat="1" hidden="1" outlineLevel="1" x14ac:dyDescent="0.25">
      <c r="A25" s="44"/>
      <c r="B25" s="10" t="str">
        <f>CONCATENATE("          ", "4045", " - ", "TAXABLE SALES-SPECIAL ORDERS")</f>
        <v xml:space="preserve">          4045 - TAXABLE SALES-SPECIAL ORDERS</v>
      </c>
      <c r="C25" s="10"/>
      <c r="D25" s="2">
        <f>--81300.55</f>
        <v>81300.55</v>
      </c>
      <c r="E25" s="2"/>
      <c r="F25" s="19"/>
      <c r="G25" s="2"/>
      <c r="H25" s="2">
        <f>--26263.53</f>
        <v>26263.53</v>
      </c>
      <c r="I25" s="2"/>
      <c r="J25" s="19"/>
      <c r="K25" s="2"/>
      <c r="L25" s="2">
        <f t="shared" si="0"/>
        <v>55037.020000000004</v>
      </c>
      <c r="M25" s="2"/>
      <c r="N25" s="19">
        <f t="shared" si="1"/>
        <v>2.0955682651951206</v>
      </c>
      <c r="O25" s="10"/>
      <c r="P25" s="2">
        <f>--314878.48</f>
        <v>314878.48</v>
      </c>
      <c r="Q25" s="2"/>
      <c r="R25" s="19"/>
      <c r="S25" s="2"/>
      <c r="T25" s="2">
        <f>--123103.09</f>
        <v>123103.09</v>
      </c>
      <c r="U25" s="2"/>
      <c r="V25" s="19"/>
      <c r="W25" s="2"/>
      <c r="X25" s="2">
        <f t="shared" si="2"/>
        <v>191775.38999999998</v>
      </c>
      <c r="Y25" s="2"/>
      <c r="Z25" s="19">
        <f t="shared" si="3"/>
        <v>1.5578438364138543</v>
      </c>
    </row>
    <row r="26" spans="1:26" s="23" customFormat="1" hidden="1" outlineLevel="1" x14ac:dyDescent="0.25">
      <c r="A26" s="44"/>
      <c r="B26" s="10" t="str">
        <f>CONCATENATE("          ", "4092", " - ", "TAXABLE SALES-GRAD MERCH")</f>
        <v xml:space="preserve">          4092 - TAXABLE SALES-GRAD MERCH</v>
      </c>
      <c r="C26" s="10"/>
      <c r="D26" s="2">
        <f t="shared" ref="D26:D28" si="6">0</f>
        <v>0</v>
      </c>
      <c r="E26" s="2"/>
      <c r="F26" s="19"/>
      <c r="G26" s="2"/>
      <c r="H26" s="2">
        <f t="shared" ref="H26:H35" si="7">0</f>
        <v>0</v>
      </c>
      <c r="I26" s="2"/>
      <c r="J26" s="19"/>
      <c r="K26" s="2"/>
      <c r="L26" s="2">
        <f t="shared" si="0"/>
        <v>0</v>
      </c>
      <c r="M26" s="2"/>
      <c r="N26" s="19">
        <f t="shared" si="1"/>
        <v>0</v>
      </c>
      <c r="O26" s="10"/>
      <c r="P26" s="2">
        <f t="shared" ref="P26:P27" si="8">0</f>
        <v>0</v>
      </c>
      <c r="Q26" s="2"/>
      <c r="R26" s="19"/>
      <c r="S26" s="2"/>
      <c r="T26" s="2">
        <f>-39.95</f>
        <v>-39.950000000000003</v>
      </c>
      <c r="U26" s="2"/>
      <c r="V26" s="19"/>
      <c r="W26" s="2"/>
      <c r="X26" s="2">
        <f t="shared" si="2"/>
        <v>39.950000000000003</v>
      </c>
      <c r="Y26" s="2"/>
      <c r="Z26" s="19">
        <f t="shared" si="3"/>
        <v>-1</v>
      </c>
    </row>
    <row r="27" spans="1:26" s="23" customFormat="1" hidden="1" outlineLevel="1" x14ac:dyDescent="0.25">
      <c r="A27" s="44"/>
      <c r="B27" s="10" t="str">
        <f>CONCATENATE("          ", "4095", " - ", "TAXABLE SALES-CUSTOMER SERVICE")</f>
        <v xml:space="preserve">          4095 - TAXABLE SALES-CUSTOMER SERVICE</v>
      </c>
      <c r="C27" s="10"/>
      <c r="D27" s="2">
        <f t="shared" si="6"/>
        <v>0</v>
      </c>
      <c r="E27" s="2"/>
      <c r="F27" s="19"/>
      <c r="G27" s="2"/>
      <c r="H27" s="2">
        <f t="shared" si="7"/>
        <v>0</v>
      </c>
      <c r="I27" s="2"/>
      <c r="J27" s="19"/>
      <c r="K27" s="2"/>
      <c r="L27" s="2">
        <f t="shared" si="0"/>
        <v>0</v>
      </c>
      <c r="M27" s="2"/>
      <c r="N27" s="19">
        <f t="shared" si="1"/>
        <v>0</v>
      </c>
      <c r="O27" s="10"/>
      <c r="P27" s="2">
        <f t="shared" si="8"/>
        <v>0</v>
      </c>
      <c r="Q27" s="2"/>
      <c r="R27" s="19"/>
      <c r="S27" s="2"/>
      <c r="T27" s="2">
        <f>--29.7</f>
        <v>29.7</v>
      </c>
      <c r="U27" s="2"/>
      <c r="V27" s="19"/>
      <c r="W27" s="2"/>
      <c r="X27" s="2">
        <f t="shared" si="2"/>
        <v>-29.7</v>
      </c>
      <c r="Y27" s="2"/>
      <c r="Z27" s="19">
        <f t="shared" si="3"/>
        <v>-1</v>
      </c>
    </row>
    <row r="28" spans="1:26" s="23" customFormat="1" hidden="1" outlineLevel="1" x14ac:dyDescent="0.25">
      <c r="A28" s="44"/>
      <c r="B28" s="10" t="str">
        <f>CONCATENATE("          ", "4126", " - ", "NON-TAXABLE SALES-WRITING INST")</f>
        <v xml:space="preserve">          4126 - NON-TAXABLE SALES-WRITING INST</v>
      </c>
      <c r="C28" s="10"/>
      <c r="D28" s="2">
        <f t="shared" si="6"/>
        <v>0</v>
      </c>
      <c r="E28" s="2"/>
      <c r="F28" s="19"/>
      <c r="G28" s="2"/>
      <c r="H28" s="2">
        <f t="shared" si="7"/>
        <v>0</v>
      </c>
      <c r="I28" s="2"/>
      <c r="J28" s="19"/>
      <c r="K28" s="2"/>
      <c r="L28" s="2">
        <f t="shared" si="0"/>
        <v>0</v>
      </c>
      <c r="M28" s="2"/>
      <c r="N28" s="19">
        <f t="shared" si="1"/>
        <v>0</v>
      </c>
      <c r="O28" s="10"/>
      <c r="P28" s="2">
        <f>--52.68</f>
        <v>52.68</v>
      </c>
      <c r="Q28" s="2"/>
      <c r="R28" s="19"/>
      <c r="S28" s="2"/>
      <c r="T28" s="2">
        <f t="shared" ref="T28:T34" si="9">0</f>
        <v>0</v>
      </c>
      <c r="U28" s="2"/>
      <c r="V28" s="19"/>
      <c r="W28" s="2"/>
      <c r="X28" s="2">
        <f t="shared" si="2"/>
        <v>52.68</v>
      </c>
      <c r="Y28" s="2"/>
      <c r="Z28" s="19">
        <f t="shared" si="3"/>
        <v>0</v>
      </c>
    </row>
    <row r="29" spans="1:26" s="23" customFormat="1" hidden="1" outlineLevel="1" x14ac:dyDescent="0.25">
      <c r="A29" s="44"/>
      <c r="B29" s="10" t="str">
        <f>CONCATENATE("          ", "4127", " - ", "NON-TAXABLE SALES-SCHOOL SUPPL")</f>
        <v xml:space="preserve">          4127 - NON-TAXABLE SALES-SCHOOL SUPPL</v>
      </c>
      <c r="C29" s="10"/>
      <c r="D29" s="2">
        <f>--99.87</f>
        <v>99.87</v>
      </c>
      <c r="E29" s="2"/>
      <c r="F29" s="19"/>
      <c r="G29" s="2"/>
      <c r="H29" s="2">
        <f t="shared" si="7"/>
        <v>0</v>
      </c>
      <c r="I29" s="2"/>
      <c r="J29" s="19"/>
      <c r="K29" s="2"/>
      <c r="L29" s="2">
        <f t="shared" si="0"/>
        <v>99.87</v>
      </c>
      <c r="M29" s="2"/>
      <c r="N29" s="19">
        <f t="shared" si="1"/>
        <v>0</v>
      </c>
      <c r="O29" s="10"/>
      <c r="P29" s="2">
        <f>--7748.6</f>
        <v>7748.6</v>
      </c>
      <c r="Q29" s="2"/>
      <c r="R29" s="19"/>
      <c r="S29" s="2"/>
      <c r="T29" s="2">
        <f t="shared" si="9"/>
        <v>0</v>
      </c>
      <c r="U29" s="2"/>
      <c r="V29" s="19"/>
      <c r="W29" s="2"/>
      <c r="X29" s="2">
        <f t="shared" si="2"/>
        <v>7748.6</v>
      </c>
      <c r="Y29" s="2"/>
      <c r="Z29" s="19">
        <f t="shared" si="3"/>
        <v>0</v>
      </c>
    </row>
    <row r="30" spans="1:26" s="23" customFormat="1" hidden="1" outlineLevel="1" x14ac:dyDescent="0.25">
      <c r="A30" s="44"/>
      <c r="B30" s="10" t="str">
        <f>CONCATENATE("          ", "4128", " - ", "NON-TAXABLE SALES-ART/TECH")</f>
        <v xml:space="preserve">          4128 - NON-TAXABLE SALES-ART/TECH</v>
      </c>
      <c r="C30" s="10"/>
      <c r="D30" s="2">
        <f>0</f>
        <v>0</v>
      </c>
      <c r="E30" s="2"/>
      <c r="F30" s="19"/>
      <c r="G30" s="2"/>
      <c r="H30" s="2">
        <f t="shared" si="7"/>
        <v>0</v>
      </c>
      <c r="I30" s="2"/>
      <c r="J30" s="19"/>
      <c r="K30" s="2"/>
      <c r="L30" s="2">
        <f t="shared" si="0"/>
        <v>0</v>
      </c>
      <c r="M30" s="2"/>
      <c r="N30" s="19">
        <f t="shared" si="1"/>
        <v>0</v>
      </c>
      <c r="O30" s="10"/>
      <c r="P30" s="2">
        <f>--115.91</f>
        <v>115.91</v>
      </c>
      <c r="Q30" s="2"/>
      <c r="R30" s="19"/>
      <c r="S30" s="2"/>
      <c r="T30" s="2">
        <f t="shared" si="9"/>
        <v>0</v>
      </c>
      <c r="U30" s="2"/>
      <c r="V30" s="19"/>
      <c r="W30" s="2"/>
      <c r="X30" s="2">
        <f t="shared" si="2"/>
        <v>115.91</v>
      </c>
      <c r="Y30" s="2"/>
      <c r="Z30" s="19">
        <f t="shared" si="3"/>
        <v>0</v>
      </c>
    </row>
    <row r="31" spans="1:26" s="23" customFormat="1" hidden="1" outlineLevel="1" x14ac:dyDescent="0.25">
      <c r="A31" s="44"/>
      <c r="B31" s="10" t="str">
        <f>CONCATENATE("          ", "4131", " - ", "NON-TAXABLE SALES-FOOD")</f>
        <v xml:space="preserve">          4131 - NON-TAXABLE SALES-FOOD</v>
      </c>
      <c r="C31" s="10"/>
      <c r="D31" s="2">
        <f>--540.62</f>
        <v>540.62</v>
      </c>
      <c r="E31" s="2"/>
      <c r="F31" s="19"/>
      <c r="G31" s="2"/>
      <c r="H31" s="2">
        <f t="shared" si="7"/>
        <v>0</v>
      </c>
      <c r="I31" s="2"/>
      <c r="J31" s="19"/>
      <c r="K31" s="2"/>
      <c r="L31" s="2">
        <f t="shared" si="0"/>
        <v>540.62</v>
      </c>
      <c r="M31" s="2"/>
      <c r="N31" s="19">
        <f t="shared" si="1"/>
        <v>0</v>
      </c>
      <c r="O31" s="10"/>
      <c r="P31" s="2">
        <f>--10849.6</f>
        <v>10849.6</v>
      </c>
      <c r="Q31" s="2"/>
      <c r="R31" s="19"/>
      <c r="S31" s="2"/>
      <c r="T31" s="2">
        <f t="shared" si="9"/>
        <v>0</v>
      </c>
      <c r="U31" s="2"/>
      <c r="V31" s="19"/>
      <c r="W31" s="2"/>
      <c r="X31" s="2">
        <f t="shared" si="2"/>
        <v>10849.6</v>
      </c>
      <c r="Y31" s="2"/>
      <c r="Z31" s="19">
        <f t="shared" si="3"/>
        <v>0</v>
      </c>
    </row>
    <row r="32" spans="1:26" s="23" customFormat="1" hidden="1" outlineLevel="1" x14ac:dyDescent="0.25">
      <c r="A32" s="44"/>
      <c r="B32" s="10" t="str">
        <f>CONCATENATE("          ", "4132", " - ", "NON-TAXABLE SALES-JUICE")</f>
        <v xml:space="preserve">          4132 - NON-TAXABLE SALES-JUICE</v>
      </c>
      <c r="C32" s="10"/>
      <c r="D32" s="2">
        <f t="shared" ref="D32:D35" si="10">0</f>
        <v>0</v>
      </c>
      <c r="E32" s="2"/>
      <c r="F32" s="19"/>
      <c r="G32" s="2"/>
      <c r="H32" s="2">
        <f t="shared" si="7"/>
        <v>0</v>
      </c>
      <c r="I32" s="2"/>
      <c r="J32" s="19"/>
      <c r="K32" s="2"/>
      <c r="L32" s="2">
        <f t="shared" si="0"/>
        <v>0</v>
      </c>
      <c r="M32" s="2"/>
      <c r="N32" s="19">
        <f t="shared" si="1"/>
        <v>0</v>
      </c>
      <c r="O32" s="10"/>
      <c r="P32" s="2">
        <f>--22.49</f>
        <v>22.49</v>
      </c>
      <c r="Q32" s="2"/>
      <c r="R32" s="19"/>
      <c r="S32" s="2"/>
      <c r="T32" s="2">
        <f t="shared" si="9"/>
        <v>0</v>
      </c>
      <c r="U32" s="2"/>
      <c r="V32" s="19"/>
      <c r="W32" s="2"/>
      <c r="X32" s="2">
        <f t="shared" si="2"/>
        <v>22.49</v>
      </c>
      <c r="Y32" s="2"/>
      <c r="Z32" s="19">
        <f t="shared" si="3"/>
        <v>0</v>
      </c>
    </row>
    <row r="33" spans="1:26" s="23" customFormat="1" hidden="1" outlineLevel="1" x14ac:dyDescent="0.25">
      <c r="A33" s="44"/>
      <c r="B33" s="10" t="str">
        <f>CONCATENATE("          ", "4133", " - ", "NON-TAXABLE SALES-CANDY")</f>
        <v xml:space="preserve">          4133 - NON-TAXABLE SALES-CANDY</v>
      </c>
      <c r="C33" s="10"/>
      <c r="D33" s="2">
        <f t="shared" si="10"/>
        <v>0</v>
      </c>
      <c r="E33" s="2"/>
      <c r="F33" s="19"/>
      <c r="G33" s="2"/>
      <c r="H33" s="2">
        <f t="shared" si="7"/>
        <v>0</v>
      </c>
      <c r="I33" s="2"/>
      <c r="J33" s="19"/>
      <c r="K33" s="2"/>
      <c r="L33" s="2">
        <f t="shared" si="0"/>
        <v>0</v>
      </c>
      <c r="M33" s="2"/>
      <c r="N33" s="19">
        <f t="shared" si="1"/>
        <v>0</v>
      </c>
      <c r="O33" s="10"/>
      <c r="P33" s="2">
        <f>--80.71</f>
        <v>80.709999999999994</v>
      </c>
      <c r="Q33" s="2"/>
      <c r="R33" s="19"/>
      <c r="S33" s="2"/>
      <c r="T33" s="2">
        <f t="shared" si="9"/>
        <v>0</v>
      </c>
      <c r="U33" s="2"/>
      <c r="V33" s="19"/>
      <c r="W33" s="2"/>
      <c r="X33" s="2">
        <f t="shared" si="2"/>
        <v>80.709999999999994</v>
      </c>
      <c r="Y33" s="2"/>
      <c r="Z33" s="19">
        <f t="shared" si="3"/>
        <v>0</v>
      </c>
    </row>
    <row r="34" spans="1:26" s="23" customFormat="1" hidden="1" outlineLevel="1" x14ac:dyDescent="0.25">
      <c r="A34" s="44"/>
      <c r="B34" s="10" t="str">
        <f>CONCATENATE("          ", "4134", " - ", "NON-TAXABLE SALES-SODA")</f>
        <v xml:space="preserve">          4134 - NON-TAXABLE SALES-SODA</v>
      </c>
      <c r="C34" s="10"/>
      <c r="D34" s="2">
        <f t="shared" si="10"/>
        <v>0</v>
      </c>
      <c r="E34" s="2"/>
      <c r="F34" s="19"/>
      <c r="G34" s="2"/>
      <c r="H34" s="2">
        <f t="shared" si="7"/>
        <v>0</v>
      </c>
      <c r="I34" s="2"/>
      <c r="J34" s="19"/>
      <c r="K34" s="2"/>
      <c r="L34" s="2">
        <f t="shared" si="0"/>
        <v>0</v>
      </c>
      <c r="M34" s="2"/>
      <c r="N34" s="19">
        <f t="shared" si="1"/>
        <v>0</v>
      </c>
      <c r="O34" s="10"/>
      <c r="P34" s="2">
        <f>--45.53</f>
        <v>45.53</v>
      </c>
      <c r="Q34" s="2"/>
      <c r="R34" s="19"/>
      <c r="S34" s="2"/>
      <c r="T34" s="2">
        <f t="shared" si="9"/>
        <v>0</v>
      </c>
      <c r="U34" s="2"/>
      <c r="V34" s="19"/>
      <c r="W34" s="2"/>
      <c r="X34" s="2">
        <f t="shared" si="2"/>
        <v>45.53</v>
      </c>
      <c r="Y34" s="2"/>
      <c r="Z34" s="19">
        <f t="shared" si="3"/>
        <v>0</v>
      </c>
    </row>
    <row r="35" spans="1:26" s="23" customFormat="1" hidden="1" outlineLevel="1" x14ac:dyDescent="0.25">
      <c r="A35" s="44"/>
      <c r="B35" s="10" t="str">
        <f>CONCATENATE("          ", "4137", " - ", "NON-TAXABLE SALES-WATER")</f>
        <v xml:space="preserve">          4137 - NON-TAXABLE SALES-WATER</v>
      </c>
      <c r="C35" s="10"/>
      <c r="D35" s="2">
        <f t="shared" si="10"/>
        <v>0</v>
      </c>
      <c r="E35" s="2"/>
      <c r="F35" s="19"/>
      <c r="G35" s="2"/>
      <c r="H35" s="2">
        <f t="shared" si="7"/>
        <v>0</v>
      </c>
      <c r="I35" s="2"/>
      <c r="J35" s="19"/>
      <c r="K35" s="2"/>
      <c r="L35" s="2">
        <f t="shared" si="0"/>
        <v>0</v>
      </c>
      <c r="M35" s="2"/>
      <c r="N35" s="19">
        <f t="shared" si="1"/>
        <v>0</v>
      </c>
      <c r="O35" s="10"/>
      <c r="P35" s="2">
        <f>--68.25</f>
        <v>68.25</v>
      </c>
      <c r="Q35" s="2"/>
      <c r="R35" s="19"/>
      <c r="S35" s="2"/>
      <c r="T35" s="2">
        <f>--123</f>
        <v>123</v>
      </c>
      <c r="U35" s="2"/>
      <c r="V35" s="19"/>
      <c r="W35" s="2"/>
      <c r="X35" s="2">
        <f t="shared" si="2"/>
        <v>-54.75</v>
      </c>
      <c r="Y35" s="2"/>
      <c r="Z35" s="19">
        <f t="shared" si="3"/>
        <v>-0.4451219512195122</v>
      </c>
    </row>
    <row r="36" spans="1:26" s="23" customFormat="1" hidden="1" outlineLevel="1" x14ac:dyDescent="0.25">
      <c r="A36" s="44"/>
      <c r="B36" s="10" t="str">
        <f>CONCATENATE("          ", "4140", " - ", "NON-TAXABLE SALES-LOGO CLOTHIN")</f>
        <v xml:space="preserve">          4140 - NON-TAXABLE SALES-LOGO CLOTHIN</v>
      </c>
      <c r="C36" s="10"/>
      <c r="D36" s="2">
        <f>--9520.45</f>
        <v>9520.4500000000007</v>
      </c>
      <c r="E36" s="2"/>
      <c r="F36" s="19"/>
      <c r="G36" s="2"/>
      <c r="H36" s="2">
        <f>--40740.37</f>
        <v>40740.370000000003</v>
      </c>
      <c r="I36" s="2"/>
      <c r="J36" s="19"/>
      <c r="K36" s="2"/>
      <c r="L36" s="2">
        <f t="shared" si="0"/>
        <v>-31219.920000000002</v>
      </c>
      <c r="M36" s="2"/>
      <c r="N36" s="19">
        <f t="shared" si="1"/>
        <v>-0.76631410073104389</v>
      </c>
      <c r="O36" s="10"/>
      <c r="P36" s="2">
        <f>--181046.21</f>
        <v>181046.21</v>
      </c>
      <c r="Q36" s="2"/>
      <c r="R36" s="19"/>
      <c r="S36" s="2"/>
      <c r="T36" s="2">
        <f>--176221.13</f>
        <v>176221.13</v>
      </c>
      <c r="U36" s="2"/>
      <c r="V36" s="19"/>
      <c r="W36" s="2"/>
      <c r="X36" s="2">
        <f t="shared" si="2"/>
        <v>4825.0799999999872</v>
      </c>
      <c r="Y36" s="2"/>
      <c r="Z36" s="19">
        <f t="shared" si="3"/>
        <v>2.7380825443577551E-2</v>
      </c>
    </row>
    <row r="37" spans="1:26" s="23" customFormat="1" hidden="1" outlineLevel="1" x14ac:dyDescent="0.25">
      <c r="A37" s="44"/>
      <c r="B37" s="10" t="str">
        <f>CONCATENATE("          ", "4141", " - ", "NON-TAXABLE SALES-LOGO GIFTS")</f>
        <v xml:space="preserve">          4141 - NON-TAXABLE SALES-LOGO GIFTS</v>
      </c>
      <c r="C37" s="10"/>
      <c r="D37" s="2">
        <f>-25127.54</f>
        <v>-25127.54</v>
      </c>
      <c r="E37" s="2"/>
      <c r="F37" s="19"/>
      <c r="G37" s="2"/>
      <c r="H37" s="2">
        <f>--6534.64</f>
        <v>6534.64</v>
      </c>
      <c r="I37" s="2"/>
      <c r="J37" s="19"/>
      <c r="K37" s="2"/>
      <c r="L37" s="2">
        <f t="shared" si="0"/>
        <v>-31662.18</v>
      </c>
      <c r="M37" s="2"/>
      <c r="N37" s="19">
        <f t="shared" si="1"/>
        <v>-4.845282984219482</v>
      </c>
      <c r="O37" s="10"/>
      <c r="P37" s="2">
        <f>--12272.45</f>
        <v>12272.45</v>
      </c>
      <c r="Q37" s="2"/>
      <c r="R37" s="19"/>
      <c r="S37" s="2"/>
      <c r="T37" s="2">
        <f>--22573.35</f>
        <v>22573.35</v>
      </c>
      <c r="U37" s="2"/>
      <c r="V37" s="19"/>
      <c r="W37" s="2"/>
      <c r="X37" s="2">
        <f t="shared" si="2"/>
        <v>-10300.899999999998</v>
      </c>
      <c r="Y37" s="2"/>
      <c r="Z37" s="19">
        <f t="shared" si="3"/>
        <v>-0.45633014151643414</v>
      </c>
    </row>
    <row r="38" spans="1:26" s="23" customFormat="1" hidden="1" outlineLevel="1" x14ac:dyDescent="0.25">
      <c r="A38" s="44"/>
      <c r="B38" s="10" t="str">
        <f>CONCATENATE("          ", "4142", " - ", "NON-TAXABLE SALES-EVERYDAY GIF")</f>
        <v xml:space="preserve">          4142 - NON-TAXABLE SALES-EVERYDAY GIF</v>
      </c>
      <c r="C38" s="10"/>
      <c r="D38" s="2">
        <f>--54.07</f>
        <v>54.07</v>
      </c>
      <c r="E38" s="2"/>
      <c r="F38" s="19"/>
      <c r="G38" s="2"/>
      <c r="H38" s="2">
        <f>--1018.52</f>
        <v>1018.52</v>
      </c>
      <c r="I38" s="2"/>
      <c r="J38" s="19"/>
      <c r="K38" s="2"/>
      <c r="L38" s="2">
        <f t="shared" si="0"/>
        <v>-964.44999999999993</v>
      </c>
      <c r="M38" s="2"/>
      <c r="N38" s="19">
        <f t="shared" si="1"/>
        <v>-0.94691316812630089</v>
      </c>
      <c r="O38" s="10"/>
      <c r="P38" s="2">
        <f>--1521.44</f>
        <v>1521.44</v>
      </c>
      <c r="Q38" s="2"/>
      <c r="R38" s="19"/>
      <c r="S38" s="2"/>
      <c r="T38" s="2">
        <f>--7426.72</f>
        <v>7426.72</v>
      </c>
      <c r="U38" s="2"/>
      <c r="V38" s="19"/>
      <c r="W38" s="2"/>
      <c r="X38" s="2">
        <f t="shared" si="2"/>
        <v>-5905.2800000000007</v>
      </c>
      <c r="Y38" s="2"/>
      <c r="Z38" s="19">
        <f t="shared" si="3"/>
        <v>-0.79513971174354225</v>
      </c>
    </row>
    <row r="39" spans="1:26" s="23" customFormat="1" hidden="1" outlineLevel="1" x14ac:dyDescent="0.25">
      <c r="A39" s="44"/>
      <c r="B39" s="10" t="str">
        <f>CONCATENATE("          ", "4143", " - ", "NON-TAXABLE SALES-CARDS")</f>
        <v xml:space="preserve">          4143 - NON-TAXABLE SALES-CARDS</v>
      </c>
      <c r="C39" s="10"/>
      <c r="D39" s="2">
        <f>--9.95</f>
        <v>9.9499999999999993</v>
      </c>
      <c r="E39" s="2"/>
      <c r="F39" s="19"/>
      <c r="G39" s="2"/>
      <c r="H39" s="2">
        <f>0</f>
        <v>0</v>
      </c>
      <c r="I39" s="2"/>
      <c r="J39" s="19"/>
      <c r="K39" s="2"/>
      <c r="L39" s="2">
        <f t="shared" si="0"/>
        <v>9.9499999999999993</v>
      </c>
      <c r="M39" s="2"/>
      <c r="N39" s="19">
        <f t="shared" si="1"/>
        <v>0</v>
      </c>
      <c r="O39" s="10"/>
      <c r="P39" s="2">
        <f>--2562.11</f>
        <v>2562.11</v>
      </c>
      <c r="Q39" s="2"/>
      <c r="R39" s="19"/>
      <c r="S39" s="2"/>
      <c r="T39" s="2">
        <f>--19.98</f>
        <v>19.98</v>
      </c>
      <c r="U39" s="2"/>
      <c r="V39" s="19"/>
      <c r="W39" s="2"/>
      <c r="X39" s="2">
        <f t="shared" si="2"/>
        <v>2542.13</v>
      </c>
      <c r="Y39" s="2"/>
      <c r="Z39" s="19">
        <f t="shared" si="3"/>
        <v>127.23373373373374</v>
      </c>
    </row>
    <row r="40" spans="1:26" s="23" customFormat="1" hidden="1" outlineLevel="1" x14ac:dyDescent="0.25">
      <c r="A40" s="44"/>
      <c r="B40" s="10" t="str">
        <f>CONCATENATE("          ", "4144", " - ", "NON-TAXABLE SALES-ACCESSORIES")</f>
        <v xml:space="preserve">          4144 - NON-TAXABLE SALES-ACCESSORIES</v>
      </c>
      <c r="C40" s="10"/>
      <c r="D40" s="2">
        <f>--129.75</f>
        <v>129.75</v>
      </c>
      <c r="E40" s="2"/>
      <c r="F40" s="19"/>
      <c r="G40" s="2"/>
      <c r="H40" s="2">
        <f>--386.9</f>
        <v>386.9</v>
      </c>
      <c r="I40" s="2"/>
      <c r="J40" s="19"/>
      <c r="K40" s="2"/>
      <c r="L40" s="2">
        <f t="shared" si="0"/>
        <v>-257.14999999999998</v>
      </c>
      <c r="M40" s="2"/>
      <c r="N40" s="19">
        <f t="shared" si="1"/>
        <v>-0.66464202636340142</v>
      </c>
      <c r="O40" s="10"/>
      <c r="P40" s="2">
        <f>--1003.55</f>
        <v>1003.55</v>
      </c>
      <c r="Q40" s="2"/>
      <c r="R40" s="19"/>
      <c r="S40" s="2"/>
      <c r="T40" s="2">
        <f>--3710.92</f>
        <v>3710.92</v>
      </c>
      <c r="U40" s="2"/>
      <c r="V40" s="19"/>
      <c r="W40" s="2"/>
      <c r="X40" s="2">
        <f t="shared" si="2"/>
        <v>-2707.37</v>
      </c>
      <c r="Y40" s="2"/>
      <c r="Z40" s="19">
        <f t="shared" si="3"/>
        <v>-0.72956840891207564</v>
      </c>
    </row>
    <row r="41" spans="1:26" s="23" customFormat="1" hidden="1" outlineLevel="1" x14ac:dyDescent="0.25">
      <c r="A41" s="44"/>
      <c r="B41" s="10" t="str">
        <f>CONCATENATE("          ", "4145", " - ", "NON-TAXABLE SALES-SPECIAL ORDE")</f>
        <v xml:space="preserve">          4145 - NON-TAXABLE SALES-SPECIAL ORDE</v>
      </c>
      <c r="C41" s="10"/>
      <c r="D41" s="2">
        <f>--30</f>
        <v>30</v>
      </c>
      <c r="E41" s="2"/>
      <c r="F41" s="19"/>
      <c r="G41" s="2"/>
      <c r="H41" s="2">
        <f>--19379.5</f>
        <v>19379.5</v>
      </c>
      <c r="I41" s="2"/>
      <c r="J41" s="19"/>
      <c r="K41" s="2"/>
      <c r="L41" s="2">
        <f t="shared" si="0"/>
        <v>-19349.5</v>
      </c>
      <c r="M41" s="2"/>
      <c r="N41" s="19">
        <f t="shared" si="1"/>
        <v>-0.99845197244510953</v>
      </c>
      <c r="O41" s="10"/>
      <c r="P41" s="2">
        <f>--74096.89</f>
        <v>74096.89</v>
      </c>
      <c r="Q41" s="2"/>
      <c r="R41" s="19"/>
      <c r="S41" s="2"/>
      <c r="T41" s="2">
        <f>--27208.18</f>
        <v>27208.18</v>
      </c>
      <c r="U41" s="2"/>
      <c r="V41" s="19"/>
      <c r="W41" s="2"/>
      <c r="X41" s="2">
        <f t="shared" si="2"/>
        <v>46888.71</v>
      </c>
      <c r="Y41" s="2"/>
      <c r="Z41" s="19">
        <f t="shared" si="3"/>
        <v>1.7233313657877887</v>
      </c>
    </row>
    <row r="42" spans="1:26" s="23" customFormat="1" hidden="1" outlineLevel="1" x14ac:dyDescent="0.25">
      <c r="A42" s="44"/>
      <c r="B42" s="10" t="str">
        <f>CONCATENATE("          ", "4226", " - ", "SALES RETURN TAXABLE-WRITING I")</f>
        <v xml:space="preserve">          4226 - SALES RETURN TAXABLE-WRITING I</v>
      </c>
      <c r="C42" s="10"/>
      <c r="D42" s="2">
        <f>0</f>
        <v>0</v>
      </c>
      <c r="E42" s="2"/>
      <c r="F42" s="19"/>
      <c r="G42" s="2"/>
      <c r="H42" s="2">
        <f t="shared" ref="H42:H44" si="11">0</f>
        <v>0</v>
      </c>
      <c r="I42" s="2"/>
      <c r="J42" s="19"/>
      <c r="K42" s="2"/>
      <c r="L42" s="2">
        <f t="shared" si="0"/>
        <v>0</v>
      </c>
      <c r="M42" s="2"/>
      <c r="N42" s="19">
        <f t="shared" si="1"/>
        <v>0</v>
      </c>
      <c r="O42" s="10"/>
      <c r="P42" s="2">
        <f>-35.02</f>
        <v>-35.020000000000003</v>
      </c>
      <c r="Q42" s="2"/>
      <c r="R42" s="19"/>
      <c r="S42" s="2"/>
      <c r="T42" s="2">
        <f>-134.8</f>
        <v>-134.80000000000001</v>
      </c>
      <c r="U42" s="2"/>
      <c r="V42" s="19"/>
      <c r="W42" s="2"/>
      <c r="X42" s="2">
        <f t="shared" si="2"/>
        <v>99.78</v>
      </c>
      <c r="Y42" s="2"/>
      <c r="Z42" s="19">
        <f t="shared" si="3"/>
        <v>-0.74020771513353112</v>
      </c>
    </row>
    <row r="43" spans="1:26" s="23" customFormat="1" hidden="1" outlineLevel="1" x14ac:dyDescent="0.25">
      <c r="A43" s="44"/>
      <c r="B43" s="10" t="str">
        <f>CONCATENATE("          ", "4227", " - ", "SALES RETURN TAXABLE-SCHOOL SU")</f>
        <v xml:space="preserve">          4227 - SALES RETURN TAXABLE-SCHOOL SU</v>
      </c>
      <c r="C43" s="10"/>
      <c r="D43" s="2">
        <f>-80.63</f>
        <v>-80.63</v>
      </c>
      <c r="E43" s="2"/>
      <c r="F43" s="19"/>
      <c r="G43" s="2"/>
      <c r="H43" s="2">
        <f t="shared" si="11"/>
        <v>0</v>
      </c>
      <c r="I43" s="2"/>
      <c r="J43" s="19"/>
      <c r="K43" s="2"/>
      <c r="L43" s="2">
        <f t="shared" si="0"/>
        <v>-80.63</v>
      </c>
      <c r="M43" s="2"/>
      <c r="N43" s="19">
        <f t="shared" si="1"/>
        <v>0</v>
      </c>
      <c r="O43" s="10"/>
      <c r="P43" s="2">
        <f>-1405.14</f>
        <v>-1405.14</v>
      </c>
      <c r="Q43" s="2"/>
      <c r="R43" s="19"/>
      <c r="S43" s="2"/>
      <c r="T43" s="2">
        <f t="shared" ref="T43:T44" si="12">0</f>
        <v>0</v>
      </c>
      <c r="U43" s="2"/>
      <c r="V43" s="19"/>
      <c r="W43" s="2"/>
      <c r="X43" s="2">
        <f t="shared" si="2"/>
        <v>-1405.14</v>
      </c>
      <c r="Y43" s="2"/>
      <c r="Z43" s="19">
        <f t="shared" si="3"/>
        <v>0</v>
      </c>
    </row>
    <row r="44" spans="1:26" s="23" customFormat="1" hidden="1" outlineLevel="1" x14ac:dyDescent="0.25">
      <c r="A44" s="44"/>
      <c r="B44" s="10" t="str">
        <f>CONCATENATE("          ", "4228", " - ", "SALES RETURN TAXABLE-ART/TECH")</f>
        <v xml:space="preserve">          4228 - SALES RETURN TAXABLE-ART/TECH</v>
      </c>
      <c r="C44" s="10"/>
      <c r="D44" s="2">
        <f>-105.6</f>
        <v>-105.6</v>
      </c>
      <c r="E44" s="2"/>
      <c r="F44" s="19"/>
      <c r="G44" s="2"/>
      <c r="H44" s="2">
        <f t="shared" si="11"/>
        <v>0</v>
      </c>
      <c r="I44" s="2"/>
      <c r="J44" s="19"/>
      <c r="K44" s="2"/>
      <c r="L44" s="2">
        <f t="shared" si="0"/>
        <v>-105.6</v>
      </c>
      <c r="M44" s="2"/>
      <c r="N44" s="19">
        <f t="shared" si="1"/>
        <v>0</v>
      </c>
      <c r="O44" s="10"/>
      <c r="P44" s="2">
        <f>-12857.13</f>
        <v>-12857.13</v>
      </c>
      <c r="Q44" s="2"/>
      <c r="R44" s="19"/>
      <c r="S44" s="2"/>
      <c r="T44" s="2">
        <f t="shared" si="12"/>
        <v>0</v>
      </c>
      <c r="U44" s="2"/>
      <c r="V44" s="19"/>
      <c r="W44" s="2"/>
      <c r="X44" s="2">
        <f t="shared" si="2"/>
        <v>-12857.13</v>
      </c>
      <c r="Y44" s="2"/>
      <c r="Z44" s="19">
        <f t="shared" si="3"/>
        <v>0</v>
      </c>
    </row>
    <row r="45" spans="1:26" s="23" customFormat="1" hidden="1" outlineLevel="1" x14ac:dyDescent="0.25">
      <c r="A45" s="44"/>
      <c r="B45" s="10" t="str">
        <f>CONCATENATE("          ", "4240", " - ", "SALES RETURN TAXABLE-LOGO CLOT")</f>
        <v xml:space="preserve">          4240 - SALES RETURN TAXABLE-LOGO CLOT</v>
      </c>
      <c r="C45" s="10"/>
      <c r="D45" s="2">
        <f>-4795.71</f>
        <v>-4795.71</v>
      </c>
      <c r="E45" s="2"/>
      <c r="F45" s="19"/>
      <c r="G45" s="2"/>
      <c r="H45" s="2">
        <f>-2702.34</f>
        <v>-2702.34</v>
      </c>
      <c r="I45" s="2"/>
      <c r="J45" s="19"/>
      <c r="K45" s="2"/>
      <c r="L45" s="2">
        <f t="shared" si="0"/>
        <v>-2093.37</v>
      </c>
      <c r="M45" s="2"/>
      <c r="N45" s="19">
        <f t="shared" si="1"/>
        <v>0.77465085814516299</v>
      </c>
      <c r="O45" s="10"/>
      <c r="P45" s="2">
        <f>-51889.15</f>
        <v>-51889.15</v>
      </c>
      <c r="Q45" s="2"/>
      <c r="R45" s="19"/>
      <c r="S45" s="2"/>
      <c r="T45" s="2">
        <f>-80387.11</f>
        <v>-80387.11</v>
      </c>
      <c r="U45" s="2"/>
      <c r="V45" s="19"/>
      <c r="W45" s="2"/>
      <c r="X45" s="2">
        <f t="shared" si="2"/>
        <v>28497.96</v>
      </c>
      <c r="Y45" s="2"/>
      <c r="Z45" s="19">
        <f t="shared" si="3"/>
        <v>-0.35450907490019234</v>
      </c>
    </row>
    <row r="46" spans="1:26" s="23" customFormat="1" hidden="1" outlineLevel="1" x14ac:dyDescent="0.25">
      <c r="A46" s="44"/>
      <c r="B46" s="10" t="str">
        <f>CONCATENATE("          ", "4241", " - ", "SALES RETURN TAXABLE-LOGO GIFT")</f>
        <v xml:space="preserve">          4241 - SALES RETURN TAXABLE-LOGO GIFT</v>
      </c>
      <c r="C46" s="10"/>
      <c r="D46" s="2">
        <f>-1907.39</f>
        <v>-1907.39</v>
      </c>
      <c r="E46" s="2"/>
      <c r="F46" s="19"/>
      <c r="G46" s="2"/>
      <c r="H46" s="2">
        <f>-525.51</f>
        <v>-525.51</v>
      </c>
      <c r="I46" s="2"/>
      <c r="J46" s="19"/>
      <c r="K46" s="2"/>
      <c r="L46" s="2">
        <f t="shared" si="0"/>
        <v>-1381.88</v>
      </c>
      <c r="M46" s="2"/>
      <c r="N46" s="19">
        <f t="shared" si="1"/>
        <v>2.6295979144069572</v>
      </c>
      <c r="O46" s="10"/>
      <c r="P46" s="2">
        <f>-17294.93</f>
        <v>-17294.93</v>
      </c>
      <c r="Q46" s="2"/>
      <c r="R46" s="19"/>
      <c r="S46" s="2"/>
      <c r="T46" s="2">
        <f>-6931.38</f>
        <v>-6931.38</v>
      </c>
      <c r="U46" s="2"/>
      <c r="V46" s="19"/>
      <c r="W46" s="2"/>
      <c r="X46" s="2">
        <f t="shared" si="2"/>
        <v>-10363.549999999999</v>
      </c>
      <c r="Y46" s="2"/>
      <c r="Z46" s="19">
        <f t="shared" si="3"/>
        <v>1.4951640221716309</v>
      </c>
    </row>
    <row r="47" spans="1:26" s="23" customFormat="1" hidden="1" outlineLevel="1" x14ac:dyDescent="0.25">
      <c r="A47" s="44"/>
      <c r="B47" s="10" t="str">
        <f>CONCATENATE("          ", "4242", " - ", "SALES RETURN TAXABLE-EVERYDAY")</f>
        <v xml:space="preserve">          4242 - SALES RETURN TAXABLE-EVERYDAY</v>
      </c>
      <c r="C47" s="10"/>
      <c r="D47" s="2">
        <f>-131.98</f>
        <v>-131.97999999999999</v>
      </c>
      <c r="E47" s="2"/>
      <c r="F47" s="19"/>
      <c r="G47" s="2"/>
      <c r="H47" s="2">
        <f>-51.44</f>
        <v>-51.44</v>
      </c>
      <c r="I47" s="2"/>
      <c r="J47" s="19"/>
      <c r="K47" s="2"/>
      <c r="L47" s="2">
        <f t="shared" si="0"/>
        <v>-80.539999999999992</v>
      </c>
      <c r="M47" s="2"/>
      <c r="N47" s="19">
        <f t="shared" si="1"/>
        <v>1.5657076205287712</v>
      </c>
      <c r="O47" s="10"/>
      <c r="P47" s="2">
        <f>-2875.07</f>
        <v>-2875.07</v>
      </c>
      <c r="Q47" s="2"/>
      <c r="R47" s="19"/>
      <c r="S47" s="2"/>
      <c r="T47" s="2">
        <f>-4005.15</f>
        <v>-4005.15</v>
      </c>
      <c r="U47" s="2"/>
      <c r="V47" s="19"/>
      <c r="W47" s="2"/>
      <c r="X47" s="2">
        <f t="shared" si="2"/>
        <v>1130.08</v>
      </c>
      <c r="Y47" s="2"/>
      <c r="Z47" s="19">
        <f t="shared" si="3"/>
        <v>-0.28215672321885571</v>
      </c>
    </row>
    <row r="48" spans="1:26" s="23" customFormat="1" hidden="1" outlineLevel="1" x14ac:dyDescent="0.25">
      <c r="A48" s="44"/>
      <c r="B48" s="10" t="str">
        <f>CONCATENATE("          ", "4243", " - ", "SALES RETURN TAXABLE-CARDS")</f>
        <v xml:space="preserve">          4243 - SALES RETURN TAXABLE-CARDS</v>
      </c>
      <c r="C48" s="10"/>
      <c r="D48" s="2">
        <f>-9.99</f>
        <v>-9.99</v>
      </c>
      <c r="E48" s="2"/>
      <c r="F48" s="19"/>
      <c r="G48" s="2"/>
      <c r="H48" s="2">
        <f>-19.99</f>
        <v>-19.989999999999998</v>
      </c>
      <c r="I48" s="2"/>
      <c r="J48" s="19"/>
      <c r="K48" s="2"/>
      <c r="L48" s="2">
        <f t="shared" si="0"/>
        <v>9.9999999999999982</v>
      </c>
      <c r="M48" s="2"/>
      <c r="N48" s="19">
        <f t="shared" si="1"/>
        <v>-0.50025012506253119</v>
      </c>
      <c r="O48" s="10"/>
      <c r="P48" s="2">
        <f>-6228.98</f>
        <v>-6228.98</v>
      </c>
      <c r="Q48" s="2"/>
      <c r="R48" s="19"/>
      <c r="S48" s="2"/>
      <c r="T48" s="2">
        <f>-3026.3</f>
        <v>-3026.3</v>
      </c>
      <c r="U48" s="2"/>
      <c r="V48" s="19"/>
      <c r="W48" s="2"/>
      <c r="X48" s="2">
        <f t="shared" si="2"/>
        <v>-3202.6799999999994</v>
      </c>
      <c r="Y48" s="2"/>
      <c r="Z48" s="19">
        <f t="shared" si="3"/>
        <v>1.0582823910385617</v>
      </c>
    </row>
    <row r="49" spans="1:26" s="23" customFormat="1" hidden="1" outlineLevel="1" x14ac:dyDescent="0.25">
      <c r="A49" s="44"/>
      <c r="B49" s="10" t="str">
        <f>CONCATENATE("          ", "4244", " - ", "SALES RETURN TAXABLE-ACCESSORI")</f>
        <v xml:space="preserve">          4244 - SALES RETURN TAXABLE-ACCESSORI</v>
      </c>
      <c r="C49" s="10"/>
      <c r="D49" s="2">
        <f>-34.84</f>
        <v>-34.840000000000003</v>
      </c>
      <c r="E49" s="2"/>
      <c r="F49" s="19"/>
      <c r="G49" s="2"/>
      <c r="H49" s="2">
        <f>0</f>
        <v>0</v>
      </c>
      <c r="I49" s="2"/>
      <c r="J49" s="19"/>
      <c r="K49" s="2"/>
      <c r="L49" s="2">
        <f t="shared" si="0"/>
        <v>-34.840000000000003</v>
      </c>
      <c r="M49" s="2"/>
      <c r="N49" s="19">
        <f t="shared" si="1"/>
        <v>0</v>
      </c>
      <c r="O49" s="10"/>
      <c r="P49" s="2">
        <f>-1302.75</f>
        <v>-1302.75</v>
      </c>
      <c r="Q49" s="2"/>
      <c r="R49" s="19"/>
      <c r="S49" s="2"/>
      <c r="T49" s="2">
        <f>-2726.41</f>
        <v>-2726.41</v>
      </c>
      <c r="U49" s="2"/>
      <c r="V49" s="19"/>
      <c r="W49" s="2"/>
      <c r="X49" s="2">
        <f t="shared" si="2"/>
        <v>1423.6599999999999</v>
      </c>
      <c r="Y49" s="2"/>
      <c r="Z49" s="19">
        <f t="shared" si="3"/>
        <v>-0.52217384766047659</v>
      </c>
    </row>
    <row r="50" spans="1:26" s="23" customFormat="1" hidden="1" outlineLevel="1" x14ac:dyDescent="0.25">
      <c r="A50" s="44"/>
      <c r="B50" s="10" t="str">
        <f>CONCATENATE("          ", "4245", " - ", "SALES RETURN TAXABLE-SPECIAL O")</f>
        <v xml:space="preserve">          4245 - SALES RETURN TAXABLE-SPECIAL O</v>
      </c>
      <c r="C50" s="10"/>
      <c r="D50" s="2">
        <f>-3318.4</f>
        <v>-3318.4</v>
      </c>
      <c r="E50" s="2"/>
      <c r="F50" s="19"/>
      <c r="G50" s="2"/>
      <c r="H50" s="2">
        <f>-2187.5</f>
        <v>-2187.5</v>
      </c>
      <c r="I50" s="2"/>
      <c r="J50" s="19"/>
      <c r="K50" s="2"/>
      <c r="L50" s="2">
        <f t="shared" si="0"/>
        <v>-1130.9000000000001</v>
      </c>
      <c r="M50" s="2"/>
      <c r="N50" s="19">
        <f t="shared" si="1"/>
        <v>0.51698285714285719</v>
      </c>
      <c r="O50" s="10"/>
      <c r="P50" s="2">
        <f>-18779.13</f>
        <v>-18779.13</v>
      </c>
      <c r="Q50" s="2"/>
      <c r="R50" s="19"/>
      <c r="S50" s="2"/>
      <c r="T50" s="2">
        <f>-4097.53</f>
        <v>-4097.53</v>
      </c>
      <c r="U50" s="2"/>
      <c r="V50" s="19"/>
      <c r="W50" s="2"/>
      <c r="X50" s="2">
        <f t="shared" si="2"/>
        <v>-14681.600000000002</v>
      </c>
      <c r="Y50" s="2"/>
      <c r="Z50" s="19">
        <f t="shared" si="3"/>
        <v>3.5830366098600872</v>
      </c>
    </row>
    <row r="51" spans="1:26" s="23" customFormat="1" hidden="1" outlineLevel="1" x14ac:dyDescent="0.25">
      <c r="A51" s="44"/>
      <c r="B51" s="10" t="str">
        <f>CONCATENATE("          ", "4295", " - ", "SALES RETURN TAXABLE-CUSTOMER")</f>
        <v xml:space="preserve">          4295 - SALES RETURN TAXABLE-CUSTOMER</v>
      </c>
      <c r="C51" s="10"/>
      <c r="D51" s="2">
        <f t="shared" ref="D51:D52" si="13">0</f>
        <v>0</v>
      </c>
      <c r="E51" s="2"/>
      <c r="F51" s="19"/>
      <c r="G51" s="2"/>
      <c r="H51" s="2">
        <f t="shared" ref="H51:H52" si="14">0</f>
        <v>0</v>
      </c>
      <c r="I51" s="2"/>
      <c r="J51" s="19"/>
      <c r="K51" s="2"/>
      <c r="L51" s="2">
        <f t="shared" si="0"/>
        <v>0</v>
      </c>
      <c r="M51" s="2"/>
      <c r="N51" s="19">
        <f t="shared" si="1"/>
        <v>0</v>
      </c>
      <c r="O51" s="10"/>
      <c r="P51" s="2">
        <f>0</f>
        <v>0</v>
      </c>
      <c r="Q51" s="2"/>
      <c r="R51" s="19"/>
      <c r="S51" s="2"/>
      <c r="T51" s="2">
        <f>--0.99</f>
        <v>0.99</v>
      </c>
      <c r="U51" s="2"/>
      <c r="V51" s="19"/>
      <c r="W51" s="2"/>
      <c r="X51" s="2">
        <f t="shared" si="2"/>
        <v>-0.99</v>
      </c>
      <c r="Y51" s="2"/>
      <c r="Z51" s="19">
        <f t="shared" si="3"/>
        <v>-1</v>
      </c>
    </row>
    <row r="52" spans="1:26" s="23" customFormat="1" hidden="1" outlineLevel="1" x14ac:dyDescent="0.25">
      <c r="A52" s="44"/>
      <c r="B52" s="10" t="str">
        <f>CONCATENATE("          ", "4327", " - ", "SALES RETURN NON TAXABLE-SCHOO")</f>
        <v xml:space="preserve">          4327 - SALES RETURN NON TAXABLE-SCHOO</v>
      </c>
      <c r="C52" s="10"/>
      <c r="D52" s="2">
        <f t="shared" si="13"/>
        <v>0</v>
      </c>
      <c r="E52" s="2"/>
      <c r="F52" s="19"/>
      <c r="G52" s="2"/>
      <c r="H52" s="2">
        <f t="shared" si="14"/>
        <v>0</v>
      </c>
      <c r="I52" s="2"/>
      <c r="J52" s="19"/>
      <c r="K52" s="2"/>
      <c r="L52" s="2">
        <f t="shared" si="0"/>
        <v>0</v>
      </c>
      <c r="M52" s="2"/>
      <c r="N52" s="19">
        <f t="shared" si="1"/>
        <v>0</v>
      </c>
      <c r="O52" s="10"/>
      <c r="P52" s="2">
        <f>-17.41</f>
        <v>-17.41</v>
      </c>
      <c r="Q52" s="2"/>
      <c r="R52" s="19"/>
      <c r="S52" s="2"/>
      <c r="T52" s="2">
        <f>0</f>
        <v>0</v>
      </c>
      <c r="U52" s="2"/>
      <c r="V52" s="19"/>
      <c r="W52" s="2"/>
      <c r="X52" s="2">
        <f t="shared" si="2"/>
        <v>-17.41</v>
      </c>
      <c r="Y52" s="2"/>
      <c r="Z52" s="19">
        <f t="shared" si="3"/>
        <v>0</v>
      </c>
    </row>
    <row r="53" spans="1:26" s="23" customFormat="1" hidden="1" outlineLevel="1" x14ac:dyDescent="0.25">
      <c r="A53" s="44"/>
      <c r="B53" s="10" t="str">
        <f>CONCATENATE("          ", "4340", " - ", "SALES RETURN NON TAXABLE-LOGO")</f>
        <v xml:space="preserve">          4340 - SALES RETURN NON TAXABLE-LOGO</v>
      </c>
      <c r="C53" s="10"/>
      <c r="D53" s="2">
        <f>-286.5</f>
        <v>-286.5</v>
      </c>
      <c r="E53" s="2"/>
      <c r="F53" s="19"/>
      <c r="G53" s="2"/>
      <c r="H53" s="2">
        <f>-1045.65</f>
        <v>-1045.6500000000001</v>
      </c>
      <c r="I53" s="2"/>
      <c r="J53" s="19"/>
      <c r="K53" s="2"/>
      <c r="L53" s="2">
        <f t="shared" si="0"/>
        <v>759.15000000000009</v>
      </c>
      <c r="M53" s="2"/>
      <c r="N53" s="19">
        <f t="shared" si="1"/>
        <v>-0.72600774637785115</v>
      </c>
      <c r="O53" s="10"/>
      <c r="P53" s="2">
        <f>-3737.76</f>
        <v>-3737.76</v>
      </c>
      <c r="Q53" s="2"/>
      <c r="R53" s="19"/>
      <c r="S53" s="2"/>
      <c r="T53" s="2">
        <f>-2664.48</f>
        <v>-2664.48</v>
      </c>
      <c r="U53" s="2"/>
      <c r="V53" s="19"/>
      <c r="W53" s="2"/>
      <c r="X53" s="2">
        <f t="shared" si="2"/>
        <v>-1073.2800000000002</v>
      </c>
      <c r="Y53" s="2"/>
      <c r="Z53" s="19">
        <f t="shared" si="3"/>
        <v>0.40281030444964877</v>
      </c>
    </row>
    <row r="54" spans="1:26" s="23" customFormat="1" hidden="1" outlineLevel="1" x14ac:dyDescent="0.25">
      <c r="A54" s="44"/>
      <c r="B54" s="10" t="str">
        <f>CONCATENATE("          ", "4341", " - ", "SALES RETURN NON TAXABLE-LOGO")</f>
        <v xml:space="preserve">          4341 - SALES RETURN NON TAXABLE-LOGO</v>
      </c>
      <c r="C54" s="10"/>
      <c r="D54" s="2">
        <f>-20.85</f>
        <v>-20.85</v>
      </c>
      <c r="E54" s="2"/>
      <c r="F54" s="19"/>
      <c r="G54" s="2"/>
      <c r="H54" s="2">
        <f>-9.9</f>
        <v>-9.9</v>
      </c>
      <c r="I54" s="2"/>
      <c r="J54" s="19"/>
      <c r="K54" s="2"/>
      <c r="L54" s="2">
        <f t="shared" si="0"/>
        <v>-10.950000000000001</v>
      </c>
      <c r="M54" s="2"/>
      <c r="N54" s="19">
        <f t="shared" si="1"/>
        <v>1.1060606060606062</v>
      </c>
      <c r="O54" s="10"/>
      <c r="P54" s="2">
        <f>-412.09</f>
        <v>-412.09</v>
      </c>
      <c r="Q54" s="2"/>
      <c r="R54" s="19"/>
      <c r="S54" s="2"/>
      <c r="T54" s="2">
        <f>-295.35</f>
        <v>-295.35000000000002</v>
      </c>
      <c r="U54" s="2"/>
      <c r="V54" s="19"/>
      <c r="W54" s="2"/>
      <c r="X54" s="2">
        <f t="shared" si="2"/>
        <v>-116.73999999999995</v>
      </c>
      <c r="Y54" s="2"/>
      <c r="Z54" s="19">
        <f t="shared" si="3"/>
        <v>0.39525986118164869</v>
      </c>
    </row>
    <row r="55" spans="1:26" s="23" customFormat="1" hidden="1" outlineLevel="1" x14ac:dyDescent="0.25">
      <c r="A55" s="44"/>
      <c r="B55" s="10" t="str">
        <f>CONCATENATE("          ", "4342", " - ", "SALES RETURN NON TAXABLE-EVERY")</f>
        <v xml:space="preserve">          4342 - SALES RETURN NON TAXABLE-EVERY</v>
      </c>
      <c r="C55" s="10"/>
      <c r="D55" s="2">
        <f>0</f>
        <v>0</v>
      </c>
      <c r="E55" s="2"/>
      <c r="F55" s="19"/>
      <c r="G55" s="2"/>
      <c r="H55" s="2">
        <f>-36.8</f>
        <v>-36.799999999999997</v>
      </c>
      <c r="I55" s="2"/>
      <c r="J55" s="19"/>
      <c r="K55" s="2"/>
      <c r="L55" s="2">
        <f t="shared" si="0"/>
        <v>36.799999999999997</v>
      </c>
      <c r="M55" s="2"/>
      <c r="N55" s="19">
        <f t="shared" si="1"/>
        <v>-1</v>
      </c>
      <c r="O55" s="10"/>
      <c r="P55" s="2">
        <f>-118.7</f>
        <v>-118.7</v>
      </c>
      <c r="Q55" s="2"/>
      <c r="R55" s="19"/>
      <c r="S55" s="2"/>
      <c r="T55" s="2">
        <f>-146.6</f>
        <v>-146.6</v>
      </c>
      <c r="U55" s="2"/>
      <c r="V55" s="19"/>
      <c r="W55" s="2"/>
      <c r="X55" s="2">
        <f t="shared" si="2"/>
        <v>27.899999999999991</v>
      </c>
      <c r="Y55" s="2"/>
      <c r="Z55" s="19">
        <f t="shared" si="3"/>
        <v>-0.19031377899045016</v>
      </c>
    </row>
    <row r="56" spans="1:26" x14ac:dyDescent="0.25">
      <c r="A56" s="9"/>
      <c r="B56" s="11"/>
      <c r="C56" s="9"/>
      <c r="D56" s="3"/>
      <c r="E56" s="3"/>
      <c r="F56" s="8"/>
      <c r="G56" s="3"/>
      <c r="H56" s="3"/>
      <c r="I56" s="3"/>
      <c r="J56" s="8"/>
      <c r="K56" s="3"/>
      <c r="L56" s="3"/>
      <c r="M56" s="3"/>
      <c r="N56" s="8"/>
      <c r="P56" s="3"/>
      <c r="Q56" s="3"/>
      <c r="R56" s="8"/>
      <c r="S56" s="3"/>
      <c r="T56" s="3"/>
      <c r="U56" s="3"/>
      <c r="V56" s="8"/>
      <c r="W56" s="3"/>
      <c r="X56" s="3"/>
      <c r="Y56" s="3"/>
      <c r="Z56" s="8"/>
    </row>
    <row r="57" spans="1:26" s="24" customFormat="1" collapsed="1" x14ac:dyDescent="0.25">
      <c r="A57" s="11"/>
      <c r="B57" s="29" t="s">
        <v>256</v>
      </c>
      <c r="C57" s="11"/>
      <c r="D57" s="4">
        <f>SUM(OSRRefD16x_0)</f>
        <v>15820.299999999972</v>
      </c>
      <c r="E57" s="4"/>
      <c r="F57" s="13">
        <f t="shared" ref="F57:F87" si="15">IF(D$12=0,0,D57/D$12)</f>
        <v>6.1885072758566619E-2</v>
      </c>
      <c r="G57" s="4"/>
      <c r="H57" s="4">
        <f>SUM(OSRRefH16x_0)</f>
        <v>129021.33</v>
      </c>
      <c r="I57" s="4"/>
      <c r="J57" s="13">
        <f t="shared" ref="J57:J87" si="16">IF(H$12=0,0,H57/H$12)</f>
        <v>0.76440183802917405</v>
      </c>
      <c r="K57" s="4"/>
      <c r="L57" s="4">
        <f t="shared" ref="L57:L87" si="17">+D57-H57</f>
        <v>-113201.03000000003</v>
      </c>
      <c r="M57" s="4"/>
      <c r="N57" s="13">
        <f t="shared" ref="N57:N87" si="18">IF(H57=0,0,L57/H57)</f>
        <v>-0.87738229019961289</v>
      </c>
      <c r="O57" s="11"/>
      <c r="P57" s="4">
        <f>SUM(OSRRefP16x_0)</f>
        <v>1237315.8400000005</v>
      </c>
      <c r="Q57" s="4"/>
      <c r="R57" s="13">
        <f t="shared" ref="R57:R87" si="19">IF(P$12=0,0,P57/P$12)</f>
        <v>0.48093014905705284</v>
      </c>
      <c r="S57" s="4"/>
      <c r="T57" s="4">
        <f>SUM(OSRRefT16x_0)</f>
        <v>1413606.5799999998</v>
      </c>
      <c r="U57" s="4"/>
      <c r="V57" s="13">
        <f t="shared" ref="V57:V87" si="20">IF(T$12=0,0,T57/T$12)</f>
        <v>0.4814340780946943</v>
      </c>
      <c r="W57" s="4"/>
      <c r="X57" s="4">
        <f t="shared" ref="X57:X87" si="21">+P57-T57</f>
        <v>-176290.73999999929</v>
      </c>
      <c r="Y57" s="4"/>
      <c r="Z57" s="13">
        <f t="shared" ref="Z57:Z87" si="22">IF(T57=0,0,X57/T57)</f>
        <v>-0.12470990337353927</v>
      </c>
    </row>
    <row r="58" spans="1:26" s="23" customFormat="1" hidden="1" outlineLevel="1" x14ac:dyDescent="0.25">
      <c r="A58" s="44"/>
      <c r="B58" s="10" t="str">
        <f>CONCATENATE("          ", "5000", " - ", "PURCHASES @ COST")</f>
        <v xml:space="preserve">          5000 - PURCHASES @ COST</v>
      </c>
      <c r="C58" s="10"/>
      <c r="D58" s="2"/>
      <c r="E58" s="2"/>
      <c r="F58" s="19">
        <f t="shared" si="15"/>
        <v>0</v>
      </c>
      <c r="G58" s="2"/>
      <c r="H58" s="2"/>
      <c r="I58" s="2"/>
      <c r="J58" s="19">
        <f t="shared" si="16"/>
        <v>0</v>
      </c>
      <c r="K58" s="2"/>
      <c r="L58" s="2">
        <f t="shared" si="17"/>
        <v>0</v>
      </c>
      <c r="M58" s="2"/>
      <c r="N58" s="19">
        <f t="shared" si="18"/>
        <v>0</v>
      </c>
      <c r="O58" s="10"/>
      <c r="P58" s="2"/>
      <c r="Q58" s="2"/>
      <c r="R58" s="19">
        <f t="shared" si="19"/>
        <v>0</v>
      </c>
      <c r="S58" s="2"/>
      <c r="T58" s="2">
        <v>0</v>
      </c>
      <c r="U58" s="2"/>
      <c r="V58" s="19">
        <f t="shared" si="20"/>
        <v>0</v>
      </c>
      <c r="W58" s="2"/>
      <c r="X58" s="2">
        <f t="shared" si="21"/>
        <v>0</v>
      </c>
      <c r="Y58" s="2"/>
      <c r="Z58" s="19">
        <f t="shared" si="22"/>
        <v>0</v>
      </c>
    </row>
    <row r="59" spans="1:26" s="23" customFormat="1" hidden="1" outlineLevel="1" x14ac:dyDescent="0.25">
      <c r="A59" s="44"/>
      <c r="B59" s="10" t="str">
        <f>CONCATENATE("          ", "5025", " - ", "PURCHASES @ COST-TEST FORMS")</f>
        <v xml:space="preserve">          5025 - PURCHASES @ COST-TEST FORMS</v>
      </c>
      <c r="C59" s="10"/>
      <c r="D59" s="2"/>
      <c r="E59" s="2"/>
      <c r="F59" s="19">
        <f t="shared" si="15"/>
        <v>0</v>
      </c>
      <c r="G59" s="2"/>
      <c r="H59" s="2"/>
      <c r="I59" s="2"/>
      <c r="J59" s="19">
        <f t="shared" si="16"/>
        <v>0</v>
      </c>
      <c r="K59" s="2"/>
      <c r="L59" s="2">
        <f t="shared" si="17"/>
        <v>0</v>
      </c>
      <c r="M59" s="2"/>
      <c r="N59" s="19">
        <f t="shared" si="18"/>
        <v>0</v>
      </c>
      <c r="O59" s="10"/>
      <c r="P59" s="2">
        <v>599.29</v>
      </c>
      <c r="Q59" s="2"/>
      <c r="R59" s="19">
        <f t="shared" si="19"/>
        <v>2.32936991276537E-4</v>
      </c>
      <c r="S59" s="2"/>
      <c r="T59" s="2">
        <v>6.06</v>
      </c>
      <c r="U59" s="2"/>
      <c r="V59" s="19">
        <f t="shared" si="20"/>
        <v>2.0638631388188981E-6</v>
      </c>
      <c r="W59" s="2"/>
      <c r="X59" s="2">
        <f t="shared" si="21"/>
        <v>593.23</v>
      </c>
      <c r="Y59" s="2"/>
      <c r="Z59" s="19">
        <f t="shared" si="22"/>
        <v>97.892739273927404</v>
      </c>
    </row>
    <row r="60" spans="1:26" s="23" customFormat="1" hidden="1" outlineLevel="1" x14ac:dyDescent="0.25">
      <c r="A60" s="44"/>
      <c r="B60" s="10" t="str">
        <f>CONCATENATE("          ", "5026", " - ", "PURCHASES @ COST-WRITING INSTR")</f>
        <v xml:space="preserve">          5026 - PURCHASES @ COST-WRITING INSTR</v>
      </c>
      <c r="C60" s="10"/>
      <c r="D60" s="2">
        <v>-248.27</v>
      </c>
      <c r="E60" s="2"/>
      <c r="F60" s="19">
        <f t="shared" si="15"/>
        <v>-9.7117039586919098E-4</v>
      </c>
      <c r="G60" s="2"/>
      <c r="H60" s="2"/>
      <c r="I60" s="2"/>
      <c r="J60" s="19">
        <f t="shared" si="16"/>
        <v>0</v>
      </c>
      <c r="K60" s="2"/>
      <c r="L60" s="2">
        <f t="shared" si="17"/>
        <v>-248.27</v>
      </c>
      <c r="M60" s="2"/>
      <c r="N60" s="19">
        <f t="shared" si="18"/>
        <v>0</v>
      </c>
      <c r="O60" s="10"/>
      <c r="P60" s="2">
        <v>-30.68</v>
      </c>
      <c r="Q60" s="2"/>
      <c r="R60" s="19">
        <f t="shared" si="19"/>
        <v>-1.1924956018562224E-5</v>
      </c>
      <c r="S60" s="2"/>
      <c r="T60" s="2">
        <v>1193.81</v>
      </c>
      <c r="U60" s="2"/>
      <c r="V60" s="19">
        <f t="shared" si="20"/>
        <v>4.0657763263257239E-4</v>
      </c>
      <c r="W60" s="2"/>
      <c r="X60" s="2">
        <f t="shared" si="21"/>
        <v>-1224.49</v>
      </c>
      <c r="Y60" s="2"/>
      <c r="Z60" s="19">
        <f t="shared" si="22"/>
        <v>-1.0256992318710683</v>
      </c>
    </row>
    <row r="61" spans="1:26" s="23" customFormat="1" hidden="1" outlineLevel="1" x14ac:dyDescent="0.25">
      <c r="A61" s="44"/>
      <c r="B61" s="10" t="str">
        <f>CONCATENATE("          ", "5027", " - ", "PURCHASES @ COST-SCHOOL SUPPLI")</f>
        <v xml:space="preserve">          5027 - PURCHASES @ COST-SCHOOL SUPPLI</v>
      </c>
      <c r="C61" s="10"/>
      <c r="D61" s="2">
        <v>-25389.13</v>
      </c>
      <c r="E61" s="2"/>
      <c r="F61" s="19">
        <f t="shared" si="15"/>
        <v>-9.9315952120168985E-2</v>
      </c>
      <c r="G61" s="2"/>
      <c r="H61" s="2"/>
      <c r="I61" s="2"/>
      <c r="J61" s="19">
        <f t="shared" si="16"/>
        <v>0</v>
      </c>
      <c r="K61" s="2"/>
      <c r="L61" s="2">
        <f t="shared" si="17"/>
        <v>-25389.13</v>
      </c>
      <c r="M61" s="2"/>
      <c r="N61" s="19">
        <f t="shared" si="18"/>
        <v>0</v>
      </c>
      <c r="O61" s="10"/>
      <c r="P61" s="2">
        <v>-2549.61</v>
      </c>
      <c r="Q61" s="2"/>
      <c r="R61" s="19">
        <f t="shared" si="19"/>
        <v>-9.9100349134571158E-4</v>
      </c>
      <c r="S61" s="2"/>
      <c r="T61" s="2">
        <v>305.64999999999998</v>
      </c>
      <c r="U61" s="2"/>
      <c r="V61" s="19">
        <f t="shared" si="20"/>
        <v>1.0409567134983435E-4</v>
      </c>
      <c r="W61" s="2"/>
      <c r="X61" s="2">
        <f t="shared" si="21"/>
        <v>-2855.26</v>
      </c>
      <c r="Y61" s="2"/>
      <c r="Z61" s="19">
        <f t="shared" si="22"/>
        <v>-9.3415998691313611</v>
      </c>
    </row>
    <row r="62" spans="1:26" s="23" customFormat="1" hidden="1" outlineLevel="1" x14ac:dyDescent="0.25">
      <c r="A62" s="44"/>
      <c r="B62" s="10" t="str">
        <f>CONCATENATE("          ", "5028", " - ", "PURCHASES @ COST-ART/TECH")</f>
        <v xml:space="preserve">          5028 - PURCHASES @ COST-ART/TECH</v>
      </c>
      <c r="C62" s="10"/>
      <c r="D62" s="2">
        <v>-87214.83</v>
      </c>
      <c r="E62" s="2"/>
      <c r="F62" s="19">
        <f t="shared" si="15"/>
        <v>-0.34116268971991859</v>
      </c>
      <c r="G62" s="2"/>
      <c r="H62" s="2"/>
      <c r="I62" s="2"/>
      <c r="J62" s="19">
        <f t="shared" si="16"/>
        <v>0</v>
      </c>
      <c r="K62" s="2"/>
      <c r="L62" s="2">
        <f t="shared" si="17"/>
        <v>-87214.83</v>
      </c>
      <c r="M62" s="2"/>
      <c r="N62" s="19">
        <f t="shared" si="18"/>
        <v>0</v>
      </c>
      <c r="O62" s="10"/>
      <c r="P62" s="2">
        <v>-80975.94</v>
      </c>
      <c r="Q62" s="2"/>
      <c r="R62" s="19">
        <f t="shared" si="19"/>
        <v>-3.1474397752990012E-2</v>
      </c>
      <c r="S62" s="2"/>
      <c r="T62" s="2"/>
      <c r="U62" s="2"/>
      <c r="V62" s="19">
        <f t="shared" si="20"/>
        <v>0</v>
      </c>
      <c r="W62" s="2"/>
      <c r="X62" s="2">
        <f t="shared" si="21"/>
        <v>-80975.94</v>
      </c>
      <c r="Y62" s="2"/>
      <c r="Z62" s="19">
        <f t="shared" si="22"/>
        <v>0</v>
      </c>
    </row>
    <row r="63" spans="1:26" s="23" customFormat="1" hidden="1" outlineLevel="1" x14ac:dyDescent="0.25">
      <c r="A63" s="44"/>
      <c r="B63" s="10" t="str">
        <f>CONCATENATE("          ", "5031", " - ", "PURCHASES @ COST-FOOD")</f>
        <v xml:space="preserve">          5031 - PURCHASES @ COST-FOOD</v>
      </c>
      <c r="C63" s="10"/>
      <c r="D63" s="2">
        <v>631.46</v>
      </c>
      <c r="E63" s="2"/>
      <c r="F63" s="19">
        <f t="shared" si="15"/>
        <v>2.4701142231262712E-3</v>
      </c>
      <c r="G63" s="2"/>
      <c r="H63" s="2"/>
      <c r="I63" s="2"/>
      <c r="J63" s="19">
        <f t="shared" si="16"/>
        <v>0</v>
      </c>
      <c r="K63" s="2"/>
      <c r="L63" s="2">
        <f t="shared" si="17"/>
        <v>631.46</v>
      </c>
      <c r="M63" s="2"/>
      <c r="N63" s="19">
        <f t="shared" si="18"/>
        <v>0</v>
      </c>
      <c r="O63" s="10"/>
      <c r="P63" s="2">
        <v>6255.98</v>
      </c>
      <c r="Q63" s="2"/>
      <c r="R63" s="19">
        <f t="shared" si="19"/>
        <v>2.4316260219362745E-3</v>
      </c>
      <c r="S63" s="2"/>
      <c r="T63" s="2"/>
      <c r="U63" s="2"/>
      <c r="V63" s="19">
        <f t="shared" si="20"/>
        <v>0</v>
      </c>
      <c r="W63" s="2"/>
      <c r="X63" s="2">
        <f t="shared" si="21"/>
        <v>6255.98</v>
      </c>
      <c r="Y63" s="2"/>
      <c r="Z63" s="19">
        <f t="shared" si="22"/>
        <v>0</v>
      </c>
    </row>
    <row r="64" spans="1:26" s="23" customFormat="1" hidden="1" outlineLevel="1" x14ac:dyDescent="0.25">
      <c r="A64" s="44"/>
      <c r="B64" s="10" t="str">
        <f>CONCATENATE("          ", "5037", " - ", "PURCHASES @ COST-WATER")</f>
        <v xml:space="preserve">          5037 - PURCHASES @ COST-WATER</v>
      </c>
      <c r="C64" s="10"/>
      <c r="D64" s="2">
        <v>11</v>
      </c>
      <c r="E64" s="2"/>
      <c r="F64" s="19">
        <f t="shared" si="15"/>
        <v>4.3029259896729772E-5</v>
      </c>
      <c r="G64" s="2"/>
      <c r="H64" s="2"/>
      <c r="I64" s="2"/>
      <c r="J64" s="19">
        <f t="shared" si="16"/>
        <v>0</v>
      </c>
      <c r="K64" s="2"/>
      <c r="L64" s="2">
        <f t="shared" si="17"/>
        <v>11</v>
      </c>
      <c r="M64" s="2"/>
      <c r="N64" s="19">
        <f t="shared" si="18"/>
        <v>0</v>
      </c>
      <c r="O64" s="10"/>
      <c r="P64" s="2">
        <v>11</v>
      </c>
      <c r="Q64" s="2"/>
      <c r="R64" s="19">
        <f t="shared" si="19"/>
        <v>4.2755709323397807E-6</v>
      </c>
      <c r="S64" s="2"/>
      <c r="T64" s="2">
        <v>29.76</v>
      </c>
      <c r="U64" s="2"/>
      <c r="V64" s="19">
        <f t="shared" si="20"/>
        <v>1.0135407097566073E-5</v>
      </c>
      <c r="W64" s="2"/>
      <c r="X64" s="2">
        <f t="shared" si="21"/>
        <v>-18.760000000000002</v>
      </c>
      <c r="Y64" s="2"/>
      <c r="Z64" s="19">
        <f t="shared" si="22"/>
        <v>-0.6303763440860215</v>
      </c>
    </row>
    <row r="65" spans="1:26" s="23" customFormat="1" hidden="1" outlineLevel="1" x14ac:dyDescent="0.25">
      <c r="A65" s="44"/>
      <c r="B65" s="10" t="str">
        <f>CONCATENATE("          ", "5040", " - ", "PURCHASES @ COST-LOGO CLOTHING")</f>
        <v xml:space="preserve">          5040 - PURCHASES @ COST-LOGO CLOTHING</v>
      </c>
      <c r="C65" s="10"/>
      <c r="D65" s="2">
        <v>65486.18</v>
      </c>
      <c r="E65" s="2"/>
      <c r="F65" s="19">
        <f t="shared" si="15"/>
        <v>0.25616562353309341</v>
      </c>
      <c r="G65" s="2"/>
      <c r="H65" s="2">
        <v>6472.18</v>
      </c>
      <c r="I65" s="2"/>
      <c r="J65" s="19">
        <f t="shared" si="16"/>
        <v>3.8345181281697061E-2</v>
      </c>
      <c r="K65" s="2"/>
      <c r="L65" s="2">
        <f t="shared" si="17"/>
        <v>59014</v>
      </c>
      <c r="M65" s="2"/>
      <c r="N65" s="19">
        <f t="shared" si="18"/>
        <v>9.1181024013547205</v>
      </c>
      <c r="O65" s="10"/>
      <c r="P65" s="2">
        <v>392865.16</v>
      </c>
      <c r="Q65" s="2"/>
      <c r="R65" s="19">
        <f t="shared" si="19"/>
        <v>0.15270207803863792</v>
      </c>
      <c r="S65" s="2"/>
      <c r="T65" s="2">
        <v>982941.51</v>
      </c>
      <c r="U65" s="2"/>
      <c r="V65" s="19">
        <f t="shared" si="20"/>
        <v>0.334761839951153</v>
      </c>
      <c r="W65" s="2"/>
      <c r="X65" s="2">
        <f t="shared" si="21"/>
        <v>-590076.35000000009</v>
      </c>
      <c r="Y65" s="2"/>
      <c r="Z65" s="19">
        <f t="shared" si="22"/>
        <v>-0.60031684896489934</v>
      </c>
    </row>
    <row r="66" spans="1:26" s="23" customFormat="1" hidden="1" outlineLevel="1" x14ac:dyDescent="0.25">
      <c r="A66" s="44"/>
      <c r="B66" s="10" t="str">
        <f>CONCATENATE("          ", "5041", " - ", "PURCHASES @ COST-LOGO GIFTS")</f>
        <v xml:space="preserve">          5041 - PURCHASES @ COST-LOGO GIFTS</v>
      </c>
      <c r="C66" s="10"/>
      <c r="D66" s="2">
        <v>115476.79</v>
      </c>
      <c r="E66" s="2"/>
      <c r="F66" s="19">
        <f t="shared" si="15"/>
        <v>0.45171643717728049</v>
      </c>
      <c r="G66" s="2"/>
      <c r="H66" s="2">
        <v>13093.79</v>
      </c>
      <c r="I66" s="2"/>
      <c r="J66" s="19">
        <f t="shared" si="16"/>
        <v>7.7575677934555623E-2</v>
      </c>
      <c r="K66" s="2"/>
      <c r="L66" s="2">
        <f t="shared" si="17"/>
        <v>102383</v>
      </c>
      <c r="M66" s="2"/>
      <c r="N66" s="19">
        <f t="shared" si="18"/>
        <v>7.8192028434853462</v>
      </c>
      <c r="O66" s="10"/>
      <c r="P66" s="2">
        <v>221875.64</v>
      </c>
      <c r="Q66" s="2"/>
      <c r="R66" s="19">
        <f t="shared" si="19"/>
        <v>8.6240457907116874E-2</v>
      </c>
      <c r="S66" s="2"/>
      <c r="T66" s="2">
        <v>162844.63</v>
      </c>
      <c r="U66" s="2"/>
      <c r="V66" s="19">
        <f t="shared" si="20"/>
        <v>5.5460235843498698E-2</v>
      </c>
      <c r="W66" s="2"/>
      <c r="X66" s="2">
        <f t="shared" si="21"/>
        <v>59031.010000000009</v>
      </c>
      <c r="Y66" s="2"/>
      <c r="Z66" s="19">
        <f t="shared" si="22"/>
        <v>0.36249896603897841</v>
      </c>
    </row>
    <row r="67" spans="1:26" s="23" customFormat="1" hidden="1" outlineLevel="1" x14ac:dyDescent="0.25">
      <c r="A67" s="44"/>
      <c r="B67" s="10" t="str">
        <f>CONCATENATE("          ", "5042", " - ", "PURCHASES @ COST-EVERYDAY GIFT")</f>
        <v xml:space="preserve">          5042 - PURCHASES @ COST-EVERYDAY GIFT</v>
      </c>
      <c r="C67" s="10"/>
      <c r="D67" s="2">
        <v>-33.200000000000003</v>
      </c>
      <c r="E67" s="2"/>
      <c r="F67" s="19">
        <f t="shared" si="15"/>
        <v>-1.2987012987012987E-4</v>
      </c>
      <c r="G67" s="2"/>
      <c r="H67" s="2">
        <v>-836.65</v>
      </c>
      <c r="I67" s="2"/>
      <c r="J67" s="19">
        <f t="shared" si="16"/>
        <v>-4.9568299891739479E-3</v>
      </c>
      <c r="K67" s="2"/>
      <c r="L67" s="2">
        <f t="shared" si="17"/>
        <v>803.44999999999993</v>
      </c>
      <c r="M67" s="2"/>
      <c r="N67" s="19">
        <f t="shared" si="18"/>
        <v>-0.96031793462021153</v>
      </c>
      <c r="O67" s="10"/>
      <c r="P67" s="2">
        <v>18714.87</v>
      </c>
      <c r="Q67" s="2"/>
      <c r="R67" s="19">
        <f t="shared" si="19"/>
        <v>7.2742503795016171E-3</v>
      </c>
      <c r="S67" s="2"/>
      <c r="T67" s="2">
        <v>125778.55</v>
      </c>
      <c r="U67" s="2"/>
      <c r="V67" s="19">
        <f t="shared" si="20"/>
        <v>4.2836586303480154E-2</v>
      </c>
      <c r="W67" s="2"/>
      <c r="X67" s="2">
        <f t="shared" si="21"/>
        <v>-107063.68000000001</v>
      </c>
      <c r="Y67" s="2"/>
      <c r="Z67" s="19">
        <f t="shared" si="22"/>
        <v>-0.85120777747875143</v>
      </c>
    </row>
    <row r="68" spans="1:26" s="23" customFormat="1" hidden="1" outlineLevel="1" x14ac:dyDescent="0.25">
      <c r="A68" s="44"/>
      <c r="B68" s="10" t="str">
        <f>CONCATENATE("          ", "5043", " - ", "PURCHASES @ COST-CARDS")</f>
        <v xml:space="preserve">          5043 - PURCHASES @ COST-CARDS</v>
      </c>
      <c r="C68" s="10"/>
      <c r="D68" s="2">
        <v>-4615.6499999999996</v>
      </c>
      <c r="E68" s="2"/>
      <c r="F68" s="19">
        <f t="shared" si="15"/>
        <v>-1.8055273040212795E-2</v>
      </c>
      <c r="G68" s="2"/>
      <c r="H68" s="2">
        <v>0</v>
      </c>
      <c r="I68" s="2"/>
      <c r="J68" s="19">
        <f t="shared" si="16"/>
        <v>0</v>
      </c>
      <c r="K68" s="2"/>
      <c r="L68" s="2">
        <f t="shared" si="17"/>
        <v>-4615.6499999999996</v>
      </c>
      <c r="M68" s="2"/>
      <c r="N68" s="19">
        <f t="shared" si="18"/>
        <v>0</v>
      </c>
      <c r="O68" s="10"/>
      <c r="P68" s="2">
        <v>50967.68</v>
      </c>
      <c r="Q68" s="2"/>
      <c r="R68" s="19">
        <f t="shared" si="19"/>
        <v>1.9810539190617781E-2</v>
      </c>
      <c r="S68" s="2"/>
      <c r="T68" s="2">
        <v>30914.66</v>
      </c>
      <c r="U68" s="2"/>
      <c r="V68" s="19">
        <f t="shared" si="20"/>
        <v>1.0528651356950336E-2</v>
      </c>
      <c r="W68" s="2"/>
      <c r="X68" s="2">
        <f t="shared" si="21"/>
        <v>20053.02</v>
      </c>
      <c r="Y68" s="2"/>
      <c r="Z68" s="19">
        <f t="shared" si="22"/>
        <v>0.6486573036869886</v>
      </c>
    </row>
    <row r="69" spans="1:26" s="23" customFormat="1" hidden="1" outlineLevel="1" x14ac:dyDescent="0.25">
      <c r="A69" s="44"/>
      <c r="B69" s="10" t="str">
        <f>CONCATENATE("          ", "5044", " - ", "PURCHASES @ COST-ACCESSORIES")</f>
        <v xml:space="preserve">          5044 - PURCHASES @ COST-ACCESSORIES</v>
      </c>
      <c r="C69" s="10"/>
      <c r="D69" s="2">
        <v>4371.2</v>
      </c>
      <c r="E69" s="2"/>
      <c r="F69" s="19">
        <f t="shared" si="15"/>
        <v>1.7099045532780469E-2</v>
      </c>
      <c r="G69" s="2"/>
      <c r="H69" s="2">
        <v>0</v>
      </c>
      <c r="I69" s="2"/>
      <c r="J69" s="19">
        <f t="shared" si="16"/>
        <v>0</v>
      </c>
      <c r="K69" s="2"/>
      <c r="L69" s="2">
        <f t="shared" si="17"/>
        <v>4371.2</v>
      </c>
      <c r="M69" s="2"/>
      <c r="N69" s="19">
        <f t="shared" si="18"/>
        <v>0</v>
      </c>
      <c r="O69" s="10"/>
      <c r="P69" s="2">
        <v>6926.91</v>
      </c>
      <c r="Q69" s="2"/>
      <c r="R69" s="19">
        <f t="shared" si="19"/>
        <v>2.6924086406303407E-3</v>
      </c>
      <c r="S69" s="2"/>
      <c r="T69" s="2">
        <v>37869.03</v>
      </c>
      <c r="U69" s="2"/>
      <c r="V69" s="19">
        <f t="shared" si="20"/>
        <v>1.2897111405912048E-2</v>
      </c>
      <c r="W69" s="2"/>
      <c r="X69" s="2">
        <f t="shared" si="21"/>
        <v>-30942.12</v>
      </c>
      <c r="Y69" s="2"/>
      <c r="Z69" s="19">
        <f t="shared" si="22"/>
        <v>-0.81708245497706178</v>
      </c>
    </row>
    <row r="70" spans="1:26" s="23" customFormat="1" hidden="1" outlineLevel="1" x14ac:dyDescent="0.25">
      <c r="A70" s="44"/>
      <c r="B70" s="10" t="str">
        <f>CONCATENATE("          ", "5045", " - ", "PURCHASES @ COST-SPECIAL ORDER")</f>
        <v xml:space="preserve">          5045 - PURCHASES @ COST-SPECIAL ORDER</v>
      </c>
      <c r="C70" s="10"/>
      <c r="D70" s="2">
        <v>33785.81</v>
      </c>
      <c r="E70" s="2"/>
      <c r="F70" s="19">
        <f t="shared" si="15"/>
        <v>0.13216167266468468</v>
      </c>
      <c r="G70" s="2"/>
      <c r="H70" s="2">
        <v>52772.41</v>
      </c>
      <c r="I70" s="2"/>
      <c r="J70" s="19">
        <f t="shared" si="16"/>
        <v>0.31265626545028768</v>
      </c>
      <c r="K70" s="2"/>
      <c r="L70" s="2">
        <f t="shared" si="17"/>
        <v>-18986.600000000006</v>
      </c>
      <c r="M70" s="2"/>
      <c r="N70" s="19">
        <f t="shared" si="18"/>
        <v>-0.3597826970570418</v>
      </c>
      <c r="O70" s="10"/>
      <c r="P70" s="2">
        <v>172925.05</v>
      </c>
      <c r="Q70" s="2"/>
      <c r="R70" s="19">
        <f t="shared" si="19"/>
        <v>6.7213937932127557E-2</v>
      </c>
      <c r="S70" s="2"/>
      <c r="T70" s="2">
        <v>131614.81</v>
      </c>
      <c r="U70" s="2"/>
      <c r="V70" s="19">
        <f t="shared" si="20"/>
        <v>4.4824249980470771E-2</v>
      </c>
      <c r="W70" s="2"/>
      <c r="X70" s="2">
        <f t="shared" si="21"/>
        <v>41310.239999999991</v>
      </c>
      <c r="Y70" s="2"/>
      <c r="Z70" s="19">
        <f t="shared" si="22"/>
        <v>0.31387227622788039</v>
      </c>
    </row>
    <row r="71" spans="1:26" s="23" customFormat="1" hidden="1" outlineLevel="1" x14ac:dyDescent="0.25">
      <c r="A71" s="44"/>
      <c r="B71" s="10" t="str">
        <f>CONCATENATE("          ", "5083", " - ", "PURCHASES @ COST-COMPUTER EQUI")</f>
        <v xml:space="preserve">          5083 - PURCHASES @ COST-COMPUTER EQUI</v>
      </c>
      <c r="C71" s="10"/>
      <c r="D71" s="2"/>
      <c r="E71" s="2"/>
      <c r="F71" s="19">
        <f t="shared" si="15"/>
        <v>0</v>
      </c>
      <c r="G71" s="2"/>
      <c r="H71" s="2"/>
      <c r="I71" s="2"/>
      <c r="J71" s="19">
        <f t="shared" si="16"/>
        <v>0</v>
      </c>
      <c r="K71" s="2"/>
      <c r="L71" s="2">
        <f t="shared" si="17"/>
        <v>0</v>
      </c>
      <c r="M71" s="2"/>
      <c r="N71" s="19">
        <f t="shared" si="18"/>
        <v>0</v>
      </c>
      <c r="O71" s="10"/>
      <c r="P71" s="2"/>
      <c r="Q71" s="2"/>
      <c r="R71" s="19">
        <f t="shared" si="19"/>
        <v>0</v>
      </c>
      <c r="S71" s="2"/>
      <c r="T71" s="2">
        <v>90.35</v>
      </c>
      <c r="U71" s="2"/>
      <c r="V71" s="19">
        <f t="shared" si="20"/>
        <v>3.0770632771004524E-5</v>
      </c>
      <c r="W71" s="2"/>
      <c r="X71" s="2">
        <f t="shared" si="21"/>
        <v>-90.35</v>
      </c>
      <c r="Y71" s="2"/>
      <c r="Z71" s="19">
        <f t="shared" si="22"/>
        <v>-1</v>
      </c>
    </row>
    <row r="72" spans="1:26" s="23" customFormat="1" hidden="1" outlineLevel="1" x14ac:dyDescent="0.25">
      <c r="A72" s="44"/>
      <c r="B72" s="10" t="str">
        <f>CONCATENATE("          ", "5086", " - ", "PURCHASES @ COST-COMPUTER SUPP")</f>
        <v xml:space="preserve">          5086 - PURCHASES @ COST-COMPUTER SUPP</v>
      </c>
      <c r="C72" s="10"/>
      <c r="D72" s="2">
        <v>13.21</v>
      </c>
      <c r="E72" s="2"/>
      <c r="F72" s="19">
        <f t="shared" si="15"/>
        <v>5.1674229385072758E-5</v>
      </c>
      <c r="G72" s="2"/>
      <c r="H72" s="2"/>
      <c r="I72" s="2"/>
      <c r="J72" s="19">
        <f t="shared" si="16"/>
        <v>0</v>
      </c>
      <c r="K72" s="2"/>
      <c r="L72" s="2">
        <f t="shared" si="17"/>
        <v>13.21</v>
      </c>
      <c r="M72" s="2"/>
      <c r="N72" s="19">
        <f t="shared" si="18"/>
        <v>0</v>
      </c>
      <c r="O72" s="10"/>
      <c r="P72" s="2">
        <v>26.42</v>
      </c>
      <c r="Q72" s="2"/>
      <c r="R72" s="19">
        <f t="shared" si="19"/>
        <v>1.0269144002947E-5</v>
      </c>
      <c r="S72" s="2"/>
      <c r="T72" s="2">
        <v>0</v>
      </c>
      <c r="U72" s="2"/>
      <c r="V72" s="19">
        <f t="shared" si="20"/>
        <v>0</v>
      </c>
      <c r="W72" s="2"/>
      <c r="X72" s="2">
        <f t="shared" si="21"/>
        <v>26.42</v>
      </c>
      <c r="Y72" s="2"/>
      <c r="Z72" s="19">
        <f t="shared" si="22"/>
        <v>0</v>
      </c>
    </row>
    <row r="73" spans="1:26" s="23" customFormat="1" hidden="1" outlineLevel="1" x14ac:dyDescent="0.25">
      <c r="A73" s="44"/>
      <c r="B73" s="10" t="str">
        <f>CONCATENATE("          ", "5092", " - ", "PURCHASES @ COST-GRAD MERCH")</f>
        <v xml:space="preserve">          5092 - PURCHASES @ COST-GRAD MERCH</v>
      </c>
      <c r="C73" s="10"/>
      <c r="D73" s="2"/>
      <c r="E73" s="2"/>
      <c r="F73" s="19">
        <f t="shared" si="15"/>
        <v>0</v>
      </c>
      <c r="G73" s="2"/>
      <c r="H73" s="2"/>
      <c r="I73" s="2"/>
      <c r="J73" s="19">
        <f t="shared" si="16"/>
        <v>0</v>
      </c>
      <c r="K73" s="2"/>
      <c r="L73" s="2">
        <f t="shared" si="17"/>
        <v>0</v>
      </c>
      <c r="M73" s="2"/>
      <c r="N73" s="19">
        <f t="shared" si="18"/>
        <v>0</v>
      </c>
      <c r="O73" s="10"/>
      <c r="P73" s="2"/>
      <c r="Q73" s="2"/>
      <c r="R73" s="19">
        <f t="shared" si="19"/>
        <v>0</v>
      </c>
      <c r="S73" s="2"/>
      <c r="T73" s="2">
        <v>-60.35</v>
      </c>
      <c r="U73" s="2"/>
      <c r="V73" s="19">
        <f t="shared" si="20"/>
        <v>-2.0553488519425824E-5</v>
      </c>
      <c r="W73" s="2"/>
      <c r="X73" s="2">
        <f t="shared" si="21"/>
        <v>60.35</v>
      </c>
      <c r="Y73" s="2"/>
      <c r="Z73" s="19">
        <f t="shared" si="22"/>
        <v>-1</v>
      </c>
    </row>
    <row r="74" spans="1:26" s="23" customFormat="1" hidden="1" outlineLevel="1" x14ac:dyDescent="0.25">
      <c r="A74" s="44"/>
      <c r="B74" s="10" t="str">
        <f>CONCATENATE("          ", "5095", " - ", "PURCHASES @ COST-CUSTOMER SERV")</f>
        <v xml:space="preserve">          5095 - PURCHASES @ COST-CUSTOMER SERV</v>
      </c>
      <c r="C74" s="10"/>
      <c r="D74" s="2"/>
      <c r="E74" s="2"/>
      <c r="F74" s="19">
        <f t="shared" si="15"/>
        <v>0</v>
      </c>
      <c r="G74" s="2"/>
      <c r="H74" s="2">
        <v>-18.989999999999998</v>
      </c>
      <c r="I74" s="2"/>
      <c r="J74" s="19">
        <f t="shared" si="16"/>
        <v>-1.1250845812993877E-4</v>
      </c>
      <c r="K74" s="2"/>
      <c r="L74" s="2">
        <f t="shared" si="17"/>
        <v>18.989999999999998</v>
      </c>
      <c r="M74" s="2"/>
      <c r="N74" s="19">
        <f t="shared" si="18"/>
        <v>-1</v>
      </c>
      <c r="O74" s="10"/>
      <c r="P74" s="2"/>
      <c r="Q74" s="2"/>
      <c r="R74" s="19">
        <f t="shared" si="19"/>
        <v>0</v>
      </c>
      <c r="S74" s="2"/>
      <c r="T74" s="2">
        <v>-30.84</v>
      </c>
      <c r="U74" s="2"/>
      <c r="V74" s="19">
        <f t="shared" si="20"/>
        <v>-1.0503224290622907E-5</v>
      </c>
      <c r="W74" s="2"/>
      <c r="X74" s="2">
        <f t="shared" si="21"/>
        <v>30.84</v>
      </c>
      <c r="Y74" s="2"/>
      <c r="Z74" s="19">
        <f t="shared" si="22"/>
        <v>-1</v>
      </c>
    </row>
    <row r="75" spans="1:26" s="23" customFormat="1" hidden="1" outlineLevel="1" x14ac:dyDescent="0.25">
      <c r="A75" s="44"/>
      <c r="B75" s="10" t="str">
        <f>CONCATENATE("          ", "5200", " - ", "PURCHASES OFFSET")</f>
        <v xml:space="preserve">          5200 - PURCHASES OFFSET</v>
      </c>
      <c r="C75" s="10"/>
      <c r="D75" s="2">
        <v>-236426.85</v>
      </c>
      <c r="E75" s="2"/>
      <c r="F75" s="19">
        <f t="shared" si="15"/>
        <v>-0.92484294320137683</v>
      </c>
      <c r="G75" s="2"/>
      <c r="H75" s="2">
        <v>-110337</v>
      </c>
      <c r="I75" s="2"/>
      <c r="J75" s="19">
        <f t="shared" si="16"/>
        <v>-0.65370435727662213</v>
      </c>
      <c r="K75" s="2"/>
      <c r="L75" s="2">
        <f t="shared" si="17"/>
        <v>-126089.85</v>
      </c>
      <c r="M75" s="2"/>
      <c r="N75" s="19">
        <f t="shared" si="18"/>
        <v>1.1427703308953479</v>
      </c>
      <c r="O75" s="10"/>
      <c r="P75" s="2">
        <v>-950028.99</v>
      </c>
      <c r="Q75" s="2"/>
      <c r="R75" s="19">
        <f t="shared" si="19"/>
        <v>-0.36926512132037453</v>
      </c>
      <c r="S75" s="2"/>
      <c r="T75" s="2">
        <v>-1518671</v>
      </c>
      <c r="U75" s="2"/>
      <c r="V75" s="19">
        <f t="shared" si="20"/>
        <v>-0.51721602258964272</v>
      </c>
      <c r="W75" s="2"/>
      <c r="X75" s="2">
        <f t="shared" si="21"/>
        <v>568642.01</v>
      </c>
      <c r="Y75" s="2"/>
      <c r="Z75" s="19">
        <f t="shared" si="22"/>
        <v>-0.37443396891097547</v>
      </c>
    </row>
    <row r="76" spans="1:26" s="23" customFormat="1" hidden="1" outlineLevel="1" x14ac:dyDescent="0.25">
      <c r="A76" s="44"/>
      <c r="B76" s="10" t="str">
        <f>CONCATENATE("          ", "5300", " - ", "COG$ OFFSET")</f>
        <v xml:space="preserve">          5300 - COG$ OFFSET</v>
      </c>
      <c r="C76" s="10"/>
      <c r="D76" s="2">
        <v>146675</v>
      </c>
      <c r="E76" s="2"/>
      <c r="F76" s="19">
        <f t="shared" si="15"/>
        <v>0.5737560632138945</v>
      </c>
      <c r="G76" s="2"/>
      <c r="H76" s="2">
        <v>167142</v>
      </c>
      <c r="I76" s="2"/>
      <c r="J76" s="19">
        <f t="shared" si="16"/>
        <v>0.9902521700239193</v>
      </c>
      <c r="K76" s="2"/>
      <c r="L76" s="2">
        <f t="shared" si="17"/>
        <v>-20467</v>
      </c>
      <c r="M76" s="2"/>
      <c r="N76" s="19">
        <f t="shared" si="18"/>
        <v>-0.12245276471503273</v>
      </c>
      <c r="O76" s="10"/>
      <c r="P76" s="2">
        <v>1367254</v>
      </c>
      <c r="Q76" s="2"/>
      <c r="R76" s="19">
        <f t="shared" si="19"/>
        <v>0.53143558722957218</v>
      </c>
      <c r="S76" s="2"/>
      <c r="T76" s="2">
        <v>1413573</v>
      </c>
      <c r="U76" s="2"/>
      <c r="V76" s="19">
        <f t="shared" si="20"/>
        <v>0.48142264170456206</v>
      </c>
      <c r="W76" s="2"/>
      <c r="X76" s="2">
        <f t="shared" si="21"/>
        <v>-46319</v>
      </c>
      <c r="Y76" s="2"/>
      <c r="Z76" s="19">
        <f t="shared" si="22"/>
        <v>-3.2767320824605449E-2</v>
      </c>
    </row>
    <row r="77" spans="1:26" s="23" customFormat="1" hidden="1" outlineLevel="1" x14ac:dyDescent="0.25">
      <c r="A77" s="44"/>
      <c r="B77" s="10" t="str">
        <f>CONCATENATE("          ", "5500", " - ", "FREIGHT-IN")</f>
        <v xml:space="preserve">          5500 - FREIGHT-IN</v>
      </c>
      <c r="C77" s="10"/>
      <c r="D77" s="2">
        <v>65</v>
      </c>
      <c r="E77" s="2"/>
      <c r="F77" s="19">
        <f t="shared" si="15"/>
        <v>2.5426380848067592E-4</v>
      </c>
      <c r="G77" s="2"/>
      <c r="H77" s="2"/>
      <c r="I77" s="2"/>
      <c r="J77" s="19">
        <f t="shared" si="16"/>
        <v>0</v>
      </c>
      <c r="K77" s="2"/>
      <c r="L77" s="2">
        <f t="shared" si="17"/>
        <v>65</v>
      </c>
      <c r="M77" s="2"/>
      <c r="N77" s="19">
        <f t="shared" si="18"/>
        <v>0</v>
      </c>
      <c r="O77" s="10"/>
      <c r="P77" s="2">
        <v>65</v>
      </c>
      <c r="Q77" s="2"/>
      <c r="R77" s="19">
        <f t="shared" si="19"/>
        <v>2.5264737327462341E-5</v>
      </c>
      <c r="S77" s="2"/>
      <c r="T77" s="2">
        <v>29.23</v>
      </c>
      <c r="U77" s="2"/>
      <c r="V77" s="19">
        <f t="shared" si="20"/>
        <v>9.9549042157881835E-6</v>
      </c>
      <c r="W77" s="2"/>
      <c r="X77" s="2">
        <f t="shared" si="21"/>
        <v>35.769999999999996</v>
      </c>
      <c r="Y77" s="2"/>
      <c r="Z77" s="19">
        <f t="shared" si="22"/>
        <v>1.2237427300718438</v>
      </c>
    </row>
    <row r="78" spans="1:26" s="23" customFormat="1" hidden="1" outlineLevel="1" x14ac:dyDescent="0.25">
      <c r="A78" s="44"/>
      <c r="B78" s="10" t="str">
        <f>CONCATENATE("          ", "5525", " - ", "FREIGHT-IN-TEST FORMS")</f>
        <v xml:space="preserve">          5525 - FREIGHT-IN-TEST FORMS</v>
      </c>
      <c r="C78" s="10"/>
      <c r="D78" s="2"/>
      <c r="E78" s="2"/>
      <c r="F78" s="19">
        <f t="shared" si="15"/>
        <v>0</v>
      </c>
      <c r="G78" s="2"/>
      <c r="H78" s="2"/>
      <c r="I78" s="2"/>
      <c r="J78" s="19">
        <f t="shared" si="16"/>
        <v>0</v>
      </c>
      <c r="K78" s="2"/>
      <c r="L78" s="2">
        <f t="shared" si="17"/>
        <v>0</v>
      </c>
      <c r="M78" s="2"/>
      <c r="N78" s="19">
        <f t="shared" si="18"/>
        <v>0</v>
      </c>
      <c r="O78" s="10"/>
      <c r="P78" s="2">
        <v>48.14</v>
      </c>
      <c r="Q78" s="2"/>
      <c r="R78" s="19">
        <f t="shared" si="19"/>
        <v>1.8711453152985186E-5</v>
      </c>
      <c r="S78" s="2"/>
      <c r="T78" s="2"/>
      <c r="U78" s="2"/>
      <c r="V78" s="19">
        <f t="shared" si="20"/>
        <v>0</v>
      </c>
      <c r="W78" s="2"/>
      <c r="X78" s="2">
        <f t="shared" si="21"/>
        <v>48.14</v>
      </c>
      <c r="Y78" s="2"/>
      <c r="Z78" s="19">
        <f t="shared" si="22"/>
        <v>0</v>
      </c>
    </row>
    <row r="79" spans="1:26" s="23" customFormat="1" hidden="1" outlineLevel="1" x14ac:dyDescent="0.25">
      <c r="A79" s="44"/>
      <c r="B79" s="10" t="str">
        <f>CONCATENATE("          ", "5526", " - ", "FREIGHT-IN-WRITING INSTRUMENTS")</f>
        <v xml:space="preserve">          5526 - FREIGHT-IN-WRITING INSTRUMENTS</v>
      </c>
      <c r="C79" s="10"/>
      <c r="D79" s="2"/>
      <c r="E79" s="2"/>
      <c r="F79" s="19">
        <f t="shared" si="15"/>
        <v>0</v>
      </c>
      <c r="G79" s="2"/>
      <c r="H79" s="2"/>
      <c r="I79" s="2"/>
      <c r="J79" s="19">
        <f t="shared" si="16"/>
        <v>0</v>
      </c>
      <c r="K79" s="2"/>
      <c r="L79" s="2">
        <f t="shared" si="17"/>
        <v>0</v>
      </c>
      <c r="M79" s="2"/>
      <c r="N79" s="19">
        <f t="shared" si="18"/>
        <v>0</v>
      </c>
      <c r="O79" s="10"/>
      <c r="P79" s="2">
        <v>0</v>
      </c>
      <c r="Q79" s="2"/>
      <c r="R79" s="19">
        <f t="shared" si="19"/>
        <v>0</v>
      </c>
      <c r="S79" s="2"/>
      <c r="T79" s="2"/>
      <c r="U79" s="2"/>
      <c r="V79" s="19">
        <f t="shared" si="20"/>
        <v>0</v>
      </c>
      <c r="W79" s="2"/>
      <c r="X79" s="2">
        <f t="shared" si="21"/>
        <v>0</v>
      </c>
      <c r="Y79" s="2"/>
      <c r="Z79" s="19">
        <f t="shared" si="22"/>
        <v>0</v>
      </c>
    </row>
    <row r="80" spans="1:26" s="23" customFormat="1" hidden="1" outlineLevel="1" x14ac:dyDescent="0.25">
      <c r="A80" s="44"/>
      <c r="B80" s="10" t="str">
        <f>CONCATENATE("          ", "5527", " - ", "FREIGHT-IN-SCHOOL SUPPLIES")</f>
        <v xml:space="preserve">          5527 - FREIGHT-IN-SCHOOL SUPPLIES</v>
      </c>
      <c r="C80" s="10"/>
      <c r="D80" s="2"/>
      <c r="E80" s="2"/>
      <c r="F80" s="19">
        <f t="shared" si="15"/>
        <v>0</v>
      </c>
      <c r="G80" s="2"/>
      <c r="H80" s="2"/>
      <c r="I80" s="2"/>
      <c r="J80" s="19">
        <f t="shared" si="16"/>
        <v>0</v>
      </c>
      <c r="K80" s="2"/>
      <c r="L80" s="2">
        <f t="shared" si="17"/>
        <v>0</v>
      </c>
      <c r="M80" s="2"/>
      <c r="N80" s="19">
        <f t="shared" si="18"/>
        <v>0</v>
      </c>
      <c r="O80" s="10"/>
      <c r="P80" s="2">
        <v>218.62</v>
      </c>
      <c r="Q80" s="2"/>
      <c r="R80" s="19">
        <f t="shared" si="19"/>
        <v>8.4975028838920257E-5</v>
      </c>
      <c r="S80" s="2"/>
      <c r="T80" s="2"/>
      <c r="U80" s="2"/>
      <c r="V80" s="19">
        <f t="shared" si="20"/>
        <v>0</v>
      </c>
      <c r="W80" s="2"/>
      <c r="X80" s="2">
        <f t="shared" si="21"/>
        <v>218.62</v>
      </c>
      <c r="Y80" s="2"/>
      <c r="Z80" s="19">
        <f t="shared" si="22"/>
        <v>0</v>
      </c>
    </row>
    <row r="81" spans="1:26" s="23" customFormat="1" hidden="1" outlineLevel="1" x14ac:dyDescent="0.25">
      <c r="A81" s="44"/>
      <c r="B81" s="10" t="str">
        <f>CONCATENATE("          ", "5528", " - ", "FREIGHT-IN-ART/TECH")</f>
        <v xml:space="preserve">          5528 - FREIGHT-IN-ART/TECH</v>
      </c>
      <c r="C81" s="10"/>
      <c r="D81" s="2">
        <v>102.68</v>
      </c>
      <c r="E81" s="2"/>
      <c r="F81" s="19">
        <f t="shared" si="15"/>
        <v>4.0165858238147393E-4</v>
      </c>
      <c r="G81" s="2"/>
      <c r="H81" s="2"/>
      <c r="I81" s="2"/>
      <c r="J81" s="19">
        <f t="shared" si="16"/>
        <v>0</v>
      </c>
      <c r="K81" s="2"/>
      <c r="L81" s="2">
        <f t="shared" si="17"/>
        <v>102.68</v>
      </c>
      <c r="M81" s="2"/>
      <c r="N81" s="19">
        <f t="shared" si="18"/>
        <v>0</v>
      </c>
      <c r="O81" s="10"/>
      <c r="P81" s="2">
        <v>279.58999999999997</v>
      </c>
      <c r="Q81" s="2"/>
      <c r="R81" s="19">
        <f t="shared" si="19"/>
        <v>1.0867335245207993E-4</v>
      </c>
      <c r="S81" s="2"/>
      <c r="T81" s="2"/>
      <c r="U81" s="2"/>
      <c r="V81" s="19">
        <f t="shared" si="20"/>
        <v>0</v>
      </c>
      <c r="W81" s="2"/>
      <c r="X81" s="2">
        <f t="shared" si="21"/>
        <v>279.58999999999997</v>
      </c>
      <c r="Y81" s="2"/>
      <c r="Z81" s="19">
        <f t="shared" si="22"/>
        <v>0</v>
      </c>
    </row>
    <row r="82" spans="1:26" s="23" customFormat="1" hidden="1" outlineLevel="1" x14ac:dyDescent="0.25">
      <c r="A82" s="44"/>
      <c r="B82" s="10" t="str">
        <f>CONCATENATE("          ", "5540", " - ", "FREIGHT-IN-LOGO CLOTHING")</f>
        <v xml:space="preserve">          5540 - FREIGHT-IN-LOGO CLOTHING</v>
      </c>
      <c r="C82" s="10"/>
      <c r="D82" s="2">
        <v>1384.09</v>
      </c>
      <c r="E82" s="2"/>
      <c r="F82" s="19">
        <f t="shared" si="15"/>
        <v>5.4142153027695187E-3</v>
      </c>
      <c r="G82" s="2"/>
      <c r="H82" s="2">
        <v>29.98</v>
      </c>
      <c r="I82" s="2"/>
      <c r="J82" s="19">
        <f t="shared" si="16"/>
        <v>1.7761998813773378E-4</v>
      </c>
      <c r="K82" s="2"/>
      <c r="L82" s="2">
        <f t="shared" si="17"/>
        <v>1354.11</v>
      </c>
      <c r="M82" s="2"/>
      <c r="N82" s="19">
        <f t="shared" si="18"/>
        <v>45.167111407605063</v>
      </c>
      <c r="O82" s="10"/>
      <c r="P82" s="2">
        <v>11883.79</v>
      </c>
      <c r="Q82" s="2"/>
      <c r="R82" s="19">
        <f t="shared" si="19"/>
        <v>4.6190897354572878E-3</v>
      </c>
      <c r="S82" s="2"/>
      <c r="T82" s="2">
        <v>32548.98</v>
      </c>
      <c r="U82" s="2"/>
      <c r="V82" s="19">
        <f t="shared" si="20"/>
        <v>1.1085254130058338E-2</v>
      </c>
      <c r="W82" s="2"/>
      <c r="X82" s="2">
        <f t="shared" si="21"/>
        <v>-20665.189999999999</v>
      </c>
      <c r="Y82" s="2"/>
      <c r="Z82" s="19">
        <f t="shared" si="22"/>
        <v>-0.63489516414953706</v>
      </c>
    </row>
    <row r="83" spans="1:26" s="23" customFormat="1" hidden="1" outlineLevel="1" x14ac:dyDescent="0.25">
      <c r="A83" s="44"/>
      <c r="B83" s="10" t="str">
        <f>CONCATENATE("          ", "5541", " - ", "FREIGHT-IN-LOGO GIFTS")</f>
        <v xml:space="preserve">          5541 - FREIGHT-IN-LOGO GIFTS</v>
      </c>
      <c r="C83" s="10"/>
      <c r="D83" s="2">
        <v>1606.81</v>
      </c>
      <c r="E83" s="2"/>
      <c r="F83" s="19">
        <f t="shared" si="15"/>
        <v>6.2854404631513053E-3</v>
      </c>
      <c r="G83" s="2"/>
      <c r="H83" s="2">
        <v>348.31</v>
      </c>
      <c r="I83" s="2"/>
      <c r="J83" s="19">
        <f t="shared" si="16"/>
        <v>2.063603004277987E-3</v>
      </c>
      <c r="K83" s="2"/>
      <c r="L83" s="2">
        <f t="shared" si="17"/>
        <v>1258.5</v>
      </c>
      <c r="M83" s="2"/>
      <c r="N83" s="19">
        <f t="shared" si="18"/>
        <v>3.6131606901897735</v>
      </c>
      <c r="O83" s="10"/>
      <c r="P83" s="2">
        <v>7584.01</v>
      </c>
      <c r="Q83" s="2"/>
      <c r="R83" s="19">
        <f t="shared" si="19"/>
        <v>2.9478157005976566E-3</v>
      </c>
      <c r="S83" s="2"/>
      <c r="T83" s="2">
        <v>5574.41</v>
      </c>
      <c r="U83" s="2"/>
      <c r="V83" s="19">
        <f t="shared" si="20"/>
        <v>1.8984850362480945E-3</v>
      </c>
      <c r="W83" s="2"/>
      <c r="X83" s="2">
        <f t="shared" si="21"/>
        <v>2009.6000000000004</v>
      </c>
      <c r="Y83" s="2"/>
      <c r="Z83" s="19">
        <f t="shared" si="22"/>
        <v>0.36050451976083575</v>
      </c>
    </row>
    <row r="84" spans="1:26" s="23" customFormat="1" hidden="1" outlineLevel="1" x14ac:dyDescent="0.25">
      <c r="A84" s="44"/>
      <c r="B84" s="10" t="str">
        <f>CONCATENATE("          ", "5542", " - ", "FREIGHT-IN-EVERYDAY GIFTS")</f>
        <v xml:space="preserve">          5542 - FREIGHT-IN-EVERYDAY GIFTS</v>
      </c>
      <c r="C84" s="10"/>
      <c r="D84" s="2"/>
      <c r="E84" s="2"/>
      <c r="F84" s="19">
        <f t="shared" si="15"/>
        <v>0</v>
      </c>
      <c r="G84" s="2"/>
      <c r="H84" s="2"/>
      <c r="I84" s="2"/>
      <c r="J84" s="19">
        <f t="shared" si="16"/>
        <v>0</v>
      </c>
      <c r="K84" s="2"/>
      <c r="L84" s="2">
        <f t="shared" si="17"/>
        <v>0</v>
      </c>
      <c r="M84" s="2"/>
      <c r="N84" s="19">
        <f t="shared" si="18"/>
        <v>0</v>
      </c>
      <c r="O84" s="10"/>
      <c r="P84" s="2">
        <v>681.72</v>
      </c>
      <c r="Q84" s="2"/>
      <c r="R84" s="19">
        <f t="shared" si="19"/>
        <v>2.6497656509042502E-4</v>
      </c>
      <c r="S84" s="2"/>
      <c r="T84" s="2">
        <v>2223.5100000000002</v>
      </c>
      <c r="U84" s="2"/>
      <c r="V84" s="19">
        <f t="shared" si="20"/>
        <v>7.5726408049425883E-4</v>
      </c>
      <c r="W84" s="2"/>
      <c r="X84" s="2">
        <f t="shared" si="21"/>
        <v>-1541.7900000000002</v>
      </c>
      <c r="Y84" s="2"/>
      <c r="Z84" s="19">
        <f t="shared" si="22"/>
        <v>-0.69340367257174473</v>
      </c>
    </row>
    <row r="85" spans="1:26" s="23" customFormat="1" hidden="1" outlineLevel="1" x14ac:dyDescent="0.25">
      <c r="A85" s="44"/>
      <c r="B85" s="10" t="str">
        <f>CONCATENATE("          ", "5543", " - ", "FREIGHT-IN-CARDS")</f>
        <v xml:space="preserve">          5543 - FREIGHT-IN-CARDS</v>
      </c>
      <c r="C85" s="10"/>
      <c r="D85" s="2"/>
      <c r="E85" s="2"/>
      <c r="F85" s="19">
        <f t="shared" si="15"/>
        <v>0</v>
      </c>
      <c r="G85" s="2"/>
      <c r="H85" s="2"/>
      <c r="I85" s="2"/>
      <c r="J85" s="19">
        <f t="shared" si="16"/>
        <v>0</v>
      </c>
      <c r="K85" s="2"/>
      <c r="L85" s="2">
        <f t="shared" si="17"/>
        <v>0</v>
      </c>
      <c r="M85" s="2"/>
      <c r="N85" s="19">
        <f t="shared" si="18"/>
        <v>0</v>
      </c>
      <c r="O85" s="10"/>
      <c r="P85" s="2">
        <v>9110.5300000000007</v>
      </c>
      <c r="Q85" s="2"/>
      <c r="R85" s="19">
        <f t="shared" si="19"/>
        <v>3.5411561132917767E-3</v>
      </c>
      <c r="S85" s="2"/>
      <c r="T85" s="2">
        <v>2926.76</v>
      </c>
      <c r="U85" s="2"/>
      <c r="V85" s="19">
        <f t="shared" si="20"/>
        <v>9.967709703250162E-4</v>
      </c>
      <c r="W85" s="2"/>
      <c r="X85" s="2">
        <f t="shared" si="21"/>
        <v>6183.77</v>
      </c>
      <c r="Y85" s="2"/>
      <c r="Z85" s="19">
        <f t="shared" si="22"/>
        <v>2.112838087168063</v>
      </c>
    </row>
    <row r="86" spans="1:26" s="23" customFormat="1" hidden="1" outlineLevel="1" x14ac:dyDescent="0.25">
      <c r="A86" s="44"/>
      <c r="B86" s="10" t="str">
        <f>CONCATENATE("          ", "5544", " - ", "FREIGHT-IN-ACCESSORIES")</f>
        <v xml:space="preserve">          5544 - FREIGHT-IN-ACCESSORIES</v>
      </c>
      <c r="C86" s="10"/>
      <c r="D86" s="2">
        <v>48.59</v>
      </c>
      <c r="E86" s="2"/>
      <c r="F86" s="19">
        <f t="shared" si="15"/>
        <v>1.9007197621655452E-4</v>
      </c>
      <c r="G86" s="2"/>
      <c r="H86" s="2"/>
      <c r="I86" s="2"/>
      <c r="J86" s="19">
        <f t="shared" si="16"/>
        <v>0</v>
      </c>
      <c r="K86" s="2"/>
      <c r="L86" s="2">
        <f t="shared" si="17"/>
        <v>48.59</v>
      </c>
      <c r="M86" s="2"/>
      <c r="N86" s="19">
        <f t="shared" si="18"/>
        <v>0</v>
      </c>
      <c r="O86" s="10"/>
      <c r="P86" s="2">
        <v>48.59</v>
      </c>
      <c r="Q86" s="2"/>
      <c r="R86" s="19">
        <f t="shared" si="19"/>
        <v>1.8886362872944541E-5</v>
      </c>
      <c r="S86" s="2"/>
      <c r="T86" s="2">
        <v>483.44</v>
      </c>
      <c r="U86" s="2"/>
      <c r="V86" s="19">
        <f t="shared" si="20"/>
        <v>1.6464587389944027E-4</v>
      </c>
      <c r="W86" s="2"/>
      <c r="X86" s="2">
        <f t="shared" si="21"/>
        <v>-434.85</v>
      </c>
      <c r="Y86" s="2"/>
      <c r="Z86" s="19">
        <f t="shared" si="22"/>
        <v>-0.89949114678139996</v>
      </c>
    </row>
    <row r="87" spans="1:26" s="23" customFormat="1" hidden="1" outlineLevel="1" x14ac:dyDescent="0.25">
      <c r="A87" s="44"/>
      <c r="B87" s="10" t="str">
        <f>CONCATENATE("          ", "5545", " - ", "FREIGHT-IN-SPECIAL ORDERS")</f>
        <v xml:space="preserve">          5545 - FREIGHT-IN-SPECIAL ORDERS</v>
      </c>
      <c r="C87" s="10"/>
      <c r="D87" s="2">
        <v>90.41</v>
      </c>
      <c r="E87" s="2"/>
      <c r="F87" s="19">
        <f t="shared" si="15"/>
        <v>3.5366139884212167E-4</v>
      </c>
      <c r="G87" s="2"/>
      <c r="H87" s="2">
        <v>355.3</v>
      </c>
      <c r="I87" s="2"/>
      <c r="J87" s="19">
        <f t="shared" si="16"/>
        <v>2.1050160702247105E-3</v>
      </c>
      <c r="K87" s="2"/>
      <c r="L87" s="2">
        <f t="shared" si="17"/>
        <v>-264.89</v>
      </c>
      <c r="M87" s="2"/>
      <c r="N87" s="19">
        <f t="shared" si="18"/>
        <v>-0.74553898114269623</v>
      </c>
      <c r="O87" s="10"/>
      <c r="P87" s="2">
        <v>2559.0700000000002</v>
      </c>
      <c r="Q87" s="2"/>
      <c r="R87" s="19">
        <f t="shared" si="19"/>
        <v>9.9468048234752386E-4</v>
      </c>
      <c r="S87" s="2"/>
      <c r="T87" s="2">
        <v>1420.62</v>
      </c>
      <c r="U87" s="2"/>
      <c r="V87" s="19">
        <f t="shared" si="20"/>
        <v>4.8382264888925788E-4</v>
      </c>
      <c r="W87" s="2"/>
      <c r="X87" s="2">
        <f t="shared" si="21"/>
        <v>1138.4500000000003</v>
      </c>
      <c r="Y87" s="2"/>
      <c r="Z87" s="19">
        <f t="shared" si="22"/>
        <v>0.80137545578691016</v>
      </c>
    </row>
    <row r="88" spans="1:26" x14ac:dyDescent="0.25">
      <c r="A88" s="9"/>
      <c r="B88" s="11"/>
      <c r="C88" s="11"/>
      <c r="D88" s="3"/>
      <c r="E88" s="3"/>
      <c r="F88" s="8"/>
      <c r="G88" s="3"/>
      <c r="H88" s="3"/>
      <c r="I88" s="3"/>
      <c r="J88" s="8"/>
      <c r="K88" s="3"/>
      <c r="L88" s="3"/>
      <c r="M88" s="3"/>
      <c r="N88" s="8"/>
      <c r="O88" s="11"/>
      <c r="P88" s="3"/>
      <c r="Q88" s="3"/>
      <c r="R88" s="8"/>
      <c r="S88" s="3"/>
      <c r="T88" s="3"/>
      <c r="U88" s="3"/>
      <c r="V88" s="8"/>
      <c r="W88" s="3"/>
      <c r="X88" s="3"/>
      <c r="Y88" s="3"/>
      <c r="Z88" s="8"/>
    </row>
    <row r="89" spans="1:26" s="24" customFormat="1" x14ac:dyDescent="0.25">
      <c r="A89" s="11"/>
      <c r="B89" s="28" t="s">
        <v>107</v>
      </c>
      <c r="C89" s="28"/>
      <c r="D89" s="21">
        <f>D12-D57</f>
        <v>239819.70000000007</v>
      </c>
      <c r="E89" s="14"/>
      <c r="F89" s="22">
        <f>IF(D$12=0,0,D89/D$12)</f>
        <v>0.93811492724143342</v>
      </c>
      <c r="G89" s="14"/>
      <c r="H89" s="21">
        <f>H12-H57</f>
        <v>39765.980000000025</v>
      </c>
      <c r="I89" s="14"/>
      <c r="J89" s="22">
        <f>IF(H$12=0,0,H89/H$12)</f>
        <v>0.235598161970826</v>
      </c>
      <c r="K89" s="15"/>
      <c r="L89" s="21">
        <f>+D89-H89</f>
        <v>200053.72000000003</v>
      </c>
      <c r="M89" s="15"/>
      <c r="N89" s="22">
        <f>IF(H89=0,0,L89/H89)</f>
        <v>5.0307755523691329</v>
      </c>
      <c r="O89" s="29"/>
      <c r="P89" s="21">
        <f>P12-P57</f>
        <v>1335439.9800000002</v>
      </c>
      <c r="Q89" s="14"/>
      <c r="R89" s="22">
        <f>IF(P$12=0,0,P89/P$12)</f>
        <v>0.51906985094294722</v>
      </c>
      <c r="S89" s="14"/>
      <c r="T89" s="21">
        <f>T12-T57</f>
        <v>1522634.6300000006</v>
      </c>
      <c r="U89" s="14"/>
      <c r="V89" s="22">
        <f>IF(T$12=0,0,T89/T$12)</f>
        <v>0.5185659219053057</v>
      </c>
      <c r="W89" s="15"/>
      <c r="X89" s="21">
        <f>+P89-T89</f>
        <v>-187194.65000000037</v>
      </c>
      <c r="Y89" s="15"/>
      <c r="Z89" s="22">
        <f>IF(T89=0,0,X89/T89)</f>
        <v>-0.12294127974746004</v>
      </c>
    </row>
    <row r="90" spans="1:26" x14ac:dyDescent="0.25">
      <c r="A90" s="9"/>
      <c r="B90" s="11"/>
      <c r="C90" s="9"/>
      <c r="D90" s="1"/>
      <c r="E90" s="1"/>
      <c r="F90" s="5"/>
      <c r="G90" s="1"/>
      <c r="H90" s="1"/>
      <c r="I90" s="1"/>
      <c r="J90" s="5"/>
      <c r="K90" s="1"/>
      <c r="L90" s="1"/>
      <c r="M90" s="1"/>
      <c r="N90" s="5"/>
      <c r="O90" s="37"/>
      <c r="P90" s="1"/>
      <c r="Q90" s="1"/>
      <c r="R90" s="5"/>
      <c r="S90" s="1"/>
      <c r="T90" s="1"/>
      <c r="U90" s="1"/>
      <c r="V90" s="5"/>
      <c r="W90" s="1"/>
      <c r="X90" s="1"/>
      <c r="Y90" s="1"/>
      <c r="Z90" s="5"/>
    </row>
    <row r="91" spans="1:26" s="24" customFormat="1" x14ac:dyDescent="0.25">
      <c r="A91" s="11"/>
      <c r="B91" s="29" t="s">
        <v>294</v>
      </c>
      <c r="C91" s="11"/>
      <c r="D91" s="20">
        <f>SUM(OSRRefD22x_0)</f>
        <v>66578.39999999998</v>
      </c>
      <c r="E91" s="20"/>
      <c r="F91" s="32">
        <f t="shared" ref="F91:F100" si="23">IF(D$12=0,0,D91/D$12)</f>
        <v>0.26043811610076661</v>
      </c>
      <c r="G91" s="20"/>
      <c r="H91" s="20">
        <f>SUM(OSRRefH22x_0)</f>
        <v>168860.42</v>
      </c>
      <c r="I91" s="20"/>
      <c r="J91" s="32">
        <f t="shared" ref="J91:J100" si="24">IF(H$12=0,0,H91/H$12)</f>
        <v>1.000433148676876</v>
      </c>
      <c r="K91" s="4"/>
      <c r="L91" s="20">
        <f t="shared" ref="L91:L100" si="25">+D91-H91</f>
        <v>-102282.02000000003</v>
      </c>
      <c r="M91" s="4"/>
      <c r="N91" s="32">
        <f t="shared" ref="N91:N100" si="26">IF(H91=0,0,L91/H91)</f>
        <v>-0.60571932724080646</v>
      </c>
      <c r="O91" s="11"/>
      <c r="P91" s="20">
        <f>SUM(OSRRefP22x_0)</f>
        <v>821052.28999999992</v>
      </c>
      <c r="Q91" s="20"/>
      <c r="R91" s="32">
        <f t="shared" ref="R91:R100" si="27">IF(P$12=0,0,P91/P$12)</f>
        <v>0.31913339136863744</v>
      </c>
      <c r="S91" s="20"/>
      <c r="T91" s="20">
        <f>SUM(OSRRefT22x_0)</f>
        <v>1168483.29</v>
      </c>
      <c r="U91" s="20"/>
      <c r="V91" s="32">
        <f t="shared" ref="V91:V100" si="28">IF(T$12=0,0,T91/T$12)</f>
        <v>0.39795207764964236</v>
      </c>
      <c r="W91" s="4"/>
      <c r="X91" s="20">
        <f t="shared" ref="X91:X100" si="29">+P91-T91</f>
        <v>-347431.00000000012</v>
      </c>
      <c r="Y91" s="4"/>
      <c r="Z91" s="32">
        <f t="shared" ref="Z91:Z100" si="30">IF(T91=0,0,X91/T91)</f>
        <v>-0.29733501794450146</v>
      </c>
    </row>
    <row r="92" spans="1:26" s="27" customFormat="1" outlineLevel="1" collapsed="1" x14ac:dyDescent="0.25">
      <c r="A92" s="26"/>
      <c r="B92" s="12" t="str">
        <f>CONCATENATE("     ","*Benefits                                         ")</f>
        <v xml:space="preserve">     *Benefits                                         </v>
      </c>
      <c r="C92" s="12"/>
      <c r="D92" s="1">
        <f>SUM(OSRRefD22_0x_0)</f>
        <v>14579.05</v>
      </c>
      <c r="E92" s="1"/>
      <c r="F92" s="5">
        <f t="shared" si="23"/>
        <v>5.7029611954310742E-2</v>
      </c>
      <c r="G92" s="1"/>
      <c r="H92" s="1">
        <f>SUM(OSRRefH22_0x_0)</f>
        <v>7012.3900000000012</v>
      </c>
      <c r="I92" s="1"/>
      <c r="J92" s="5">
        <f t="shared" si="24"/>
        <v>4.1545718099304976E-2</v>
      </c>
      <c r="K92" s="1"/>
      <c r="L92" s="1">
        <f t="shared" si="25"/>
        <v>7566.659999999998</v>
      </c>
      <c r="M92" s="1"/>
      <c r="N92" s="5">
        <f t="shared" si="26"/>
        <v>1.0790415250720506</v>
      </c>
      <c r="O92" s="12"/>
      <c r="P92" s="1">
        <f>SUM(OSRRefP22_0x_0)</f>
        <v>178221.96000000002</v>
      </c>
      <c r="Q92" s="1"/>
      <c r="R92" s="5">
        <f t="shared" si="27"/>
        <v>6.9272784698238471E-2</v>
      </c>
      <c r="S92" s="1"/>
      <c r="T92" s="1">
        <f>SUM(OSRRefT22_0x_0)</f>
        <v>107564.56</v>
      </c>
      <c r="U92" s="1"/>
      <c r="V92" s="5">
        <f t="shared" si="28"/>
        <v>3.6633420862586419E-2</v>
      </c>
      <c r="W92" s="1"/>
      <c r="X92" s="1">
        <f t="shared" si="29"/>
        <v>70657.400000000023</v>
      </c>
      <c r="Y92" s="1"/>
      <c r="Z92" s="5">
        <f t="shared" si="30"/>
        <v>0.65688364271652322</v>
      </c>
    </row>
    <row r="93" spans="1:26" s="23" customFormat="1" hidden="1" outlineLevel="2" x14ac:dyDescent="0.25">
      <c r="A93" s="25"/>
      <c r="B93" s="10" t="str">
        <f>CONCATENATE("          ", "6111", " - ", "F.I.C.A.")</f>
        <v xml:space="preserve">          6111 - F.I.C.A.</v>
      </c>
      <c r="C93" s="10"/>
      <c r="D93" s="6">
        <v>3348.97</v>
      </c>
      <c r="E93" s="2"/>
      <c r="F93" s="7">
        <f t="shared" si="23"/>
        <v>1.3100336410577371E-2</v>
      </c>
      <c r="G93" s="2"/>
      <c r="H93" s="6">
        <v>1325.15</v>
      </c>
      <c r="I93" s="2"/>
      <c r="J93" s="7">
        <f t="shared" si="24"/>
        <v>7.8510049126323533E-3</v>
      </c>
      <c r="K93" s="2"/>
      <c r="L93" s="6">
        <f t="shared" si="25"/>
        <v>2023.8199999999997</v>
      </c>
      <c r="M93" s="2"/>
      <c r="N93" s="7">
        <f t="shared" si="26"/>
        <v>1.527238425838584</v>
      </c>
      <c r="O93" s="10"/>
      <c r="P93" s="6">
        <v>35934.33</v>
      </c>
      <c r="Q93" s="2"/>
      <c r="R93" s="7">
        <f t="shared" si="27"/>
        <v>1.3967252438282306E-2</v>
      </c>
      <c r="S93" s="2"/>
      <c r="T93" s="6">
        <v>20108.55</v>
      </c>
      <c r="U93" s="2"/>
      <c r="V93" s="7">
        <f t="shared" si="28"/>
        <v>6.8483985346694306E-3</v>
      </c>
      <c r="W93" s="2"/>
      <c r="X93" s="6">
        <f t="shared" si="29"/>
        <v>15825.780000000002</v>
      </c>
      <c r="Y93" s="2"/>
      <c r="Z93" s="7">
        <f t="shared" si="30"/>
        <v>0.78701746272108153</v>
      </c>
    </row>
    <row r="94" spans="1:26" s="23" customFormat="1" hidden="1" outlineLevel="2" x14ac:dyDescent="0.25">
      <c r="A94" s="25"/>
      <c r="B94" s="10" t="str">
        <f>CONCATENATE("          ", "6112", " - ", "COMPENSATION INSURANCE")</f>
        <v xml:space="preserve">          6112 - COMPENSATION INSURANCE</v>
      </c>
      <c r="C94" s="10"/>
      <c r="D94" s="6">
        <v>926.03</v>
      </c>
      <c r="E94" s="2"/>
      <c r="F94" s="7">
        <f t="shared" si="23"/>
        <v>3.6223986856516971E-3</v>
      </c>
      <c r="G94" s="2"/>
      <c r="H94" s="6">
        <v>328.94</v>
      </c>
      <c r="I94" s="2"/>
      <c r="J94" s="7">
        <f t="shared" si="24"/>
        <v>1.9488431920622465E-3</v>
      </c>
      <c r="K94" s="2"/>
      <c r="L94" s="6">
        <f t="shared" si="25"/>
        <v>597.08999999999992</v>
      </c>
      <c r="M94" s="2"/>
      <c r="N94" s="7">
        <f t="shared" si="26"/>
        <v>1.8151942603514317</v>
      </c>
      <c r="O94" s="10"/>
      <c r="P94" s="6">
        <v>11971.26</v>
      </c>
      <c r="Q94" s="2"/>
      <c r="R94" s="7">
        <f t="shared" si="27"/>
        <v>4.6530882981347206E-3</v>
      </c>
      <c r="S94" s="2"/>
      <c r="T94" s="6">
        <v>6646.31</v>
      </c>
      <c r="U94" s="2"/>
      <c r="V94" s="7">
        <f t="shared" si="28"/>
        <v>2.2635436003570018E-3</v>
      </c>
      <c r="W94" s="2"/>
      <c r="X94" s="6">
        <f t="shared" si="29"/>
        <v>5324.95</v>
      </c>
      <c r="Y94" s="2"/>
      <c r="Z94" s="7">
        <f t="shared" si="30"/>
        <v>0.80118893039897321</v>
      </c>
    </row>
    <row r="95" spans="1:26" s="23" customFormat="1" hidden="1" outlineLevel="2" x14ac:dyDescent="0.25">
      <c r="A95" s="25"/>
      <c r="B95" s="10" t="str">
        <f>CONCATENATE("          ", "6113", " - ", "GROUP INSURANCE")</f>
        <v xml:space="preserve">          6113 - GROUP INSURANCE</v>
      </c>
      <c r="C95" s="10"/>
      <c r="D95" s="6">
        <v>4822.38</v>
      </c>
      <c r="E95" s="2"/>
      <c r="F95" s="7">
        <f t="shared" si="23"/>
        <v>1.8863949303708338E-2</v>
      </c>
      <c r="G95" s="2"/>
      <c r="H95" s="6">
        <v>3471.02</v>
      </c>
      <c r="I95" s="2"/>
      <c r="J95" s="7">
        <f t="shared" si="24"/>
        <v>2.0564460681315434E-2</v>
      </c>
      <c r="K95" s="2"/>
      <c r="L95" s="6">
        <f t="shared" si="25"/>
        <v>1351.3600000000001</v>
      </c>
      <c r="M95" s="2"/>
      <c r="N95" s="7">
        <f t="shared" si="26"/>
        <v>0.38932648040057394</v>
      </c>
      <c r="O95" s="10"/>
      <c r="P95" s="6">
        <v>63056.94</v>
      </c>
      <c r="Q95" s="2"/>
      <c r="R95" s="7">
        <f t="shared" si="27"/>
        <v>2.4509492704208512E-2</v>
      </c>
      <c r="S95" s="2"/>
      <c r="T95" s="6">
        <v>36852.74</v>
      </c>
      <c r="U95" s="2"/>
      <c r="V95" s="7">
        <f t="shared" si="28"/>
        <v>1.2550992021530817E-2</v>
      </c>
      <c r="W95" s="2"/>
      <c r="X95" s="6">
        <f t="shared" si="29"/>
        <v>26204.200000000004</v>
      </c>
      <c r="Y95" s="2"/>
      <c r="Z95" s="7">
        <f t="shared" si="30"/>
        <v>0.71105160701755166</v>
      </c>
    </row>
    <row r="96" spans="1:26" s="23" customFormat="1" hidden="1" outlineLevel="2" x14ac:dyDescent="0.25">
      <c r="A96" s="25"/>
      <c r="B96" s="10" t="str">
        <f>CONCATENATE("          ", "6114", " - ", "STATE UNEMPLOYMENT INSURANCE")</f>
        <v xml:space="preserve">          6114 - STATE UNEMPLOYMENT INSURANCE</v>
      </c>
      <c r="C96" s="10"/>
      <c r="D96" s="6">
        <v>130.13999999999999</v>
      </c>
      <c r="E96" s="2"/>
      <c r="F96" s="7">
        <f t="shared" si="23"/>
        <v>5.0907526208731019E-4</v>
      </c>
      <c r="G96" s="2"/>
      <c r="H96" s="6">
        <v>-973.98</v>
      </c>
      <c r="I96" s="2"/>
      <c r="J96" s="7">
        <f t="shared" si="24"/>
        <v>-5.7704575065506986E-3</v>
      </c>
      <c r="K96" s="2"/>
      <c r="L96" s="6">
        <f t="shared" si="25"/>
        <v>1104.1199999999999</v>
      </c>
      <c r="M96" s="2"/>
      <c r="N96" s="7">
        <f t="shared" si="26"/>
        <v>-1.1336167067085565</v>
      </c>
      <c r="O96" s="10"/>
      <c r="P96" s="6">
        <v>1482.33</v>
      </c>
      <c r="Q96" s="2"/>
      <c r="R96" s="7">
        <f t="shared" si="27"/>
        <v>5.7616427819411151E-4</v>
      </c>
      <c r="S96" s="2"/>
      <c r="T96" s="6">
        <v>0</v>
      </c>
      <c r="U96" s="2"/>
      <c r="V96" s="7">
        <f t="shared" si="28"/>
        <v>0</v>
      </c>
      <c r="W96" s="2"/>
      <c r="X96" s="6">
        <f t="shared" si="29"/>
        <v>1482.33</v>
      </c>
      <c r="Y96" s="2"/>
      <c r="Z96" s="7">
        <f t="shared" si="30"/>
        <v>0</v>
      </c>
    </row>
    <row r="97" spans="1:26" s="23" customFormat="1" hidden="1" outlineLevel="2" x14ac:dyDescent="0.25">
      <c r="A97" s="25"/>
      <c r="B97" s="10" t="str">
        <f>CONCATENATE("          ", "6115", " - ", "P.E.R.S.")</f>
        <v xml:space="preserve">          6115 - P.E.R.S.</v>
      </c>
      <c r="C97" s="10"/>
      <c r="D97" s="6">
        <v>2526.14</v>
      </c>
      <c r="E97" s="2"/>
      <c r="F97" s="7">
        <f t="shared" si="23"/>
        <v>9.881630417774994E-3</v>
      </c>
      <c r="G97" s="2"/>
      <c r="H97" s="6">
        <v>1019.1</v>
      </c>
      <c r="I97" s="2"/>
      <c r="J97" s="7">
        <f t="shared" si="24"/>
        <v>6.0377761811595898E-3</v>
      </c>
      <c r="K97" s="2"/>
      <c r="L97" s="6">
        <f t="shared" si="25"/>
        <v>1507.04</v>
      </c>
      <c r="M97" s="2"/>
      <c r="N97" s="7">
        <f t="shared" si="26"/>
        <v>1.4787950152094984</v>
      </c>
      <c r="O97" s="10"/>
      <c r="P97" s="6">
        <v>24449.32</v>
      </c>
      <c r="Q97" s="2"/>
      <c r="R97" s="7">
        <f t="shared" si="27"/>
        <v>9.5031638097703309E-3</v>
      </c>
      <c r="S97" s="2"/>
      <c r="T97" s="6">
        <v>12196.85</v>
      </c>
      <c r="U97" s="2"/>
      <c r="V97" s="7">
        <f t="shared" si="28"/>
        <v>4.1538991954955902E-3</v>
      </c>
      <c r="W97" s="2"/>
      <c r="X97" s="6">
        <f t="shared" si="29"/>
        <v>12252.47</v>
      </c>
      <c r="Y97" s="2"/>
      <c r="Z97" s="7">
        <f t="shared" si="30"/>
        <v>1.0045601938205355</v>
      </c>
    </row>
    <row r="98" spans="1:26" s="23" customFormat="1" hidden="1" outlineLevel="2" x14ac:dyDescent="0.25">
      <c r="A98" s="25"/>
      <c r="B98" s="10" t="str">
        <f>CONCATENATE("          ", "6118", " - ", "VACATION")</f>
        <v xml:space="preserve">          6118 - VACATION</v>
      </c>
      <c r="C98" s="10"/>
      <c r="D98" s="6">
        <v>1312.1</v>
      </c>
      <c r="E98" s="2"/>
      <c r="F98" s="7">
        <f t="shared" si="23"/>
        <v>5.1326083554999206E-3</v>
      </c>
      <c r="G98" s="2"/>
      <c r="H98" s="6">
        <v>1000.72</v>
      </c>
      <c r="I98" s="2"/>
      <c r="J98" s="7">
        <f t="shared" si="24"/>
        <v>5.9288817387989643E-3</v>
      </c>
      <c r="K98" s="2"/>
      <c r="L98" s="6">
        <f t="shared" si="25"/>
        <v>311.37999999999988</v>
      </c>
      <c r="M98" s="2"/>
      <c r="N98" s="7">
        <f t="shared" si="26"/>
        <v>0.31115596770325354</v>
      </c>
      <c r="O98" s="10"/>
      <c r="P98" s="6">
        <v>20657.64</v>
      </c>
      <c r="Q98" s="2"/>
      <c r="R98" s="7">
        <f t="shared" si="27"/>
        <v>8.0293822831581409E-3</v>
      </c>
      <c r="S98" s="2"/>
      <c r="T98" s="6">
        <v>13643.9</v>
      </c>
      <c r="U98" s="2"/>
      <c r="V98" s="7">
        <f t="shared" si="28"/>
        <v>4.6467231484704887E-3</v>
      </c>
      <c r="W98" s="2"/>
      <c r="X98" s="6">
        <f t="shared" si="29"/>
        <v>7013.74</v>
      </c>
      <c r="Y98" s="2"/>
      <c r="Z98" s="7">
        <f t="shared" si="30"/>
        <v>0.51405683125792478</v>
      </c>
    </row>
    <row r="99" spans="1:26" s="23" customFormat="1" hidden="1" outlineLevel="2" x14ac:dyDescent="0.25">
      <c r="A99" s="25"/>
      <c r="B99" s="10" t="str">
        <f>CONCATENATE("          ", "6119", " - ", "SICK LEAVE")</f>
        <v xml:space="preserve">          6119 - SICK LEAVE</v>
      </c>
      <c r="C99" s="10"/>
      <c r="D99" s="6">
        <v>1105.6600000000001</v>
      </c>
      <c r="E99" s="2"/>
      <c r="F99" s="7">
        <f t="shared" si="23"/>
        <v>4.3250664997652949E-3</v>
      </c>
      <c r="G99" s="2"/>
      <c r="H99" s="6">
        <v>705.44</v>
      </c>
      <c r="I99" s="2"/>
      <c r="J99" s="7">
        <f t="shared" si="24"/>
        <v>4.1794611218106377E-3</v>
      </c>
      <c r="K99" s="2"/>
      <c r="L99" s="6">
        <f t="shared" si="25"/>
        <v>400.22</v>
      </c>
      <c r="M99" s="2"/>
      <c r="N99" s="7">
        <f t="shared" si="26"/>
        <v>0.56733386255386709</v>
      </c>
      <c r="O99" s="10"/>
      <c r="P99" s="6">
        <v>15106.35</v>
      </c>
      <c r="Q99" s="2"/>
      <c r="R99" s="7">
        <f t="shared" si="27"/>
        <v>5.8716609957955492E-3</v>
      </c>
      <c r="S99" s="2"/>
      <c r="T99" s="6">
        <v>15363.43</v>
      </c>
      <c r="U99" s="2"/>
      <c r="V99" s="7">
        <f t="shared" si="28"/>
        <v>5.2323460169677264E-3</v>
      </c>
      <c r="W99" s="2"/>
      <c r="X99" s="6">
        <f t="shared" si="29"/>
        <v>-257.07999999999993</v>
      </c>
      <c r="Y99" s="2"/>
      <c r="Z99" s="7">
        <f t="shared" si="30"/>
        <v>-1.6733242511600594E-2</v>
      </c>
    </row>
    <row r="100" spans="1:26" s="23" customFormat="1" hidden="1" outlineLevel="2" x14ac:dyDescent="0.25">
      <c r="A100" s="25"/>
      <c r="B100" s="10" t="str">
        <f>CONCATENATE("          ", "6156", " - ", "EMPLOYEE MEALS")</f>
        <v xml:space="preserve">          6156 - EMPLOYEE MEALS</v>
      </c>
      <c r="C100" s="10"/>
      <c r="D100" s="6">
        <v>407.63</v>
      </c>
      <c r="E100" s="2"/>
      <c r="F100" s="7">
        <f t="shared" si="23"/>
        <v>1.5945470192458141E-3</v>
      </c>
      <c r="G100" s="2"/>
      <c r="H100" s="6">
        <v>136</v>
      </c>
      <c r="I100" s="2"/>
      <c r="J100" s="7">
        <f t="shared" si="24"/>
        <v>8.0574777807644409E-4</v>
      </c>
      <c r="K100" s="2"/>
      <c r="L100" s="6">
        <f t="shared" si="25"/>
        <v>271.63</v>
      </c>
      <c r="M100" s="2"/>
      <c r="N100" s="7">
        <f t="shared" si="26"/>
        <v>1.9972794117647059</v>
      </c>
      <c r="O100" s="10"/>
      <c r="P100" s="6">
        <v>5563.79</v>
      </c>
      <c r="Q100" s="2"/>
      <c r="R100" s="7">
        <f t="shared" si="27"/>
        <v>2.1625798906947952E-3</v>
      </c>
      <c r="S100" s="2"/>
      <c r="T100" s="6">
        <v>2752.78</v>
      </c>
      <c r="U100" s="2"/>
      <c r="V100" s="7">
        <f t="shared" si="28"/>
        <v>9.3751834509536085E-4</v>
      </c>
      <c r="W100" s="2"/>
      <c r="X100" s="6">
        <f t="shared" si="29"/>
        <v>2811.0099999999998</v>
      </c>
      <c r="Y100" s="2"/>
      <c r="Z100" s="7">
        <f t="shared" si="30"/>
        <v>1.0211531615312519</v>
      </c>
    </row>
    <row r="101" spans="1:26" s="27" customFormat="1" outlineLevel="1" collapsed="1" x14ac:dyDescent="0.25">
      <c r="A101" s="26"/>
      <c r="B101" s="12" t="str">
        <f>CONCATENATE("     ","*Payroll                                          ")</f>
        <v xml:space="preserve">     *Payroll                                          </v>
      </c>
      <c r="C101" s="12"/>
      <c r="D101" s="1">
        <f>SUM(OSRRefD22_1x_0)</f>
        <v>50353.939999999995</v>
      </c>
      <c r="E101" s="1"/>
      <c r="F101" s="5">
        <f t="shared" ref="F101:F107" si="31">IF(D$12=0,0,D101/D$12)</f>
        <v>0.19697207009857609</v>
      </c>
      <c r="G101" s="1"/>
      <c r="H101" s="1">
        <f>SUM(OSRRefH22_1x_0)</f>
        <v>16915.45</v>
      </c>
      <c r="I101" s="1"/>
      <c r="J101" s="5">
        <f t="shared" ref="J101:J107" si="32">IF(H$12=0,0,H101/H$12)</f>
        <v>0.10021754597546462</v>
      </c>
      <c r="K101" s="1"/>
      <c r="L101" s="1">
        <f t="shared" ref="L101:L107" si="33">+D101-H101</f>
        <v>33438.489999999991</v>
      </c>
      <c r="M101" s="1"/>
      <c r="N101" s="5">
        <f t="shared" ref="N101:N107" si="34">IF(H101=0,0,L101/H101)</f>
        <v>1.9768016813031868</v>
      </c>
      <c r="O101" s="12"/>
      <c r="P101" s="1">
        <f>SUM(OSRRefP22_1x_0)</f>
        <v>480972.35</v>
      </c>
      <c r="Q101" s="1"/>
      <c r="R101" s="5">
        <f t="shared" ref="R101:R107" si="35">IF(P$12=0,0,P101/P$12)</f>
        <v>0.18694830899265047</v>
      </c>
      <c r="S101" s="1"/>
      <c r="T101" s="1">
        <f>SUM(OSRRefT22_1x_0)</f>
        <v>370565.67000000004</v>
      </c>
      <c r="U101" s="1"/>
      <c r="V101" s="5">
        <f t="shared" ref="V101:V107" si="36">IF(T$12=0,0,T101/T$12)</f>
        <v>0.1262040968357637</v>
      </c>
      <c r="W101" s="1"/>
      <c r="X101" s="1">
        <f t="shared" ref="X101:X107" si="37">+P101-T101</f>
        <v>110406.67999999993</v>
      </c>
      <c r="Y101" s="1"/>
      <c r="Z101" s="5">
        <f t="shared" ref="Z101:Z107" si="38">IF(T101=0,0,X101/T101)</f>
        <v>0.29794092906663461</v>
      </c>
    </row>
    <row r="102" spans="1:26" s="23" customFormat="1" hidden="1" outlineLevel="2" x14ac:dyDescent="0.25">
      <c r="A102" s="25"/>
      <c r="B102" s="10" t="str">
        <f>CONCATENATE("          ", "6002", " - ", "STAFF SALARIES")</f>
        <v xml:space="preserve">          6002 - STAFF SALARIES</v>
      </c>
      <c r="C102" s="10"/>
      <c r="D102" s="6">
        <v>15739.11</v>
      </c>
      <c r="E102" s="2"/>
      <c r="F102" s="7">
        <f t="shared" si="31"/>
        <v>6.1567477703019867E-2</v>
      </c>
      <c r="G102" s="2"/>
      <c r="H102" s="6">
        <v>11219.63</v>
      </c>
      <c r="I102" s="2"/>
      <c r="J102" s="7">
        <f t="shared" si="32"/>
        <v>6.6471999583380986E-2</v>
      </c>
      <c r="K102" s="2"/>
      <c r="L102" s="6">
        <f t="shared" si="33"/>
        <v>4519.4800000000014</v>
      </c>
      <c r="M102" s="2"/>
      <c r="N102" s="7">
        <f t="shared" si="34"/>
        <v>0.4028189877919327</v>
      </c>
      <c r="O102" s="10"/>
      <c r="P102" s="6">
        <v>223778.43</v>
      </c>
      <c r="Q102" s="2"/>
      <c r="R102" s="7">
        <f t="shared" si="35"/>
        <v>8.6980050053875657E-2</v>
      </c>
      <c r="S102" s="2"/>
      <c r="T102" s="6">
        <v>117156.65</v>
      </c>
      <c r="U102" s="2"/>
      <c r="V102" s="7">
        <f t="shared" si="36"/>
        <v>3.990021310272393E-2</v>
      </c>
      <c r="W102" s="2"/>
      <c r="X102" s="6">
        <f t="shared" si="37"/>
        <v>106621.78</v>
      </c>
      <c r="Y102" s="2"/>
      <c r="Z102" s="7">
        <f t="shared" si="38"/>
        <v>0.91007877060329057</v>
      </c>
    </row>
    <row r="103" spans="1:26" s="23" customFormat="1" hidden="1" outlineLevel="2" x14ac:dyDescent="0.25">
      <c r="A103" s="25"/>
      <c r="B103" s="10" t="str">
        <f>CONCATENATE("          ", "6004", " - ", "STAFF HOURLY")</f>
        <v xml:space="preserve">          6004 - STAFF HOURLY</v>
      </c>
      <c r="C103" s="10"/>
      <c r="D103" s="6">
        <v>7690.47</v>
      </c>
      <c r="E103" s="2"/>
      <c r="F103" s="7">
        <f t="shared" si="31"/>
        <v>3.0083202941636675E-2</v>
      </c>
      <c r="G103" s="2"/>
      <c r="H103" s="6">
        <v>3738.92</v>
      </c>
      <c r="I103" s="2"/>
      <c r="J103" s="7">
        <f t="shared" si="32"/>
        <v>2.2151665311805725E-2</v>
      </c>
      <c r="K103" s="2"/>
      <c r="L103" s="6">
        <f t="shared" si="33"/>
        <v>3951.55</v>
      </c>
      <c r="M103" s="2"/>
      <c r="N103" s="7">
        <f t="shared" si="34"/>
        <v>1.056869363345565</v>
      </c>
      <c r="O103" s="10"/>
      <c r="P103" s="6">
        <v>69702.740000000005</v>
      </c>
      <c r="Q103" s="2"/>
      <c r="R103" s="7">
        <f t="shared" si="35"/>
        <v>2.7092637186221576E-2</v>
      </c>
      <c r="S103" s="2"/>
      <c r="T103" s="6">
        <v>20401.43</v>
      </c>
      <c r="U103" s="2"/>
      <c r="V103" s="7">
        <f t="shared" si="36"/>
        <v>6.9481451082828438E-3</v>
      </c>
      <c r="W103" s="2"/>
      <c r="X103" s="6">
        <f t="shared" si="37"/>
        <v>49301.310000000005</v>
      </c>
      <c r="Y103" s="2"/>
      <c r="Z103" s="7">
        <f t="shared" si="38"/>
        <v>2.4165614861311195</v>
      </c>
    </row>
    <row r="104" spans="1:26" s="23" customFormat="1" hidden="1" outlineLevel="2" x14ac:dyDescent="0.25">
      <c r="A104" s="25"/>
      <c r="B104" s="10" t="str">
        <f>CONCATENATE("          ", "6005", " - ", "TEMPORARY WAGES-HOURLY")</f>
        <v xml:space="preserve">          6005 - TEMPORARY WAGES-HOURLY</v>
      </c>
      <c r="C104" s="10"/>
      <c r="D104" s="6">
        <v>3017.29</v>
      </c>
      <c r="E104" s="2"/>
      <c r="F104" s="7">
        <f t="shared" si="31"/>
        <v>1.1802886872163978E-2</v>
      </c>
      <c r="G104" s="2"/>
      <c r="H104" s="6">
        <v>1104.68</v>
      </c>
      <c r="I104" s="2"/>
      <c r="J104" s="7">
        <f t="shared" si="32"/>
        <v>6.5448048197462236E-3</v>
      </c>
      <c r="K104" s="2"/>
      <c r="L104" s="6">
        <f t="shared" si="33"/>
        <v>1912.61</v>
      </c>
      <c r="M104" s="2"/>
      <c r="N104" s="7">
        <f t="shared" si="34"/>
        <v>1.7313701705471265</v>
      </c>
      <c r="O104" s="10"/>
      <c r="P104" s="6">
        <v>64957.03</v>
      </c>
      <c r="Q104" s="2"/>
      <c r="R104" s="7">
        <f t="shared" si="35"/>
        <v>2.5248035392647555E-2</v>
      </c>
      <c r="S104" s="2"/>
      <c r="T104" s="6">
        <v>43395.79</v>
      </c>
      <c r="U104" s="2"/>
      <c r="V104" s="7">
        <f t="shared" si="36"/>
        <v>1.4779368211373886E-2</v>
      </c>
      <c r="W104" s="2"/>
      <c r="X104" s="6">
        <f t="shared" si="37"/>
        <v>21561.239999999998</v>
      </c>
      <c r="Y104" s="2"/>
      <c r="Z104" s="7">
        <f t="shared" si="38"/>
        <v>0.4968509618098898</v>
      </c>
    </row>
    <row r="105" spans="1:26" s="23" customFormat="1" hidden="1" outlineLevel="2" x14ac:dyDescent="0.25">
      <c r="A105" s="25"/>
      <c r="B105" s="10" t="str">
        <f>CONCATENATE("          ", "6006", " - ", "TEMPORARY PART TIME")</f>
        <v xml:space="preserve">          6006 - TEMPORARY PART TIME</v>
      </c>
      <c r="C105" s="10"/>
      <c r="D105" s="6">
        <v>306.3</v>
      </c>
      <c r="E105" s="2"/>
      <c r="F105" s="7">
        <f t="shared" si="31"/>
        <v>1.1981693005789391E-3</v>
      </c>
      <c r="G105" s="2"/>
      <c r="H105" s="6"/>
      <c r="I105" s="2"/>
      <c r="J105" s="7">
        <f t="shared" si="32"/>
        <v>0</v>
      </c>
      <c r="K105" s="2"/>
      <c r="L105" s="6">
        <f t="shared" si="33"/>
        <v>306.3</v>
      </c>
      <c r="M105" s="2"/>
      <c r="N105" s="7">
        <f t="shared" si="34"/>
        <v>0</v>
      </c>
      <c r="O105" s="10"/>
      <c r="P105" s="6">
        <v>6598.9</v>
      </c>
      <c r="Q105" s="2"/>
      <c r="R105" s="7">
        <f t="shared" si="35"/>
        <v>2.5649150023106344E-3</v>
      </c>
      <c r="S105" s="2"/>
      <c r="T105" s="6">
        <v>1227.45</v>
      </c>
      <c r="U105" s="2"/>
      <c r="V105" s="7">
        <f t="shared" si="36"/>
        <v>4.1803445705334267E-4</v>
      </c>
      <c r="W105" s="2"/>
      <c r="X105" s="6">
        <f t="shared" si="37"/>
        <v>5371.45</v>
      </c>
      <c r="Y105" s="2"/>
      <c r="Z105" s="7">
        <f t="shared" si="38"/>
        <v>4.3761049329911605</v>
      </c>
    </row>
    <row r="106" spans="1:26" s="23" customFormat="1" hidden="1" outlineLevel="2" x14ac:dyDescent="0.25">
      <c r="A106" s="25"/>
      <c r="B106" s="10" t="str">
        <f>CONCATENATE("          ", "6007", " - ", "STUDENT HOURLY")</f>
        <v xml:space="preserve">          6007 - STUDENT HOURLY</v>
      </c>
      <c r="C106" s="10"/>
      <c r="D106" s="6">
        <v>16907.169999999998</v>
      </c>
      <c r="E106" s="2"/>
      <c r="F106" s="7">
        <f t="shared" si="31"/>
        <v>6.6136637458926603E-2</v>
      </c>
      <c r="G106" s="2"/>
      <c r="H106" s="6">
        <v>852.22</v>
      </c>
      <c r="I106" s="2"/>
      <c r="J106" s="7">
        <f t="shared" si="32"/>
        <v>5.0490762605316705E-3</v>
      </c>
      <c r="K106" s="2"/>
      <c r="L106" s="6">
        <f t="shared" si="33"/>
        <v>16054.949999999999</v>
      </c>
      <c r="M106" s="2"/>
      <c r="N106" s="7">
        <f t="shared" si="34"/>
        <v>18.838973504494142</v>
      </c>
      <c r="O106" s="10"/>
      <c r="P106" s="6">
        <v>97667.5</v>
      </c>
      <c r="Q106" s="2"/>
      <c r="R106" s="7">
        <f t="shared" si="35"/>
        <v>3.7962211275845044E-2</v>
      </c>
      <c r="S106" s="2"/>
      <c r="T106" s="6">
        <v>188189.35</v>
      </c>
      <c r="U106" s="2"/>
      <c r="V106" s="7">
        <f t="shared" si="36"/>
        <v>6.4091924518694429E-2</v>
      </c>
      <c r="W106" s="2"/>
      <c r="X106" s="6">
        <f t="shared" si="37"/>
        <v>-90521.85</v>
      </c>
      <c r="Y106" s="2"/>
      <c r="Z106" s="7">
        <f t="shared" si="38"/>
        <v>-0.48101473329920108</v>
      </c>
    </row>
    <row r="107" spans="1:26" s="23" customFormat="1" hidden="1" outlineLevel="2" x14ac:dyDescent="0.25">
      <c r="A107" s="25"/>
      <c r="B107" s="10" t="str">
        <f>CONCATENATE("          ", "6008", " - ", "STUDENT HOURLY-FICA EXEMPT")</f>
        <v xml:space="preserve">          6008 - STUDENT HOURLY-FICA EXEMPT</v>
      </c>
      <c r="C107" s="10"/>
      <c r="D107" s="6">
        <v>6693.6</v>
      </c>
      <c r="E107" s="2"/>
      <c r="F107" s="7">
        <f t="shared" si="31"/>
        <v>2.6183695822250039E-2</v>
      </c>
      <c r="G107" s="2"/>
      <c r="H107" s="6"/>
      <c r="I107" s="2"/>
      <c r="J107" s="7">
        <f t="shared" si="32"/>
        <v>0</v>
      </c>
      <c r="K107" s="2"/>
      <c r="L107" s="6">
        <f t="shared" si="33"/>
        <v>6693.6</v>
      </c>
      <c r="M107" s="2"/>
      <c r="N107" s="7">
        <f t="shared" si="34"/>
        <v>0</v>
      </c>
      <c r="O107" s="10"/>
      <c r="P107" s="6">
        <v>18267.75</v>
      </c>
      <c r="Q107" s="2"/>
      <c r="R107" s="7">
        <f t="shared" si="35"/>
        <v>7.1004600817500029E-3</v>
      </c>
      <c r="S107" s="2"/>
      <c r="T107" s="6">
        <v>195</v>
      </c>
      <c r="U107" s="2"/>
      <c r="V107" s="7">
        <f t="shared" si="36"/>
        <v>6.6411437635261565E-5</v>
      </c>
      <c r="W107" s="2"/>
      <c r="X107" s="6">
        <f t="shared" si="37"/>
        <v>18072.75</v>
      </c>
      <c r="Y107" s="2"/>
      <c r="Z107" s="7">
        <f t="shared" si="38"/>
        <v>92.680769230769229</v>
      </c>
    </row>
    <row r="108" spans="1:26" s="27" customFormat="1" outlineLevel="1" collapsed="1" x14ac:dyDescent="0.25">
      <c r="A108" s="26"/>
      <c r="B108" s="12" t="str">
        <f>CONCATENATE("     ","Advertising/Promo                                 ")</f>
        <v xml:space="preserve">     Advertising/Promo                                 </v>
      </c>
      <c r="C108" s="12"/>
      <c r="D108" s="1">
        <f>SUM(OSRRefD22_2x_0)</f>
        <v>1324.8</v>
      </c>
      <c r="E108" s="1"/>
      <c r="F108" s="5">
        <f t="shared" ref="F108:F116" si="39">IF(D$12=0,0,D108/D$12)</f>
        <v>5.1822875919261451E-3</v>
      </c>
      <c r="G108" s="1"/>
      <c r="H108" s="1">
        <f>SUM(OSRRefH22_2x_0)</f>
        <v>0</v>
      </c>
      <c r="I108" s="1"/>
      <c r="J108" s="5">
        <f t="shared" ref="J108:J116" si="40">IF(H$12=0,0,H108/H$12)</f>
        <v>0</v>
      </c>
      <c r="K108" s="1"/>
      <c r="L108" s="1">
        <f t="shared" ref="L108:L116" si="41">+D108-H108</f>
        <v>1324.8</v>
      </c>
      <c r="M108" s="1"/>
      <c r="N108" s="5">
        <f t="shared" ref="N108:N116" si="42">IF(H108=0,0,L108/H108)</f>
        <v>0</v>
      </c>
      <c r="O108" s="12"/>
      <c r="P108" s="1">
        <f>SUM(OSRRefP22_2x_0)</f>
        <v>15837.61</v>
      </c>
      <c r="Q108" s="1"/>
      <c r="R108" s="5">
        <f t="shared" ref="R108:R116" si="43">IF(P$12=0,0,P108/P$12)</f>
        <v>6.1558931776121671E-3</v>
      </c>
      <c r="S108" s="1"/>
      <c r="T108" s="1">
        <f>SUM(OSRRefT22_2x_0)</f>
        <v>22853.68</v>
      </c>
      <c r="U108" s="1"/>
      <c r="V108" s="5">
        <f t="shared" ref="V108:V116" si="44">IF(T$12=0,0,T108/T$12)</f>
        <v>7.7833115079806395E-3</v>
      </c>
      <c r="W108" s="1"/>
      <c r="X108" s="1">
        <f t="shared" ref="X108:X116" si="45">+P108-T108</f>
        <v>-7016.07</v>
      </c>
      <c r="Y108" s="1"/>
      <c r="Z108" s="5">
        <f t="shared" ref="Z108:Z116" si="46">IF(T108=0,0,X108/T108)</f>
        <v>-0.30699957293529967</v>
      </c>
    </row>
    <row r="109" spans="1:26" s="23" customFormat="1" hidden="1" outlineLevel="2" x14ac:dyDescent="0.25">
      <c r="A109" s="25"/>
      <c r="B109" s="10" t="str">
        <f>CONCATENATE("          ", "6362", " - ", "ADVERTISING EXPENSE")</f>
        <v xml:space="preserve">          6362 - ADVERTISING EXPENSE</v>
      </c>
      <c r="C109" s="10"/>
      <c r="D109" s="6">
        <v>1324.8</v>
      </c>
      <c r="E109" s="2"/>
      <c r="F109" s="7">
        <f t="shared" si="39"/>
        <v>5.1822875919261451E-3</v>
      </c>
      <c r="G109" s="2"/>
      <c r="H109" s="6"/>
      <c r="I109" s="2"/>
      <c r="J109" s="7">
        <f t="shared" si="40"/>
        <v>0</v>
      </c>
      <c r="K109" s="2"/>
      <c r="L109" s="6">
        <f t="shared" si="41"/>
        <v>1324.8</v>
      </c>
      <c r="M109" s="2"/>
      <c r="N109" s="7">
        <f t="shared" si="42"/>
        <v>0</v>
      </c>
      <c r="O109" s="10"/>
      <c r="P109" s="6">
        <v>15837.61</v>
      </c>
      <c r="Q109" s="2"/>
      <c r="R109" s="7">
        <f t="shared" si="43"/>
        <v>6.1558931776121671E-3</v>
      </c>
      <c r="S109" s="2"/>
      <c r="T109" s="6">
        <v>22853.68</v>
      </c>
      <c r="U109" s="2"/>
      <c r="V109" s="7">
        <f t="shared" si="44"/>
        <v>7.7833115079806395E-3</v>
      </c>
      <c r="W109" s="2"/>
      <c r="X109" s="6">
        <f t="shared" si="45"/>
        <v>-7016.07</v>
      </c>
      <c r="Y109" s="2"/>
      <c r="Z109" s="7">
        <f t="shared" si="46"/>
        <v>-0.30699957293529967</v>
      </c>
    </row>
    <row r="110" spans="1:26" s="27" customFormat="1" outlineLevel="1" collapsed="1" x14ac:dyDescent="0.25">
      <c r="A110" s="26"/>
      <c r="B110" s="12" t="str">
        <f>CONCATENATE("     ","Bad Debts/Over/Short                              ")</f>
        <v xml:space="preserve">     Bad Debts/Over/Short                              </v>
      </c>
      <c r="C110" s="12"/>
      <c r="D110" s="1">
        <f>SUM(OSRRefD22_3x_0)</f>
        <v>-7.0000000000000007E-2</v>
      </c>
      <c r="E110" s="1"/>
      <c r="F110" s="5">
        <f t="shared" si="39"/>
        <v>-2.7382256297918949E-7</v>
      </c>
      <c r="G110" s="1"/>
      <c r="H110" s="1">
        <f>SUM(OSRRefH22_3x_0)</f>
        <v>0</v>
      </c>
      <c r="I110" s="1"/>
      <c r="J110" s="5">
        <f t="shared" si="40"/>
        <v>0</v>
      </c>
      <c r="K110" s="1"/>
      <c r="L110" s="1">
        <f t="shared" si="41"/>
        <v>-7.0000000000000007E-2</v>
      </c>
      <c r="M110" s="1"/>
      <c r="N110" s="5">
        <f t="shared" si="42"/>
        <v>0</v>
      </c>
      <c r="O110" s="12"/>
      <c r="P110" s="1">
        <f>SUM(OSRRefP22_3x_0)</f>
        <v>-24.57</v>
      </c>
      <c r="Q110" s="1"/>
      <c r="R110" s="5">
        <f t="shared" si="43"/>
        <v>-9.5500707097807651E-6</v>
      </c>
      <c r="S110" s="1"/>
      <c r="T110" s="1">
        <f>SUM(OSRRefT22_3x_0)</f>
        <v>44.45</v>
      </c>
      <c r="U110" s="1"/>
      <c r="V110" s="5">
        <f t="shared" si="44"/>
        <v>1.5138402066089113E-5</v>
      </c>
      <c r="W110" s="1"/>
      <c r="X110" s="1">
        <f t="shared" si="45"/>
        <v>-69.02000000000001</v>
      </c>
      <c r="Y110" s="1"/>
      <c r="Z110" s="5">
        <f t="shared" si="46"/>
        <v>-1.5527559055118112</v>
      </c>
    </row>
    <row r="111" spans="1:26" s="23" customFormat="1" hidden="1" outlineLevel="2" x14ac:dyDescent="0.25">
      <c r="A111" s="25"/>
      <c r="B111" s="10" t="str">
        <f>CONCATENATE("          ", "6272", " - ", "CASH (OVER/SHORT)")</f>
        <v xml:space="preserve">          6272 - CASH (OVER/SHORT)</v>
      </c>
      <c r="C111" s="10"/>
      <c r="D111" s="6">
        <v>-7.0000000000000007E-2</v>
      </c>
      <c r="E111" s="2"/>
      <c r="F111" s="7">
        <f t="shared" si="39"/>
        <v>-2.7382256297918949E-7</v>
      </c>
      <c r="G111" s="2"/>
      <c r="H111" s="6"/>
      <c r="I111" s="2"/>
      <c r="J111" s="7">
        <f t="shared" si="40"/>
        <v>0</v>
      </c>
      <c r="K111" s="2"/>
      <c r="L111" s="6">
        <f t="shared" si="41"/>
        <v>-7.0000000000000007E-2</v>
      </c>
      <c r="M111" s="2"/>
      <c r="N111" s="7">
        <f t="shared" si="42"/>
        <v>0</v>
      </c>
      <c r="O111" s="10"/>
      <c r="P111" s="6">
        <v>-24.57</v>
      </c>
      <c r="Q111" s="2"/>
      <c r="R111" s="7">
        <f t="shared" si="43"/>
        <v>-9.5500707097807651E-6</v>
      </c>
      <c r="S111" s="2"/>
      <c r="T111" s="6">
        <v>44.45</v>
      </c>
      <c r="U111" s="2"/>
      <c r="V111" s="7">
        <f t="shared" si="44"/>
        <v>1.5138402066089113E-5</v>
      </c>
      <c r="W111" s="2"/>
      <c r="X111" s="6">
        <f t="shared" si="45"/>
        <v>-69.02000000000001</v>
      </c>
      <c r="Y111" s="2"/>
      <c r="Z111" s="7">
        <f t="shared" si="46"/>
        <v>-1.5527559055118112</v>
      </c>
    </row>
    <row r="112" spans="1:26" s="27" customFormat="1" outlineLevel="1" collapsed="1" x14ac:dyDescent="0.25">
      <c r="A112" s="26"/>
      <c r="B112" s="12" t="str">
        <f>CONCATENATE("     ","Bank/card Fees                                    ")</f>
        <v xml:space="preserve">     Bank/card Fees                                    </v>
      </c>
      <c r="C112" s="12"/>
      <c r="D112" s="1">
        <f>SUM(OSRRefD22_4x_0)</f>
        <v>494.04</v>
      </c>
      <c r="E112" s="1"/>
      <c r="F112" s="5">
        <f t="shared" si="39"/>
        <v>1.9325614144891253E-3</v>
      </c>
      <c r="G112" s="1"/>
      <c r="H112" s="1">
        <f>SUM(OSRRefH22_4x_0)</f>
        <v>5</v>
      </c>
      <c r="I112" s="1"/>
      <c r="J112" s="5">
        <f t="shared" si="40"/>
        <v>2.9623080076339857E-5</v>
      </c>
      <c r="K112" s="1"/>
      <c r="L112" s="1">
        <f t="shared" si="41"/>
        <v>489.04</v>
      </c>
      <c r="M112" s="1"/>
      <c r="N112" s="5">
        <f t="shared" si="42"/>
        <v>97.808000000000007</v>
      </c>
      <c r="O112" s="12"/>
      <c r="P112" s="1">
        <f>SUM(OSRRefP22_4x_0)</f>
        <v>4972.8900000000003</v>
      </c>
      <c r="Q112" s="1"/>
      <c r="R112" s="5">
        <f t="shared" si="43"/>
        <v>1.932903993974834E-3</v>
      </c>
      <c r="S112" s="1"/>
      <c r="T112" s="1">
        <f>SUM(OSRRefT22_4x_0)</f>
        <v>6184.92</v>
      </c>
      <c r="U112" s="1"/>
      <c r="V112" s="5">
        <f t="shared" si="44"/>
        <v>2.1064073274824719E-3</v>
      </c>
      <c r="W112" s="1"/>
      <c r="X112" s="1">
        <f t="shared" si="45"/>
        <v>-1212.0299999999997</v>
      </c>
      <c r="Y112" s="1"/>
      <c r="Z112" s="5">
        <f t="shared" si="46"/>
        <v>-0.19596534797539819</v>
      </c>
    </row>
    <row r="113" spans="1:26" s="23" customFormat="1" hidden="1" outlineLevel="2" x14ac:dyDescent="0.25">
      <c r="A113" s="25"/>
      <c r="B113" s="10" t="str">
        <f>CONCATENATE("          ", "6381", " - ", "BANK/CREDIT CARD FEES")</f>
        <v xml:space="preserve">          6381 - BANK/CREDIT CARD FEES</v>
      </c>
      <c r="C113" s="10"/>
      <c r="D113" s="6">
        <v>494.04</v>
      </c>
      <c r="E113" s="2"/>
      <c r="F113" s="7">
        <f t="shared" si="39"/>
        <v>1.9325614144891253E-3</v>
      </c>
      <c r="G113" s="2"/>
      <c r="H113" s="6">
        <v>5</v>
      </c>
      <c r="I113" s="2"/>
      <c r="J113" s="7">
        <f t="shared" si="40"/>
        <v>2.9623080076339857E-5</v>
      </c>
      <c r="K113" s="2"/>
      <c r="L113" s="6">
        <f t="shared" si="41"/>
        <v>489.04</v>
      </c>
      <c r="M113" s="2"/>
      <c r="N113" s="7">
        <f t="shared" si="42"/>
        <v>97.808000000000007</v>
      </c>
      <c r="O113" s="10"/>
      <c r="P113" s="6">
        <v>4972.8900000000003</v>
      </c>
      <c r="Q113" s="2"/>
      <c r="R113" s="7">
        <f t="shared" si="43"/>
        <v>1.932903993974834E-3</v>
      </c>
      <c r="S113" s="2"/>
      <c r="T113" s="6">
        <v>6184.92</v>
      </c>
      <c r="U113" s="2"/>
      <c r="V113" s="7">
        <f t="shared" si="44"/>
        <v>2.1064073274824719E-3</v>
      </c>
      <c r="W113" s="2"/>
      <c r="X113" s="6">
        <f t="shared" si="45"/>
        <v>-1212.0299999999997</v>
      </c>
      <c r="Y113" s="2"/>
      <c r="Z113" s="7">
        <f t="shared" si="46"/>
        <v>-0.19596534797539819</v>
      </c>
    </row>
    <row r="114" spans="1:26" s="27" customFormat="1" outlineLevel="1" collapsed="1" x14ac:dyDescent="0.25">
      <c r="A114" s="26"/>
      <c r="B114" s="12" t="str">
        <f>CONCATENATE("     ","Discounts and Markdowns                           ")</f>
        <v xml:space="preserve">     Discounts and Markdowns                           </v>
      </c>
      <c r="C114" s="12"/>
      <c r="D114" s="1">
        <f>SUM(OSRRefD22_5x_0)</f>
        <v>0</v>
      </c>
      <c r="E114" s="1"/>
      <c r="F114" s="5">
        <f t="shared" si="39"/>
        <v>0</v>
      </c>
      <c r="G114" s="1"/>
      <c r="H114" s="1">
        <f>SUM(OSRRefH22_5x_0)</f>
        <v>34738.370000000003</v>
      </c>
      <c r="I114" s="1"/>
      <c r="J114" s="5">
        <f t="shared" si="40"/>
        <v>0.20581150324630446</v>
      </c>
      <c r="K114" s="1"/>
      <c r="L114" s="1">
        <f t="shared" si="41"/>
        <v>-34738.370000000003</v>
      </c>
      <c r="M114" s="1"/>
      <c r="N114" s="5">
        <f t="shared" si="42"/>
        <v>-1</v>
      </c>
      <c r="O114" s="12"/>
      <c r="P114" s="1">
        <f>SUM(OSRRefP22_5x_0)</f>
        <v>0</v>
      </c>
      <c r="Q114" s="1"/>
      <c r="R114" s="5">
        <f t="shared" si="43"/>
        <v>0</v>
      </c>
      <c r="S114" s="1"/>
      <c r="T114" s="1">
        <f>SUM(OSRRefT22_5x_0)</f>
        <v>362101.23</v>
      </c>
      <c r="U114" s="1"/>
      <c r="V114" s="5">
        <f t="shared" si="44"/>
        <v>0.12332135001946926</v>
      </c>
      <c r="W114" s="1"/>
      <c r="X114" s="1">
        <f t="shared" si="45"/>
        <v>-362101.23</v>
      </c>
      <c r="Y114" s="1"/>
      <c r="Z114" s="5">
        <f t="shared" si="46"/>
        <v>-1</v>
      </c>
    </row>
    <row r="115" spans="1:26" s="23" customFormat="1" hidden="1" outlineLevel="2" x14ac:dyDescent="0.25">
      <c r="A115" s="25"/>
      <c r="B115" s="10" t="str">
        <f>CONCATENATE("          ", "6382", " - ", "DISCOUNTS/MARK DOWNS")</f>
        <v xml:space="preserve">          6382 - DISCOUNTS/MARK DOWNS</v>
      </c>
      <c r="C115" s="10"/>
      <c r="D115" s="6">
        <v>0</v>
      </c>
      <c r="E115" s="2"/>
      <c r="F115" s="7">
        <f t="shared" si="39"/>
        <v>0</v>
      </c>
      <c r="G115" s="2"/>
      <c r="H115" s="6">
        <v>34738.370000000003</v>
      </c>
      <c r="I115" s="2"/>
      <c r="J115" s="7">
        <f t="shared" si="40"/>
        <v>0.20581150324630446</v>
      </c>
      <c r="K115" s="2"/>
      <c r="L115" s="6">
        <f t="shared" si="41"/>
        <v>-34738.370000000003</v>
      </c>
      <c r="M115" s="2"/>
      <c r="N115" s="7">
        <f t="shared" si="42"/>
        <v>-1</v>
      </c>
      <c r="O115" s="10"/>
      <c r="P115" s="6">
        <v>0</v>
      </c>
      <c r="Q115" s="2"/>
      <c r="R115" s="7">
        <f t="shared" si="43"/>
        <v>0</v>
      </c>
      <c r="S115" s="2"/>
      <c r="T115" s="6">
        <v>362120.62</v>
      </c>
      <c r="U115" s="2"/>
      <c r="V115" s="7">
        <f t="shared" si="44"/>
        <v>0.12332795370037053</v>
      </c>
      <c r="W115" s="2"/>
      <c r="X115" s="6">
        <f t="shared" si="45"/>
        <v>-362120.62</v>
      </c>
      <c r="Y115" s="2"/>
      <c r="Z115" s="7">
        <f t="shared" si="46"/>
        <v>-1</v>
      </c>
    </row>
    <row r="116" spans="1:26" s="23" customFormat="1" hidden="1" outlineLevel="2" x14ac:dyDescent="0.25">
      <c r="A116" s="25"/>
      <c r="B116" s="10" t="str">
        <f>CONCATENATE("          ", "9175", " - ", "EARNED DISCOUNTS")</f>
        <v xml:space="preserve">          9175 - EARNED DISCOUNTS</v>
      </c>
      <c r="C116" s="10"/>
      <c r="D116" s="6">
        <v>0</v>
      </c>
      <c r="E116" s="2"/>
      <c r="F116" s="7">
        <f t="shared" si="39"/>
        <v>0</v>
      </c>
      <c r="G116" s="2"/>
      <c r="H116" s="6"/>
      <c r="I116" s="2"/>
      <c r="J116" s="7">
        <f t="shared" si="40"/>
        <v>0</v>
      </c>
      <c r="K116" s="2"/>
      <c r="L116" s="6">
        <f t="shared" si="41"/>
        <v>0</v>
      </c>
      <c r="M116" s="2"/>
      <c r="N116" s="7">
        <f t="shared" si="42"/>
        <v>0</v>
      </c>
      <c r="O116" s="10"/>
      <c r="P116" s="6">
        <v>0</v>
      </c>
      <c r="Q116" s="2"/>
      <c r="R116" s="7">
        <f t="shared" si="43"/>
        <v>0</v>
      </c>
      <c r="S116" s="2"/>
      <c r="T116" s="6">
        <v>-19.39</v>
      </c>
      <c r="U116" s="2"/>
      <c r="V116" s="7">
        <f t="shared" si="44"/>
        <v>-6.6036809012703687E-6</v>
      </c>
      <c r="W116" s="2"/>
      <c r="X116" s="6">
        <f t="shared" si="45"/>
        <v>19.39</v>
      </c>
      <c r="Y116" s="2"/>
      <c r="Z116" s="7">
        <f t="shared" si="46"/>
        <v>-1</v>
      </c>
    </row>
    <row r="117" spans="1:26" s="27" customFormat="1" outlineLevel="1" collapsed="1" x14ac:dyDescent="0.25">
      <c r="A117" s="26"/>
      <c r="B117" s="12" t="str">
        <f>CONCATENATE("     ","Employees' Appreciation                           ")</f>
        <v xml:space="preserve">     Employees' Appreciation                           </v>
      </c>
      <c r="C117" s="12"/>
      <c r="D117" s="1">
        <f>SUM(OSRRefD22_6x_0)</f>
        <v>0</v>
      </c>
      <c r="E117" s="1"/>
      <c r="F117" s="5">
        <f t="shared" ref="F117:F121" si="47">IF(D$12=0,0,D117/D$12)</f>
        <v>0</v>
      </c>
      <c r="G117" s="1"/>
      <c r="H117" s="1">
        <f>SUM(OSRRefH22_6x_0)</f>
        <v>0</v>
      </c>
      <c r="I117" s="1"/>
      <c r="J117" s="5">
        <f t="shared" ref="J117:J121" si="48">IF(H$12=0,0,H117/H$12)</f>
        <v>0</v>
      </c>
      <c r="K117" s="1"/>
      <c r="L117" s="1">
        <f t="shared" ref="L117:L121" si="49">+D117-H117</f>
        <v>0</v>
      </c>
      <c r="M117" s="1"/>
      <c r="N117" s="5">
        <f t="shared" ref="N117:N121" si="50">IF(H117=0,0,L117/H117)</f>
        <v>0</v>
      </c>
      <c r="O117" s="12"/>
      <c r="P117" s="1">
        <f>SUM(OSRRefP22_6x_0)</f>
        <v>0</v>
      </c>
      <c r="Q117" s="1"/>
      <c r="R117" s="5">
        <f t="shared" ref="R117:R121" si="51">IF(P$12=0,0,P117/P$12)</f>
        <v>0</v>
      </c>
      <c r="S117" s="1"/>
      <c r="T117" s="1">
        <f>SUM(OSRRefT22_6x_0)</f>
        <v>376.37</v>
      </c>
      <c r="U117" s="1"/>
      <c r="V117" s="5">
        <f t="shared" ref="V117:V121" si="52">IF(T$12=0,0,T117/T$12)</f>
        <v>1.281808860655559E-4</v>
      </c>
      <c r="W117" s="1"/>
      <c r="X117" s="1">
        <f t="shared" ref="X117:X121" si="53">+P117-T117</f>
        <v>-376.37</v>
      </c>
      <c r="Y117" s="1"/>
      <c r="Z117" s="5">
        <f t="shared" ref="Z117:Z121" si="54">IF(T117=0,0,X117/T117)</f>
        <v>-1</v>
      </c>
    </row>
    <row r="118" spans="1:26" s="23" customFormat="1" hidden="1" outlineLevel="2" x14ac:dyDescent="0.25">
      <c r="A118" s="25"/>
      <c r="B118" s="10" t="str">
        <f>CONCATENATE("          ", "6277", " - ", "EMPLOYEE APPRECIATION")</f>
        <v xml:space="preserve">          6277 - EMPLOYEE APPRECIATION</v>
      </c>
      <c r="C118" s="10"/>
      <c r="D118" s="6"/>
      <c r="E118" s="2"/>
      <c r="F118" s="7">
        <f t="shared" si="47"/>
        <v>0</v>
      </c>
      <c r="G118" s="2"/>
      <c r="H118" s="6"/>
      <c r="I118" s="2"/>
      <c r="J118" s="7">
        <f t="shared" si="48"/>
        <v>0</v>
      </c>
      <c r="K118" s="2"/>
      <c r="L118" s="6">
        <f t="shared" si="49"/>
        <v>0</v>
      </c>
      <c r="M118" s="2"/>
      <c r="N118" s="7">
        <f t="shared" si="50"/>
        <v>0</v>
      </c>
      <c r="O118" s="10"/>
      <c r="P118" s="6"/>
      <c r="Q118" s="2"/>
      <c r="R118" s="7">
        <f t="shared" si="51"/>
        <v>0</v>
      </c>
      <c r="S118" s="2"/>
      <c r="T118" s="6">
        <v>376.37</v>
      </c>
      <c r="U118" s="2"/>
      <c r="V118" s="7">
        <f t="shared" si="52"/>
        <v>1.281808860655559E-4</v>
      </c>
      <c r="W118" s="2"/>
      <c r="X118" s="6">
        <f t="shared" si="53"/>
        <v>-376.37</v>
      </c>
      <c r="Y118" s="2"/>
      <c r="Z118" s="7">
        <f t="shared" si="54"/>
        <v>-1</v>
      </c>
    </row>
    <row r="119" spans="1:26" s="27" customFormat="1" outlineLevel="1" collapsed="1" x14ac:dyDescent="0.25">
      <c r="A119" s="26"/>
      <c r="B119" s="12" t="str">
        <f>CONCATENATE("     ","Freight out/Postage                               ")</f>
        <v xml:space="preserve">     Freight out/Postage                               </v>
      </c>
      <c r="C119" s="12"/>
      <c r="D119" s="1">
        <f>SUM(OSRRefD22_7x_0)</f>
        <v>9.25</v>
      </c>
      <c r="E119" s="1"/>
      <c r="F119" s="5">
        <f t="shared" si="47"/>
        <v>3.6183695822250034E-5</v>
      </c>
      <c r="G119" s="1"/>
      <c r="H119" s="1">
        <f>SUM(OSRRefH22_7x_0)</f>
        <v>34.229999999999997</v>
      </c>
      <c r="I119" s="1"/>
      <c r="J119" s="5">
        <f t="shared" si="48"/>
        <v>2.0279960620262264E-4</v>
      </c>
      <c r="K119" s="1"/>
      <c r="L119" s="1">
        <f t="shared" si="49"/>
        <v>-24.979999999999997</v>
      </c>
      <c r="M119" s="1"/>
      <c r="N119" s="5">
        <f t="shared" si="50"/>
        <v>-0.72976920829681569</v>
      </c>
      <c r="O119" s="12"/>
      <c r="P119" s="1">
        <f>SUM(OSRRefP22_7x_0)</f>
        <v>-137.59999999999997</v>
      </c>
      <c r="Q119" s="1"/>
      <c r="R119" s="5">
        <f t="shared" si="51"/>
        <v>-5.3483505480904878E-5</v>
      </c>
      <c r="S119" s="1"/>
      <c r="T119" s="1">
        <f>SUM(OSRRefT22_7x_0)</f>
        <v>163.83000000000001</v>
      </c>
      <c r="U119" s="1"/>
      <c r="V119" s="5">
        <f t="shared" si="52"/>
        <v>5.5795824757871302E-5</v>
      </c>
      <c r="W119" s="1"/>
      <c r="X119" s="1">
        <f t="shared" si="53"/>
        <v>-301.42999999999995</v>
      </c>
      <c r="Y119" s="1"/>
      <c r="Z119" s="5">
        <f t="shared" si="54"/>
        <v>-1.8398950131233591</v>
      </c>
    </row>
    <row r="120" spans="1:26" s="23" customFormat="1" hidden="1" outlineLevel="2" x14ac:dyDescent="0.25">
      <c r="A120" s="25"/>
      <c r="B120" s="10" t="str">
        <f>CONCATENATE("          ", "6305", " - ", "FREIGHT OUT")</f>
        <v xml:space="preserve">          6305 - FREIGHT OUT</v>
      </c>
      <c r="C120" s="10"/>
      <c r="D120" s="6">
        <v>9.25</v>
      </c>
      <c r="E120" s="2"/>
      <c r="F120" s="7">
        <f t="shared" si="47"/>
        <v>3.6183695822250034E-5</v>
      </c>
      <c r="G120" s="2"/>
      <c r="H120" s="6">
        <v>34.229999999999997</v>
      </c>
      <c r="I120" s="2"/>
      <c r="J120" s="7">
        <f t="shared" si="48"/>
        <v>2.0279960620262264E-4</v>
      </c>
      <c r="K120" s="2"/>
      <c r="L120" s="6">
        <f t="shared" si="49"/>
        <v>-24.979999999999997</v>
      </c>
      <c r="M120" s="2"/>
      <c r="N120" s="7">
        <f t="shared" si="50"/>
        <v>-0.72976920829681569</v>
      </c>
      <c r="O120" s="10"/>
      <c r="P120" s="6">
        <v>151.74</v>
      </c>
      <c r="Q120" s="2"/>
      <c r="R120" s="7">
        <f t="shared" si="51"/>
        <v>5.8979557570294398E-5</v>
      </c>
      <c r="S120" s="2"/>
      <c r="T120" s="6">
        <v>163.33000000000001</v>
      </c>
      <c r="U120" s="2"/>
      <c r="V120" s="7">
        <f t="shared" si="52"/>
        <v>5.5625539020344991E-5</v>
      </c>
      <c r="W120" s="2"/>
      <c r="X120" s="6">
        <f t="shared" si="53"/>
        <v>-11.590000000000003</v>
      </c>
      <c r="Y120" s="2"/>
      <c r="Z120" s="7">
        <f t="shared" si="54"/>
        <v>-7.0960631849629599E-2</v>
      </c>
    </row>
    <row r="121" spans="1:26" s="23" customFormat="1" hidden="1" outlineLevel="2" x14ac:dyDescent="0.25">
      <c r="A121" s="25"/>
      <c r="B121" s="10" t="str">
        <f>CONCATENATE("          ", "6307", " - ", "POSTAGE")</f>
        <v xml:space="preserve">          6307 - POSTAGE</v>
      </c>
      <c r="C121" s="10"/>
      <c r="D121" s="6"/>
      <c r="E121" s="2"/>
      <c r="F121" s="7">
        <f t="shared" si="47"/>
        <v>0</v>
      </c>
      <c r="G121" s="2"/>
      <c r="H121" s="6"/>
      <c r="I121" s="2"/>
      <c r="J121" s="7">
        <f t="shared" si="48"/>
        <v>0</v>
      </c>
      <c r="K121" s="2"/>
      <c r="L121" s="6">
        <f t="shared" si="49"/>
        <v>0</v>
      </c>
      <c r="M121" s="2"/>
      <c r="N121" s="7">
        <f t="shared" si="50"/>
        <v>0</v>
      </c>
      <c r="O121" s="10"/>
      <c r="P121" s="6">
        <v>-289.33999999999997</v>
      </c>
      <c r="Q121" s="2"/>
      <c r="R121" s="7">
        <f t="shared" si="51"/>
        <v>-1.1246306305119927E-4</v>
      </c>
      <c r="S121" s="2"/>
      <c r="T121" s="6">
        <v>0.5</v>
      </c>
      <c r="U121" s="2"/>
      <c r="V121" s="7">
        <f t="shared" si="52"/>
        <v>1.7028573752631172E-7</v>
      </c>
      <c r="W121" s="2"/>
      <c r="X121" s="6">
        <f t="shared" si="53"/>
        <v>-289.83999999999997</v>
      </c>
      <c r="Y121" s="2"/>
      <c r="Z121" s="7">
        <f t="shared" si="54"/>
        <v>-579.67999999999995</v>
      </c>
    </row>
    <row r="122" spans="1:26" s="27" customFormat="1" outlineLevel="1" collapsed="1" x14ac:dyDescent="0.25">
      <c r="A122" s="26"/>
      <c r="B122" s="12" t="str">
        <f>CONCATENATE("     ","General                                           ")</f>
        <v xml:space="preserve">     General                                           </v>
      </c>
      <c r="C122" s="12"/>
      <c r="D122" s="1">
        <f>SUM(OSRRefD22_8x_0)</f>
        <v>0</v>
      </c>
      <c r="E122" s="1"/>
      <c r="F122" s="5">
        <f t="shared" ref="F122:F139" si="55">IF(D$12=0,0,D122/D$12)</f>
        <v>0</v>
      </c>
      <c r="G122" s="1"/>
      <c r="H122" s="1">
        <f>SUM(OSRRefH22_8x_0)</f>
        <v>0</v>
      </c>
      <c r="I122" s="1"/>
      <c r="J122" s="5">
        <f t="shared" ref="J122:J139" si="56">IF(H$12=0,0,H122/H$12)</f>
        <v>0</v>
      </c>
      <c r="K122" s="1"/>
      <c r="L122" s="1">
        <f t="shared" ref="L122:L139" si="57">+D122-H122</f>
        <v>0</v>
      </c>
      <c r="M122" s="1"/>
      <c r="N122" s="5">
        <f t="shared" ref="N122:N139" si="58">IF(H122=0,0,L122/H122)</f>
        <v>0</v>
      </c>
      <c r="O122" s="12"/>
      <c r="P122" s="1">
        <f>SUM(OSRRefP22_8x_0)</f>
        <v>1380.29</v>
      </c>
      <c r="Q122" s="1"/>
      <c r="R122" s="5">
        <f t="shared" ref="R122:R139" si="59">IF(P$12=0,0,P122/P$12)</f>
        <v>5.3650252747266137E-4</v>
      </c>
      <c r="S122" s="1"/>
      <c r="T122" s="1">
        <f>SUM(OSRRefT22_8x_0)</f>
        <v>1392.43</v>
      </c>
      <c r="U122" s="1"/>
      <c r="V122" s="5">
        <f t="shared" ref="V122:V139" si="60">IF(T$12=0,0,T122/T$12)</f>
        <v>4.742219390075245E-4</v>
      </c>
      <c r="W122" s="1"/>
      <c r="X122" s="1">
        <f t="shared" ref="X122:X139" si="61">+P122-T122</f>
        <v>-12.1400000000001</v>
      </c>
      <c r="Y122" s="1"/>
      <c r="Z122" s="5">
        <f t="shared" ref="Z122:Z139" si="62">IF(T122=0,0,X122/T122)</f>
        <v>-8.7185711310443607E-3</v>
      </c>
    </row>
    <row r="123" spans="1:26" s="23" customFormat="1" hidden="1" outlineLevel="2" x14ac:dyDescent="0.25">
      <c r="A123" s="25"/>
      <c r="B123" s="10" t="str">
        <f>CONCATENATE("          ", "6279", " - ", "GENERAL EXPENSE")</f>
        <v xml:space="preserve">          6279 - GENERAL EXPENSE</v>
      </c>
      <c r="C123" s="10"/>
      <c r="D123" s="6"/>
      <c r="E123" s="2"/>
      <c r="F123" s="7">
        <f t="shared" si="55"/>
        <v>0</v>
      </c>
      <c r="G123" s="2"/>
      <c r="H123" s="6"/>
      <c r="I123" s="2"/>
      <c r="J123" s="7">
        <f t="shared" si="56"/>
        <v>0</v>
      </c>
      <c r="K123" s="2"/>
      <c r="L123" s="6">
        <f t="shared" si="57"/>
        <v>0</v>
      </c>
      <c r="M123" s="2"/>
      <c r="N123" s="7">
        <f t="shared" si="58"/>
        <v>0</v>
      </c>
      <c r="O123" s="10"/>
      <c r="P123" s="6">
        <v>1380.29</v>
      </c>
      <c r="Q123" s="2"/>
      <c r="R123" s="7">
        <f t="shared" si="59"/>
        <v>5.3650252747266137E-4</v>
      </c>
      <c r="S123" s="2"/>
      <c r="T123" s="6">
        <v>1392.43</v>
      </c>
      <c r="U123" s="2"/>
      <c r="V123" s="7">
        <f t="shared" si="60"/>
        <v>4.742219390075245E-4</v>
      </c>
      <c r="W123" s="2"/>
      <c r="X123" s="6">
        <f t="shared" si="61"/>
        <v>-12.1400000000001</v>
      </c>
      <c r="Y123" s="2"/>
      <c r="Z123" s="7">
        <f t="shared" si="62"/>
        <v>-8.7185711310443607E-3</v>
      </c>
    </row>
    <row r="124" spans="1:26" s="27" customFormat="1" outlineLevel="1" collapsed="1" x14ac:dyDescent="0.25">
      <c r="A124" s="26"/>
      <c r="B124" s="12" t="str">
        <f>CONCATENATE("     ","Insurance                                         ")</f>
        <v xml:space="preserve">     Insurance                                         </v>
      </c>
      <c r="C124" s="12"/>
      <c r="D124" s="1">
        <f>SUM(OSRRefD22_9x_0)</f>
        <v>346.03</v>
      </c>
      <c r="E124" s="1"/>
      <c r="F124" s="5">
        <f t="shared" si="55"/>
        <v>1.3535831638241274E-3</v>
      </c>
      <c r="G124" s="1"/>
      <c r="H124" s="1">
        <f>SUM(OSRRefH22_9x_0)</f>
        <v>161.18</v>
      </c>
      <c r="I124" s="1"/>
      <c r="J124" s="5">
        <f t="shared" si="56"/>
        <v>9.5492960934089174E-4</v>
      </c>
      <c r="K124" s="1"/>
      <c r="L124" s="1">
        <f t="shared" si="57"/>
        <v>184.84999999999997</v>
      </c>
      <c r="M124" s="1"/>
      <c r="N124" s="5">
        <f t="shared" si="58"/>
        <v>1.1468544484427345</v>
      </c>
      <c r="O124" s="12"/>
      <c r="P124" s="1">
        <f>SUM(OSRRefP22_9x_0)</f>
        <v>2119.0100000000002</v>
      </c>
      <c r="Q124" s="1"/>
      <c r="R124" s="5">
        <f t="shared" si="59"/>
        <v>8.2363432375793817E-4</v>
      </c>
      <c r="S124" s="1"/>
      <c r="T124" s="1">
        <f>SUM(OSRRefT22_9x_0)</f>
        <v>1934.16</v>
      </c>
      <c r="U124" s="1"/>
      <c r="V124" s="5">
        <f t="shared" si="60"/>
        <v>6.5871972418778222E-4</v>
      </c>
      <c r="W124" s="1"/>
      <c r="X124" s="1">
        <f t="shared" si="61"/>
        <v>184.85000000000014</v>
      </c>
      <c r="Y124" s="1"/>
      <c r="Z124" s="5">
        <f t="shared" si="62"/>
        <v>9.5571204036894633E-2</v>
      </c>
    </row>
    <row r="125" spans="1:26" s="23" customFormat="1" hidden="1" outlineLevel="2" x14ac:dyDescent="0.25">
      <c r="A125" s="25"/>
      <c r="B125" s="10" t="str">
        <f>CONCATENATE("          ", "6314", " - ", "LIABILITY INSURANCE")</f>
        <v xml:space="preserve">          6314 - LIABILITY INSURANCE</v>
      </c>
      <c r="C125" s="10"/>
      <c r="D125" s="6">
        <v>346.03</v>
      </c>
      <c r="E125" s="2"/>
      <c r="F125" s="7">
        <f t="shared" si="55"/>
        <v>1.3535831638241274E-3</v>
      </c>
      <c r="G125" s="2"/>
      <c r="H125" s="6">
        <v>161.18</v>
      </c>
      <c r="I125" s="2"/>
      <c r="J125" s="7">
        <f t="shared" si="56"/>
        <v>9.5492960934089174E-4</v>
      </c>
      <c r="K125" s="2"/>
      <c r="L125" s="6">
        <f t="shared" si="57"/>
        <v>184.84999999999997</v>
      </c>
      <c r="M125" s="2"/>
      <c r="N125" s="7">
        <f t="shared" si="58"/>
        <v>1.1468544484427345</v>
      </c>
      <c r="O125" s="10"/>
      <c r="P125" s="6">
        <v>2119.0100000000002</v>
      </c>
      <c r="Q125" s="2"/>
      <c r="R125" s="7">
        <f t="shared" si="59"/>
        <v>8.2363432375793817E-4</v>
      </c>
      <c r="S125" s="2"/>
      <c r="T125" s="6">
        <v>1934.16</v>
      </c>
      <c r="U125" s="2"/>
      <c r="V125" s="7">
        <f t="shared" si="60"/>
        <v>6.5871972418778222E-4</v>
      </c>
      <c r="W125" s="2"/>
      <c r="X125" s="6">
        <f t="shared" si="61"/>
        <v>184.85000000000014</v>
      </c>
      <c r="Y125" s="2"/>
      <c r="Z125" s="7">
        <f t="shared" si="62"/>
        <v>9.5571204036894633E-2</v>
      </c>
    </row>
    <row r="126" spans="1:26" s="27" customFormat="1" outlineLevel="1" collapsed="1" x14ac:dyDescent="0.25">
      <c r="A126" s="26"/>
      <c r="B126" s="12" t="str">
        <f>CONCATENATE("     ","Inventory Adjustment                              ")</f>
        <v xml:space="preserve">     Inventory Adjustment                              </v>
      </c>
      <c r="C126" s="12"/>
      <c r="D126" s="1">
        <f>SUM(OSRRefD22_10x_0)</f>
        <v>-12100</v>
      </c>
      <c r="E126" s="1"/>
      <c r="F126" s="5">
        <f t="shared" si="55"/>
        <v>-4.7332185886402749E-2</v>
      </c>
      <c r="G126" s="1"/>
      <c r="H126" s="1">
        <f>SUM(OSRRefH22_10x_0)</f>
        <v>102388</v>
      </c>
      <c r="I126" s="1"/>
      <c r="J126" s="5">
        <f t="shared" si="56"/>
        <v>0.60660958457125702</v>
      </c>
      <c r="K126" s="1"/>
      <c r="L126" s="1">
        <f t="shared" si="57"/>
        <v>-114488</v>
      </c>
      <c r="M126" s="1"/>
      <c r="N126" s="5">
        <f t="shared" si="58"/>
        <v>-1.1181779114740009</v>
      </c>
      <c r="O126" s="12"/>
      <c r="P126" s="1">
        <f>SUM(OSRRefP22_10x_0)</f>
        <v>0</v>
      </c>
      <c r="Q126" s="1"/>
      <c r="R126" s="5">
        <f t="shared" si="59"/>
        <v>0</v>
      </c>
      <c r="S126" s="1"/>
      <c r="T126" s="1">
        <f>SUM(OSRRefT22_10x_0)</f>
        <v>137938</v>
      </c>
      <c r="U126" s="1"/>
      <c r="V126" s="5">
        <f t="shared" si="60"/>
        <v>4.6977748125808773E-2</v>
      </c>
      <c r="W126" s="1"/>
      <c r="X126" s="1">
        <f t="shared" si="61"/>
        <v>-137938</v>
      </c>
      <c r="Y126" s="1"/>
      <c r="Z126" s="5">
        <f t="shared" si="62"/>
        <v>-1</v>
      </c>
    </row>
    <row r="127" spans="1:26" s="23" customFormat="1" hidden="1" outlineLevel="2" x14ac:dyDescent="0.25">
      <c r="A127" s="25"/>
      <c r="B127" s="10" t="str">
        <f>CONCATENATE("          ", "6408", " - ", "INVENTORY ADJUSTMENT")</f>
        <v xml:space="preserve">          6408 - INVENTORY ADJUSTMENT</v>
      </c>
      <c r="C127" s="10"/>
      <c r="D127" s="6">
        <v>-12100</v>
      </c>
      <c r="E127" s="2"/>
      <c r="F127" s="7">
        <f t="shared" si="55"/>
        <v>-4.7332185886402749E-2</v>
      </c>
      <c r="G127" s="2"/>
      <c r="H127" s="6">
        <v>-35550</v>
      </c>
      <c r="I127" s="2"/>
      <c r="J127" s="7">
        <f t="shared" si="56"/>
        <v>-0.2106200993427764</v>
      </c>
      <c r="K127" s="2"/>
      <c r="L127" s="6">
        <f t="shared" si="57"/>
        <v>23450</v>
      </c>
      <c r="M127" s="2"/>
      <c r="N127" s="7">
        <f t="shared" si="58"/>
        <v>-0.65963431786216598</v>
      </c>
      <c r="O127" s="10"/>
      <c r="P127" s="6">
        <v>0</v>
      </c>
      <c r="Q127" s="2"/>
      <c r="R127" s="7">
        <f t="shared" si="59"/>
        <v>0</v>
      </c>
      <c r="S127" s="2"/>
      <c r="T127" s="6">
        <v>0</v>
      </c>
      <c r="U127" s="2"/>
      <c r="V127" s="7">
        <f t="shared" si="60"/>
        <v>0</v>
      </c>
      <c r="W127" s="2"/>
      <c r="X127" s="6">
        <f t="shared" si="61"/>
        <v>0</v>
      </c>
      <c r="Y127" s="2"/>
      <c r="Z127" s="7">
        <f t="shared" si="62"/>
        <v>0</v>
      </c>
    </row>
    <row r="128" spans="1:26" s="23" customFormat="1" hidden="1" outlineLevel="2" x14ac:dyDescent="0.25">
      <c r="A128" s="25"/>
      <c r="B128" s="10" t="str">
        <f>CONCATENATE("          ", "7726", " - ", "INV. SHRINKAGE-WRITING INSTRUM")</f>
        <v xml:space="preserve">          7726 - INV. SHRINKAGE-WRITING INSTRUM</v>
      </c>
      <c r="C128" s="10"/>
      <c r="D128" s="6"/>
      <c r="E128" s="2"/>
      <c r="F128" s="7">
        <f t="shared" si="55"/>
        <v>0</v>
      </c>
      <c r="G128" s="2"/>
      <c r="H128" s="6">
        <v>2342</v>
      </c>
      <c r="I128" s="2"/>
      <c r="J128" s="7">
        <f t="shared" si="56"/>
        <v>1.387545070775759E-2</v>
      </c>
      <c r="K128" s="2"/>
      <c r="L128" s="6">
        <f t="shared" si="57"/>
        <v>-2342</v>
      </c>
      <c r="M128" s="2"/>
      <c r="N128" s="7">
        <f t="shared" si="58"/>
        <v>-1</v>
      </c>
      <c r="O128" s="10"/>
      <c r="P128" s="6"/>
      <c r="Q128" s="2"/>
      <c r="R128" s="7">
        <f t="shared" si="59"/>
        <v>0</v>
      </c>
      <c r="S128" s="2"/>
      <c r="T128" s="6">
        <v>2342</v>
      </c>
      <c r="U128" s="2"/>
      <c r="V128" s="7">
        <f t="shared" si="60"/>
        <v>7.9761839457324413E-4</v>
      </c>
      <c r="W128" s="2"/>
      <c r="X128" s="6">
        <f t="shared" si="61"/>
        <v>-2342</v>
      </c>
      <c r="Y128" s="2"/>
      <c r="Z128" s="7">
        <f t="shared" si="62"/>
        <v>-1</v>
      </c>
    </row>
    <row r="129" spans="1:26" s="23" customFormat="1" hidden="1" outlineLevel="2" x14ac:dyDescent="0.25">
      <c r="A129" s="25"/>
      <c r="B129" s="10" t="str">
        <f>CONCATENATE("          ", "7727", " - ", "INV. SHRINKAGE-SCHOOL SUPPLIES")</f>
        <v xml:space="preserve">          7727 - INV. SHRINKAGE-SCHOOL SUPPLIES</v>
      </c>
      <c r="C129" s="10"/>
      <c r="D129" s="6"/>
      <c r="E129" s="2"/>
      <c r="F129" s="7">
        <f t="shared" si="55"/>
        <v>0</v>
      </c>
      <c r="G129" s="2"/>
      <c r="H129" s="6">
        <v>384</v>
      </c>
      <c r="I129" s="2"/>
      <c r="J129" s="7">
        <f t="shared" si="56"/>
        <v>2.2750525498629009E-3</v>
      </c>
      <c r="K129" s="2"/>
      <c r="L129" s="6">
        <f t="shared" si="57"/>
        <v>-384</v>
      </c>
      <c r="M129" s="2"/>
      <c r="N129" s="7">
        <f t="shared" si="58"/>
        <v>-1</v>
      </c>
      <c r="O129" s="10"/>
      <c r="P129" s="6"/>
      <c r="Q129" s="2"/>
      <c r="R129" s="7">
        <f t="shared" si="59"/>
        <v>0</v>
      </c>
      <c r="S129" s="2"/>
      <c r="T129" s="6">
        <v>384</v>
      </c>
      <c r="U129" s="2"/>
      <c r="V129" s="7">
        <f t="shared" si="60"/>
        <v>1.3077944642020739E-4</v>
      </c>
      <c r="W129" s="2"/>
      <c r="X129" s="6">
        <f t="shared" si="61"/>
        <v>-384</v>
      </c>
      <c r="Y129" s="2"/>
      <c r="Z129" s="7">
        <f t="shared" si="62"/>
        <v>-1</v>
      </c>
    </row>
    <row r="130" spans="1:26" s="23" customFormat="1" hidden="1" outlineLevel="2" x14ac:dyDescent="0.25">
      <c r="A130" s="25"/>
      <c r="B130" s="10" t="str">
        <f>CONCATENATE("          ", "7737", " - ", "INV. SHRINKAGE-WATER")</f>
        <v xml:space="preserve">          7737 - INV. SHRINKAGE-WATER</v>
      </c>
      <c r="C130" s="10"/>
      <c r="D130" s="6"/>
      <c r="E130" s="2"/>
      <c r="F130" s="7">
        <f t="shared" si="55"/>
        <v>0</v>
      </c>
      <c r="G130" s="2"/>
      <c r="H130" s="6">
        <v>-69</v>
      </c>
      <c r="I130" s="2"/>
      <c r="J130" s="7">
        <f t="shared" si="56"/>
        <v>-4.0879850505349001E-4</v>
      </c>
      <c r="K130" s="2"/>
      <c r="L130" s="6">
        <f t="shared" si="57"/>
        <v>69</v>
      </c>
      <c r="M130" s="2"/>
      <c r="N130" s="7">
        <f t="shared" si="58"/>
        <v>-1</v>
      </c>
      <c r="O130" s="10"/>
      <c r="P130" s="6"/>
      <c r="Q130" s="2"/>
      <c r="R130" s="7">
        <f t="shared" si="59"/>
        <v>0</v>
      </c>
      <c r="S130" s="2"/>
      <c r="T130" s="6">
        <v>-69</v>
      </c>
      <c r="U130" s="2"/>
      <c r="V130" s="7">
        <f t="shared" si="60"/>
        <v>-2.3499431778631017E-5</v>
      </c>
      <c r="W130" s="2"/>
      <c r="X130" s="6">
        <f t="shared" si="61"/>
        <v>69</v>
      </c>
      <c r="Y130" s="2"/>
      <c r="Z130" s="7">
        <f t="shared" si="62"/>
        <v>-1</v>
      </c>
    </row>
    <row r="131" spans="1:26" s="23" customFormat="1" hidden="1" outlineLevel="2" x14ac:dyDescent="0.25">
      <c r="A131" s="25"/>
      <c r="B131" s="10" t="str">
        <f>CONCATENATE("          ", "7740", " - ", "INV. SHRINKAGE-LOGO CLOTHING")</f>
        <v xml:space="preserve">          7740 - INV. SHRINKAGE-LOGO CLOTHING</v>
      </c>
      <c r="C131" s="10"/>
      <c r="D131" s="6"/>
      <c r="E131" s="2"/>
      <c r="F131" s="7">
        <f t="shared" si="55"/>
        <v>0</v>
      </c>
      <c r="G131" s="2"/>
      <c r="H131" s="6">
        <v>62007</v>
      </c>
      <c r="I131" s="2"/>
      <c r="J131" s="7">
        <f t="shared" si="56"/>
        <v>0.36736766525872111</v>
      </c>
      <c r="K131" s="2"/>
      <c r="L131" s="6">
        <f t="shared" si="57"/>
        <v>-62007</v>
      </c>
      <c r="M131" s="2"/>
      <c r="N131" s="7">
        <f t="shared" si="58"/>
        <v>-1</v>
      </c>
      <c r="O131" s="10"/>
      <c r="P131" s="6"/>
      <c r="Q131" s="2"/>
      <c r="R131" s="7">
        <f t="shared" si="59"/>
        <v>0</v>
      </c>
      <c r="S131" s="2"/>
      <c r="T131" s="6">
        <v>62007</v>
      </c>
      <c r="U131" s="2"/>
      <c r="V131" s="7">
        <f t="shared" si="60"/>
        <v>2.1117815453588023E-2</v>
      </c>
      <c r="W131" s="2"/>
      <c r="X131" s="6">
        <f t="shared" si="61"/>
        <v>-62007</v>
      </c>
      <c r="Y131" s="2"/>
      <c r="Z131" s="7">
        <f t="shared" si="62"/>
        <v>-1</v>
      </c>
    </row>
    <row r="132" spans="1:26" s="23" customFormat="1" hidden="1" outlineLevel="2" x14ac:dyDescent="0.25">
      <c r="A132" s="25"/>
      <c r="B132" s="10" t="str">
        <f>CONCATENATE("          ", "7741", " - ", "INV. SHRINKAGE-LOGO GIFTS")</f>
        <v xml:space="preserve">          7741 - INV. SHRINKAGE-LOGO GIFTS</v>
      </c>
      <c r="C132" s="10"/>
      <c r="D132" s="6"/>
      <c r="E132" s="2"/>
      <c r="F132" s="7">
        <f t="shared" si="55"/>
        <v>0</v>
      </c>
      <c r="G132" s="2"/>
      <c r="H132" s="6">
        <v>31201</v>
      </c>
      <c r="I132" s="2"/>
      <c r="J132" s="7">
        <f t="shared" si="56"/>
        <v>0.18485394429237598</v>
      </c>
      <c r="K132" s="2"/>
      <c r="L132" s="6">
        <f t="shared" si="57"/>
        <v>-31201</v>
      </c>
      <c r="M132" s="2"/>
      <c r="N132" s="7">
        <f t="shared" si="58"/>
        <v>-1</v>
      </c>
      <c r="O132" s="10"/>
      <c r="P132" s="6">
        <v>0</v>
      </c>
      <c r="Q132" s="2"/>
      <c r="R132" s="7">
        <f t="shared" si="59"/>
        <v>0</v>
      </c>
      <c r="S132" s="2"/>
      <c r="T132" s="6">
        <v>31201</v>
      </c>
      <c r="U132" s="2"/>
      <c r="V132" s="7">
        <f t="shared" si="60"/>
        <v>1.0626170593116904E-2</v>
      </c>
      <c r="W132" s="2"/>
      <c r="X132" s="6">
        <f t="shared" si="61"/>
        <v>-31201</v>
      </c>
      <c r="Y132" s="2"/>
      <c r="Z132" s="7">
        <f t="shared" si="62"/>
        <v>-1</v>
      </c>
    </row>
    <row r="133" spans="1:26" s="23" customFormat="1" hidden="1" outlineLevel="2" x14ac:dyDescent="0.25">
      <c r="A133" s="25"/>
      <c r="B133" s="10" t="str">
        <f>CONCATENATE("          ", "7742", " - ", "INV. SHRINKAGE-EVERYDAY GIFTS")</f>
        <v xml:space="preserve">          7742 - INV. SHRINKAGE-EVERYDAY GIFTS</v>
      </c>
      <c r="C133" s="10"/>
      <c r="D133" s="6"/>
      <c r="E133" s="2"/>
      <c r="F133" s="7">
        <f t="shared" si="55"/>
        <v>0</v>
      </c>
      <c r="G133" s="2"/>
      <c r="H133" s="6">
        <v>26750</v>
      </c>
      <c r="I133" s="2"/>
      <c r="J133" s="7">
        <f t="shared" si="56"/>
        <v>0.15848347840841823</v>
      </c>
      <c r="K133" s="2"/>
      <c r="L133" s="6">
        <f t="shared" si="57"/>
        <v>-26750</v>
      </c>
      <c r="M133" s="2"/>
      <c r="N133" s="7">
        <f t="shared" si="58"/>
        <v>-1</v>
      </c>
      <c r="O133" s="10"/>
      <c r="P133" s="6"/>
      <c r="Q133" s="2"/>
      <c r="R133" s="7">
        <f t="shared" si="59"/>
        <v>0</v>
      </c>
      <c r="S133" s="2"/>
      <c r="T133" s="6">
        <v>26750</v>
      </c>
      <c r="U133" s="2"/>
      <c r="V133" s="7">
        <f t="shared" si="60"/>
        <v>9.1102869576576775E-3</v>
      </c>
      <c r="W133" s="2"/>
      <c r="X133" s="6">
        <f t="shared" si="61"/>
        <v>-26750</v>
      </c>
      <c r="Y133" s="2"/>
      <c r="Z133" s="7">
        <f t="shared" si="62"/>
        <v>-1</v>
      </c>
    </row>
    <row r="134" spans="1:26" s="23" customFormat="1" hidden="1" outlineLevel="2" x14ac:dyDescent="0.25">
      <c r="A134" s="25"/>
      <c r="B134" s="10" t="str">
        <f>CONCATENATE("          ", "7743", " - ", "INV. SHRINKAGE-CARDS")</f>
        <v xml:space="preserve">          7743 - INV. SHRINKAGE-CARDS</v>
      </c>
      <c r="C134" s="10"/>
      <c r="D134" s="6"/>
      <c r="E134" s="2"/>
      <c r="F134" s="7">
        <f t="shared" si="55"/>
        <v>0</v>
      </c>
      <c r="G134" s="2"/>
      <c r="H134" s="6">
        <v>-12818</v>
      </c>
      <c r="I134" s="2"/>
      <c r="J134" s="7">
        <f t="shared" si="56"/>
        <v>-7.5941728083704862E-2</v>
      </c>
      <c r="K134" s="2"/>
      <c r="L134" s="6">
        <f t="shared" si="57"/>
        <v>12818</v>
      </c>
      <c r="M134" s="2"/>
      <c r="N134" s="7">
        <f t="shared" si="58"/>
        <v>-1</v>
      </c>
      <c r="O134" s="10"/>
      <c r="P134" s="6"/>
      <c r="Q134" s="2"/>
      <c r="R134" s="7">
        <f t="shared" si="59"/>
        <v>0</v>
      </c>
      <c r="S134" s="2"/>
      <c r="T134" s="6">
        <v>-12818</v>
      </c>
      <c r="U134" s="2"/>
      <c r="V134" s="7">
        <f t="shared" si="60"/>
        <v>-4.3654451672245275E-3</v>
      </c>
      <c r="W134" s="2"/>
      <c r="X134" s="6">
        <f t="shared" si="61"/>
        <v>12818</v>
      </c>
      <c r="Y134" s="2"/>
      <c r="Z134" s="7">
        <f t="shared" si="62"/>
        <v>-1</v>
      </c>
    </row>
    <row r="135" spans="1:26" s="23" customFormat="1" hidden="1" outlineLevel="2" x14ac:dyDescent="0.25">
      <c r="A135" s="25"/>
      <c r="B135" s="10" t="str">
        <f>CONCATENATE("          ", "7744", " - ", "INV. SHRINKAGE-ACCESSORIES")</f>
        <v xml:space="preserve">          7744 - INV. SHRINKAGE-ACCESSORIES</v>
      </c>
      <c r="C135" s="10"/>
      <c r="D135" s="6"/>
      <c r="E135" s="2"/>
      <c r="F135" s="7">
        <f t="shared" si="55"/>
        <v>0</v>
      </c>
      <c r="G135" s="2"/>
      <c r="H135" s="6">
        <v>-16600</v>
      </c>
      <c r="I135" s="2"/>
      <c r="J135" s="7">
        <f t="shared" si="56"/>
        <v>-9.8348625853448321E-2</v>
      </c>
      <c r="K135" s="2"/>
      <c r="L135" s="6">
        <f t="shared" si="57"/>
        <v>16600</v>
      </c>
      <c r="M135" s="2"/>
      <c r="N135" s="7">
        <f t="shared" si="58"/>
        <v>-1</v>
      </c>
      <c r="O135" s="10"/>
      <c r="P135" s="6"/>
      <c r="Q135" s="2"/>
      <c r="R135" s="7">
        <f t="shared" si="59"/>
        <v>0</v>
      </c>
      <c r="S135" s="2"/>
      <c r="T135" s="6">
        <v>-16600</v>
      </c>
      <c r="U135" s="2"/>
      <c r="V135" s="7">
        <f t="shared" si="60"/>
        <v>-5.653486485873549E-3</v>
      </c>
      <c r="W135" s="2"/>
      <c r="X135" s="6">
        <f t="shared" si="61"/>
        <v>16600</v>
      </c>
      <c r="Y135" s="2"/>
      <c r="Z135" s="7">
        <f t="shared" si="62"/>
        <v>-1</v>
      </c>
    </row>
    <row r="136" spans="1:26" s="23" customFormat="1" hidden="1" outlineLevel="2" x14ac:dyDescent="0.25">
      <c r="A136" s="25"/>
      <c r="B136" s="10" t="str">
        <f>CONCATENATE("          ", "7745", " - ", "INV. SHRINKAGE-SPECIAL ORDERS")</f>
        <v xml:space="preserve">          7745 - INV. SHRINKAGE-SPECIAL ORDERS</v>
      </c>
      <c r="C136" s="10"/>
      <c r="D136" s="6"/>
      <c r="E136" s="2"/>
      <c r="F136" s="7">
        <f t="shared" si="55"/>
        <v>0</v>
      </c>
      <c r="G136" s="2"/>
      <c r="H136" s="6">
        <v>44531</v>
      </c>
      <c r="I136" s="2"/>
      <c r="J136" s="7">
        <f t="shared" si="56"/>
        <v>0.26382907577589804</v>
      </c>
      <c r="K136" s="2"/>
      <c r="L136" s="6">
        <f t="shared" si="57"/>
        <v>-44531</v>
      </c>
      <c r="M136" s="2"/>
      <c r="N136" s="7">
        <f t="shared" si="58"/>
        <v>-1</v>
      </c>
      <c r="O136" s="10"/>
      <c r="P136" s="6"/>
      <c r="Q136" s="2"/>
      <c r="R136" s="7">
        <f t="shared" si="59"/>
        <v>0</v>
      </c>
      <c r="S136" s="2"/>
      <c r="T136" s="6">
        <v>44531</v>
      </c>
      <c r="U136" s="2"/>
      <c r="V136" s="7">
        <f t="shared" si="60"/>
        <v>1.5165988355568375E-2</v>
      </c>
      <c r="W136" s="2"/>
      <c r="X136" s="6">
        <f t="shared" si="61"/>
        <v>-44531</v>
      </c>
      <c r="Y136" s="2"/>
      <c r="Z136" s="7">
        <f t="shared" si="62"/>
        <v>-1</v>
      </c>
    </row>
    <row r="137" spans="1:26" s="23" customFormat="1" hidden="1" outlineLevel="2" x14ac:dyDescent="0.25">
      <c r="A137" s="25"/>
      <c r="B137" s="10" t="str">
        <f>CONCATENATE("          ", "7783", " - ", "INV. SHRINKAGE-COMPUTER EQUIPM")</f>
        <v xml:space="preserve">          7783 - INV. SHRINKAGE-COMPUTER EQUIPM</v>
      </c>
      <c r="C137" s="10"/>
      <c r="D137" s="6"/>
      <c r="E137" s="2"/>
      <c r="F137" s="7">
        <f t="shared" si="55"/>
        <v>0</v>
      </c>
      <c r="G137" s="2"/>
      <c r="H137" s="6">
        <v>176</v>
      </c>
      <c r="I137" s="2"/>
      <c r="J137" s="7">
        <f t="shared" si="56"/>
        <v>1.0427324186871631E-3</v>
      </c>
      <c r="K137" s="2"/>
      <c r="L137" s="6">
        <f t="shared" si="57"/>
        <v>-176</v>
      </c>
      <c r="M137" s="2"/>
      <c r="N137" s="7">
        <f t="shared" si="58"/>
        <v>-1</v>
      </c>
      <c r="O137" s="10"/>
      <c r="P137" s="6"/>
      <c r="Q137" s="2"/>
      <c r="R137" s="7">
        <f t="shared" si="59"/>
        <v>0</v>
      </c>
      <c r="S137" s="2"/>
      <c r="T137" s="6">
        <v>176</v>
      </c>
      <c r="U137" s="2"/>
      <c r="V137" s="7">
        <f t="shared" si="60"/>
        <v>5.9940579609261728E-5</v>
      </c>
      <c r="W137" s="2"/>
      <c r="X137" s="6">
        <f t="shared" si="61"/>
        <v>-176</v>
      </c>
      <c r="Y137" s="2"/>
      <c r="Z137" s="7">
        <f t="shared" si="62"/>
        <v>-1</v>
      </c>
    </row>
    <row r="138" spans="1:26" s="23" customFormat="1" hidden="1" outlineLevel="2" x14ac:dyDescent="0.25">
      <c r="A138" s="25"/>
      <c r="B138" s="10" t="str">
        <f>CONCATENATE("          ", "7792", " - ", "INV. SHRINKAGE-GRAD MERCH")</f>
        <v xml:space="preserve">          7792 - INV. SHRINKAGE-GRAD MERCH</v>
      </c>
      <c r="C138" s="10"/>
      <c r="D138" s="6"/>
      <c r="E138" s="2"/>
      <c r="F138" s="7">
        <f t="shared" si="55"/>
        <v>0</v>
      </c>
      <c r="G138" s="2"/>
      <c r="H138" s="6">
        <v>40</v>
      </c>
      <c r="I138" s="2"/>
      <c r="J138" s="7">
        <f t="shared" si="56"/>
        <v>2.3698464061071886E-4</v>
      </c>
      <c r="K138" s="2"/>
      <c r="L138" s="6">
        <f t="shared" si="57"/>
        <v>-40</v>
      </c>
      <c r="M138" s="2"/>
      <c r="N138" s="7">
        <f t="shared" si="58"/>
        <v>-1</v>
      </c>
      <c r="O138" s="10"/>
      <c r="P138" s="6"/>
      <c r="Q138" s="2"/>
      <c r="R138" s="7">
        <f t="shared" si="59"/>
        <v>0</v>
      </c>
      <c r="S138" s="2"/>
      <c r="T138" s="6">
        <v>40</v>
      </c>
      <c r="U138" s="2"/>
      <c r="V138" s="7">
        <f t="shared" si="60"/>
        <v>1.3622859002104937E-5</v>
      </c>
      <c r="W138" s="2"/>
      <c r="X138" s="6">
        <f t="shared" si="61"/>
        <v>-40</v>
      </c>
      <c r="Y138" s="2"/>
      <c r="Z138" s="7">
        <f t="shared" si="62"/>
        <v>-1</v>
      </c>
    </row>
    <row r="139" spans="1:26" s="23" customFormat="1" hidden="1" outlineLevel="2" x14ac:dyDescent="0.25">
      <c r="A139" s="25"/>
      <c r="B139" s="10" t="str">
        <f>CONCATENATE("          ", "7795", " - ", "INV. SHRINKAGE-CUSTOMER SERVIC")</f>
        <v xml:space="preserve">          7795 - INV. SHRINKAGE-CUSTOMER SERVIC</v>
      </c>
      <c r="C139" s="10"/>
      <c r="D139" s="6"/>
      <c r="E139" s="2"/>
      <c r="F139" s="7">
        <f t="shared" si="55"/>
        <v>0</v>
      </c>
      <c r="G139" s="2"/>
      <c r="H139" s="6">
        <v>-6</v>
      </c>
      <c r="I139" s="2"/>
      <c r="J139" s="7">
        <f t="shared" si="56"/>
        <v>-3.5547696091607827E-5</v>
      </c>
      <c r="K139" s="2"/>
      <c r="L139" s="6">
        <f t="shared" si="57"/>
        <v>6</v>
      </c>
      <c r="M139" s="2"/>
      <c r="N139" s="7">
        <f t="shared" si="58"/>
        <v>-1</v>
      </c>
      <c r="O139" s="10"/>
      <c r="P139" s="6"/>
      <c r="Q139" s="2"/>
      <c r="R139" s="7">
        <f t="shared" si="59"/>
        <v>0</v>
      </c>
      <c r="S139" s="2"/>
      <c r="T139" s="6">
        <v>-6</v>
      </c>
      <c r="U139" s="2"/>
      <c r="V139" s="7">
        <f t="shared" si="60"/>
        <v>-2.0434288503157405E-6</v>
      </c>
      <c r="W139" s="2"/>
      <c r="X139" s="6">
        <f t="shared" si="61"/>
        <v>6</v>
      </c>
      <c r="Y139" s="2"/>
      <c r="Z139" s="7">
        <f t="shared" si="62"/>
        <v>-1</v>
      </c>
    </row>
    <row r="140" spans="1:26" s="27" customFormat="1" outlineLevel="1" collapsed="1" x14ac:dyDescent="0.25">
      <c r="A140" s="26"/>
      <c r="B140" s="12" t="str">
        <f>CONCATENATE("     ","Professional Services                             ")</f>
        <v xml:space="preserve">     Professional Services                             </v>
      </c>
      <c r="C140" s="12"/>
      <c r="D140" s="1">
        <f>SUM(OSRRefD22_11x_0)</f>
        <v>1966.87</v>
      </c>
      <c r="E140" s="1"/>
      <c r="F140" s="5">
        <f t="shared" ref="F140:F147" si="63">IF(D$12=0,0,D140/D$12)</f>
        <v>7.6939054920982615E-3</v>
      </c>
      <c r="G140" s="1"/>
      <c r="H140" s="1">
        <f>SUM(OSRRefH22_11x_0)</f>
        <v>383.95</v>
      </c>
      <c r="I140" s="1"/>
      <c r="J140" s="5">
        <f t="shared" ref="J140:J147" si="64">IF(H$12=0,0,H140/H$12)</f>
        <v>2.2747563190621376E-3</v>
      </c>
      <c r="K140" s="1"/>
      <c r="L140" s="1">
        <f t="shared" ref="L140:L147" si="65">+D140-H140</f>
        <v>1582.9199999999998</v>
      </c>
      <c r="M140" s="1"/>
      <c r="N140" s="5">
        <f t="shared" ref="N140:N147" si="66">IF(H140=0,0,L140/H140)</f>
        <v>4.122724313061596</v>
      </c>
      <c r="O140" s="12"/>
      <c r="P140" s="1">
        <f>SUM(OSRRefP22_11x_0)</f>
        <v>1966.87</v>
      </c>
      <c r="Q140" s="1"/>
      <c r="R140" s="5">
        <f t="shared" ref="R140:R147" si="67">IF(P$12=0,0,P140/P$12)</f>
        <v>7.6449929088101304E-4</v>
      </c>
      <c r="S140" s="1"/>
      <c r="T140" s="1">
        <f>SUM(OSRRefT22_11x_0)</f>
        <v>4063.95</v>
      </c>
      <c r="U140" s="1"/>
      <c r="V140" s="5">
        <f t="shared" ref="V140:V147" si="68">IF(T$12=0,0,T140/T$12)</f>
        <v>1.384065446040109E-3</v>
      </c>
      <c r="W140" s="1"/>
      <c r="X140" s="1">
        <f t="shared" ref="X140:X147" si="69">+P140-T140</f>
        <v>-2097.08</v>
      </c>
      <c r="Y140" s="1"/>
      <c r="Z140" s="5">
        <f t="shared" ref="Z140:Z147" si="70">IF(T140=0,0,X140/T140)</f>
        <v>-0.51602012820039622</v>
      </c>
    </row>
    <row r="141" spans="1:26" s="23" customFormat="1" hidden="1" outlineLevel="2" x14ac:dyDescent="0.25">
      <c r="A141" s="25"/>
      <c r="B141" s="10" t="str">
        <f>CONCATENATE("          ", "6336", " - ", "PROFESSIONAL SERVICES")</f>
        <v xml:space="preserve">          6336 - PROFESSIONAL SERVICES</v>
      </c>
      <c r="C141" s="10"/>
      <c r="D141" s="6">
        <v>1966.87</v>
      </c>
      <c r="E141" s="2"/>
      <c r="F141" s="7">
        <f t="shared" si="63"/>
        <v>7.6939054920982615E-3</v>
      </c>
      <c r="G141" s="2"/>
      <c r="H141" s="6">
        <v>383.95</v>
      </c>
      <c r="I141" s="2"/>
      <c r="J141" s="7">
        <f t="shared" si="64"/>
        <v>2.2747563190621376E-3</v>
      </c>
      <c r="K141" s="2"/>
      <c r="L141" s="6">
        <f t="shared" si="65"/>
        <v>1582.9199999999998</v>
      </c>
      <c r="M141" s="2"/>
      <c r="N141" s="7">
        <f t="shared" si="66"/>
        <v>4.122724313061596</v>
      </c>
      <c r="O141" s="10"/>
      <c r="P141" s="6">
        <v>1966.87</v>
      </c>
      <c r="Q141" s="2"/>
      <c r="R141" s="7">
        <f t="shared" si="67"/>
        <v>7.6449929088101304E-4</v>
      </c>
      <c r="S141" s="2"/>
      <c r="T141" s="6">
        <v>4063.95</v>
      </c>
      <c r="U141" s="2"/>
      <c r="V141" s="7">
        <f t="shared" si="68"/>
        <v>1.384065446040109E-3</v>
      </c>
      <c r="W141" s="2"/>
      <c r="X141" s="6">
        <f t="shared" si="69"/>
        <v>-2097.08</v>
      </c>
      <c r="Y141" s="2"/>
      <c r="Z141" s="7">
        <f t="shared" si="70"/>
        <v>-0.51602012820039622</v>
      </c>
    </row>
    <row r="142" spans="1:26" s="27" customFormat="1" outlineLevel="1" collapsed="1" x14ac:dyDescent="0.25">
      <c r="A142" s="26"/>
      <c r="B142" s="12" t="str">
        <f>CONCATENATE("     ","Rent                                              ")</f>
        <v xml:space="preserve">     Rent                                              </v>
      </c>
      <c r="C142" s="12"/>
      <c r="D142" s="1">
        <f>SUM(OSRRefD22_12x_0)</f>
        <v>6900</v>
      </c>
      <c r="E142" s="1"/>
      <c r="F142" s="5">
        <f t="shared" si="63"/>
        <v>2.6991081207948676E-2</v>
      </c>
      <c r="G142" s="1"/>
      <c r="H142" s="1">
        <f>SUM(OSRRefH22_12x_0)</f>
        <v>6900</v>
      </c>
      <c r="I142" s="1"/>
      <c r="J142" s="5">
        <f t="shared" si="64"/>
        <v>4.0879850505349001E-2</v>
      </c>
      <c r="K142" s="1"/>
      <c r="L142" s="1">
        <f t="shared" si="65"/>
        <v>0</v>
      </c>
      <c r="M142" s="1"/>
      <c r="N142" s="5">
        <f t="shared" si="66"/>
        <v>0</v>
      </c>
      <c r="O142" s="12"/>
      <c r="P142" s="1">
        <f>SUM(OSRRefP22_12x_0)</f>
        <v>82800</v>
      </c>
      <c r="Q142" s="1"/>
      <c r="R142" s="5">
        <f t="shared" si="67"/>
        <v>3.2183388472521259E-2</v>
      </c>
      <c r="S142" s="1"/>
      <c r="T142" s="1">
        <f>SUM(OSRRefT22_12x_0)</f>
        <v>82800</v>
      </c>
      <c r="U142" s="1"/>
      <c r="V142" s="5">
        <f t="shared" si="68"/>
        <v>2.8199318134357221E-2</v>
      </c>
      <c r="W142" s="1"/>
      <c r="X142" s="1">
        <f t="shared" si="69"/>
        <v>0</v>
      </c>
      <c r="Y142" s="1"/>
      <c r="Z142" s="5">
        <f t="shared" si="70"/>
        <v>0</v>
      </c>
    </row>
    <row r="143" spans="1:26" s="23" customFormat="1" hidden="1" outlineLevel="2" x14ac:dyDescent="0.25">
      <c r="A143" s="25"/>
      <c r="B143" s="10" t="str">
        <f>CONCATENATE("          ", "6273", " - ", "RENT")</f>
        <v xml:space="preserve">          6273 - RENT</v>
      </c>
      <c r="C143" s="10"/>
      <c r="D143" s="6">
        <v>6900</v>
      </c>
      <c r="E143" s="2"/>
      <c r="F143" s="7">
        <f t="shared" si="63"/>
        <v>2.6991081207948676E-2</v>
      </c>
      <c r="G143" s="2"/>
      <c r="H143" s="6">
        <v>6900</v>
      </c>
      <c r="I143" s="2"/>
      <c r="J143" s="7">
        <f t="shared" si="64"/>
        <v>4.0879850505349001E-2</v>
      </c>
      <c r="K143" s="2"/>
      <c r="L143" s="6">
        <f t="shared" si="65"/>
        <v>0</v>
      </c>
      <c r="M143" s="2"/>
      <c r="N143" s="7">
        <f t="shared" si="66"/>
        <v>0</v>
      </c>
      <c r="O143" s="10"/>
      <c r="P143" s="6">
        <v>82800</v>
      </c>
      <c r="Q143" s="2"/>
      <c r="R143" s="7">
        <f t="shared" si="67"/>
        <v>3.2183388472521259E-2</v>
      </c>
      <c r="S143" s="2"/>
      <c r="T143" s="6">
        <v>82800</v>
      </c>
      <c r="U143" s="2"/>
      <c r="V143" s="7">
        <f t="shared" si="68"/>
        <v>2.8199318134357221E-2</v>
      </c>
      <c r="W143" s="2"/>
      <c r="X143" s="6">
        <f t="shared" si="69"/>
        <v>0</v>
      </c>
      <c r="Y143" s="2"/>
      <c r="Z143" s="7">
        <f t="shared" si="70"/>
        <v>0</v>
      </c>
    </row>
    <row r="144" spans="1:26" s="27" customFormat="1" outlineLevel="1" collapsed="1" x14ac:dyDescent="0.25">
      <c r="A144" s="26"/>
      <c r="B144" s="12" t="str">
        <f>CONCATENATE("     ","Repair and Maintenance                            ")</f>
        <v xml:space="preserve">     Repair and Maintenance                            </v>
      </c>
      <c r="C144" s="12"/>
      <c r="D144" s="1">
        <f>SUM(OSRRefD22_13x_0)</f>
        <v>824.67</v>
      </c>
      <c r="E144" s="1"/>
      <c r="F144" s="5">
        <f t="shared" si="63"/>
        <v>3.225903614457831E-3</v>
      </c>
      <c r="G144" s="1"/>
      <c r="H144" s="1">
        <f>SUM(OSRRefH22_13x_0)</f>
        <v>48.23</v>
      </c>
      <c r="I144" s="1"/>
      <c r="J144" s="5">
        <f t="shared" si="64"/>
        <v>2.8574423041637423E-4</v>
      </c>
      <c r="K144" s="1"/>
      <c r="L144" s="1">
        <f t="shared" si="65"/>
        <v>776.43999999999994</v>
      </c>
      <c r="M144" s="1"/>
      <c r="N144" s="5">
        <f t="shared" si="66"/>
        <v>16.098693759071118</v>
      </c>
      <c r="O144" s="12"/>
      <c r="P144" s="1">
        <f>SUM(OSRRefP22_13x_0)</f>
        <v>1134.3800000000001</v>
      </c>
      <c r="Q144" s="1"/>
      <c r="R144" s="5">
        <f t="shared" si="67"/>
        <v>4.4092019583887281E-4</v>
      </c>
      <c r="S144" s="1"/>
      <c r="T144" s="1">
        <f>SUM(OSRRefT22_13x_0)</f>
        <v>681.99</v>
      </c>
      <c r="U144" s="1"/>
      <c r="V144" s="5">
        <f t="shared" si="68"/>
        <v>2.3226634027113867E-4</v>
      </c>
      <c r="W144" s="1"/>
      <c r="X144" s="1">
        <f t="shared" si="69"/>
        <v>452.3900000000001</v>
      </c>
      <c r="Y144" s="1"/>
      <c r="Z144" s="5">
        <f t="shared" si="70"/>
        <v>0.66333817211396073</v>
      </c>
    </row>
    <row r="145" spans="1:26" s="23" customFormat="1" hidden="1" outlineLevel="2" x14ac:dyDescent="0.25">
      <c r="A145" s="25"/>
      <c r="B145" s="10" t="str">
        <f>CONCATENATE("          ", "6372", " - ", "COMPUTER HARDWARE MAINTENANCE")</f>
        <v xml:space="preserve">          6372 - COMPUTER HARDWARE MAINTENANCE</v>
      </c>
      <c r="C145" s="10"/>
      <c r="D145" s="6"/>
      <c r="E145" s="2"/>
      <c r="F145" s="7">
        <f t="shared" si="63"/>
        <v>0</v>
      </c>
      <c r="G145" s="2"/>
      <c r="H145" s="6"/>
      <c r="I145" s="2"/>
      <c r="J145" s="7">
        <f t="shared" si="64"/>
        <v>0</v>
      </c>
      <c r="K145" s="2"/>
      <c r="L145" s="6">
        <f t="shared" si="65"/>
        <v>0</v>
      </c>
      <c r="M145" s="2"/>
      <c r="N145" s="7">
        <f t="shared" si="66"/>
        <v>0</v>
      </c>
      <c r="O145" s="10"/>
      <c r="P145" s="6">
        <v>-0.52</v>
      </c>
      <c r="Q145" s="2"/>
      <c r="R145" s="7">
        <f t="shared" si="67"/>
        <v>-2.0211789861969874E-7</v>
      </c>
      <c r="S145" s="2"/>
      <c r="T145" s="6"/>
      <c r="U145" s="2"/>
      <c r="V145" s="7">
        <f t="shared" si="68"/>
        <v>0</v>
      </c>
      <c r="W145" s="2"/>
      <c r="X145" s="6">
        <f t="shared" si="69"/>
        <v>-0.52</v>
      </c>
      <c r="Y145" s="2"/>
      <c r="Z145" s="7">
        <f t="shared" si="70"/>
        <v>0</v>
      </c>
    </row>
    <row r="146" spans="1:26" s="23" customFormat="1" hidden="1" outlineLevel="2" x14ac:dyDescent="0.25">
      <c r="A146" s="25"/>
      <c r="B146" s="10" t="str">
        <f>CONCATENATE("          ", "6373", " - ", "MAINTENANCE CONTRACTS")</f>
        <v xml:space="preserve">          6373 - MAINTENANCE CONTRACTS</v>
      </c>
      <c r="C146" s="10"/>
      <c r="D146" s="6">
        <v>230.9</v>
      </c>
      <c r="E146" s="2"/>
      <c r="F146" s="7">
        <f t="shared" si="63"/>
        <v>9.0322328274135494E-4</v>
      </c>
      <c r="G146" s="2"/>
      <c r="H146" s="6">
        <v>48.23</v>
      </c>
      <c r="I146" s="2"/>
      <c r="J146" s="7">
        <f t="shared" si="64"/>
        <v>2.8574423041637423E-4</v>
      </c>
      <c r="K146" s="2"/>
      <c r="L146" s="6">
        <f t="shared" si="65"/>
        <v>182.67000000000002</v>
      </c>
      <c r="M146" s="2"/>
      <c r="N146" s="7">
        <f t="shared" si="66"/>
        <v>3.7874766742691275</v>
      </c>
      <c r="O146" s="10"/>
      <c r="P146" s="6">
        <v>375.57</v>
      </c>
      <c r="Q146" s="2"/>
      <c r="R146" s="7">
        <f t="shared" si="67"/>
        <v>1.4597965227807741E-4</v>
      </c>
      <c r="S146" s="2"/>
      <c r="T146" s="6">
        <v>499.46</v>
      </c>
      <c r="U146" s="2"/>
      <c r="V146" s="7">
        <f t="shared" si="68"/>
        <v>1.701018289297833E-4</v>
      </c>
      <c r="W146" s="2"/>
      <c r="X146" s="6">
        <f t="shared" si="69"/>
        <v>-123.88999999999999</v>
      </c>
      <c r="Y146" s="2"/>
      <c r="Z146" s="7">
        <f t="shared" si="70"/>
        <v>-0.24804789172306088</v>
      </c>
    </row>
    <row r="147" spans="1:26" s="23" customFormat="1" hidden="1" outlineLevel="2" x14ac:dyDescent="0.25">
      <c r="A147" s="25"/>
      <c r="B147" s="10" t="str">
        <f>CONCATENATE("          ", "6375", " - ", "OUTSIDE REPAIRS &amp; MAINTENANCE")</f>
        <v xml:space="preserve">          6375 - OUTSIDE REPAIRS &amp; MAINTENANCE</v>
      </c>
      <c r="C147" s="10"/>
      <c r="D147" s="6">
        <v>593.77</v>
      </c>
      <c r="E147" s="2"/>
      <c r="F147" s="7">
        <f t="shared" si="63"/>
        <v>2.322680331716476E-3</v>
      </c>
      <c r="G147" s="2"/>
      <c r="H147" s="6"/>
      <c r="I147" s="2"/>
      <c r="J147" s="7">
        <f t="shared" si="64"/>
        <v>0</v>
      </c>
      <c r="K147" s="2"/>
      <c r="L147" s="6">
        <f t="shared" si="65"/>
        <v>593.77</v>
      </c>
      <c r="M147" s="2"/>
      <c r="N147" s="7">
        <f t="shared" si="66"/>
        <v>0</v>
      </c>
      <c r="O147" s="10"/>
      <c r="P147" s="6">
        <v>759.33</v>
      </c>
      <c r="Q147" s="2"/>
      <c r="R147" s="7">
        <f t="shared" si="67"/>
        <v>2.9514266145941505E-4</v>
      </c>
      <c r="S147" s="2"/>
      <c r="T147" s="6">
        <v>182.53</v>
      </c>
      <c r="U147" s="2"/>
      <c r="V147" s="7">
        <f t="shared" si="68"/>
        <v>6.2164511341355363E-5</v>
      </c>
      <c r="W147" s="2"/>
      <c r="X147" s="6">
        <f t="shared" si="69"/>
        <v>576.80000000000007</v>
      </c>
      <c r="Y147" s="2"/>
      <c r="Z147" s="7">
        <f t="shared" si="70"/>
        <v>3.1600284884676495</v>
      </c>
    </row>
    <row r="148" spans="1:26" s="27" customFormat="1" outlineLevel="1" collapsed="1" x14ac:dyDescent="0.25">
      <c r="A148" s="26"/>
      <c r="B148" s="12" t="str">
        <f>CONCATENATE("     ","Royalty &amp; Commissions                             ")</f>
        <v xml:space="preserve">     Royalty &amp; Commissions                             </v>
      </c>
      <c r="C148" s="12"/>
      <c r="D148" s="1">
        <f>SUM(OSRRefD22_14x_0)</f>
        <v>0</v>
      </c>
      <c r="E148" s="1"/>
      <c r="F148" s="5">
        <f t="shared" ref="F148:F150" si="71">IF(D$12=0,0,D148/D$12)</f>
        <v>0</v>
      </c>
      <c r="G148" s="1"/>
      <c r="H148" s="1">
        <f>SUM(OSRRefH22_14x_0)</f>
        <v>0</v>
      </c>
      <c r="I148" s="1"/>
      <c r="J148" s="5">
        <f t="shared" ref="J148:J150" si="72">IF(H$12=0,0,H148/H$12)</f>
        <v>0</v>
      </c>
      <c r="K148" s="1"/>
      <c r="L148" s="1">
        <f t="shared" ref="L148:L150" si="73">+D148-H148</f>
        <v>0</v>
      </c>
      <c r="M148" s="1"/>
      <c r="N148" s="5">
        <f t="shared" ref="N148:N150" si="74">IF(H148=0,0,L148/H148)</f>
        <v>0</v>
      </c>
      <c r="O148" s="12"/>
      <c r="P148" s="1">
        <f>SUM(OSRRefP22_14x_0)</f>
        <v>35159.06</v>
      </c>
      <c r="Q148" s="1"/>
      <c r="R148" s="5">
        <f t="shared" ref="R148:R150" si="75">IF(P$12=0,0,P148/P$12)</f>
        <v>1.3665914085853662E-2</v>
      </c>
      <c r="S148" s="1"/>
      <c r="T148" s="1">
        <f>SUM(OSRRefT22_14x_0)</f>
        <v>40841.660000000003</v>
      </c>
      <c r="U148" s="1"/>
      <c r="V148" s="5">
        <f t="shared" ref="V148:V150" si="76">IF(T$12=0,0,T148/T$12)</f>
        <v>1.390950438979773E-2</v>
      </c>
      <c r="W148" s="1"/>
      <c r="X148" s="1">
        <f t="shared" ref="X148:X150" si="77">+P148-T148</f>
        <v>-5682.6000000000058</v>
      </c>
      <c r="Y148" s="1"/>
      <c r="Z148" s="5">
        <f t="shared" ref="Z148:Z150" si="78">IF(T148=0,0,X148/T148)</f>
        <v>-0.139137341626173</v>
      </c>
    </row>
    <row r="149" spans="1:26" s="23" customFormat="1" hidden="1" outlineLevel="2" x14ac:dyDescent="0.25">
      <c r="A149" s="25"/>
      <c r="B149" s="10" t="str">
        <f>CONCATENATE("          ", "6253", " - ", "ROYALTY DUE ATHLETICS-LRG")</f>
        <v xml:space="preserve">          6253 - ROYALTY DUE ATHLETICS-LRG</v>
      </c>
      <c r="C149" s="10"/>
      <c r="D149" s="6"/>
      <c r="E149" s="2"/>
      <c r="F149" s="7">
        <f t="shared" si="71"/>
        <v>0</v>
      </c>
      <c r="G149" s="2"/>
      <c r="H149" s="6"/>
      <c r="I149" s="2"/>
      <c r="J149" s="7">
        <f t="shared" si="72"/>
        <v>0</v>
      </c>
      <c r="K149" s="2"/>
      <c r="L149" s="6">
        <f t="shared" si="73"/>
        <v>0</v>
      </c>
      <c r="M149" s="2"/>
      <c r="N149" s="7">
        <f t="shared" si="74"/>
        <v>0</v>
      </c>
      <c r="O149" s="10"/>
      <c r="P149" s="6">
        <v>35159.06</v>
      </c>
      <c r="Q149" s="2"/>
      <c r="R149" s="7">
        <f t="shared" si="75"/>
        <v>1.3665914085853662E-2</v>
      </c>
      <c r="S149" s="2"/>
      <c r="T149" s="6">
        <v>32870.44</v>
      </c>
      <c r="U149" s="2"/>
      <c r="V149" s="7">
        <f t="shared" si="76"/>
        <v>1.1194734236428756E-2</v>
      </c>
      <c r="W149" s="2"/>
      <c r="X149" s="6">
        <f t="shared" si="77"/>
        <v>2288.6199999999953</v>
      </c>
      <c r="Y149" s="2"/>
      <c r="Z149" s="7">
        <f t="shared" si="78"/>
        <v>6.962547504688088E-2</v>
      </c>
    </row>
    <row r="150" spans="1:26" s="23" customFormat="1" hidden="1" outlineLevel="2" x14ac:dyDescent="0.25">
      <c r="A150" s="25"/>
      <c r="B150" s="10" t="str">
        <f>CONCATENATE("          ", "6254", " - ", "ROYALTY &amp; COMMISSIONS")</f>
        <v xml:space="preserve">          6254 - ROYALTY &amp; COMMISSIONS</v>
      </c>
      <c r="C150" s="10"/>
      <c r="D150" s="6"/>
      <c r="E150" s="2"/>
      <c r="F150" s="7">
        <f t="shared" si="71"/>
        <v>0</v>
      </c>
      <c r="G150" s="2"/>
      <c r="H150" s="6"/>
      <c r="I150" s="2"/>
      <c r="J150" s="7">
        <f t="shared" si="72"/>
        <v>0</v>
      </c>
      <c r="K150" s="2"/>
      <c r="L150" s="6">
        <f t="shared" si="73"/>
        <v>0</v>
      </c>
      <c r="M150" s="2"/>
      <c r="N150" s="7">
        <f t="shared" si="74"/>
        <v>0</v>
      </c>
      <c r="O150" s="10"/>
      <c r="P150" s="6"/>
      <c r="Q150" s="2"/>
      <c r="R150" s="7">
        <f t="shared" si="75"/>
        <v>0</v>
      </c>
      <c r="S150" s="2"/>
      <c r="T150" s="6">
        <v>7971.22</v>
      </c>
      <c r="U150" s="2"/>
      <c r="V150" s="7">
        <f t="shared" si="76"/>
        <v>2.7147701533689729E-3</v>
      </c>
      <c r="W150" s="2"/>
      <c r="X150" s="6">
        <f t="shared" si="77"/>
        <v>-7971.22</v>
      </c>
      <c r="Y150" s="2"/>
      <c r="Z150" s="7">
        <f t="shared" si="78"/>
        <v>-1</v>
      </c>
    </row>
    <row r="151" spans="1:26" s="27" customFormat="1" outlineLevel="1" collapsed="1" x14ac:dyDescent="0.25">
      <c r="A151" s="26"/>
      <c r="B151" s="12" t="str">
        <f>CONCATENATE("     ","Services                                          ")</f>
        <v xml:space="preserve">     Services                                          </v>
      </c>
      <c r="C151" s="12"/>
      <c r="D151" s="1">
        <f>SUM(OSRRefD22_15x_0)</f>
        <v>155.59</v>
      </c>
      <c r="E151" s="1"/>
      <c r="F151" s="5">
        <f t="shared" ref="F151:F154" si="79">IF(D$12=0,0,D151/D$12)</f>
        <v>6.0862932248474417E-4</v>
      </c>
      <c r="G151" s="1"/>
      <c r="H151" s="1">
        <f>SUM(OSRRefH22_15x_0)</f>
        <v>189.45</v>
      </c>
      <c r="I151" s="1"/>
      <c r="J151" s="5">
        <f t="shared" ref="J151:J154" si="80">IF(H$12=0,0,H151/H$12)</f>
        <v>1.1224185040925171E-3</v>
      </c>
      <c r="K151" s="1"/>
      <c r="L151" s="1">
        <f t="shared" ref="L151:L154" si="81">+D151-H151</f>
        <v>-33.859999999999985</v>
      </c>
      <c r="M151" s="1"/>
      <c r="N151" s="5">
        <f t="shared" ref="N151:N154" si="82">IF(H151=0,0,L151/H151)</f>
        <v>-0.1787278965426233</v>
      </c>
      <c r="O151" s="12"/>
      <c r="P151" s="1">
        <f>SUM(OSRRefP22_15x_0)</f>
        <v>1074.1099999999999</v>
      </c>
      <c r="Q151" s="1"/>
      <c r="R151" s="5">
        <f t="shared" ref="R151:R154" si="83">IF(P$12=0,0,P151/P$12)</f>
        <v>4.1749395401231647E-4</v>
      </c>
      <c r="S151" s="1"/>
      <c r="T151" s="1">
        <f>SUM(OSRRefT22_15x_0)</f>
        <v>3138.98</v>
      </c>
      <c r="U151" s="1"/>
      <c r="V151" s="5">
        <f t="shared" ref="V151:V154" si="84">IF(T$12=0,0,T151/T$12)</f>
        <v>1.0690470487606839E-3</v>
      </c>
      <c r="W151" s="1"/>
      <c r="X151" s="1">
        <f t="shared" ref="X151:X154" si="85">+P151-T151</f>
        <v>-2064.87</v>
      </c>
      <c r="Y151" s="1"/>
      <c r="Z151" s="5">
        <f t="shared" ref="Z151:Z154" si="86">IF(T151=0,0,X151/T151)</f>
        <v>-0.65781559614906748</v>
      </c>
    </row>
    <row r="152" spans="1:26" s="23" customFormat="1" hidden="1" outlineLevel="2" x14ac:dyDescent="0.25">
      <c r="A152" s="25"/>
      <c r="B152" s="10" t="str">
        <f>CONCATENATE("          ", "6283", " - ", "PLANT SERVICE")</f>
        <v xml:space="preserve">          6283 - PLANT SERVICE</v>
      </c>
      <c r="C152" s="10"/>
      <c r="D152" s="6"/>
      <c r="E152" s="2"/>
      <c r="F152" s="7">
        <f t="shared" si="79"/>
        <v>0</v>
      </c>
      <c r="G152" s="2"/>
      <c r="H152" s="6"/>
      <c r="I152" s="2"/>
      <c r="J152" s="7">
        <f t="shared" si="80"/>
        <v>0</v>
      </c>
      <c r="K152" s="2"/>
      <c r="L152" s="6">
        <f t="shared" si="81"/>
        <v>0</v>
      </c>
      <c r="M152" s="2"/>
      <c r="N152" s="7">
        <f t="shared" si="82"/>
        <v>0</v>
      </c>
      <c r="O152" s="10"/>
      <c r="P152" s="6">
        <v>41.31</v>
      </c>
      <c r="Q152" s="2"/>
      <c r="R152" s="7">
        <f t="shared" si="83"/>
        <v>1.605671229226876E-5</v>
      </c>
      <c r="S152" s="2"/>
      <c r="T152" s="6">
        <v>178.65</v>
      </c>
      <c r="U152" s="2"/>
      <c r="V152" s="7">
        <f t="shared" si="84"/>
        <v>6.0843094018151181E-5</v>
      </c>
      <c r="W152" s="2"/>
      <c r="X152" s="6">
        <f t="shared" si="85"/>
        <v>-137.34</v>
      </c>
      <c r="Y152" s="2"/>
      <c r="Z152" s="7">
        <f t="shared" si="86"/>
        <v>-0.7687657430730479</v>
      </c>
    </row>
    <row r="153" spans="1:26" s="23" customFormat="1" hidden="1" outlineLevel="2" x14ac:dyDescent="0.25">
      <c r="A153" s="25"/>
      <c r="B153" s="10" t="str">
        <f>CONCATENATE("          ", "6284", " - ", "TRASH REMOVAL EXPENSE")</f>
        <v xml:space="preserve">          6284 - TRASH REMOVAL EXPENSE</v>
      </c>
      <c r="C153" s="10"/>
      <c r="D153" s="6">
        <v>142.57</v>
      </c>
      <c r="E153" s="2"/>
      <c r="F153" s="7">
        <f t="shared" si="79"/>
        <v>5.5769832577061483E-4</v>
      </c>
      <c r="G153" s="2"/>
      <c r="H153" s="6">
        <v>134.82</v>
      </c>
      <c r="I153" s="2"/>
      <c r="J153" s="7">
        <f t="shared" si="80"/>
        <v>7.9875673117842788E-4</v>
      </c>
      <c r="K153" s="2"/>
      <c r="L153" s="6">
        <f t="shared" si="81"/>
        <v>7.75</v>
      </c>
      <c r="M153" s="2"/>
      <c r="N153" s="7">
        <f t="shared" si="82"/>
        <v>5.7484052811155616E-2</v>
      </c>
      <c r="O153" s="10"/>
      <c r="P153" s="6">
        <v>1725.86</v>
      </c>
      <c r="Q153" s="2"/>
      <c r="R153" s="7">
        <f t="shared" si="83"/>
        <v>6.708215317534485E-4</v>
      </c>
      <c r="S153" s="2"/>
      <c r="T153" s="6">
        <v>1617.84</v>
      </c>
      <c r="U153" s="2"/>
      <c r="V153" s="7">
        <f t="shared" si="84"/>
        <v>5.5099015519913632E-4</v>
      </c>
      <c r="W153" s="2"/>
      <c r="X153" s="6">
        <f t="shared" si="85"/>
        <v>108.01999999999998</v>
      </c>
      <c r="Y153" s="2"/>
      <c r="Z153" s="7">
        <f t="shared" si="86"/>
        <v>6.6768036394204616E-2</v>
      </c>
    </row>
    <row r="154" spans="1:26" s="23" customFormat="1" hidden="1" outlineLevel="2" x14ac:dyDescent="0.25">
      <c r="A154" s="25"/>
      <c r="B154" s="10" t="str">
        <f>CONCATENATE("          ", "6285", " - ", "JANITORIAL SERVICES")</f>
        <v xml:space="preserve">          6285 - JANITORIAL SERVICES</v>
      </c>
      <c r="C154" s="10"/>
      <c r="D154" s="6">
        <v>13.02</v>
      </c>
      <c r="E154" s="2"/>
      <c r="F154" s="7">
        <f t="shared" si="79"/>
        <v>5.0930996714129236E-5</v>
      </c>
      <c r="G154" s="2"/>
      <c r="H154" s="6">
        <v>54.63</v>
      </c>
      <c r="I154" s="2"/>
      <c r="J154" s="7">
        <f t="shared" si="80"/>
        <v>3.2366177291408927E-4</v>
      </c>
      <c r="K154" s="2"/>
      <c r="L154" s="6">
        <f t="shared" si="81"/>
        <v>-41.61</v>
      </c>
      <c r="M154" s="2"/>
      <c r="N154" s="7">
        <f t="shared" si="82"/>
        <v>-0.76166941241076325</v>
      </c>
      <c r="O154" s="10"/>
      <c r="P154" s="6">
        <v>-693.06</v>
      </c>
      <c r="Q154" s="2"/>
      <c r="R154" s="7">
        <f t="shared" si="83"/>
        <v>-2.6938429003340073E-4</v>
      </c>
      <c r="S154" s="2"/>
      <c r="T154" s="6">
        <v>1342.49</v>
      </c>
      <c r="U154" s="2"/>
      <c r="V154" s="7">
        <f t="shared" si="84"/>
        <v>4.5721379954339643E-4</v>
      </c>
      <c r="W154" s="2"/>
      <c r="X154" s="6">
        <f t="shared" si="85"/>
        <v>-2035.55</v>
      </c>
      <c r="Y154" s="2"/>
      <c r="Z154" s="7">
        <f t="shared" si="86"/>
        <v>-1.5162496554909162</v>
      </c>
    </row>
    <row r="155" spans="1:26" s="27" customFormat="1" outlineLevel="1" collapsed="1" x14ac:dyDescent="0.25">
      <c r="A155" s="26"/>
      <c r="B155" s="12" t="str">
        <f>CONCATENATE("     ","Subscriptions &amp; Dues                              ")</f>
        <v xml:space="preserve">     Subscriptions &amp; Dues                              </v>
      </c>
      <c r="C155" s="12"/>
      <c r="D155" s="1">
        <f>SUM(OSRRefD22_16x_0)</f>
        <v>0</v>
      </c>
      <c r="E155" s="1"/>
      <c r="F155" s="5">
        <f t="shared" ref="F155:F157" si="87">IF(D$12=0,0,D155/D$12)</f>
        <v>0</v>
      </c>
      <c r="G155" s="1"/>
      <c r="H155" s="1">
        <f>SUM(OSRRefH22_16x_0)</f>
        <v>119.97</v>
      </c>
      <c r="I155" s="1"/>
      <c r="J155" s="5">
        <f t="shared" ref="J155:J157" si="88">IF(H$12=0,0,H155/H$12)</f>
        <v>7.107761833516985E-4</v>
      </c>
      <c r="K155" s="1"/>
      <c r="L155" s="1">
        <f t="shared" ref="L155:L157" si="89">+D155-H155</f>
        <v>-119.97</v>
      </c>
      <c r="M155" s="1"/>
      <c r="N155" s="5">
        <f t="shared" ref="N155:N157" si="90">IF(H155=0,0,L155/H155)</f>
        <v>-1</v>
      </c>
      <c r="O155" s="12"/>
      <c r="P155" s="1">
        <f>SUM(OSRRefP22_16x_0)</f>
        <v>2047.7199999999998</v>
      </c>
      <c r="Q155" s="1"/>
      <c r="R155" s="5">
        <f t="shared" ref="R155:R157" si="91">IF(P$12=0,0,P155/P$12)</f>
        <v>7.9592473723371043E-4</v>
      </c>
      <c r="S155" s="1"/>
      <c r="T155" s="1">
        <f>SUM(OSRRefT22_16x_0)</f>
        <v>767.95999999999992</v>
      </c>
      <c r="U155" s="1"/>
      <c r="V155" s="5">
        <f t="shared" ref="V155:V157" si="92">IF(T$12=0,0,T155/T$12)</f>
        <v>2.6154526998141268E-4</v>
      </c>
      <c r="W155" s="1"/>
      <c r="X155" s="1">
        <f t="shared" ref="X155:X157" si="93">+P155-T155</f>
        <v>1279.7599999999998</v>
      </c>
      <c r="Y155" s="1"/>
      <c r="Z155" s="5">
        <f t="shared" ref="Z155:Z157" si="94">IF(T155=0,0,X155/T155)</f>
        <v>1.6664409604666908</v>
      </c>
    </row>
    <row r="156" spans="1:26" s="23" customFormat="1" hidden="1" outlineLevel="2" x14ac:dyDescent="0.25">
      <c r="A156" s="25"/>
      <c r="B156" s="10" t="str">
        <f>CONCATENATE("          ", "6258", " - ", "MEMBERSHIP DUES")</f>
        <v xml:space="preserve">          6258 - MEMBERSHIP DUES</v>
      </c>
      <c r="C156" s="10"/>
      <c r="D156" s="6"/>
      <c r="E156" s="2"/>
      <c r="F156" s="7">
        <f t="shared" si="87"/>
        <v>0</v>
      </c>
      <c r="G156" s="2"/>
      <c r="H156" s="6">
        <v>119.97</v>
      </c>
      <c r="I156" s="2"/>
      <c r="J156" s="7">
        <f t="shared" si="88"/>
        <v>7.107761833516985E-4</v>
      </c>
      <c r="K156" s="2"/>
      <c r="L156" s="6">
        <f t="shared" si="89"/>
        <v>-119.97</v>
      </c>
      <c r="M156" s="2"/>
      <c r="N156" s="7">
        <f t="shared" si="90"/>
        <v>-1</v>
      </c>
      <c r="O156" s="10"/>
      <c r="P156" s="6">
        <v>-342.88</v>
      </c>
      <c r="Q156" s="2"/>
      <c r="R156" s="7">
        <f t="shared" si="91"/>
        <v>-1.3327343284369673E-4</v>
      </c>
      <c r="S156" s="2"/>
      <c r="T156" s="6">
        <v>232.9</v>
      </c>
      <c r="U156" s="2"/>
      <c r="V156" s="7">
        <f t="shared" si="92"/>
        <v>7.9319096539755998E-5</v>
      </c>
      <c r="W156" s="2"/>
      <c r="X156" s="6">
        <f t="shared" si="93"/>
        <v>-575.78</v>
      </c>
      <c r="Y156" s="2"/>
      <c r="Z156" s="7">
        <f t="shared" si="94"/>
        <v>-2.4722198368398454</v>
      </c>
    </row>
    <row r="157" spans="1:26" s="23" customFormat="1" hidden="1" outlineLevel="2" x14ac:dyDescent="0.25">
      <c r="A157" s="25"/>
      <c r="B157" s="10" t="str">
        <f>CONCATENATE("          ", "6275", " - ", "SUBSCRIPTIONS")</f>
        <v xml:space="preserve">          6275 - SUBSCRIPTIONS</v>
      </c>
      <c r="C157" s="10"/>
      <c r="D157" s="6"/>
      <c r="E157" s="2"/>
      <c r="F157" s="7">
        <f t="shared" si="87"/>
        <v>0</v>
      </c>
      <c r="G157" s="2"/>
      <c r="H157" s="6"/>
      <c r="I157" s="2"/>
      <c r="J157" s="7">
        <f t="shared" si="88"/>
        <v>0</v>
      </c>
      <c r="K157" s="2"/>
      <c r="L157" s="6">
        <f t="shared" si="89"/>
        <v>0</v>
      </c>
      <c r="M157" s="2"/>
      <c r="N157" s="7">
        <f t="shared" si="90"/>
        <v>0</v>
      </c>
      <c r="O157" s="10"/>
      <c r="P157" s="6">
        <v>2390.6</v>
      </c>
      <c r="Q157" s="2"/>
      <c r="R157" s="7">
        <f t="shared" si="91"/>
        <v>9.2919817007740724E-4</v>
      </c>
      <c r="S157" s="2"/>
      <c r="T157" s="6">
        <v>535.05999999999995</v>
      </c>
      <c r="U157" s="2"/>
      <c r="V157" s="7">
        <f t="shared" si="92"/>
        <v>1.8222617344165667E-4</v>
      </c>
      <c r="W157" s="2"/>
      <c r="X157" s="6">
        <f t="shared" si="93"/>
        <v>1855.54</v>
      </c>
      <c r="Y157" s="2"/>
      <c r="Z157" s="7">
        <f t="shared" si="94"/>
        <v>3.4679101409187756</v>
      </c>
    </row>
    <row r="158" spans="1:26" s="27" customFormat="1" outlineLevel="1" collapsed="1" x14ac:dyDescent="0.25">
      <c r="A158" s="26"/>
      <c r="B158" s="12" t="str">
        <f>CONCATENATE("     ","Supplies                                          ")</f>
        <v xml:space="preserve">     Supplies                                          </v>
      </c>
      <c r="C158" s="12"/>
      <c r="D158" s="1">
        <f>SUM(OSRRefD22_17x_0)</f>
        <v>1001.3499999999999</v>
      </c>
      <c r="E158" s="1"/>
      <c r="F158" s="5">
        <f t="shared" ref="F158:F164" si="95">IF(D$12=0,0,D158/D$12)</f>
        <v>3.9170317634173047E-3</v>
      </c>
      <c r="G158" s="1"/>
      <c r="H158" s="1">
        <f>SUM(OSRRefH22_17x_0)</f>
        <v>162.72</v>
      </c>
      <c r="I158" s="1"/>
      <c r="J158" s="5">
        <f t="shared" ref="J158:J164" si="96">IF(H$12=0,0,H158/H$12)</f>
        <v>9.6405351800440432E-4</v>
      </c>
      <c r="K158" s="1"/>
      <c r="L158" s="1">
        <f t="shared" ref="L158:L164" si="97">+D158-H158</f>
        <v>838.62999999999988</v>
      </c>
      <c r="M158" s="1"/>
      <c r="N158" s="5">
        <f t="shared" ref="N158:N164" si="98">IF(H158=0,0,L158/H158)</f>
        <v>5.1538225172074723</v>
      </c>
      <c r="O158" s="12"/>
      <c r="P158" s="1">
        <f>SUM(OSRRefP22_17x_0)</f>
        <v>5642.12</v>
      </c>
      <c r="Q158" s="1"/>
      <c r="R158" s="5">
        <f t="shared" ref="R158:R164" si="99">IF(P$12=0,0,P158/P$12)</f>
        <v>2.1930258426157202E-3</v>
      </c>
      <c r="S158" s="1"/>
      <c r="T158" s="1">
        <f>SUM(OSRRefT22_17x_0)</f>
        <v>7598.6299999999992</v>
      </c>
      <c r="U158" s="1"/>
      <c r="V158" s="5">
        <f t="shared" ref="V158:V164" si="100">IF(T$12=0,0,T158/T$12)</f>
        <v>2.5878766274791158E-3</v>
      </c>
      <c r="W158" s="1"/>
      <c r="X158" s="1">
        <f t="shared" ref="X158:X164" si="101">+P158-T158</f>
        <v>-1956.5099999999993</v>
      </c>
      <c r="Y158" s="1"/>
      <c r="Z158" s="5">
        <f t="shared" ref="Z158:Z164" si="102">IF(T158=0,0,X158/T158)</f>
        <v>-0.25748194082354314</v>
      </c>
    </row>
    <row r="159" spans="1:26" s="23" customFormat="1" hidden="1" outlineLevel="2" x14ac:dyDescent="0.25">
      <c r="A159" s="25"/>
      <c r="B159" s="10" t="str">
        <f>CONCATENATE("          ", "6234", " - ", "EXPENDABLE SUPPLIES &amp; EQUIPMEN")</f>
        <v xml:space="preserve">          6234 - EXPENDABLE SUPPLIES &amp; EQUIPMEN</v>
      </c>
      <c r="C159" s="10"/>
      <c r="D159" s="6"/>
      <c r="E159" s="2"/>
      <c r="F159" s="7">
        <f t="shared" si="95"/>
        <v>0</v>
      </c>
      <c r="G159" s="2"/>
      <c r="H159" s="6"/>
      <c r="I159" s="2"/>
      <c r="J159" s="7">
        <f t="shared" si="96"/>
        <v>0</v>
      </c>
      <c r="K159" s="2"/>
      <c r="L159" s="6">
        <f t="shared" si="97"/>
        <v>0</v>
      </c>
      <c r="M159" s="2"/>
      <c r="N159" s="7">
        <f t="shared" si="98"/>
        <v>0</v>
      </c>
      <c r="O159" s="10"/>
      <c r="P159" s="6">
        <v>449.5</v>
      </c>
      <c r="Q159" s="2"/>
      <c r="R159" s="7">
        <f t="shared" si="99"/>
        <v>1.7471537582606649E-4</v>
      </c>
      <c r="S159" s="2"/>
      <c r="T159" s="6">
        <v>976.24</v>
      </c>
      <c r="U159" s="2"/>
      <c r="V159" s="7">
        <f t="shared" si="100"/>
        <v>3.324794968053731E-4</v>
      </c>
      <c r="W159" s="2"/>
      <c r="X159" s="6">
        <f t="shared" si="101"/>
        <v>-526.74</v>
      </c>
      <c r="Y159" s="2"/>
      <c r="Z159" s="7">
        <f t="shared" si="102"/>
        <v>-0.53955994427599774</v>
      </c>
    </row>
    <row r="160" spans="1:26" s="23" customFormat="1" hidden="1" outlineLevel="2" x14ac:dyDescent="0.25">
      <c r="A160" s="25"/>
      <c r="B160" s="10" t="str">
        <f>CONCATENATE("          ", "6235", " - ", "COVID-19 EXPENSES")</f>
        <v xml:space="preserve">          6235 - COVID-19 EXPENSES</v>
      </c>
      <c r="C160" s="10"/>
      <c r="D160" s="6"/>
      <c r="E160" s="2"/>
      <c r="F160" s="7">
        <f t="shared" si="95"/>
        <v>0</v>
      </c>
      <c r="G160" s="2"/>
      <c r="H160" s="6"/>
      <c r="I160" s="2"/>
      <c r="J160" s="7">
        <f t="shared" si="96"/>
        <v>0</v>
      </c>
      <c r="K160" s="2"/>
      <c r="L160" s="6">
        <f t="shared" si="97"/>
        <v>0</v>
      </c>
      <c r="M160" s="2"/>
      <c r="N160" s="7">
        <f t="shared" si="98"/>
        <v>0</v>
      </c>
      <c r="O160" s="10"/>
      <c r="P160" s="6">
        <v>1292.1300000000001</v>
      </c>
      <c r="Q160" s="2"/>
      <c r="R160" s="7">
        <f t="shared" si="99"/>
        <v>5.0223576989129098E-4</v>
      </c>
      <c r="S160" s="2"/>
      <c r="T160" s="6"/>
      <c r="U160" s="2"/>
      <c r="V160" s="7">
        <f t="shared" si="100"/>
        <v>0</v>
      </c>
      <c r="W160" s="2"/>
      <c r="X160" s="6">
        <f t="shared" si="101"/>
        <v>1292.1300000000001</v>
      </c>
      <c r="Y160" s="2"/>
      <c r="Z160" s="7">
        <f t="shared" si="102"/>
        <v>0</v>
      </c>
    </row>
    <row r="161" spans="1:26" s="23" customFormat="1" hidden="1" outlineLevel="2" x14ac:dyDescent="0.25">
      <c r="A161" s="25"/>
      <c r="B161" s="10" t="str">
        <f>CONCATENATE("          ", "6237", " - ", "JANITORIAL SUPPLIES")</f>
        <v xml:space="preserve">          6237 - JANITORIAL SUPPLIES</v>
      </c>
      <c r="C161" s="10"/>
      <c r="D161" s="6"/>
      <c r="E161" s="2"/>
      <c r="F161" s="7">
        <f t="shared" si="95"/>
        <v>0</v>
      </c>
      <c r="G161" s="2"/>
      <c r="H161" s="6"/>
      <c r="I161" s="2"/>
      <c r="J161" s="7">
        <f t="shared" si="96"/>
        <v>0</v>
      </c>
      <c r="K161" s="2"/>
      <c r="L161" s="6">
        <f t="shared" si="97"/>
        <v>0</v>
      </c>
      <c r="M161" s="2"/>
      <c r="N161" s="7">
        <f t="shared" si="98"/>
        <v>0</v>
      </c>
      <c r="O161" s="10"/>
      <c r="P161" s="6">
        <v>191.74</v>
      </c>
      <c r="Q161" s="2"/>
      <c r="R161" s="7">
        <f t="shared" si="99"/>
        <v>7.4527088233348145E-5</v>
      </c>
      <c r="S161" s="2"/>
      <c r="T161" s="6">
        <v>670.42</v>
      </c>
      <c r="U161" s="2"/>
      <c r="V161" s="7">
        <f t="shared" si="100"/>
        <v>2.2832592830477979E-4</v>
      </c>
      <c r="W161" s="2"/>
      <c r="X161" s="6">
        <f t="shared" si="101"/>
        <v>-478.67999999999995</v>
      </c>
      <c r="Y161" s="2"/>
      <c r="Z161" s="7">
        <f t="shared" si="102"/>
        <v>-0.71400017899227342</v>
      </c>
    </row>
    <row r="162" spans="1:26" s="23" customFormat="1" hidden="1" outlineLevel="2" x14ac:dyDescent="0.25">
      <c r="A162" s="25"/>
      <c r="B162" s="10" t="str">
        <f>CONCATENATE("          ", "6241", " - ", "OFFICE EXPENSE")</f>
        <v xml:space="preserve">          6241 - OFFICE EXPENSE</v>
      </c>
      <c r="C162" s="10"/>
      <c r="D162" s="6">
        <v>522.79999999999995</v>
      </c>
      <c r="E162" s="2"/>
      <c r="F162" s="7">
        <f t="shared" si="95"/>
        <v>2.0450633703645747E-3</v>
      </c>
      <c r="G162" s="2"/>
      <c r="H162" s="6">
        <v>3.96</v>
      </c>
      <c r="I162" s="2"/>
      <c r="J162" s="7">
        <f t="shared" si="96"/>
        <v>2.3461479420461166E-5</v>
      </c>
      <c r="K162" s="2"/>
      <c r="L162" s="6">
        <f t="shared" si="97"/>
        <v>518.83999999999992</v>
      </c>
      <c r="M162" s="2"/>
      <c r="N162" s="7">
        <f t="shared" si="98"/>
        <v>131.02020202020199</v>
      </c>
      <c r="O162" s="10"/>
      <c r="P162" s="6">
        <v>2119.9699999999998</v>
      </c>
      <c r="Q162" s="2"/>
      <c r="R162" s="7">
        <f t="shared" si="99"/>
        <v>8.2400746449385123E-4</v>
      </c>
      <c r="S162" s="2"/>
      <c r="T162" s="6">
        <v>5060.78</v>
      </c>
      <c r="U162" s="2"/>
      <c r="V162" s="7">
        <f t="shared" si="100"/>
        <v>1.7235573095168155E-3</v>
      </c>
      <c r="W162" s="2"/>
      <c r="X162" s="6">
        <f t="shared" si="101"/>
        <v>-2940.81</v>
      </c>
      <c r="Y162" s="2"/>
      <c r="Z162" s="7">
        <f t="shared" si="102"/>
        <v>-0.58109817063772784</v>
      </c>
    </row>
    <row r="163" spans="1:26" s="23" customFormat="1" hidden="1" outlineLevel="2" x14ac:dyDescent="0.25">
      <c r="A163" s="25"/>
      <c r="B163" s="10" t="str">
        <f>CONCATENATE("          ", "6245", " - ", "PRINTING")</f>
        <v xml:space="preserve">          6245 - PRINTING</v>
      </c>
      <c r="C163" s="10"/>
      <c r="D163" s="6">
        <v>0</v>
      </c>
      <c r="E163" s="2"/>
      <c r="F163" s="7">
        <f t="shared" si="95"/>
        <v>0</v>
      </c>
      <c r="G163" s="2"/>
      <c r="H163" s="6">
        <v>158.76</v>
      </c>
      <c r="I163" s="2"/>
      <c r="J163" s="7">
        <f t="shared" si="96"/>
        <v>9.4059203858394308E-4</v>
      </c>
      <c r="K163" s="2"/>
      <c r="L163" s="6">
        <f t="shared" si="97"/>
        <v>-158.76</v>
      </c>
      <c r="M163" s="2"/>
      <c r="N163" s="7">
        <f t="shared" si="98"/>
        <v>-1</v>
      </c>
      <c r="O163" s="10"/>
      <c r="P163" s="6">
        <v>0</v>
      </c>
      <c r="Q163" s="2"/>
      <c r="R163" s="7">
        <f t="shared" si="99"/>
        <v>0</v>
      </c>
      <c r="S163" s="2"/>
      <c r="T163" s="6">
        <v>-348.17</v>
      </c>
      <c r="U163" s="2"/>
      <c r="V163" s="7">
        <f t="shared" si="100"/>
        <v>-1.1857677046907191E-4</v>
      </c>
      <c r="W163" s="2"/>
      <c r="X163" s="6">
        <f t="shared" si="101"/>
        <v>348.17</v>
      </c>
      <c r="Y163" s="2"/>
      <c r="Z163" s="7">
        <f t="shared" si="102"/>
        <v>-1</v>
      </c>
    </row>
    <row r="164" spans="1:26" s="23" customFormat="1" hidden="1" outlineLevel="2" x14ac:dyDescent="0.25">
      <c r="A164" s="25"/>
      <c r="B164" s="10" t="str">
        <f>CONCATENATE("          ", "6247", " - ", "STORE SUPPLIES")</f>
        <v xml:space="preserve">          6247 - STORE SUPPLIES</v>
      </c>
      <c r="C164" s="10"/>
      <c r="D164" s="6">
        <v>478.55</v>
      </c>
      <c r="E164" s="2"/>
      <c r="F164" s="7">
        <f t="shared" si="95"/>
        <v>1.8719683930527302E-3</v>
      </c>
      <c r="G164" s="2"/>
      <c r="H164" s="6"/>
      <c r="I164" s="2"/>
      <c r="J164" s="7">
        <f t="shared" si="96"/>
        <v>0</v>
      </c>
      <c r="K164" s="2"/>
      <c r="L164" s="6">
        <f t="shared" si="97"/>
        <v>478.55</v>
      </c>
      <c r="M164" s="2"/>
      <c r="N164" s="7">
        <f t="shared" si="98"/>
        <v>0</v>
      </c>
      <c r="O164" s="10"/>
      <c r="P164" s="6">
        <v>1588.78</v>
      </c>
      <c r="Q164" s="2"/>
      <c r="R164" s="7">
        <f t="shared" si="99"/>
        <v>6.1754014417116337E-4</v>
      </c>
      <c r="S164" s="2"/>
      <c r="T164" s="6">
        <v>1239.3599999999999</v>
      </c>
      <c r="U164" s="2"/>
      <c r="V164" s="7">
        <f t="shared" si="100"/>
        <v>4.2209066332121937E-4</v>
      </c>
      <c r="W164" s="2"/>
      <c r="X164" s="6">
        <f t="shared" si="101"/>
        <v>349.42000000000007</v>
      </c>
      <c r="Y164" s="2"/>
      <c r="Z164" s="7">
        <f t="shared" si="102"/>
        <v>0.28193583785179455</v>
      </c>
    </row>
    <row r="165" spans="1:26" s="27" customFormat="1" outlineLevel="1" collapsed="1" x14ac:dyDescent="0.25">
      <c r="A165" s="26"/>
      <c r="B165" s="12" t="str">
        <f>CONCATENATE("     ","Telephone/Data Lines                              ")</f>
        <v xml:space="preserve">     Telephone/Data Lines                              </v>
      </c>
      <c r="C165" s="12"/>
      <c r="D165" s="1">
        <f>SUM(OSRRefD22_18x_0)</f>
        <v>692.94</v>
      </c>
      <c r="E165" s="1"/>
      <c r="F165" s="5">
        <f t="shared" ref="F165:F171" si="103">IF(D$12=0,0,D165/D$12)</f>
        <v>2.7106086684399937E-3</v>
      </c>
      <c r="G165" s="1"/>
      <c r="H165" s="1">
        <f>SUM(OSRRefH22_18x_0)</f>
        <v>-226.32</v>
      </c>
      <c r="I165" s="1"/>
      <c r="J165" s="5">
        <f t="shared" ref="J165:J171" si="104">IF(H$12=0,0,H165/H$12)</f>
        <v>-1.3408590965754473E-3</v>
      </c>
      <c r="K165" s="1"/>
      <c r="L165" s="1">
        <f t="shared" ref="L165:L171" si="105">+D165-H165</f>
        <v>919.26</v>
      </c>
      <c r="M165" s="1"/>
      <c r="N165" s="5">
        <f t="shared" ref="N165:N171" si="106">IF(H165=0,0,L165/H165)</f>
        <v>-4.0617709437963949</v>
      </c>
      <c r="O165" s="12"/>
      <c r="P165" s="1">
        <f>SUM(OSRRefP22_18x_0)</f>
        <v>6948.37</v>
      </c>
      <c r="Q165" s="1"/>
      <c r="R165" s="5">
        <f t="shared" ref="R165:R171" si="107">IF(P$12=0,0,P165/P$12)</f>
        <v>2.7007498908310692E-3</v>
      </c>
      <c r="S165" s="1"/>
      <c r="T165" s="1">
        <f>SUM(OSRRefT22_18x_0)</f>
        <v>8605.7199999999993</v>
      </c>
      <c r="U165" s="1"/>
      <c r="V165" s="5">
        <f t="shared" ref="V165:V171" si="108">IF(T$12=0,0,T165/T$12)</f>
        <v>2.9308627542898621E-3</v>
      </c>
      <c r="W165" s="1"/>
      <c r="X165" s="1">
        <f t="shared" ref="X165:X171" si="109">+P165-T165</f>
        <v>-1657.3499999999995</v>
      </c>
      <c r="Y165" s="1"/>
      <c r="Z165" s="5">
        <f t="shared" ref="Z165:Z171" si="110">IF(T165=0,0,X165/T165)</f>
        <v>-0.19258702351459256</v>
      </c>
    </row>
    <row r="166" spans="1:26" s="23" customFormat="1" hidden="1" outlineLevel="2" x14ac:dyDescent="0.25">
      <c r="A166" s="25"/>
      <c r="B166" s="10" t="str">
        <f>CONCATENATE("          ", "6309", " - ", "TELEPHONE")</f>
        <v xml:space="preserve">          6309 - TELEPHONE</v>
      </c>
      <c r="C166" s="10"/>
      <c r="D166" s="6">
        <v>692.94</v>
      </c>
      <c r="E166" s="2"/>
      <c r="F166" s="7">
        <f t="shared" si="103"/>
        <v>2.7106086684399937E-3</v>
      </c>
      <c r="G166" s="2"/>
      <c r="H166" s="6">
        <v>-226.32</v>
      </c>
      <c r="I166" s="2"/>
      <c r="J166" s="7">
        <f t="shared" si="104"/>
        <v>-1.3408590965754473E-3</v>
      </c>
      <c r="K166" s="2"/>
      <c r="L166" s="6">
        <f t="shared" si="105"/>
        <v>919.26</v>
      </c>
      <c r="M166" s="2"/>
      <c r="N166" s="7">
        <f t="shared" si="106"/>
        <v>-4.0617709437963949</v>
      </c>
      <c r="O166" s="10"/>
      <c r="P166" s="6">
        <v>6948.37</v>
      </c>
      <c r="Q166" s="2"/>
      <c r="R166" s="7">
        <f t="shared" si="107"/>
        <v>2.7007498908310692E-3</v>
      </c>
      <c r="S166" s="2"/>
      <c r="T166" s="6">
        <v>8605.7199999999993</v>
      </c>
      <c r="U166" s="2"/>
      <c r="V166" s="7">
        <f t="shared" si="108"/>
        <v>2.9308627542898621E-3</v>
      </c>
      <c r="W166" s="2"/>
      <c r="X166" s="6">
        <f t="shared" si="109"/>
        <v>-1657.3499999999995</v>
      </c>
      <c r="Y166" s="2"/>
      <c r="Z166" s="7">
        <f t="shared" si="110"/>
        <v>-0.19258702351459256</v>
      </c>
    </row>
    <row r="167" spans="1:26" s="27" customFormat="1" outlineLevel="1" collapsed="1" x14ac:dyDescent="0.25">
      <c r="A167" s="26"/>
      <c r="B167" s="12" t="str">
        <f>CONCATENATE("     ","Training                                          ")</f>
        <v xml:space="preserve">     Training                                          </v>
      </c>
      <c r="C167" s="12"/>
      <c r="D167" s="1">
        <f>SUM(OSRRefD22_19x_0)</f>
        <v>0</v>
      </c>
      <c r="E167" s="1"/>
      <c r="F167" s="5">
        <f t="shared" si="103"/>
        <v>0</v>
      </c>
      <c r="G167" s="1"/>
      <c r="H167" s="1">
        <f>SUM(OSRRefH22_19x_0)</f>
        <v>0</v>
      </c>
      <c r="I167" s="1"/>
      <c r="J167" s="5">
        <f t="shared" si="104"/>
        <v>0</v>
      </c>
      <c r="K167" s="1"/>
      <c r="L167" s="1">
        <f t="shared" si="105"/>
        <v>0</v>
      </c>
      <c r="M167" s="1"/>
      <c r="N167" s="5">
        <f t="shared" si="106"/>
        <v>0</v>
      </c>
      <c r="O167" s="12"/>
      <c r="P167" s="1">
        <f>SUM(OSRRefP22_19x_0)</f>
        <v>0</v>
      </c>
      <c r="Q167" s="1"/>
      <c r="R167" s="5">
        <f t="shared" si="107"/>
        <v>0</v>
      </c>
      <c r="S167" s="1"/>
      <c r="T167" s="1">
        <f>SUM(OSRRefT22_19x_0)</f>
        <v>5264.54</v>
      </c>
      <c r="U167" s="1"/>
      <c r="V167" s="5">
        <f t="shared" si="108"/>
        <v>1.7929521532735382E-3</v>
      </c>
      <c r="W167" s="1"/>
      <c r="X167" s="1">
        <f t="shared" si="109"/>
        <v>-5264.54</v>
      </c>
      <c r="Y167" s="1"/>
      <c r="Z167" s="5">
        <f t="shared" si="110"/>
        <v>-1</v>
      </c>
    </row>
    <row r="168" spans="1:26" s="23" customFormat="1" hidden="1" outlineLevel="2" x14ac:dyDescent="0.25">
      <c r="A168" s="25"/>
      <c r="B168" s="10" t="str">
        <f>CONCATENATE("          ", "6376", " - ", "TRAINING")</f>
        <v xml:space="preserve">          6376 - TRAINING</v>
      </c>
      <c r="C168" s="10"/>
      <c r="D168" s="6"/>
      <c r="E168" s="2"/>
      <c r="F168" s="7">
        <f t="shared" si="103"/>
        <v>0</v>
      </c>
      <c r="G168" s="2"/>
      <c r="H168" s="6"/>
      <c r="I168" s="2"/>
      <c r="J168" s="7">
        <f t="shared" si="104"/>
        <v>0</v>
      </c>
      <c r="K168" s="2"/>
      <c r="L168" s="6">
        <f t="shared" si="105"/>
        <v>0</v>
      </c>
      <c r="M168" s="2"/>
      <c r="N168" s="7">
        <f t="shared" si="106"/>
        <v>0</v>
      </c>
      <c r="O168" s="10"/>
      <c r="P168" s="6"/>
      <c r="Q168" s="2"/>
      <c r="R168" s="7">
        <f t="shared" si="107"/>
        <v>0</v>
      </c>
      <c r="S168" s="2"/>
      <c r="T168" s="6">
        <v>5264.54</v>
      </c>
      <c r="U168" s="2"/>
      <c r="V168" s="7">
        <f t="shared" si="108"/>
        <v>1.7929521532735382E-3</v>
      </c>
      <c r="W168" s="2"/>
      <c r="X168" s="6">
        <f t="shared" si="109"/>
        <v>-5264.54</v>
      </c>
      <c r="Y168" s="2"/>
      <c r="Z168" s="7">
        <f t="shared" si="110"/>
        <v>-1</v>
      </c>
    </row>
    <row r="169" spans="1:26" s="27" customFormat="1" outlineLevel="1" collapsed="1" x14ac:dyDescent="0.25">
      <c r="A169" s="26"/>
      <c r="B169" s="12" t="str">
        <f>CONCATENATE("     ","Travel                                            ")</f>
        <v xml:space="preserve">     Travel                                            </v>
      </c>
      <c r="C169" s="12"/>
      <c r="D169" s="1">
        <f>SUM(OSRRefD22_20x_0)</f>
        <v>0</v>
      </c>
      <c r="E169" s="1"/>
      <c r="F169" s="5">
        <f t="shared" si="103"/>
        <v>0</v>
      </c>
      <c r="G169" s="1"/>
      <c r="H169" s="1">
        <f>SUM(OSRRefH22_20x_0)</f>
        <v>0</v>
      </c>
      <c r="I169" s="1"/>
      <c r="J169" s="5">
        <f t="shared" si="104"/>
        <v>0</v>
      </c>
      <c r="K169" s="1"/>
      <c r="L169" s="1">
        <f t="shared" si="105"/>
        <v>0</v>
      </c>
      <c r="M169" s="1"/>
      <c r="N169" s="5">
        <f t="shared" si="106"/>
        <v>0</v>
      </c>
      <c r="O169" s="12"/>
      <c r="P169" s="1">
        <f>SUM(OSRRefP22_20x_0)</f>
        <v>613.35</v>
      </c>
      <c r="Q169" s="1"/>
      <c r="R169" s="5">
        <f t="shared" si="107"/>
        <v>2.3840194830460041E-4</v>
      </c>
      <c r="S169" s="1"/>
      <c r="T169" s="1">
        <f>SUM(OSRRefT22_20x_0)</f>
        <v>612.98</v>
      </c>
      <c r="U169" s="1"/>
      <c r="V169" s="5">
        <f t="shared" si="108"/>
        <v>2.0876350277775711E-4</v>
      </c>
      <c r="W169" s="1"/>
      <c r="X169" s="1">
        <f t="shared" si="109"/>
        <v>0.37000000000000455</v>
      </c>
      <c r="Y169" s="1"/>
      <c r="Z169" s="5">
        <f t="shared" si="110"/>
        <v>6.0360860060687874E-4</v>
      </c>
    </row>
    <row r="170" spans="1:26" s="23" customFormat="1" hidden="1" outlineLevel="2" x14ac:dyDescent="0.25">
      <c r="A170" s="25"/>
      <c r="B170" s="10" t="str">
        <f>CONCATENATE("          ", "6292", " - ", "TRAVEL/CONFERENCE")</f>
        <v xml:space="preserve">          6292 - TRAVEL/CONFERENCE</v>
      </c>
      <c r="C170" s="10"/>
      <c r="D170" s="6"/>
      <c r="E170" s="2"/>
      <c r="F170" s="7">
        <f t="shared" si="103"/>
        <v>0</v>
      </c>
      <c r="G170" s="2"/>
      <c r="H170" s="6"/>
      <c r="I170" s="2"/>
      <c r="J170" s="7">
        <f t="shared" si="104"/>
        <v>0</v>
      </c>
      <c r="K170" s="2"/>
      <c r="L170" s="6">
        <f t="shared" si="105"/>
        <v>0</v>
      </c>
      <c r="M170" s="2"/>
      <c r="N170" s="7">
        <f t="shared" si="106"/>
        <v>0</v>
      </c>
      <c r="O170" s="10"/>
      <c r="P170" s="6"/>
      <c r="Q170" s="2"/>
      <c r="R170" s="7">
        <f t="shared" si="107"/>
        <v>0</v>
      </c>
      <c r="S170" s="2"/>
      <c r="T170" s="6">
        <v>107.04</v>
      </c>
      <c r="U170" s="2"/>
      <c r="V170" s="7">
        <f t="shared" si="108"/>
        <v>3.6454770689632813E-5</v>
      </c>
      <c r="W170" s="2"/>
      <c r="X170" s="6">
        <f t="shared" si="109"/>
        <v>-107.04</v>
      </c>
      <c r="Y170" s="2"/>
      <c r="Z170" s="7">
        <f t="shared" si="110"/>
        <v>-1</v>
      </c>
    </row>
    <row r="171" spans="1:26" s="23" customFormat="1" hidden="1" outlineLevel="2" x14ac:dyDescent="0.25">
      <c r="A171" s="25"/>
      <c r="B171" s="10" t="str">
        <f>CONCATENATE("          ", "6294", " - ", "TRAVEL OPERATIONAL")</f>
        <v xml:space="preserve">          6294 - TRAVEL OPERATIONAL</v>
      </c>
      <c r="C171" s="10"/>
      <c r="D171" s="6"/>
      <c r="E171" s="2"/>
      <c r="F171" s="7">
        <f t="shared" si="103"/>
        <v>0</v>
      </c>
      <c r="G171" s="2"/>
      <c r="H171" s="6"/>
      <c r="I171" s="2"/>
      <c r="J171" s="7">
        <f t="shared" si="104"/>
        <v>0</v>
      </c>
      <c r="K171" s="2"/>
      <c r="L171" s="6">
        <f t="shared" si="105"/>
        <v>0</v>
      </c>
      <c r="M171" s="2"/>
      <c r="N171" s="7">
        <f t="shared" si="106"/>
        <v>0</v>
      </c>
      <c r="O171" s="10"/>
      <c r="P171" s="6">
        <v>613.35</v>
      </c>
      <c r="Q171" s="2"/>
      <c r="R171" s="7">
        <f t="shared" si="107"/>
        <v>2.3840194830460041E-4</v>
      </c>
      <c r="S171" s="2"/>
      <c r="T171" s="6">
        <v>505.94</v>
      </c>
      <c r="U171" s="2"/>
      <c r="V171" s="7">
        <f t="shared" si="108"/>
        <v>1.7230873208812431E-4</v>
      </c>
      <c r="W171" s="2"/>
      <c r="X171" s="6">
        <f t="shared" si="109"/>
        <v>107.41000000000003</v>
      </c>
      <c r="Y171" s="2"/>
      <c r="Z171" s="7">
        <f t="shared" si="110"/>
        <v>0.21229790093687004</v>
      </c>
    </row>
    <row r="172" spans="1:26" s="27" customFormat="1" outlineLevel="1" collapsed="1" x14ac:dyDescent="0.25">
      <c r="A172" s="26"/>
      <c r="B172" s="12" t="str">
        <f>CONCATENATE("     ","Utilities                                         ")</f>
        <v xml:space="preserve">     Utilities                                         </v>
      </c>
      <c r="C172" s="12"/>
      <c r="D172" s="1">
        <f>SUM(OSRRefD22_21x_0)</f>
        <v>29.94</v>
      </c>
      <c r="E172" s="1"/>
      <c r="F172" s="5">
        <f t="shared" ref="F172:F173" si="111">IF(D$12=0,0,D172/D$12)</f>
        <v>1.1711782193709904E-4</v>
      </c>
      <c r="G172" s="1"/>
      <c r="H172" s="1">
        <f>SUM(OSRRefH22_21x_0)</f>
        <v>27.8</v>
      </c>
      <c r="I172" s="1"/>
      <c r="J172" s="5">
        <f t="shared" ref="J172:J173" si="112">IF(H$12=0,0,H172/H$12)</f>
        <v>1.6470432522444961E-4</v>
      </c>
      <c r="K172" s="1"/>
      <c r="L172" s="1">
        <f t="shared" ref="L172:L173" si="113">+D172-H172</f>
        <v>2.1400000000000006</v>
      </c>
      <c r="M172" s="1"/>
      <c r="N172" s="5">
        <f t="shared" ref="N172:N173" si="114">IF(H172=0,0,L172/H172)</f>
        <v>7.6978417266187066E-2</v>
      </c>
      <c r="O172" s="12"/>
      <c r="P172" s="1">
        <f>SUM(OSRRefP22_21x_0)</f>
        <v>324.37</v>
      </c>
      <c r="Q172" s="1"/>
      <c r="R172" s="5">
        <f t="shared" ref="R172:R173" si="115">IF(P$12=0,0,P172/P$12)</f>
        <v>1.2607881302936861E-4</v>
      </c>
      <c r="S172" s="1"/>
      <c r="T172" s="1">
        <f>SUM(OSRRefT22_21x_0)</f>
        <v>2987.58</v>
      </c>
      <c r="U172" s="1"/>
      <c r="V172" s="5">
        <f t="shared" ref="V172:V173" si="116">IF(T$12=0,0,T172/T$12)</f>
        <v>1.0174845274377167E-3</v>
      </c>
      <c r="W172" s="1"/>
      <c r="X172" s="1">
        <f t="shared" ref="X172:X173" si="117">+P172-T172</f>
        <v>-2663.21</v>
      </c>
      <c r="Y172" s="1"/>
      <c r="Z172" s="5">
        <f t="shared" ref="Z172:Z173" si="118">IF(T172=0,0,X172/T172)</f>
        <v>-0.89142717517187831</v>
      </c>
    </row>
    <row r="173" spans="1:26" s="23" customFormat="1" hidden="1" outlineLevel="2" x14ac:dyDescent="0.25">
      <c r="A173" s="25"/>
      <c r="B173" s="10" t="str">
        <f>CONCATENATE("          ", "6274", " - ", "UTILITIES")</f>
        <v xml:space="preserve">          6274 - UTILITIES</v>
      </c>
      <c r="C173" s="10"/>
      <c r="D173" s="6">
        <v>29.94</v>
      </c>
      <c r="E173" s="2"/>
      <c r="F173" s="7">
        <f t="shared" si="111"/>
        <v>1.1711782193709904E-4</v>
      </c>
      <c r="G173" s="2"/>
      <c r="H173" s="6">
        <v>27.8</v>
      </c>
      <c r="I173" s="2"/>
      <c r="J173" s="7">
        <f t="shared" si="112"/>
        <v>1.6470432522444961E-4</v>
      </c>
      <c r="K173" s="2"/>
      <c r="L173" s="6">
        <f t="shared" si="113"/>
        <v>2.1400000000000006</v>
      </c>
      <c r="M173" s="2"/>
      <c r="N173" s="7">
        <f t="shared" si="114"/>
        <v>7.6978417266187066E-2</v>
      </c>
      <c r="O173" s="10"/>
      <c r="P173" s="6">
        <v>324.37</v>
      </c>
      <c r="Q173" s="2"/>
      <c r="R173" s="7">
        <f t="shared" si="115"/>
        <v>1.2607881302936861E-4</v>
      </c>
      <c r="S173" s="2"/>
      <c r="T173" s="6">
        <v>2987.58</v>
      </c>
      <c r="U173" s="2"/>
      <c r="V173" s="7">
        <f t="shared" si="116"/>
        <v>1.0174845274377167E-3</v>
      </c>
      <c r="W173" s="2"/>
      <c r="X173" s="6">
        <f t="shared" si="117"/>
        <v>-2663.21</v>
      </c>
      <c r="Y173" s="2"/>
      <c r="Z173" s="7">
        <f t="shared" si="118"/>
        <v>-0.89142717517187831</v>
      </c>
    </row>
    <row r="174" spans="1:26" s="52" customFormat="1" x14ac:dyDescent="0.25">
      <c r="A174" s="37"/>
      <c r="B174" s="37"/>
      <c r="C174" s="37"/>
      <c r="D174" s="1"/>
      <c r="E174" s="1"/>
      <c r="F174" s="5"/>
      <c r="G174" s="1"/>
      <c r="H174" s="1"/>
      <c r="I174" s="1"/>
      <c r="J174" s="5"/>
      <c r="K174" s="1"/>
      <c r="L174" s="1"/>
      <c r="M174" s="1"/>
      <c r="N174" s="5"/>
      <c r="O174" s="37"/>
      <c r="P174" s="1"/>
      <c r="Q174" s="1"/>
      <c r="R174" s="5"/>
      <c r="S174" s="1"/>
      <c r="T174" s="1"/>
      <c r="U174" s="1"/>
      <c r="V174" s="5"/>
      <c r="W174" s="1"/>
      <c r="X174" s="1"/>
      <c r="Y174" s="1"/>
      <c r="Z174" s="5"/>
    </row>
    <row r="175" spans="1:26" s="24" customFormat="1" collapsed="1" x14ac:dyDescent="0.25">
      <c r="A175" s="11"/>
      <c r="B175" s="29" t="s">
        <v>292</v>
      </c>
      <c r="C175" s="11"/>
      <c r="D175" s="4">
        <f>SUM(OSRRefD25x_0)</f>
        <v>381445.06</v>
      </c>
      <c r="E175" s="4"/>
      <c r="F175" s="13">
        <f t="shared" ref="F175:F178" si="119">IF(D$12=0,0,D175/D$12)</f>
        <v>1.4921180566421528</v>
      </c>
      <c r="G175" s="4"/>
      <c r="H175" s="4">
        <f>SUM(OSRRefH25x_0)</f>
        <v>-7960.4</v>
      </c>
      <c r="I175" s="4"/>
      <c r="J175" s="13">
        <f t="shared" ref="J175:J178" si="120">IF(H$12=0,0,H175/H$12)</f>
        <v>-4.7162313327939159E-2</v>
      </c>
      <c r="K175" s="4"/>
      <c r="L175" s="4">
        <f t="shared" ref="L175:L178" si="121">+D175-H175</f>
        <v>389405.46</v>
      </c>
      <c r="M175" s="4"/>
      <c r="N175" s="13">
        <f t="shared" ref="N175:N178" si="122">IF(H175=0,0,L175/H175)</f>
        <v>-48.917825737400136</v>
      </c>
      <c r="O175" s="11"/>
      <c r="P175" s="4">
        <f>SUM(OSRRefP25x_0)</f>
        <v>794131.84000000008</v>
      </c>
      <c r="Q175" s="4"/>
      <c r="R175" s="13">
        <f t="shared" ref="R175:R178" si="123">IF(P$12=0,0,P175/P$12)</f>
        <v>0.30866972832268236</v>
      </c>
      <c r="S175" s="4"/>
      <c r="T175" s="4">
        <f>SUM(OSRRefT25x_0)</f>
        <v>88944.49</v>
      </c>
      <c r="U175" s="4"/>
      <c r="V175" s="13">
        <f t="shared" ref="V175:V178" si="124">IF(T$12=0,0,T175/T$12)</f>
        <v>3.0291956157103315E-2</v>
      </c>
      <c r="W175" s="4"/>
      <c r="X175" s="4">
        <f t="shared" ref="X175:X178" si="125">+P175-T175</f>
        <v>705187.35000000009</v>
      </c>
      <c r="Y175" s="4"/>
      <c r="Z175" s="13">
        <f t="shared" ref="Z175:Z178" si="126">IF(T175=0,0,X175/T175)</f>
        <v>7.9283983752113265</v>
      </c>
    </row>
    <row r="176" spans="1:26" s="23" customFormat="1" hidden="1" outlineLevel="1" x14ac:dyDescent="0.25">
      <c r="A176" s="44"/>
      <c r="B176" s="10" t="str">
        <f>CONCATENATE("          ", "4098", " - ", "TAXABLE SALES-GRAD RENTALS")</f>
        <v xml:space="preserve">          4098 - TAXABLE SALES-GRAD RENTALS</v>
      </c>
      <c r="C176" s="10"/>
      <c r="D176" s="2">
        <f>--1017.7</f>
        <v>1017.7</v>
      </c>
      <c r="E176" s="2"/>
      <c r="F176" s="19">
        <f t="shared" si="119"/>
        <v>3.9809888906274446E-3</v>
      </c>
      <c r="G176" s="2"/>
      <c r="H176" s="2">
        <f>0</f>
        <v>0</v>
      </c>
      <c r="I176" s="2"/>
      <c r="J176" s="19">
        <f t="shared" si="120"/>
        <v>0</v>
      </c>
      <c r="K176" s="2"/>
      <c r="L176" s="2">
        <f t="shared" si="121"/>
        <v>1017.7</v>
      </c>
      <c r="M176" s="2"/>
      <c r="N176" s="19">
        <f t="shared" si="122"/>
        <v>0</v>
      </c>
      <c r="O176" s="10"/>
      <c r="P176" s="2">
        <f>--1067.65</f>
        <v>1067.6500000000001</v>
      </c>
      <c r="Q176" s="2"/>
      <c r="R176" s="19">
        <f t="shared" si="123"/>
        <v>4.149830278102334E-4</v>
      </c>
      <c r="S176" s="2"/>
      <c r="T176" s="2">
        <f>0</f>
        <v>0</v>
      </c>
      <c r="U176" s="2"/>
      <c r="V176" s="19">
        <f t="shared" si="124"/>
        <v>0</v>
      </c>
      <c r="W176" s="2"/>
      <c r="X176" s="2">
        <f t="shared" si="125"/>
        <v>1067.6500000000001</v>
      </c>
      <c r="Y176" s="2"/>
      <c r="Z176" s="19">
        <f t="shared" si="126"/>
        <v>0</v>
      </c>
    </row>
    <row r="177" spans="1:26" s="23" customFormat="1" hidden="1" outlineLevel="1" x14ac:dyDescent="0.25">
      <c r="A177" s="44"/>
      <c r="B177" s="10" t="str">
        <f>CONCATENATE("          ", "9150", " - ", "MISC. INCOME")</f>
        <v xml:space="preserve">          9150 - MISC. INCOME</v>
      </c>
      <c r="C177" s="10"/>
      <c r="D177" s="2">
        <f>--1666.87</f>
        <v>1666.87</v>
      </c>
      <c r="E177" s="2"/>
      <c r="F177" s="19">
        <f t="shared" si="119"/>
        <v>6.52038022218745E-3</v>
      </c>
      <c r="G177" s="2"/>
      <c r="H177" s="2">
        <f>-7960.4</f>
        <v>-7960.4</v>
      </c>
      <c r="I177" s="2"/>
      <c r="J177" s="19">
        <f t="shared" si="120"/>
        <v>-4.7162313327939159E-2</v>
      </c>
      <c r="K177" s="2"/>
      <c r="L177" s="2">
        <f t="shared" si="121"/>
        <v>9627.27</v>
      </c>
      <c r="M177" s="2"/>
      <c r="N177" s="19">
        <f t="shared" si="122"/>
        <v>-1.209395256519773</v>
      </c>
      <c r="O177" s="10"/>
      <c r="P177" s="2">
        <f>--65963.14</f>
        <v>65963.14</v>
      </c>
      <c r="Q177" s="2"/>
      <c r="R177" s="19">
        <f t="shared" si="123"/>
        <v>2.5639098544532678E-2</v>
      </c>
      <c r="S177" s="2"/>
      <c r="T177" s="2">
        <f>--88944.49</f>
        <v>88944.49</v>
      </c>
      <c r="U177" s="2"/>
      <c r="V177" s="19">
        <f t="shared" si="124"/>
        <v>3.0291956157103315E-2</v>
      </c>
      <c r="W177" s="2"/>
      <c r="X177" s="2">
        <f t="shared" si="125"/>
        <v>-22981.350000000006</v>
      </c>
      <c r="Y177" s="2"/>
      <c r="Z177" s="19">
        <f t="shared" si="126"/>
        <v>-0.25837856847568641</v>
      </c>
    </row>
    <row r="178" spans="1:26" s="23" customFormat="1" hidden="1" outlineLevel="1" x14ac:dyDescent="0.25">
      <c r="A178" s="44"/>
      <c r="B178" s="10" t="str">
        <f>CONCATENATE("          ", "9163", " - ", "MISC. INCOME")</f>
        <v xml:space="preserve">          9163 - MISC. INCOME</v>
      </c>
      <c r="C178" s="10"/>
      <c r="D178" s="2">
        <f>--378760.49</f>
        <v>378760.49</v>
      </c>
      <c r="E178" s="2"/>
      <c r="F178" s="19">
        <f t="shared" si="119"/>
        <v>1.481616687529338</v>
      </c>
      <c r="G178" s="2"/>
      <c r="H178" s="2">
        <f>0</f>
        <v>0</v>
      </c>
      <c r="I178" s="2"/>
      <c r="J178" s="19">
        <f t="shared" si="120"/>
        <v>0</v>
      </c>
      <c r="K178" s="2"/>
      <c r="L178" s="2">
        <f t="shared" si="121"/>
        <v>378760.49</v>
      </c>
      <c r="M178" s="2"/>
      <c r="N178" s="19">
        <f t="shared" si="122"/>
        <v>0</v>
      </c>
      <c r="O178" s="10"/>
      <c r="P178" s="2">
        <f>--727101.05</f>
        <v>727101.05</v>
      </c>
      <c r="Q178" s="2"/>
      <c r="R178" s="19">
        <f t="shared" si="123"/>
        <v>0.2826156467503394</v>
      </c>
      <c r="S178" s="2"/>
      <c r="T178" s="2">
        <f>0</f>
        <v>0</v>
      </c>
      <c r="U178" s="2"/>
      <c r="V178" s="19">
        <f t="shared" si="124"/>
        <v>0</v>
      </c>
      <c r="W178" s="2"/>
      <c r="X178" s="2">
        <f t="shared" si="125"/>
        <v>727101.05</v>
      </c>
      <c r="Y178" s="2"/>
      <c r="Z178" s="19">
        <f t="shared" si="126"/>
        <v>0</v>
      </c>
    </row>
    <row r="179" spans="1:26" x14ac:dyDescent="0.25">
      <c r="A179" s="9"/>
      <c r="B179" s="11"/>
      <c r="C179" s="11"/>
      <c r="D179" s="3"/>
      <c r="E179" s="3"/>
      <c r="F179" s="8"/>
      <c r="G179" s="3"/>
      <c r="H179" s="3"/>
      <c r="I179" s="3"/>
      <c r="J179" s="8"/>
      <c r="K179" s="3"/>
      <c r="L179" s="3"/>
      <c r="M179" s="3"/>
      <c r="N179" s="8"/>
      <c r="O179" s="11"/>
      <c r="P179" s="3"/>
      <c r="Q179" s="3"/>
      <c r="R179" s="8"/>
      <c r="S179" s="3"/>
      <c r="T179" s="3"/>
      <c r="U179" s="3"/>
      <c r="V179" s="8"/>
      <c r="W179" s="3"/>
      <c r="X179" s="3"/>
      <c r="Y179" s="3"/>
      <c r="Z179" s="8"/>
    </row>
    <row r="180" spans="1:26" s="24" customFormat="1" x14ac:dyDescent="0.25">
      <c r="A180" s="11"/>
      <c r="B180" s="28" t="s">
        <v>276</v>
      </c>
      <c r="C180" s="28"/>
      <c r="D180" s="21">
        <f>+D89-D91+D175</f>
        <v>554686.3600000001</v>
      </c>
      <c r="E180" s="14"/>
      <c r="F180" s="22">
        <f>IF(D$12=0,0,D180/D$12)</f>
        <v>2.1697948677828198</v>
      </c>
      <c r="G180" s="14"/>
      <c r="H180" s="21">
        <f>+H89-H91+H175</f>
        <v>-137054.84</v>
      </c>
      <c r="I180" s="14"/>
      <c r="J180" s="22">
        <f>IF(H$12=0,0,H180/H$12)</f>
        <v>-0.8119973000339894</v>
      </c>
      <c r="K180" s="15"/>
      <c r="L180" s="21">
        <f>+D180-H180</f>
        <v>691741.20000000007</v>
      </c>
      <c r="M180" s="15"/>
      <c r="N180" s="22">
        <f>IF(H180=0,0,L180/H180)</f>
        <v>-5.047185491588623</v>
      </c>
      <c r="O180" s="29"/>
      <c r="P180" s="21">
        <f>+P89-P91+P175</f>
        <v>1308519.5300000003</v>
      </c>
      <c r="Q180" s="14"/>
      <c r="R180" s="22">
        <f>IF(P$12=0,0,P180/P$12)</f>
        <v>0.50860618789699208</v>
      </c>
      <c r="S180" s="14"/>
      <c r="T180" s="21">
        <f>+T89-T91+T175</f>
        <v>443095.83000000054</v>
      </c>
      <c r="U180" s="14"/>
      <c r="V180" s="22">
        <f>IF(T$12=0,0,T180/T$12)</f>
        <v>0.15090580041276666</v>
      </c>
      <c r="W180" s="15"/>
      <c r="X180" s="21">
        <f>+P180-T180</f>
        <v>865423.69999999972</v>
      </c>
      <c r="Y180" s="15"/>
      <c r="Z180" s="22">
        <f>IF(T180=0,0,X180/T180)</f>
        <v>1.9531298680919627</v>
      </c>
    </row>
    <row r="181" spans="1:26" x14ac:dyDescent="0.25">
      <c r="A181" s="9"/>
      <c r="B181" s="11"/>
      <c r="C181" s="9"/>
      <c r="D181" s="3"/>
      <c r="E181" s="3"/>
      <c r="F181" s="8"/>
      <c r="G181" s="3"/>
      <c r="H181" s="3"/>
      <c r="I181" s="3"/>
      <c r="J181" s="8"/>
      <c r="K181" s="3"/>
      <c r="L181" s="3"/>
      <c r="M181" s="3"/>
      <c r="N181" s="8"/>
      <c r="P181" s="3"/>
      <c r="Q181" s="3"/>
      <c r="R181" s="8"/>
      <c r="S181" s="3"/>
      <c r="T181" s="3"/>
      <c r="U181" s="3"/>
      <c r="V181" s="8"/>
      <c r="W181" s="3"/>
      <c r="X181" s="3"/>
      <c r="Y181" s="3"/>
      <c r="Z181" s="8"/>
    </row>
    <row r="182" spans="1:26" s="24" customFormat="1" x14ac:dyDescent="0.25">
      <c r="A182" s="51"/>
      <c r="B182" s="11" t="s">
        <v>127</v>
      </c>
      <c r="C182" s="11"/>
      <c r="D182" s="4">
        <v>216979.37</v>
      </c>
      <c r="E182" s="4"/>
      <c r="F182" s="13">
        <f>IF(D$12=0,0,D182/D$12)</f>
        <v>0.84876924581442648</v>
      </c>
      <c r="G182" s="4"/>
      <c r="H182" s="4">
        <v>116889.86</v>
      </c>
      <c r="I182" s="4"/>
      <c r="J182" s="13">
        <f>IF(H$12=0,0,H182/H$12)</f>
        <v>0.69252753657843102</v>
      </c>
      <c r="K182" s="4"/>
      <c r="L182" s="4">
        <f>+D182-H182</f>
        <v>100089.51</v>
      </c>
      <c r="M182" s="4"/>
      <c r="N182" s="13">
        <f>IF(H182=0,0,L182/H182)</f>
        <v>0.85627196405231376</v>
      </c>
      <c r="O182" s="11"/>
      <c r="P182" s="4">
        <v>712125.05</v>
      </c>
      <c r="Q182" s="4"/>
      <c r="R182" s="13">
        <f>IF(P$12=0,0,P182/P$12)</f>
        <v>0.27679465127009212</v>
      </c>
      <c r="S182" s="4"/>
      <c r="T182" s="4">
        <v>444613.34</v>
      </c>
      <c r="U182" s="4"/>
      <c r="V182" s="13">
        <f>IF(T$12=0,0,T182/T$12)</f>
        <v>0.15142262103187359</v>
      </c>
      <c r="W182" s="4"/>
      <c r="X182" s="4">
        <f>+P182-T182</f>
        <v>267511.71000000002</v>
      </c>
      <c r="Y182" s="4"/>
      <c r="Z182" s="13">
        <f>IF(T182=0,0,X182/T182)</f>
        <v>0.60167270284782726</v>
      </c>
    </row>
    <row r="183" spans="1:26" x14ac:dyDescent="0.25">
      <c r="A183" s="9"/>
      <c r="B183" s="11"/>
      <c r="C183" s="11"/>
      <c r="D183" s="3"/>
      <c r="E183" s="3"/>
      <c r="F183" s="8"/>
      <c r="G183" s="3"/>
      <c r="H183" s="3"/>
      <c r="I183" s="3"/>
      <c r="J183" s="8"/>
      <c r="K183" s="3"/>
      <c r="L183" s="3"/>
      <c r="M183" s="3"/>
      <c r="N183" s="8"/>
      <c r="O183" s="11"/>
      <c r="P183" s="3"/>
      <c r="Q183" s="3"/>
      <c r="R183" s="8"/>
      <c r="S183" s="3"/>
      <c r="T183" s="3"/>
      <c r="U183" s="3"/>
      <c r="V183" s="8"/>
      <c r="W183" s="3"/>
      <c r="X183" s="3"/>
      <c r="Y183" s="3"/>
      <c r="Z183" s="8"/>
    </row>
    <row r="184" spans="1:26" s="24" customFormat="1" ht="15.75" thickBot="1" x14ac:dyDescent="0.3">
      <c r="A184" s="11"/>
      <c r="B184" s="28" t="s">
        <v>125</v>
      </c>
      <c r="C184" s="28"/>
      <c r="D184" s="34">
        <f>+D180-D182</f>
        <v>337706.99000000011</v>
      </c>
      <c r="E184" s="14"/>
      <c r="F184" s="31">
        <f>IF(D$12=0,0,D184/D$12)</f>
        <v>1.3210256219683933</v>
      </c>
      <c r="G184" s="14"/>
      <c r="H184" s="34">
        <f>+H180-H182</f>
        <v>-253944.7</v>
      </c>
      <c r="I184" s="14"/>
      <c r="J184" s="31">
        <f>IF(H$12=0,0,H184/H$12)</f>
        <v>-1.5045248366124204</v>
      </c>
      <c r="K184" s="15"/>
      <c r="L184" s="34">
        <f>D184-H184</f>
        <v>591651.69000000018</v>
      </c>
      <c r="M184" s="15"/>
      <c r="N184" s="31">
        <f>IF(H184=0,0,L184/H184)</f>
        <v>-2.3298446079008546</v>
      </c>
      <c r="O184" s="29"/>
      <c r="P184" s="34">
        <f>+P180-P182</f>
        <v>596394.48000000021</v>
      </c>
      <c r="Q184" s="14"/>
      <c r="R184" s="31">
        <f>IF(P$12=0,0,P184/P$12)</f>
        <v>0.23181153662689996</v>
      </c>
      <c r="S184" s="14"/>
      <c r="T184" s="34">
        <f>+T180-T182</f>
        <v>-1517.5099999994854</v>
      </c>
      <c r="U184" s="14"/>
      <c r="V184" s="31">
        <f>IF(T$12=0,0,T184/T$12)</f>
        <v>-5.1682061910693139E-4</v>
      </c>
      <c r="W184" s="15"/>
      <c r="X184" s="34">
        <f>P184-T184</f>
        <v>597911.98999999976</v>
      </c>
      <c r="Y184" s="15"/>
      <c r="Z184" s="31">
        <f>IF(T184=0,0,X184/T184)</f>
        <v>-394.00859961397452</v>
      </c>
    </row>
    <row r="185" spans="1:26" ht="15.75" thickTop="1" x14ac:dyDescent="0.25">
      <c r="A185" s="9"/>
      <c r="B185" s="9"/>
      <c r="C185" s="9"/>
      <c r="D185" s="3"/>
      <c r="E185" s="3"/>
      <c r="F185" s="8"/>
      <c r="G185" s="3"/>
      <c r="H185" s="3"/>
      <c r="I185" s="3"/>
      <c r="J185" s="8"/>
      <c r="K185" s="3"/>
      <c r="L185" s="3"/>
      <c r="M185" s="3"/>
      <c r="N185" s="8"/>
      <c r="P185" s="3"/>
      <c r="Q185" s="3"/>
      <c r="R185" s="8"/>
      <c r="S185" s="3"/>
      <c r="T185" s="3"/>
      <c r="U185" s="3"/>
      <c r="V185" s="8"/>
      <c r="W185" s="3"/>
      <c r="X185" s="3"/>
      <c r="Y185" s="3"/>
      <c r="Z185" s="8"/>
    </row>
    <row r="186" spans="1:26" x14ac:dyDescent="0.25">
      <c r="A186" s="9"/>
      <c r="B186" s="9"/>
      <c r="C186" s="9"/>
      <c r="D186" s="3"/>
      <c r="E186" s="3"/>
      <c r="F186" s="8"/>
      <c r="G186" s="3"/>
      <c r="H186" s="3"/>
      <c r="I186" s="3"/>
      <c r="J186" s="8"/>
      <c r="K186" s="3"/>
      <c r="L186" s="3"/>
      <c r="M186" s="3"/>
      <c r="N186" s="8"/>
      <c r="P186" s="3"/>
      <c r="Q186" s="3"/>
      <c r="R186" s="8"/>
      <c r="S186" s="3"/>
      <c r="T186" s="3"/>
      <c r="U186" s="3"/>
      <c r="V186" s="8"/>
      <c r="W186" s="3"/>
      <c r="X186" s="3"/>
      <c r="Y186" s="3"/>
      <c r="Z186" s="8"/>
    </row>
    <row r="187" spans="1:26" s="24" customFormat="1" ht="15.75" thickBot="1" x14ac:dyDescent="0.3">
      <c r="A187" s="11"/>
      <c r="B187" s="28" t="s">
        <v>293</v>
      </c>
      <c r="C187" s="28"/>
      <c r="D187" s="33">
        <f>SUM(D184:D186)</f>
        <v>337706.99000000011</v>
      </c>
      <c r="E187" s="14"/>
      <c r="F187" s="35">
        <f>IF(D$12=0,0,D187/D$12)</f>
        <v>1.3210256219683933</v>
      </c>
      <c r="G187" s="14"/>
      <c r="H187" s="33">
        <f>SUM(H184:H186)</f>
        <v>-253944.7</v>
      </c>
      <c r="I187" s="14"/>
      <c r="J187" s="35">
        <f>IF(H$12=0,0,H187/H$12)</f>
        <v>-1.5045248366124204</v>
      </c>
      <c r="K187" s="15"/>
      <c r="L187" s="33">
        <f>+D187-H187</f>
        <v>591651.69000000018</v>
      </c>
      <c r="M187" s="15"/>
      <c r="N187" s="35">
        <f>IF(H187=0,0,L187/H187)</f>
        <v>-2.3298446079008546</v>
      </c>
      <c r="O187" s="29"/>
      <c r="P187" s="33">
        <f>SUM(P184:P186)</f>
        <v>596394.48000000021</v>
      </c>
      <c r="Q187" s="14"/>
      <c r="R187" s="35">
        <f>IF(P$12=0,0,P187/P$12)</f>
        <v>0.23181153662689996</v>
      </c>
      <c r="S187" s="14"/>
      <c r="T187" s="33">
        <f>SUM(T184:T186)</f>
        <v>-1517.5099999994854</v>
      </c>
      <c r="U187" s="14"/>
      <c r="V187" s="35">
        <f>IF(T$12=0,0,T187/T$12)</f>
        <v>-5.1682061910693139E-4</v>
      </c>
      <c r="W187" s="15"/>
      <c r="X187" s="33">
        <f>+P187-T187</f>
        <v>597911.98999999976</v>
      </c>
      <c r="Y187" s="15"/>
      <c r="Z187" s="35">
        <f>IF(T187=0,0,X187/T187)</f>
        <v>-394.00859961397452</v>
      </c>
    </row>
    <row r="188" spans="1:26" ht="15.75" thickTop="1" x14ac:dyDescent="0.25">
      <c r="A188" s="9"/>
      <c r="C188" s="9"/>
      <c r="D188" s="18"/>
      <c r="E188" s="18"/>
      <c r="G188" s="18"/>
      <c r="H188" s="18"/>
      <c r="I188" s="18"/>
      <c r="J188" s="43"/>
      <c r="K188" s="18"/>
      <c r="L188" s="18"/>
      <c r="M188" s="18"/>
      <c r="P188" s="18"/>
      <c r="Q188" s="18"/>
      <c r="R188" s="43"/>
      <c r="S188" s="18"/>
      <c r="T188" s="18"/>
      <c r="U188" s="18"/>
      <c r="V188" s="43"/>
      <c r="W188" s="18"/>
      <c r="X188" s="18"/>
    </row>
    <row r="189" spans="1:26" x14ac:dyDescent="0.25">
      <c r="A189" s="9"/>
      <c r="B189" s="56">
        <v>44454.698543055558</v>
      </c>
      <c r="D189" s="18"/>
      <c r="E189" s="18"/>
      <c r="G189" s="18"/>
      <c r="H189" s="18"/>
      <c r="I189" s="18"/>
      <c r="J189" s="43"/>
      <c r="K189" s="18"/>
      <c r="L189" s="18"/>
      <c r="M189" s="18"/>
      <c r="P189" s="18"/>
      <c r="Q189" s="18"/>
      <c r="R189" s="43"/>
      <c r="S189" s="18"/>
      <c r="T189" s="18"/>
      <c r="U189" s="18"/>
      <c r="V189" s="43"/>
      <c r="W189" s="18"/>
      <c r="X189" s="18"/>
    </row>
    <row r="190" spans="1:26" x14ac:dyDescent="0.25">
      <c r="A190" s="9"/>
      <c r="B190" s="55" t="s">
        <v>56</v>
      </c>
      <c r="D190" s="18"/>
      <c r="E190" s="18"/>
      <c r="G190" s="18"/>
      <c r="H190" s="18"/>
      <c r="I190" s="18"/>
      <c r="J190" s="43"/>
      <c r="K190" s="18"/>
      <c r="L190" s="18"/>
      <c r="M190" s="18"/>
      <c r="P190" s="18"/>
      <c r="Q190" s="18"/>
      <c r="R190" s="43"/>
      <c r="S190" s="18"/>
      <c r="T190" s="18"/>
      <c r="U190" s="18"/>
      <c r="V190" s="43"/>
      <c r="W190" s="18"/>
      <c r="X190" s="18"/>
    </row>
    <row r="191" spans="1:26" x14ac:dyDescent="0.25">
      <c r="A191" s="9"/>
      <c r="B191" s="60"/>
      <c r="D191" s="18"/>
      <c r="E191" s="18"/>
      <c r="G191" s="18"/>
      <c r="H191" s="18"/>
      <c r="I191" s="18"/>
      <c r="J191" s="43"/>
      <c r="K191" s="18"/>
      <c r="L191" s="18"/>
      <c r="M191" s="18"/>
      <c r="P191" s="18"/>
      <c r="Q191" s="18"/>
      <c r="R191" s="43"/>
      <c r="S191" s="18"/>
      <c r="T191" s="18"/>
      <c r="U191" s="18"/>
      <c r="V191" s="43"/>
      <c r="W191" s="18"/>
      <c r="X191" s="18"/>
    </row>
    <row r="192" spans="1:26" x14ac:dyDescent="0.25">
      <c r="D192" s="18"/>
      <c r="E192" s="18"/>
      <c r="G192" s="18"/>
      <c r="H192" s="18"/>
      <c r="I192" s="18"/>
      <c r="J192" s="43"/>
      <c r="K192" s="18"/>
      <c r="L192" s="18"/>
      <c r="M192" s="18"/>
      <c r="P192" s="18"/>
      <c r="Q192" s="18"/>
      <c r="R192" s="43"/>
      <c r="S192" s="18"/>
      <c r="T192" s="18"/>
      <c r="U192" s="18"/>
      <c r="V192" s="43"/>
      <c r="W192" s="18"/>
      <c r="X192" s="18"/>
    </row>
  </sheetData>
  <pageMargins left="0.25" right="0.25" top="0.75" bottom="0.75" header="0.3" footer="0.3"/>
  <pageSetup scale="55" fitToWidth="2" orientation="landscape"/>
  <drawing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>
    <tabColor rgb="FF92D050"/>
    <outlinePr summaryBelow="0" summaryRight="0"/>
  </sheetPr>
  <dimension ref="A2:Z158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62" t="s">
        <v>23</v>
      </c>
    </row>
    <row r="3" spans="1:26" x14ac:dyDescent="0.25">
      <c r="D3" s="62" t="s">
        <v>236</v>
      </c>
      <c r="E3" s="17"/>
      <c r="F3" s="46"/>
      <c r="G3" s="17"/>
      <c r="H3" s="17"/>
      <c r="I3" s="17"/>
      <c r="J3" s="38"/>
      <c r="K3" s="17"/>
      <c r="L3" s="17"/>
      <c r="M3" s="17"/>
      <c r="N3" s="46"/>
      <c r="O3" s="53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2" t="str">
        <f>CONCATENATE("Period ",RIGHT(202112,2),", ",2021)</f>
        <v>Period 12, 2021</v>
      </c>
      <c r="E4" s="17"/>
      <c r="F4" s="46"/>
      <c r="G4" s="17"/>
      <c r="H4" s="17"/>
      <c r="I4" s="17"/>
      <c r="J4" s="38"/>
      <c r="K4" s="17"/>
      <c r="L4" s="17"/>
      <c r="M4" s="17"/>
      <c r="N4" s="46"/>
      <c r="O4" s="53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4"/>
      <c r="D5" s="63">
        <v>44377</v>
      </c>
      <c r="E5" s="17"/>
      <c r="F5" s="46"/>
      <c r="G5" s="17"/>
      <c r="H5" s="17"/>
      <c r="I5" s="17"/>
      <c r="J5" s="38"/>
      <c r="K5" s="17"/>
      <c r="L5" s="17"/>
      <c r="M5" s="17"/>
      <c r="N5" s="46"/>
      <c r="O5" s="53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4"/>
      <c r="B6" s="48"/>
      <c r="C6" s="48"/>
      <c r="D6" s="24" t="str">
        <f>CONCATENATE("Department ","315", " - ", "Beach Shop")</f>
        <v>Department 315 - Beach Shop</v>
      </c>
      <c r="E6" s="17"/>
      <c r="F6" s="46"/>
      <c r="G6" s="17"/>
      <c r="H6" s="17"/>
      <c r="I6" s="17"/>
      <c r="J6" s="38"/>
      <c r="K6" s="17"/>
      <c r="L6" s="17"/>
      <c r="M6" s="17"/>
      <c r="N6" s="46"/>
      <c r="O6" s="54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9"/>
    </row>
    <row r="8" spans="1:26" x14ac:dyDescent="0.25">
      <c r="B8" s="59"/>
    </row>
    <row r="9" spans="1:26" x14ac:dyDescent="0.25">
      <c r="B9" s="9"/>
      <c r="C9" s="9"/>
      <c r="D9" s="16" t="s">
        <v>291</v>
      </c>
      <c r="E9" s="16"/>
      <c r="F9" s="39"/>
      <c r="G9" s="16"/>
      <c r="H9" s="16"/>
      <c r="I9" s="16"/>
      <c r="J9" s="49"/>
      <c r="K9" s="16"/>
      <c r="L9" s="16"/>
      <c r="M9" s="16"/>
      <c r="N9" s="39"/>
      <c r="P9" s="16" t="s">
        <v>39</v>
      </c>
      <c r="Q9" s="16"/>
      <c r="R9" s="39"/>
      <c r="S9" s="16"/>
      <c r="T9" s="16"/>
      <c r="U9" s="16"/>
      <c r="V9" s="49"/>
      <c r="W9" s="16"/>
      <c r="X9" s="16"/>
      <c r="Y9" s="16"/>
      <c r="Z9" s="39"/>
    </row>
    <row r="10" spans="1:26" x14ac:dyDescent="0.25">
      <c r="A10" s="11"/>
      <c r="B10" s="58"/>
      <c r="C10" s="11"/>
      <c r="D10" s="42" t="s">
        <v>57</v>
      </c>
      <c r="E10" s="36"/>
      <c r="F10" s="30" t="s">
        <v>40</v>
      </c>
      <c r="G10" s="36"/>
      <c r="H10" s="50" t="s">
        <v>237</v>
      </c>
      <c r="I10" s="36"/>
      <c r="J10" s="30" t="s">
        <v>40</v>
      </c>
      <c r="K10" s="11"/>
      <c r="L10" s="42" t="s">
        <v>126</v>
      </c>
      <c r="M10" s="11"/>
      <c r="N10" s="30" t="s">
        <v>257</v>
      </c>
      <c r="O10" s="11"/>
      <c r="P10" s="61" t="s">
        <v>57</v>
      </c>
      <c r="Q10" s="36"/>
      <c r="R10" s="30" t="s">
        <v>40</v>
      </c>
      <c r="S10" s="36"/>
      <c r="T10" s="50" t="s">
        <v>237</v>
      </c>
      <c r="U10" s="36"/>
      <c r="V10" s="30" t="s">
        <v>40</v>
      </c>
      <c r="W10" s="11"/>
      <c r="X10" s="42" t="s">
        <v>126</v>
      </c>
      <c r="Y10" s="11"/>
      <c r="Z10" s="30" t="s">
        <v>257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4" customFormat="1" collapsed="1" x14ac:dyDescent="0.25">
      <c r="A12" s="11"/>
      <c r="B12" s="29" t="s">
        <v>139</v>
      </c>
      <c r="C12" s="11"/>
      <c r="D12" s="4">
        <f>SUM(OSRRefD13x_0)</f>
        <v>222004.08000000002</v>
      </c>
      <c r="E12" s="4"/>
      <c r="F12" s="13"/>
      <c r="G12" s="4"/>
      <c r="H12" s="4">
        <f>SUM(OSRRefH13x_0)</f>
        <v>168787.31000000003</v>
      </c>
      <c r="I12" s="4"/>
      <c r="J12" s="13"/>
      <c r="K12" s="4"/>
      <c r="L12" s="4">
        <f t="shared" ref="L12:L51" si="0">+D12-H12</f>
        <v>53216.76999999999</v>
      </c>
      <c r="M12" s="4"/>
      <c r="N12" s="13">
        <f t="shared" ref="N12:N51" si="1">IF(H12=0,0,L12/H12)</f>
        <v>0.31528892782283208</v>
      </c>
      <c r="O12" s="11"/>
      <c r="P12" s="4">
        <f>SUM(OSRRefP13x_0)</f>
        <v>2253110.89</v>
      </c>
      <c r="Q12" s="4"/>
      <c r="R12" s="13"/>
      <c r="S12" s="4"/>
      <c r="T12" s="4">
        <f>SUM(OSRRefT13x_0)</f>
        <v>2506400.3400000003</v>
      </c>
      <c r="U12" s="4"/>
      <c r="V12" s="13"/>
      <c r="W12" s="4"/>
      <c r="X12" s="4">
        <f t="shared" ref="X12:X51" si="2">+P12-T12</f>
        <v>-253289.45000000019</v>
      </c>
      <c r="Y12" s="4"/>
      <c r="Z12" s="13">
        <f t="shared" ref="Z12:Z51" si="3">IF(T12=0,0,X12/T12)</f>
        <v>-0.10105706018217352</v>
      </c>
    </row>
    <row r="13" spans="1:26" s="23" customFormat="1" hidden="1" outlineLevel="1" x14ac:dyDescent="0.25">
      <c r="A13" s="44"/>
      <c r="B13" s="10" t="str">
        <f>CONCATENATE("          ", "4000", " - ", "TAXABLE SALES")</f>
        <v xml:space="preserve">          4000 - TAXABLE SALES</v>
      </c>
      <c r="C13" s="10"/>
      <c r="D13" s="2">
        <f>-5737.24</f>
        <v>-5737.24</v>
      </c>
      <c r="E13" s="2"/>
      <c r="F13" s="19"/>
      <c r="G13" s="2"/>
      <c r="H13" s="2">
        <f t="shared" ref="H13:H18" si="4">0</f>
        <v>0</v>
      </c>
      <c r="I13" s="2"/>
      <c r="J13" s="19"/>
      <c r="K13" s="2"/>
      <c r="L13" s="2">
        <f t="shared" si="0"/>
        <v>-5737.24</v>
      </c>
      <c r="M13" s="2"/>
      <c r="N13" s="19">
        <f t="shared" si="1"/>
        <v>0</v>
      </c>
      <c r="O13" s="10"/>
      <c r="P13" s="2">
        <f>-133441.2</f>
        <v>-133441.20000000001</v>
      </c>
      <c r="Q13" s="2"/>
      <c r="R13" s="19"/>
      <c r="S13" s="2"/>
      <c r="T13" s="2">
        <f t="shared" ref="T13:T18" si="5">0</f>
        <v>0</v>
      </c>
      <c r="U13" s="2"/>
      <c r="V13" s="19"/>
      <c r="W13" s="2"/>
      <c r="X13" s="2">
        <f t="shared" si="2"/>
        <v>-133441.20000000001</v>
      </c>
      <c r="Y13" s="2"/>
      <c r="Z13" s="19">
        <f t="shared" si="3"/>
        <v>0</v>
      </c>
    </row>
    <row r="14" spans="1:26" s="23" customFormat="1" hidden="1" outlineLevel="1" x14ac:dyDescent="0.25">
      <c r="A14" s="44"/>
      <c r="B14" s="10" t="str">
        <f>CONCATENATE("          ", "4026", " - ", "TAXABLE SALES-WRITING INSTRUME")</f>
        <v xml:space="preserve">          4026 - TAXABLE SALES-WRITING INSTRUME</v>
      </c>
      <c r="C14" s="10"/>
      <c r="D14" s="2">
        <f>0</f>
        <v>0</v>
      </c>
      <c r="E14" s="2"/>
      <c r="F14" s="19"/>
      <c r="G14" s="2"/>
      <c r="H14" s="2">
        <f t="shared" si="4"/>
        <v>0</v>
      </c>
      <c r="I14" s="2"/>
      <c r="J14" s="19"/>
      <c r="K14" s="2"/>
      <c r="L14" s="2">
        <f t="shared" si="0"/>
        <v>0</v>
      </c>
      <c r="M14" s="2"/>
      <c r="N14" s="19">
        <f t="shared" si="1"/>
        <v>0</v>
      </c>
      <c r="O14" s="10"/>
      <c r="P14" s="2">
        <f>--221.99</f>
        <v>221.99</v>
      </c>
      <c r="Q14" s="2"/>
      <c r="R14" s="19"/>
      <c r="S14" s="2"/>
      <c r="T14" s="2">
        <f t="shared" si="5"/>
        <v>0</v>
      </c>
      <c r="U14" s="2"/>
      <c r="V14" s="19"/>
      <c r="W14" s="2"/>
      <c r="X14" s="2">
        <f t="shared" si="2"/>
        <v>221.99</v>
      </c>
      <c r="Y14" s="2"/>
      <c r="Z14" s="19">
        <f t="shared" si="3"/>
        <v>0</v>
      </c>
    </row>
    <row r="15" spans="1:26" s="23" customFormat="1" hidden="1" outlineLevel="1" x14ac:dyDescent="0.25">
      <c r="A15" s="44"/>
      <c r="B15" s="10" t="str">
        <f>CONCATENATE("          ", "4027", " - ", "TAXABLE SALES-SCHOOL SUPPLIES")</f>
        <v xml:space="preserve">          4027 - TAXABLE SALES-SCHOOL SUPPLIES</v>
      </c>
      <c r="C15" s="10"/>
      <c r="D15" s="2">
        <f>--3356.39</f>
        <v>3356.39</v>
      </c>
      <c r="E15" s="2"/>
      <c r="F15" s="19"/>
      <c r="G15" s="2"/>
      <c r="H15" s="2">
        <f t="shared" si="4"/>
        <v>0</v>
      </c>
      <c r="I15" s="2"/>
      <c r="J15" s="19"/>
      <c r="K15" s="2"/>
      <c r="L15" s="2">
        <f t="shared" si="0"/>
        <v>3356.39</v>
      </c>
      <c r="M15" s="2"/>
      <c r="N15" s="19">
        <f t="shared" si="1"/>
        <v>0</v>
      </c>
      <c r="O15" s="10"/>
      <c r="P15" s="2">
        <f>--65036.73</f>
        <v>65036.73</v>
      </c>
      <c r="Q15" s="2"/>
      <c r="R15" s="19"/>
      <c r="S15" s="2"/>
      <c r="T15" s="2">
        <f t="shared" si="5"/>
        <v>0</v>
      </c>
      <c r="U15" s="2"/>
      <c r="V15" s="19"/>
      <c r="W15" s="2"/>
      <c r="X15" s="2">
        <f t="shared" si="2"/>
        <v>65036.73</v>
      </c>
      <c r="Y15" s="2"/>
      <c r="Z15" s="19">
        <f t="shared" si="3"/>
        <v>0</v>
      </c>
    </row>
    <row r="16" spans="1:26" s="23" customFormat="1" hidden="1" outlineLevel="1" x14ac:dyDescent="0.25">
      <c r="A16" s="44"/>
      <c r="B16" s="10" t="str">
        <f>CONCATENATE("          ", "4028", " - ", "TAXABLE SALES-ART/TECH")</f>
        <v xml:space="preserve">          4028 - TAXABLE SALES-ART/TECH</v>
      </c>
      <c r="C16" s="10"/>
      <c r="D16" s="2">
        <f>--2312.88</f>
        <v>2312.88</v>
      </c>
      <c r="E16" s="2"/>
      <c r="F16" s="19"/>
      <c r="G16" s="2"/>
      <c r="H16" s="2">
        <f t="shared" si="4"/>
        <v>0</v>
      </c>
      <c r="I16" s="2"/>
      <c r="J16" s="19"/>
      <c r="K16" s="2"/>
      <c r="L16" s="2">
        <f t="shared" si="0"/>
        <v>2312.88</v>
      </c>
      <c r="M16" s="2"/>
      <c r="N16" s="19">
        <f t="shared" si="1"/>
        <v>0</v>
      </c>
      <c r="O16" s="10"/>
      <c r="P16" s="2">
        <f>--38199.91</f>
        <v>38199.910000000003</v>
      </c>
      <c r="Q16" s="2"/>
      <c r="R16" s="19"/>
      <c r="S16" s="2"/>
      <c r="T16" s="2">
        <f t="shared" si="5"/>
        <v>0</v>
      </c>
      <c r="U16" s="2"/>
      <c r="V16" s="19"/>
      <c r="W16" s="2"/>
      <c r="X16" s="2">
        <f t="shared" si="2"/>
        <v>38199.910000000003</v>
      </c>
      <c r="Y16" s="2"/>
      <c r="Z16" s="19">
        <f t="shared" si="3"/>
        <v>0</v>
      </c>
    </row>
    <row r="17" spans="1:26" s="23" customFormat="1" hidden="1" outlineLevel="1" x14ac:dyDescent="0.25">
      <c r="A17" s="44"/>
      <c r="B17" s="10" t="str">
        <f>CONCATENATE("          ", "4031", " - ", "TAXABLE SALES-FOOD")</f>
        <v xml:space="preserve">          4031 - TAXABLE SALES-FOOD</v>
      </c>
      <c r="C17" s="10"/>
      <c r="D17" s="2">
        <f>--380.76</f>
        <v>380.76</v>
      </c>
      <c r="E17" s="2"/>
      <c r="F17" s="19"/>
      <c r="G17" s="2"/>
      <c r="H17" s="2">
        <f t="shared" si="4"/>
        <v>0</v>
      </c>
      <c r="I17" s="2"/>
      <c r="J17" s="19"/>
      <c r="K17" s="2"/>
      <c r="L17" s="2">
        <f t="shared" si="0"/>
        <v>380.76</v>
      </c>
      <c r="M17" s="2"/>
      <c r="N17" s="19">
        <f t="shared" si="1"/>
        <v>0</v>
      </c>
      <c r="O17" s="10"/>
      <c r="P17" s="2">
        <f>--4706.92</f>
        <v>4706.92</v>
      </c>
      <c r="Q17" s="2"/>
      <c r="R17" s="19"/>
      <c r="S17" s="2"/>
      <c r="T17" s="2">
        <f t="shared" si="5"/>
        <v>0</v>
      </c>
      <c r="U17" s="2"/>
      <c r="V17" s="19"/>
      <c r="W17" s="2"/>
      <c r="X17" s="2">
        <f t="shared" si="2"/>
        <v>4706.92</v>
      </c>
      <c r="Y17" s="2"/>
      <c r="Z17" s="19">
        <f t="shared" si="3"/>
        <v>0</v>
      </c>
    </row>
    <row r="18" spans="1:26" s="23" customFormat="1" hidden="1" outlineLevel="1" x14ac:dyDescent="0.25">
      <c r="A18" s="44"/>
      <c r="B18" s="10" t="str">
        <f>CONCATENATE("          ", "4034", " - ", "TAXABLE SALES-SODA")</f>
        <v xml:space="preserve">          4034 - TAXABLE SALES-SODA</v>
      </c>
      <c r="C18" s="10"/>
      <c r="D18" s="2">
        <f>0</f>
        <v>0</v>
      </c>
      <c r="E18" s="2"/>
      <c r="F18" s="19"/>
      <c r="G18" s="2"/>
      <c r="H18" s="2">
        <f t="shared" si="4"/>
        <v>0</v>
      </c>
      <c r="I18" s="2"/>
      <c r="J18" s="19"/>
      <c r="K18" s="2"/>
      <c r="L18" s="2">
        <f t="shared" si="0"/>
        <v>0</v>
      </c>
      <c r="M18" s="2"/>
      <c r="N18" s="19">
        <f t="shared" si="1"/>
        <v>0</v>
      </c>
      <c r="O18" s="10"/>
      <c r="P18" s="2">
        <f>--6.78</f>
        <v>6.78</v>
      </c>
      <c r="Q18" s="2"/>
      <c r="R18" s="19"/>
      <c r="S18" s="2"/>
      <c r="T18" s="2">
        <f t="shared" si="5"/>
        <v>0</v>
      </c>
      <c r="U18" s="2"/>
      <c r="V18" s="19"/>
      <c r="W18" s="2"/>
      <c r="X18" s="2">
        <f t="shared" si="2"/>
        <v>6.78</v>
      </c>
      <c r="Y18" s="2"/>
      <c r="Z18" s="19">
        <f t="shared" si="3"/>
        <v>0</v>
      </c>
    </row>
    <row r="19" spans="1:26" s="23" customFormat="1" hidden="1" outlineLevel="1" x14ac:dyDescent="0.25">
      <c r="A19" s="44"/>
      <c r="B19" s="10" t="str">
        <f>CONCATENATE("          ", "4040", " - ", "TAXABLE SALES-LOGO CLOTHING")</f>
        <v xml:space="preserve">          4040 - TAXABLE SALES-LOGO CLOTHING</v>
      </c>
      <c r="C19" s="10"/>
      <c r="D19" s="2">
        <f>--79436</f>
        <v>79436</v>
      </c>
      <c r="E19" s="2"/>
      <c r="F19" s="19"/>
      <c r="G19" s="2"/>
      <c r="H19" s="2">
        <f>--46364.3</f>
        <v>46364.3</v>
      </c>
      <c r="I19" s="2"/>
      <c r="J19" s="19"/>
      <c r="K19" s="2"/>
      <c r="L19" s="2">
        <f t="shared" si="0"/>
        <v>33071.699999999997</v>
      </c>
      <c r="M19" s="2"/>
      <c r="N19" s="19">
        <f t="shared" si="1"/>
        <v>0.7133009664763621</v>
      </c>
      <c r="O19" s="10"/>
      <c r="P19" s="2">
        <f>--938013.8</f>
        <v>938013.8</v>
      </c>
      <c r="Q19" s="2"/>
      <c r="R19" s="19"/>
      <c r="S19" s="2"/>
      <c r="T19" s="2">
        <f>--1579400.75</f>
        <v>1579400.75</v>
      </c>
      <c r="U19" s="2"/>
      <c r="V19" s="19"/>
      <c r="W19" s="2"/>
      <c r="X19" s="2">
        <f t="shared" si="2"/>
        <v>-641386.94999999995</v>
      </c>
      <c r="Y19" s="2"/>
      <c r="Z19" s="19">
        <f t="shared" si="3"/>
        <v>-0.40609512816807258</v>
      </c>
    </row>
    <row r="20" spans="1:26" s="23" customFormat="1" hidden="1" outlineLevel="1" x14ac:dyDescent="0.25">
      <c r="A20" s="44"/>
      <c r="B20" s="10" t="str">
        <f>CONCATENATE("          ", "4041", " - ", "TAXABLE SALES-LOGO GIFTS")</f>
        <v xml:space="preserve">          4041 - TAXABLE SALES-LOGO GIFTS</v>
      </c>
      <c r="C20" s="10"/>
      <c r="D20" s="2">
        <f>--76113.34</f>
        <v>76113.34</v>
      </c>
      <c r="E20" s="2"/>
      <c r="F20" s="19"/>
      <c r="G20" s="2"/>
      <c r="H20" s="2">
        <f>--29345.98</f>
        <v>29345.98</v>
      </c>
      <c r="I20" s="2"/>
      <c r="J20" s="19"/>
      <c r="K20" s="2"/>
      <c r="L20" s="2">
        <f t="shared" si="0"/>
        <v>46767.360000000001</v>
      </c>
      <c r="M20" s="2"/>
      <c r="N20" s="19">
        <f t="shared" si="1"/>
        <v>1.5936547356741877</v>
      </c>
      <c r="O20" s="10"/>
      <c r="P20" s="2">
        <f>--578424.82</f>
        <v>578424.81999999995</v>
      </c>
      <c r="Q20" s="2"/>
      <c r="R20" s="19"/>
      <c r="S20" s="2"/>
      <c r="T20" s="2">
        <f>--331913.65</f>
        <v>331913.65000000002</v>
      </c>
      <c r="U20" s="2"/>
      <c r="V20" s="19"/>
      <c r="W20" s="2"/>
      <c r="X20" s="2">
        <f t="shared" si="2"/>
        <v>246511.16999999993</v>
      </c>
      <c r="Y20" s="2"/>
      <c r="Z20" s="19">
        <f t="shared" si="3"/>
        <v>0.74269669234754254</v>
      </c>
    </row>
    <row r="21" spans="1:26" s="23" customFormat="1" hidden="1" outlineLevel="1" x14ac:dyDescent="0.25">
      <c r="A21" s="44"/>
      <c r="B21" s="10" t="str">
        <f>CONCATENATE("          ", "4042", " - ", "TAXABLE SALES-EVERYDAY GIFTS")</f>
        <v xml:space="preserve">          4042 - TAXABLE SALES-EVERYDAY GIFTS</v>
      </c>
      <c r="C21" s="10"/>
      <c r="D21" s="2">
        <f>--3981.62</f>
        <v>3981.62</v>
      </c>
      <c r="E21" s="2"/>
      <c r="F21" s="19"/>
      <c r="G21" s="2"/>
      <c r="H21" s="2">
        <f>--2752.94</f>
        <v>2752.94</v>
      </c>
      <c r="I21" s="2"/>
      <c r="J21" s="19"/>
      <c r="K21" s="2"/>
      <c r="L21" s="2">
        <f t="shared" si="0"/>
        <v>1228.6799999999998</v>
      </c>
      <c r="M21" s="2"/>
      <c r="N21" s="19">
        <f t="shared" si="1"/>
        <v>0.44631557534853639</v>
      </c>
      <c r="O21" s="10"/>
      <c r="P21" s="2">
        <f>--84692.82</f>
        <v>84692.82</v>
      </c>
      <c r="Q21" s="2"/>
      <c r="R21" s="19"/>
      <c r="S21" s="2"/>
      <c r="T21" s="2">
        <f>--177666.21</f>
        <v>177666.21</v>
      </c>
      <c r="U21" s="2"/>
      <c r="V21" s="19"/>
      <c r="W21" s="2"/>
      <c r="X21" s="2">
        <f t="shared" si="2"/>
        <v>-92973.389999999985</v>
      </c>
      <c r="Y21" s="2"/>
      <c r="Z21" s="19">
        <f t="shared" si="3"/>
        <v>-0.52330372781633594</v>
      </c>
    </row>
    <row r="22" spans="1:26" s="23" customFormat="1" hidden="1" outlineLevel="1" x14ac:dyDescent="0.25">
      <c r="A22" s="44"/>
      <c r="B22" s="10" t="str">
        <f>CONCATENATE("          ", "4043", " - ", "TAXABLE SALES-CARDS")</f>
        <v xml:space="preserve">          4043 - TAXABLE SALES-CARDS</v>
      </c>
      <c r="C22" s="10"/>
      <c r="D22" s="2">
        <f>--2878.3</f>
        <v>2878.3</v>
      </c>
      <c r="E22" s="2"/>
      <c r="F22" s="19"/>
      <c r="G22" s="2"/>
      <c r="H22" s="2">
        <f>--54.96</f>
        <v>54.96</v>
      </c>
      <c r="I22" s="2"/>
      <c r="J22" s="19"/>
      <c r="K22" s="2"/>
      <c r="L22" s="2">
        <f t="shared" si="0"/>
        <v>2823.34</v>
      </c>
      <c r="M22" s="2"/>
      <c r="N22" s="19">
        <f t="shared" si="1"/>
        <v>51.370815138282389</v>
      </c>
      <c r="O22" s="10"/>
      <c r="P22" s="2">
        <f>--135843.69</f>
        <v>135843.69</v>
      </c>
      <c r="Q22" s="2"/>
      <c r="R22" s="19"/>
      <c r="S22" s="2"/>
      <c r="T22" s="2">
        <f>--74858.4</f>
        <v>74858.399999999994</v>
      </c>
      <c r="U22" s="2"/>
      <c r="V22" s="19"/>
      <c r="W22" s="2"/>
      <c r="X22" s="2">
        <f t="shared" si="2"/>
        <v>60985.290000000008</v>
      </c>
      <c r="Y22" s="2"/>
      <c r="Z22" s="19">
        <f t="shared" si="3"/>
        <v>0.81467530697957757</v>
      </c>
    </row>
    <row r="23" spans="1:26" s="23" customFormat="1" hidden="1" outlineLevel="1" x14ac:dyDescent="0.25">
      <c r="A23" s="44"/>
      <c r="B23" s="10" t="str">
        <f>CONCATENATE("          ", "4044", " - ", "TAXABLE SALES-ACCESSORIES")</f>
        <v xml:space="preserve">          4044 - TAXABLE SALES-ACCESSORIES</v>
      </c>
      <c r="C23" s="10"/>
      <c r="D23" s="2">
        <f>--1872.27</f>
        <v>1872.27</v>
      </c>
      <c r="E23" s="2"/>
      <c r="F23" s="19"/>
      <c r="G23" s="2"/>
      <c r="H23" s="2">
        <f>--2524.8</f>
        <v>2524.8000000000002</v>
      </c>
      <c r="I23" s="2"/>
      <c r="J23" s="19"/>
      <c r="K23" s="2"/>
      <c r="L23" s="2">
        <f t="shared" si="0"/>
        <v>-652.5300000000002</v>
      </c>
      <c r="M23" s="2"/>
      <c r="N23" s="19">
        <f t="shared" si="1"/>
        <v>-0.25844819391634988</v>
      </c>
      <c r="O23" s="10"/>
      <c r="P23" s="2">
        <f>--40013.58</f>
        <v>40013.58</v>
      </c>
      <c r="Q23" s="2"/>
      <c r="R23" s="19"/>
      <c r="S23" s="2"/>
      <c r="T23" s="2">
        <f>--69264.33</f>
        <v>69264.33</v>
      </c>
      <c r="U23" s="2"/>
      <c r="V23" s="19"/>
      <c r="W23" s="2"/>
      <c r="X23" s="2">
        <f t="shared" si="2"/>
        <v>-29250.75</v>
      </c>
      <c r="Y23" s="2"/>
      <c r="Z23" s="19">
        <f t="shared" si="3"/>
        <v>-0.42230611340642432</v>
      </c>
    </row>
    <row r="24" spans="1:26" s="23" customFormat="1" hidden="1" outlineLevel="1" x14ac:dyDescent="0.25">
      <c r="A24" s="44"/>
      <c r="B24" s="10" t="str">
        <f>CONCATENATE("          ", "4045", " - ", "TAXABLE SALES-SPECIAL ORDERS")</f>
        <v xml:space="preserve">          4045 - TAXABLE SALES-SPECIAL ORDERS</v>
      </c>
      <c r="C24" s="10"/>
      <c r="D24" s="2">
        <f>--81300.55</f>
        <v>81300.55</v>
      </c>
      <c r="E24" s="2"/>
      <c r="F24" s="19"/>
      <c r="G24" s="2"/>
      <c r="H24" s="2">
        <f>--26263.53</f>
        <v>26263.53</v>
      </c>
      <c r="I24" s="2"/>
      <c r="J24" s="19"/>
      <c r="K24" s="2"/>
      <c r="L24" s="2">
        <f t="shared" si="0"/>
        <v>55037.020000000004</v>
      </c>
      <c r="M24" s="2"/>
      <c r="N24" s="19">
        <f t="shared" si="1"/>
        <v>2.0955682651951206</v>
      </c>
      <c r="O24" s="10"/>
      <c r="P24" s="2">
        <f>--314552.11</f>
        <v>314552.11</v>
      </c>
      <c r="Q24" s="2"/>
      <c r="R24" s="19"/>
      <c r="S24" s="2"/>
      <c r="T24" s="2">
        <f>--122635.49</f>
        <v>122635.49</v>
      </c>
      <c r="U24" s="2"/>
      <c r="V24" s="19"/>
      <c r="W24" s="2"/>
      <c r="X24" s="2">
        <f t="shared" si="2"/>
        <v>191916.62</v>
      </c>
      <c r="Y24" s="2"/>
      <c r="Z24" s="19">
        <f t="shared" si="3"/>
        <v>1.5649354032833398</v>
      </c>
    </row>
    <row r="25" spans="1:26" s="23" customFormat="1" hidden="1" outlineLevel="1" x14ac:dyDescent="0.25">
      <c r="A25" s="44"/>
      <c r="B25" s="10" t="str">
        <f>CONCATENATE("          ", "4126", " - ", "NON-TAXABLE SALES-WRITING INST")</f>
        <v xml:space="preserve">          4126 - NON-TAXABLE SALES-WRITING INST</v>
      </c>
      <c r="C25" s="10"/>
      <c r="D25" s="2">
        <f>0</f>
        <v>0</v>
      </c>
      <c r="E25" s="2"/>
      <c r="F25" s="19"/>
      <c r="G25" s="2"/>
      <c r="H25" s="2">
        <f t="shared" ref="H25:H32" si="6">0</f>
        <v>0</v>
      </c>
      <c r="I25" s="2"/>
      <c r="J25" s="19"/>
      <c r="K25" s="2"/>
      <c r="L25" s="2">
        <f t="shared" si="0"/>
        <v>0</v>
      </c>
      <c r="M25" s="2"/>
      <c r="N25" s="19">
        <f t="shared" si="1"/>
        <v>0</v>
      </c>
      <c r="O25" s="10"/>
      <c r="P25" s="2">
        <f>--52.68</f>
        <v>52.68</v>
      </c>
      <c r="Q25" s="2"/>
      <c r="R25" s="19"/>
      <c r="S25" s="2"/>
      <c r="T25" s="2">
        <f t="shared" ref="T25:T32" si="7">0</f>
        <v>0</v>
      </c>
      <c r="U25" s="2"/>
      <c r="V25" s="19"/>
      <c r="W25" s="2"/>
      <c r="X25" s="2">
        <f t="shared" si="2"/>
        <v>52.68</v>
      </c>
      <c r="Y25" s="2"/>
      <c r="Z25" s="19">
        <f t="shared" si="3"/>
        <v>0</v>
      </c>
    </row>
    <row r="26" spans="1:26" s="23" customFormat="1" hidden="1" outlineLevel="1" x14ac:dyDescent="0.25">
      <c r="A26" s="44"/>
      <c r="B26" s="10" t="str">
        <f>CONCATENATE("          ", "4127", " - ", "NON-TAXABLE SALES-SCHOOL SUPPL")</f>
        <v xml:space="preserve">          4127 - NON-TAXABLE SALES-SCHOOL SUPPL</v>
      </c>
      <c r="C26" s="10"/>
      <c r="D26" s="2">
        <f>--99.87</f>
        <v>99.87</v>
      </c>
      <c r="E26" s="2"/>
      <c r="F26" s="19"/>
      <c r="G26" s="2"/>
      <c r="H26" s="2">
        <f t="shared" si="6"/>
        <v>0</v>
      </c>
      <c r="I26" s="2"/>
      <c r="J26" s="19"/>
      <c r="K26" s="2"/>
      <c r="L26" s="2">
        <f t="shared" si="0"/>
        <v>99.87</v>
      </c>
      <c r="M26" s="2"/>
      <c r="N26" s="19">
        <f t="shared" si="1"/>
        <v>0</v>
      </c>
      <c r="O26" s="10"/>
      <c r="P26" s="2">
        <f>--7748.6</f>
        <v>7748.6</v>
      </c>
      <c r="Q26" s="2"/>
      <c r="R26" s="19"/>
      <c r="S26" s="2"/>
      <c r="T26" s="2">
        <f t="shared" si="7"/>
        <v>0</v>
      </c>
      <c r="U26" s="2"/>
      <c r="V26" s="19"/>
      <c r="W26" s="2"/>
      <c r="X26" s="2">
        <f t="shared" si="2"/>
        <v>7748.6</v>
      </c>
      <c r="Y26" s="2"/>
      <c r="Z26" s="19">
        <f t="shared" si="3"/>
        <v>0</v>
      </c>
    </row>
    <row r="27" spans="1:26" s="23" customFormat="1" hidden="1" outlineLevel="1" x14ac:dyDescent="0.25">
      <c r="A27" s="44"/>
      <c r="B27" s="10" t="str">
        <f>CONCATENATE("          ", "4128", " - ", "NON-TAXABLE SALES-ART/TECH")</f>
        <v xml:space="preserve">          4128 - NON-TAXABLE SALES-ART/TECH</v>
      </c>
      <c r="C27" s="10"/>
      <c r="D27" s="2">
        <f>0</f>
        <v>0</v>
      </c>
      <c r="E27" s="2"/>
      <c r="F27" s="19"/>
      <c r="G27" s="2"/>
      <c r="H27" s="2">
        <f t="shared" si="6"/>
        <v>0</v>
      </c>
      <c r="I27" s="2"/>
      <c r="J27" s="19"/>
      <c r="K27" s="2"/>
      <c r="L27" s="2">
        <f t="shared" si="0"/>
        <v>0</v>
      </c>
      <c r="M27" s="2"/>
      <c r="N27" s="19">
        <f t="shared" si="1"/>
        <v>0</v>
      </c>
      <c r="O27" s="10"/>
      <c r="P27" s="2">
        <f>--115.91</f>
        <v>115.91</v>
      </c>
      <c r="Q27" s="2"/>
      <c r="R27" s="19"/>
      <c r="S27" s="2"/>
      <c r="T27" s="2">
        <f t="shared" si="7"/>
        <v>0</v>
      </c>
      <c r="U27" s="2"/>
      <c r="V27" s="19"/>
      <c r="W27" s="2"/>
      <c r="X27" s="2">
        <f t="shared" si="2"/>
        <v>115.91</v>
      </c>
      <c r="Y27" s="2"/>
      <c r="Z27" s="19">
        <f t="shared" si="3"/>
        <v>0</v>
      </c>
    </row>
    <row r="28" spans="1:26" s="23" customFormat="1" hidden="1" outlineLevel="1" x14ac:dyDescent="0.25">
      <c r="A28" s="44"/>
      <c r="B28" s="10" t="str">
        <f>CONCATENATE("          ", "4131", " - ", "NON-TAXABLE SALES-FOOD")</f>
        <v xml:space="preserve">          4131 - NON-TAXABLE SALES-FOOD</v>
      </c>
      <c r="C28" s="10"/>
      <c r="D28" s="2">
        <f>--531.62</f>
        <v>531.62</v>
      </c>
      <c r="E28" s="2"/>
      <c r="F28" s="19"/>
      <c r="G28" s="2"/>
      <c r="H28" s="2">
        <f t="shared" si="6"/>
        <v>0</v>
      </c>
      <c r="I28" s="2"/>
      <c r="J28" s="19"/>
      <c r="K28" s="2"/>
      <c r="L28" s="2">
        <f t="shared" si="0"/>
        <v>531.62</v>
      </c>
      <c r="M28" s="2"/>
      <c r="N28" s="19">
        <f t="shared" si="1"/>
        <v>0</v>
      </c>
      <c r="O28" s="10"/>
      <c r="P28" s="2">
        <f>--10777.6</f>
        <v>10777.6</v>
      </c>
      <c r="Q28" s="2"/>
      <c r="R28" s="19"/>
      <c r="S28" s="2"/>
      <c r="T28" s="2">
        <f t="shared" si="7"/>
        <v>0</v>
      </c>
      <c r="U28" s="2"/>
      <c r="V28" s="19"/>
      <c r="W28" s="2"/>
      <c r="X28" s="2">
        <f t="shared" si="2"/>
        <v>10777.6</v>
      </c>
      <c r="Y28" s="2"/>
      <c r="Z28" s="19">
        <f t="shared" si="3"/>
        <v>0</v>
      </c>
    </row>
    <row r="29" spans="1:26" s="23" customFormat="1" hidden="1" outlineLevel="1" x14ac:dyDescent="0.25">
      <c r="A29" s="44"/>
      <c r="B29" s="10" t="str">
        <f>CONCATENATE("          ", "4132", " - ", "NON-TAXABLE SALES-JUICE")</f>
        <v xml:space="preserve">          4132 - NON-TAXABLE SALES-JUICE</v>
      </c>
      <c r="C29" s="10"/>
      <c r="D29" s="2">
        <f t="shared" ref="D29:D32" si="8">0</f>
        <v>0</v>
      </c>
      <c r="E29" s="2"/>
      <c r="F29" s="19"/>
      <c r="G29" s="2"/>
      <c r="H29" s="2">
        <f t="shared" si="6"/>
        <v>0</v>
      </c>
      <c r="I29" s="2"/>
      <c r="J29" s="19"/>
      <c r="K29" s="2"/>
      <c r="L29" s="2">
        <f t="shared" si="0"/>
        <v>0</v>
      </c>
      <c r="M29" s="2"/>
      <c r="N29" s="19">
        <f t="shared" si="1"/>
        <v>0</v>
      </c>
      <c r="O29" s="10"/>
      <c r="P29" s="2">
        <f>--22.49</f>
        <v>22.49</v>
      </c>
      <c r="Q29" s="2"/>
      <c r="R29" s="19"/>
      <c r="S29" s="2"/>
      <c r="T29" s="2">
        <f t="shared" si="7"/>
        <v>0</v>
      </c>
      <c r="U29" s="2"/>
      <c r="V29" s="19"/>
      <c r="W29" s="2"/>
      <c r="X29" s="2">
        <f t="shared" si="2"/>
        <v>22.49</v>
      </c>
      <c r="Y29" s="2"/>
      <c r="Z29" s="19">
        <f t="shared" si="3"/>
        <v>0</v>
      </c>
    </row>
    <row r="30" spans="1:26" s="23" customFormat="1" hidden="1" outlineLevel="1" x14ac:dyDescent="0.25">
      <c r="A30" s="44"/>
      <c r="B30" s="10" t="str">
        <f>CONCATENATE("          ", "4133", " - ", "NON-TAXABLE SALES-CANDY")</f>
        <v xml:space="preserve">          4133 - NON-TAXABLE SALES-CANDY</v>
      </c>
      <c r="C30" s="10"/>
      <c r="D30" s="2">
        <f t="shared" si="8"/>
        <v>0</v>
      </c>
      <c r="E30" s="2"/>
      <c r="F30" s="19"/>
      <c r="G30" s="2"/>
      <c r="H30" s="2">
        <f t="shared" si="6"/>
        <v>0</v>
      </c>
      <c r="I30" s="2"/>
      <c r="J30" s="19"/>
      <c r="K30" s="2"/>
      <c r="L30" s="2">
        <f t="shared" si="0"/>
        <v>0</v>
      </c>
      <c r="M30" s="2"/>
      <c r="N30" s="19">
        <f t="shared" si="1"/>
        <v>0</v>
      </c>
      <c r="O30" s="10"/>
      <c r="P30" s="2">
        <f>--80.71</f>
        <v>80.709999999999994</v>
      </c>
      <c r="Q30" s="2"/>
      <c r="R30" s="19"/>
      <c r="S30" s="2"/>
      <c r="T30" s="2">
        <f t="shared" si="7"/>
        <v>0</v>
      </c>
      <c r="U30" s="2"/>
      <c r="V30" s="19"/>
      <c r="W30" s="2"/>
      <c r="X30" s="2">
        <f t="shared" si="2"/>
        <v>80.709999999999994</v>
      </c>
      <c r="Y30" s="2"/>
      <c r="Z30" s="19">
        <f t="shared" si="3"/>
        <v>0</v>
      </c>
    </row>
    <row r="31" spans="1:26" s="23" customFormat="1" hidden="1" outlineLevel="1" x14ac:dyDescent="0.25">
      <c r="A31" s="44"/>
      <c r="B31" s="10" t="str">
        <f>CONCATENATE("          ", "4134", " - ", "NON-TAXABLE SALES-SODA")</f>
        <v xml:space="preserve">          4134 - NON-TAXABLE SALES-SODA</v>
      </c>
      <c r="C31" s="10"/>
      <c r="D31" s="2">
        <f t="shared" si="8"/>
        <v>0</v>
      </c>
      <c r="E31" s="2"/>
      <c r="F31" s="19"/>
      <c r="G31" s="2"/>
      <c r="H31" s="2">
        <f t="shared" si="6"/>
        <v>0</v>
      </c>
      <c r="I31" s="2"/>
      <c r="J31" s="19"/>
      <c r="K31" s="2"/>
      <c r="L31" s="2">
        <f t="shared" si="0"/>
        <v>0</v>
      </c>
      <c r="M31" s="2"/>
      <c r="N31" s="19">
        <f t="shared" si="1"/>
        <v>0</v>
      </c>
      <c r="O31" s="10"/>
      <c r="P31" s="2">
        <f>--45.53</f>
        <v>45.53</v>
      </c>
      <c r="Q31" s="2"/>
      <c r="R31" s="19"/>
      <c r="S31" s="2"/>
      <c r="T31" s="2">
        <f t="shared" si="7"/>
        <v>0</v>
      </c>
      <c r="U31" s="2"/>
      <c r="V31" s="19"/>
      <c r="W31" s="2"/>
      <c r="X31" s="2">
        <f t="shared" si="2"/>
        <v>45.53</v>
      </c>
      <c r="Y31" s="2"/>
      <c r="Z31" s="19">
        <f t="shared" si="3"/>
        <v>0</v>
      </c>
    </row>
    <row r="32" spans="1:26" s="23" customFormat="1" hidden="1" outlineLevel="1" x14ac:dyDescent="0.25">
      <c r="A32" s="44"/>
      <c r="B32" s="10" t="str">
        <f>CONCATENATE("          ", "4137", " - ", "NON-TAXABLE SALES-WATER")</f>
        <v xml:space="preserve">          4137 - NON-TAXABLE SALES-WATER</v>
      </c>
      <c r="C32" s="10"/>
      <c r="D32" s="2">
        <f t="shared" si="8"/>
        <v>0</v>
      </c>
      <c r="E32" s="2"/>
      <c r="F32" s="19"/>
      <c r="G32" s="2"/>
      <c r="H32" s="2">
        <f t="shared" si="6"/>
        <v>0</v>
      </c>
      <c r="I32" s="2"/>
      <c r="J32" s="19"/>
      <c r="K32" s="2"/>
      <c r="L32" s="2">
        <f t="shared" si="0"/>
        <v>0</v>
      </c>
      <c r="M32" s="2"/>
      <c r="N32" s="19">
        <f t="shared" si="1"/>
        <v>0</v>
      </c>
      <c r="O32" s="10"/>
      <c r="P32" s="2">
        <f>--59.25</f>
        <v>59.25</v>
      </c>
      <c r="Q32" s="2"/>
      <c r="R32" s="19"/>
      <c r="S32" s="2"/>
      <c r="T32" s="2">
        <f t="shared" si="7"/>
        <v>0</v>
      </c>
      <c r="U32" s="2"/>
      <c r="V32" s="19"/>
      <c r="W32" s="2"/>
      <c r="X32" s="2">
        <f t="shared" si="2"/>
        <v>59.25</v>
      </c>
      <c r="Y32" s="2"/>
      <c r="Z32" s="19">
        <f t="shared" si="3"/>
        <v>0</v>
      </c>
    </row>
    <row r="33" spans="1:26" s="23" customFormat="1" hidden="1" outlineLevel="1" x14ac:dyDescent="0.25">
      <c r="A33" s="44"/>
      <c r="B33" s="10" t="str">
        <f>CONCATENATE("          ", "4140", " - ", "NON-TAXABLE SALES-LOGO CLOTHIN")</f>
        <v xml:space="preserve">          4140 - NON-TAXABLE SALES-LOGO CLOTHIN</v>
      </c>
      <c r="C33" s="10"/>
      <c r="D33" s="2">
        <f>--9520.45</f>
        <v>9520.4500000000007</v>
      </c>
      <c r="E33" s="2"/>
      <c r="F33" s="19"/>
      <c r="G33" s="2"/>
      <c r="H33" s="2">
        <f>--40740.37</f>
        <v>40740.370000000003</v>
      </c>
      <c r="I33" s="2"/>
      <c r="J33" s="19"/>
      <c r="K33" s="2"/>
      <c r="L33" s="2">
        <f t="shared" si="0"/>
        <v>-31219.920000000002</v>
      </c>
      <c r="M33" s="2"/>
      <c r="N33" s="19">
        <f t="shared" si="1"/>
        <v>-0.76631410073104389</v>
      </c>
      <c r="O33" s="10"/>
      <c r="P33" s="2">
        <f>--180828.03</f>
        <v>180828.03</v>
      </c>
      <c r="Q33" s="2"/>
      <c r="R33" s="19"/>
      <c r="S33" s="2"/>
      <c r="T33" s="2">
        <f>--176221.13</f>
        <v>176221.13</v>
      </c>
      <c r="U33" s="2"/>
      <c r="V33" s="19"/>
      <c r="W33" s="2"/>
      <c r="X33" s="2">
        <f t="shared" si="2"/>
        <v>4606.8999999999942</v>
      </c>
      <c r="Y33" s="2"/>
      <c r="Z33" s="19">
        <f t="shared" si="3"/>
        <v>2.6142721931246237E-2</v>
      </c>
    </row>
    <row r="34" spans="1:26" s="23" customFormat="1" hidden="1" outlineLevel="1" x14ac:dyDescent="0.25">
      <c r="A34" s="44"/>
      <c r="B34" s="10" t="str">
        <f>CONCATENATE("          ", "4141", " - ", "NON-TAXABLE SALES-LOGO GIFTS")</f>
        <v xml:space="preserve">          4141 - NON-TAXABLE SALES-LOGO GIFTS</v>
      </c>
      <c r="C34" s="10"/>
      <c r="D34" s="2">
        <f>-25127.54</f>
        <v>-25127.54</v>
      </c>
      <c r="E34" s="2"/>
      <c r="F34" s="19"/>
      <c r="G34" s="2"/>
      <c r="H34" s="2">
        <f>--6534.64</f>
        <v>6534.64</v>
      </c>
      <c r="I34" s="2"/>
      <c r="J34" s="19"/>
      <c r="K34" s="2"/>
      <c r="L34" s="2">
        <f t="shared" si="0"/>
        <v>-31662.18</v>
      </c>
      <c r="M34" s="2"/>
      <c r="N34" s="19">
        <f t="shared" si="1"/>
        <v>-4.845282984219482</v>
      </c>
      <c r="O34" s="10"/>
      <c r="P34" s="2">
        <f>--12272.45</f>
        <v>12272.45</v>
      </c>
      <c r="Q34" s="2"/>
      <c r="R34" s="19"/>
      <c r="S34" s="2"/>
      <c r="T34" s="2">
        <f>--22573.35</f>
        <v>22573.35</v>
      </c>
      <c r="U34" s="2"/>
      <c r="V34" s="19"/>
      <c r="W34" s="2"/>
      <c r="X34" s="2">
        <f t="shared" si="2"/>
        <v>-10300.899999999998</v>
      </c>
      <c r="Y34" s="2"/>
      <c r="Z34" s="19">
        <f t="shared" si="3"/>
        <v>-0.45633014151643414</v>
      </c>
    </row>
    <row r="35" spans="1:26" s="23" customFormat="1" hidden="1" outlineLevel="1" x14ac:dyDescent="0.25">
      <c r="A35" s="44"/>
      <c r="B35" s="10" t="str">
        <f>CONCATENATE("          ", "4142", " - ", "NON-TAXABLE SALES-EVERYDAY GIF")</f>
        <v xml:space="preserve">          4142 - NON-TAXABLE SALES-EVERYDAY GIF</v>
      </c>
      <c r="C35" s="10"/>
      <c r="D35" s="2">
        <f>--54.07</f>
        <v>54.07</v>
      </c>
      <c r="E35" s="2"/>
      <c r="F35" s="19"/>
      <c r="G35" s="2"/>
      <c r="H35" s="2">
        <f>--1018.52</f>
        <v>1018.52</v>
      </c>
      <c r="I35" s="2"/>
      <c r="J35" s="19"/>
      <c r="K35" s="2"/>
      <c r="L35" s="2">
        <f t="shared" si="0"/>
        <v>-964.44999999999993</v>
      </c>
      <c r="M35" s="2"/>
      <c r="N35" s="19">
        <f t="shared" si="1"/>
        <v>-0.94691316812630089</v>
      </c>
      <c r="O35" s="10"/>
      <c r="P35" s="2">
        <f>--1521.44</f>
        <v>1521.44</v>
      </c>
      <c r="Q35" s="2"/>
      <c r="R35" s="19"/>
      <c r="S35" s="2"/>
      <c r="T35" s="2">
        <f>--6834.86</f>
        <v>6834.86</v>
      </c>
      <c r="U35" s="2"/>
      <c r="V35" s="19"/>
      <c r="W35" s="2"/>
      <c r="X35" s="2">
        <f t="shared" si="2"/>
        <v>-5313.42</v>
      </c>
      <c r="Y35" s="2"/>
      <c r="Z35" s="19">
        <f t="shared" si="3"/>
        <v>-0.77739997600536082</v>
      </c>
    </row>
    <row r="36" spans="1:26" s="23" customFormat="1" hidden="1" outlineLevel="1" x14ac:dyDescent="0.25">
      <c r="A36" s="44"/>
      <c r="B36" s="10" t="str">
        <f>CONCATENATE("          ", "4143", " - ", "NON-TAXABLE SALES-CARDS")</f>
        <v xml:space="preserve">          4143 - NON-TAXABLE SALES-CARDS</v>
      </c>
      <c r="C36" s="10"/>
      <c r="D36" s="2">
        <f>--9.95</f>
        <v>9.9499999999999993</v>
      </c>
      <c r="E36" s="2"/>
      <c r="F36" s="19"/>
      <c r="G36" s="2"/>
      <c r="H36" s="2">
        <f>0</f>
        <v>0</v>
      </c>
      <c r="I36" s="2"/>
      <c r="J36" s="19"/>
      <c r="K36" s="2"/>
      <c r="L36" s="2">
        <f t="shared" si="0"/>
        <v>9.9499999999999993</v>
      </c>
      <c r="M36" s="2"/>
      <c r="N36" s="19">
        <f t="shared" si="1"/>
        <v>0</v>
      </c>
      <c r="O36" s="10"/>
      <c r="P36" s="2">
        <f>--2562.11</f>
        <v>2562.11</v>
      </c>
      <c r="Q36" s="2"/>
      <c r="R36" s="19"/>
      <c r="S36" s="2"/>
      <c r="T36" s="2">
        <f>--19.98</f>
        <v>19.98</v>
      </c>
      <c r="U36" s="2"/>
      <c r="V36" s="19"/>
      <c r="W36" s="2"/>
      <c r="X36" s="2">
        <f t="shared" si="2"/>
        <v>2542.13</v>
      </c>
      <c r="Y36" s="2"/>
      <c r="Z36" s="19">
        <f t="shared" si="3"/>
        <v>127.23373373373374</v>
      </c>
    </row>
    <row r="37" spans="1:26" s="23" customFormat="1" hidden="1" outlineLevel="1" x14ac:dyDescent="0.25">
      <c r="A37" s="44"/>
      <c r="B37" s="10" t="str">
        <f>CONCATENATE("          ", "4144", " - ", "NON-TAXABLE SALES-ACCESSORIES")</f>
        <v xml:space="preserve">          4144 - NON-TAXABLE SALES-ACCESSORIES</v>
      </c>
      <c r="C37" s="10"/>
      <c r="D37" s="2">
        <f>--129.75</f>
        <v>129.75</v>
      </c>
      <c r="E37" s="2"/>
      <c r="F37" s="19"/>
      <c r="G37" s="2"/>
      <c r="H37" s="2">
        <f>--386.9</f>
        <v>386.9</v>
      </c>
      <c r="I37" s="2"/>
      <c r="J37" s="19"/>
      <c r="K37" s="2"/>
      <c r="L37" s="2">
        <f t="shared" si="0"/>
        <v>-257.14999999999998</v>
      </c>
      <c r="M37" s="2"/>
      <c r="N37" s="19">
        <f t="shared" si="1"/>
        <v>-0.66464202636340142</v>
      </c>
      <c r="O37" s="10"/>
      <c r="P37" s="2">
        <f>--1003.55</f>
        <v>1003.55</v>
      </c>
      <c r="Q37" s="2"/>
      <c r="R37" s="19"/>
      <c r="S37" s="2"/>
      <c r="T37" s="2">
        <f>--3710.92</f>
        <v>3710.92</v>
      </c>
      <c r="U37" s="2"/>
      <c r="V37" s="19"/>
      <c r="W37" s="2"/>
      <c r="X37" s="2">
        <f t="shared" si="2"/>
        <v>-2707.37</v>
      </c>
      <c r="Y37" s="2"/>
      <c r="Z37" s="19">
        <f t="shared" si="3"/>
        <v>-0.72956840891207564</v>
      </c>
    </row>
    <row r="38" spans="1:26" s="23" customFormat="1" hidden="1" outlineLevel="1" x14ac:dyDescent="0.25">
      <c r="A38" s="44"/>
      <c r="B38" s="10" t="str">
        <f>CONCATENATE("          ", "4145", " - ", "NON-TAXABLE SALES-SPECIAL ORDE")</f>
        <v xml:space="preserve">          4145 - NON-TAXABLE SALES-SPECIAL ORDE</v>
      </c>
      <c r="C38" s="10"/>
      <c r="D38" s="2">
        <f>--30</f>
        <v>30</v>
      </c>
      <c r="E38" s="2"/>
      <c r="F38" s="19"/>
      <c r="G38" s="2"/>
      <c r="H38" s="2">
        <f>--19379.5</f>
        <v>19379.5</v>
      </c>
      <c r="I38" s="2"/>
      <c r="J38" s="19"/>
      <c r="K38" s="2"/>
      <c r="L38" s="2">
        <f t="shared" si="0"/>
        <v>-19349.5</v>
      </c>
      <c r="M38" s="2"/>
      <c r="N38" s="19">
        <f t="shared" si="1"/>
        <v>-0.99845197244510953</v>
      </c>
      <c r="O38" s="10"/>
      <c r="P38" s="2">
        <f>--74089.89</f>
        <v>74089.89</v>
      </c>
      <c r="Q38" s="2"/>
      <c r="R38" s="19"/>
      <c r="S38" s="2"/>
      <c r="T38" s="2">
        <f>--27208.18</f>
        <v>27208.18</v>
      </c>
      <c r="U38" s="2"/>
      <c r="V38" s="19"/>
      <c r="W38" s="2"/>
      <c r="X38" s="2">
        <f t="shared" si="2"/>
        <v>46881.71</v>
      </c>
      <c r="Y38" s="2"/>
      <c r="Z38" s="19">
        <f t="shared" si="3"/>
        <v>1.7230740902184563</v>
      </c>
    </row>
    <row r="39" spans="1:26" s="23" customFormat="1" hidden="1" outlineLevel="1" x14ac:dyDescent="0.25">
      <c r="A39" s="44"/>
      <c r="B39" s="10" t="str">
        <f>CONCATENATE("          ", "4226", " - ", "SALES RETURN TAXABLE-WRITING I")</f>
        <v xml:space="preserve">          4226 - SALES RETURN TAXABLE-WRITING I</v>
      </c>
      <c r="C39" s="10"/>
      <c r="D39" s="2">
        <f>0</f>
        <v>0</v>
      </c>
      <c r="E39" s="2"/>
      <c r="F39" s="19"/>
      <c r="G39" s="2"/>
      <c r="H39" s="2">
        <f t="shared" ref="H39:H41" si="9">0</f>
        <v>0</v>
      </c>
      <c r="I39" s="2"/>
      <c r="J39" s="19"/>
      <c r="K39" s="2"/>
      <c r="L39" s="2">
        <f t="shared" si="0"/>
        <v>0</v>
      </c>
      <c r="M39" s="2"/>
      <c r="N39" s="19">
        <f t="shared" si="1"/>
        <v>0</v>
      </c>
      <c r="O39" s="10"/>
      <c r="P39" s="2">
        <f>-6.38</f>
        <v>-6.38</v>
      </c>
      <c r="Q39" s="2"/>
      <c r="R39" s="19"/>
      <c r="S39" s="2"/>
      <c r="T39" s="2">
        <f t="shared" ref="T39:T41" si="10">0</f>
        <v>0</v>
      </c>
      <c r="U39" s="2"/>
      <c r="V39" s="19"/>
      <c r="W39" s="2"/>
      <c r="X39" s="2">
        <f t="shared" si="2"/>
        <v>-6.38</v>
      </c>
      <c r="Y39" s="2"/>
      <c r="Z39" s="19">
        <f t="shared" si="3"/>
        <v>0</v>
      </c>
    </row>
    <row r="40" spans="1:26" s="23" customFormat="1" hidden="1" outlineLevel="1" x14ac:dyDescent="0.25">
      <c r="A40" s="44"/>
      <c r="B40" s="10" t="str">
        <f>CONCATENATE("          ", "4227", " - ", "SALES RETURN TAXABLE-SCHOOL SU")</f>
        <v xml:space="preserve">          4227 - SALES RETURN TAXABLE-SCHOOL SU</v>
      </c>
      <c r="C40" s="10"/>
      <c r="D40" s="2">
        <f>-80.63</f>
        <v>-80.63</v>
      </c>
      <c r="E40" s="2"/>
      <c r="F40" s="19"/>
      <c r="G40" s="2"/>
      <c r="H40" s="2">
        <f t="shared" si="9"/>
        <v>0</v>
      </c>
      <c r="I40" s="2"/>
      <c r="J40" s="19"/>
      <c r="K40" s="2"/>
      <c r="L40" s="2">
        <f t="shared" si="0"/>
        <v>-80.63</v>
      </c>
      <c r="M40" s="2"/>
      <c r="N40" s="19">
        <f t="shared" si="1"/>
        <v>0</v>
      </c>
      <c r="O40" s="10"/>
      <c r="P40" s="2">
        <f>-1361.93</f>
        <v>-1361.93</v>
      </c>
      <c r="Q40" s="2"/>
      <c r="R40" s="19"/>
      <c r="S40" s="2"/>
      <c r="T40" s="2">
        <f t="shared" si="10"/>
        <v>0</v>
      </c>
      <c r="U40" s="2"/>
      <c r="V40" s="19"/>
      <c r="W40" s="2"/>
      <c r="X40" s="2">
        <f t="shared" si="2"/>
        <v>-1361.93</v>
      </c>
      <c r="Y40" s="2"/>
      <c r="Z40" s="19">
        <f t="shared" si="3"/>
        <v>0</v>
      </c>
    </row>
    <row r="41" spans="1:26" s="23" customFormat="1" hidden="1" outlineLevel="1" x14ac:dyDescent="0.25">
      <c r="A41" s="44"/>
      <c r="B41" s="10" t="str">
        <f>CONCATENATE("          ", "4228", " - ", "SALES RETURN TAXABLE-ART/TECH")</f>
        <v xml:space="preserve">          4228 - SALES RETURN TAXABLE-ART/TECH</v>
      </c>
      <c r="C41" s="10"/>
      <c r="D41" s="2">
        <f>-105.6</f>
        <v>-105.6</v>
      </c>
      <c r="E41" s="2"/>
      <c r="F41" s="19"/>
      <c r="G41" s="2"/>
      <c r="H41" s="2">
        <f t="shared" si="9"/>
        <v>0</v>
      </c>
      <c r="I41" s="2"/>
      <c r="J41" s="19"/>
      <c r="K41" s="2"/>
      <c r="L41" s="2">
        <f t="shared" si="0"/>
        <v>-105.6</v>
      </c>
      <c r="M41" s="2"/>
      <c r="N41" s="19">
        <f t="shared" si="1"/>
        <v>0</v>
      </c>
      <c r="O41" s="10"/>
      <c r="P41" s="2">
        <f>-12857.13</f>
        <v>-12857.13</v>
      </c>
      <c r="Q41" s="2"/>
      <c r="R41" s="19"/>
      <c r="S41" s="2"/>
      <c r="T41" s="2">
        <f t="shared" si="10"/>
        <v>0</v>
      </c>
      <c r="U41" s="2"/>
      <c r="V41" s="19"/>
      <c r="W41" s="2"/>
      <c r="X41" s="2">
        <f t="shared" si="2"/>
        <v>-12857.13</v>
      </c>
      <c r="Y41" s="2"/>
      <c r="Z41" s="19">
        <f t="shared" si="3"/>
        <v>0</v>
      </c>
    </row>
    <row r="42" spans="1:26" s="23" customFormat="1" hidden="1" outlineLevel="1" x14ac:dyDescent="0.25">
      <c r="A42" s="44"/>
      <c r="B42" s="10" t="str">
        <f>CONCATENATE("          ", "4240", " - ", "SALES RETURN TAXABLE-LOGO CLOT")</f>
        <v xml:space="preserve">          4240 - SALES RETURN TAXABLE-LOGO CLOT</v>
      </c>
      <c r="C42" s="10"/>
      <c r="D42" s="2">
        <f>-3359.4</f>
        <v>-3359.4</v>
      </c>
      <c r="E42" s="2"/>
      <c r="F42" s="19"/>
      <c r="G42" s="2"/>
      <c r="H42" s="2">
        <f>-2702.34</f>
        <v>-2702.34</v>
      </c>
      <c r="I42" s="2"/>
      <c r="J42" s="19"/>
      <c r="K42" s="2"/>
      <c r="L42" s="2">
        <f t="shared" si="0"/>
        <v>-657.06</v>
      </c>
      <c r="M42" s="2"/>
      <c r="N42" s="19">
        <f t="shared" si="1"/>
        <v>0.24314483003619083</v>
      </c>
      <c r="O42" s="10"/>
      <c r="P42" s="2">
        <f>-40558.46</f>
        <v>-40558.46</v>
      </c>
      <c r="Q42" s="2"/>
      <c r="R42" s="19"/>
      <c r="S42" s="2"/>
      <c r="T42" s="2">
        <f>-64264.92</f>
        <v>-64264.92</v>
      </c>
      <c r="U42" s="2"/>
      <c r="V42" s="19"/>
      <c r="W42" s="2"/>
      <c r="X42" s="2">
        <f t="shared" si="2"/>
        <v>23706.46</v>
      </c>
      <c r="Y42" s="2"/>
      <c r="Z42" s="19">
        <f t="shared" si="3"/>
        <v>-0.36888647803498392</v>
      </c>
    </row>
    <row r="43" spans="1:26" s="23" customFormat="1" hidden="1" outlineLevel="1" x14ac:dyDescent="0.25">
      <c r="A43" s="44"/>
      <c r="B43" s="10" t="str">
        <f>CONCATENATE("          ", "4241", " - ", "SALES RETURN TAXABLE-LOGO GIFT")</f>
        <v xml:space="preserve">          4241 - SALES RETURN TAXABLE-LOGO GIFT</v>
      </c>
      <c r="C43" s="10"/>
      <c r="D43" s="2">
        <f>-1833.22</f>
        <v>-1833.22</v>
      </c>
      <c r="E43" s="2"/>
      <c r="F43" s="19"/>
      <c r="G43" s="2"/>
      <c r="H43" s="2">
        <f>-525.51</f>
        <v>-525.51</v>
      </c>
      <c r="I43" s="2"/>
      <c r="J43" s="19"/>
      <c r="K43" s="2"/>
      <c r="L43" s="2">
        <f t="shared" si="0"/>
        <v>-1307.71</v>
      </c>
      <c r="M43" s="2"/>
      <c r="N43" s="19">
        <f t="shared" si="1"/>
        <v>2.4884588304694488</v>
      </c>
      <c r="O43" s="10"/>
      <c r="P43" s="2">
        <f>-16520.85</f>
        <v>-16520.849999999999</v>
      </c>
      <c r="Q43" s="2"/>
      <c r="R43" s="19"/>
      <c r="S43" s="2"/>
      <c r="T43" s="2">
        <f>-5671.27</f>
        <v>-5671.27</v>
      </c>
      <c r="U43" s="2"/>
      <c r="V43" s="19"/>
      <c r="W43" s="2"/>
      <c r="X43" s="2">
        <f t="shared" si="2"/>
        <v>-10849.579999999998</v>
      </c>
      <c r="Y43" s="2"/>
      <c r="Z43" s="19">
        <f t="shared" si="3"/>
        <v>1.9130776704336061</v>
      </c>
    </row>
    <row r="44" spans="1:26" s="23" customFormat="1" hidden="1" outlineLevel="1" x14ac:dyDescent="0.25">
      <c r="A44" s="44"/>
      <c r="B44" s="10" t="str">
        <f>CONCATENATE("          ", "4242", " - ", "SALES RETURN TAXABLE-EVERYDAY")</f>
        <v xml:space="preserve">          4242 - SALES RETURN TAXABLE-EVERYDAY</v>
      </c>
      <c r="C44" s="10"/>
      <c r="D44" s="2">
        <f>-94.52</f>
        <v>-94.52</v>
      </c>
      <c r="E44" s="2"/>
      <c r="F44" s="19"/>
      <c r="G44" s="2"/>
      <c r="H44" s="2">
        <f>-51.44</f>
        <v>-51.44</v>
      </c>
      <c r="I44" s="2"/>
      <c r="J44" s="19"/>
      <c r="K44" s="2"/>
      <c r="L44" s="2">
        <f t="shared" si="0"/>
        <v>-43.08</v>
      </c>
      <c r="M44" s="2"/>
      <c r="N44" s="19">
        <f t="shared" si="1"/>
        <v>0.83748055987558323</v>
      </c>
      <c r="O44" s="10"/>
      <c r="P44" s="2">
        <f>-2511.55</f>
        <v>-2511.5500000000002</v>
      </c>
      <c r="Q44" s="2"/>
      <c r="R44" s="19"/>
      <c r="S44" s="2"/>
      <c r="T44" s="2">
        <f>-3154.84</f>
        <v>-3154.84</v>
      </c>
      <c r="U44" s="2"/>
      <c r="V44" s="19"/>
      <c r="W44" s="2"/>
      <c r="X44" s="2">
        <f t="shared" si="2"/>
        <v>643.29</v>
      </c>
      <c r="Y44" s="2"/>
      <c r="Z44" s="19">
        <f t="shared" si="3"/>
        <v>-0.20390574482382623</v>
      </c>
    </row>
    <row r="45" spans="1:26" s="23" customFormat="1" hidden="1" outlineLevel="1" x14ac:dyDescent="0.25">
      <c r="A45" s="44"/>
      <c r="B45" s="10" t="str">
        <f>CONCATENATE("          ", "4243", " - ", "SALES RETURN TAXABLE-CARDS")</f>
        <v xml:space="preserve">          4243 - SALES RETURN TAXABLE-CARDS</v>
      </c>
      <c r="C45" s="10"/>
      <c r="D45" s="2">
        <f>-9.99</f>
        <v>-9.99</v>
      </c>
      <c r="E45" s="2"/>
      <c r="F45" s="19"/>
      <c r="G45" s="2"/>
      <c r="H45" s="2">
        <f>-19.99</f>
        <v>-19.989999999999998</v>
      </c>
      <c r="I45" s="2"/>
      <c r="J45" s="19"/>
      <c r="K45" s="2"/>
      <c r="L45" s="2">
        <f t="shared" si="0"/>
        <v>9.9999999999999982</v>
      </c>
      <c r="M45" s="2"/>
      <c r="N45" s="19">
        <f t="shared" si="1"/>
        <v>-0.50025012506253119</v>
      </c>
      <c r="O45" s="10"/>
      <c r="P45" s="2">
        <f>-6228.98</f>
        <v>-6228.98</v>
      </c>
      <c r="Q45" s="2"/>
      <c r="R45" s="19"/>
      <c r="S45" s="2"/>
      <c r="T45" s="2">
        <f>-3026.3</f>
        <v>-3026.3</v>
      </c>
      <c r="U45" s="2"/>
      <c r="V45" s="19"/>
      <c r="W45" s="2"/>
      <c r="X45" s="2">
        <f t="shared" si="2"/>
        <v>-3202.6799999999994</v>
      </c>
      <c r="Y45" s="2"/>
      <c r="Z45" s="19">
        <f t="shared" si="3"/>
        <v>1.0582823910385617</v>
      </c>
    </row>
    <row r="46" spans="1:26" s="23" customFormat="1" hidden="1" outlineLevel="1" x14ac:dyDescent="0.25">
      <c r="A46" s="44"/>
      <c r="B46" s="10" t="str">
        <f>CONCATENATE("          ", "4244", " - ", "SALES RETURN TAXABLE-ACCESSORI")</f>
        <v xml:space="preserve">          4244 - SALES RETURN TAXABLE-ACCESSORI</v>
      </c>
      <c r="C46" s="10"/>
      <c r="D46" s="2">
        <f>-29.85</f>
        <v>-29.85</v>
      </c>
      <c r="E46" s="2"/>
      <c r="F46" s="19"/>
      <c r="G46" s="2"/>
      <c r="H46" s="2">
        <f>0</f>
        <v>0</v>
      </c>
      <c r="I46" s="2"/>
      <c r="J46" s="19"/>
      <c r="K46" s="2"/>
      <c r="L46" s="2">
        <f t="shared" si="0"/>
        <v>-29.85</v>
      </c>
      <c r="M46" s="2"/>
      <c r="N46" s="19">
        <f t="shared" si="1"/>
        <v>0</v>
      </c>
      <c r="O46" s="10"/>
      <c r="P46" s="2">
        <f>-1237.93</f>
        <v>-1237.93</v>
      </c>
      <c r="Q46" s="2"/>
      <c r="R46" s="19"/>
      <c r="S46" s="2"/>
      <c r="T46" s="2">
        <f>-2595.61</f>
        <v>-2595.61</v>
      </c>
      <c r="U46" s="2"/>
      <c r="V46" s="19"/>
      <c r="W46" s="2"/>
      <c r="X46" s="2">
        <f t="shared" si="2"/>
        <v>1357.68</v>
      </c>
      <c r="Y46" s="2"/>
      <c r="Z46" s="19">
        <f t="shared" si="3"/>
        <v>-0.52306779523888414</v>
      </c>
    </row>
    <row r="47" spans="1:26" s="23" customFormat="1" hidden="1" outlineLevel="1" x14ac:dyDescent="0.25">
      <c r="A47" s="44"/>
      <c r="B47" s="10" t="str">
        <f>CONCATENATE("          ", "4245", " - ", "SALES RETURN TAXABLE-SPECIAL O")</f>
        <v xml:space="preserve">          4245 - SALES RETURN TAXABLE-SPECIAL O</v>
      </c>
      <c r="C47" s="10"/>
      <c r="D47" s="2">
        <f>-3318.4</f>
        <v>-3318.4</v>
      </c>
      <c r="E47" s="2"/>
      <c r="F47" s="19"/>
      <c r="G47" s="2"/>
      <c r="H47" s="2">
        <f>-2187.5</f>
        <v>-2187.5</v>
      </c>
      <c r="I47" s="2"/>
      <c r="J47" s="19"/>
      <c r="K47" s="2"/>
      <c r="L47" s="2">
        <f t="shared" si="0"/>
        <v>-1130.9000000000001</v>
      </c>
      <c r="M47" s="2"/>
      <c r="N47" s="19">
        <f t="shared" si="1"/>
        <v>0.51698285714285719</v>
      </c>
      <c r="O47" s="10"/>
      <c r="P47" s="2">
        <f>-18772.13</f>
        <v>-18772.13</v>
      </c>
      <c r="Q47" s="2"/>
      <c r="R47" s="19"/>
      <c r="S47" s="2"/>
      <c r="T47" s="2">
        <f>-4087.54</f>
        <v>-4087.54</v>
      </c>
      <c r="U47" s="2"/>
      <c r="V47" s="19"/>
      <c r="W47" s="2"/>
      <c r="X47" s="2">
        <f t="shared" si="2"/>
        <v>-14684.59</v>
      </c>
      <c r="Y47" s="2"/>
      <c r="Z47" s="19">
        <f t="shared" si="3"/>
        <v>3.5925250884395017</v>
      </c>
    </row>
    <row r="48" spans="1:26" s="23" customFormat="1" hidden="1" outlineLevel="1" x14ac:dyDescent="0.25">
      <c r="A48" s="44"/>
      <c r="B48" s="10" t="str">
        <f>CONCATENATE("          ", "4327", " - ", "SALES RETURN NON TAXABLE-SCHOO")</f>
        <v xml:space="preserve">          4327 - SALES RETURN NON TAXABLE-SCHOO</v>
      </c>
      <c r="C48" s="10"/>
      <c r="D48" s="2">
        <f>0</f>
        <v>0</v>
      </c>
      <c r="E48" s="2"/>
      <c r="F48" s="19"/>
      <c r="G48" s="2"/>
      <c r="H48" s="2">
        <f>0</f>
        <v>0</v>
      </c>
      <c r="I48" s="2"/>
      <c r="J48" s="19"/>
      <c r="K48" s="2"/>
      <c r="L48" s="2">
        <f t="shared" si="0"/>
        <v>0</v>
      </c>
      <c r="M48" s="2"/>
      <c r="N48" s="19">
        <f t="shared" si="1"/>
        <v>0</v>
      </c>
      <c r="O48" s="10"/>
      <c r="P48" s="2">
        <f>-17.41</f>
        <v>-17.41</v>
      </c>
      <c r="Q48" s="2"/>
      <c r="R48" s="19"/>
      <c r="S48" s="2"/>
      <c r="T48" s="2">
        <f>0</f>
        <v>0</v>
      </c>
      <c r="U48" s="2"/>
      <c r="V48" s="19"/>
      <c r="W48" s="2"/>
      <c r="X48" s="2">
        <f t="shared" si="2"/>
        <v>-17.41</v>
      </c>
      <c r="Y48" s="2"/>
      <c r="Z48" s="19">
        <f t="shared" si="3"/>
        <v>0</v>
      </c>
    </row>
    <row r="49" spans="1:26" s="23" customFormat="1" hidden="1" outlineLevel="1" x14ac:dyDescent="0.25">
      <c r="A49" s="44"/>
      <c r="B49" s="10" t="str">
        <f>CONCATENATE("          ", "4340", " - ", "SALES RETURN NON TAXABLE-LOGO")</f>
        <v xml:space="preserve">          4340 - SALES RETURN NON TAXABLE-LOGO</v>
      </c>
      <c r="C49" s="10"/>
      <c r="D49" s="2">
        <f>-286.5</f>
        <v>-286.5</v>
      </c>
      <c r="E49" s="2"/>
      <c r="F49" s="19"/>
      <c r="G49" s="2"/>
      <c r="H49" s="2">
        <f>-1045.65</f>
        <v>-1045.6500000000001</v>
      </c>
      <c r="I49" s="2"/>
      <c r="J49" s="19"/>
      <c r="K49" s="2"/>
      <c r="L49" s="2">
        <f t="shared" si="0"/>
        <v>759.15000000000009</v>
      </c>
      <c r="M49" s="2"/>
      <c r="N49" s="19">
        <f t="shared" si="1"/>
        <v>-0.72600774637785115</v>
      </c>
      <c r="O49" s="10"/>
      <c r="P49" s="2">
        <f>-3737.76</f>
        <v>-3737.76</v>
      </c>
      <c r="Q49" s="2"/>
      <c r="R49" s="19"/>
      <c r="S49" s="2"/>
      <c r="T49" s="2">
        <f>-2664.48</f>
        <v>-2664.48</v>
      </c>
      <c r="U49" s="2"/>
      <c r="V49" s="19"/>
      <c r="W49" s="2"/>
      <c r="X49" s="2">
        <f t="shared" si="2"/>
        <v>-1073.2800000000002</v>
      </c>
      <c r="Y49" s="2"/>
      <c r="Z49" s="19">
        <f t="shared" si="3"/>
        <v>0.40281030444964877</v>
      </c>
    </row>
    <row r="50" spans="1:26" s="23" customFormat="1" hidden="1" outlineLevel="1" x14ac:dyDescent="0.25">
      <c r="A50" s="44"/>
      <c r="B50" s="10" t="str">
        <f>CONCATENATE("          ", "4341", " - ", "SALES RETURN NON TAXABLE-LOGO")</f>
        <v xml:space="preserve">          4341 - SALES RETURN NON TAXABLE-LOGO</v>
      </c>
      <c r="C50" s="10"/>
      <c r="D50" s="2">
        <f>-20.85</f>
        <v>-20.85</v>
      </c>
      <c r="E50" s="2"/>
      <c r="F50" s="19"/>
      <c r="G50" s="2"/>
      <c r="H50" s="2">
        <f>-9.9</f>
        <v>-9.9</v>
      </c>
      <c r="I50" s="2"/>
      <c r="J50" s="19"/>
      <c r="K50" s="2"/>
      <c r="L50" s="2">
        <f t="shared" si="0"/>
        <v>-10.950000000000001</v>
      </c>
      <c r="M50" s="2"/>
      <c r="N50" s="19">
        <f t="shared" si="1"/>
        <v>1.1060606060606062</v>
      </c>
      <c r="O50" s="10"/>
      <c r="P50" s="2">
        <f>-412.09</f>
        <v>-412.09</v>
      </c>
      <c r="Q50" s="2"/>
      <c r="R50" s="19"/>
      <c r="S50" s="2"/>
      <c r="T50" s="2">
        <f>-295.35</f>
        <v>-295.35000000000002</v>
      </c>
      <c r="U50" s="2"/>
      <c r="V50" s="19"/>
      <c r="W50" s="2"/>
      <c r="X50" s="2">
        <f t="shared" si="2"/>
        <v>-116.73999999999995</v>
      </c>
      <c r="Y50" s="2"/>
      <c r="Z50" s="19">
        <f t="shared" si="3"/>
        <v>0.39525986118164869</v>
      </c>
    </row>
    <row r="51" spans="1:26" s="23" customFormat="1" hidden="1" outlineLevel="1" x14ac:dyDescent="0.25">
      <c r="A51" s="44"/>
      <c r="B51" s="10" t="str">
        <f>CONCATENATE("          ", "4342", " - ", "SALES RETURN NON TAXABLE-EVERY")</f>
        <v xml:space="preserve">          4342 - SALES RETURN NON TAXABLE-EVERY</v>
      </c>
      <c r="C51" s="10"/>
      <c r="D51" s="2">
        <f>0</f>
        <v>0</v>
      </c>
      <c r="E51" s="2"/>
      <c r="F51" s="19"/>
      <c r="G51" s="2"/>
      <c r="H51" s="2">
        <f>-36.8</f>
        <v>-36.799999999999997</v>
      </c>
      <c r="I51" s="2"/>
      <c r="J51" s="19"/>
      <c r="K51" s="2"/>
      <c r="L51" s="2">
        <f t="shared" si="0"/>
        <v>36.799999999999997</v>
      </c>
      <c r="M51" s="2"/>
      <c r="N51" s="19">
        <f t="shared" si="1"/>
        <v>-1</v>
      </c>
      <c r="O51" s="10"/>
      <c r="P51" s="2">
        <f>-118.7</f>
        <v>-118.7</v>
      </c>
      <c r="Q51" s="2"/>
      <c r="R51" s="19"/>
      <c r="S51" s="2"/>
      <c r="T51" s="2">
        <f>-146.6</f>
        <v>-146.6</v>
      </c>
      <c r="U51" s="2"/>
      <c r="V51" s="19"/>
      <c r="W51" s="2"/>
      <c r="X51" s="2">
        <f t="shared" si="2"/>
        <v>27.899999999999991</v>
      </c>
      <c r="Y51" s="2"/>
      <c r="Z51" s="19">
        <f t="shared" si="3"/>
        <v>-0.19031377899045016</v>
      </c>
    </row>
    <row r="52" spans="1:26" x14ac:dyDescent="0.25">
      <c r="A52" s="9"/>
      <c r="B52" s="11"/>
      <c r="C52" s="9"/>
      <c r="D52" s="3"/>
      <c r="E52" s="3"/>
      <c r="F52" s="8"/>
      <c r="G52" s="3"/>
      <c r="H52" s="3"/>
      <c r="I52" s="3"/>
      <c r="J52" s="8"/>
      <c r="K52" s="3"/>
      <c r="L52" s="3"/>
      <c r="M52" s="3"/>
      <c r="N52" s="8"/>
      <c r="P52" s="3"/>
      <c r="Q52" s="3"/>
      <c r="R52" s="8"/>
      <c r="S52" s="3"/>
      <c r="T52" s="3"/>
      <c r="U52" s="3"/>
      <c r="V52" s="8"/>
      <c r="W52" s="3"/>
      <c r="X52" s="3"/>
      <c r="Y52" s="3"/>
      <c r="Z52" s="8"/>
    </row>
    <row r="53" spans="1:26" s="24" customFormat="1" collapsed="1" x14ac:dyDescent="0.25">
      <c r="A53" s="11"/>
      <c r="B53" s="29" t="s">
        <v>256</v>
      </c>
      <c r="C53" s="11"/>
      <c r="D53" s="4">
        <f>SUM(OSRRefD16x_0)</f>
        <v>126668.86999999997</v>
      </c>
      <c r="E53" s="4"/>
      <c r="F53" s="13">
        <f t="shared" ref="F53:F78" si="11">IF(D$12=0,0,D53/D$12)</f>
        <v>0.57057000934397217</v>
      </c>
      <c r="G53" s="4"/>
      <c r="H53" s="4">
        <f>SUM(OSRRefH16x_0)</f>
        <v>104924.83000000002</v>
      </c>
      <c r="I53" s="4"/>
      <c r="J53" s="13">
        <f t="shared" ref="J53:J78" si="12">IF(H$12=0,0,H53/H$12)</f>
        <v>0.62163932821726942</v>
      </c>
      <c r="K53" s="4"/>
      <c r="L53" s="4">
        <f t="shared" ref="L53:L78" si="13">+D53-H53</f>
        <v>21744.03999999995</v>
      </c>
      <c r="M53" s="4"/>
      <c r="N53" s="13">
        <f t="shared" ref="N53:N78" si="14">IF(H53=0,0,L53/H53)</f>
        <v>0.20723445537152593</v>
      </c>
      <c r="O53" s="11"/>
      <c r="P53" s="4">
        <f>SUM(OSRRefP16x_0)</f>
        <v>1217191.4100000004</v>
      </c>
      <c r="Q53" s="4"/>
      <c r="R53" s="13">
        <f t="shared" ref="R53:R78" si="15">IF(P$12=0,0,P53/P$12)</f>
        <v>0.54022703250082837</v>
      </c>
      <c r="S53" s="4"/>
      <c r="T53" s="4">
        <f>SUM(OSRRefT16x_0)</f>
        <v>1202402.3299999998</v>
      </c>
      <c r="U53" s="4"/>
      <c r="V53" s="13">
        <f t="shared" ref="V53:V78" si="16">IF(T$12=0,0,T53/T$12)</f>
        <v>0.47973275091400591</v>
      </c>
      <c r="W53" s="4"/>
      <c r="X53" s="4">
        <f t="shared" ref="X53:X78" si="17">+P53-T53</f>
        <v>14789.08000000054</v>
      </c>
      <c r="Y53" s="4"/>
      <c r="Z53" s="13">
        <f t="shared" ref="Z53:Z78" si="18">IF(T53=0,0,X53/T53)</f>
        <v>1.2299610231128329E-2</v>
      </c>
    </row>
    <row r="54" spans="1:26" s="23" customFormat="1" hidden="1" outlineLevel="1" x14ac:dyDescent="0.25">
      <c r="A54" s="44"/>
      <c r="B54" s="10" t="str">
        <f>CONCATENATE("          ", "5000", " - ", "PURCHASES @ COST")</f>
        <v xml:space="preserve">          5000 - PURCHASES @ COST</v>
      </c>
      <c r="C54" s="10"/>
      <c r="D54" s="2"/>
      <c r="E54" s="2"/>
      <c r="F54" s="19">
        <f t="shared" si="11"/>
        <v>0</v>
      </c>
      <c r="G54" s="2"/>
      <c r="H54" s="2"/>
      <c r="I54" s="2"/>
      <c r="J54" s="19">
        <f t="shared" si="12"/>
        <v>0</v>
      </c>
      <c r="K54" s="2"/>
      <c r="L54" s="2">
        <f t="shared" si="13"/>
        <v>0</v>
      </c>
      <c r="M54" s="2"/>
      <c r="N54" s="19">
        <f t="shared" si="14"/>
        <v>0</v>
      </c>
      <c r="O54" s="10"/>
      <c r="P54" s="2"/>
      <c r="Q54" s="2"/>
      <c r="R54" s="19">
        <f t="shared" si="15"/>
        <v>0</v>
      </c>
      <c r="S54" s="2"/>
      <c r="T54" s="2">
        <v>0</v>
      </c>
      <c r="U54" s="2"/>
      <c r="V54" s="19">
        <f t="shared" si="16"/>
        <v>0</v>
      </c>
      <c r="W54" s="2"/>
      <c r="X54" s="2">
        <f t="shared" si="17"/>
        <v>0</v>
      </c>
      <c r="Y54" s="2"/>
      <c r="Z54" s="19">
        <f t="shared" si="18"/>
        <v>0</v>
      </c>
    </row>
    <row r="55" spans="1:26" s="23" customFormat="1" hidden="1" outlineLevel="1" x14ac:dyDescent="0.25">
      <c r="A55" s="44"/>
      <c r="B55" s="10" t="str">
        <f>CONCATENATE("          ", "5025", " - ", "PURCHASES @ COST-TEST FORMS")</f>
        <v xml:space="preserve">          5025 - PURCHASES @ COST-TEST FORMS</v>
      </c>
      <c r="C55" s="10"/>
      <c r="D55" s="2"/>
      <c r="E55" s="2"/>
      <c r="F55" s="19">
        <f t="shared" si="11"/>
        <v>0</v>
      </c>
      <c r="G55" s="2"/>
      <c r="H55" s="2"/>
      <c r="I55" s="2"/>
      <c r="J55" s="19">
        <f t="shared" si="12"/>
        <v>0</v>
      </c>
      <c r="K55" s="2"/>
      <c r="L55" s="2">
        <f t="shared" si="13"/>
        <v>0</v>
      </c>
      <c r="M55" s="2"/>
      <c r="N55" s="19">
        <f t="shared" si="14"/>
        <v>0</v>
      </c>
      <c r="O55" s="10"/>
      <c r="P55" s="2">
        <v>599.29</v>
      </c>
      <c r="Q55" s="2"/>
      <c r="R55" s="19">
        <f t="shared" si="15"/>
        <v>2.6598335779203479E-4</v>
      </c>
      <c r="S55" s="2"/>
      <c r="T55" s="2"/>
      <c r="U55" s="2"/>
      <c r="V55" s="19">
        <f t="shared" si="16"/>
        <v>0</v>
      </c>
      <c r="W55" s="2"/>
      <c r="X55" s="2">
        <f t="shared" si="17"/>
        <v>599.29</v>
      </c>
      <c r="Y55" s="2"/>
      <c r="Z55" s="19">
        <f t="shared" si="18"/>
        <v>0</v>
      </c>
    </row>
    <row r="56" spans="1:26" s="23" customFormat="1" hidden="1" outlineLevel="1" x14ac:dyDescent="0.25">
      <c r="A56" s="44"/>
      <c r="B56" s="10" t="str">
        <f>CONCATENATE("          ", "5026", " - ", "PURCHASES @ COST-WRITING INSTR")</f>
        <v xml:space="preserve">          5026 - PURCHASES @ COST-WRITING INSTR</v>
      </c>
      <c r="C56" s="10"/>
      <c r="D56" s="2"/>
      <c r="E56" s="2"/>
      <c r="F56" s="19">
        <f t="shared" si="11"/>
        <v>0</v>
      </c>
      <c r="G56" s="2"/>
      <c r="H56" s="2"/>
      <c r="I56" s="2"/>
      <c r="J56" s="19">
        <f t="shared" si="12"/>
        <v>0</v>
      </c>
      <c r="K56" s="2"/>
      <c r="L56" s="2">
        <f t="shared" si="13"/>
        <v>0</v>
      </c>
      <c r="M56" s="2"/>
      <c r="N56" s="19">
        <f t="shared" si="14"/>
        <v>0</v>
      </c>
      <c r="O56" s="10"/>
      <c r="P56" s="2">
        <v>219.64</v>
      </c>
      <c r="Q56" s="2"/>
      <c r="R56" s="19">
        <f t="shared" si="15"/>
        <v>9.7482996054401908E-5</v>
      </c>
      <c r="S56" s="2"/>
      <c r="T56" s="2"/>
      <c r="U56" s="2"/>
      <c r="V56" s="19">
        <f t="shared" si="16"/>
        <v>0</v>
      </c>
      <c r="W56" s="2"/>
      <c r="X56" s="2">
        <f t="shared" si="17"/>
        <v>219.64</v>
      </c>
      <c r="Y56" s="2"/>
      <c r="Z56" s="19">
        <f t="shared" si="18"/>
        <v>0</v>
      </c>
    </row>
    <row r="57" spans="1:26" s="23" customFormat="1" hidden="1" outlineLevel="1" x14ac:dyDescent="0.25">
      <c r="A57" s="44"/>
      <c r="B57" s="10" t="str">
        <f>CONCATENATE("          ", "5027", " - ", "PURCHASES @ COST-SCHOOL SUPPLI")</f>
        <v xml:space="preserve">          5027 - PURCHASES @ COST-SCHOOL SUPPLI</v>
      </c>
      <c r="C57" s="10"/>
      <c r="D57" s="2">
        <v>-25055.15</v>
      </c>
      <c r="E57" s="2"/>
      <c r="F57" s="19">
        <f t="shared" si="11"/>
        <v>-0.11285896187133138</v>
      </c>
      <c r="G57" s="2"/>
      <c r="H57" s="2"/>
      <c r="I57" s="2"/>
      <c r="J57" s="19">
        <f t="shared" si="12"/>
        <v>0</v>
      </c>
      <c r="K57" s="2"/>
      <c r="L57" s="2">
        <f t="shared" si="13"/>
        <v>-25055.15</v>
      </c>
      <c r="M57" s="2"/>
      <c r="N57" s="19">
        <f t="shared" si="14"/>
        <v>0</v>
      </c>
      <c r="O57" s="10"/>
      <c r="P57" s="2">
        <v>-2215.63</v>
      </c>
      <c r="Q57" s="2"/>
      <c r="R57" s="19">
        <f t="shared" si="15"/>
        <v>-9.8336482675293437E-4</v>
      </c>
      <c r="S57" s="2"/>
      <c r="T57" s="2"/>
      <c r="U57" s="2"/>
      <c r="V57" s="19">
        <f t="shared" si="16"/>
        <v>0</v>
      </c>
      <c r="W57" s="2"/>
      <c r="X57" s="2">
        <f t="shared" si="17"/>
        <v>-2215.63</v>
      </c>
      <c r="Y57" s="2"/>
      <c r="Z57" s="19">
        <f t="shared" si="18"/>
        <v>0</v>
      </c>
    </row>
    <row r="58" spans="1:26" s="23" customFormat="1" hidden="1" outlineLevel="1" x14ac:dyDescent="0.25">
      <c r="A58" s="44"/>
      <c r="B58" s="10" t="str">
        <f>CONCATENATE("          ", "5028", " - ", "PURCHASES @ COST-ART/TECH")</f>
        <v xml:space="preserve">          5028 - PURCHASES @ COST-ART/TECH</v>
      </c>
      <c r="C58" s="10"/>
      <c r="D58" s="2">
        <v>-87182.83</v>
      </c>
      <c r="E58" s="2"/>
      <c r="F58" s="19">
        <f t="shared" si="11"/>
        <v>-0.39270823310995001</v>
      </c>
      <c r="G58" s="2"/>
      <c r="H58" s="2"/>
      <c r="I58" s="2"/>
      <c r="J58" s="19">
        <f t="shared" si="12"/>
        <v>0</v>
      </c>
      <c r="K58" s="2"/>
      <c r="L58" s="2">
        <f t="shared" si="13"/>
        <v>-87182.83</v>
      </c>
      <c r="M58" s="2"/>
      <c r="N58" s="19">
        <f t="shared" si="14"/>
        <v>0</v>
      </c>
      <c r="O58" s="10"/>
      <c r="P58" s="2">
        <v>-80943.94</v>
      </c>
      <c r="Q58" s="2"/>
      <c r="R58" s="19">
        <f t="shared" si="15"/>
        <v>-3.5925413329301339E-2</v>
      </c>
      <c r="S58" s="2"/>
      <c r="T58" s="2"/>
      <c r="U58" s="2"/>
      <c r="V58" s="19">
        <f t="shared" si="16"/>
        <v>0</v>
      </c>
      <c r="W58" s="2"/>
      <c r="X58" s="2">
        <f t="shared" si="17"/>
        <v>-80943.94</v>
      </c>
      <c r="Y58" s="2"/>
      <c r="Z58" s="19">
        <f t="shared" si="18"/>
        <v>0</v>
      </c>
    </row>
    <row r="59" spans="1:26" s="23" customFormat="1" hidden="1" outlineLevel="1" x14ac:dyDescent="0.25">
      <c r="A59" s="44"/>
      <c r="B59" s="10" t="str">
        <f>CONCATENATE("          ", "5031", " - ", "PURCHASES @ COST-FOOD")</f>
        <v xml:space="preserve">          5031 - PURCHASES @ COST-FOOD</v>
      </c>
      <c r="C59" s="10"/>
      <c r="D59" s="2">
        <v>673.97</v>
      </c>
      <c r="E59" s="2"/>
      <c r="F59" s="19">
        <f t="shared" si="11"/>
        <v>3.0358451069908265E-3</v>
      </c>
      <c r="G59" s="2"/>
      <c r="H59" s="2"/>
      <c r="I59" s="2"/>
      <c r="J59" s="19">
        <f t="shared" si="12"/>
        <v>0</v>
      </c>
      <c r="K59" s="2"/>
      <c r="L59" s="2">
        <f t="shared" si="13"/>
        <v>673.97</v>
      </c>
      <c r="M59" s="2"/>
      <c r="N59" s="19">
        <f t="shared" si="14"/>
        <v>0</v>
      </c>
      <c r="O59" s="10"/>
      <c r="P59" s="2">
        <v>6298.49</v>
      </c>
      <c r="Q59" s="2"/>
      <c r="R59" s="19">
        <f t="shared" si="15"/>
        <v>2.7954638308991526E-3</v>
      </c>
      <c r="S59" s="2"/>
      <c r="T59" s="2"/>
      <c r="U59" s="2"/>
      <c r="V59" s="19">
        <f t="shared" si="16"/>
        <v>0</v>
      </c>
      <c r="W59" s="2"/>
      <c r="X59" s="2">
        <f t="shared" si="17"/>
        <v>6298.49</v>
      </c>
      <c r="Y59" s="2"/>
      <c r="Z59" s="19">
        <f t="shared" si="18"/>
        <v>0</v>
      </c>
    </row>
    <row r="60" spans="1:26" s="23" customFormat="1" hidden="1" outlineLevel="1" x14ac:dyDescent="0.25">
      <c r="A60" s="44"/>
      <c r="B60" s="10" t="str">
        <f>CONCATENATE("          ", "5040", " - ", "PURCHASES @ COST-LOGO CLOTHING")</f>
        <v xml:space="preserve">          5040 - PURCHASES @ COST-LOGO CLOTHING</v>
      </c>
      <c r="C60" s="10"/>
      <c r="D60" s="2">
        <v>185952.11</v>
      </c>
      <c r="E60" s="2"/>
      <c r="F60" s="19">
        <f t="shared" si="11"/>
        <v>0.83760672326382457</v>
      </c>
      <c r="G60" s="2"/>
      <c r="H60" s="2">
        <v>26085.52</v>
      </c>
      <c r="I60" s="2"/>
      <c r="J60" s="19">
        <f t="shared" si="12"/>
        <v>0.15454668955859299</v>
      </c>
      <c r="K60" s="2"/>
      <c r="L60" s="2">
        <f t="shared" si="13"/>
        <v>159866.59</v>
      </c>
      <c r="M60" s="2"/>
      <c r="N60" s="19">
        <f t="shared" si="14"/>
        <v>6.1285567625257231</v>
      </c>
      <c r="O60" s="10"/>
      <c r="P60" s="2">
        <v>513331.09</v>
      </c>
      <c r="Q60" s="2"/>
      <c r="R60" s="19">
        <f t="shared" si="15"/>
        <v>0.22783214633523874</v>
      </c>
      <c r="S60" s="2"/>
      <c r="T60" s="2">
        <v>838896.02</v>
      </c>
      <c r="U60" s="2"/>
      <c r="V60" s="19">
        <f t="shared" si="16"/>
        <v>0.33470152657256658</v>
      </c>
      <c r="W60" s="2"/>
      <c r="X60" s="2">
        <f t="shared" si="17"/>
        <v>-325564.93</v>
      </c>
      <c r="Y60" s="2"/>
      <c r="Z60" s="19">
        <f t="shared" si="18"/>
        <v>-0.3880873460336598</v>
      </c>
    </row>
    <row r="61" spans="1:26" s="23" customFormat="1" hidden="1" outlineLevel="1" x14ac:dyDescent="0.25">
      <c r="A61" s="44"/>
      <c r="B61" s="10" t="str">
        <f>CONCATENATE("          ", "5041", " - ", "PURCHASES @ COST-LOGO GIFTS")</f>
        <v xml:space="preserve">          5041 - PURCHASES @ COST-LOGO GIFTS</v>
      </c>
      <c r="C61" s="10"/>
      <c r="D61" s="2">
        <v>124906.57</v>
      </c>
      <c r="E61" s="2"/>
      <c r="F61" s="19">
        <f t="shared" si="11"/>
        <v>0.56263186694586875</v>
      </c>
      <c r="G61" s="2"/>
      <c r="H61" s="2">
        <v>19462.47</v>
      </c>
      <c r="I61" s="2"/>
      <c r="J61" s="19">
        <f t="shared" si="12"/>
        <v>0.11530766145867244</v>
      </c>
      <c r="K61" s="2"/>
      <c r="L61" s="2">
        <f t="shared" si="13"/>
        <v>105444.1</v>
      </c>
      <c r="M61" s="2"/>
      <c r="N61" s="19">
        <f t="shared" si="14"/>
        <v>5.417816957457096</v>
      </c>
      <c r="O61" s="10"/>
      <c r="P61" s="2">
        <v>231097.82</v>
      </c>
      <c r="Q61" s="2"/>
      <c r="R61" s="19">
        <f t="shared" si="15"/>
        <v>0.10256832942652014</v>
      </c>
      <c r="S61" s="2"/>
      <c r="T61" s="2">
        <v>144446.13</v>
      </c>
      <c r="U61" s="2"/>
      <c r="V61" s="19">
        <f t="shared" si="16"/>
        <v>5.7630909035066596E-2</v>
      </c>
      <c r="W61" s="2"/>
      <c r="X61" s="2">
        <f t="shared" si="17"/>
        <v>86651.69</v>
      </c>
      <c r="Y61" s="2"/>
      <c r="Z61" s="19">
        <f t="shared" si="18"/>
        <v>0.599889315137761</v>
      </c>
    </row>
    <row r="62" spans="1:26" s="23" customFormat="1" hidden="1" outlineLevel="1" x14ac:dyDescent="0.25">
      <c r="A62" s="44"/>
      <c r="B62" s="10" t="str">
        <f>CONCATENATE("          ", "5042", " - ", "PURCHASES @ COST-EVERYDAY GIFT")</f>
        <v xml:space="preserve">          5042 - PURCHASES @ COST-EVERYDAY GIFT</v>
      </c>
      <c r="C62" s="10"/>
      <c r="D62" s="2">
        <v>-8047.6</v>
      </c>
      <c r="E62" s="2"/>
      <c r="F62" s="19">
        <f t="shared" si="11"/>
        <v>-3.6249784238199585E-2</v>
      </c>
      <c r="G62" s="2"/>
      <c r="H62" s="2">
        <v>-124.42</v>
      </c>
      <c r="I62" s="2"/>
      <c r="J62" s="19">
        <f t="shared" si="12"/>
        <v>-7.3714072461964104E-4</v>
      </c>
      <c r="K62" s="2"/>
      <c r="L62" s="2">
        <f t="shared" si="13"/>
        <v>-7923.18</v>
      </c>
      <c r="M62" s="2"/>
      <c r="N62" s="19">
        <f t="shared" si="14"/>
        <v>63.680919466323743</v>
      </c>
      <c r="O62" s="10"/>
      <c r="P62" s="2">
        <v>2754.43</v>
      </c>
      <c r="Q62" s="2"/>
      <c r="R62" s="19">
        <f t="shared" si="15"/>
        <v>1.2225008596891561E-3</v>
      </c>
      <c r="S62" s="2"/>
      <c r="T62" s="2">
        <v>106138.08</v>
      </c>
      <c r="U62" s="2"/>
      <c r="V62" s="19">
        <f t="shared" si="16"/>
        <v>4.2346818385765136E-2</v>
      </c>
      <c r="W62" s="2"/>
      <c r="X62" s="2">
        <f t="shared" si="17"/>
        <v>-103383.65000000001</v>
      </c>
      <c r="Y62" s="2"/>
      <c r="Z62" s="19">
        <f t="shared" si="18"/>
        <v>-0.97404861666990783</v>
      </c>
    </row>
    <row r="63" spans="1:26" s="23" customFormat="1" hidden="1" outlineLevel="1" x14ac:dyDescent="0.25">
      <c r="A63" s="44"/>
      <c r="B63" s="10" t="str">
        <f>CONCATENATE("          ", "5043", " - ", "PURCHASES @ COST-CARDS")</f>
        <v xml:space="preserve">          5043 - PURCHASES @ COST-CARDS</v>
      </c>
      <c r="C63" s="10"/>
      <c r="D63" s="2">
        <v>630.47</v>
      </c>
      <c r="E63" s="2"/>
      <c r="F63" s="19">
        <f t="shared" si="11"/>
        <v>2.8399027621474342E-3</v>
      </c>
      <c r="G63" s="2"/>
      <c r="H63" s="2">
        <v>6.51</v>
      </c>
      <c r="I63" s="2"/>
      <c r="J63" s="19">
        <f t="shared" si="12"/>
        <v>3.8569250259394496E-5</v>
      </c>
      <c r="K63" s="2"/>
      <c r="L63" s="2">
        <f t="shared" si="13"/>
        <v>623.96</v>
      </c>
      <c r="M63" s="2"/>
      <c r="N63" s="19">
        <f t="shared" si="14"/>
        <v>95.846390168970828</v>
      </c>
      <c r="O63" s="10"/>
      <c r="P63" s="2">
        <v>56213.8</v>
      </c>
      <c r="Q63" s="2"/>
      <c r="R63" s="19">
        <f t="shared" si="15"/>
        <v>2.494941560554971E-2</v>
      </c>
      <c r="S63" s="2"/>
      <c r="T63" s="2">
        <v>30766.7</v>
      </c>
      <c r="U63" s="2"/>
      <c r="V63" s="19">
        <f t="shared" si="16"/>
        <v>1.2275253681141775E-2</v>
      </c>
      <c r="W63" s="2"/>
      <c r="X63" s="2">
        <f t="shared" si="17"/>
        <v>25447.100000000002</v>
      </c>
      <c r="Y63" s="2"/>
      <c r="Z63" s="19">
        <f t="shared" si="18"/>
        <v>0.82709877887456251</v>
      </c>
    </row>
    <row r="64" spans="1:26" s="23" customFormat="1" hidden="1" outlineLevel="1" x14ac:dyDescent="0.25">
      <c r="A64" s="44"/>
      <c r="B64" s="10" t="str">
        <f>CONCATENATE("          ", "5044", " - ", "PURCHASES @ COST-ACCESSORIES")</f>
        <v xml:space="preserve">          5044 - PURCHASES @ COST-ACCESSORIES</v>
      </c>
      <c r="C64" s="10"/>
      <c r="D64" s="2">
        <v>6102.79</v>
      </c>
      <c r="E64" s="2"/>
      <c r="F64" s="19">
        <f t="shared" si="11"/>
        <v>2.7489539831880565E-2</v>
      </c>
      <c r="G64" s="2"/>
      <c r="H64" s="2">
        <v>1263.75</v>
      </c>
      <c r="I64" s="2"/>
      <c r="J64" s="19">
        <f t="shared" si="12"/>
        <v>7.4872334892948991E-3</v>
      </c>
      <c r="K64" s="2"/>
      <c r="L64" s="2">
        <f t="shared" si="13"/>
        <v>4839.04</v>
      </c>
      <c r="M64" s="2"/>
      <c r="N64" s="19">
        <f t="shared" si="14"/>
        <v>3.8291117705242335</v>
      </c>
      <c r="O64" s="10"/>
      <c r="P64" s="2">
        <v>8658.5</v>
      </c>
      <c r="Q64" s="2"/>
      <c r="R64" s="19">
        <f t="shared" si="15"/>
        <v>3.8429089479923464E-3</v>
      </c>
      <c r="S64" s="2"/>
      <c r="T64" s="2">
        <v>43605.63</v>
      </c>
      <c r="U64" s="2"/>
      <c r="V64" s="19">
        <f t="shared" si="16"/>
        <v>1.7397711492490458E-2</v>
      </c>
      <c r="W64" s="2"/>
      <c r="X64" s="2">
        <f t="shared" si="17"/>
        <v>-34947.129999999997</v>
      </c>
      <c r="Y64" s="2"/>
      <c r="Z64" s="19">
        <f t="shared" si="18"/>
        <v>-0.80143619069372463</v>
      </c>
    </row>
    <row r="65" spans="1:26" s="23" customFormat="1" hidden="1" outlineLevel="1" x14ac:dyDescent="0.25">
      <c r="A65" s="44"/>
      <c r="B65" s="10" t="str">
        <f>CONCATENATE("          ", "5045", " - ", "PURCHASES @ COST-SPECIAL ORDER")</f>
        <v xml:space="preserve">          5045 - PURCHASES @ COST-SPECIAL ORDER</v>
      </c>
      <c r="C65" s="10"/>
      <c r="D65" s="2">
        <v>33995.81</v>
      </c>
      <c r="E65" s="2"/>
      <c r="F65" s="19">
        <f t="shared" si="11"/>
        <v>0.15313146497127439</v>
      </c>
      <c r="G65" s="2"/>
      <c r="H65" s="2">
        <v>52772.41</v>
      </c>
      <c r="I65" s="2"/>
      <c r="J65" s="19">
        <f t="shared" si="12"/>
        <v>0.31265626545028768</v>
      </c>
      <c r="K65" s="2"/>
      <c r="L65" s="2">
        <f t="shared" si="13"/>
        <v>-18776.600000000006</v>
      </c>
      <c r="M65" s="2"/>
      <c r="N65" s="19">
        <f t="shared" si="14"/>
        <v>-0.35580334496756932</v>
      </c>
      <c r="O65" s="10"/>
      <c r="P65" s="2">
        <v>173135.05</v>
      </c>
      <c r="Q65" s="2"/>
      <c r="R65" s="19">
        <f t="shared" si="15"/>
        <v>7.6842667073523385E-2</v>
      </c>
      <c r="S65" s="2"/>
      <c r="T65" s="2">
        <v>132613.01</v>
      </c>
      <c r="U65" s="2"/>
      <c r="V65" s="19">
        <f t="shared" si="16"/>
        <v>5.2909747849778858E-2</v>
      </c>
      <c r="W65" s="2"/>
      <c r="X65" s="2">
        <f t="shared" si="17"/>
        <v>40522.039999999979</v>
      </c>
      <c r="Y65" s="2"/>
      <c r="Z65" s="19">
        <f t="shared" si="18"/>
        <v>0.3055660979265909</v>
      </c>
    </row>
    <row r="66" spans="1:26" s="23" customFormat="1" hidden="1" outlineLevel="1" x14ac:dyDescent="0.25">
      <c r="A66" s="44"/>
      <c r="B66" s="10" t="str">
        <f>CONCATENATE("          ", "5200", " - ", "PURCHASES OFFSET")</f>
        <v xml:space="preserve">          5200 - PURCHASES OFFSET</v>
      </c>
      <c r="C66" s="10"/>
      <c r="D66" s="2">
        <v>-236426.85</v>
      </c>
      <c r="E66" s="2"/>
      <c r="F66" s="19">
        <f t="shared" si="11"/>
        <v>-1.0649662384583203</v>
      </c>
      <c r="G66" s="2"/>
      <c r="H66" s="2">
        <v>-100202</v>
      </c>
      <c r="I66" s="2"/>
      <c r="J66" s="19">
        <f t="shared" si="12"/>
        <v>-0.59365837396188126</v>
      </c>
      <c r="K66" s="2"/>
      <c r="L66" s="2">
        <f t="shared" si="13"/>
        <v>-136224.85</v>
      </c>
      <c r="M66" s="2"/>
      <c r="N66" s="19">
        <f t="shared" si="14"/>
        <v>1.3595023053432067</v>
      </c>
      <c r="O66" s="10"/>
      <c r="P66" s="2">
        <v>-941864.19</v>
      </c>
      <c r="Q66" s="2"/>
      <c r="R66" s="19">
        <f t="shared" si="15"/>
        <v>-0.41802833326148447</v>
      </c>
      <c r="S66" s="2"/>
      <c r="T66" s="2">
        <v>-1341591</v>
      </c>
      <c r="U66" s="2"/>
      <c r="V66" s="19">
        <f t="shared" si="16"/>
        <v>-0.53526604612573581</v>
      </c>
      <c r="W66" s="2"/>
      <c r="X66" s="2">
        <f t="shared" si="17"/>
        <v>399726.81000000006</v>
      </c>
      <c r="Y66" s="2"/>
      <c r="Z66" s="19">
        <f t="shared" si="18"/>
        <v>-0.2979498297171046</v>
      </c>
    </row>
    <row r="67" spans="1:26" s="23" customFormat="1" hidden="1" outlineLevel="1" x14ac:dyDescent="0.25">
      <c r="A67" s="44"/>
      <c r="B67" s="10" t="str">
        <f>CONCATENATE("          ", "5300", " - ", "COG$ OFFSET")</f>
        <v xml:space="preserve">          5300 - COG$ OFFSET</v>
      </c>
      <c r="C67" s="10"/>
      <c r="D67" s="2">
        <v>127822</v>
      </c>
      <c r="E67" s="2"/>
      <c r="F67" s="19">
        <f t="shared" si="11"/>
        <v>0.5757641931625761</v>
      </c>
      <c r="G67" s="2"/>
      <c r="H67" s="2">
        <v>104927</v>
      </c>
      <c r="I67" s="2"/>
      <c r="J67" s="19">
        <f t="shared" si="12"/>
        <v>0.6216521846340225</v>
      </c>
      <c r="K67" s="2"/>
      <c r="L67" s="2">
        <f t="shared" si="13"/>
        <v>22895</v>
      </c>
      <c r="M67" s="2"/>
      <c r="N67" s="19">
        <f t="shared" si="14"/>
        <v>0.21819931952690919</v>
      </c>
      <c r="O67" s="10"/>
      <c r="P67" s="2">
        <v>1217428</v>
      </c>
      <c r="Q67" s="2"/>
      <c r="R67" s="19">
        <f t="shared" si="15"/>
        <v>0.54033203842887645</v>
      </c>
      <c r="S67" s="2"/>
      <c r="T67" s="2">
        <v>1202377</v>
      </c>
      <c r="U67" s="2"/>
      <c r="V67" s="19">
        <f t="shared" si="16"/>
        <v>0.47972264478706533</v>
      </c>
      <c r="W67" s="2"/>
      <c r="X67" s="2">
        <f t="shared" si="17"/>
        <v>15051</v>
      </c>
      <c r="Y67" s="2"/>
      <c r="Z67" s="19">
        <f t="shared" si="18"/>
        <v>1.251770451364256E-2</v>
      </c>
    </row>
    <row r="68" spans="1:26" s="23" customFormat="1" hidden="1" outlineLevel="1" x14ac:dyDescent="0.25">
      <c r="A68" s="44"/>
      <c r="B68" s="10" t="str">
        <f>CONCATENATE("          ", "5500", " - ", "FREIGHT-IN")</f>
        <v xml:space="preserve">          5500 - FREIGHT-IN</v>
      </c>
      <c r="C68" s="10"/>
      <c r="D68" s="2">
        <v>65</v>
      </c>
      <c r="E68" s="2"/>
      <c r="F68" s="19">
        <f t="shared" si="11"/>
        <v>2.9278741183495365E-4</v>
      </c>
      <c r="G68" s="2"/>
      <c r="H68" s="2"/>
      <c r="I68" s="2"/>
      <c r="J68" s="19">
        <f t="shared" si="12"/>
        <v>0</v>
      </c>
      <c r="K68" s="2"/>
      <c r="L68" s="2">
        <f t="shared" si="13"/>
        <v>65</v>
      </c>
      <c r="M68" s="2"/>
      <c r="N68" s="19">
        <f t="shared" si="14"/>
        <v>0</v>
      </c>
      <c r="O68" s="10"/>
      <c r="P68" s="2">
        <v>65</v>
      </c>
      <c r="Q68" s="2"/>
      <c r="R68" s="19">
        <f t="shared" si="15"/>
        <v>2.8849001746203443E-5</v>
      </c>
      <c r="S68" s="2"/>
      <c r="T68" s="2">
        <v>29.23</v>
      </c>
      <c r="U68" s="2"/>
      <c r="V68" s="19">
        <f t="shared" si="16"/>
        <v>1.1662143327031305E-5</v>
      </c>
      <c r="W68" s="2"/>
      <c r="X68" s="2">
        <f t="shared" si="17"/>
        <v>35.769999999999996</v>
      </c>
      <c r="Y68" s="2"/>
      <c r="Z68" s="19">
        <f t="shared" si="18"/>
        <v>1.2237427300718438</v>
      </c>
    </row>
    <row r="69" spans="1:26" s="23" customFormat="1" hidden="1" outlineLevel="1" x14ac:dyDescent="0.25">
      <c r="A69" s="44"/>
      <c r="B69" s="10" t="str">
        <f>CONCATENATE("          ", "5525", " - ", "FREIGHT-IN-TEST FORMS")</f>
        <v xml:space="preserve">          5525 - FREIGHT-IN-TEST FORMS</v>
      </c>
      <c r="C69" s="10"/>
      <c r="D69" s="2"/>
      <c r="E69" s="2"/>
      <c r="F69" s="19">
        <f t="shared" si="11"/>
        <v>0</v>
      </c>
      <c r="G69" s="2"/>
      <c r="H69" s="2"/>
      <c r="I69" s="2"/>
      <c r="J69" s="19">
        <f t="shared" si="12"/>
        <v>0</v>
      </c>
      <c r="K69" s="2"/>
      <c r="L69" s="2">
        <f t="shared" si="13"/>
        <v>0</v>
      </c>
      <c r="M69" s="2"/>
      <c r="N69" s="19">
        <f t="shared" si="14"/>
        <v>0</v>
      </c>
      <c r="O69" s="10"/>
      <c r="P69" s="2">
        <v>48.14</v>
      </c>
      <c r="Q69" s="2"/>
      <c r="R69" s="19">
        <f t="shared" si="15"/>
        <v>2.1366014524034365E-5</v>
      </c>
      <c r="S69" s="2"/>
      <c r="T69" s="2"/>
      <c r="U69" s="2"/>
      <c r="V69" s="19">
        <f t="shared" si="16"/>
        <v>0</v>
      </c>
      <c r="W69" s="2"/>
      <c r="X69" s="2">
        <f t="shared" si="17"/>
        <v>48.14</v>
      </c>
      <c r="Y69" s="2"/>
      <c r="Z69" s="19">
        <f t="shared" si="18"/>
        <v>0</v>
      </c>
    </row>
    <row r="70" spans="1:26" s="23" customFormat="1" hidden="1" outlineLevel="1" x14ac:dyDescent="0.25">
      <c r="A70" s="44"/>
      <c r="B70" s="10" t="str">
        <f>CONCATENATE("          ", "5526", " - ", "FREIGHT-IN-WRITING INSTRUMENTS")</f>
        <v xml:space="preserve">          5526 - FREIGHT-IN-WRITING INSTRUMENTS</v>
      </c>
      <c r="C70" s="10"/>
      <c r="D70" s="2"/>
      <c r="E70" s="2"/>
      <c r="F70" s="19">
        <f t="shared" si="11"/>
        <v>0</v>
      </c>
      <c r="G70" s="2"/>
      <c r="H70" s="2"/>
      <c r="I70" s="2"/>
      <c r="J70" s="19">
        <f t="shared" si="12"/>
        <v>0</v>
      </c>
      <c r="K70" s="2"/>
      <c r="L70" s="2">
        <f t="shared" si="13"/>
        <v>0</v>
      </c>
      <c r="M70" s="2"/>
      <c r="N70" s="19">
        <f t="shared" si="14"/>
        <v>0</v>
      </c>
      <c r="O70" s="10"/>
      <c r="P70" s="2">
        <v>0</v>
      </c>
      <c r="Q70" s="2"/>
      <c r="R70" s="19">
        <f t="shared" si="15"/>
        <v>0</v>
      </c>
      <c r="S70" s="2"/>
      <c r="T70" s="2"/>
      <c r="U70" s="2"/>
      <c r="V70" s="19">
        <f t="shared" si="16"/>
        <v>0</v>
      </c>
      <c r="W70" s="2"/>
      <c r="X70" s="2">
        <f t="shared" si="17"/>
        <v>0</v>
      </c>
      <c r="Y70" s="2"/>
      <c r="Z70" s="19">
        <f t="shared" si="18"/>
        <v>0</v>
      </c>
    </row>
    <row r="71" spans="1:26" s="23" customFormat="1" hidden="1" outlineLevel="1" x14ac:dyDescent="0.25">
      <c r="A71" s="44"/>
      <c r="B71" s="10" t="str">
        <f>CONCATENATE("          ", "5527", " - ", "FREIGHT-IN-SCHOOL SUPPLIES")</f>
        <v xml:space="preserve">          5527 - FREIGHT-IN-SCHOOL SUPPLIES</v>
      </c>
      <c r="C71" s="10"/>
      <c r="D71" s="2"/>
      <c r="E71" s="2"/>
      <c r="F71" s="19">
        <f t="shared" si="11"/>
        <v>0</v>
      </c>
      <c r="G71" s="2"/>
      <c r="H71" s="2"/>
      <c r="I71" s="2"/>
      <c r="J71" s="19">
        <f t="shared" si="12"/>
        <v>0</v>
      </c>
      <c r="K71" s="2"/>
      <c r="L71" s="2">
        <f t="shared" si="13"/>
        <v>0</v>
      </c>
      <c r="M71" s="2"/>
      <c r="N71" s="19">
        <f t="shared" si="14"/>
        <v>0</v>
      </c>
      <c r="O71" s="10"/>
      <c r="P71" s="2">
        <v>218.62</v>
      </c>
      <c r="Q71" s="2"/>
      <c r="R71" s="19">
        <f t="shared" si="15"/>
        <v>9.7030288642384568E-5</v>
      </c>
      <c r="S71" s="2"/>
      <c r="T71" s="2"/>
      <c r="U71" s="2"/>
      <c r="V71" s="19">
        <f t="shared" si="16"/>
        <v>0</v>
      </c>
      <c r="W71" s="2"/>
      <c r="X71" s="2">
        <f t="shared" si="17"/>
        <v>218.62</v>
      </c>
      <c r="Y71" s="2"/>
      <c r="Z71" s="19">
        <f t="shared" si="18"/>
        <v>0</v>
      </c>
    </row>
    <row r="72" spans="1:26" s="23" customFormat="1" hidden="1" outlineLevel="1" x14ac:dyDescent="0.25">
      <c r="A72" s="44"/>
      <c r="B72" s="10" t="str">
        <f>CONCATENATE("          ", "5528", " - ", "FREIGHT-IN-ART/TECH")</f>
        <v xml:space="preserve">          5528 - FREIGHT-IN-ART/TECH</v>
      </c>
      <c r="C72" s="10"/>
      <c r="D72" s="2">
        <v>102.68</v>
      </c>
      <c r="E72" s="2"/>
      <c r="F72" s="19">
        <f t="shared" si="11"/>
        <v>4.6251402226481605E-4</v>
      </c>
      <c r="G72" s="2"/>
      <c r="H72" s="2"/>
      <c r="I72" s="2"/>
      <c r="J72" s="19">
        <f t="shared" si="12"/>
        <v>0</v>
      </c>
      <c r="K72" s="2"/>
      <c r="L72" s="2">
        <f t="shared" si="13"/>
        <v>102.68</v>
      </c>
      <c r="M72" s="2"/>
      <c r="N72" s="19">
        <f t="shared" si="14"/>
        <v>0</v>
      </c>
      <c r="O72" s="10"/>
      <c r="P72" s="2">
        <v>279.58999999999997</v>
      </c>
      <c r="Q72" s="2"/>
      <c r="R72" s="19">
        <f t="shared" si="15"/>
        <v>1.2409065228032338E-4</v>
      </c>
      <c r="S72" s="2"/>
      <c r="T72" s="2"/>
      <c r="U72" s="2"/>
      <c r="V72" s="19">
        <f t="shared" si="16"/>
        <v>0</v>
      </c>
      <c r="W72" s="2"/>
      <c r="X72" s="2">
        <f t="shared" si="17"/>
        <v>279.58999999999997</v>
      </c>
      <c r="Y72" s="2"/>
      <c r="Z72" s="19">
        <f t="shared" si="18"/>
        <v>0</v>
      </c>
    </row>
    <row r="73" spans="1:26" s="23" customFormat="1" hidden="1" outlineLevel="1" x14ac:dyDescent="0.25">
      <c r="A73" s="44"/>
      <c r="B73" s="10" t="str">
        <f>CONCATENATE("          ", "5540", " - ", "FREIGHT-IN-LOGO CLOTHING")</f>
        <v xml:space="preserve">          5540 - FREIGHT-IN-LOGO CLOTHING</v>
      </c>
      <c r="C73" s="10"/>
      <c r="D73" s="2">
        <v>1384.09</v>
      </c>
      <c r="E73" s="2"/>
      <c r="F73" s="19">
        <f t="shared" si="11"/>
        <v>6.2345250591790916E-3</v>
      </c>
      <c r="G73" s="2"/>
      <c r="H73" s="2">
        <v>29.98</v>
      </c>
      <c r="I73" s="2"/>
      <c r="J73" s="19">
        <f t="shared" si="12"/>
        <v>1.7761998813773378E-4</v>
      </c>
      <c r="K73" s="2"/>
      <c r="L73" s="2">
        <f t="shared" si="13"/>
        <v>1354.11</v>
      </c>
      <c r="M73" s="2"/>
      <c r="N73" s="19">
        <f t="shared" si="14"/>
        <v>45.167111407605063</v>
      </c>
      <c r="O73" s="10"/>
      <c r="P73" s="2">
        <v>11883.79</v>
      </c>
      <c r="Q73" s="2"/>
      <c r="R73" s="19">
        <f t="shared" si="15"/>
        <v>5.2743919763310011E-3</v>
      </c>
      <c r="S73" s="2"/>
      <c r="T73" s="2">
        <v>32492.79</v>
      </c>
      <c r="U73" s="2"/>
      <c r="V73" s="19">
        <f t="shared" si="16"/>
        <v>1.2963926584848771E-2</v>
      </c>
      <c r="W73" s="2"/>
      <c r="X73" s="2">
        <f t="shared" si="17"/>
        <v>-20609</v>
      </c>
      <c r="Y73" s="2"/>
      <c r="Z73" s="19">
        <f t="shared" si="18"/>
        <v>-0.63426378590450372</v>
      </c>
    </row>
    <row r="74" spans="1:26" s="23" customFormat="1" hidden="1" outlineLevel="1" x14ac:dyDescent="0.25">
      <c r="A74" s="44"/>
      <c r="B74" s="10" t="str">
        <f>CONCATENATE("          ", "5541", " - ", "FREIGHT-IN-LOGO GIFTS")</f>
        <v xml:space="preserve">          5541 - FREIGHT-IN-LOGO GIFTS</v>
      </c>
      <c r="C74" s="10"/>
      <c r="D74" s="2">
        <v>1606.81</v>
      </c>
      <c r="E74" s="2"/>
      <c r="F74" s="19">
        <f t="shared" si="11"/>
        <v>7.2377498647772593E-3</v>
      </c>
      <c r="G74" s="2"/>
      <c r="H74" s="2">
        <v>348.31</v>
      </c>
      <c r="I74" s="2"/>
      <c r="J74" s="19">
        <f t="shared" si="12"/>
        <v>2.063603004277987E-3</v>
      </c>
      <c r="K74" s="2"/>
      <c r="L74" s="2">
        <f t="shared" si="13"/>
        <v>1258.5</v>
      </c>
      <c r="M74" s="2"/>
      <c r="N74" s="19">
        <f t="shared" si="14"/>
        <v>3.6131606901897735</v>
      </c>
      <c r="O74" s="10"/>
      <c r="P74" s="2">
        <v>7584.01</v>
      </c>
      <c r="Q74" s="2"/>
      <c r="R74" s="19">
        <f t="shared" si="15"/>
        <v>3.3660171958957599E-3</v>
      </c>
      <c r="S74" s="2"/>
      <c r="T74" s="2">
        <v>5574.41</v>
      </c>
      <c r="U74" s="2"/>
      <c r="V74" s="19">
        <f t="shared" si="16"/>
        <v>2.2240700781264652E-3</v>
      </c>
      <c r="W74" s="2"/>
      <c r="X74" s="2">
        <f t="shared" si="17"/>
        <v>2009.6000000000004</v>
      </c>
      <c r="Y74" s="2"/>
      <c r="Z74" s="19">
        <f t="shared" si="18"/>
        <v>0.36050451976083575</v>
      </c>
    </row>
    <row r="75" spans="1:26" s="23" customFormat="1" hidden="1" outlineLevel="1" x14ac:dyDescent="0.25">
      <c r="A75" s="44"/>
      <c r="B75" s="10" t="str">
        <f>CONCATENATE("          ", "5542", " - ", "FREIGHT-IN-EVERYDAY GIFTS")</f>
        <v xml:space="preserve">          5542 - FREIGHT-IN-EVERYDAY GIFTS</v>
      </c>
      <c r="C75" s="10"/>
      <c r="D75" s="2"/>
      <c r="E75" s="2"/>
      <c r="F75" s="19">
        <f t="shared" si="11"/>
        <v>0</v>
      </c>
      <c r="G75" s="2"/>
      <c r="H75" s="2"/>
      <c r="I75" s="2"/>
      <c r="J75" s="19">
        <f t="shared" si="12"/>
        <v>0</v>
      </c>
      <c r="K75" s="2"/>
      <c r="L75" s="2">
        <f t="shared" si="13"/>
        <v>0</v>
      </c>
      <c r="M75" s="2"/>
      <c r="N75" s="19">
        <f t="shared" si="14"/>
        <v>0</v>
      </c>
      <c r="O75" s="10"/>
      <c r="P75" s="2">
        <v>681.72</v>
      </c>
      <c r="Q75" s="2"/>
      <c r="R75" s="19">
        <f t="shared" si="15"/>
        <v>3.0256833031418174E-4</v>
      </c>
      <c r="S75" s="2"/>
      <c r="T75" s="2">
        <v>2223.5100000000002</v>
      </c>
      <c r="U75" s="2"/>
      <c r="V75" s="19">
        <f t="shared" si="16"/>
        <v>8.8713281933244553E-4</v>
      </c>
      <c r="W75" s="2"/>
      <c r="X75" s="2">
        <f t="shared" si="17"/>
        <v>-1541.7900000000002</v>
      </c>
      <c r="Y75" s="2"/>
      <c r="Z75" s="19">
        <f t="shared" si="18"/>
        <v>-0.69340367257174473</v>
      </c>
    </row>
    <row r="76" spans="1:26" s="23" customFormat="1" hidden="1" outlineLevel="1" x14ac:dyDescent="0.25">
      <c r="A76" s="44"/>
      <c r="B76" s="10" t="str">
        <f>CONCATENATE("          ", "5543", " - ", "FREIGHT-IN-CARDS")</f>
        <v xml:space="preserve">          5543 - FREIGHT-IN-CARDS</v>
      </c>
      <c r="C76" s="10"/>
      <c r="D76" s="2"/>
      <c r="E76" s="2"/>
      <c r="F76" s="19">
        <f t="shared" si="11"/>
        <v>0</v>
      </c>
      <c r="G76" s="2"/>
      <c r="H76" s="2"/>
      <c r="I76" s="2"/>
      <c r="J76" s="19">
        <f t="shared" si="12"/>
        <v>0</v>
      </c>
      <c r="K76" s="2"/>
      <c r="L76" s="2">
        <f t="shared" si="13"/>
        <v>0</v>
      </c>
      <c r="M76" s="2"/>
      <c r="N76" s="19">
        <f t="shared" si="14"/>
        <v>0</v>
      </c>
      <c r="O76" s="10"/>
      <c r="P76" s="2">
        <v>9110.5300000000007</v>
      </c>
      <c r="Q76" s="2"/>
      <c r="R76" s="19">
        <f t="shared" si="15"/>
        <v>4.0435337827513674E-3</v>
      </c>
      <c r="S76" s="2"/>
      <c r="T76" s="2">
        <v>2926.76</v>
      </c>
      <c r="U76" s="2"/>
      <c r="V76" s="19">
        <f t="shared" si="16"/>
        <v>1.1677144920910758E-3</v>
      </c>
      <c r="W76" s="2"/>
      <c r="X76" s="2">
        <f t="shared" si="17"/>
        <v>6183.77</v>
      </c>
      <c r="Y76" s="2"/>
      <c r="Z76" s="19">
        <f t="shared" si="18"/>
        <v>2.112838087168063</v>
      </c>
    </row>
    <row r="77" spans="1:26" s="23" customFormat="1" hidden="1" outlineLevel="1" x14ac:dyDescent="0.25">
      <c r="A77" s="44"/>
      <c r="B77" s="10" t="str">
        <f>CONCATENATE("          ", "5544", " - ", "FREIGHT-IN-ACCESSORIES")</f>
        <v xml:space="preserve">          5544 - FREIGHT-IN-ACCESSORIES</v>
      </c>
      <c r="C77" s="10"/>
      <c r="D77" s="2">
        <v>48.59</v>
      </c>
      <c r="E77" s="2"/>
      <c r="F77" s="19">
        <f t="shared" si="11"/>
        <v>2.188698514009292E-4</v>
      </c>
      <c r="G77" s="2"/>
      <c r="H77" s="2"/>
      <c r="I77" s="2"/>
      <c r="J77" s="19">
        <f t="shared" si="12"/>
        <v>0</v>
      </c>
      <c r="K77" s="2"/>
      <c r="L77" s="2">
        <f t="shared" si="13"/>
        <v>48.59</v>
      </c>
      <c r="M77" s="2"/>
      <c r="N77" s="19">
        <f t="shared" si="14"/>
        <v>0</v>
      </c>
      <c r="O77" s="10"/>
      <c r="P77" s="2">
        <v>48.59</v>
      </c>
      <c r="Q77" s="2"/>
      <c r="R77" s="19">
        <f t="shared" si="15"/>
        <v>2.1565738382277316E-5</v>
      </c>
      <c r="S77" s="2"/>
      <c r="T77" s="2">
        <v>483.44</v>
      </c>
      <c r="U77" s="2"/>
      <c r="V77" s="19">
        <f t="shared" si="16"/>
        <v>1.9288219534793072E-4</v>
      </c>
      <c r="W77" s="2"/>
      <c r="X77" s="2">
        <f t="shared" si="17"/>
        <v>-434.85</v>
      </c>
      <c r="Y77" s="2"/>
      <c r="Z77" s="19">
        <f t="shared" si="18"/>
        <v>-0.89949114678139996</v>
      </c>
    </row>
    <row r="78" spans="1:26" s="23" customFormat="1" hidden="1" outlineLevel="1" x14ac:dyDescent="0.25">
      <c r="A78" s="44"/>
      <c r="B78" s="10" t="str">
        <f>CONCATENATE("          ", "5545", " - ", "FREIGHT-IN-SPECIAL ORDERS")</f>
        <v xml:space="preserve">          5545 - FREIGHT-IN-SPECIAL ORDERS</v>
      </c>
      <c r="C78" s="10"/>
      <c r="D78" s="2">
        <v>90.41</v>
      </c>
      <c r="E78" s="2"/>
      <c r="F78" s="19">
        <f t="shared" si="11"/>
        <v>4.0724476775381779E-4</v>
      </c>
      <c r="G78" s="2"/>
      <c r="H78" s="2">
        <v>355.3</v>
      </c>
      <c r="I78" s="2"/>
      <c r="J78" s="19">
        <f t="shared" si="12"/>
        <v>2.1050160702247105E-3</v>
      </c>
      <c r="K78" s="2"/>
      <c r="L78" s="2">
        <f t="shared" si="13"/>
        <v>-264.89</v>
      </c>
      <c r="M78" s="2"/>
      <c r="N78" s="19">
        <f t="shared" si="14"/>
        <v>-0.74553898114269623</v>
      </c>
      <c r="O78" s="10"/>
      <c r="P78" s="2">
        <v>2559.0700000000002</v>
      </c>
      <c r="Q78" s="2"/>
      <c r="R78" s="19">
        <f t="shared" si="15"/>
        <v>1.1357940753639515E-3</v>
      </c>
      <c r="S78" s="2"/>
      <c r="T78" s="2">
        <v>1420.62</v>
      </c>
      <c r="U78" s="2"/>
      <c r="V78" s="19">
        <f t="shared" si="16"/>
        <v>5.6679692279326763E-4</v>
      </c>
      <c r="W78" s="2"/>
      <c r="X78" s="2">
        <f t="shared" si="17"/>
        <v>1138.4500000000003</v>
      </c>
      <c r="Y78" s="2"/>
      <c r="Z78" s="19">
        <f t="shared" si="18"/>
        <v>0.80137545578691016</v>
      </c>
    </row>
    <row r="79" spans="1:26" x14ac:dyDescent="0.25">
      <c r="A79" s="9"/>
      <c r="B79" s="11"/>
      <c r="C79" s="11"/>
      <c r="D79" s="3"/>
      <c r="E79" s="3"/>
      <c r="F79" s="8"/>
      <c r="G79" s="3"/>
      <c r="H79" s="3"/>
      <c r="I79" s="3"/>
      <c r="J79" s="8"/>
      <c r="K79" s="3"/>
      <c r="L79" s="3"/>
      <c r="M79" s="3"/>
      <c r="N79" s="8"/>
      <c r="O79" s="11"/>
      <c r="P79" s="3"/>
      <c r="Q79" s="3"/>
      <c r="R79" s="8"/>
      <c r="S79" s="3"/>
      <c r="T79" s="3"/>
      <c r="U79" s="3"/>
      <c r="V79" s="8"/>
      <c r="W79" s="3"/>
      <c r="X79" s="3"/>
      <c r="Y79" s="3"/>
      <c r="Z79" s="8"/>
    </row>
    <row r="80" spans="1:26" s="24" customFormat="1" x14ac:dyDescent="0.25">
      <c r="A80" s="11"/>
      <c r="B80" s="28" t="s">
        <v>107</v>
      </c>
      <c r="C80" s="28"/>
      <c r="D80" s="21">
        <f>D12-D53</f>
        <v>95335.21000000005</v>
      </c>
      <c r="E80" s="14"/>
      <c r="F80" s="22">
        <f>IF(D$12=0,0,D80/D$12)</f>
        <v>0.42942999065602777</v>
      </c>
      <c r="G80" s="14"/>
      <c r="H80" s="21">
        <f>H12-H53</f>
        <v>63862.48000000001</v>
      </c>
      <c r="I80" s="14"/>
      <c r="J80" s="22">
        <f>IF(H$12=0,0,H80/H$12)</f>
        <v>0.37836067178273058</v>
      </c>
      <c r="K80" s="15"/>
      <c r="L80" s="21">
        <f>+D80-H80</f>
        <v>31472.73000000004</v>
      </c>
      <c r="M80" s="15"/>
      <c r="N80" s="22">
        <f>IF(H80=0,0,L80/H80)</f>
        <v>0.49282035398562718</v>
      </c>
      <c r="O80" s="29"/>
      <c r="P80" s="21">
        <f>P12-P53</f>
        <v>1035919.4799999997</v>
      </c>
      <c r="Q80" s="14"/>
      <c r="R80" s="22">
        <f>IF(P$12=0,0,P80/P$12)</f>
        <v>0.45977296749917163</v>
      </c>
      <c r="S80" s="14"/>
      <c r="T80" s="21">
        <f>T12-T53</f>
        <v>1303998.0100000005</v>
      </c>
      <c r="U80" s="14"/>
      <c r="V80" s="22">
        <f>IF(T$12=0,0,T80/T$12)</f>
        <v>0.52026724908599409</v>
      </c>
      <c r="W80" s="15"/>
      <c r="X80" s="21">
        <f>+P80-T80</f>
        <v>-268078.53000000073</v>
      </c>
      <c r="Y80" s="15"/>
      <c r="Z80" s="22">
        <f>IF(T80=0,0,X80/T80)</f>
        <v>-0.20558200851855643</v>
      </c>
    </row>
    <row r="81" spans="1:26" x14ac:dyDescent="0.25">
      <c r="A81" s="9"/>
      <c r="B81" s="11"/>
      <c r="C81" s="9"/>
      <c r="D81" s="1"/>
      <c r="E81" s="1"/>
      <c r="F81" s="5"/>
      <c r="G81" s="1"/>
      <c r="H81" s="1"/>
      <c r="I81" s="1"/>
      <c r="J81" s="5"/>
      <c r="K81" s="1"/>
      <c r="L81" s="1"/>
      <c r="M81" s="1"/>
      <c r="N81" s="5"/>
      <c r="O81" s="37"/>
      <c r="P81" s="1"/>
      <c r="Q81" s="1"/>
      <c r="R81" s="5"/>
      <c r="S81" s="1"/>
      <c r="T81" s="1"/>
      <c r="U81" s="1"/>
      <c r="V81" s="5"/>
      <c r="W81" s="1"/>
      <c r="X81" s="1"/>
      <c r="Y81" s="1"/>
      <c r="Z81" s="5"/>
    </row>
    <row r="82" spans="1:26" s="24" customFormat="1" x14ac:dyDescent="0.25">
      <c r="A82" s="11"/>
      <c r="B82" s="29" t="s">
        <v>294</v>
      </c>
      <c r="C82" s="11"/>
      <c r="D82" s="20">
        <f>SUM(OSRRefD22x_0)</f>
        <v>44839.590000000004</v>
      </c>
      <c r="E82" s="20"/>
      <c r="F82" s="32">
        <f t="shared" ref="F82:F91" si="19">IF(D$12=0,0,D82/D$12)</f>
        <v>0.20197642313600722</v>
      </c>
      <c r="G82" s="20"/>
      <c r="H82" s="20">
        <f>SUM(OSRRefH22x_0)</f>
        <v>96263.9</v>
      </c>
      <c r="I82" s="20"/>
      <c r="J82" s="32">
        <f t="shared" ref="J82:J91" si="20">IF(H$12=0,0,H82/H$12)</f>
        <v>0.57032664363215446</v>
      </c>
      <c r="K82" s="4"/>
      <c r="L82" s="20">
        <f t="shared" ref="L82:L91" si="21">+D82-H82</f>
        <v>-51424.30999999999</v>
      </c>
      <c r="M82" s="4"/>
      <c r="N82" s="32">
        <f t="shared" ref="N82:N91" si="22">IF(H82=0,0,L82/H82)</f>
        <v>-0.53420139844739301</v>
      </c>
      <c r="O82" s="11"/>
      <c r="P82" s="20">
        <f>SUM(OSRRefP22x_0)</f>
        <v>563016.94999999995</v>
      </c>
      <c r="Q82" s="20"/>
      <c r="R82" s="32">
        <f t="shared" ref="R82:R91" si="23">IF(P$12=0,0,P82/P$12)</f>
        <v>0.24988426113372517</v>
      </c>
      <c r="S82" s="20"/>
      <c r="T82" s="20">
        <f>SUM(OSRRefT22x_0)</f>
        <v>779662.7300000001</v>
      </c>
      <c r="U82" s="20"/>
      <c r="V82" s="32">
        <f t="shared" ref="V82:V91" si="24">IF(T$12=0,0,T82/T$12)</f>
        <v>0.31106871378735929</v>
      </c>
      <c r="W82" s="4"/>
      <c r="X82" s="20">
        <f t="shared" ref="X82:X91" si="25">+P82-T82</f>
        <v>-216645.78000000014</v>
      </c>
      <c r="Y82" s="4"/>
      <c r="Z82" s="32">
        <f t="shared" ref="Z82:Z91" si="26">IF(T82=0,0,X82/T82)</f>
        <v>-0.27787115077310431</v>
      </c>
    </row>
    <row r="83" spans="1:26" s="27" customFormat="1" outlineLevel="1" collapsed="1" x14ac:dyDescent="0.25">
      <c r="A83" s="26"/>
      <c r="B83" s="12" t="str">
        <f>CONCATENATE("     ","*Benefits                                         ")</f>
        <v xml:space="preserve">     *Benefits                                         </v>
      </c>
      <c r="C83" s="12"/>
      <c r="D83" s="1">
        <f>SUM(OSRRefD22_0x_0)</f>
        <v>10622.52</v>
      </c>
      <c r="E83" s="1"/>
      <c r="F83" s="5">
        <f t="shared" si="19"/>
        <v>4.7848309814846647E-2</v>
      </c>
      <c r="G83" s="1"/>
      <c r="H83" s="1">
        <f>SUM(OSRRefH22_0x_0)</f>
        <v>3950.65</v>
      </c>
      <c r="I83" s="1"/>
      <c r="J83" s="5">
        <f t="shared" si="20"/>
        <v>2.3406084260718413E-2</v>
      </c>
      <c r="K83" s="1"/>
      <c r="L83" s="1">
        <f t="shared" si="21"/>
        <v>6671.8700000000008</v>
      </c>
      <c r="M83" s="1"/>
      <c r="N83" s="5">
        <f t="shared" si="22"/>
        <v>1.6888031083492592</v>
      </c>
      <c r="O83" s="12"/>
      <c r="P83" s="1">
        <f>SUM(OSRRefP22_0x_0)</f>
        <v>123030.05</v>
      </c>
      <c r="Q83" s="1"/>
      <c r="R83" s="5">
        <f t="shared" si="23"/>
        <v>5.4604525035161493E-2</v>
      </c>
      <c r="S83" s="1"/>
      <c r="T83" s="1">
        <f>SUM(OSRRefT22_0x_0)</f>
        <v>77796.89</v>
      </c>
      <c r="U83" s="1"/>
      <c r="V83" s="5">
        <f t="shared" si="24"/>
        <v>3.1039291193201798E-2</v>
      </c>
      <c r="W83" s="1"/>
      <c r="X83" s="1">
        <f t="shared" si="25"/>
        <v>45233.16</v>
      </c>
      <c r="Y83" s="1"/>
      <c r="Z83" s="5">
        <f t="shared" si="26"/>
        <v>0.58142632693929031</v>
      </c>
    </row>
    <row r="84" spans="1:26" s="23" customFormat="1" hidden="1" outlineLevel="2" x14ac:dyDescent="0.25">
      <c r="A84" s="25"/>
      <c r="B84" s="10" t="str">
        <f>CONCATENATE("          ", "6111", " - ", "F.I.C.A.")</f>
        <v xml:space="preserve">          6111 - F.I.C.A.</v>
      </c>
      <c r="C84" s="10"/>
      <c r="D84" s="6">
        <v>2709.3</v>
      </c>
      <c r="E84" s="2"/>
      <c r="F84" s="7">
        <f t="shared" si="19"/>
        <v>1.2203829767452922E-2</v>
      </c>
      <c r="G84" s="2"/>
      <c r="H84" s="6">
        <v>947.64</v>
      </c>
      <c r="I84" s="2"/>
      <c r="J84" s="7">
        <f t="shared" si="20"/>
        <v>5.6144031207085408E-3</v>
      </c>
      <c r="K84" s="2"/>
      <c r="L84" s="6">
        <f t="shared" si="21"/>
        <v>1761.6600000000003</v>
      </c>
      <c r="M84" s="2"/>
      <c r="N84" s="7">
        <f t="shared" si="22"/>
        <v>1.8589970875015833</v>
      </c>
      <c r="O84" s="10"/>
      <c r="P84" s="6">
        <v>27900.400000000001</v>
      </c>
      <c r="Q84" s="2"/>
      <c r="R84" s="7">
        <f t="shared" si="23"/>
        <v>1.2383056743381148E-2</v>
      </c>
      <c r="S84" s="2"/>
      <c r="T84" s="6">
        <v>14734.01</v>
      </c>
      <c r="U84" s="2"/>
      <c r="V84" s="7">
        <f t="shared" si="24"/>
        <v>5.8785541020154822E-3</v>
      </c>
      <c r="W84" s="2"/>
      <c r="X84" s="6">
        <f t="shared" si="25"/>
        <v>13166.390000000001</v>
      </c>
      <c r="Y84" s="2"/>
      <c r="Z84" s="7">
        <f t="shared" si="26"/>
        <v>0.89360533894031569</v>
      </c>
    </row>
    <row r="85" spans="1:26" s="23" customFormat="1" hidden="1" outlineLevel="2" x14ac:dyDescent="0.25">
      <c r="A85" s="25"/>
      <c r="B85" s="10" t="str">
        <f>CONCATENATE("          ", "6112", " - ", "COMPENSATION INSURANCE")</f>
        <v xml:space="preserve">          6112 - COMPENSATION INSURANCE</v>
      </c>
      <c r="C85" s="10"/>
      <c r="D85" s="6">
        <v>819.71</v>
      </c>
      <c r="E85" s="2"/>
      <c r="F85" s="7">
        <f t="shared" si="19"/>
        <v>3.6923195285419978E-3</v>
      </c>
      <c r="G85" s="2"/>
      <c r="H85" s="6">
        <v>203.12</v>
      </c>
      <c r="I85" s="2"/>
      <c r="J85" s="7">
        <f t="shared" si="20"/>
        <v>1.2034080050212304E-3</v>
      </c>
      <c r="K85" s="2"/>
      <c r="L85" s="6">
        <f t="shared" si="21"/>
        <v>616.59</v>
      </c>
      <c r="M85" s="2"/>
      <c r="N85" s="7">
        <f t="shared" si="22"/>
        <v>3.0355947223316266</v>
      </c>
      <c r="O85" s="10"/>
      <c r="P85" s="6">
        <v>9503.2900000000009</v>
      </c>
      <c r="Q85" s="2"/>
      <c r="R85" s="7">
        <f t="shared" si="23"/>
        <v>4.2178527662258113E-3</v>
      </c>
      <c r="S85" s="2"/>
      <c r="T85" s="6">
        <v>4540.79</v>
      </c>
      <c r="U85" s="2"/>
      <c r="V85" s="7">
        <f t="shared" si="24"/>
        <v>1.8116778582945769E-3</v>
      </c>
      <c r="W85" s="2"/>
      <c r="X85" s="6">
        <f t="shared" si="25"/>
        <v>4962.5000000000009</v>
      </c>
      <c r="Y85" s="2"/>
      <c r="Z85" s="7">
        <f t="shared" si="26"/>
        <v>1.0928715047381625</v>
      </c>
    </row>
    <row r="86" spans="1:26" s="23" customFormat="1" hidden="1" outlineLevel="2" x14ac:dyDescent="0.25">
      <c r="A86" s="25"/>
      <c r="B86" s="10" t="str">
        <f>CONCATENATE("          ", "6113", " - ", "GROUP INSURANCE")</f>
        <v xml:space="preserve">          6113 - GROUP INSURANCE</v>
      </c>
      <c r="C86" s="10"/>
      <c r="D86" s="6">
        <v>2823.95</v>
      </c>
      <c r="E86" s="2"/>
      <c r="F86" s="7">
        <f t="shared" si="19"/>
        <v>1.2720261717712573E-2</v>
      </c>
      <c r="G86" s="2"/>
      <c r="H86" s="6">
        <v>1458.55</v>
      </c>
      <c r="I86" s="2"/>
      <c r="J86" s="7">
        <f t="shared" si="20"/>
        <v>8.6413486890690987E-3</v>
      </c>
      <c r="K86" s="2"/>
      <c r="L86" s="6">
        <f t="shared" si="21"/>
        <v>1365.3999999999999</v>
      </c>
      <c r="M86" s="2"/>
      <c r="N86" s="7">
        <f t="shared" si="22"/>
        <v>0.93613520276987416</v>
      </c>
      <c r="O86" s="10"/>
      <c r="P86" s="6">
        <v>34772.75</v>
      </c>
      <c r="Q86" s="2"/>
      <c r="R86" s="7">
        <f t="shared" si="23"/>
        <v>1.5433217314927628E-2</v>
      </c>
      <c r="S86" s="2"/>
      <c r="T86" s="6">
        <v>22506.22</v>
      </c>
      <c r="U86" s="2"/>
      <c r="V86" s="7">
        <f t="shared" si="24"/>
        <v>8.9794992606807567E-3</v>
      </c>
      <c r="W86" s="2"/>
      <c r="X86" s="6">
        <f t="shared" si="25"/>
        <v>12266.529999999999</v>
      </c>
      <c r="Y86" s="2"/>
      <c r="Z86" s="7">
        <f t="shared" si="26"/>
        <v>0.54502844102652503</v>
      </c>
    </row>
    <row r="87" spans="1:26" s="23" customFormat="1" hidden="1" outlineLevel="2" x14ac:dyDescent="0.25">
      <c r="A87" s="25"/>
      <c r="B87" s="10" t="str">
        <f>CONCATENATE("          ", "6114", " - ", "STATE UNEMPLOYMENT INSURANCE")</f>
        <v xml:space="preserve">          6114 - STATE UNEMPLOYMENT INSURANCE</v>
      </c>
      <c r="C87" s="10"/>
      <c r="D87" s="6">
        <v>115.2</v>
      </c>
      <c r="E87" s="2"/>
      <c r="F87" s="7">
        <f t="shared" si="19"/>
        <v>5.1890938220594865E-4</v>
      </c>
      <c r="G87" s="2"/>
      <c r="H87" s="6">
        <v>-670.36</v>
      </c>
      <c r="I87" s="2"/>
      <c r="J87" s="7">
        <f t="shared" si="20"/>
        <v>-3.9716255919950375E-3</v>
      </c>
      <c r="K87" s="2"/>
      <c r="L87" s="6">
        <f t="shared" si="21"/>
        <v>785.56000000000006</v>
      </c>
      <c r="M87" s="2"/>
      <c r="N87" s="7">
        <f t="shared" si="22"/>
        <v>-1.1718479622889195</v>
      </c>
      <c r="O87" s="10"/>
      <c r="P87" s="6">
        <v>1161.82</v>
      </c>
      <c r="Q87" s="2"/>
      <c r="R87" s="7">
        <f t="shared" si="23"/>
        <v>5.1565149551960126E-4</v>
      </c>
      <c r="S87" s="2"/>
      <c r="T87" s="6">
        <v>0</v>
      </c>
      <c r="U87" s="2"/>
      <c r="V87" s="7">
        <f t="shared" si="24"/>
        <v>0</v>
      </c>
      <c r="W87" s="2"/>
      <c r="X87" s="6">
        <f t="shared" si="25"/>
        <v>1161.82</v>
      </c>
      <c r="Y87" s="2"/>
      <c r="Z87" s="7">
        <f t="shared" si="26"/>
        <v>0</v>
      </c>
    </row>
    <row r="88" spans="1:26" s="23" customFormat="1" hidden="1" outlineLevel="2" x14ac:dyDescent="0.25">
      <c r="A88" s="25"/>
      <c r="B88" s="10" t="str">
        <f>CONCATENATE("          ", "6115", " - ", "P.E.R.S.")</f>
        <v xml:space="preserve">          6115 - P.E.R.S.</v>
      </c>
      <c r="C88" s="10"/>
      <c r="D88" s="6">
        <v>1982.96</v>
      </c>
      <c r="E88" s="2"/>
      <c r="F88" s="7">
        <f t="shared" si="19"/>
        <v>8.9320880949575344E-3</v>
      </c>
      <c r="G88" s="2"/>
      <c r="H88" s="6">
        <v>691.88</v>
      </c>
      <c r="I88" s="2"/>
      <c r="J88" s="7">
        <f t="shared" si="20"/>
        <v>4.0991233286436042E-3</v>
      </c>
      <c r="K88" s="2"/>
      <c r="L88" s="6">
        <f t="shared" si="21"/>
        <v>1291.08</v>
      </c>
      <c r="M88" s="2"/>
      <c r="N88" s="7">
        <f t="shared" si="22"/>
        <v>1.866046135167948</v>
      </c>
      <c r="O88" s="10"/>
      <c r="P88" s="6">
        <v>19687.45</v>
      </c>
      <c r="Q88" s="2"/>
      <c r="R88" s="7">
        <f t="shared" si="23"/>
        <v>8.7378966065891229E-3</v>
      </c>
      <c r="S88" s="2"/>
      <c r="T88" s="6">
        <v>9508.2800000000007</v>
      </c>
      <c r="U88" s="2"/>
      <c r="V88" s="7">
        <f t="shared" si="24"/>
        <v>3.7935998684072948E-3</v>
      </c>
      <c r="W88" s="2"/>
      <c r="X88" s="6">
        <f t="shared" si="25"/>
        <v>10179.17</v>
      </c>
      <c r="Y88" s="2"/>
      <c r="Z88" s="7">
        <f t="shared" si="26"/>
        <v>1.0705585026944935</v>
      </c>
    </row>
    <row r="89" spans="1:26" s="23" customFormat="1" hidden="1" outlineLevel="2" x14ac:dyDescent="0.25">
      <c r="A89" s="25"/>
      <c r="B89" s="10" t="str">
        <f>CONCATENATE("          ", "6118", " - ", "VACATION")</f>
        <v xml:space="preserve">          6118 - VACATION</v>
      </c>
      <c r="C89" s="10"/>
      <c r="D89" s="6">
        <v>969.54</v>
      </c>
      <c r="E89" s="2"/>
      <c r="F89" s="7">
        <f t="shared" si="19"/>
        <v>4.3672170349301686E-3</v>
      </c>
      <c r="G89" s="2"/>
      <c r="H89" s="6">
        <v>694.46</v>
      </c>
      <c r="I89" s="2"/>
      <c r="J89" s="7">
        <f t="shared" si="20"/>
        <v>4.1144088379629958E-3</v>
      </c>
      <c r="K89" s="2"/>
      <c r="L89" s="6">
        <f t="shared" si="21"/>
        <v>275.07999999999993</v>
      </c>
      <c r="M89" s="2"/>
      <c r="N89" s="7">
        <f t="shared" si="22"/>
        <v>0.39610632721827016</v>
      </c>
      <c r="O89" s="10"/>
      <c r="P89" s="6">
        <v>15189.06</v>
      </c>
      <c r="Q89" s="2"/>
      <c r="R89" s="7">
        <f t="shared" si="23"/>
        <v>6.7413725917413675E-3</v>
      </c>
      <c r="S89" s="2"/>
      <c r="T89" s="6">
        <v>10468.94</v>
      </c>
      <c r="U89" s="2"/>
      <c r="V89" s="7">
        <f t="shared" si="24"/>
        <v>4.176882612456077E-3</v>
      </c>
      <c r="W89" s="2"/>
      <c r="X89" s="6">
        <f t="shared" si="25"/>
        <v>4720.119999999999</v>
      </c>
      <c r="Y89" s="2"/>
      <c r="Z89" s="7">
        <f t="shared" si="26"/>
        <v>0.45086895139335964</v>
      </c>
    </row>
    <row r="90" spans="1:26" s="23" customFormat="1" hidden="1" outlineLevel="2" x14ac:dyDescent="0.25">
      <c r="A90" s="25"/>
      <c r="B90" s="10" t="str">
        <f>CONCATENATE("          ", "6119", " - ", "SICK LEAVE")</f>
        <v xml:space="preserve">          6119 - SICK LEAVE</v>
      </c>
      <c r="C90" s="10"/>
      <c r="D90" s="6">
        <v>889.58</v>
      </c>
      <c r="E90" s="2"/>
      <c r="F90" s="7">
        <f t="shared" si="19"/>
        <v>4.0070434741559706E-3</v>
      </c>
      <c r="G90" s="2"/>
      <c r="H90" s="6">
        <v>489.36</v>
      </c>
      <c r="I90" s="2"/>
      <c r="J90" s="7">
        <f t="shared" si="20"/>
        <v>2.8992700932315347E-3</v>
      </c>
      <c r="K90" s="2"/>
      <c r="L90" s="6">
        <f t="shared" si="21"/>
        <v>400.22</v>
      </c>
      <c r="M90" s="2"/>
      <c r="N90" s="7">
        <f t="shared" si="22"/>
        <v>0.81784371423900604</v>
      </c>
      <c r="O90" s="10"/>
      <c r="P90" s="6">
        <v>10906.32</v>
      </c>
      <c r="Q90" s="2"/>
      <c r="R90" s="7">
        <f t="shared" si="23"/>
        <v>4.8405606880715926E-3</v>
      </c>
      <c r="S90" s="2"/>
      <c r="T90" s="6">
        <v>13775.37</v>
      </c>
      <c r="U90" s="2"/>
      <c r="V90" s="7">
        <f t="shared" si="24"/>
        <v>5.4960772946591602E-3</v>
      </c>
      <c r="W90" s="2"/>
      <c r="X90" s="6">
        <f t="shared" si="25"/>
        <v>-2869.0500000000011</v>
      </c>
      <c r="Y90" s="2"/>
      <c r="Z90" s="7">
        <f t="shared" si="26"/>
        <v>-0.20827389754322395</v>
      </c>
    </row>
    <row r="91" spans="1:26" s="23" customFormat="1" hidden="1" outlineLevel="2" x14ac:dyDescent="0.25">
      <c r="A91" s="25"/>
      <c r="B91" s="10" t="str">
        <f>CONCATENATE("          ", "6156", " - ", "EMPLOYEE MEALS")</f>
        <v xml:space="preserve">          6156 - EMPLOYEE MEALS</v>
      </c>
      <c r="C91" s="10"/>
      <c r="D91" s="6">
        <v>312.27999999999997</v>
      </c>
      <c r="E91" s="2"/>
      <c r="F91" s="7">
        <f t="shared" si="19"/>
        <v>1.4066408148895278E-3</v>
      </c>
      <c r="G91" s="2"/>
      <c r="H91" s="6">
        <v>136</v>
      </c>
      <c r="I91" s="2"/>
      <c r="J91" s="7">
        <f t="shared" si="20"/>
        <v>8.0574777807644409E-4</v>
      </c>
      <c r="K91" s="2"/>
      <c r="L91" s="6">
        <f t="shared" si="21"/>
        <v>176.27999999999997</v>
      </c>
      <c r="M91" s="2"/>
      <c r="N91" s="7">
        <f t="shared" si="22"/>
        <v>1.296176470588235</v>
      </c>
      <c r="O91" s="10"/>
      <c r="P91" s="6">
        <v>3908.96</v>
      </c>
      <c r="Q91" s="2"/>
      <c r="R91" s="7">
        <f t="shared" si="23"/>
        <v>1.7349168287052218E-3</v>
      </c>
      <c r="S91" s="2"/>
      <c r="T91" s="6">
        <v>2263.2800000000002</v>
      </c>
      <c r="U91" s="2"/>
      <c r="V91" s="7">
        <f t="shared" si="24"/>
        <v>9.0300019668845073E-4</v>
      </c>
      <c r="W91" s="2"/>
      <c r="X91" s="6">
        <f t="shared" si="25"/>
        <v>1645.6799999999998</v>
      </c>
      <c r="Y91" s="2"/>
      <c r="Z91" s="7">
        <f t="shared" si="26"/>
        <v>0.72712169948039995</v>
      </c>
    </row>
    <row r="92" spans="1:26" s="27" customFormat="1" outlineLevel="1" collapsed="1" x14ac:dyDescent="0.25">
      <c r="A92" s="26"/>
      <c r="B92" s="12" t="str">
        <f>CONCATENATE("     ","*Payroll                                          ")</f>
        <v xml:space="preserve">     *Payroll                                          </v>
      </c>
      <c r="C92" s="12"/>
      <c r="D92" s="1">
        <f>SUM(OSRRefD22_1x_0)</f>
        <v>40971.75</v>
      </c>
      <c r="E92" s="1"/>
      <c r="F92" s="5">
        <f t="shared" ref="F92:F98" si="27">IF(D$12=0,0,D92/D$12)</f>
        <v>0.1845540406284425</v>
      </c>
      <c r="G92" s="1"/>
      <c r="H92" s="1">
        <f>SUM(OSRRefH22_1x_0)</f>
        <v>12195.279999999999</v>
      </c>
      <c r="I92" s="1"/>
      <c r="J92" s="5">
        <f t="shared" ref="J92:J98" si="28">IF(H$12=0,0,H92/H$12)</f>
        <v>7.2252351198677178E-2</v>
      </c>
      <c r="K92" s="1"/>
      <c r="L92" s="1">
        <f t="shared" ref="L92:L98" si="29">+D92-H92</f>
        <v>28776.47</v>
      </c>
      <c r="M92" s="1"/>
      <c r="N92" s="5">
        <f t="shared" ref="N92:N98" si="30">IF(H92=0,0,L92/H92)</f>
        <v>2.359639959066131</v>
      </c>
      <c r="O92" s="12"/>
      <c r="P92" s="1">
        <f>SUM(OSRRefP22_1x_0)</f>
        <v>380754.49</v>
      </c>
      <c r="Q92" s="1"/>
      <c r="R92" s="5">
        <f t="shared" ref="R92:R98" si="31">IF(P$12=0,0,P92/P$12)</f>
        <v>0.16899056841361232</v>
      </c>
      <c r="S92" s="1"/>
      <c r="T92" s="1">
        <f>SUM(OSRRefT22_1x_0)</f>
        <v>254454.91</v>
      </c>
      <c r="U92" s="1"/>
      <c r="V92" s="5">
        <f t="shared" ref="V92:V98" si="32">IF(T$12=0,0,T92/T$12)</f>
        <v>0.10152205373543796</v>
      </c>
      <c r="W92" s="1"/>
      <c r="X92" s="1">
        <f t="shared" ref="X92:X98" si="33">+P92-T92</f>
        <v>126299.57999999999</v>
      </c>
      <c r="Y92" s="1"/>
      <c r="Z92" s="5">
        <f t="shared" ref="Z92:Z98" si="34">IF(T92=0,0,X92/T92)</f>
        <v>0.49635347967936633</v>
      </c>
    </row>
    <row r="93" spans="1:26" s="23" customFormat="1" hidden="1" outlineLevel="2" x14ac:dyDescent="0.25">
      <c r="A93" s="25"/>
      <c r="B93" s="10" t="str">
        <f>CONCATENATE("          ", "6002", " - ", "STAFF SALARIES")</f>
        <v xml:space="preserve">          6002 - STAFF SALARIES</v>
      </c>
      <c r="C93" s="10"/>
      <c r="D93" s="6">
        <v>11054.49</v>
      </c>
      <c r="E93" s="2"/>
      <c r="F93" s="7">
        <f t="shared" si="27"/>
        <v>4.9794084865467332E-2</v>
      </c>
      <c r="G93" s="2"/>
      <c r="H93" s="6">
        <v>6769.24</v>
      </c>
      <c r="I93" s="2"/>
      <c r="J93" s="7">
        <f t="shared" si="28"/>
        <v>4.0105147715192566E-2</v>
      </c>
      <c r="K93" s="2"/>
      <c r="L93" s="6">
        <f t="shared" si="29"/>
        <v>4285.25</v>
      </c>
      <c r="M93" s="2"/>
      <c r="N93" s="7">
        <f t="shared" si="30"/>
        <v>0.63304743220804705</v>
      </c>
      <c r="O93" s="10"/>
      <c r="P93" s="6">
        <v>166401.07</v>
      </c>
      <c r="Q93" s="2"/>
      <c r="R93" s="7">
        <f t="shared" si="31"/>
        <v>7.3853919369232648E-2</v>
      </c>
      <c r="S93" s="2"/>
      <c r="T93" s="6">
        <v>86209.58</v>
      </c>
      <c r="U93" s="2"/>
      <c r="V93" s="7">
        <f t="shared" si="32"/>
        <v>3.4395774140375354E-2</v>
      </c>
      <c r="W93" s="2"/>
      <c r="X93" s="6">
        <f t="shared" si="33"/>
        <v>80191.490000000005</v>
      </c>
      <c r="Y93" s="2"/>
      <c r="Z93" s="7">
        <f t="shared" si="34"/>
        <v>0.93019232897318371</v>
      </c>
    </row>
    <row r="94" spans="1:26" s="23" customFormat="1" hidden="1" outlineLevel="2" x14ac:dyDescent="0.25">
      <c r="A94" s="25"/>
      <c r="B94" s="10" t="str">
        <f>CONCATENATE("          ", "6004", " - ", "STAFF HOURLY")</f>
        <v xml:space="preserve">          6004 - STAFF HOURLY</v>
      </c>
      <c r="C94" s="10"/>
      <c r="D94" s="6">
        <v>6874.82</v>
      </c>
      <c r="E94" s="2"/>
      <c r="F94" s="7">
        <f t="shared" si="27"/>
        <v>3.0967088532787321E-2</v>
      </c>
      <c r="G94" s="2"/>
      <c r="H94" s="6">
        <v>3738.92</v>
      </c>
      <c r="I94" s="2"/>
      <c r="J94" s="7">
        <f t="shared" si="28"/>
        <v>2.2151665311805725E-2</v>
      </c>
      <c r="K94" s="2"/>
      <c r="L94" s="6">
        <f t="shared" si="29"/>
        <v>3135.8999999999996</v>
      </c>
      <c r="M94" s="2"/>
      <c r="N94" s="7">
        <f t="shared" si="30"/>
        <v>0.83871813250885274</v>
      </c>
      <c r="O94" s="10"/>
      <c r="P94" s="6">
        <v>65430.879999999997</v>
      </c>
      <c r="Q94" s="2"/>
      <c r="R94" s="7">
        <f t="shared" si="31"/>
        <v>2.9040239559625047E-2</v>
      </c>
      <c r="S94" s="2"/>
      <c r="T94" s="6">
        <v>20401.43</v>
      </c>
      <c r="U94" s="2"/>
      <c r="V94" s="7">
        <f t="shared" si="32"/>
        <v>8.1397331760655594E-3</v>
      </c>
      <c r="W94" s="2"/>
      <c r="X94" s="6">
        <f t="shared" si="33"/>
        <v>45029.45</v>
      </c>
      <c r="Y94" s="2"/>
      <c r="Z94" s="7">
        <f t="shared" si="34"/>
        <v>2.2071712620144761</v>
      </c>
    </row>
    <row r="95" spans="1:26" s="23" customFormat="1" hidden="1" outlineLevel="2" x14ac:dyDescent="0.25">
      <c r="A95" s="25"/>
      <c r="B95" s="10" t="str">
        <f>CONCATENATE("          ", "6005", " - ", "TEMPORARY WAGES-HOURLY")</f>
        <v xml:space="preserve">          6005 - TEMPORARY WAGES-HOURLY</v>
      </c>
      <c r="C95" s="10"/>
      <c r="D95" s="6">
        <v>1611.71</v>
      </c>
      <c r="E95" s="2"/>
      <c r="F95" s="7">
        <f t="shared" si="27"/>
        <v>7.2598215312078941E-3</v>
      </c>
      <c r="G95" s="2"/>
      <c r="H95" s="6">
        <v>834.9</v>
      </c>
      <c r="I95" s="2"/>
      <c r="J95" s="7">
        <f t="shared" si="28"/>
        <v>4.9464619111472289E-3</v>
      </c>
      <c r="K95" s="2"/>
      <c r="L95" s="6">
        <f t="shared" si="29"/>
        <v>776.81000000000006</v>
      </c>
      <c r="M95" s="2"/>
      <c r="N95" s="7">
        <f t="shared" si="30"/>
        <v>0.93042280512636255</v>
      </c>
      <c r="O95" s="10"/>
      <c r="P95" s="6">
        <v>45510.86</v>
      </c>
      <c r="Q95" s="2"/>
      <c r="R95" s="7">
        <f t="shared" si="31"/>
        <v>2.0199121224788008E-2</v>
      </c>
      <c r="S95" s="2"/>
      <c r="T95" s="6">
        <v>30444.18</v>
      </c>
      <c r="U95" s="2"/>
      <c r="V95" s="7">
        <f t="shared" si="32"/>
        <v>1.2146575115769413E-2</v>
      </c>
      <c r="W95" s="2"/>
      <c r="X95" s="6">
        <f t="shared" si="33"/>
        <v>15066.68</v>
      </c>
      <c r="Y95" s="2"/>
      <c r="Z95" s="7">
        <f t="shared" si="34"/>
        <v>0.49489524763025317</v>
      </c>
    </row>
    <row r="96" spans="1:26" s="23" customFormat="1" hidden="1" outlineLevel="2" x14ac:dyDescent="0.25">
      <c r="A96" s="25"/>
      <c r="B96" s="10" t="str">
        <f>CONCATENATE("          ", "6006", " - ", "TEMPORARY PART TIME")</f>
        <v xml:space="preserve">          6006 - TEMPORARY PART TIME</v>
      </c>
      <c r="C96" s="10"/>
      <c r="D96" s="6">
        <v>306.3</v>
      </c>
      <c r="E96" s="2"/>
      <c r="F96" s="7">
        <f t="shared" si="27"/>
        <v>1.3797043730007124E-3</v>
      </c>
      <c r="G96" s="2"/>
      <c r="H96" s="6"/>
      <c r="I96" s="2"/>
      <c r="J96" s="7">
        <f t="shared" si="28"/>
        <v>0</v>
      </c>
      <c r="K96" s="2"/>
      <c r="L96" s="6">
        <f t="shared" si="29"/>
        <v>306.3</v>
      </c>
      <c r="M96" s="2"/>
      <c r="N96" s="7">
        <f t="shared" si="30"/>
        <v>0</v>
      </c>
      <c r="O96" s="10"/>
      <c r="P96" s="6">
        <v>5887.94</v>
      </c>
      <c r="Q96" s="2"/>
      <c r="R96" s="7">
        <f t="shared" si="31"/>
        <v>2.6132490975621708E-3</v>
      </c>
      <c r="S96" s="2"/>
      <c r="T96" s="6">
        <v>911.29</v>
      </c>
      <c r="U96" s="2"/>
      <c r="V96" s="7">
        <f t="shared" si="32"/>
        <v>3.6358517251078884E-4</v>
      </c>
      <c r="W96" s="2"/>
      <c r="X96" s="6">
        <f t="shared" si="33"/>
        <v>4976.6499999999996</v>
      </c>
      <c r="Y96" s="2"/>
      <c r="Z96" s="7">
        <f t="shared" si="34"/>
        <v>5.461104588001624</v>
      </c>
    </row>
    <row r="97" spans="1:26" s="23" customFormat="1" hidden="1" outlineLevel="2" x14ac:dyDescent="0.25">
      <c r="A97" s="25"/>
      <c r="B97" s="10" t="str">
        <f>CONCATENATE("          ", "6007", " - ", "STUDENT HOURLY")</f>
        <v xml:space="preserve">          6007 - STUDENT HOURLY</v>
      </c>
      <c r="C97" s="10"/>
      <c r="D97" s="6">
        <v>15226.82</v>
      </c>
      <c r="E97" s="2"/>
      <c r="F97" s="7">
        <f t="shared" si="27"/>
        <v>6.8588018742718596E-2</v>
      </c>
      <c r="G97" s="2"/>
      <c r="H97" s="6">
        <v>852.22</v>
      </c>
      <c r="I97" s="2"/>
      <c r="J97" s="7">
        <f t="shared" si="28"/>
        <v>5.0490762605316705E-3</v>
      </c>
      <c r="K97" s="2"/>
      <c r="L97" s="6">
        <f t="shared" si="29"/>
        <v>14374.6</v>
      </c>
      <c r="M97" s="2"/>
      <c r="N97" s="7">
        <f t="shared" si="30"/>
        <v>16.867240853300792</v>
      </c>
      <c r="O97" s="10"/>
      <c r="P97" s="6">
        <v>82249.47</v>
      </c>
      <c r="Q97" s="2"/>
      <c r="R97" s="7">
        <f t="shared" si="31"/>
        <v>3.6504847748527816E-2</v>
      </c>
      <c r="S97" s="2"/>
      <c r="T97" s="6">
        <v>116293.43</v>
      </c>
      <c r="U97" s="2"/>
      <c r="V97" s="7">
        <f t="shared" si="32"/>
        <v>4.6398585311395214E-2</v>
      </c>
      <c r="W97" s="2"/>
      <c r="X97" s="6">
        <f t="shared" si="33"/>
        <v>-34043.959999999992</v>
      </c>
      <c r="Y97" s="2"/>
      <c r="Z97" s="7">
        <f t="shared" si="34"/>
        <v>-0.29274190296046815</v>
      </c>
    </row>
    <row r="98" spans="1:26" s="23" customFormat="1" hidden="1" outlineLevel="2" x14ac:dyDescent="0.25">
      <c r="A98" s="25"/>
      <c r="B98" s="10" t="str">
        <f>CONCATENATE("          ", "6008", " - ", "STUDENT HOURLY-FICA EXEMPT")</f>
        <v xml:space="preserve">          6008 - STUDENT HOURLY-FICA EXEMPT</v>
      </c>
      <c r="C98" s="10"/>
      <c r="D98" s="6">
        <v>5897.61</v>
      </c>
      <c r="E98" s="2"/>
      <c r="F98" s="7">
        <f t="shared" si="27"/>
        <v>2.656532258326063E-2</v>
      </c>
      <c r="G98" s="2"/>
      <c r="H98" s="6"/>
      <c r="I98" s="2"/>
      <c r="J98" s="7">
        <f t="shared" si="28"/>
        <v>0</v>
      </c>
      <c r="K98" s="2"/>
      <c r="L98" s="6">
        <f t="shared" si="29"/>
        <v>5897.61</v>
      </c>
      <c r="M98" s="2"/>
      <c r="N98" s="7">
        <f t="shared" si="30"/>
        <v>0</v>
      </c>
      <c r="O98" s="10"/>
      <c r="P98" s="6">
        <v>15274.27</v>
      </c>
      <c r="Q98" s="2"/>
      <c r="R98" s="7">
        <f t="shared" si="31"/>
        <v>6.7791914138766599E-3</v>
      </c>
      <c r="S98" s="2"/>
      <c r="T98" s="6">
        <v>195</v>
      </c>
      <c r="U98" s="2"/>
      <c r="V98" s="7">
        <f t="shared" si="32"/>
        <v>7.7800819321625201E-5</v>
      </c>
      <c r="W98" s="2"/>
      <c r="X98" s="6">
        <f t="shared" si="33"/>
        <v>15079.27</v>
      </c>
      <c r="Y98" s="2"/>
      <c r="Z98" s="7">
        <f t="shared" si="34"/>
        <v>77.32958974358975</v>
      </c>
    </row>
    <row r="99" spans="1:26" s="27" customFormat="1" outlineLevel="1" collapsed="1" x14ac:dyDescent="0.25">
      <c r="A99" s="26"/>
      <c r="B99" s="12" t="str">
        <f>CONCATENATE("     ","Advertising/Promo                                 ")</f>
        <v xml:space="preserve">     Advertising/Promo                                 </v>
      </c>
      <c r="C99" s="12"/>
      <c r="D99" s="1">
        <f>SUM(OSRRefD22_2x_0)</f>
        <v>1103.3399999999999</v>
      </c>
      <c r="E99" s="1"/>
      <c r="F99" s="5">
        <f t="shared" ref="F99:F103" si="35">IF(D$12=0,0,D99/D$12)</f>
        <v>4.9699086611381185E-3</v>
      </c>
      <c r="G99" s="1"/>
      <c r="H99" s="1">
        <f>SUM(OSRRefH22_2x_0)</f>
        <v>0</v>
      </c>
      <c r="I99" s="1"/>
      <c r="J99" s="5">
        <f t="shared" ref="J99:J103" si="36">IF(H$12=0,0,H99/H$12)</f>
        <v>0</v>
      </c>
      <c r="K99" s="1"/>
      <c r="L99" s="1">
        <f t="shared" ref="L99:L103" si="37">+D99-H99</f>
        <v>1103.3399999999999</v>
      </c>
      <c r="M99" s="1"/>
      <c r="N99" s="5">
        <f t="shared" ref="N99:N103" si="38">IF(H99=0,0,L99/H99)</f>
        <v>0</v>
      </c>
      <c r="O99" s="12"/>
      <c r="P99" s="1">
        <f>SUM(OSRRefP22_2x_0)</f>
        <v>14201.95</v>
      </c>
      <c r="Q99" s="1"/>
      <c r="R99" s="5">
        <f t="shared" ref="R99:R103" si="39">IF(P$12=0,0,P99/P$12)</f>
        <v>6.3032627746076007E-3</v>
      </c>
      <c r="S99" s="1"/>
      <c r="T99" s="1">
        <f>SUM(OSRRefT22_2x_0)</f>
        <v>19215.2</v>
      </c>
      <c r="U99" s="1"/>
      <c r="V99" s="5">
        <f t="shared" ref="V99:V103" si="40">IF(T$12=0,0,T99/T$12)</f>
        <v>7.6664528380968851E-3</v>
      </c>
      <c r="W99" s="1"/>
      <c r="X99" s="1">
        <f t="shared" ref="X99:X103" si="41">+P99-T99</f>
        <v>-5013.25</v>
      </c>
      <c r="Y99" s="1"/>
      <c r="Z99" s="5">
        <f t="shared" ref="Z99:Z103" si="42">IF(T99=0,0,X99/T99)</f>
        <v>-0.26090022482201591</v>
      </c>
    </row>
    <row r="100" spans="1:26" s="23" customFormat="1" hidden="1" outlineLevel="2" x14ac:dyDescent="0.25">
      <c r="A100" s="25"/>
      <c r="B100" s="10" t="str">
        <f>CONCATENATE("          ", "6362", " - ", "ADVERTISING EXPENSE")</f>
        <v xml:space="preserve">          6362 - ADVERTISING EXPENSE</v>
      </c>
      <c r="C100" s="10"/>
      <c r="D100" s="6">
        <v>1103.3399999999999</v>
      </c>
      <c r="E100" s="2"/>
      <c r="F100" s="7">
        <f t="shared" si="35"/>
        <v>4.9699086611381185E-3</v>
      </c>
      <c r="G100" s="2"/>
      <c r="H100" s="6"/>
      <c r="I100" s="2"/>
      <c r="J100" s="7">
        <f t="shared" si="36"/>
        <v>0</v>
      </c>
      <c r="K100" s="2"/>
      <c r="L100" s="6">
        <f t="shared" si="37"/>
        <v>1103.3399999999999</v>
      </c>
      <c r="M100" s="2"/>
      <c r="N100" s="7">
        <f t="shared" si="38"/>
        <v>0</v>
      </c>
      <c r="O100" s="10"/>
      <c r="P100" s="6">
        <v>14201.95</v>
      </c>
      <c r="Q100" s="2"/>
      <c r="R100" s="7">
        <f t="shared" si="39"/>
        <v>6.3032627746076007E-3</v>
      </c>
      <c r="S100" s="2"/>
      <c r="T100" s="6">
        <v>19215.2</v>
      </c>
      <c r="U100" s="2"/>
      <c r="V100" s="7">
        <f t="shared" si="40"/>
        <v>7.6664528380968851E-3</v>
      </c>
      <c r="W100" s="2"/>
      <c r="X100" s="6">
        <f t="shared" si="41"/>
        <v>-5013.25</v>
      </c>
      <c r="Y100" s="2"/>
      <c r="Z100" s="7">
        <f t="shared" si="42"/>
        <v>-0.26090022482201591</v>
      </c>
    </row>
    <row r="101" spans="1:26" s="27" customFormat="1" outlineLevel="1" collapsed="1" x14ac:dyDescent="0.25">
      <c r="A101" s="26"/>
      <c r="B101" s="12" t="str">
        <f>CONCATENATE("     ","Discounts and Markdowns                           ")</f>
        <v xml:space="preserve">     Discounts and Markdowns                           </v>
      </c>
      <c r="C101" s="12"/>
      <c r="D101" s="1">
        <f>SUM(OSRRefD22_3x_0)</f>
        <v>0</v>
      </c>
      <c r="E101" s="1"/>
      <c r="F101" s="5">
        <f t="shared" si="35"/>
        <v>0</v>
      </c>
      <c r="G101" s="1"/>
      <c r="H101" s="1">
        <f>SUM(OSRRefH22_3x_0)</f>
        <v>34738.370000000003</v>
      </c>
      <c r="I101" s="1"/>
      <c r="J101" s="5">
        <f t="shared" si="36"/>
        <v>0.20581150324630446</v>
      </c>
      <c r="K101" s="1"/>
      <c r="L101" s="1">
        <f t="shared" si="37"/>
        <v>-34738.370000000003</v>
      </c>
      <c r="M101" s="1"/>
      <c r="N101" s="5">
        <f t="shared" si="38"/>
        <v>-1</v>
      </c>
      <c r="O101" s="12"/>
      <c r="P101" s="1">
        <f>SUM(OSRRefP22_3x_0)</f>
        <v>0</v>
      </c>
      <c r="Q101" s="1"/>
      <c r="R101" s="5">
        <f t="shared" si="39"/>
        <v>0</v>
      </c>
      <c r="S101" s="1"/>
      <c r="T101" s="1">
        <f>SUM(OSRRefT22_3x_0)</f>
        <v>293529.58999999997</v>
      </c>
      <c r="U101" s="1"/>
      <c r="V101" s="5">
        <f t="shared" si="40"/>
        <v>0.11711201331867037</v>
      </c>
      <c r="W101" s="1"/>
      <c r="X101" s="1">
        <f t="shared" si="41"/>
        <v>-293529.58999999997</v>
      </c>
      <c r="Y101" s="1"/>
      <c r="Z101" s="5">
        <f t="shared" si="42"/>
        <v>-1</v>
      </c>
    </row>
    <row r="102" spans="1:26" s="23" customFormat="1" hidden="1" outlineLevel="2" x14ac:dyDescent="0.25">
      <c r="A102" s="25"/>
      <c r="B102" s="10" t="str">
        <f>CONCATENATE("          ", "6382", " - ", "DISCOUNTS/MARK DOWNS")</f>
        <v xml:space="preserve">          6382 - DISCOUNTS/MARK DOWNS</v>
      </c>
      <c r="C102" s="10"/>
      <c r="D102" s="6">
        <v>0</v>
      </c>
      <c r="E102" s="2"/>
      <c r="F102" s="7">
        <f t="shared" si="35"/>
        <v>0</v>
      </c>
      <c r="G102" s="2"/>
      <c r="H102" s="6">
        <v>34738.370000000003</v>
      </c>
      <c r="I102" s="2"/>
      <c r="J102" s="7">
        <f t="shared" si="36"/>
        <v>0.20581150324630446</v>
      </c>
      <c r="K102" s="2"/>
      <c r="L102" s="6">
        <f t="shared" si="37"/>
        <v>-34738.370000000003</v>
      </c>
      <c r="M102" s="2"/>
      <c r="N102" s="7">
        <f t="shared" si="38"/>
        <v>-1</v>
      </c>
      <c r="O102" s="10"/>
      <c r="P102" s="6">
        <v>0</v>
      </c>
      <c r="Q102" s="2"/>
      <c r="R102" s="7">
        <f t="shared" si="39"/>
        <v>0</v>
      </c>
      <c r="S102" s="2"/>
      <c r="T102" s="6">
        <v>293548.98</v>
      </c>
      <c r="U102" s="2"/>
      <c r="V102" s="7">
        <f t="shared" si="40"/>
        <v>0.11711974951296086</v>
      </c>
      <c r="W102" s="2"/>
      <c r="X102" s="6">
        <f t="shared" si="41"/>
        <v>-293548.98</v>
      </c>
      <c r="Y102" s="2"/>
      <c r="Z102" s="7">
        <f t="shared" si="42"/>
        <v>-1</v>
      </c>
    </row>
    <row r="103" spans="1:26" s="23" customFormat="1" hidden="1" outlineLevel="2" x14ac:dyDescent="0.25">
      <c r="A103" s="25"/>
      <c r="B103" s="10" t="str">
        <f>CONCATENATE("          ", "9175", " - ", "EARNED DISCOUNTS")</f>
        <v xml:space="preserve">          9175 - EARNED DISCOUNTS</v>
      </c>
      <c r="C103" s="10"/>
      <c r="D103" s="6">
        <v>0</v>
      </c>
      <c r="E103" s="2"/>
      <c r="F103" s="7">
        <f t="shared" si="35"/>
        <v>0</v>
      </c>
      <c r="G103" s="2"/>
      <c r="H103" s="6"/>
      <c r="I103" s="2"/>
      <c r="J103" s="7">
        <f t="shared" si="36"/>
        <v>0</v>
      </c>
      <c r="K103" s="2"/>
      <c r="L103" s="6">
        <f t="shared" si="37"/>
        <v>0</v>
      </c>
      <c r="M103" s="2"/>
      <c r="N103" s="7">
        <f t="shared" si="38"/>
        <v>0</v>
      </c>
      <c r="O103" s="10"/>
      <c r="P103" s="6">
        <v>0</v>
      </c>
      <c r="Q103" s="2"/>
      <c r="R103" s="7">
        <f t="shared" si="39"/>
        <v>0</v>
      </c>
      <c r="S103" s="2"/>
      <c r="T103" s="6">
        <v>-19.39</v>
      </c>
      <c r="U103" s="2"/>
      <c r="V103" s="7">
        <f t="shared" si="40"/>
        <v>-7.7361942904939108E-6</v>
      </c>
      <c r="W103" s="2"/>
      <c r="X103" s="6">
        <f t="shared" si="41"/>
        <v>19.39</v>
      </c>
      <c r="Y103" s="2"/>
      <c r="Z103" s="7">
        <f t="shared" si="42"/>
        <v>-1</v>
      </c>
    </row>
    <row r="104" spans="1:26" s="27" customFormat="1" outlineLevel="1" collapsed="1" x14ac:dyDescent="0.25">
      <c r="A104" s="26"/>
      <c r="B104" s="12" t="str">
        <f>CONCATENATE("     ","Employees' Appreciation                           ")</f>
        <v xml:space="preserve">     Employees' Appreciation                           </v>
      </c>
      <c r="C104" s="12"/>
      <c r="D104" s="1">
        <f>SUM(OSRRefD22_4x_0)</f>
        <v>0</v>
      </c>
      <c r="E104" s="1"/>
      <c r="F104" s="5">
        <f t="shared" ref="F104:F108" si="43">IF(D$12=0,0,D104/D$12)</f>
        <v>0</v>
      </c>
      <c r="G104" s="1"/>
      <c r="H104" s="1">
        <f>SUM(OSRRefH22_4x_0)</f>
        <v>0</v>
      </c>
      <c r="I104" s="1"/>
      <c r="J104" s="5">
        <f t="shared" ref="J104:J108" si="44">IF(H$12=0,0,H104/H$12)</f>
        <v>0</v>
      </c>
      <c r="K104" s="1"/>
      <c r="L104" s="1">
        <f t="shared" ref="L104:L108" si="45">+D104-H104</f>
        <v>0</v>
      </c>
      <c r="M104" s="1"/>
      <c r="N104" s="5">
        <f t="shared" ref="N104:N108" si="46">IF(H104=0,0,L104/H104)</f>
        <v>0</v>
      </c>
      <c r="O104" s="12"/>
      <c r="P104" s="1">
        <f>SUM(OSRRefP22_4x_0)</f>
        <v>0</v>
      </c>
      <c r="Q104" s="1"/>
      <c r="R104" s="5">
        <f t="shared" ref="R104:R108" si="47">IF(P$12=0,0,P104/P$12)</f>
        <v>0</v>
      </c>
      <c r="S104" s="1"/>
      <c r="T104" s="1">
        <f>SUM(OSRRefT22_4x_0)</f>
        <v>255.44</v>
      </c>
      <c r="U104" s="1"/>
      <c r="V104" s="5">
        <f t="shared" ref="V104:V108" si="48">IF(T$12=0,0,T104/T$12)</f>
        <v>1.0191508352572277E-4</v>
      </c>
      <c r="W104" s="1"/>
      <c r="X104" s="1">
        <f t="shared" ref="X104:X108" si="49">+P104-T104</f>
        <v>-255.44</v>
      </c>
      <c r="Y104" s="1"/>
      <c r="Z104" s="5">
        <f t="shared" ref="Z104:Z108" si="50">IF(T104=0,0,X104/T104)</f>
        <v>-1</v>
      </c>
    </row>
    <row r="105" spans="1:26" s="23" customFormat="1" hidden="1" outlineLevel="2" x14ac:dyDescent="0.25">
      <c r="A105" s="25"/>
      <c r="B105" s="10" t="str">
        <f>CONCATENATE("          ", "6277", " - ", "EMPLOYEE APPRECIATION")</f>
        <v xml:space="preserve">          6277 - EMPLOYEE APPRECIATION</v>
      </c>
      <c r="C105" s="10"/>
      <c r="D105" s="6"/>
      <c r="E105" s="2"/>
      <c r="F105" s="7">
        <f t="shared" si="43"/>
        <v>0</v>
      </c>
      <c r="G105" s="2"/>
      <c r="H105" s="6"/>
      <c r="I105" s="2"/>
      <c r="J105" s="7">
        <f t="shared" si="44"/>
        <v>0</v>
      </c>
      <c r="K105" s="2"/>
      <c r="L105" s="6">
        <f t="shared" si="45"/>
        <v>0</v>
      </c>
      <c r="M105" s="2"/>
      <c r="N105" s="7">
        <f t="shared" si="46"/>
        <v>0</v>
      </c>
      <c r="O105" s="10"/>
      <c r="P105" s="6"/>
      <c r="Q105" s="2"/>
      <c r="R105" s="7">
        <f t="shared" si="47"/>
        <v>0</v>
      </c>
      <c r="S105" s="2"/>
      <c r="T105" s="6">
        <v>255.44</v>
      </c>
      <c r="U105" s="2"/>
      <c r="V105" s="7">
        <f t="shared" si="48"/>
        <v>1.0191508352572277E-4</v>
      </c>
      <c r="W105" s="2"/>
      <c r="X105" s="6">
        <f t="shared" si="49"/>
        <v>-255.44</v>
      </c>
      <c r="Y105" s="2"/>
      <c r="Z105" s="7">
        <f t="shared" si="50"/>
        <v>-1</v>
      </c>
    </row>
    <row r="106" spans="1:26" s="27" customFormat="1" outlineLevel="1" collapsed="1" x14ac:dyDescent="0.25">
      <c r="A106" s="26"/>
      <c r="B106" s="12" t="str">
        <f>CONCATENATE("     ","Freight out/Postage                               ")</f>
        <v xml:space="preserve">     Freight out/Postage                               </v>
      </c>
      <c r="C106" s="12"/>
      <c r="D106" s="1">
        <f>SUM(OSRRefD22_5x_0)</f>
        <v>9.25</v>
      </c>
      <c r="E106" s="1"/>
      <c r="F106" s="5">
        <f t="shared" si="43"/>
        <v>4.1665900914974175E-5</v>
      </c>
      <c r="G106" s="1"/>
      <c r="H106" s="1">
        <f>SUM(OSRRefH22_5x_0)</f>
        <v>34.229999999999997</v>
      </c>
      <c r="I106" s="1"/>
      <c r="J106" s="5">
        <f t="shared" si="44"/>
        <v>2.0279960620262264E-4</v>
      </c>
      <c r="K106" s="1"/>
      <c r="L106" s="1">
        <f t="shared" si="45"/>
        <v>-24.979999999999997</v>
      </c>
      <c r="M106" s="1"/>
      <c r="N106" s="5">
        <f t="shared" si="46"/>
        <v>-0.72976920829681569</v>
      </c>
      <c r="O106" s="12"/>
      <c r="P106" s="1">
        <f>SUM(OSRRefP22_5x_0)</f>
        <v>-137.59999999999997</v>
      </c>
      <c r="Q106" s="1"/>
      <c r="R106" s="5">
        <f t="shared" si="47"/>
        <v>-6.1071117542732206E-5</v>
      </c>
      <c r="S106" s="1"/>
      <c r="T106" s="1">
        <f>SUM(OSRRefT22_5x_0)</f>
        <v>163.83000000000001</v>
      </c>
      <c r="U106" s="1"/>
      <c r="V106" s="5">
        <f t="shared" si="48"/>
        <v>6.5364657586983882E-5</v>
      </c>
      <c r="W106" s="1"/>
      <c r="X106" s="1">
        <f t="shared" si="49"/>
        <v>-301.42999999999995</v>
      </c>
      <c r="Y106" s="1"/>
      <c r="Z106" s="5">
        <f t="shared" si="50"/>
        <v>-1.8398950131233591</v>
      </c>
    </row>
    <row r="107" spans="1:26" s="23" customFormat="1" hidden="1" outlineLevel="2" x14ac:dyDescent="0.25">
      <c r="A107" s="25"/>
      <c r="B107" s="10" t="str">
        <f>CONCATENATE("          ", "6305", " - ", "FREIGHT OUT")</f>
        <v xml:space="preserve">          6305 - FREIGHT OUT</v>
      </c>
      <c r="C107" s="10"/>
      <c r="D107" s="6">
        <v>9.25</v>
      </c>
      <c r="E107" s="2"/>
      <c r="F107" s="7">
        <f t="shared" si="43"/>
        <v>4.1665900914974175E-5</v>
      </c>
      <c r="G107" s="2"/>
      <c r="H107" s="6">
        <v>34.229999999999997</v>
      </c>
      <c r="I107" s="2"/>
      <c r="J107" s="7">
        <f t="shared" si="44"/>
        <v>2.0279960620262264E-4</v>
      </c>
      <c r="K107" s="2"/>
      <c r="L107" s="6">
        <f t="shared" si="45"/>
        <v>-24.979999999999997</v>
      </c>
      <c r="M107" s="2"/>
      <c r="N107" s="7">
        <f t="shared" si="46"/>
        <v>-0.72976920829681569</v>
      </c>
      <c r="O107" s="10"/>
      <c r="P107" s="6">
        <v>151.74</v>
      </c>
      <c r="Q107" s="2"/>
      <c r="R107" s="7">
        <f t="shared" si="47"/>
        <v>6.7346884999521707E-5</v>
      </c>
      <c r="S107" s="2"/>
      <c r="T107" s="6">
        <v>163.33000000000001</v>
      </c>
      <c r="U107" s="2"/>
      <c r="V107" s="7">
        <f t="shared" si="48"/>
        <v>6.5165168306672029E-5</v>
      </c>
      <c r="W107" s="2"/>
      <c r="X107" s="6">
        <f t="shared" si="49"/>
        <v>-11.590000000000003</v>
      </c>
      <c r="Y107" s="2"/>
      <c r="Z107" s="7">
        <f t="shared" si="50"/>
        <v>-7.0960631849629599E-2</v>
      </c>
    </row>
    <row r="108" spans="1:26" s="23" customFormat="1" hidden="1" outlineLevel="2" x14ac:dyDescent="0.25">
      <c r="A108" s="25"/>
      <c r="B108" s="10" t="str">
        <f>CONCATENATE("          ", "6307", " - ", "POSTAGE")</f>
        <v xml:space="preserve">          6307 - POSTAGE</v>
      </c>
      <c r="C108" s="10"/>
      <c r="D108" s="6"/>
      <c r="E108" s="2"/>
      <c r="F108" s="7">
        <f t="shared" si="43"/>
        <v>0</v>
      </c>
      <c r="G108" s="2"/>
      <c r="H108" s="6"/>
      <c r="I108" s="2"/>
      <c r="J108" s="7">
        <f t="shared" si="44"/>
        <v>0</v>
      </c>
      <c r="K108" s="2"/>
      <c r="L108" s="6">
        <f t="shared" si="45"/>
        <v>0</v>
      </c>
      <c r="M108" s="2"/>
      <c r="N108" s="7">
        <f t="shared" si="46"/>
        <v>0</v>
      </c>
      <c r="O108" s="10"/>
      <c r="P108" s="6">
        <v>-289.33999999999997</v>
      </c>
      <c r="Q108" s="2"/>
      <c r="R108" s="7">
        <f t="shared" si="47"/>
        <v>-1.2841800254225391E-4</v>
      </c>
      <c r="S108" s="2"/>
      <c r="T108" s="6">
        <v>0.5</v>
      </c>
      <c r="U108" s="2"/>
      <c r="V108" s="7">
        <f t="shared" si="48"/>
        <v>1.9948928031185948E-7</v>
      </c>
      <c r="W108" s="2"/>
      <c r="X108" s="6">
        <f t="shared" si="49"/>
        <v>-289.83999999999997</v>
      </c>
      <c r="Y108" s="2"/>
      <c r="Z108" s="7">
        <f t="shared" si="50"/>
        <v>-579.67999999999995</v>
      </c>
    </row>
    <row r="109" spans="1:26" s="27" customFormat="1" outlineLevel="1" collapsed="1" x14ac:dyDescent="0.25">
      <c r="A109" s="26"/>
      <c r="B109" s="12" t="str">
        <f>CONCATENATE("     ","Inventory Adjustment                              ")</f>
        <v xml:space="preserve">     Inventory Adjustment                              </v>
      </c>
      <c r="C109" s="12"/>
      <c r="D109" s="1">
        <f>SUM(OSRRefD22_6x_0)</f>
        <v>-11000</v>
      </c>
      <c r="E109" s="1"/>
      <c r="F109" s="5">
        <f t="shared" ref="F109:F116" si="51">IF(D$12=0,0,D109/D$12)</f>
        <v>-4.9548638925915232E-2</v>
      </c>
      <c r="G109" s="1"/>
      <c r="H109" s="1">
        <f>SUM(OSRRefH22_6x_0)</f>
        <v>45082</v>
      </c>
      <c r="I109" s="1"/>
      <c r="J109" s="5">
        <f t="shared" ref="J109:J116" si="52">IF(H$12=0,0,H109/H$12)</f>
        <v>0.2670935392003107</v>
      </c>
      <c r="K109" s="1"/>
      <c r="L109" s="1">
        <f t="shared" ref="L109:L116" si="53">+D109-H109</f>
        <v>-56082</v>
      </c>
      <c r="M109" s="1"/>
      <c r="N109" s="5">
        <f t="shared" ref="N109:N116" si="54">IF(H109=0,0,L109/H109)</f>
        <v>-1.2439998225455835</v>
      </c>
      <c r="O109" s="12"/>
      <c r="P109" s="1">
        <f>SUM(OSRRefP22_6x_0)</f>
        <v>0</v>
      </c>
      <c r="Q109" s="1"/>
      <c r="R109" s="5">
        <f t="shared" ref="R109:R116" si="55">IF(P$12=0,0,P109/P$12)</f>
        <v>0</v>
      </c>
      <c r="S109" s="1"/>
      <c r="T109" s="1">
        <f>SUM(OSRRefT22_6x_0)</f>
        <v>76432</v>
      </c>
      <c r="U109" s="1"/>
      <c r="V109" s="5">
        <f t="shared" ref="V109:V116" si="56">IF(T$12=0,0,T109/T$12)</f>
        <v>3.0494729345592088E-2</v>
      </c>
      <c r="W109" s="1"/>
      <c r="X109" s="1">
        <f t="shared" ref="X109:X116" si="57">+P109-T109</f>
        <v>-76432</v>
      </c>
      <c r="Y109" s="1"/>
      <c r="Z109" s="5">
        <f t="shared" ref="Z109:Z116" si="58">IF(T109=0,0,X109/T109)</f>
        <v>-1</v>
      </c>
    </row>
    <row r="110" spans="1:26" s="23" customFormat="1" hidden="1" outlineLevel="2" x14ac:dyDescent="0.25">
      <c r="A110" s="25"/>
      <c r="B110" s="10" t="str">
        <f>CONCATENATE("          ", "6408", " - ", "INVENTORY ADJUSTMENT")</f>
        <v xml:space="preserve">          6408 - INVENTORY ADJUSTMENT</v>
      </c>
      <c r="C110" s="10"/>
      <c r="D110" s="6">
        <v>-11000</v>
      </c>
      <c r="E110" s="2"/>
      <c r="F110" s="7">
        <f t="shared" si="51"/>
        <v>-4.9548638925915232E-2</v>
      </c>
      <c r="G110" s="2"/>
      <c r="H110" s="6">
        <v>-31350</v>
      </c>
      <c r="I110" s="2"/>
      <c r="J110" s="7">
        <f t="shared" si="52"/>
        <v>-0.18573671207865092</v>
      </c>
      <c r="K110" s="2"/>
      <c r="L110" s="6">
        <f t="shared" si="53"/>
        <v>20350</v>
      </c>
      <c r="M110" s="2"/>
      <c r="N110" s="7">
        <f t="shared" si="54"/>
        <v>-0.64912280701754388</v>
      </c>
      <c r="O110" s="10"/>
      <c r="P110" s="6">
        <v>0</v>
      </c>
      <c r="Q110" s="2"/>
      <c r="R110" s="7">
        <f t="shared" si="55"/>
        <v>0</v>
      </c>
      <c r="S110" s="2"/>
      <c r="T110" s="6">
        <v>0</v>
      </c>
      <c r="U110" s="2"/>
      <c r="V110" s="7">
        <f t="shared" si="56"/>
        <v>0</v>
      </c>
      <c r="W110" s="2"/>
      <c r="X110" s="6">
        <f t="shared" si="57"/>
        <v>0</v>
      </c>
      <c r="Y110" s="2"/>
      <c r="Z110" s="7">
        <f t="shared" si="58"/>
        <v>0</v>
      </c>
    </row>
    <row r="111" spans="1:26" s="23" customFormat="1" hidden="1" outlineLevel="2" x14ac:dyDescent="0.25">
      <c r="A111" s="25"/>
      <c r="B111" s="10" t="str">
        <f>CONCATENATE("          ", "7740", " - ", "INV. SHRINKAGE-LOGO CLOTHING")</f>
        <v xml:space="preserve">          7740 - INV. SHRINKAGE-LOGO CLOTHING</v>
      </c>
      <c r="C111" s="10"/>
      <c r="D111" s="6"/>
      <c r="E111" s="2"/>
      <c r="F111" s="7">
        <f t="shared" si="51"/>
        <v>0</v>
      </c>
      <c r="G111" s="2"/>
      <c r="H111" s="6">
        <v>-12967</v>
      </c>
      <c r="I111" s="2"/>
      <c r="J111" s="7">
        <f t="shared" si="52"/>
        <v>-7.6824495869979789E-2</v>
      </c>
      <c r="K111" s="2"/>
      <c r="L111" s="6">
        <f t="shared" si="53"/>
        <v>12967</v>
      </c>
      <c r="M111" s="2"/>
      <c r="N111" s="7">
        <f t="shared" si="54"/>
        <v>-1</v>
      </c>
      <c r="O111" s="10"/>
      <c r="P111" s="6"/>
      <c r="Q111" s="2"/>
      <c r="R111" s="7">
        <f t="shared" si="55"/>
        <v>0</v>
      </c>
      <c r="S111" s="2"/>
      <c r="T111" s="6">
        <v>-12967</v>
      </c>
      <c r="U111" s="2"/>
      <c r="V111" s="7">
        <f t="shared" si="56"/>
        <v>-5.1735549956077641E-3</v>
      </c>
      <c r="W111" s="2"/>
      <c r="X111" s="6">
        <f t="shared" si="57"/>
        <v>12967</v>
      </c>
      <c r="Y111" s="2"/>
      <c r="Z111" s="7">
        <f t="shared" si="58"/>
        <v>-1</v>
      </c>
    </row>
    <row r="112" spans="1:26" s="23" customFormat="1" hidden="1" outlineLevel="2" x14ac:dyDescent="0.25">
      <c r="A112" s="25"/>
      <c r="B112" s="10" t="str">
        <f>CONCATENATE("          ", "7741", " - ", "INV. SHRINKAGE-LOGO GIFTS")</f>
        <v xml:space="preserve">          7741 - INV. SHRINKAGE-LOGO GIFTS</v>
      </c>
      <c r="C112" s="10"/>
      <c r="D112" s="6"/>
      <c r="E112" s="2"/>
      <c r="F112" s="7">
        <f t="shared" si="51"/>
        <v>0</v>
      </c>
      <c r="G112" s="2"/>
      <c r="H112" s="6">
        <v>33363</v>
      </c>
      <c r="I112" s="2"/>
      <c r="J112" s="7">
        <f t="shared" si="52"/>
        <v>0.19766296411738532</v>
      </c>
      <c r="K112" s="2"/>
      <c r="L112" s="6">
        <f t="shared" si="53"/>
        <v>-33363</v>
      </c>
      <c r="M112" s="2"/>
      <c r="N112" s="7">
        <f t="shared" si="54"/>
        <v>-1</v>
      </c>
      <c r="O112" s="10"/>
      <c r="P112" s="6">
        <v>0</v>
      </c>
      <c r="Q112" s="2"/>
      <c r="R112" s="7">
        <f t="shared" si="55"/>
        <v>0</v>
      </c>
      <c r="S112" s="2"/>
      <c r="T112" s="6">
        <v>33363</v>
      </c>
      <c r="U112" s="2"/>
      <c r="V112" s="7">
        <f t="shared" si="56"/>
        <v>1.3311121718089137E-2</v>
      </c>
      <c r="W112" s="2"/>
      <c r="X112" s="6">
        <f t="shared" si="57"/>
        <v>-33363</v>
      </c>
      <c r="Y112" s="2"/>
      <c r="Z112" s="7">
        <f t="shared" si="58"/>
        <v>-1</v>
      </c>
    </row>
    <row r="113" spans="1:26" s="23" customFormat="1" hidden="1" outlineLevel="2" x14ac:dyDescent="0.25">
      <c r="A113" s="25"/>
      <c r="B113" s="10" t="str">
        <f>CONCATENATE("          ", "7742", " - ", "INV. SHRINKAGE-EVERYDAY GIFTS")</f>
        <v xml:space="preserve">          7742 - INV. SHRINKAGE-EVERYDAY GIFTS</v>
      </c>
      <c r="C113" s="10"/>
      <c r="D113" s="6"/>
      <c r="E113" s="2"/>
      <c r="F113" s="7">
        <f t="shared" si="51"/>
        <v>0</v>
      </c>
      <c r="G113" s="2"/>
      <c r="H113" s="6">
        <v>24230</v>
      </c>
      <c r="I113" s="2"/>
      <c r="J113" s="7">
        <f t="shared" si="52"/>
        <v>0.14355344604994294</v>
      </c>
      <c r="K113" s="2"/>
      <c r="L113" s="6">
        <f t="shared" si="53"/>
        <v>-24230</v>
      </c>
      <c r="M113" s="2"/>
      <c r="N113" s="7">
        <f t="shared" si="54"/>
        <v>-1</v>
      </c>
      <c r="O113" s="10"/>
      <c r="P113" s="6"/>
      <c r="Q113" s="2"/>
      <c r="R113" s="7">
        <f t="shared" si="55"/>
        <v>0</v>
      </c>
      <c r="S113" s="2"/>
      <c r="T113" s="6">
        <v>24230</v>
      </c>
      <c r="U113" s="2"/>
      <c r="V113" s="7">
        <f t="shared" si="56"/>
        <v>9.6672505239127106E-3</v>
      </c>
      <c r="W113" s="2"/>
      <c r="X113" s="6">
        <f t="shared" si="57"/>
        <v>-24230</v>
      </c>
      <c r="Y113" s="2"/>
      <c r="Z113" s="7">
        <f t="shared" si="58"/>
        <v>-1</v>
      </c>
    </row>
    <row r="114" spans="1:26" s="23" customFormat="1" hidden="1" outlineLevel="2" x14ac:dyDescent="0.25">
      <c r="A114" s="25"/>
      <c r="B114" s="10" t="str">
        <f>CONCATENATE("          ", "7743", " - ", "INV. SHRINKAGE-CARDS")</f>
        <v xml:space="preserve">          7743 - INV. SHRINKAGE-CARDS</v>
      </c>
      <c r="C114" s="10"/>
      <c r="D114" s="6"/>
      <c r="E114" s="2"/>
      <c r="F114" s="7">
        <f t="shared" si="51"/>
        <v>0</v>
      </c>
      <c r="G114" s="2"/>
      <c r="H114" s="6">
        <v>-11529</v>
      </c>
      <c r="I114" s="2"/>
      <c r="J114" s="7">
        <f t="shared" si="52"/>
        <v>-6.8304898040024445E-2</v>
      </c>
      <c r="K114" s="2"/>
      <c r="L114" s="6">
        <f t="shared" si="53"/>
        <v>11529</v>
      </c>
      <c r="M114" s="2"/>
      <c r="N114" s="7">
        <f t="shared" si="54"/>
        <v>-1</v>
      </c>
      <c r="O114" s="10"/>
      <c r="P114" s="6"/>
      <c r="Q114" s="2"/>
      <c r="R114" s="7">
        <f t="shared" si="55"/>
        <v>0</v>
      </c>
      <c r="S114" s="2"/>
      <c r="T114" s="6">
        <v>-11529</v>
      </c>
      <c r="U114" s="2"/>
      <c r="V114" s="7">
        <f t="shared" si="56"/>
        <v>-4.5998238254308559E-3</v>
      </c>
      <c r="W114" s="2"/>
      <c r="X114" s="6">
        <f t="shared" si="57"/>
        <v>11529</v>
      </c>
      <c r="Y114" s="2"/>
      <c r="Z114" s="7">
        <f t="shared" si="58"/>
        <v>-1</v>
      </c>
    </row>
    <row r="115" spans="1:26" s="23" customFormat="1" hidden="1" outlineLevel="2" x14ac:dyDescent="0.25">
      <c r="A115" s="25"/>
      <c r="B115" s="10" t="str">
        <f>CONCATENATE("          ", "7744", " - ", "INV. SHRINKAGE-ACCESSORIES")</f>
        <v xml:space="preserve">          7744 - INV. SHRINKAGE-ACCESSORIES</v>
      </c>
      <c r="C115" s="10"/>
      <c r="D115" s="6"/>
      <c r="E115" s="2"/>
      <c r="F115" s="7">
        <f t="shared" si="51"/>
        <v>0</v>
      </c>
      <c r="G115" s="2"/>
      <c r="H115" s="6">
        <v>249</v>
      </c>
      <c r="I115" s="2"/>
      <c r="J115" s="7">
        <f t="shared" si="52"/>
        <v>1.475229387801725E-3</v>
      </c>
      <c r="K115" s="2"/>
      <c r="L115" s="6">
        <f t="shared" si="53"/>
        <v>-249</v>
      </c>
      <c r="M115" s="2"/>
      <c r="N115" s="7">
        <f t="shared" si="54"/>
        <v>-1</v>
      </c>
      <c r="O115" s="10"/>
      <c r="P115" s="6"/>
      <c r="Q115" s="2"/>
      <c r="R115" s="7">
        <f t="shared" si="55"/>
        <v>0</v>
      </c>
      <c r="S115" s="2"/>
      <c r="T115" s="6">
        <v>249</v>
      </c>
      <c r="U115" s="2"/>
      <c r="V115" s="7">
        <f t="shared" si="56"/>
        <v>9.9345661595306024E-5</v>
      </c>
      <c r="W115" s="2"/>
      <c r="X115" s="6">
        <f t="shared" si="57"/>
        <v>-249</v>
      </c>
      <c r="Y115" s="2"/>
      <c r="Z115" s="7">
        <f t="shared" si="58"/>
        <v>-1</v>
      </c>
    </row>
    <row r="116" spans="1:26" s="23" customFormat="1" hidden="1" outlineLevel="2" x14ac:dyDescent="0.25">
      <c r="A116" s="25"/>
      <c r="B116" s="10" t="str">
        <f>CONCATENATE("          ", "7745", " - ", "INV. SHRINKAGE-SPECIAL ORDERS")</f>
        <v xml:space="preserve">          7745 - INV. SHRINKAGE-SPECIAL ORDERS</v>
      </c>
      <c r="C116" s="10"/>
      <c r="D116" s="6"/>
      <c r="E116" s="2"/>
      <c r="F116" s="7">
        <f t="shared" si="51"/>
        <v>0</v>
      </c>
      <c r="G116" s="2"/>
      <c r="H116" s="6">
        <v>43086</v>
      </c>
      <c r="I116" s="2"/>
      <c r="J116" s="7">
        <f t="shared" si="52"/>
        <v>0.25526800563383584</v>
      </c>
      <c r="K116" s="2"/>
      <c r="L116" s="6">
        <f t="shared" si="53"/>
        <v>-43086</v>
      </c>
      <c r="M116" s="2"/>
      <c r="N116" s="7">
        <f t="shared" si="54"/>
        <v>-1</v>
      </c>
      <c r="O116" s="10"/>
      <c r="P116" s="6"/>
      <c r="Q116" s="2"/>
      <c r="R116" s="7">
        <f t="shared" si="55"/>
        <v>0</v>
      </c>
      <c r="S116" s="2"/>
      <c r="T116" s="6">
        <v>43086</v>
      </c>
      <c r="U116" s="2"/>
      <c r="V116" s="7">
        <f t="shared" si="56"/>
        <v>1.7190390263033557E-2</v>
      </c>
      <c r="W116" s="2"/>
      <c r="X116" s="6">
        <f t="shared" si="57"/>
        <v>-43086</v>
      </c>
      <c r="Y116" s="2"/>
      <c r="Z116" s="7">
        <f t="shared" si="58"/>
        <v>-1</v>
      </c>
    </row>
    <row r="117" spans="1:26" s="27" customFormat="1" outlineLevel="1" collapsed="1" x14ac:dyDescent="0.25">
      <c r="A117" s="26"/>
      <c r="B117" s="12" t="str">
        <f>CONCATENATE("     ","Professional Services                             ")</f>
        <v xml:space="preserve">     Professional Services                             </v>
      </c>
      <c r="C117" s="12"/>
      <c r="D117" s="1">
        <f>SUM(OSRRefD22_7x_0)</f>
        <v>1966.87</v>
      </c>
      <c r="E117" s="1"/>
      <c r="F117" s="5">
        <f t="shared" ref="F117:F123" si="59">IF(D$12=0,0,D117/D$12)</f>
        <v>8.8596119494740808E-3</v>
      </c>
      <c r="G117" s="1"/>
      <c r="H117" s="1">
        <f>SUM(OSRRefH22_7x_0)</f>
        <v>0</v>
      </c>
      <c r="I117" s="1"/>
      <c r="J117" s="5">
        <f t="shared" ref="J117:J123" si="60">IF(H$12=0,0,H117/H$12)</f>
        <v>0</v>
      </c>
      <c r="K117" s="1"/>
      <c r="L117" s="1">
        <f t="shared" ref="L117:L123" si="61">+D117-H117</f>
        <v>1966.87</v>
      </c>
      <c r="M117" s="1"/>
      <c r="N117" s="5">
        <f t="shared" ref="N117:N123" si="62">IF(H117=0,0,L117/H117)</f>
        <v>0</v>
      </c>
      <c r="O117" s="12"/>
      <c r="P117" s="1">
        <f>SUM(OSRRefP22_7x_0)</f>
        <v>1966.87</v>
      </c>
      <c r="Q117" s="1"/>
      <c r="R117" s="5">
        <f t="shared" ref="R117:R123" si="63">IF(P$12=0,0,P117/P$12)</f>
        <v>8.7295747791623333E-4</v>
      </c>
      <c r="S117" s="1"/>
      <c r="T117" s="1">
        <f>SUM(OSRRefT22_7x_0)</f>
        <v>2930</v>
      </c>
      <c r="U117" s="1"/>
      <c r="V117" s="5">
        <f t="shared" ref="V117:V123" si="64">IF(T$12=0,0,T117/T$12)</f>
        <v>1.1690071826274966E-3</v>
      </c>
      <c r="W117" s="1"/>
      <c r="X117" s="1">
        <f t="shared" ref="X117:X123" si="65">+P117-T117</f>
        <v>-963.13000000000011</v>
      </c>
      <c r="Y117" s="1"/>
      <c r="Z117" s="5">
        <f t="shared" ref="Z117:Z123" si="66">IF(T117=0,0,X117/T117)</f>
        <v>-0.32871331058020481</v>
      </c>
    </row>
    <row r="118" spans="1:26" s="23" customFormat="1" hidden="1" outlineLevel="2" x14ac:dyDescent="0.25">
      <c r="A118" s="25"/>
      <c r="B118" s="10" t="str">
        <f>CONCATENATE("          ", "6336", " - ", "PROFESSIONAL SERVICES")</f>
        <v xml:space="preserve">          6336 - PROFESSIONAL SERVICES</v>
      </c>
      <c r="C118" s="10"/>
      <c r="D118" s="6">
        <v>1966.87</v>
      </c>
      <c r="E118" s="2"/>
      <c r="F118" s="7">
        <f t="shared" si="59"/>
        <v>8.8596119494740808E-3</v>
      </c>
      <c r="G118" s="2"/>
      <c r="H118" s="6"/>
      <c r="I118" s="2"/>
      <c r="J118" s="7">
        <f t="shared" si="60"/>
        <v>0</v>
      </c>
      <c r="K118" s="2"/>
      <c r="L118" s="6">
        <f t="shared" si="61"/>
        <v>1966.87</v>
      </c>
      <c r="M118" s="2"/>
      <c r="N118" s="7">
        <f t="shared" si="62"/>
        <v>0</v>
      </c>
      <c r="O118" s="10"/>
      <c r="P118" s="6">
        <v>1966.87</v>
      </c>
      <c r="Q118" s="2"/>
      <c r="R118" s="7">
        <f t="shared" si="63"/>
        <v>8.7295747791623333E-4</v>
      </c>
      <c r="S118" s="2"/>
      <c r="T118" s="6">
        <v>2930</v>
      </c>
      <c r="U118" s="2"/>
      <c r="V118" s="7">
        <f t="shared" si="64"/>
        <v>1.1690071826274966E-3</v>
      </c>
      <c r="W118" s="2"/>
      <c r="X118" s="6">
        <f t="shared" si="65"/>
        <v>-963.13000000000011</v>
      </c>
      <c r="Y118" s="2"/>
      <c r="Z118" s="7">
        <f t="shared" si="66"/>
        <v>-0.32871331058020481</v>
      </c>
    </row>
    <row r="119" spans="1:26" s="27" customFormat="1" outlineLevel="1" collapsed="1" x14ac:dyDescent="0.25">
      <c r="A119" s="26"/>
      <c r="B119" s="12" t="str">
        <f>CONCATENATE("     ","Repair and Maintenance                            ")</f>
        <v xml:space="preserve">     Repair and Maintenance                            </v>
      </c>
      <c r="C119" s="12"/>
      <c r="D119" s="1">
        <f>SUM(OSRRefD22_8x_0)</f>
        <v>0</v>
      </c>
      <c r="E119" s="1"/>
      <c r="F119" s="5">
        <f t="shared" si="59"/>
        <v>0</v>
      </c>
      <c r="G119" s="1"/>
      <c r="H119" s="1">
        <f>SUM(OSRRefH22_8x_0)</f>
        <v>0</v>
      </c>
      <c r="I119" s="1"/>
      <c r="J119" s="5">
        <f t="shared" si="60"/>
        <v>0</v>
      </c>
      <c r="K119" s="1"/>
      <c r="L119" s="1">
        <f t="shared" si="61"/>
        <v>0</v>
      </c>
      <c r="M119" s="1"/>
      <c r="N119" s="5">
        <f t="shared" si="62"/>
        <v>0</v>
      </c>
      <c r="O119" s="12"/>
      <c r="P119" s="1">
        <f>SUM(OSRRefP22_8x_0)</f>
        <v>0</v>
      </c>
      <c r="Q119" s="1"/>
      <c r="R119" s="5">
        <f t="shared" si="63"/>
        <v>0</v>
      </c>
      <c r="S119" s="1"/>
      <c r="T119" s="1">
        <f>SUM(OSRRefT22_8x_0)</f>
        <v>309.77999999999997</v>
      </c>
      <c r="U119" s="1"/>
      <c r="V119" s="5">
        <f t="shared" si="64"/>
        <v>1.2359557851001566E-4</v>
      </c>
      <c r="W119" s="1"/>
      <c r="X119" s="1">
        <f t="shared" si="65"/>
        <v>-309.77999999999997</v>
      </c>
      <c r="Y119" s="1"/>
      <c r="Z119" s="5">
        <f t="shared" si="66"/>
        <v>-1</v>
      </c>
    </row>
    <row r="120" spans="1:26" s="23" customFormat="1" hidden="1" outlineLevel="2" x14ac:dyDescent="0.25">
      <c r="A120" s="25"/>
      <c r="B120" s="10" t="str">
        <f>CONCATENATE("          ", "6373", " - ", "MAINTENANCE CONTRACTS")</f>
        <v xml:space="preserve">          6373 - MAINTENANCE CONTRACTS</v>
      </c>
      <c r="C120" s="10"/>
      <c r="D120" s="6"/>
      <c r="E120" s="2"/>
      <c r="F120" s="7">
        <f t="shared" si="59"/>
        <v>0</v>
      </c>
      <c r="G120" s="2"/>
      <c r="H120" s="6"/>
      <c r="I120" s="2"/>
      <c r="J120" s="7">
        <f t="shared" si="60"/>
        <v>0</v>
      </c>
      <c r="K120" s="2"/>
      <c r="L120" s="6">
        <f t="shared" si="61"/>
        <v>0</v>
      </c>
      <c r="M120" s="2"/>
      <c r="N120" s="7">
        <f t="shared" si="62"/>
        <v>0</v>
      </c>
      <c r="O120" s="10"/>
      <c r="P120" s="6"/>
      <c r="Q120" s="2"/>
      <c r="R120" s="7">
        <f t="shared" si="63"/>
        <v>0</v>
      </c>
      <c r="S120" s="2"/>
      <c r="T120" s="6">
        <v>309.77999999999997</v>
      </c>
      <c r="U120" s="2"/>
      <c r="V120" s="7">
        <f t="shared" si="64"/>
        <v>1.2359557851001566E-4</v>
      </c>
      <c r="W120" s="2"/>
      <c r="X120" s="6">
        <f t="shared" si="65"/>
        <v>-309.77999999999997</v>
      </c>
      <c r="Y120" s="2"/>
      <c r="Z120" s="7">
        <f t="shared" si="66"/>
        <v>-1</v>
      </c>
    </row>
    <row r="121" spans="1:26" s="27" customFormat="1" outlineLevel="1" collapsed="1" x14ac:dyDescent="0.25">
      <c r="A121" s="26"/>
      <c r="B121" s="12" t="str">
        <f>CONCATENATE("     ","Royalty &amp; Commissions                             ")</f>
        <v xml:space="preserve">     Royalty &amp; Commissions                             </v>
      </c>
      <c r="C121" s="12"/>
      <c r="D121" s="1">
        <f>SUM(OSRRefD22_9x_0)</f>
        <v>0</v>
      </c>
      <c r="E121" s="1"/>
      <c r="F121" s="5">
        <f t="shared" si="59"/>
        <v>0</v>
      </c>
      <c r="G121" s="1"/>
      <c r="H121" s="1">
        <f>SUM(OSRRefH22_9x_0)</f>
        <v>0</v>
      </c>
      <c r="I121" s="1"/>
      <c r="J121" s="5">
        <f t="shared" si="60"/>
        <v>0</v>
      </c>
      <c r="K121" s="1"/>
      <c r="L121" s="1">
        <f t="shared" si="61"/>
        <v>0</v>
      </c>
      <c r="M121" s="1"/>
      <c r="N121" s="5">
        <f t="shared" si="62"/>
        <v>0</v>
      </c>
      <c r="O121" s="12"/>
      <c r="P121" s="1">
        <f>SUM(OSRRefP22_9x_0)</f>
        <v>35159.06</v>
      </c>
      <c r="Q121" s="1"/>
      <c r="R121" s="5">
        <f t="shared" si="63"/>
        <v>1.5604673589767255E-2</v>
      </c>
      <c r="S121" s="1"/>
      <c r="T121" s="1">
        <f>SUM(OSRRefT22_9x_0)</f>
        <v>40841.660000000003</v>
      </c>
      <c r="U121" s="1"/>
      <c r="V121" s="5">
        <f t="shared" si="64"/>
        <v>1.629494672028332E-2</v>
      </c>
      <c r="W121" s="1"/>
      <c r="X121" s="1">
        <f t="shared" si="65"/>
        <v>-5682.6000000000058</v>
      </c>
      <c r="Y121" s="1"/>
      <c r="Z121" s="5">
        <f t="shared" si="66"/>
        <v>-0.139137341626173</v>
      </c>
    </row>
    <row r="122" spans="1:26" s="23" customFormat="1" hidden="1" outlineLevel="2" x14ac:dyDescent="0.25">
      <c r="A122" s="25"/>
      <c r="B122" s="10" t="str">
        <f>CONCATENATE("          ", "6253", " - ", "ROYALTY DUE ATHLETICS-LRG")</f>
        <v xml:space="preserve">          6253 - ROYALTY DUE ATHLETICS-LRG</v>
      </c>
      <c r="C122" s="10"/>
      <c r="D122" s="6"/>
      <c r="E122" s="2"/>
      <c r="F122" s="7">
        <f t="shared" si="59"/>
        <v>0</v>
      </c>
      <c r="G122" s="2"/>
      <c r="H122" s="6"/>
      <c r="I122" s="2"/>
      <c r="J122" s="7">
        <f t="shared" si="60"/>
        <v>0</v>
      </c>
      <c r="K122" s="2"/>
      <c r="L122" s="6">
        <f t="shared" si="61"/>
        <v>0</v>
      </c>
      <c r="M122" s="2"/>
      <c r="N122" s="7">
        <f t="shared" si="62"/>
        <v>0</v>
      </c>
      <c r="O122" s="10"/>
      <c r="P122" s="6">
        <v>35159.06</v>
      </c>
      <c r="Q122" s="2"/>
      <c r="R122" s="7">
        <f t="shared" si="63"/>
        <v>1.5604673589767255E-2</v>
      </c>
      <c r="S122" s="2"/>
      <c r="T122" s="6">
        <v>32870.44</v>
      </c>
      <c r="U122" s="2"/>
      <c r="V122" s="7">
        <f t="shared" si="64"/>
        <v>1.3114600838268318E-2</v>
      </c>
      <c r="W122" s="2"/>
      <c r="X122" s="6">
        <f t="shared" si="65"/>
        <v>2288.6199999999953</v>
      </c>
      <c r="Y122" s="2"/>
      <c r="Z122" s="7">
        <f t="shared" si="66"/>
        <v>6.962547504688088E-2</v>
      </c>
    </row>
    <row r="123" spans="1:26" s="23" customFormat="1" hidden="1" outlineLevel="2" x14ac:dyDescent="0.25">
      <c r="A123" s="25"/>
      <c r="B123" s="10" t="str">
        <f>CONCATENATE("          ", "6254", " - ", "ROYALTY &amp; COMMISSIONS")</f>
        <v xml:space="preserve">          6254 - ROYALTY &amp; COMMISSIONS</v>
      </c>
      <c r="C123" s="10"/>
      <c r="D123" s="6"/>
      <c r="E123" s="2"/>
      <c r="F123" s="7">
        <f t="shared" si="59"/>
        <v>0</v>
      </c>
      <c r="G123" s="2"/>
      <c r="H123" s="6"/>
      <c r="I123" s="2"/>
      <c r="J123" s="7">
        <f t="shared" si="60"/>
        <v>0</v>
      </c>
      <c r="K123" s="2"/>
      <c r="L123" s="6">
        <f t="shared" si="61"/>
        <v>0</v>
      </c>
      <c r="M123" s="2"/>
      <c r="N123" s="7">
        <f t="shared" si="62"/>
        <v>0</v>
      </c>
      <c r="O123" s="10"/>
      <c r="P123" s="6"/>
      <c r="Q123" s="2"/>
      <c r="R123" s="7">
        <f t="shared" si="63"/>
        <v>0</v>
      </c>
      <c r="S123" s="2"/>
      <c r="T123" s="6">
        <v>7971.22</v>
      </c>
      <c r="U123" s="2"/>
      <c r="V123" s="7">
        <f t="shared" si="64"/>
        <v>3.1803458820150012E-3</v>
      </c>
      <c r="W123" s="2"/>
      <c r="X123" s="6">
        <f t="shared" si="65"/>
        <v>-7971.22</v>
      </c>
      <c r="Y123" s="2"/>
      <c r="Z123" s="7">
        <f t="shared" si="66"/>
        <v>-1</v>
      </c>
    </row>
    <row r="124" spans="1:26" s="27" customFormat="1" outlineLevel="1" collapsed="1" x14ac:dyDescent="0.25">
      <c r="A124" s="26"/>
      <c r="B124" s="12" t="str">
        <f>CONCATENATE("     ","Subscriptions &amp; Dues                              ")</f>
        <v xml:space="preserve">     Subscriptions &amp; Dues                              </v>
      </c>
      <c r="C124" s="12"/>
      <c r="D124" s="1">
        <f>SUM(OSRRefD22_10x_0)</f>
        <v>0</v>
      </c>
      <c r="E124" s="1"/>
      <c r="F124" s="5">
        <f t="shared" ref="F124:F126" si="67">IF(D$12=0,0,D124/D$12)</f>
        <v>0</v>
      </c>
      <c r="G124" s="1"/>
      <c r="H124" s="1">
        <f>SUM(OSRRefH22_10x_0)</f>
        <v>119.97</v>
      </c>
      <c r="I124" s="1"/>
      <c r="J124" s="5">
        <f t="shared" ref="J124:J126" si="68">IF(H$12=0,0,H124/H$12)</f>
        <v>7.107761833516985E-4</v>
      </c>
      <c r="K124" s="1"/>
      <c r="L124" s="1">
        <f t="shared" ref="L124:L126" si="69">+D124-H124</f>
        <v>-119.97</v>
      </c>
      <c r="M124" s="1"/>
      <c r="N124" s="5">
        <f t="shared" ref="N124:N126" si="70">IF(H124=0,0,L124/H124)</f>
        <v>-1</v>
      </c>
      <c r="O124" s="12"/>
      <c r="P124" s="1">
        <f>SUM(OSRRefP22_10x_0)</f>
        <v>-206.41999999999996</v>
      </c>
      <c r="Q124" s="1"/>
      <c r="R124" s="5">
        <f t="shared" ref="R124:R126" si="71">IF(P$12=0,0,P124/P$12)</f>
        <v>-9.1615552930020207E-5</v>
      </c>
      <c r="S124" s="1"/>
      <c r="T124" s="1">
        <f>SUM(OSRRefT22_10x_0)</f>
        <v>499.54999999999995</v>
      </c>
      <c r="U124" s="1"/>
      <c r="V124" s="5">
        <f t="shared" ref="V124:V126" si="72">IF(T$12=0,0,T124/T$12)</f>
        <v>1.993097399595788E-4</v>
      </c>
      <c r="W124" s="1"/>
      <c r="X124" s="1">
        <f t="shared" ref="X124:X126" si="73">+P124-T124</f>
        <v>-705.96999999999991</v>
      </c>
      <c r="Y124" s="1"/>
      <c r="Z124" s="5">
        <f t="shared" ref="Z124:Z126" si="74">IF(T124=0,0,X124/T124)</f>
        <v>-1.4132118907016313</v>
      </c>
    </row>
    <row r="125" spans="1:26" s="23" customFormat="1" hidden="1" outlineLevel="2" x14ac:dyDescent="0.25">
      <c r="A125" s="25"/>
      <c r="B125" s="10" t="str">
        <f>CONCATENATE("          ", "6258", " - ", "MEMBERSHIP DUES")</f>
        <v xml:space="preserve">          6258 - MEMBERSHIP DUES</v>
      </c>
      <c r="C125" s="10"/>
      <c r="D125" s="6"/>
      <c r="E125" s="2"/>
      <c r="F125" s="7">
        <f t="shared" si="67"/>
        <v>0</v>
      </c>
      <c r="G125" s="2"/>
      <c r="H125" s="6">
        <v>119.97</v>
      </c>
      <c r="I125" s="2"/>
      <c r="J125" s="7">
        <f t="shared" si="68"/>
        <v>7.107761833516985E-4</v>
      </c>
      <c r="K125" s="2"/>
      <c r="L125" s="6">
        <f t="shared" si="69"/>
        <v>-119.97</v>
      </c>
      <c r="M125" s="2"/>
      <c r="N125" s="7">
        <f t="shared" si="70"/>
        <v>-1</v>
      </c>
      <c r="O125" s="10"/>
      <c r="P125" s="6">
        <v>-282.14999999999998</v>
      </c>
      <c r="Q125" s="2"/>
      <c r="R125" s="7">
        <f t="shared" si="71"/>
        <v>-1.252268591183277E-4</v>
      </c>
      <c r="S125" s="2"/>
      <c r="T125" s="6">
        <v>202.91</v>
      </c>
      <c r="U125" s="2"/>
      <c r="V125" s="7">
        <f t="shared" si="72"/>
        <v>8.0956739736158818E-5</v>
      </c>
      <c r="W125" s="2"/>
      <c r="X125" s="6">
        <f t="shared" si="73"/>
        <v>-485.05999999999995</v>
      </c>
      <c r="Y125" s="2"/>
      <c r="Z125" s="7">
        <f t="shared" si="74"/>
        <v>-2.3905179636291951</v>
      </c>
    </row>
    <row r="126" spans="1:26" s="23" customFormat="1" hidden="1" outlineLevel="2" x14ac:dyDescent="0.25">
      <c r="A126" s="25"/>
      <c r="B126" s="10" t="str">
        <f>CONCATENATE("          ", "6275", " - ", "SUBSCRIPTIONS")</f>
        <v xml:space="preserve">          6275 - SUBSCRIPTIONS</v>
      </c>
      <c r="C126" s="10"/>
      <c r="D126" s="6"/>
      <c r="E126" s="2"/>
      <c r="F126" s="7">
        <f t="shared" si="67"/>
        <v>0</v>
      </c>
      <c r="G126" s="2"/>
      <c r="H126" s="6"/>
      <c r="I126" s="2"/>
      <c r="J126" s="7">
        <f t="shared" si="68"/>
        <v>0</v>
      </c>
      <c r="K126" s="2"/>
      <c r="L126" s="6">
        <f t="shared" si="69"/>
        <v>0</v>
      </c>
      <c r="M126" s="2"/>
      <c r="N126" s="7">
        <f t="shared" si="70"/>
        <v>0</v>
      </c>
      <c r="O126" s="10"/>
      <c r="P126" s="6">
        <v>75.73</v>
      </c>
      <c r="Q126" s="2"/>
      <c r="R126" s="7">
        <f t="shared" si="71"/>
        <v>3.361130618830749E-5</v>
      </c>
      <c r="S126" s="2"/>
      <c r="T126" s="6">
        <v>296.64</v>
      </c>
      <c r="U126" s="2"/>
      <c r="V126" s="7">
        <f t="shared" si="72"/>
        <v>1.1835300022341999E-4</v>
      </c>
      <c r="W126" s="2"/>
      <c r="X126" s="6">
        <f t="shared" si="73"/>
        <v>-220.90999999999997</v>
      </c>
      <c r="Y126" s="2"/>
      <c r="Z126" s="7">
        <f t="shared" si="74"/>
        <v>-0.74470738942826309</v>
      </c>
    </row>
    <row r="127" spans="1:26" s="27" customFormat="1" outlineLevel="1" collapsed="1" x14ac:dyDescent="0.25">
      <c r="A127" s="26"/>
      <c r="B127" s="12" t="str">
        <f>CONCATENATE("     ","Supplies                                          ")</f>
        <v xml:space="preserve">     Supplies                                          </v>
      </c>
      <c r="C127" s="12"/>
      <c r="D127" s="1">
        <f>SUM(OSRRefD22_11x_0)</f>
        <v>910.76</v>
      </c>
      <c r="E127" s="1"/>
      <c r="F127" s="5">
        <f t="shared" ref="F127:F132" si="75">IF(D$12=0,0,D127/D$12)</f>
        <v>4.1024471261969595E-3</v>
      </c>
      <c r="G127" s="1"/>
      <c r="H127" s="1">
        <f>SUM(OSRRefH22_11x_0)</f>
        <v>158.76</v>
      </c>
      <c r="I127" s="1"/>
      <c r="J127" s="5">
        <f t="shared" ref="J127:J132" si="76">IF(H$12=0,0,H127/H$12)</f>
        <v>9.4059203858394308E-4</v>
      </c>
      <c r="K127" s="1"/>
      <c r="L127" s="1">
        <f t="shared" ref="L127:L132" si="77">+D127-H127</f>
        <v>752</v>
      </c>
      <c r="M127" s="1"/>
      <c r="N127" s="5">
        <f t="shared" ref="N127:N132" si="78">IF(H127=0,0,L127/H127)</f>
        <v>4.7367094986142604</v>
      </c>
      <c r="O127" s="12"/>
      <c r="P127" s="1">
        <f>SUM(OSRRefP22_11x_0)</f>
        <v>4722.29</v>
      </c>
      <c r="Q127" s="1"/>
      <c r="R127" s="5">
        <f t="shared" ref="R127:R132" si="79">IF(P$12=0,0,P127/P$12)</f>
        <v>2.095897730093524E-3</v>
      </c>
      <c r="S127" s="1"/>
      <c r="T127" s="1">
        <f>SUM(OSRRefT22_11x_0)</f>
        <v>3783.6099999999997</v>
      </c>
      <c r="U127" s="1"/>
      <c r="V127" s="5">
        <f t="shared" ref="V127:V132" si="80">IF(T$12=0,0,T127/T$12)</f>
        <v>1.5095792717615092E-3</v>
      </c>
      <c r="W127" s="1"/>
      <c r="X127" s="1">
        <f t="shared" ref="X127:X132" si="81">+P127-T127</f>
        <v>938.68000000000029</v>
      </c>
      <c r="Y127" s="1"/>
      <c r="Z127" s="5">
        <f t="shared" ref="Z127:Z132" si="82">IF(T127=0,0,X127/T127)</f>
        <v>0.24809110875592366</v>
      </c>
    </row>
    <row r="128" spans="1:26" s="23" customFormat="1" hidden="1" outlineLevel="2" x14ac:dyDescent="0.25">
      <c r="A128" s="25"/>
      <c r="B128" s="10" t="str">
        <f>CONCATENATE("          ", "6234", " - ", "EXPENDABLE SUPPLIES &amp; EQUIPMEN")</f>
        <v xml:space="preserve">          6234 - EXPENDABLE SUPPLIES &amp; EQUIPMEN</v>
      </c>
      <c r="C128" s="10"/>
      <c r="D128" s="6"/>
      <c r="E128" s="2"/>
      <c r="F128" s="7">
        <f t="shared" si="75"/>
        <v>0</v>
      </c>
      <c r="G128" s="2"/>
      <c r="H128" s="6"/>
      <c r="I128" s="2"/>
      <c r="J128" s="7">
        <f t="shared" si="76"/>
        <v>0</v>
      </c>
      <c r="K128" s="2"/>
      <c r="L128" s="6">
        <f t="shared" si="77"/>
        <v>0</v>
      </c>
      <c r="M128" s="2"/>
      <c r="N128" s="7">
        <f t="shared" si="78"/>
        <v>0</v>
      </c>
      <c r="O128" s="10"/>
      <c r="P128" s="6">
        <v>449.5</v>
      </c>
      <c r="Q128" s="2"/>
      <c r="R128" s="7">
        <f t="shared" si="79"/>
        <v>1.995019428448992E-4</v>
      </c>
      <c r="S128" s="2"/>
      <c r="T128" s="6">
        <v>672.38</v>
      </c>
      <c r="U128" s="2"/>
      <c r="V128" s="7">
        <f t="shared" si="80"/>
        <v>2.6826520459217616E-4</v>
      </c>
      <c r="W128" s="2"/>
      <c r="X128" s="6">
        <f t="shared" si="81"/>
        <v>-222.88</v>
      </c>
      <c r="Y128" s="2"/>
      <c r="Z128" s="7">
        <f t="shared" si="82"/>
        <v>-0.33147922305838962</v>
      </c>
    </row>
    <row r="129" spans="1:26" s="23" customFormat="1" hidden="1" outlineLevel="2" x14ac:dyDescent="0.25">
      <c r="A129" s="25"/>
      <c r="B129" s="10" t="str">
        <f>CONCATENATE("          ", "6235", " - ", "COVID-19 EXPENSES")</f>
        <v xml:space="preserve">          6235 - COVID-19 EXPENSES</v>
      </c>
      <c r="C129" s="10"/>
      <c r="D129" s="6"/>
      <c r="E129" s="2"/>
      <c r="F129" s="7">
        <f t="shared" si="75"/>
        <v>0</v>
      </c>
      <c r="G129" s="2"/>
      <c r="H129" s="6"/>
      <c r="I129" s="2"/>
      <c r="J129" s="7">
        <f t="shared" si="76"/>
        <v>0</v>
      </c>
      <c r="K129" s="2"/>
      <c r="L129" s="6">
        <f t="shared" si="77"/>
        <v>0</v>
      </c>
      <c r="M129" s="2"/>
      <c r="N129" s="7">
        <f t="shared" si="78"/>
        <v>0</v>
      </c>
      <c r="O129" s="10"/>
      <c r="P129" s="6">
        <v>1026.43</v>
      </c>
      <c r="Q129" s="2"/>
      <c r="R129" s="7">
        <f t="shared" si="79"/>
        <v>4.5556124403624005E-4</v>
      </c>
      <c r="S129" s="2"/>
      <c r="T129" s="6"/>
      <c r="U129" s="2"/>
      <c r="V129" s="7">
        <f t="shared" si="80"/>
        <v>0</v>
      </c>
      <c r="W129" s="2"/>
      <c r="X129" s="6">
        <f t="shared" si="81"/>
        <v>1026.43</v>
      </c>
      <c r="Y129" s="2"/>
      <c r="Z129" s="7">
        <f t="shared" si="82"/>
        <v>0</v>
      </c>
    </row>
    <row r="130" spans="1:26" s="23" customFormat="1" hidden="1" outlineLevel="2" x14ac:dyDescent="0.25">
      <c r="A130" s="25"/>
      <c r="B130" s="10" t="str">
        <f>CONCATENATE("          ", "6241", " - ", "OFFICE EXPENSE")</f>
        <v xml:space="preserve">          6241 - OFFICE EXPENSE</v>
      </c>
      <c r="C130" s="10"/>
      <c r="D130" s="6">
        <v>432.21</v>
      </c>
      <c r="E130" s="2"/>
      <c r="F130" s="7">
        <f t="shared" si="75"/>
        <v>1.9468561118336201E-3</v>
      </c>
      <c r="G130" s="2"/>
      <c r="H130" s="6"/>
      <c r="I130" s="2"/>
      <c r="J130" s="7">
        <f t="shared" si="76"/>
        <v>0</v>
      </c>
      <c r="K130" s="2"/>
      <c r="L130" s="6">
        <f t="shared" si="77"/>
        <v>432.21</v>
      </c>
      <c r="M130" s="2"/>
      <c r="N130" s="7">
        <f t="shared" si="78"/>
        <v>0</v>
      </c>
      <c r="O130" s="10"/>
      <c r="P130" s="6">
        <v>1657.58</v>
      </c>
      <c r="Q130" s="2"/>
      <c r="R130" s="7">
        <f t="shared" si="79"/>
        <v>7.3568505099187546E-4</v>
      </c>
      <c r="S130" s="2"/>
      <c r="T130" s="6">
        <v>2718.41</v>
      </c>
      <c r="U130" s="2"/>
      <c r="V130" s="7">
        <f t="shared" si="80"/>
        <v>1.0845873089851239E-3</v>
      </c>
      <c r="W130" s="2"/>
      <c r="X130" s="6">
        <f t="shared" si="81"/>
        <v>-1060.83</v>
      </c>
      <c r="Y130" s="2"/>
      <c r="Z130" s="7">
        <f t="shared" si="82"/>
        <v>-0.39023914714851698</v>
      </c>
    </row>
    <row r="131" spans="1:26" s="23" customFormat="1" hidden="1" outlineLevel="2" x14ac:dyDescent="0.25">
      <c r="A131" s="25"/>
      <c r="B131" s="10" t="str">
        <f>CONCATENATE("          ", "6245", " - ", "PRINTING")</f>
        <v xml:space="preserve">          6245 - PRINTING</v>
      </c>
      <c r="C131" s="10"/>
      <c r="D131" s="6">
        <v>0</v>
      </c>
      <c r="E131" s="2"/>
      <c r="F131" s="7">
        <f t="shared" si="75"/>
        <v>0</v>
      </c>
      <c r="G131" s="2"/>
      <c r="H131" s="6">
        <v>158.76</v>
      </c>
      <c r="I131" s="2"/>
      <c r="J131" s="7">
        <f t="shared" si="76"/>
        <v>9.4059203858394308E-4</v>
      </c>
      <c r="K131" s="2"/>
      <c r="L131" s="6">
        <f t="shared" si="77"/>
        <v>-158.76</v>
      </c>
      <c r="M131" s="2"/>
      <c r="N131" s="7">
        <f t="shared" si="78"/>
        <v>-1</v>
      </c>
      <c r="O131" s="10"/>
      <c r="P131" s="6">
        <v>0</v>
      </c>
      <c r="Q131" s="2"/>
      <c r="R131" s="7">
        <f t="shared" si="79"/>
        <v>0</v>
      </c>
      <c r="S131" s="2"/>
      <c r="T131" s="6">
        <v>-370.22</v>
      </c>
      <c r="U131" s="2"/>
      <c r="V131" s="7">
        <f t="shared" si="80"/>
        <v>-1.4770984271411325E-4</v>
      </c>
      <c r="W131" s="2"/>
      <c r="X131" s="6">
        <f t="shared" si="81"/>
        <v>370.22</v>
      </c>
      <c r="Y131" s="2"/>
      <c r="Z131" s="7">
        <f t="shared" si="82"/>
        <v>-1</v>
      </c>
    </row>
    <row r="132" spans="1:26" s="23" customFormat="1" hidden="1" outlineLevel="2" x14ac:dyDescent="0.25">
      <c r="A132" s="25"/>
      <c r="B132" s="10" t="str">
        <f>CONCATENATE("          ", "6247", " - ", "STORE SUPPLIES")</f>
        <v xml:space="preserve">          6247 - STORE SUPPLIES</v>
      </c>
      <c r="C132" s="10"/>
      <c r="D132" s="6">
        <v>478.55</v>
      </c>
      <c r="E132" s="2"/>
      <c r="F132" s="7">
        <f t="shared" si="75"/>
        <v>2.1555910143633396E-3</v>
      </c>
      <c r="G132" s="2"/>
      <c r="H132" s="6"/>
      <c r="I132" s="2"/>
      <c r="J132" s="7">
        <f t="shared" si="76"/>
        <v>0</v>
      </c>
      <c r="K132" s="2"/>
      <c r="L132" s="6">
        <f t="shared" si="77"/>
        <v>478.55</v>
      </c>
      <c r="M132" s="2"/>
      <c r="N132" s="7">
        <f t="shared" si="78"/>
        <v>0</v>
      </c>
      <c r="O132" s="10"/>
      <c r="P132" s="6">
        <v>1588.78</v>
      </c>
      <c r="Q132" s="2"/>
      <c r="R132" s="7">
        <f t="shared" si="79"/>
        <v>7.0514949222050933E-4</v>
      </c>
      <c r="S132" s="2"/>
      <c r="T132" s="6">
        <v>763.04</v>
      </c>
      <c r="U132" s="2"/>
      <c r="V132" s="7">
        <f t="shared" si="80"/>
        <v>3.0443660089832253E-4</v>
      </c>
      <c r="W132" s="2"/>
      <c r="X132" s="6">
        <f t="shared" si="81"/>
        <v>825.74</v>
      </c>
      <c r="Y132" s="2"/>
      <c r="Z132" s="7">
        <f t="shared" si="82"/>
        <v>1.0821713147410359</v>
      </c>
    </row>
    <row r="133" spans="1:26" s="27" customFormat="1" outlineLevel="1" collapsed="1" x14ac:dyDescent="0.25">
      <c r="A133" s="26"/>
      <c r="B133" s="12" t="str">
        <f>CONCATENATE("     ","Telephone/Data Lines                              ")</f>
        <v xml:space="preserve">     Telephone/Data Lines                              </v>
      </c>
      <c r="C133" s="12"/>
      <c r="D133" s="1">
        <f>SUM(OSRRefD22_12x_0)</f>
        <v>255.1</v>
      </c>
      <c r="E133" s="1"/>
      <c r="F133" s="5">
        <f t="shared" ref="F133:F139" si="83">IF(D$12=0,0,D133/D$12)</f>
        <v>1.1490779809091795E-3</v>
      </c>
      <c r="G133" s="1"/>
      <c r="H133" s="1">
        <f>SUM(OSRRefH22_12x_0)</f>
        <v>-15.36</v>
      </c>
      <c r="I133" s="1"/>
      <c r="J133" s="5">
        <f t="shared" ref="J133:J139" si="84">IF(H$12=0,0,H133/H$12)</f>
        <v>-9.1002101994516044E-5</v>
      </c>
      <c r="K133" s="1"/>
      <c r="L133" s="1">
        <f t="shared" ref="L133:L139" si="85">+D133-H133</f>
        <v>270.45999999999998</v>
      </c>
      <c r="M133" s="1"/>
      <c r="N133" s="5">
        <f t="shared" ref="N133:N139" si="86">IF(H133=0,0,L133/H133)</f>
        <v>-17.608072916666664</v>
      </c>
      <c r="O133" s="12"/>
      <c r="P133" s="1">
        <f>SUM(OSRRefP22_12x_0)</f>
        <v>3412.44</v>
      </c>
      <c r="Q133" s="1"/>
      <c r="R133" s="5">
        <f t="shared" ref="R133:R139" si="87">IF(P$12=0,0,P133/P$12)</f>
        <v>1.514545961827915E-3</v>
      </c>
      <c r="S133" s="1"/>
      <c r="T133" s="1">
        <f>SUM(OSRRefT22_12x_0)</f>
        <v>5898.29</v>
      </c>
      <c r="U133" s="1"/>
      <c r="V133" s="5">
        <f t="shared" ref="V133:V139" si="88">IF(T$12=0,0,T133/T$12)</f>
        <v>2.3532912543412754E-3</v>
      </c>
      <c r="W133" s="1"/>
      <c r="X133" s="1">
        <f t="shared" ref="X133:X139" si="89">+P133-T133</f>
        <v>-2485.85</v>
      </c>
      <c r="Y133" s="1"/>
      <c r="Z133" s="5">
        <f t="shared" ref="Z133:Z139" si="90">IF(T133=0,0,X133/T133)</f>
        <v>-0.42145265831283302</v>
      </c>
    </row>
    <row r="134" spans="1:26" s="23" customFormat="1" hidden="1" outlineLevel="2" x14ac:dyDescent="0.25">
      <c r="A134" s="25"/>
      <c r="B134" s="10" t="str">
        <f>CONCATENATE("          ", "6309", " - ", "TELEPHONE")</f>
        <v xml:space="preserve">          6309 - TELEPHONE</v>
      </c>
      <c r="C134" s="10"/>
      <c r="D134" s="6">
        <v>255.1</v>
      </c>
      <c r="E134" s="2"/>
      <c r="F134" s="7">
        <f t="shared" si="83"/>
        <v>1.1490779809091795E-3</v>
      </c>
      <c r="G134" s="2"/>
      <c r="H134" s="6">
        <v>-15.36</v>
      </c>
      <c r="I134" s="2"/>
      <c r="J134" s="7">
        <f t="shared" si="84"/>
        <v>-9.1002101994516044E-5</v>
      </c>
      <c r="K134" s="2"/>
      <c r="L134" s="6">
        <f t="shared" si="85"/>
        <v>270.45999999999998</v>
      </c>
      <c r="M134" s="2"/>
      <c r="N134" s="7">
        <f t="shared" si="86"/>
        <v>-17.608072916666664</v>
      </c>
      <c r="O134" s="10"/>
      <c r="P134" s="6">
        <v>3412.44</v>
      </c>
      <c r="Q134" s="2"/>
      <c r="R134" s="7">
        <f t="shared" si="87"/>
        <v>1.514545961827915E-3</v>
      </c>
      <c r="S134" s="2"/>
      <c r="T134" s="6">
        <v>5898.29</v>
      </c>
      <c r="U134" s="2"/>
      <c r="V134" s="7">
        <f t="shared" si="88"/>
        <v>2.3532912543412754E-3</v>
      </c>
      <c r="W134" s="2"/>
      <c r="X134" s="6">
        <f t="shared" si="89"/>
        <v>-2485.85</v>
      </c>
      <c r="Y134" s="2"/>
      <c r="Z134" s="7">
        <f t="shared" si="90"/>
        <v>-0.42145265831283302</v>
      </c>
    </row>
    <row r="135" spans="1:26" s="27" customFormat="1" outlineLevel="1" collapsed="1" x14ac:dyDescent="0.25">
      <c r="A135" s="26"/>
      <c r="B135" s="12" t="str">
        <f>CONCATENATE("     ","Training                                          ")</f>
        <v xml:space="preserve">     Training                                          </v>
      </c>
      <c r="C135" s="12"/>
      <c r="D135" s="1">
        <f>SUM(OSRRefD22_13x_0)</f>
        <v>0</v>
      </c>
      <c r="E135" s="1"/>
      <c r="F135" s="5">
        <f t="shared" si="83"/>
        <v>0</v>
      </c>
      <c r="G135" s="1"/>
      <c r="H135" s="1">
        <f>SUM(OSRRefH22_13x_0)</f>
        <v>0</v>
      </c>
      <c r="I135" s="1"/>
      <c r="J135" s="5">
        <f t="shared" si="84"/>
        <v>0</v>
      </c>
      <c r="K135" s="1"/>
      <c r="L135" s="1">
        <f t="shared" si="85"/>
        <v>0</v>
      </c>
      <c r="M135" s="1"/>
      <c r="N135" s="5">
        <f t="shared" si="86"/>
        <v>0</v>
      </c>
      <c r="O135" s="12"/>
      <c r="P135" s="1">
        <f>SUM(OSRRefP22_13x_0)</f>
        <v>0</v>
      </c>
      <c r="Q135" s="1"/>
      <c r="R135" s="5">
        <f t="shared" si="87"/>
        <v>0</v>
      </c>
      <c r="S135" s="1"/>
      <c r="T135" s="1">
        <f>SUM(OSRRefT22_13x_0)</f>
        <v>3651.14</v>
      </c>
      <c r="U135" s="1"/>
      <c r="V135" s="5">
        <f t="shared" si="88"/>
        <v>1.4567265818356853E-3</v>
      </c>
      <c r="W135" s="1"/>
      <c r="X135" s="1">
        <f t="shared" si="89"/>
        <v>-3651.14</v>
      </c>
      <c r="Y135" s="1"/>
      <c r="Z135" s="5">
        <f t="shared" si="90"/>
        <v>-1</v>
      </c>
    </row>
    <row r="136" spans="1:26" s="23" customFormat="1" hidden="1" outlineLevel="2" x14ac:dyDescent="0.25">
      <c r="A136" s="25"/>
      <c r="B136" s="10" t="str">
        <f>CONCATENATE("          ", "6376", " - ", "TRAINING")</f>
        <v xml:space="preserve">          6376 - TRAINING</v>
      </c>
      <c r="C136" s="10"/>
      <c r="D136" s="6"/>
      <c r="E136" s="2"/>
      <c r="F136" s="7">
        <f t="shared" si="83"/>
        <v>0</v>
      </c>
      <c r="G136" s="2"/>
      <c r="H136" s="6"/>
      <c r="I136" s="2"/>
      <c r="J136" s="7">
        <f t="shared" si="84"/>
        <v>0</v>
      </c>
      <c r="K136" s="2"/>
      <c r="L136" s="6">
        <f t="shared" si="85"/>
        <v>0</v>
      </c>
      <c r="M136" s="2"/>
      <c r="N136" s="7">
        <f t="shared" si="86"/>
        <v>0</v>
      </c>
      <c r="O136" s="10"/>
      <c r="P136" s="6"/>
      <c r="Q136" s="2"/>
      <c r="R136" s="7">
        <f t="shared" si="87"/>
        <v>0</v>
      </c>
      <c r="S136" s="2"/>
      <c r="T136" s="6">
        <v>3651.14</v>
      </c>
      <c r="U136" s="2"/>
      <c r="V136" s="7">
        <f t="shared" si="88"/>
        <v>1.4567265818356853E-3</v>
      </c>
      <c r="W136" s="2"/>
      <c r="X136" s="6">
        <f t="shared" si="89"/>
        <v>-3651.14</v>
      </c>
      <c r="Y136" s="2"/>
      <c r="Z136" s="7">
        <f t="shared" si="90"/>
        <v>-1</v>
      </c>
    </row>
    <row r="137" spans="1:26" s="27" customFormat="1" outlineLevel="1" collapsed="1" x14ac:dyDescent="0.25">
      <c r="A137" s="26"/>
      <c r="B137" s="12" t="str">
        <f>CONCATENATE("     ","Travel                                            ")</f>
        <v xml:space="preserve">     Travel                                            </v>
      </c>
      <c r="C137" s="12"/>
      <c r="D137" s="1">
        <f>SUM(OSRRefD22_14x_0)</f>
        <v>0</v>
      </c>
      <c r="E137" s="1"/>
      <c r="F137" s="5">
        <f t="shared" si="83"/>
        <v>0</v>
      </c>
      <c r="G137" s="1"/>
      <c r="H137" s="1">
        <f>SUM(OSRRefH22_14x_0)</f>
        <v>0</v>
      </c>
      <c r="I137" s="1"/>
      <c r="J137" s="5">
        <f t="shared" si="84"/>
        <v>0</v>
      </c>
      <c r="K137" s="1"/>
      <c r="L137" s="1">
        <f t="shared" si="85"/>
        <v>0</v>
      </c>
      <c r="M137" s="1"/>
      <c r="N137" s="5">
        <f t="shared" si="86"/>
        <v>0</v>
      </c>
      <c r="O137" s="12"/>
      <c r="P137" s="1">
        <f>SUM(OSRRefP22_14x_0)</f>
        <v>113.82</v>
      </c>
      <c r="Q137" s="1"/>
      <c r="R137" s="5">
        <f t="shared" si="87"/>
        <v>5.0516821211582706E-5</v>
      </c>
      <c r="S137" s="1"/>
      <c r="T137" s="1">
        <f>SUM(OSRRefT22_14x_0)</f>
        <v>-99.159999999999982</v>
      </c>
      <c r="U137" s="1"/>
      <c r="V137" s="5">
        <f t="shared" si="88"/>
        <v>-3.9562714071447966E-5</v>
      </c>
      <c r="W137" s="1"/>
      <c r="X137" s="1">
        <f t="shared" si="89"/>
        <v>212.97999999999996</v>
      </c>
      <c r="Y137" s="1"/>
      <c r="Z137" s="5">
        <f t="shared" si="90"/>
        <v>-2.1478418717224685</v>
      </c>
    </row>
    <row r="138" spans="1:26" s="23" customFormat="1" hidden="1" outlineLevel="2" x14ac:dyDescent="0.25">
      <c r="A138" s="25"/>
      <c r="B138" s="10" t="str">
        <f>CONCATENATE("          ", "6292", " - ", "TRAVEL/CONFERENCE")</f>
        <v xml:space="preserve">          6292 - TRAVEL/CONFERENCE</v>
      </c>
      <c r="C138" s="10"/>
      <c r="D138" s="6"/>
      <c r="E138" s="2"/>
      <c r="F138" s="7">
        <f t="shared" si="83"/>
        <v>0</v>
      </c>
      <c r="G138" s="2"/>
      <c r="H138" s="6"/>
      <c r="I138" s="2"/>
      <c r="J138" s="7">
        <f t="shared" si="84"/>
        <v>0</v>
      </c>
      <c r="K138" s="2"/>
      <c r="L138" s="6">
        <f t="shared" si="85"/>
        <v>0</v>
      </c>
      <c r="M138" s="2"/>
      <c r="N138" s="7">
        <f t="shared" si="86"/>
        <v>0</v>
      </c>
      <c r="O138" s="10"/>
      <c r="P138" s="6"/>
      <c r="Q138" s="2"/>
      <c r="R138" s="7">
        <f t="shared" si="87"/>
        <v>0</v>
      </c>
      <c r="S138" s="2"/>
      <c r="T138" s="6">
        <v>107.04</v>
      </c>
      <c r="U138" s="2"/>
      <c r="V138" s="7">
        <f t="shared" si="88"/>
        <v>4.2706665129162882E-5</v>
      </c>
      <c r="W138" s="2"/>
      <c r="X138" s="6">
        <f t="shared" si="89"/>
        <v>-107.04</v>
      </c>
      <c r="Y138" s="2"/>
      <c r="Z138" s="7">
        <f t="shared" si="90"/>
        <v>-1</v>
      </c>
    </row>
    <row r="139" spans="1:26" s="23" customFormat="1" hidden="1" outlineLevel="2" x14ac:dyDescent="0.25">
      <c r="A139" s="25"/>
      <c r="B139" s="10" t="str">
        <f>CONCATENATE("          ", "6294", " - ", "TRAVEL OPERATIONAL")</f>
        <v xml:space="preserve">          6294 - TRAVEL OPERATIONAL</v>
      </c>
      <c r="C139" s="10"/>
      <c r="D139" s="6"/>
      <c r="E139" s="2"/>
      <c r="F139" s="7">
        <f t="shared" si="83"/>
        <v>0</v>
      </c>
      <c r="G139" s="2"/>
      <c r="H139" s="6"/>
      <c r="I139" s="2"/>
      <c r="J139" s="7">
        <f t="shared" si="84"/>
        <v>0</v>
      </c>
      <c r="K139" s="2"/>
      <c r="L139" s="6">
        <f t="shared" si="85"/>
        <v>0</v>
      </c>
      <c r="M139" s="2"/>
      <c r="N139" s="7">
        <f t="shared" si="86"/>
        <v>0</v>
      </c>
      <c r="O139" s="10"/>
      <c r="P139" s="6">
        <v>113.82</v>
      </c>
      <c r="Q139" s="2"/>
      <c r="R139" s="7">
        <f t="shared" si="87"/>
        <v>5.0516821211582706E-5</v>
      </c>
      <c r="S139" s="2"/>
      <c r="T139" s="6">
        <v>-206.2</v>
      </c>
      <c r="U139" s="2"/>
      <c r="V139" s="7">
        <f t="shared" si="88"/>
        <v>-8.2269379200610847E-5</v>
      </c>
      <c r="W139" s="2"/>
      <c r="X139" s="6">
        <f t="shared" si="89"/>
        <v>320.02</v>
      </c>
      <c r="Y139" s="2"/>
      <c r="Z139" s="7">
        <f t="shared" si="90"/>
        <v>-1.5519883608147429</v>
      </c>
    </row>
    <row r="140" spans="1:26" s="52" customFormat="1" x14ac:dyDescent="0.25">
      <c r="A140" s="37"/>
      <c r="B140" s="37"/>
      <c r="C140" s="37"/>
      <c r="D140" s="1"/>
      <c r="E140" s="1"/>
      <c r="F140" s="5"/>
      <c r="G140" s="1"/>
      <c r="H140" s="1"/>
      <c r="I140" s="1"/>
      <c r="J140" s="5"/>
      <c r="K140" s="1"/>
      <c r="L140" s="1"/>
      <c r="M140" s="1"/>
      <c r="N140" s="5"/>
      <c r="O140" s="37"/>
      <c r="P140" s="1"/>
      <c r="Q140" s="1"/>
      <c r="R140" s="5"/>
      <c r="S140" s="1"/>
      <c r="T140" s="1"/>
      <c r="U140" s="1"/>
      <c r="V140" s="5"/>
      <c r="W140" s="1"/>
      <c r="X140" s="1"/>
      <c r="Y140" s="1"/>
      <c r="Z140" s="5"/>
    </row>
    <row r="141" spans="1:26" s="24" customFormat="1" collapsed="1" x14ac:dyDescent="0.25">
      <c r="A141" s="11"/>
      <c r="B141" s="29" t="s">
        <v>292</v>
      </c>
      <c r="C141" s="11"/>
      <c r="D141" s="4">
        <f>SUM(OSRRefD25x_0)</f>
        <v>381445.06</v>
      </c>
      <c r="E141" s="4"/>
      <c r="F141" s="13">
        <f t="shared" ref="F141:F144" si="91">IF(D$12=0,0,D141/D$12)</f>
        <v>1.7181894134558247</v>
      </c>
      <c r="G141" s="4"/>
      <c r="H141" s="4">
        <f>SUM(OSRRefH25x_0)</f>
        <v>-7960.4</v>
      </c>
      <c r="I141" s="4"/>
      <c r="J141" s="13">
        <f t="shared" ref="J141:J144" si="92">IF(H$12=0,0,H141/H$12)</f>
        <v>-4.7162313327939159E-2</v>
      </c>
      <c r="K141" s="4"/>
      <c r="L141" s="4">
        <f t="shared" ref="L141:L144" si="93">+D141-H141</f>
        <v>389405.46</v>
      </c>
      <c r="M141" s="4"/>
      <c r="N141" s="13">
        <f t="shared" ref="N141:N144" si="94">IF(H141=0,0,L141/H141)</f>
        <v>-48.917825737400136</v>
      </c>
      <c r="O141" s="11"/>
      <c r="P141" s="4">
        <f>SUM(OSRRefP25x_0)</f>
        <v>794131.84000000008</v>
      </c>
      <c r="Q141" s="4"/>
      <c r="R141" s="13">
        <f t="shared" ref="R141:R144" si="95">IF(P$12=0,0,P141/P$12)</f>
        <v>0.3524601667519347</v>
      </c>
      <c r="S141" s="4"/>
      <c r="T141" s="4">
        <f>SUM(OSRRefT25x_0)</f>
        <v>88944.49</v>
      </c>
      <c r="U141" s="4"/>
      <c r="V141" s="13">
        <f t="shared" ref="V141:V144" si="96">IF(T$12=0,0,T141/T$12)</f>
        <v>3.5486944595610768E-2</v>
      </c>
      <c r="W141" s="4"/>
      <c r="X141" s="4">
        <f t="shared" ref="X141:X144" si="97">+P141-T141</f>
        <v>705187.35000000009</v>
      </c>
      <c r="Y141" s="4"/>
      <c r="Z141" s="13">
        <f t="shared" ref="Z141:Z144" si="98">IF(T141=0,0,X141/T141)</f>
        <v>7.9283983752113265</v>
      </c>
    </row>
    <row r="142" spans="1:26" s="23" customFormat="1" hidden="1" outlineLevel="1" x14ac:dyDescent="0.25">
      <c r="A142" s="44"/>
      <c r="B142" s="10" t="str">
        <f>CONCATENATE("          ", "4098", " - ", "TAXABLE SALES-GRAD RENTALS")</f>
        <v xml:space="preserve">          4098 - TAXABLE SALES-GRAD RENTALS</v>
      </c>
      <c r="C142" s="10"/>
      <c r="D142" s="2">
        <f>--1017.7</f>
        <v>1017.7</v>
      </c>
      <c r="E142" s="2"/>
      <c r="F142" s="19">
        <f t="shared" si="91"/>
        <v>4.5841499849912665E-3</v>
      </c>
      <c r="G142" s="2"/>
      <c r="H142" s="2">
        <f>0</f>
        <v>0</v>
      </c>
      <c r="I142" s="2"/>
      <c r="J142" s="19">
        <f t="shared" si="92"/>
        <v>0</v>
      </c>
      <c r="K142" s="2"/>
      <c r="L142" s="2">
        <f t="shared" si="93"/>
        <v>1017.7</v>
      </c>
      <c r="M142" s="2"/>
      <c r="N142" s="19">
        <f t="shared" si="94"/>
        <v>0</v>
      </c>
      <c r="O142" s="10"/>
      <c r="P142" s="2">
        <f>--1067.65</f>
        <v>1067.6500000000001</v>
      </c>
      <c r="Q142" s="2"/>
      <c r="R142" s="19">
        <f t="shared" si="95"/>
        <v>4.7385594945129398E-4</v>
      </c>
      <c r="S142" s="2"/>
      <c r="T142" s="2">
        <f>0</f>
        <v>0</v>
      </c>
      <c r="U142" s="2"/>
      <c r="V142" s="19">
        <f t="shared" si="96"/>
        <v>0</v>
      </c>
      <c r="W142" s="2"/>
      <c r="X142" s="2">
        <f t="shared" si="97"/>
        <v>1067.6500000000001</v>
      </c>
      <c r="Y142" s="2"/>
      <c r="Z142" s="19">
        <f t="shared" si="98"/>
        <v>0</v>
      </c>
    </row>
    <row r="143" spans="1:26" s="23" customFormat="1" hidden="1" outlineLevel="1" x14ac:dyDescent="0.25">
      <c r="A143" s="44"/>
      <c r="B143" s="10" t="str">
        <f>CONCATENATE("          ", "9150", " - ", "MISC. INCOME")</f>
        <v xml:space="preserve">          9150 - MISC. INCOME</v>
      </c>
      <c r="C143" s="10"/>
      <c r="D143" s="2">
        <f>--1666.87</f>
        <v>1666.87</v>
      </c>
      <c r="E143" s="2"/>
      <c r="F143" s="19">
        <f t="shared" si="91"/>
        <v>7.5082854333127563E-3</v>
      </c>
      <c r="G143" s="2"/>
      <c r="H143" s="2">
        <f>-7960.4</f>
        <v>-7960.4</v>
      </c>
      <c r="I143" s="2"/>
      <c r="J143" s="19">
        <f t="shared" si="92"/>
        <v>-4.7162313327939159E-2</v>
      </c>
      <c r="K143" s="2"/>
      <c r="L143" s="2">
        <f t="shared" si="93"/>
        <v>9627.27</v>
      </c>
      <c r="M143" s="2"/>
      <c r="N143" s="19">
        <f t="shared" si="94"/>
        <v>-1.209395256519773</v>
      </c>
      <c r="O143" s="10"/>
      <c r="P143" s="2">
        <f>--65963.14</f>
        <v>65963.14</v>
      </c>
      <c r="Q143" s="2"/>
      <c r="R143" s="19">
        <f t="shared" si="95"/>
        <v>2.9276472939154804E-2</v>
      </c>
      <c r="S143" s="2"/>
      <c r="T143" s="2">
        <f>--88944.49</f>
        <v>88944.49</v>
      </c>
      <c r="U143" s="2"/>
      <c r="V143" s="19">
        <f t="shared" si="96"/>
        <v>3.5486944595610768E-2</v>
      </c>
      <c r="W143" s="2"/>
      <c r="X143" s="2">
        <f t="shared" si="97"/>
        <v>-22981.350000000006</v>
      </c>
      <c r="Y143" s="2"/>
      <c r="Z143" s="19">
        <f t="shared" si="98"/>
        <v>-0.25837856847568641</v>
      </c>
    </row>
    <row r="144" spans="1:26" s="23" customFormat="1" hidden="1" outlineLevel="1" x14ac:dyDescent="0.25">
      <c r="A144" s="44"/>
      <c r="B144" s="10" t="str">
        <f>CONCATENATE("          ", "9163", " - ", "MISC. INCOME")</f>
        <v xml:space="preserve">          9163 - MISC. INCOME</v>
      </c>
      <c r="C144" s="10"/>
      <c r="D144" s="2">
        <f>--378760.49</f>
        <v>378760.49</v>
      </c>
      <c r="E144" s="2"/>
      <c r="F144" s="19">
        <f t="shared" si="91"/>
        <v>1.7060969780375206</v>
      </c>
      <c r="G144" s="2"/>
      <c r="H144" s="2">
        <f>0</f>
        <v>0</v>
      </c>
      <c r="I144" s="2"/>
      <c r="J144" s="19">
        <f t="shared" si="92"/>
        <v>0</v>
      </c>
      <c r="K144" s="2"/>
      <c r="L144" s="2">
        <f t="shared" si="93"/>
        <v>378760.49</v>
      </c>
      <c r="M144" s="2"/>
      <c r="N144" s="19">
        <f t="shared" si="94"/>
        <v>0</v>
      </c>
      <c r="O144" s="10"/>
      <c r="P144" s="2">
        <f>--727101.05</f>
        <v>727101.05</v>
      </c>
      <c r="Q144" s="2"/>
      <c r="R144" s="19">
        <f t="shared" si="95"/>
        <v>0.32270983786332857</v>
      </c>
      <c r="S144" s="2"/>
      <c r="T144" s="2">
        <f>0</f>
        <v>0</v>
      </c>
      <c r="U144" s="2"/>
      <c r="V144" s="19">
        <f t="shared" si="96"/>
        <v>0</v>
      </c>
      <c r="W144" s="2"/>
      <c r="X144" s="2">
        <f t="shared" si="97"/>
        <v>727101.05</v>
      </c>
      <c r="Y144" s="2"/>
      <c r="Z144" s="19">
        <f t="shared" si="98"/>
        <v>0</v>
      </c>
    </row>
    <row r="145" spans="1:26" x14ac:dyDescent="0.25">
      <c r="A145" s="9"/>
      <c r="B145" s="11"/>
      <c r="C145" s="11"/>
      <c r="D145" s="3"/>
      <c r="E145" s="3"/>
      <c r="F145" s="8"/>
      <c r="G145" s="3"/>
      <c r="H145" s="3"/>
      <c r="I145" s="3"/>
      <c r="J145" s="8"/>
      <c r="K145" s="3"/>
      <c r="L145" s="3"/>
      <c r="M145" s="3"/>
      <c r="N145" s="8"/>
      <c r="O145" s="11"/>
      <c r="P145" s="3"/>
      <c r="Q145" s="3"/>
      <c r="R145" s="8"/>
      <c r="S145" s="3"/>
      <c r="T145" s="3"/>
      <c r="U145" s="3"/>
      <c r="V145" s="8"/>
      <c r="W145" s="3"/>
      <c r="X145" s="3"/>
      <c r="Y145" s="3"/>
      <c r="Z145" s="8"/>
    </row>
    <row r="146" spans="1:26" s="24" customFormat="1" x14ac:dyDescent="0.25">
      <c r="A146" s="11"/>
      <c r="B146" s="28" t="s">
        <v>276</v>
      </c>
      <c r="C146" s="28"/>
      <c r="D146" s="21">
        <f>+D80-D82+D141</f>
        <v>431940.68000000005</v>
      </c>
      <c r="E146" s="14"/>
      <c r="F146" s="22">
        <f>IF(D$12=0,0,D146/D$12)</f>
        <v>1.9456429809758453</v>
      </c>
      <c r="G146" s="14"/>
      <c r="H146" s="21">
        <f>+H80-H82+H141</f>
        <v>-40361.819999999985</v>
      </c>
      <c r="I146" s="14"/>
      <c r="J146" s="22">
        <f>IF(H$12=0,0,H146/H$12)</f>
        <v>-0.23912828517736304</v>
      </c>
      <c r="K146" s="15"/>
      <c r="L146" s="21">
        <f>+D146-H146</f>
        <v>472302.50000000006</v>
      </c>
      <c r="M146" s="15"/>
      <c r="N146" s="22">
        <f>IF(H146=0,0,L146/H146)</f>
        <v>-11.701714640221878</v>
      </c>
      <c r="O146" s="29"/>
      <c r="P146" s="21">
        <f>+P80-P82+P141</f>
        <v>1267034.3699999999</v>
      </c>
      <c r="Q146" s="14"/>
      <c r="R146" s="22">
        <f>IF(P$12=0,0,P146/P$12)</f>
        <v>0.56234887311738124</v>
      </c>
      <c r="S146" s="14"/>
      <c r="T146" s="21">
        <f>+T80-T82+T141</f>
        <v>613279.77000000037</v>
      </c>
      <c r="U146" s="14"/>
      <c r="V146" s="22">
        <f>IF(T$12=0,0,T146/T$12)</f>
        <v>0.24468547989424558</v>
      </c>
      <c r="W146" s="15"/>
      <c r="X146" s="21">
        <f>+P146-T146</f>
        <v>653754.59999999951</v>
      </c>
      <c r="Y146" s="15"/>
      <c r="Z146" s="22">
        <f>IF(T146=0,0,X146/T146)</f>
        <v>1.0659973342998077</v>
      </c>
    </row>
    <row r="147" spans="1:26" x14ac:dyDescent="0.25">
      <c r="A147" s="9"/>
      <c r="B147" s="11"/>
      <c r="C147" s="9"/>
      <c r="D147" s="3"/>
      <c r="E147" s="3"/>
      <c r="F147" s="8"/>
      <c r="G147" s="3"/>
      <c r="H147" s="3"/>
      <c r="I147" s="3"/>
      <c r="J147" s="8"/>
      <c r="K147" s="3"/>
      <c r="L147" s="3"/>
      <c r="M147" s="3"/>
      <c r="N147" s="8"/>
      <c r="P147" s="3"/>
      <c r="Q147" s="3"/>
      <c r="R147" s="8"/>
      <c r="S147" s="3"/>
      <c r="T147" s="3"/>
      <c r="U147" s="3"/>
      <c r="V147" s="8"/>
      <c r="W147" s="3"/>
      <c r="X147" s="3"/>
      <c r="Y147" s="3"/>
      <c r="Z147" s="8"/>
    </row>
    <row r="148" spans="1:26" s="24" customFormat="1" x14ac:dyDescent="0.25">
      <c r="A148" s="51"/>
      <c r="B148" s="11" t="s">
        <v>127</v>
      </c>
      <c r="C148" s="11"/>
      <c r="D148" s="4">
        <v>189620.77</v>
      </c>
      <c r="E148" s="4"/>
      <c r="F148" s="13">
        <f>IF(D$12=0,0,D148/D$12)</f>
        <v>0.85413191505309261</v>
      </c>
      <c r="G148" s="4"/>
      <c r="H148" s="4">
        <v>102704.23</v>
      </c>
      <c r="I148" s="4"/>
      <c r="J148" s="13">
        <f>IF(H$12=0,0,H148/H$12)</f>
        <v>0.60848312589376519</v>
      </c>
      <c r="K148" s="4"/>
      <c r="L148" s="4">
        <f>+D148-H148</f>
        <v>86916.54</v>
      </c>
      <c r="M148" s="4"/>
      <c r="N148" s="13">
        <f>IF(H148=0,0,L148/H148)</f>
        <v>0.84628004124075507</v>
      </c>
      <c r="O148" s="11"/>
      <c r="P148" s="4">
        <v>623649.04</v>
      </c>
      <c r="Q148" s="4"/>
      <c r="R148" s="13">
        <f>IF(P$12=0,0,P148/P$12)</f>
        <v>0.27679464990735542</v>
      </c>
      <c r="S148" s="4"/>
      <c r="T148" s="4">
        <v>379525.71</v>
      </c>
      <c r="U148" s="4"/>
      <c r="V148" s="13">
        <f>IF(T$12=0,0,T148/T$12)</f>
        <v>0.15142262149549499</v>
      </c>
      <c r="W148" s="4"/>
      <c r="X148" s="4">
        <f>+P148-T148</f>
        <v>244123.33000000002</v>
      </c>
      <c r="Y148" s="4"/>
      <c r="Z148" s="13">
        <f>IF(T148=0,0,X148/T148)</f>
        <v>0.64323265477851288</v>
      </c>
    </row>
    <row r="149" spans="1:26" x14ac:dyDescent="0.25">
      <c r="A149" s="9"/>
      <c r="B149" s="11"/>
      <c r="C149" s="11"/>
      <c r="D149" s="3"/>
      <c r="E149" s="3"/>
      <c r="F149" s="8"/>
      <c r="G149" s="3"/>
      <c r="H149" s="3"/>
      <c r="I149" s="3"/>
      <c r="J149" s="8"/>
      <c r="K149" s="3"/>
      <c r="L149" s="3"/>
      <c r="M149" s="3"/>
      <c r="N149" s="8"/>
      <c r="O149" s="11"/>
      <c r="P149" s="3"/>
      <c r="Q149" s="3"/>
      <c r="R149" s="8"/>
      <c r="S149" s="3"/>
      <c r="T149" s="3"/>
      <c r="U149" s="3"/>
      <c r="V149" s="8"/>
      <c r="W149" s="3"/>
      <c r="X149" s="3"/>
      <c r="Y149" s="3"/>
      <c r="Z149" s="8"/>
    </row>
    <row r="150" spans="1:26" s="24" customFormat="1" ht="15.75" thickBot="1" x14ac:dyDescent="0.3">
      <c r="A150" s="11"/>
      <c r="B150" s="28" t="s">
        <v>125</v>
      </c>
      <c r="C150" s="28"/>
      <c r="D150" s="34">
        <f>+D146-D148</f>
        <v>242319.91000000006</v>
      </c>
      <c r="E150" s="14"/>
      <c r="F150" s="31">
        <f>IF(D$12=0,0,D150/D$12)</f>
        <v>1.0915110659227527</v>
      </c>
      <c r="G150" s="14"/>
      <c r="H150" s="34">
        <f>+H146-H148</f>
        <v>-143066.04999999999</v>
      </c>
      <c r="I150" s="14"/>
      <c r="J150" s="31">
        <f>IF(H$12=0,0,H150/H$12)</f>
        <v>-0.84761141107112836</v>
      </c>
      <c r="K150" s="15"/>
      <c r="L150" s="34">
        <f>D150-H150</f>
        <v>385385.96000000008</v>
      </c>
      <c r="M150" s="15"/>
      <c r="N150" s="31">
        <f>IF(H150=0,0,L150/H150)</f>
        <v>-2.6937624964133708</v>
      </c>
      <c r="O150" s="29"/>
      <c r="P150" s="34">
        <f>+P146-P148</f>
        <v>643385.32999999984</v>
      </c>
      <c r="Q150" s="14"/>
      <c r="R150" s="31">
        <f>IF(P$12=0,0,P150/P$12)</f>
        <v>0.28555422321002577</v>
      </c>
      <c r="S150" s="14"/>
      <c r="T150" s="34">
        <f>+T146-T148</f>
        <v>233754.06000000035</v>
      </c>
      <c r="U150" s="14"/>
      <c r="V150" s="31">
        <f>IF(T$12=0,0,T150/T$12)</f>
        <v>9.3262858398750578E-2</v>
      </c>
      <c r="W150" s="15"/>
      <c r="X150" s="34">
        <f>P150-T150</f>
        <v>409631.26999999949</v>
      </c>
      <c r="Y150" s="15"/>
      <c r="Z150" s="31">
        <f>IF(T150=0,0,X150/T150)</f>
        <v>1.7524028031855314</v>
      </c>
    </row>
    <row r="151" spans="1:26" ht="15.75" thickTop="1" x14ac:dyDescent="0.25">
      <c r="A151" s="9"/>
      <c r="B151" s="9"/>
      <c r="C151" s="9"/>
      <c r="D151" s="3"/>
      <c r="E151" s="3"/>
      <c r="F151" s="8"/>
      <c r="G151" s="3"/>
      <c r="H151" s="3"/>
      <c r="I151" s="3"/>
      <c r="J151" s="8"/>
      <c r="K151" s="3"/>
      <c r="L151" s="3"/>
      <c r="M151" s="3"/>
      <c r="N151" s="8"/>
      <c r="P151" s="3"/>
      <c r="Q151" s="3"/>
      <c r="R151" s="8"/>
      <c r="S151" s="3"/>
      <c r="T151" s="3"/>
      <c r="U151" s="3"/>
      <c r="V151" s="8"/>
      <c r="W151" s="3"/>
      <c r="X151" s="3"/>
      <c r="Y151" s="3"/>
      <c r="Z151" s="8"/>
    </row>
    <row r="152" spans="1:26" x14ac:dyDescent="0.25">
      <c r="A152" s="9"/>
      <c r="B152" s="9"/>
      <c r="C152" s="9"/>
      <c r="D152" s="3"/>
      <c r="E152" s="3"/>
      <c r="F152" s="8"/>
      <c r="G152" s="3"/>
      <c r="H152" s="3"/>
      <c r="I152" s="3"/>
      <c r="J152" s="8"/>
      <c r="K152" s="3"/>
      <c r="L152" s="3"/>
      <c r="M152" s="3"/>
      <c r="N152" s="8"/>
      <c r="P152" s="3"/>
      <c r="Q152" s="3"/>
      <c r="R152" s="8"/>
      <c r="S152" s="3"/>
      <c r="T152" s="3"/>
      <c r="U152" s="3"/>
      <c r="V152" s="8"/>
      <c r="W152" s="3"/>
      <c r="X152" s="3"/>
      <c r="Y152" s="3"/>
      <c r="Z152" s="8"/>
    </row>
    <row r="153" spans="1:26" s="24" customFormat="1" ht="15.75" thickBot="1" x14ac:dyDescent="0.3">
      <c r="A153" s="11"/>
      <c r="B153" s="28" t="s">
        <v>293</v>
      </c>
      <c r="C153" s="28"/>
      <c r="D153" s="33">
        <f>SUM(D150:D152)</f>
        <v>242319.91000000006</v>
      </c>
      <c r="E153" s="14"/>
      <c r="F153" s="35">
        <f>IF(D$12=0,0,D153/D$12)</f>
        <v>1.0915110659227527</v>
      </c>
      <c r="G153" s="14"/>
      <c r="H153" s="33">
        <f>SUM(H150:H152)</f>
        <v>-143066.04999999999</v>
      </c>
      <c r="I153" s="14"/>
      <c r="J153" s="35">
        <f>IF(H$12=0,0,H153/H$12)</f>
        <v>-0.84761141107112836</v>
      </c>
      <c r="K153" s="15"/>
      <c r="L153" s="33">
        <f>+D153-H153</f>
        <v>385385.96000000008</v>
      </c>
      <c r="M153" s="15"/>
      <c r="N153" s="35">
        <f>IF(H153=0,0,L153/H153)</f>
        <v>-2.6937624964133708</v>
      </c>
      <c r="O153" s="29"/>
      <c r="P153" s="33">
        <f>SUM(P150:P152)</f>
        <v>643385.32999999984</v>
      </c>
      <c r="Q153" s="14"/>
      <c r="R153" s="35">
        <f>IF(P$12=0,0,P153/P$12)</f>
        <v>0.28555422321002577</v>
      </c>
      <c r="S153" s="14"/>
      <c r="T153" s="33">
        <f>SUM(T150:T152)</f>
        <v>233754.06000000035</v>
      </c>
      <c r="U153" s="14"/>
      <c r="V153" s="35">
        <f>IF(T$12=0,0,T153/T$12)</f>
        <v>9.3262858398750578E-2</v>
      </c>
      <c r="W153" s="15"/>
      <c r="X153" s="33">
        <f>+P153-T153</f>
        <v>409631.26999999949</v>
      </c>
      <c r="Y153" s="15"/>
      <c r="Z153" s="35">
        <f>IF(T153=0,0,X153/T153)</f>
        <v>1.7524028031855314</v>
      </c>
    </row>
    <row r="154" spans="1:26" ht="15.75" thickTop="1" x14ac:dyDescent="0.25">
      <c r="A154" s="9"/>
      <c r="C154" s="9"/>
      <c r="D154" s="18"/>
      <c r="E154" s="18"/>
      <c r="G154" s="18"/>
      <c r="H154" s="18"/>
      <c r="I154" s="18"/>
      <c r="J154" s="43"/>
      <c r="K154" s="18"/>
      <c r="L154" s="18"/>
      <c r="M154" s="18"/>
      <c r="P154" s="18"/>
      <c r="Q154" s="18"/>
      <c r="R154" s="43"/>
      <c r="S154" s="18"/>
      <c r="T154" s="18"/>
      <c r="U154" s="18"/>
      <c r="V154" s="43"/>
      <c r="W154" s="18"/>
      <c r="X154" s="18"/>
    </row>
    <row r="155" spans="1:26" x14ac:dyDescent="0.25">
      <c r="A155" s="9"/>
      <c r="B155" s="56">
        <v>44454.698585613427</v>
      </c>
      <c r="D155" s="18"/>
      <c r="E155" s="18"/>
      <c r="G155" s="18"/>
      <c r="H155" s="18"/>
      <c r="I155" s="18"/>
      <c r="J155" s="43"/>
      <c r="K155" s="18"/>
      <c r="L155" s="18"/>
      <c r="M155" s="18"/>
      <c r="P155" s="18"/>
      <c r="Q155" s="18"/>
      <c r="R155" s="43"/>
      <c r="S155" s="18"/>
      <c r="T155" s="18"/>
      <c r="U155" s="18"/>
      <c r="V155" s="43"/>
      <c r="W155" s="18"/>
      <c r="X155" s="18"/>
    </row>
    <row r="156" spans="1:26" x14ac:dyDescent="0.25">
      <c r="A156" s="9"/>
      <c r="B156" s="55" t="s">
        <v>56</v>
      </c>
      <c r="D156" s="18"/>
      <c r="E156" s="18"/>
      <c r="G156" s="18"/>
      <c r="H156" s="18"/>
      <c r="I156" s="18"/>
      <c r="J156" s="43"/>
      <c r="K156" s="18"/>
      <c r="L156" s="18"/>
      <c r="M156" s="18"/>
      <c r="P156" s="18"/>
      <c r="Q156" s="18"/>
      <c r="R156" s="43"/>
      <c r="S156" s="18"/>
      <c r="T156" s="18"/>
      <c r="U156" s="18"/>
      <c r="V156" s="43"/>
      <c r="W156" s="18"/>
      <c r="X156" s="18"/>
    </row>
    <row r="157" spans="1:26" x14ac:dyDescent="0.25">
      <c r="A157" s="9"/>
      <c r="B157" s="60"/>
      <c r="D157" s="18"/>
      <c r="E157" s="18"/>
      <c r="G157" s="18"/>
      <c r="H157" s="18"/>
      <c r="I157" s="18"/>
      <c r="J157" s="43"/>
      <c r="K157" s="18"/>
      <c r="L157" s="18"/>
      <c r="M157" s="18"/>
      <c r="P157" s="18"/>
      <c r="Q157" s="18"/>
      <c r="R157" s="43"/>
      <c r="S157" s="18"/>
      <c r="T157" s="18"/>
      <c r="U157" s="18"/>
      <c r="V157" s="43"/>
      <c r="W157" s="18"/>
      <c r="X157" s="18"/>
    </row>
    <row r="158" spans="1:26" x14ac:dyDescent="0.25">
      <c r="D158" s="18"/>
      <c r="E158" s="18"/>
      <c r="G158" s="18"/>
      <c r="H158" s="18"/>
      <c r="I158" s="18"/>
      <c r="J158" s="43"/>
      <c r="K158" s="18"/>
      <c r="L158" s="18"/>
      <c r="M158" s="18"/>
      <c r="P158" s="18"/>
      <c r="Q158" s="18"/>
      <c r="R158" s="43"/>
      <c r="S158" s="18"/>
      <c r="T158" s="18"/>
      <c r="U158" s="18"/>
      <c r="V158" s="43"/>
      <c r="W158" s="18"/>
      <c r="X158" s="18"/>
    </row>
  </sheetData>
  <pageMargins left="0.25" right="0.25" top="0.75" bottom="0.75" header="0.3" footer="0.3"/>
  <pageSetup scale="55" fitToWidth="2" orientation="landscape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FFC000"/>
    <outlinePr summaryBelow="0" summaryRight="0"/>
  </sheetPr>
  <dimension ref="A2:Z36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62" t="s">
        <v>23</v>
      </c>
    </row>
    <row r="3" spans="1:26" x14ac:dyDescent="0.25">
      <c r="D3" s="62" t="s">
        <v>236</v>
      </c>
      <c r="E3" s="17"/>
      <c r="F3" s="46"/>
      <c r="G3" s="17"/>
      <c r="H3" s="17"/>
      <c r="I3" s="17"/>
      <c r="J3" s="38"/>
      <c r="K3" s="17"/>
      <c r="L3" s="17"/>
      <c r="M3" s="17"/>
      <c r="N3" s="46"/>
      <c r="O3" s="53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2" t="str">
        <f>CONCATENATE("Period ",RIGHT(202112,2),", ",2021)</f>
        <v>Period 12, 2021</v>
      </c>
      <c r="E4" s="17"/>
      <c r="F4" s="46"/>
      <c r="G4" s="17"/>
      <c r="H4" s="17"/>
      <c r="I4" s="17"/>
      <c r="J4" s="38"/>
      <c r="K4" s="17"/>
      <c r="L4" s="17"/>
      <c r="M4" s="17"/>
      <c r="N4" s="46"/>
      <c r="O4" s="53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4"/>
      <c r="D5" s="63">
        <v>44377</v>
      </c>
      <c r="E5" s="17"/>
      <c r="F5" s="46"/>
      <c r="G5" s="17"/>
      <c r="H5" s="17"/>
      <c r="I5" s="17"/>
      <c r="J5" s="38"/>
      <c r="K5" s="17"/>
      <c r="L5" s="17"/>
      <c r="M5" s="17"/>
      <c r="N5" s="46"/>
      <c r="O5" s="53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4"/>
      <c r="B6" s="48"/>
      <c r="C6" s="48"/>
      <c r="D6" s="24" t="s">
        <v>217</v>
      </c>
      <c r="E6" s="17"/>
      <c r="F6" s="46"/>
      <c r="G6" s="17"/>
      <c r="H6" s="17"/>
      <c r="I6" s="17"/>
      <c r="J6" s="38"/>
      <c r="K6" s="17"/>
      <c r="L6" s="17"/>
      <c r="M6" s="17"/>
      <c r="N6" s="46"/>
      <c r="O6" s="54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9"/>
    </row>
    <row r="8" spans="1:26" x14ac:dyDescent="0.25">
      <c r="B8" s="59"/>
    </row>
    <row r="9" spans="1:26" x14ac:dyDescent="0.25">
      <c r="B9" s="9"/>
      <c r="C9" s="9"/>
      <c r="D9" s="16" t="s">
        <v>291</v>
      </c>
      <c r="E9" s="16"/>
      <c r="F9" s="39"/>
      <c r="G9" s="16"/>
      <c r="H9" s="16"/>
      <c r="I9" s="16"/>
      <c r="J9" s="49"/>
      <c r="K9" s="16"/>
      <c r="L9" s="16"/>
      <c r="M9" s="16"/>
      <c r="N9" s="39"/>
      <c r="P9" s="16" t="s">
        <v>39</v>
      </c>
      <c r="Q9" s="16"/>
      <c r="R9" s="39"/>
      <c r="S9" s="16"/>
      <c r="T9" s="16"/>
      <c r="U9" s="16"/>
      <c r="V9" s="49"/>
      <c r="W9" s="16"/>
      <c r="X9" s="16"/>
      <c r="Y9" s="16"/>
      <c r="Z9" s="39"/>
    </row>
    <row r="10" spans="1:26" x14ac:dyDescent="0.25">
      <c r="A10" s="11"/>
      <c r="B10" s="58"/>
      <c r="C10" s="11"/>
      <c r="D10" s="42" t="s">
        <v>57</v>
      </c>
      <c r="E10" s="36"/>
      <c r="F10" s="30" t="s">
        <v>40</v>
      </c>
      <c r="G10" s="36"/>
      <c r="H10" s="50" t="s">
        <v>237</v>
      </c>
      <c r="I10" s="36"/>
      <c r="J10" s="30" t="s">
        <v>40</v>
      </c>
      <c r="K10" s="11"/>
      <c r="L10" s="42" t="s">
        <v>126</v>
      </c>
      <c r="M10" s="11"/>
      <c r="N10" s="30" t="s">
        <v>257</v>
      </c>
      <c r="O10" s="11"/>
      <c r="P10" s="61" t="s">
        <v>57</v>
      </c>
      <c r="Q10" s="36"/>
      <c r="R10" s="30" t="s">
        <v>40</v>
      </c>
      <c r="S10" s="36"/>
      <c r="T10" s="50" t="s">
        <v>237</v>
      </c>
      <c r="U10" s="36"/>
      <c r="V10" s="30" t="s">
        <v>40</v>
      </c>
      <c r="W10" s="11"/>
      <c r="X10" s="42" t="s">
        <v>126</v>
      </c>
      <c r="Y10" s="11"/>
      <c r="Z10" s="30" t="s">
        <v>257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4" customFormat="1" x14ac:dyDescent="0.25">
      <c r="A12" s="11"/>
      <c r="B12" s="29" t="s">
        <v>139</v>
      </c>
      <c r="C12" s="11"/>
      <c r="D12" s="4">
        <f>SUM(0)</f>
        <v>0</v>
      </c>
      <c r="E12" s="4"/>
      <c r="F12" s="13"/>
      <c r="G12" s="4"/>
      <c r="H12" s="4">
        <f>SUM(0)</f>
        <v>0</v>
      </c>
      <c r="I12" s="4"/>
      <c r="J12" s="13"/>
      <c r="K12" s="4"/>
      <c r="L12" s="4">
        <f>+D12-H12</f>
        <v>0</v>
      </c>
      <c r="M12" s="4"/>
      <c r="N12" s="13">
        <f>IF(H12=0,0,L12/H12)</f>
        <v>0</v>
      </c>
      <c r="O12" s="11"/>
      <c r="P12" s="4">
        <f>SUM(0)</f>
        <v>0</v>
      </c>
      <c r="Q12" s="4"/>
      <c r="R12" s="13"/>
      <c r="S12" s="4"/>
      <c r="T12" s="4">
        <f>SUM(0)</f>
        <v>0</v>
      </c>
      <c r="U12" s="4"/>
      <c r="V12" s="13"/>
      <c r="W12" s="4"/>
      <c r="X12" s="4">
        <f>+P12-T12</f>
        <v>0</v>
      </c>
      <c r="Y12" s="4"/>
      <c r="Z12" s="13">
        <f>IF(T12=0,0,X12/T12)</f>
        <v>0</v>
      </c>
    </row>
    <row r="13" spans="1:26" x14ac:dyDescent="0.25">
      <c r="A13" s="9"/>
      <c r="B13" s="11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4" customFormat="1" x14ac:dyDescent="0.25">
      <c r="A14" s="11"/>
      <c r="B14" s="29" t="s">
        <v>256</v>
      </c>
      <c r="C14" s="11"/>
      <c r="D14" s="4">
        <f>SUM(0)</f>
        <v>0</v>
      </c>
      <c r="E14" s="4"/>
      <c r="F14" s="13">
        <f>IF(D$12=0,0,D14/D$12)</f>
        <v>0</v>
      </c>
      <c r="G14" s="4"/>
      <c r="H14" s="4">
        <f>SUM(0)</f>
        <v>0</v>
      </c>
      <c r="I14" s="4"/>
      <c r="J14" s="13">
        <f>IF(H$12=0,0,H14/H$12)</f>
        <v>0</v>
      </c>
      <c r="K14" s="4"/>
      <c r="L14" s="4">
        <f>+D14-H14</f>
        <v>0</v>
      </c>
      <c r="M14" s="4"/>
      <c r="N14" s="13">
        <f>IF(H14=0,0,L14/H14)</f>
        <v>0</v>
      </c>
      <c r="O14" s="11"/>
      <c r="P14" s="4">
        <f>SUM(0)</f>
        <v>0</v>
      </c>
      <c r="Q14" s="4"/>
      <c r="R14" s="13">
        <f>IF(P$12=0,0,P14/P$12)</f>
        <v>0</v>
      </c>
      <c r="S14" s="4"/>
      <c r="T14" s="4">
        <f>SUM(0)</f>
        <v>0</v>
      </c>
      <c r="U14" s="4"/>
      <c r="V14" s="13">
        <f>IF(T$12=0,0,T14/T$12)</f>
        <v>0</v>
      </c>
      <c r="W14" s="4"/>
      <c r="X14" s="4">
        <f>+P14-T14</f>
        <v>0</v>
      </c>
      <c r="Y14" s="4"/>
      <c r="Z14" s="13">
        <f>IF(T14=0,0,X14/T14)</f>
        <v>0</v>
      </c>
    </row>
    <row r="15" spans="1:26" x14ac:dyDescent="0.25">
      <c r="A15" s="9"/>
      <c r="B15" s="11"/>
      <c r="C15" s="11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1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4" customFormat="1" x14ac:dyDescent="0.25">
      <c r="A16" s="11"/>
      <c r="B16" s="28" t="s">
        <v>107</v>
      </c>
      <c r="C16" s="28"/>
      <c r="D16" s="21">
        <f>D12-D14</f>
        <v>0</v>
      </c>
      <c r="E16" s="14"/>
      <c r="F16" s="22">
        <f>IF(D$12=0,0,D16/D$12)</f>
        <v>0</v>
      </c>
      <c r="G16" s="14"/>
      <c r="H16" s="21">
        <f>H12-H14</f>
        <v>0</v>
      </c>
      <c r="I16" s="14"/>
      <c r="J16" s="22">
        <f>IF(H$12=0,0,H16/H$12)</f>
        <v>0</v>
      </c>
      <c r="K16" s="15"/>
      <c r="L16" s="21">
        <f>+D16-H16</f>
        <v>0</v>
      </c>
      <c r="M16" s="15"/>
      <c r="N16" s="22">
        <f>IF(H16=0,0,L16/H16)</f>
        <v>0</v>
      </c>
      <c r="O16" s="29"/>
      <c r="P16" s="21">
        <f>P12-P14</f>
        <v>0</v>
      </c>
      <c r="Q16" s="14"/>
      <c r="R16" s="22">
        <f>IF(P$12=0,0,P16/P$12)</f>
        <v>0</v>
      </c>
      <c r="S16" s="14"/>
      <c r="T16" s="21">
        <f>T12-T14</f>
        <v>0</v>
      </c>
      <c r="U16" s="14"/>
      <c r="V16" s="22">
        <f>IF(T$12=0,0,T16/T$12)</f>
        <v>0</v>
      </c>
      <c r="W16" s="15"/>
      <c r="X16" s="21">
        <f>+P16-T16</f>
        <v>0</v>
      </c>
      <c r="Y16" s="15"/>
      <c r="Z16" s="22">
        <f>IF(T16=0,0,X16/T16)</f>
        <v>0</v>
      </c>
    </row>
    <row r="17" spans="1:26" x14ac:dyDescent="0.25">
      <c r="A17" s="9"/>
      <c r="B17" s="11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4" customFormat="1" x14ac:dyDescent="0.25">
      <c r="A18" s="11"/>
      <c r="B18" s="29" t="s">
        <v>294</v>
      </c>
      <c r="C18" s="11"/>
      <c r="D18" s="20">
        <f>SUM(0)</f>
        <v>0</v>
      </c>
      <c r="E18" s="20"/>
      <c r="F18" s="32">
        <f>IF(D$12=0,0,D18/D$12)</f>
        <v>0</v>
      </c>
      <c r="G18" s="20"/>
      <c r="H18" s="20">
        <f>SUM(0)</f>
        <v>0</v>
      </c>
      <c r="I18" s="20"/>
      <c r="J18" s="32">
        <f>IF(H$12=0,0,H18/H$12)</f>
        <v>0</v>
      </c>
      <c r="K18" s="4"/>
      <c r="L18" s="20">
        <f>+D18-H18</f>
        <v>0</v>
      </c>
      <c r="M18" s="4"/>
      <c r="N18" s="32">
        <f>IF(H18=0,0,L18/H18)</f>
        <v>0</v>
      </c>
      <c r="O18" s="11"/>
      <c r="P18" s="20">
        <f>SUM(0)</f>
        <v>0</v>
      </c>
      <c r="Q18" s="20"/>
      <c r="R18" s="32">
        <f>IF(P$12=0,0,P18/P$12)</f>
        <v>0</v>
      </c>
      <c r="S18" s="20"/>
      <c r="T18" s="20">
        <f>SUM(0)</f>
        <v>0</v>
      </c>
      <c r="U18" s="20"/>
      <c r="V18" s="32">
        <f>IF(T$12=0,0,T18/T$12)</f>
        <v>0</v>
      </c>
      <c r="W18" s="4"/>
      <c r="X18" s="20">
        <f>+P18-T18</f>
        <v>0</v>
      </c>
      <c r="Y18" s="4"/>
      <c r="Z18" s="32">
        <f>IF(T18=0,0,X18/T18)</f>
        <v>0</v>
      </c>
    </row>
    <row r="19" spans="1:26" s="52" customFormat="1" x14ac:dyDescent="0.25">
      <c r="A19" s="37"/>
      <c r="B19" s="37"/>
      <c r="C19" s="37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4" customFormat="1" x14ac:dyDescent="0.25">
      <c r="A20" s="11"/>
      <c r="B20" s="29" t="s">
        <v>292</v>
      </c>
      <c r="C20" s="11"/>
      <c r="D20" s="4">
        <f>SUM(0)</f>
        <v>0</v>
      </c>
      <c r="E20" s="4"/>
      <c r="F20" s="13">
        <f>IF(D$12=0,0,D20/D$12)</f>
        <v>0</v>
      </c>
      <c r="G20" s="4"/>
      <c r="H20" s="4">
        <f>SUM(0)</f>
        <v>0</v>
      </c>
      <c r="I20" s="4"/>
      <c r="J20" s="13">
        <f>IF(H$12=0,0,H20/H$12)</f>
        <v>0</v>
      </c>
      <c r="K20" s="4"/>
      <c r="L20" s="4">
        <f>+D20-H20</f>
        <v>0</v>
      </c>
      <c r="M20" s="4"/>
      <c r="N20" s="13">
        <f>IF(H20=0,0,L20/H20)</f>
        <v>0</v>
      </c>
      <c r="O20" s="11"/>
      <c r="P20" s="4">
        <f>SUM(0)</f>
        <v>0</v>
      </c>
      <c r="Q20" s="4"/>
      <c r="R20" s="13">
        <f>IF(P$12=0,0,P20/P$12)</f>
        <v>0</v>
      </c>
      <c r="S20" s="4"/>
      <c r="T20" s="4">
        <f>SUM(0)</f>
        <v>0</v>
      </c>
      <c r="U20" s="4"/>
      <c r="V20" s="13">
        <f>IF(T$12=0,0,T20/T$12)</f>
        <v>0</v>
      </c>
      <c r="W20" s="4"/>
      <c r="X20" s="4">
        <f>+P20-T20</f>
        <v>0</v>
      </c>
      <c r="Y20" s="4"/>
      <c r="Z20" s="13">
        <f>IF(T20=0,0,X20/T20)</f>
        <v>0</v>
      </c>
    </row>
    <row r="21" spans="1:26" x14ac:dyDescent="0.25">
      <c r="A21" s="9"/>
      <c r="B21" s="11"/>
      <c r="C21" s="11"/>
      <c r="D21" s="3"/>
      <c r="E21" s="3"/>
      <c r="F21" s="8"/>
      <c r="G21" s="3"/>
      <c r="H21" s="3"/>
      <c r="I21" s="3"/>
      <c r="J21" s="8"/>
      <c r="K21" s="3"/>
      <c r="L21" s="3"/>
      <c r="M21" s="3"/>
      <c r="N21" s="8"/>
      <c r="O21" s="11"/>
      <c r="P21" s="3"/>
      <c r="Q21" s="3"/>
      <c r="R21" s="8"/>
      <c r="S21" s="3"/>
      <c r="T21" s="3"/>
      <c r="U21" s="3"/>
      <c r="V21" s="8"/>
      <c r="W21" s="3"/>
      <c r="X21" s="3"/>
      <c r="Y21" s="3"/>
      <c r="Z21" s="8"/>
    </row>
    <row r="22" spans="1:26" s="24" customFormat="1" x14ac:dyDescent="0.25">
      <c r="A22" s="11"/>
      <c r="B22" s="28" t="s">
        <v>276</v>
      </c>
      <c r="C22" s="28"/>
      <c r="D22" s="21">
        <f>+D16-D18+D20</f>
        <v>0</v>
      </c>
      <c r="E22" s="14"/>
      <c r="F22" s="22">
        <f>IF(D$12=0,0,D22/D$12)</f>
        <v>0</v>
      </c>
      <c r="G22" s="14"/>
      <c r="H22" s="21">
        <f>+H16-H18+H20</f>
        <v>0</v>
      </c>
      <c r="I22" s="14"/>
      <c r="J22" s="22">
        <f>IF(H$12=0,0,H22/H$12)</f>
        <v>0</v>
      </c>
      <c r="K22" s="15"/>
      <c r="L22" s="21">
        <f>+D22-H22</f>
        <v>0</v>
      </c>
      <c r="M22" s="15"/>
      <c r="N22" s="22">
        <f>IF(H22=0,0,L22/H22)</f>
        <v>0</v>
      </c>
      <c r="O22" s="29"/>
      <c r="P22" s="21">
        <f>+P16-P18+P20</f>
        <v>0</v>
      </c>
      <c r="Q22" s="14"/>
      <c r="R22" s="22">
        <f>IF(P$12=0,0,P22/P$12)</f>
        <v>0</v>
      </c>
      <c r="S22" s="14"/>
      <c r="T22" s="21">
        <f>+T16-T18+T20</f>
        <v>0</v>
      </c>
      <c r="U22" s="14"/>
      <c r="V22" s="22">
        <f>IF(T$12=0,0,T22/T$12)</f>
        <v>0</v>
      </c>
      <c r="W22" s="15"/>
      <c r="X22" s="21">
        <f>+P22-T22</f>
        <v>0</v>
      </c>
      <c r="Y22" s="15"/>
      <c r="Z22" s="22">
        <f>IF(T22=0,0,X22/T22)</f>
        <v>0</v>
      </c>
    </row>
    <row r="23" spans="1:26" x14ac:dyDescent="0.25">
      <c r="A23" s="9"/>
      <c r="B23" s="11"/>
      <c r="C23" s="9"/>
      <c r="D23" s="3"/>
      <c r="E23" s="3"/>
      <c r="F23" s="8"/>
      <c r="G23" s="3"/>
      <c r="H23" s="3"/>
      <c r="I23" s="3"/>
      <c r="J23" s="8"/>
      <c r="K23" s="3"/>
      <c r="L23" s="3"/>
      <c r="M23" s="3"/>
      <c r="N23" s="8"/>
      <c r="P23" s="3"/>
      <c r="Q23" s="3"/>
      <c r="R23" s="8"/>
      <c r="S23" s="3"/>
      <c r="T23" s="3"/>
      <c r="U23" s="3"/>
      <c r="V23" s="8"/>
      <c r="W23" s="3"/>
      <c r="X23" s="3"/>
      <c r="Y23" s="3"/>
      <c r="Z23" s="8"/>
    </row>
    <row r="24" spans="1:26" s="24" customFormat="1" x14ac:dyDescent="0.25">
      <c r="A24" s="51"/>
      <c r="B24" s="11" t="s">
        <v>127</v>
      </c>
      <c r="C24" s="11"/>
      <c r="D24" s="4"/>
      <c r="E24" s="4"/>
      <c r="F24" s="13">
        <f>IF(D$12=0,0,D24/D$12)</f>
        <v>0</v>
      </c>
      <c r="G24" s="4"/>
      <c r="H24" s="4"/>
      <c r="I24" s="4"/>
      <c r="J24" s="13">
        <f>IF(H$12=0,0,H24/H$12)</f>
        <v>0</v>
      </c>
      <c r="K24" s="4"/>
      <c r="L24" s="4">
        <f>+D24-H24</f>
        <v>0</v>
      </c>
      <c r="M24" s="4"/>
      <c r="N24" s="13">
        <f>IF(H24=0,0,L24/H24)</f>
        <v>0</v>
      </c>
      <c r="O24" s="11"/>
      <c r="P24" s="4"/>
      <c r="Q24" s="4"/>
      <c r="R24" s="13">
        <f>IF(P$12=0,0,P24/P$12)</f>
        <v>0</v>
      </c>
      <c r="S24" s="4"/>
      <c r="T24" s="4"/>
      <c r="U24" s="4"/>
      <c r="V24" s="13">
        <f>IF(T$12=0,0,T24/T$12)</f>
        <v>0</v>
      </c>
      <c r="W24" s="4"/>
      <c r="X24" s="4">
        <f>+P24-T24</f>
        <v>0</v>
      </c>
      <c r="Y24" s="4"/>
      <c r="Z24" s="13">
        <f>IF(T24=0,0,X24/T24)</f>
        <v>0</v>
      </c>
    </row>
    <row r="25" spans="1:26" x14ac:dyDescent="0.25">
      <c r="A25" s="9"/>
      <c r="B25" s="11"/>
      <c r="C25" s="11"/>
      <c r="D25" s="3"/>
      <c r="E25" s="3"/>
      <c r="F25" s="8"/>
      <c r="G25" s="3"/>
      <c r="H25" s="3"/>
      <c r="I25" s="3"/>
      <c r="J25" s="8"/>
      <c r="K25" s="3"/>
      <c r="L25" s="3"/>
      <c r="M25" s="3"/>
      <c r="N25" s="8"/>
      <c r="O25" s="11"/>
      <c r="P25" s="3"/>
      <c r="Q25" s="3"/>
      <c r="R25" s="8"/>
      <c r="S25" s="3"/>
      <c r="T25" s="3"/>
      <c r="U25" s="3"/>
      <c r="V25" s="8"/>
      <c r="W25" s="3"/>
      <c r="X25" s="3"/>
      <c r="Y25" s="3"/>
      <c r="Z25" s="8"/>
    </row>
    <row r="26" spans="1:26" s="24" customFormat="1" ht="15.75" thickBot="1" x14ac:dyDescent="0.3">
      <c r="A26" s="11"/>
      <c r="B26" s="28" t="s">
        <v>125</v>
      </c>
      <c r="C26" s="28"/>
      <c r="D26" s="34">
        <f>+D22-D24</f>
        <v>0</v>
      </c>
      <c r="E26" s="14"/>
      <c r="F26" s="31">
        <f>IF(D$12=0,0,D26/D$12)</f>
        <v>0</v>
      </c>
      <c r="G26" s="14"/>
      <c r="H26" s="34">
        <f>+H22-H24</f>
        <v>0</v>
      </c>
      <c r="I26" s="14"/>
      <c r="J26" s="31">
        <f>IF(H$12=0,0,H26/H$12)</f>
        <v>0</v>
      </c>
      <c r="K26" s="15"/>
      <c r="L26" s="34">
        <f>D26-H26</f>
        <v>0</v>
      </c>
      <c r="M26" s="15"/>
      <c r="N26" s="31">
        <f>IF(H26=0,0,L26/H26)</f>
        <v>0</v>
      </c>
      <c r="O26" s="29"/>
      <c r="P26" s="34">
        <f>+P22-P24</f>
        <v>0</v>
      </c>
      <c r="Q26" s="14"/>
      <c r="R26" s="31">
        <f>IF(P$12=0,0,P26/P$12)</f>
        <v>0</v>
      </c>
      <c r="S26" s="14"/>
      <c r="T26" s="34">
        <f>+T22-T24</f>
        <v>0</v>
      </c>
      <c r="U26" s="14"/>
      <c r="V26" s="31">
        <f>IF(T$12=0,0,T26/T$12)</f>
        <v>0</v>
      </c>
      <c r="W26" s="15"/>
      <c r="X26" s="34">
        <f>P26-T26</f>
        <v>0</v>
      </c>
      <c r="Y26" s="15"/>
      <c r="Z26" s="31">
        <f>IF(T26=0,0,X26/T26)</f>
        <v>0</v>
      </c>
    </row>
    <row r="27" spans="1:26" ht="15.75" thickTop="1" x14ac:dyDescent="0.25">
      <c r="A27" s="9"/>
      <c r="B27" s="9"/>
      <c r="C27" s="9"/>
      <c r="D27" s="3"/>
      <c r="E27" s="3"/>
      <c r="F27" s="8"/>
      <c r="G27" s="3"/>
      <c r="H27" s="3"/>
      <c r="I27" s="3"/>
      <c r="J27" s="8"/>
      <c r="K27" s="3"/>
      <c r="L27" s="3"/>
      <c r="M27" s="3"/>
      <c r="N27" s="8"/>
      <c r="P27" s="3"/>
      <c r="Q27" s="3"/>
      <c r="R27" s="8"/>
      <c r="S27" s="3"/>
      <c r="T27" s="3"/>
      <c r="U27" s="3"/>
      <c r="V27" s="8"/>
      <c r="W27" s="3"/>
      <c r="X27" s="3"/>
      <c r="Y27" s="3"/>
      <c r="Z27" s="8"/>
    </row>
    <row r="28" spans="1:26" s="24" customFormat="1" x14ac:dyDescent="0.25">
      <c r="A28" s="51"/>
      <c r="B28" s="11" t="s">
        <v>183</v>
      </c>
      <c r="C28" s="11"/>
      <c r="D28" s="4">
        <f>-920090.89</f>
        <v>-920090.89</v>
      </c>
      <c r="E28" s="4"/>
      <c r="F28" s="13">
        <f t="shared" ref="F28:F29" si="0">IF(D$12=0,0,D28/D$12)</f>
        <v>0</v>
      </c>
      <c r="G28" s="4"/>
      <c r="H28" s="4">
        <f>--322360.04</f>
        <v>322360.03999999998</v>
      </c>
      <c r="I28" s="4"/>
      <c r="J28" s="13">
        <f t="shared" ref="J28:J29" si="1">IF(H$12=0,0,H28/H$12)</f>
        <v>0</v>
      </c>
      <c r="K28" s="4"/>
      <c r="L28" s="4">
        <f t="shared" ref="L28:L29" si="2">+D28-H28</f>
        <v>-1242450.93</v>
      </c>
      <c r="M28" s="4"/>
      <c r="N28" s="13">
        <f t="shared" ref="N28:N29" si="3">IF(H28=0,0,L28/H28)</f>
        <v>-3.8542337009264549</v>
      </c>
      <c r="O28" s="11"/>
      <c r="P28" s="4">
        <f>--1782877.25</f>
        <v>1782877.25</v>
      </c>
      <c r="Q28" s="4"/>
      <c r="R28" s="13">
        <f t="shared" ref="R28:R29" si="4">IF(P$12=0,0,P28/P$12)</f>
        <v>0</v>
      </c>
      <c r="S28" s="4"/>
      <c r="T28" s="4">
        <f>-36911.48</f>
        <v>-36911.480000000003</v>
      </c>
      <c r="U28" s="4"/>
      <c r="V28" s="13">
        <f t="shared" ref="V28:V29" si="5">IF(T$12=0,0,T28/T$12)</f>
        <v>0</v>
      </c>
      <c r="W28" s="4"/>
      <c r="X28" s="4">
        <f t="shared" ref="X28:X29" si="6">+P28-T28</f>
        <v>1819788.73</v>
      </c>
      <c r="Y28" s="4"/>
      <c r="Z28" s="13">
        <f t="shared" ref="Z28:Z29" si="7">IF(T28=0,0,X28/T28)</f>
        <v>-49.301429528157634</v>
      </c>
    </row>
    <row r="29" spans="1:26" s="24" customFormat="1" x14ac:dyDescent="0.25">
      <c r="A29" s="51"/>
      <c r="B29" s="11" t="s">
        <v>81</v>
      </c>
      <c r="C29" s="11"/>
      <c r="D29" s="4">
        <f>--2951630.18</f>
        <v>2951630.18</v>
      </c>
      <c r="E29" s="4"/>
      <c r="F29" s="13">
        <f t="shared" si="0"/>
        <v>0</v>
      </c>
      <c r="G29" s="4"/>
      <c r="H29" s="4">
        <f>--56882.15</f>
        <v>56882.15</v>
      </c>
      <c r="I29" s="4"/>
      <c r="J29" s="13">
        <f t="shared" si="1"/>
        <v>0</v>
      </c>
      <c r="K29" s="4"/>
      <c r="L29" s="4">
        <f t="shared" si="2"/>
        <v>2894748.0300000003</v>
      </c>
      <c r="M29" s="4"/>
      <c r="N29" s="13">
        <f t="shared" si="3"/>
        <v>50.890271025268916</v>
      </c>
      <c r="O29" s="11"/>
      <c r="P29" s="4">
        <f>--3055858.1</f>
        <v>3055858.1</v>
      </c>
      <c r="Q29" s="4"/>
      <c r="R29" s="13">
        <f t="shared" si="4"/>
        <v>0</v>
      </c>
      <c r="S29" s="4"/>
      <c r="T29" s="4">
        <f>--324468.28</f>
        <v>324468.28000000003</v>
      </c>
      <c r="U29" s="4"/>
      <c r="V29" s="13">
        <f t="shared" si="5"/>
        <v>0</v>
      </c>
      <c r="W29" s="4"/>
      <c r="X29" s="4">
        <f t="shared" si="6"/>
        <v>2731389.8200000003</v>
      </c>
      <c r="Y29" s="4"/>
      <c r="Z29" s="13">
        <f t="shared" si="7"/>
        <v>8.4180488151260882</v>
      </c>
    </row>
    <row r="30" spans="1:26" x14ac:dyDescent="0.25">
      <c r="A30" s="9"/>
      <c r="B30" s="9"/>
      <c r="C30" s="9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4" customFormat="1" ht="15.75" thickBot="1" x14ac:dyDescent="0.3">
      <c r="A31" s="11"/>
      <c r="B31" s="28" t="s">
        <v>293</v>
      </c>
      <c r="C31" s="28"/>
      <c r="D31" s="33">
        <f>SUM(D26:D30)</f>
        <v>2031539.29</v>
      </c>
      <c r="E31" s="14"/>
      <c r="F31" s="35">
        <f>IF(D$12=0,0,D31/D$12)</f>
        <v>0</v>
      </c>
      <c r="G31" s="14"/>
      <c r="H31" s="33">
        <f>SUM(H26:H30)</f>
        <v>379242.19</v>
      </c>
      <c r="I31" s="14"/>
      <c r="J31" s="35">
        <f>IF(H$12=0,0,H31/H$12)</f>
        <v>0</v>
      </c>
      <c r="K31" s="15"/>
      <c r="L31" s="33">
        <f>+D31-H31</f>
        <v>1652297.1</v>
      </c>
      <c r="M31" s="15"/>
      <c r="N31" s="35">
        <f>IF(H31=0,0,L31/H31)</f>
        <v>4.3568388316711282</v>
      </c>
      <c r="O31" s="29"/>
      <c r="P31" s="33">
        <f>SUM(P26:P30)</f>
        <v>4838735.3499999996</v>
      </c>
      <c r="Q31" s="14"/>
      <c r="R31" s="35">
        <f>IF(P$12=0,0,P31/P$12)</f>
        <v>0</v>
      </c>
      <c r="S31" s="14"/>
      <c r="T31" s="33">
        <f>SUM(T26:T30)</f>
        <v>287556.80000000005</v>
      </c>
      <c r="U31" s="14"/>
      <c r="V31" s="35">
        <f>IF(T$12=0,0,T31/T$12)</f>
        <v>0</v>
      </c>
      <c r="W31" s="15"/>
      <c r="X31" s="33">
        <f>+P31-T31</f>
        <v>4551178.55</v>
      </c>
      <c r="Y31" s="15"/>
      <c r="Z31" s="35">
        <f>IF(T31=0,0,X31/T31)</f>
        <v>15.827059384441609</v>
      </c>
    </row>
    <row r="32" spans="1:26" ht="15.75" thickTop="1" x14ac:dyDescent="0.25">
      <c r="A32" s="9"/>
      <c r="C32" s="9"/>
      <c r="D32" s="18"/>
      <c r="E32" s="18"/>
      <c r="G32" s="18"/>
      <c r="H32" s="18"/>
      <c r="I32" s="18"/>
      <c r="J32" s="43"/>
      <c r="K32" s="18"/>
      <c r="L32" s="18"/>
      <c r="M32" s="18"/>
      <c r="P32" s="18"/>
      <c r="Q32" s="18"/>
      <c r="R32" s="43"/>
      <c r="S32" s="18"/>
      <c r="T32" s="18"/>
      <c r="U32" s="18"/>
      <c r="V32" s="43"/>
      <c r="W32" s="18"/>
      <c r="X32" s="18"/>
    </row>
    <row r="33" spans="1:24" x14ac:dyDescent="0.25">
      <c r="A33" s="9"/>
      <c r="B33" s="56">
        <v>44454.698533449075</v>
      </c>
      <c r="D33" s="18"/>
      <c r="E33" s="18"/>
      <c r="G33" s="18"/>
      <c r="H33" s="18"/>
      <c r="I33" s="18"/>
      <c r="J33" s="43"/>
      <c r="K33" s="18"/>
      <c r="L33" s="18"/>
      <c r="M33" s="18"/>
      <c r="P33" s="18"/>
      <c r="Q33" s="18"/>
      <c r="R33" s="43"/>
      <c r="S33" s="18"/>
      <c r="T33" s="18"/>
      <c r="U33" s="18"/>
      <c r="V33" s="43"/>
      <c r="W33" s="18"/>
      <c r="X33" s="18"/>
    </row>
    <row r="34" spans="1:24" x14ac:dyDescent="0.25">
      <c r="A34" s="9"/>
      <c r="B34" s="55" t="s">
        <v>56</v>
      </c>
      <c r="D34" s="18"/>
      <c r="E34" s="18"/>
      <c r="G34" s="18"/>
      <c r="H34" s="18"/>
      <c r="I34" s="18"/>
      <c r="J34" s="43"/>
      <c r="K34" s="18"/>
      <c r="L34" s="18"/>
      <c r="M34" s="18"/>
      <c r="P34" s="18"/>
      <c r="Q34" s="18"/>
      <c r="R34" s="43"/>
      <c r="S34" s="18"/>
      <c r="T34" s="18"/>
      <c r="U34" s="18"/>
      <c r="V34" s="43"/>
      <c r="W34" s="18"/>
      <c r="X34" s="18"/>
    </row>
    <row r="35" spans="1:24" x14ac:dyDescent="0.25">
      <c r="A35" s="9"/>
      <c r="B35" s="60"/>
      <c r="D35" s="18"/>
      <c r="E35" s="18"/>
      <c r="G35" s="18"/>
      <c r="H35" s="18"/>
      <c r="I35" s="18"/>
      <c r="J35" s="43"/>
      <c r="K35" s="18"/>
      <c r="L35" s="18"/>
      <c r="M35" s="18"/>
      <c r="P35" s="18"/>
      <c r="Q35" s="18"/>
      <c r="R35" s="43"/>
      <c r="S35" s="18"/>
      <c r="T35" s="18"/>
      <c r="U35" s="18"/>
      <c r="V35" s="43"/>
      <c r="W35" s="18"/>
      <c r="X35" s="18"/>
    </row>
    <row r="36" spans="1:24" x14ac:dyDescent="0.25">
      <c r="D36" s="18"/>
      <c r="E36" s="18"/>
      <c r="G36" s="18"/>
      <c r="H36" s="18"/>
      <c r="I36" s="18"/>
      <c r="J36" s="43"/>
      <c r="K36" s="18"/>
      <c r="L36" s="18"/>
      <c r="M36" s="18"/>
      <c r="P36" s="18"/>
      <c r="Q36" s="18"/>
      <c r="R36" s="43"/>
      <c r="S36" s="18"/>
      <c r="T36" s="18"/>
      <c r="U36" s="18"/>
      <c r="V36" s="43"/>
      <c r="W36" s="18"/>
      <c r="X36" s="18"/>
    </row>
  </sheetData>
  <pageMargins left="0.25" right="0.25" top="0.75" bottom="0.75" header="0.3" footer="0.3"/>
  <pageSetup scale="55" fitToWidth="2" orientation="landscape"/>
  <drawing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tabColor rgb="FFFFFF00"/>
    <outlinePr summaryBelow="0" summaryRight="0"/>
  </sheetPr>
  <dimension ref="A2:Z118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62" t="s">
        <v>23</v>
      </c>
    </row>
    <row r="3" spans="1:26" x14ac:dyDescent="0.25">
      <c r="D3" s="62" t="s">
        <v>236</v>
      </c>
      <c r="E3" s="17"/>
      <c r="F3" s="46"/>
      <c r="G3" s="17"/>
      <c r="H3" s="17"/>
      <c r="I3" s="17"/>
      <c r="J3" s="38"/>
      <c r="K3" s="17"/>
      <c r="L3" s="17"/>
      <c r="M3" s="17"/>
      <c r="N3" s="46"/>
      <c r="O3" s="53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2" t="str">
        <f>CONCATENATE("Period ",RIGHT(202112,2),", ",2021)</f>
        <v>Period 12, 2021</v>
      </c>
      <c r="E4" s="17"/>
      <c r="F4" s="46"/>
      <c r="G4" s="17"/>
      <c r="H4" s="17"/>
      <c r="I4" s="17"/>
      <c r="J4" s="38"/>
      <c r="K4" s="17"/>
      <c r="L4" s="17"/>
      <c r="M4" s="17"/>
      <c r="N4" s="46"/>
      <c r="O4" s="53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4"/>
      <c r="D5" s="63">
        <v>44377</v>
      </c>
      <c r="E5" s="17"/>
      <c r="F5" s="46"/>
      <c r="G5" s="17"/>
      <c r="H5" s="17"/>
      <c r="I5" s="17"/>
      <c r="J5" s="38"/>
      <c r="K5" s="17"/>
      <c r="L5" s="17"/>
      <c r="M5" s="17"/>
      <c r="N5" s="46"/>
      <c r="O5" s="53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4"/>
      <c r="B6" s="48"/>
      <c r="C6" s="48"/>
      <c r="D6" s="24" t="s">
        <v>124</v>
      </c>
      <c r="E6" s="17"/>
      <c r="F6" s="46"/>
      <c r="G6" s="17"/>
      <c r="H6" s="17"/>
      <c r="I6" s="17"/>
      <c r="J6" s="38"/>
      <c r="K6" s="17"/>
      <c r="L6" s="17"/>
      <c r="M6" s="17"/>
      <c r="N6" s="46"/>
      <c r="O6" s="54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9"/>
    </row>
    <row r="8" spans="1:26" x14ac:dyDescent="0.25">
      <c r="B8" s="59"/>
    </row>
    <row r="9" spans="1:26" x14ac:dyDescent="0.25">
      <c r="B9" s="9"/>
      <c r="C9" s="9"/>
      <c r="D9" s="16" t="s">
        <v>291</v>
      </c>
      <c r="E9" s="16"/>
      <c r="F9" s="39"/>
      <c r="G9" s="16"/>
      <c r="H9" s="16"/>
      <c r="I9" s="16"/>
      <c r="J9" s="49"/>
      <c r="K9" s="16"/>
      <c r="L9" s="16"/>
      <c r="M9" s="16"/>
      <c r="N9" s="39"/>
      <c r="P9" s="16" t="s">
        <v>39</v>
      </c>
      <c r="Q9" s="16"/>
      <c r="R9" s="39"/>
      <c r="S9" s="16"/>
      <c r="T9" s="16"/>
      <c r="U9" s="16"/>
      <c r="V9" s="49"/>
      <c r="W9" s="16"/>
      <c r="X9" s="16"/>
      <c r="Y9" s="16"/>
      <c r="Z9" s="39"/>
    </row>
    <row r="10" spans="1:26" x14ac:dyDescent="0.25">
      <c r="A10" s="11"/>
      <c r="B10" s="58"/>
      <c r="C10" s="11"/>
      <c r="D10" s="42" t="s">
        <v>57</v>
      </c>
      <c r="E10" s="36"/>
      <c r="F10" s="30" t="s">
        <v>40</v>
      </c>
      <c r="G10" s="36"/>
      <c r="H10" s="50" t="s">
        <v>237</v>
      </c>
      <c r="I10" s="36"/>
      <c r="J10" s="30" t="s">
        <v>40</v>
      </c>
      <c r="K10" s="11"/>
      <c r="L10" s="42" t="s">
        <v>126</v>
      </c>
      <c r="M10" s="11"/>
      <c r="N10" s="30" t="s">
        <v>257</v>
      </c>
      <c r="O10" s="11"/>
      <c r="P10" s="61" t="s">
        <v>57</v>
      </c>
      <c r="Q10" s="36"/>
      <c r="R10" s="30" t="s">
        <v>40</v>
      </c>
      <c r="S10" s="36"/>
      <c r="T10" s="50" t="s">
        <v>237</v>
      </c>
      <c r="U10" s="36"/>
      <c r="V10" s="30" t="s">
        <v>40</v>
      </c>
      <c r="W10" s="11"/>
      <c r="X10" s="42" t="s">
        <v>126</v>
      </c>
      <c r="Y10" s="11"/>
      <c r="Z10" s="30" t="s">
        <v>257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4" customFormat="1" collapsed="1" x14ac:dyDescent="0.25">
      <c r="A12" s="11"/>
      <c r="B12" s="29" t="s">
        <v>139</v>
      </c>
      <c r="C12" s="11"/>
      <c r="D12" s="4">
        <f>SUM(OSRRefD13x_0)</f>
        <v>4812.4399999999996</v>
      </c>
      <c r="E12" s="4"/>
      <c r="F12" s="13"/>
      <c r="G12" s="4"/>
      <c r="H12" s="4">
        <f>SUM(OSRRefH13x_0)</f>
        <v>9915.64</v>
      </c>
      <c r="I12" s="4"/>
      <c r="J12" s="13"/>
      <c r="K12" s="4"/>
      <c r="L12" s="4">
        <f t="shared" ref="L12:L32" si="0">+D12-H12</f>
        <v>-5103.2</v>
      </c>
      <c r="M12" s="4"/>
      <c r="N12" s="13">
        <f t="shared" ref="N12:N32" si="1">IF(H12=0,0,L12/H12)</f>
        <v>-0.51466168598295214</v>
      </c>
      <c r="O12" s="11"/>
      <c r="P12" s="4">
        <f>SUM(OSRRefP13x_0)</f>
        <v>132456.04999999999</v>
      </c>
      <c r="Q12" s="4"/>
      <c r="R12" s="13"/>
      <c r="S12" s="4"/>
      <c r="T12" s="4">
        <f>SUM(OSRRefT13x_0)</f>
        <v>518287.43999999994</v>
      </c>
      <c r="U12" s="4"/>
      <c r="V12" s="13"/>
      <c r="W12" s="4"/>
      <c r="X12" s="4">
        <f t="shared" ref="X12:X32" si="2">+P12-T12</f>
        <v>-385831.38999999996</v>
      </c>
      <c r="Y12" s="4"/>
      <c r="Z12" s="13">
        <f t="shared" ref="Z12:Z32" si="3">IF(T12=0,0,X12/T12)</f>
        <v>-0.74443515358967605</v>
      </c>
    </row>
    <row r="13" spans="1:26" s="23" customFormat="1" hidden="1" outlineLevel="1" x14ac:dyDescent="0.25">
      <c r="A13" s="44"/>
      <c r="B13" s="10" t="str">
        <f>CONCATENATE("          ", "4000", " - ", "TAXABLE SALES")</f>
        <v xml:space="preserve">          4000 - TAXABLE SALES</v>
      </c>
      <c r="C13" s="10"/>
      <c r="D13" s="2">
        <f>-39.88</f>
        <v>-39.880000000000003</v>
      </c>
      <c r="E13" s="2"/>
      <c r="F13" s="19"/>
      <c r="G13" s="2"/>
      <c r="H13" s="2">
        <f>0</f>
        <v>0</v>
      </c>
      <c r="I13" s="2"/>
      <c r="J13" s="19"/>
      <c r="K13" s="2"/>
      <c r="L13" s="2">
        <f t="shared" si="0"/>
        <v>-39.880000000000003</v>
      </c>
      <c r="M13" s="2"/>
      <c r="N13" s="19">
        <f t="shared" si="1"/>
        <v>0</v>
      </c>
      <c r="O13" s="10"/>
      <c r="P13" s="2">
        <f>-50.16</f>
        <v>-50.16</v>
      </c>
      <c r="Q13" s="2"/>
      <c r="R13" s="19"/>
      <c r="S13" s="2"/>
      <c r="T13" s="2">
        <f>0</f>
        <v>0</v>
      </c>
      <c r="U13" s="2"/>
      <c r="V13" s="19"/>
      <c r="W13" s="2"/>
      <c r="X13" s="2">
        <f t="shared" si="2"/>
        <v>-50.16</v>
      </c>
      <c r="Y13" s="2"/>
      <c r="Z13" s="19">
        <f t="shared" si="3"/>
        <v>0</v>
      </c>
    </row>
    <row r="14" spans="1:26" s="23" customFormat="1" hidden="1" outlineLevel="1" x14ac:dyDescent="0.25">
      <c r="A14" s="44"/>
      <c r="B14" s="10" t="str">
        <f>CONCATENATE("          ", "4041", " - ", "TAXABLE SALES-LOGO GIFTS")</f>
        <v xml:space="preserve">          4041 - TAXABLE SALES-LOGO GIFTS</v>
      </c>
      <c r="C14" s="10"/>
      <c r="D14" s="2">
        <f>--252.85</f>
        <v>252.85</v>
      </c>
      <c r="E14" s="2"/>
      <c r="F14" s="19"/>
      <c r="G14" s="2"/>
      <c r="H14" s="2">
        <f>--558.25</f>
        <v>558.25</v>
      </c>
      <c r="I14" s="2"/>
      <c r="J14" s="19"/>
      <c r="K14" s="2"/>
      <c r="L14" s="2">
        <f t="shared" si="0"/>
        <v>-305.39999999999998</v>
      </c>
      <c r="M14" s="2"/>
      <c r="N14" s="19">
        <f t="shared" si="1"/>
        <v>-0.54706672637707121</v>
      </c>
      <c r="O14" s="10"/>
      <c r="P14" s="2">
        <f>--93554.57</f>
        <v>93554.57</v>
      </c>
      <c r="Q14" s="2"/>
      <c r="R14" s="19"/>
      <c r="S14" s="2"/>
      <c r="T14" s="2">
        <f>--175578.6</f>
        <v>175578.6</v>
      </c>
      <c r="U14" s="2"/>
      <c r="V14" s="19"/>
      <c r="W14" s="2"/>
      <c r="X14" s="2">
        <f t="shared" si="2"/>
        <v>-82024.03</v>
      </c>
      <c r="Y14" s="2"/>
      <c r="Z14" s="19">
        <f t="shared" si="3"/>
        <v>-0.46716416465332333</v>
      </c>
    </row>
    <row r="15" spans="1:26" s="23" customFormat="1" hidden="1" outlineLevel="1" x14ac:dyDescent="0.25">
      <c r="A15" s="44"/>
      <c r="B15" s="10" t="str">
        <f>CONCATENATE("          ", "4042", " - ", "TAXABLE SALES-EVERYDAY GIFTS")</f>
        <v xml:space="preserve">          4042 - TAXABLE SALES-EVERYDAY GIFTS</v>
      </c>
      <c r="C15" s="10"/>
      <c r="D15" s="2">
        <f>--2580.95</f>
        <v>2580.9499999999998</v>
      </c>
      <c r="E15" s="2"/>
      <c r="F15" s="19"/>
      <c r="G15" s="2"/>
      <c r="H15" s="2">
        <f>--83.91</f>
        <v>83.91</v>
      </c>
      <c r="I15" s="2"/>
      <c r="J15" s="19"/>
      <c r="K15" s="2"/>
      <c r="L15" s="2">
        <f t="shared" si="0"/>
        <v>2497.04</v>
      </c>
      <c r="M15" s="2"/>
      <c r="N15" s="19">
        <f t="shared" si="1"/>
        <v>29.758550828268383</v>
      </c>
      <c r="O15" s="10"/>
      <c r="P15" s="2">
        <f>--20906.62</f>
        <v>20906.62</v>
      </c>
      <c r="Q15" s="2"/>
      <c r="R15" s="19"/>
      <c r="S15" s="2"/>
      <c r="T15" s="2">
        <f>--76606.57</f>
        <v>76606.570000000007</v>
      </c>
      <c r="U15" s="2"/>
      <c r="V15" s="19"/>
      <c r="W15" s="2"/>
      <c r="X15" s="2">
        <f t="shared" si="2"/>
        <v>-55699.950000000012</v>
      </c>
      <c r="Y15" s="2"/>
      <c r="Z15" s="19">
        <f t="shared" si="3"/>
        <v>-0.72709103148724719</v>
      </c>
    </row>
    <row r="16" spans="1:26" s="23" customFormat="1" hidden="1" outlineLevel="1" x14ac:dyDescent="0.25">
      <c r="A16" s="44"/>
      <c r="B16" s="10" t="str">
        <f>CONCATENATE("          ", "4043", " - ", "TAXABLE SALES-CARDS")</f>
        <v xml:space="preserve">          4043 - TAXABLE SALES-CARDS</v>
      </c>
      <c r="C16" s="10"/>
      <c r="D16" s="2">
        <f>--44.15</f>
        <v>44.15</v>
      </c>
      <c r="E16" s="2"/>
      <c r="F16" s="19"/>
      <c r="G16" s="2"/>
      <c r="H16" s="2">
        <f t="shared" ref="H16:H18" si="4">0</f>
        <v>0</v>
      </c>
      <c r="I16" s="2"/>
      <c r="J16" s="19"/>
      <c r="K16" s="2"/>
      <c r="L16" s="2">
        <f t="shared" si="0"/>
        <v>44.15</v>
      </c>
      <c r="M16" s="2"/>
      <c r="N16" s="19">
        <f t="shared" si="1"/>
        <v>0</v>
      </c>
      <c r="O16" s="10"/>
      <c r="P16" s="2">
        <f>--106.3</f>
        <v>106.3</v>
      </c>
      <c r="Q16" s="2"/>
      <c r="R16" s="19"/>
      <c r="S16" s="2"/>
      <c r="T16" s="2">
        <f>--921.72</f>
        <v>921.72</v>
      </c>
      <c r="U16" s="2"/>
      <c r="V16" s="19"/>
      <c r="W16" s="2"/>
      <c r="X16" s="2">
        <f t="shared" si="2"/>
        <v>-815.42000000000007</v>
      </c>
      <c r="Y16" s="2"/>
      <c r="Z16" s="19">
        <f t="shared" si="3"/>
        <v>-0.88467213470468264</v>
      </c>
    </row>
    <row r="17" spans="1:26" s="23" customFormat="1" hidden="1" outlineLevel="1" x14ac:dyDescent="0.25">
      <c r="A17" s="44"/>
      <c r="B17" s="10" t="str">
        <f>CONCATENATE("          ", "4044", " - ", "TAXABLE SALES-ACCESSORIES")</f>
        <v xml:space="preserve">          4044 - TAXABLE SALES-ACCESSORIES</v>
      </c>
      <c r="C17" s="10"/>
      <c r="D17" s="2">
        <f t="shared" ref="D17:D19" si="5">0</f>
        <v>0</v>
      </c>
      <c r="E17" s="2"/>
      <c r="F17" s="19"/>
      <c r="G17" s="2"/>
      <c r="H17" s="2">
        <f t="shared" si="4"/>
        <v>0</v>
      </c>
      <c r="I17" s="2"/>
      <c r="J17" s="19"/>
      <c r="K17" s="2"/>
      <c r="L17" s="2">
        <f t="shared" si="0"/>
        <v>0</v>
      </c>
      <c r="M17" s="2"/>
      <c r="N17" s="19">
        <f t="shared" si="1"/>
        <v>0</v>
      </c>
      <c r="O17" s="10"/>
      <c r="P17" s="2">
        <f t="shared" ref="P17:P19" si="6">0</f>
        <v>0</v>
      </c>
      <c r="Q17" s="2"/>
      <c r="R17" s="19"/>
      <c r="S17" s="2"/>
      <c r="T17" s="2">
        <f>--235.18</f>
        <v>235.18</v>
      </c>
      <c r="U17" s="2"/>
      <c r="V17" s="19"/>
      <c r="W17" s="2"/>
      <c r="X17" s="2">
        <f t="shared" si="2"/>
        <v>-235.18</v>
      </c>
      <c r="Y17" s="2"/>
      <c r="Z17" s="19">
        <f t="shared" si="3"/>
        <v>-1</v>
      </c>
    </row>
    <row r="18" spans="1:26" s="23" customFormat="1" hidden="1" outlineLevel="1" x14ac:dyDescent="0.25">
      <c r="A18" s="44"/>
      <c r="B18" s="10" t="str">
        <f>CONCATENATE("          ", "4047", " - ", "TAXABLE SALES-MISC")</f>
        <v xml:space="preserve">          4047 - TAXABLE SALES-MISC</v>
      </c>
      <c r="C18" s="10"/>
      <c r="D18" s="2">
        <f t="shared" si="5"/>
        <v>0</v>
      </c>
      <c r="E18" s="2"/>
      <c r="F18" s="19"/>
      <c r="G18" s="2"/>
      <c r="H18" s="2">
        <f t="shared" si="4"/>
        <v>0</v>
      </c>
      <c r="I18" s="2"/>
      <c r="J18" s="19"/>
      <c r="K18" s="2"/>
      <c r="L18" s="2">
        <f t="shared" si="0"/>
        <v>0</v>
      </c>
      <c r="M18" s="2"/>
      <c r="N18" s="19">
        <f t="shared" si="1"/>
        <v>0</v>
      </c>
      <c r="O18" s="10"/>
      <c r="P18" s="2">
        <f t="shared" si="6"/>
        <v>0</v>
      </c>
      <c r="Q18" s="2"/>
      <c r="R18" s="19"/>
      <c r="S18" s="2"/>
      <c r="T18" s="2">
        <f>--2676.14</f>
        <v>2676.14</v>
      </c>
      <c r="U18" s="2"/>
      <c r="V18" s="19"/>
      <c r="W18" s="2"/>
      <c r="X18" s="2">
        <f t="shared" si="2"/>
        <v>-2676.14</v>
      </c>
      <c r="Y18" s="2"/>
      <c r="Z18" s="19">
        <f t="shared" si="3"/>
        <v>-1</v>
      </c>
    </row>
    <row r="19" spans="1:26" s="23" customFormat="1" hidden="1" outlineLevel="1" x14ac:dyDescent="0.25">
      <c r="A19" s="44"/>
      <c r="B19" s="10" t="str">
        <f>CONCATENATE("          ", "4092", " - ", "TAXABLE SALES-GRAD MERCH")</f>
        <v xml:space="preserve">          4092 - TAXABLE SALES-GRAD MERCH</v>
      </c>
      <c r="C19" s="10"/>
      <c r="D19" s="2">
        <f t="shared" si="5"/>
        <v>0</v>
      </c>
      <c r="E19" s="2"/>
      <c r="F19" s="19"/>
      <c r="G19" s="2"/>
      <c r="H19" s="2">
        <f>--6332.23</f>
        <v>6332.23</v>
      </c>
      <c r="I19" s="2"/>
      <c r="J19" s="19"/>
      <c r="K19" s="2"/>
      <c r="L19" s="2">
        <f t="shared" si="0"/>
        <v>-6332.23</v>
      </c>
      <c r="M19" s="2"/>
      <c r="N19" s="19">
        <f t="shared" si="1"/>
        <v>-1</v>
      </c>
      <c r="O19" s="10"/>
      <c r="P19" s="2">
        <f t="shared" si="6"/>
        <v>0</v>
      </c>
      <c r="Q19" s="2"/>
      <c r="R19" s="19"/>
      <c r="S19" s="2"/>
      <c r="T19" s="2">
        <f>--41725.89</f>
        <v>41725.89</v>
      </c>
      <c r="U19" s="2"/>
      <c r="V19" s="19"/>
      <c r="W19" s="2"/>
      <c r="X19" s="2">
        <f t="shared" si="2"/>
        <v>-41725.89</v>
      </c>
      <c r="Y19" s="2"/>
      <c r="Z19" s="19">
        <f t="shared" si="3"/>
        <v>-1</v>
      </c>
    </row>
    <row r="20" spans="1:26" s="23" customFormat="1" hidden="1" outlineLevel="1" x14ac:dyDescent="0.25">
      <c r="A20" s="44"/>
      <c r="B20" s="10" t="str">
        <f>CONCATENATE("          ", "4095", " - ", "TAXABLE SALES-CUSTOMER SERVICE")</f>
        <v xml:space="preserve">          4095 - TAXABLE SALES-CUSTOMER SERVICE</v>
      </c>
      <c r="C20" s="10"/>
      <c r="D20" s="2">
        <f>--1688.17</f>
        <v>1688.17</v>
      </c>
      <c r="E20" s="2"/>
      <c r="F20" s="19"/>
      <c r="G20" s="2"/>
      <c r="H20" s="2">
        <f>0</f>
        <v>0</v>
      </c>
      <c r="I20" s="2"/>
      <c r="J20" s="19"/>
      <c r="K20" s="2"/>
      <c r="L20" s="2">
        <f t="shared" si="0"/>
        <v>1688.17</v>
      </c>
      <c r="M20" s="2"/>
      <c r="N20" s="19">
        <f t="shared" si="1"/>
        <v>0</v>
      </c>
      <c r="O20" s="10"/>
      <c r="P20" s="2">
        <f>--15614</f>
        <v>15614</v>
      </c>
      <c r="Q20" s="2"/>
      <c r="R20" s="19"/>
      <c r="S20" s="2"/>
      <c r="T20" s="2">
        <f>--279.56</f>
        <v>279.56</v>
      </c>
      <c r="U20" s="2"/>
      <c r="V20" s="19"/>
      <c r="W20" s="2"/>
      <c r="X20" s="2">
        <f t="shared" si="2"/>
        <v>15334.44</v>
      </c>
      <c r="Y20" s="2"/>
      <c r="Z20" s="19">
        <f t="shared" si="3"/>
        <v>54.852053226498782</v>
      </c>
    </row>
    <row r="21" spans="1:26" s="23" customFormat="1" hidden="1" outlineLevel="1" x14ac:dyDescent="0.25">
      <c r="A21" s="44"/>
      <c r="B21" s="10" t="str">
        <f>CONCATENATE("          ", "4141", " - ", "NON-TAXABLE SALES-LOGO GIFTS")</f>
        <v xml:space="preserve">          4141 - NON-TAXABLE SALES-LOGO GIFTS</v>
      </c>
      <c r="C21" s="10"/>
      <c r="D21" s="2">
        <f t="shared" ref="D21:D22" si="7">0</f>
        <v>0</v>
      </c>
      <c r="E21" s="2"/>
      <c r="F21" s="19"/>
      <c r="G21" s="2"/>
      <c r="H21" s="2">
        <f>--106.5</f>
        <v>106.5</v>
      </c>
      <c r="I21" s="2"/>
      <c r="J21" s="19"/>
      <c r="K21" s="2"/>
      <c r="L21" s="2">
        <f t="shared" si="0"/>
        <v>-106.5</v>
      </c>
      <c r="M21" s="2"/>
      <c r="N21" s="19">
        <f t="shared" si="1"/>
        <v>-1</v>
      </c>
      <c r="O21" s="10"/>
      <c r="P21" s="2">
        <f>--1756.04</f>
        <v>1756.04</v>
      </c>
      <c r="Q21" s="2"/>
      <c r="R21" s="19"/>
      <c r="S21" s="2"/>
      <c r="T21" s="2">
        <f>--1028.1</f>
        <v>1028.0999999999999</v>
      </c>
      <c r="U21" s="2"/>
      <c r="V21" s="19"/>
      <c r="W21" s="2"/>
      <c r="X21" s="2">
        <f t="shared" si="2"/>
        <v>727.94</v>
      </c>
      <c r="Y21" s="2"/>
      <c r="Z21" s="19">
        <f t="shared" si="3"/>
        <v>0.70804396459488383</v>
      </c>
    </row>
    <row r="22" spans="1:26" s="23" customFormat="1" hidden="1" outlineLevel="1" x14ac:dyDescent="0.25">
      <c r="A22" s="44"/>
      <c r="B22" s="10" t="str">
        <f>CONCATENATE("          ", "4142", " - ", "NON-TAXABLE SALES-EVERYDAY GIF")</f>
        <v xml:space="preserve">          4142 - NON-TAXABLE SALES-EVERYDAY GIF</v>
      </c>
      <c r="C22" s="10"/>
      <c r="D22" s="2">
        <f t="shared" si="7"/>
        <v>0</v>
      </c>
      <c r="E22" s="2"/>
      <c r="F22" s="19"/>
      <c r="G22" s="2"/>
      <c r="H22" s="2">
        <f>--3049.43</f>
        <v>3049.43</v>
      </c>
      <c r="I22" s="2"/>
      <c r="J22" s="19"/>
      <c r="K22" s="2"/>
      <c r="L22" s="2">
        <f t="shared" si="0"/>
        <v>-3049.43</v>
      </c>
      <c r="M22" s="2"/>
      <c r="N22" s="19">
        <f t="shared" si="1"/>
        <v>-1</v>
      </c>
      <c r="O22" s="10"/>
      <c r="P22" s="2">
        <f>--1137.08</f>
        <v>1137.08</v>
      </c>
      <c r="Q22" s="2"/>
      <c r="R22" s="19"/>
      <c r="S22" s="2"/>
      <c r="T22" s="2">
        <f>--11973.45</f>
        <v>11973.45</v>
      </c>
      <c r="U22" s="2"/>
      <c r="V22" s="19"/>
      <c r="W22" s="2"/>
      <c r="X22" s="2">
        <f t="shared" si="2"/>
        <v>-10836.37</v>
      </c>
      <c r="Y22" s="2"/>
      <c r="Z22" s="19">
        <f t="shared" si="3"/>
        <v>-0.90503321933110337</v>
      </c>
    </row>
    <row r="23" spans="1:26" s="23" customFormat="1" hidden="1" outlineLevel="1" x14ac:dyDescent="0.25">
      <c r="A23" s="44"/>
      <c r="B23" s="10" t="str">
        <f>CONCATENATE("          ", "4146", " - ", "NON-TAXABLE SALES-COIN OP MACH")</f>
        <v xml:space="preserve">          4146 - NON-TAXABLE SALES-COIN OP MACH</v>
      </c>
      <c r="C23" s="10"/>
      <c r="D23" s="2">
        <f>--282.2</f>
        <v>282.2</v>
      </c>
      <c r="E23" s="2"/>
      <c r="F23" s="19"/>
      <c r="G23" s="2"/>
      <c r="H23" s="2">
        <f t="shared" ref="H23:H27" si="8">0</f>
        <v>0</v>
      </c>
      <c r="I23" s="2"/>
      <c r="J23" s="19"/>
      <c r="K23" s="2"/>
      <c r="L23" s="2">
        <f t="shared" si="0"/>
        <v>282.2</v>
      </c>
      <c r="M23" s="2"/>
      <c r="N23" s="19">
        <f t="shared" si="1"/>
        <v>0</v>
      </c>
      <c r="O23" s="10"/>
      <c r="P23" s="2">
        <f>--668.1</f>
        <v>668.1</v>
      </c>
      <c r="Q23" s="2"/>
      <c r="R23" s="19"/>
      <c r="S23" s="2"/>
      <c r="T23" s="2">
        <f>--205908.65</f>
        <v>205908.65</v>
      </c>
      <c r="U23" s="2"/>
      <c r="V23" s="19"/>
      <c r="W23" s="2"/>
      <c r="X23" s="2">
        <f t="shared" si="2"/>
        <v>-205240.55</v>
      </c>
      <c r="Y23" s="2"/>
      <c r="Z23" s="19">
        <f t="shared" si="3"/>
        <v>-0.99675535729072084</v>
      </c>
    </row>
    <row r="24" spans="1:26" s="23" customFormat="1" hidden="1" outlineLevel="1" x14ac:dyDescent="0.25">
      <c r="A24" s="44"/>
      <c r="B24" s="10" t="str">
        <f>CONCATENATE("          ", "4147", " - ", "NON-TAXABLE SALES-MISC")</f>
        <v xml:space="preserve">          4147 - NON-TAXABLE SALES-MISC</v>
      </c>
      <c r="C24" s="10"/>
      <c r="D24" s="2">
        <f>--4</f>
        <v>4</v>
      </c>
      <c r="E24" s="2"/>
      <c r="F24" s="19"/>
      <c r="G24" s="2"/>
      <c r="H24" s="2">
        <f t="shared" si="8"/>
        <v>0</v>
      </c>
      <c r="I24" s="2"/>
      <c r="J24" s="19"/>
      <c r="K24" s="2"/>
      <c r="L24" s="2">
        <f t="shared" si="0"/>
        <v>4</v>
      </c>
      <c r="M24" s="2"/>
      <c r="N24" s="19">
        <f t="shared" si="1"/>
        <v>0</v>
      </c>
      <c r="O24" s="10"/>
      <c r="P24" s="2">
        <f>--172</f>
        <v>172</v>
      </c>
      <c r="Q24" s="2"/>
      <c r="R24" s="19"/>
      <c r="S24" s="2"/>
      <c r="T24" s="2">
        <f>--3446.37</f>
        <v>3446.37</v>
      </c>
      <c r="U24" s="2"/>
      <c r="V24" s="19"/>
      <c r="W24" s="2"/>
      <c r="X24" s="2">
        <f t="shared" si="2"/>
        <v>-3274.37</v>
      </c>
      <c r="Y24" s="2"/>
      <c r="Z24" s="19">
        <f t="shared" si="3"/>
        <v>-0.95009241607836648</v>
      </c>
    </row>
    <row r="25" spans="1:26" s="23" customFormat="1" hidden="1" outlineLevel="1" x14ac:dyDescent="0.25">
      <c r="A25" s="44"/>
      <c r="B25" s="10" t="str">
        <f>CONCATENATE("          ", "4192", " - ", "NON-TAXABLE SALES-GRAD MERCH")</f>
        <v xml:space="preserve">          4192 - NON-TAXABLE SALES-GRAD MERCH</v>
      </c>
      <c r="C25" s="10"/>
      <c r="D25" s="2">
        <f t="shared" ref="D25:D32" si="9">0</f>
        <v>0</v>
      </c>
      <c r="E25" s="2"/>
      <c r="F25" s="19"/>
      <c r="G25" s="2"/>
      <c r="H25" s="2">
        <f t="shared" si="8"/>
        <v>0</v>
      </c>
      <c r="I25" s="2"/>
      <c r="J25" s="19"/>
      <c r="K25" s="2"/>
      <c r="L25" s="2">
        <f t="shared" si="0"/>
        <v>0</v>
      </c>
      <c r="M25" s="2"/>
      <c r="N25" s="19">
        <f t="shared" si="1"/>
        <v>0</v>
      </c>
      <c r="O25" s="10"/>
      <c r="P25" s="2">
        <f>0</f>
        <v>0</v>
      </c>
      <c r="Q25" s="2"/>
      <c r="R25" s="19"/>
      <c r="S25" s="2"/>
      <c r="T25" s="2">
        <f>--119.4</f>
        <v>119.4</v>
      </c>
      <c r="U25" s="2"/>
      <c r="V25" s="19"/>
      <c r="W25" s="2"/>
      <c r="X25" s="2">
        <f t="shared" si="2"/>
        <v>-119.4</v>
      </c>
      <c r="Y25" s="2"/>
      <c r="Z25" s="19">
        <f t="shared" si="3"/>
        <v>-1</v>
      </c>
    </row>
    <row r="26" spans="1:26" s="23" customFormat="1" hidden="1" outlineLevel="1" x14ac:dyDescent="0.25">
      <c r="A26" s="44"/>
      <c r="B26" s="10" t="str">
        <f>CONCATENATE("          ", "4241", " - ", "SALES RETURN TAXABLE-LOGO GIFT")</f>
        <v xml:space="preserve">          4241 - SALES RETURN TAXABLE-LOGO GIFT</v>
      </c>
      <c r="C26" s="10"/>
      <c r="D26" s="2">
        <f t="shared" si="9"/>
        <v>0</v>
      </c>
      <c r="E26" s="2"/>
      <c r="F26" s="19"/>
      <c r="G26" s="2"/>
      <c r="H26" s="2">
        <f t="shared" si="8"/>
        <v>0</v>
      </c>
      <c r="I26" s="2"/>
      <c r="J26" s="19"/>
      <c r="K26" s="2"/>
      <c r="L26" s="2">
        <f t="shared" si="0"/>
        <v>0</v>
      </c>
      <c r="M26" s="2"/>
      <c r="N26" s="19">
        <f t="shared" si="1"/>
        <v>0</v>
      </c>
      <c r="O26" s="10"/>
      <c r="P26" s="2">
        <f>-1293</f>
        <v>-1293</v>
      </c>
      <c r="Q26" s="2"/>
      <c r="R26" s="19"/>
      <c r="S26" s="2"/>
      <c r="T26" s="2">
        <f>-1059.4</f>
        <v>-1059.4000000000001</v>
      </c>
      <c r="U26" s="2"/>
      <c r="V26" s="19"/>
      <c r="W26" s="2"/>
      <c r="X26" s="2">
        <f t="shared" si="2"/>
        <v>-233.59999999999991</v>
      </c>
      <c r="Y26" s="2"/>
      <c r="Z26" s="19">
        <f t="shared" si="3"/>
        <v>0.22050217104021133</v>
      </c>
    </row>
    <row r="27" spans="1:26" s="23" customFormat="1" hidden="1" outlineLevel="1" x14ac:dyDescent="0.25">
      <c r="A27" s="44"/>
      <c r="B27" s="10" t="str">
        <f>CONCATENATE("          ", "4242", " - ", "SALES RETURN TAXABLE-EVERYDAY")</f>
        <v xml:space="preserve">          4242 - SALES RETURN TAXABLE-EVERYDAY</v>
      </c>
      <c r="C27" s="10"/>
      <c r="D27" s="2">
        <f t="shared" si="9"/>
        <v>0</v>
      </c>
      <c r="E27" s="2"/>
      <c r="F27" s="19"/>
      <c r="G27" s="2"/>
      <c r="H27" s="2">
        <f t="shared" si="8"/>
        <v>0</v>
      </c>
      <c r="I27" s="2"/>
      <c r="J27" s="19"/>
      <c r="K27" s="2"/>
      <c r="L27" s="2">
        <f t="shared" si="0"/>
        <v>0</v>
      </c>
      <c r="M27" s="2"/>
      <c r="N27" s="19">
        <f t="shared" si="1"/>
        <v>0</v>
      </c>
      <c r="O27" s="10"/>
      <c r="P27" s="2">
        <f t="shared" ref="P27:P28" si="10">0</f>
        <v>0</v>
      </c>
      <c r="Q27" s="2"/>
      <c r="R27" s="19"/>
      <c r="S27" s="2"/>
      <c r="T27" s="2">
        <f>-227.7</f>
        <v>-227.7</v>
      </c>
      <c r="U27" s="2"/>
      <c r="V27" s="19"/>
      <c r="W27" s="2"/>
      <c r="X27" s="2">
        <f t="shared" si="2"/>
        <v>227.7</v>
      </c>
      <c r="Y27" s="2"/>
      <c r="Z27" s="19">
        <f t="shared" si="3"/>
        <v>-1</v>
      </c>
    </row>
    <row r="28" spans="1:26" s="23" customFormat="1" hidden="1" outlineLevel="1" x14ac:dyDescent="0.25">
      <c r="A28" s="44"/>
      <c r="B28" s="10" t="str">
        <f>CONCATENATE("          ", "4292", " - ", "SALES RETURN TAXABLE-GRAD MERC")</f>
        <v xml:space="preserve">          4292 - SALES RETURN TAXABLE-GRAD MERC</v>
      </c>
      <c r="C28" s="10"/>
      <c r="D28" s="2">
        <f t="shared" si="9"/>
        <v>0</v>
      </c>
      <c r="E28" s="2"/>
      <c r="F28" s="19"/>
      <c r="G28" s="2"/>
      <c r="H28" s="2">
        <f>-214.68</f>
        <v>-214.68</v>
      </c>
      <c r="I28" s="2"/>
      <c r="J28" s="19"/>
      <c r="K28" s="2"/>
      <c r="L28" s="2">
        <f t="shared" si="0"/>
        <v>214.68</v>
      </c>
      <c r="M28" s="2"/>
      <c r="N28" s="19">
        <f t="shared" si="1"/>
        <v>-1</v>
      </c>
      <c r="O28" s="10"/>
      <c r="P28" s="2">
        <f t="shared" si="10"/>
        <v>0</v>
      </c>
      <c r="Q28" s="2"/>
      <c r="R28" s="19"/>
      <c r="S28" s="2"/>
      <c r="T28" s="2">
        <f>-793.52</f>
        <v>-793.52</v>
      </c>
      <c r="U28" s="2"/>
      <c r="V28" s="19"/>
      <c r="W28" s="2"/>
      <c r="X28" s="2">
        <f t="shared" si="2"/>
        <v>793.52</v>
      </c>
      <c r="Y28" s="2"/>
      <c r="Z28" s="19">
        <f t="shared" si="3"/>
        <v>-1</v>
      </c>
    </row>
    <row r="29" spans="1:26" s="23" customFormat="1" hidden="1" outlineLevel="1" x14ac:dyDescent="0.25">
      <c r="A29" s="44"/>
      <c r="B29" s="10" t="str">
        <f>CONCATENATE("          ", "4341", " - ", "SALES RETURN NON TAXABLE-LOGO")</f>
        <v xml:space="preserve">          4341 - SALES RETURN NON TAXABLE-LOGO</v>
      </c>
      <c r="C29" s="10"/>
      <c r="D29" s="2">
        <f t="shared" si="9"/>
        <v>0</v>
      </c>
      <c r="E29" s="2"/>
      <c r="F29" s="19"/>
      <c r="G29" s="2"/>
      <c r="H29" s="2">
        <f t="shared" ref="H29:H32" si="11">0</f>
        <v>0</v>
      </c>
      <c r="I29" s="2"/>
      <c r="J29" s="19"/>
      <c r="K29" s="2"/>
      <c r="L29" s="2">
        <f t="shared" si="0"/>
        <v>0</v>
      </c>
      <c r="M29" s="2"/>
      <c r="N29" s="19">
        <f t="shared" si="1"/>
        <v>0</v>
      </c>
      <c r="O29" s="10"/>
      <c r="P29" s="2">
        <f>-115.5</f>
        <v>-115.5</v>
      </c>
      <c r="Q29" s="2"/>
      <c r="R29" s="19"/>
      <c r="S29" s="2"/>
      <c r="T29" s="2">
        <f>0</f>
        <v>0</v>
      </c>
      <c r="U29" s="2"/>
      <c r="V29" s="19"/>
      <c r="W29" s="2"/>
      <c r="X29" s="2">
        <f t="shared" si="2"/>
        <v>-115.5</v>
      </c>
      <c r="Y29" s="2"/>
      <c r="Z29" s="19">
        <f t="shared" si="3"/>
        <v>0</v>
      </c>
    </row>
    <row r="30" spans="1:26" s="23" customFormat="1" hidden="1" outlineLevel="1" x14ac:dyDescent="0.25">
      <c r="A30" s="44"/>
      <c r="B30" s="10" t="str">
        <f>CONCATENATE("          ", "4342", " - ", "SALES RETURN NON TAXABLE-EVERY")</f>
        <v xml:space="preserve">          4342 - SALES RETURN NON TAXABLE-EVERY</v>
      </c>
      <c r="C30" s="10"/>
      <c r="D30" s="2">
        <f t="shared" si="9"/>
        <v>0</v>
      </c>
      <c r="E30" s="2"/>
      <c r="F30" s="19"/>
      <c r="G30" s="2"/>
      <c r="H30" s="2">
        <f t="shared" si="11"/>
        <v>0</v>
      </c>
      <c r="I30" s="2"/>
      <c r="J30" s="19"/>
      <c r="K30" s="2"/>
      <c r="L30" s="2">
        <f t="shared" si="0"/>
        <v>0</v>
      </c>
      <c r="M30" s="2"/>
      <c r="N30" s="19">
        <f t="shared" si="1"/>
        <v>0</v>
      </c>
      <c r="O30" s="10"/>
      <c r="P30" s="2">
        <f t="shared" ref="P30:P32" si="12">0</f>
        <v>0</v>
      </c>
      <c r="Q30" s="2"/>
      <c r="R30" s="19"/>
      <c r="S30" s="2"/>
      <c r="T30" s="2">
        <f>-39.42</f>
        <v>-39.42</v>
      </c>
      <c r="U30" s="2"/>
      <c r="V30" s="19"/>
      <c r="W30" s="2"/>
      <c r="X30" s="2">
        <f t="shared" si="2"/>
        <v>39.42</v>
      </c>
      <c r="Y30" s="2"/>
      <c r="Z30" s="19">
        <f t="shared" si="3"/>
        <v>-1</v>
      </c>
    </row>
    <row r="31" spans="1:26" s="23" customFormat="1" hidden="1" outlineLevel="1" x14ac:dyDescent="0.25">
      <c r="A31" s="44"/>
      <c r="B31" s="10" t="str">
        <f>CONCATENATE("          ", "4346", " - ", "SALES RETURN NON TAXABLE-COIN-")</f>
        <v xml:space="preserve">          4346 - SALES RETURN NON TAXABLE-COIN-</v>
      </c>
      <c r="C31" s="10"/>
      <c r="D31" s="2">
        <f t="shared" si="9"/>
        <v>0</v>
      </c>
      <c r="E31" s="2"/>
      <c r="F31" s="19"/>
      <c r="G31" s="2"/>
      <c r="H31" s="2">
        <f t="shared" si="11"/>
        <v>0</v>
      </c>
      <c r="I31" s="2"/>
      <c r="J31" s="19"/>
      <c r="K31" s="2"/>
      <c r="L31" s="2">
        <f t="shared" si="0"/>
        <v>0</v>
      </c>
      <c r="M31" s="2"/>
      <c r="N31" s="19">
        <f t="shared" si="1"/>
        <v>0</v>
      </c>
      <c r="O31" s="10"/>
      <c r="P31" s="2">
        <f t="shared" si="12"/>
        <v>0</v>
      </c>
      <c r="Q31" s="2"/>
      <c r="R31" s="19"/>
      <c r="S31" s="2"/>
      <c r="T31" s="2">
        <f>-8.15</f>
        <v>-8.15</v>
      </c>
      <c r="U31" s="2"/>
      <c r="V31" s="19"/>
      <c r="W31" s="2"/>
      <c r="X31" s="2">
        <f t="shared" si="2"/>
        <v>8.15</v>
      </c>
      <c r="Y31" s="2"/>
      <c r="Z31" s="19">
        <f t="shared" si="3"/>
        <v>-1</v>
      </c>
    </row>
    <row r="32" spans="1:26" s="23" customFormat="1" hidden="1" outlineLevel="1" x14ac:dyDescent="0.25">
      <c r="A32" s="44"/>
      <c r="B32" s="10" t="str">
        <f>CONCATENATE("          ", "4347", " - ", "SALES RETURN NON TAXABLE-MISC")</f>
        <v xml:space="preserve">          4347 - SALES RETURN NON TAXABLE-MISC</v>
      </c>
      <c r="C32" s="10"/>
      <c r="D32" s="2">
        <f t="shared" si="9"/>
        <v>0</v>
      </c>
      <c r="E32" s="2"/>
      <c r="F32" s="19"/>
      <c r="G32" s="2"/>
      <c r="H32" s="2">
        <f t="shared" si="11"/>
        <v>0</v>
      </c>
      <c r="I32" s="2"/>
      <c r="J32" s="19"/>
      <c r="K32" s="2"/>
      <c r="L32" s="2">
        <f t="shared" si="0"/>
        <v>0</v>
      </c>
      <c r="M32" s="2"/>
      <c r="N32" s="19">
        <f t="shared" si="1"/>
        <v>0</v>
      </c>
      <c r="O32" s="10"/>
      <c r="P32" s="2">
        <f t="shared" si="12"/>
        <v>0</v>
      </c>
      <c r="Q32" s="2"/>
      <c r="R32" s="19"/>
      <c r="S32" s="2"/>
      <c r="T32" s="2">
        <f>-84</f>
        <v>-84</v>
      </c>
      <c r="U32" s="2"/>
      <c r="V32" s="19"/>
      <c r="W32" s="2"/>
      <c r="X32" s="2">
        <f t="shared" si="2"/>
        <v>84</v>
      </c>
      <c r="Y32" s="2"/>
      <c r="Z32" s="19">
        <f t="shared" si="3"/>
        <v>-1</v>
      </c>
    </row>
    <row r="33" spans="1:26" x14ac:dyDescent="0.25">
      <c r="A33" s="9"/>
      <c r="B33" s="11"/>
      <c r="C33" s="9"/>
      <c r="D33" s="3"/>
      <c r="E33" s="3"/>
      <c r="F33" s="8"/>
      <c r="G33" s="3"/>
      <c r="H33" s="3"/>
      <c r="I33" s="3"/>
      <c r="J33" s="8"/>
      <c r="K33" s="3"/>
      <c r="L33" s="3"/>
      <c r="M33" s="3"/>
      <c r="N33" s="8"/>
      <c r="P33" s="3"/>
      <c r="Q33" s="3"/>
      <c r="R33" s="8"/>
      <c r="S33" s="3"/>
      <c r="T33" s="3"/>
      <c r="U33" s="3"/>
      <c r="V33" s="8"/>
      <c r="W33" s="3"/>
      <c r="X33" s="3"/>
      <c r="Y33" s="3"/>
      <c r="Z33" s="8"/>
    </row>
    <row r="34" spans="1:26" s="24" customFormat="1" collapsed="1" x14ac:dyDescent="0.25">
      <c r="A34" s="11"/>
      <c r="B34" s="29" t="s">
        <v>256</v>
      </c>
      <c r="C34" s="11"/>
      <c r="D34" s="4">
        <f>SUM(OSRRefD16x_0)</f>
        <v>0</v>
      </c>
      <c r="E34" s="4"/>
      <c r="F34" s="13">
        <f t="shared" ref="F34:F39" si="13">IF(D$12=0,0,D34/D$12)</f>
        <v>0</v>
      </c>
      <c r="G34" s="4"/>
      <c r="H34" s="4">
        <f>SUM(OSRRefH16x_0)</f>
        <v>-898.07999999999981</v>
      </c>
      <c r="I34" s="4"/>
      <c r="J34" s="13">
        <f t="shared" ref="J34:J39" si="14">IF(H$12=0,0,H34/H$12)</f>
        <v>-9.0572065948340191E-2</v>
      </c>
      <c r="K34" s="4"/>
      <c r="L34" s="4">
        <f t="shared" ref="L34:L39" si="15">+D34-H34</f>
        <v>898.07999999999981</v>
      </c>
      <c r="M34" s="4"/>
      <c r="N34" s="13">
        <f t="shared" ref="N34:N39" si="16">IF(H34=0,0,L34/H34)</f>
        <v>-1</v>
      </c>
      <c r="O34" s="11"/>
      <c r="P34" s="4">
        <f>SUM(OSRRefP16x_0)</f>
        <v>0</v>
      </c>
      <c r="Q34" s="4"/>
      <c r="R34" s="13">
        <f t="shared" ref="R34:R39" si="17">IF(P$12=0,0,P34/P$12)</f>
        <v>0</v>
      </c>
      <c r="S34" s="4"/>
      <c r="T34" s="4">
        <f>SUM(OSRRefT16x_0)</f>
        <v>13729.05</v>
      </c>
      <c r="U34" s="4"/>
      <c r="V34" s="13">
        <f t="shared" ref="V34:V39" si="18">IF(T$12=0,0,T34/T$12)</f>
        <v>2.6489258547341993E-2</v>
      </c>
      <c r="W34" s="4"/>
      <c r="X34" s="4">
        <f t="shared" ref="X34:X39" si="19">+P34-T34</f>
        <v>-13729.05</v>
      </c>
      <c r="Y34" s="4"/>
      <c r="Z34" s="13">
        <f t="shared" ref="Z34:Z39" si="20">IF(T34=0,0,X34/T34)</f>
        <v>-1</v>
      </c>
    </row>
    <row r="35" spans="1:26" s="23" customFormat="1" hidden="1" outlineLevel="1" x14ac:dyDescent="0.25">
      <c r="A35" s="44"/>
      <c r="B35" s="10" t="str">
        <f>CONCATENATE("          ", "5092", " - ", "PURCHASES @ COST-GRAD MERCH")</f>
        <v xml:space="preserve">          5092 - PURCHASES @ COST-GRAD MERCH</v>
      </c>
      <c r="C35" s="10"/>
      <c r="D35" s="2"/>
      <c r="E35" s="2"/>
      <c r="F35" s="19">
        <f t="shared" si="13"/>
        <v>0</v>
      </c>
      <c r="G35" s="2"/>
      <c r="H35" s="2">
        <v>9354.1</v>
      </c>
      <c r="I35" s="2"/>
      <c r="J35" s="19">
        <f t="shared" si="14"/>
        <v>0.94336825459577001</v>
      </c>
      <c r="K35" s="2"/>
      <c r="L35" s="2">
        <f t="shared" si="15"/>
        <v>-9354.1</v>
      </c>
      <c r="M35" s="2"/>
      <c r="N35" s="19">
        <f t="shared" si="16"/>
        <v>-1</v>
      </c>
      <c r="O35" s="10"/>
      <c r="P35" s="2">
        <v>0</v>
      </c>
      <c r="Q35" s="2"/>
      <c r="R35" s="19">
        <f t="shared" si="17"/>
        <v>0</v>
      </c>
      <c r="S35" s="2"/>
      <c r="T35" s="2">
        <v>13900.33</v>
      </c>
      <c r="U35" s="2"/>
      <c r="V35" s="19">
        <f t="shared" si="18"/>
        <v>2.6819731537387828E-2</v>
      </c>
      <c r="W35" s="2"/>
      <c r="X35" s="2">
        <f t="shared" si="19"/>
        <v>-13900.33</v>
      </c>
      <c r="Y35" s="2"/>
      <c r="Z35" s="19">
        <f t="shared" si="20"/>
        <v>-1</v>
      </c>
    </row>
    <row r="36" spans="1:26" s="23" customFormat="1" hidden="1" outlineLevel="1" x14ac:dyDescent="0.25">
      <c r="A36" s="44"/>
      <c r="B36" s="10" t="str">
        <f>CONCATENATE("          ", "5095", " - ", "PURCHASES @ COST-CUSTOMER SERV")</f>
        <v xml:space="preserve">          5095 - PURCHASES @ COST-CUSTOMER SERV</v>
      </c>
      <c r="C36" s="10"/>
      <c r="D36" s="2"/>
      <c r="E36" s="2"/>
      <c r="F36" s="19">
        <f t="shared" si="13"/>
        <v>0</v>
      </c>
      <c r="G36" s="2"/>
      <c r="H36" s="2">
        <v>18.989999999999998</v>
      </c>
      <c r="I36" s="2"/>
      <c r="J36" s="19">
        <f t="shared" si="14"/>
        <v>1.9151562581941257E-3</v>
      </c>
      <c r="K36" s="2"/>
      <c r="L36" s="2">
        <f t="shared" si="15"/>
        <v>-18.989999999999998</v>
      </c>
      <c r="M36" s="2"/>
      <c r="N36" s="19">
        <f t="shared" si="16"/>
        <v>-1</v>
      </c>
      <c r="O36" s="10"/>
      <c r="P36" s="2"/>
      <c r="Q36" s="2"/>
      <c r="R36" s="19">
        <f t="shared" si="17"/>
        <v>0</v>
      </c>
      <c r="S36" s="2"/>
      <c r="T36" s="2">
        <v>30.84</v>
      </c>
      <c r="U36" s="2"/>
      <c r="V36" s="19">
        <f t="shared" si="18"/>
        <v>5.9503660748560686E-5</v>
      </c>
      <c r="W36" s="2"/>
      <c r="X36" s="2">
        <f t="shared" si="19"/>
        <v>-30.84</v>
      </c>
      <c r="Y36" s="2"/>
      <c r="Z36" s="19">
        <f t="shared" si="20"/>
        <v>-1</v>
      </c>
    </row>
    <row r="37" spans="1:26" s="23" customFormat="1" hidden="1" outlineLevel="1" x14ac:dyDescent="0.25">
      <c r="A37" s="44"/>
      <c r="B37" s="10" t="str">
        <f>CONCATENATE("          ", "5200", " - ", "PURCHASES OFFSET")</f>
        <v xml:space="preserve">          5200 - PURCHASES OFFSET</v>
      </c>
      <c r="C37" s="10"/>
      <c r="D37" s="2"/>
      <c r="E37" s="2"/>
      <c r="F37" s="19">
        <f t="shared" si="13"/>
        <v>0</v>
      </c>
      <c r="G37" s="2"/>
      <c r="H37" s="2">
        <v>-9384</v>
      </c>
      <c r="I37" s="2"/>
      <c r="J37" s="19">
        <f t="shared" si="14"/>
        <v>-0.94638369283273704</v>
      </c>
      <c r="K37" s="2"/>
      <c r="L37" s="2">
        <f t="shared" si="15"/>
        <v>9384</v>
      </c>
      <c r="M37" s="2"/>
      <c r="N37" s="19">
        <f t="shared" si="16"/>
        <v>-1</v>
      </c>
      <c r="O37" s="10"/>
      <c r="P37" s="2"/>
      <c r="Q37" s="2"/>
      <c r="R37" s="19">
        <f t="shared" si="17"/>
        <v>0</v>
      </c>
      <c r="S37" s="2"/>
      <c r="T37" s="2">
        <v>-14103</v>
      </c>
      <c r="U37" s="2"/>
      <c r="V37" s="19">
        <f t="shared" si="18"/>
        <v>-2.7210769375387529E-2</v>
      </c>
      <c r="W37" s="2"/>
      <c r="X37" s="2">
        <f t="shared" si="19"/>
        <v>14103</v>
      </c>
      <c r="Y37" s="2"/>
      <c r="Z37" s="19">
        <f t="shared" si="20"/>
        <v>-1</v>
      </c>
    </row>
    <row r="38" spans="1:26" s="23" customFormat="1" hidden="1" outlineLevel="1" x14ac:dyDescent="0.25">
      <c r="A38" s="44"/>
      <c r="B38" s="10" t="str">
        <f>CONCATENATE("          ", "5300", " - ", "COG$ OFFSET")</f>
        <v xml:space="preserve">          5300 - COG$ OFFSET</v>
      </c>
      <c r="C38" s="10"/>
      <c r="D38" s="2"/>
      <c r="E38" s="2"/>
      <c r="F38" s="19">
        <f t="shared" si="13"/>
        <v>0</v>
      </c>
      <c r="G38" s="2"/>
      <c r="H38" s="2">
        <v>-898</v>
      </c>
      <c r="I38" s="2"/>
      <c r="J38" s="19">
        <f t="shared" si="14"/>
        <v>-9.0563997886167716E-2</v>
      </c>
      <c r="K38" s="2"/>
      <c r="L38" s="2">
        <f t="shared" si="15"/>
        <v>898</v>
      </c>
      <c r="M38" s="2"/>
      <c r="N38" s="19">
        <f t="shared" si="16"/>
        <v>-1</v>
      </c>
      <c r="O38" s="10"/>
      <c r="P38" s="2"/>
      <c r="Q38" s="2"/>
      <c r="R38" s="19">
        <f t="shared" si="17"/>
        <v>0</v>
      </c>
      <c r="S38" s="2"/>
      <c r="T38" s="2">
        <v>13730</v>
      </c>
      <c r="U38" s="2"/>
      <c r="V38" s="19">
        <f t="shared" si="18"/>
        <v>2.6491091507060256E-2</v>
      </c>
      <c r="W38" s="2"/>
      <c r="X38" s="2">
        <f t="shared" si="19"/>
        <v>-13730</v>
      </c>
      <c r="Y38" s="2"/>
      <c r="Z38" s="19">
        <f t="shared" si="20"/>
        <v>-1</v>
      </c>
    </row>
    <row r="39" spans="1:26" s="23" customFormat="1" hidden="1" outlineLevel="1" x14ac:dyDescent="0.25">
      <c r="A39" s="44"/>
      <c r="B39" s="10" t="str">
        <f>CONCATENATE("          ", "5592", " - ", "FREIGHT-IN-GRAD MERCH")</f>
        <v xml:space="preserve">          5592 - FREIGHT-IN-GRAD MERCH</v>
      </c>
      <c r="C39" s="10"/>
      <c r="D39" s="2"/>
      <c r="E39" s="2"/>
      <c r="F39" s="19">
        <f t="shared" si="13"/>
        <v>0</v>
      </c>
      <c r="G39" s="2"/>
      <c r="H39" s="2">
        <v>10.83</v>
      </c>
      <c r="I39" s="2"/>
      <c r="J39" s="19">
        <f t="shared" si="14"/>
        <v>1.0922139166004415E-3</v>
      </c>
      <c r="K39" s="2"/>
      <c r="L39" s="2">
        <f t="shared" si="15"/>
        <v>-10.83</v>
      </c>
      <c r="M39" s="2"/>
      <c r="N39" s="19">
        <f t="shared" si="16"/>
        <v>-1</v>
      </c>
      <c r="O39" s="10"/>
      <c r="P39" s="2">
        <v>0</v>
      </c>
      <c r="Q39" s="2"/>
      <c r="R39" s="19">
        <f t="shared" si="17"/>
        <v>0</v>
      </c>
      <c r="S39" s="2"/>
      <c r="T39" s="2">
        <v>170.88</v>
      </c>
      <c r="U39" s="2"/>
      <c r="V39" s="19">
        <f t="shared" si="18"/>
        <v>3.2970121753288098E-4</v>
      </c>
      <c r="W39" s="2"/>
      <c r="X39" s="2">
        <f t="shared" si="19"/>
        <v>-170.88</v>
      </c>
      <c r="Y39" s="2"/>
      <c r="Z39" s="19">
        <f t="shared" si="20"/>
        <v>-1</v>
      </c>
    </row>
    <row r="40" spans="1:26" x14ac:dyDescent="0.25">
      <c r="A40" s="9"/>
      <c r="B40" s="11"/>
      <c r="C40" s="11"/>
      <c r="D40" s="3"/>
      <c r="E40" s="3"/>
      <c r="F40" s="8"/>
      <c r="G40" s="3"/>
      <c r="H40" s="3"/>
      <c r="I40" s="3"/>
      <c r="J40" s="8"/>
      <c r="K40" s="3"/>
      <c r="L40" s="3"/>
      <c r="M40" s="3"/>
      <c r="N40" s="8"/>
      <c r="O40" s="11"/>
      <c r="P40" s="3"/>
      <c r="Q40" s="3"/>
      <c r="R40" s="8"/>
      <c r="S40" s="3"/>
      <c r="T40" s="3"/>
      <c r="U40" s="3"/>
      <c r="V40" s="8"/>
      <c r="W40" s="3"/>
      <c r="X40" s="3"/>
      <c r="Y40" s="3"/>
      <c r="Z40" s="8"/>
    </row>
    <row r="41" spans="1:26" s="24" customFormat="1" x14ac:dyDescent="0.25">
      <c r="A41" s="11"/>
      <c r="B41" s="28" t="s">
        <v>107</v>
      </c>
      <c r="C41" s="28"/>
      <c r="D41" s="21">
        <f>D12-D34</f>
        <v>4812.4399999999996</v>
      </c>
      <c r="E41" s="14"/>
      <c r="F41" s="22">
        <f>IF(D$12=0,0,D41/D$12)</f>
        <v>1</v>
      </c>
      <c r="G41" s="14"/>
      <c r="H41" s="21">
        <f>H12-H34</f>
        <v>10813.72</v>
      </c>
      <c r="I41" s="14"/>
      <c r="J41" s="22">
        <f>IF(H$12=0,0,H41/H$12)</f>
        <v>1.0905720659483402</v>
      </c>
      <c r="K41" s="15"/>
      <c r="L41" s="21">
        <f>+D41-H41</f>
        <v>-6001.28</v>
      </c>
      <c r="M41" s="15"/>
      <c r="N41" s="22">
        <f>IF(H41=0,0,L41/H41)</f>
        <v>-0.55496905782653894</v>
      </c>
      <c r="O41" s="29"/>
      <c r="P41" s="21">
        <f>P12-P34</f>
        <v>132456.04999999999</v>
      </c>
      <c r="Q41" s="14"/>
      <c r="R41" s="22">
        <f>IF(P$12=0,0,P41/P$12)</f>
        <v>1</v>
      </c>
      <c r="S41" s="14"/>
      <c r="T41" s="21">
        <f>T12-T34</f>
        <v>504558.38999999996</v>
      </c>
      <c r="U41" s="14"/>
      <c r="V41" s="22">
        <f>IF(T$12=0,0,T41/T$12)</f>
        <v>0.97351074145265803</v>
      </c>
      <c r="W41" s="15"/>
      <c r="X41" s="21">
        <f>+P41-T41</f>
        <v>-372102.33999999997</v>
      </c>
      <c r="Y41" s="15"/>
      <c r="Z41" s="22">
        <f>IF(T41=0,0,X41/T41)</f>
        <v>-0.73748122590925502</v>
      </c>
    </row>
    <row r="42" spans="1:26" x14ac:dyDescent="0.25">
      <c r="A42" s="9"/>
      <c r="B42" s="11"/>
      <c r="C42" s="9"/>
      <c r="D42" s="1"/>
      <c r="E42" s="1"/>
      <c r="F42" s="5"/>
      <c r="G42" s="1"/>
      <c r="H42" s="1"/>
      <c r="I42" s="1"/>
      <c r="J42" s="5"/>
      <c r="K42" s="1"/>
      <c r="L42" s="1"/>
      <c r="M42" s="1"/>
      <c r="N42" s="5"/>
      <c r="O42" s="37"/>
      <c r="P42" s="1"/>
      <c r="Q42" s="1"/>
      <c r="R42" s="5"/>
      <c r="S42" s="1"/>
      <c r="T42" s="1"/>
      <c r="U42" s="1"/>
      <c r="V42" s="5"/>
      <c r="W42" s="1"/>
      <c r="X42" s="1"/>
      <c r="Y42" s="1"/>
      <c r="Z42" s="5"/>
    </row>
    <row r="43" spans="1:26" s="24" customFormat="1" x14ac:dyDescent="0.25">
      <c r="A43" s="11"/>
      <c r="B43" s="29" t="s">
        <v>294</v>
      </c>
      <c r="C43" s="11"/>
      <c r="D43" s="20">
        <f>SUM(OSRRefD22x_0)</f>
        <v>32446.999999999996</v>
      </c>
      <c r="E43" s="20"/>
      <c r="F43" s="32">
        <f t="shared" ref="F43:F52" si="21">IF(D$12=0,0,D43/D$12)</f>
        <v>6.7423178263001722</v>
      </c>
      <c r="G43" s="20"/>
      <c r="H43" s="20">
        <f>SUM(OSRRefH22x_0)</f>
        <v>51826.54</v>
      </c>
      <c r="I43" s="20"/>
      <c r="J43" s="32">
        <f t="shared" ref="J43:J52" si="22">IF(H$12=0,0,H43/H$12)</f>
        <v>5.2267468363111211</v>
      </c>
      <c r="K43" s="4"/>
      <c r="L43" s="20">
        <f t="shared" ref="L43:L52" si="23">+D43-H43</f>
        <v>-19379.540000000005</v>
      </c>
      <c r="M43" s="4"/>
      <c r="N43" s="32">
        <f t="shared" ref="N43:N52" si="24">IF(H43=0,0,L43/H43)</f>
        <v>-0.37393080842363785</v>
      </c>
      <c r="O43" s="11"/>
      <c r="P43" s="20">
        <f>SUM(OSRRefP22x_0)</f>
        <v>318006.93</v>
      </c>
      <c r="Q43" s="20"/>
      <c r="R43" s="32">
        <f t="shared" ref="R43:R52" si="25">IF(P$12=0,0,P43/P$12)</f>
        <v>2.4008486588570324</v>
      </c>
      <c r="S43" s="20"/>
      <c r="T43" s="20">
        <f>SUM(OSRRefT22x_0)</f>
        <v>529919.16999999993</v>
      </c>
      <c r="U43" s="20"/>
      <c r="V43" s="32">
        <f t="shared" ref="V43:V52" si="26">IF(T$12=0,0,T43/T$12)</f>
        <v>1.0224426237301834</v>
      </c>
      <c r="W43" s="4"/>
      <c r="X43" s="20">
        <f t="shared" ref="X43:X52" si="27">+P43-T43</f>
        <v>-211912.23999999993</v>
      </c>
      <c r="Y43" s="4"/>
      <c r="Z43" s="32">
        <f t="shared" ref="Z43:Z52" si="28">IF(T43=0,0,X43/T43)</f>
        <v>-0.39989540291588238</v>
      </c>
    </row>
    <row r="44" spans="1:26" s="27" customFormat="1" outlineLevel="1" collapsed="1" x14ac:dyDescent="0.25">
      <c r="A44" s="26"/>
      <c r="B44" s="12" t="str">
        <f>CONCATENATE("     ","*Benefits                                         ")</f>
        <v xml:space="preserve">     *Benefits                                         </v>
      </c>
      <c r="C44" s="12"/>
      <c r="D44" s="1">
        <f>SUM(OSRRefD22_0x_0)</f>
        <v>9813.18</v>
      </c>
      <c r="E44" s="1"/>
      <c r="F44" s="5">
        <f t="shared" si="21"/>
        <v>2.0391277605538982</v>
      </c>
      <c r="G44" s="1"/>
      <c r="H44" s="1">
        <f>SUM(OSRRefH22_0x_0)</f>
        <v>6119.46</v>
      </c>
      <c r="I44" s="1"/>
      <c r="J44" s="5">
        <f t="shared" si="22"/>
        <v>0.61715229677559902</v>
      </c>
      <c r="K44" s="1"/>
      <c r="L44" s="1">
        <f t="shared" si="23"/>
        <v>3693.7200000000003</v>
      </c>
      <c r="M44" s="1"/>
      <c r="N44" s="5">
        <f t="shared" si="24"/>
        <v>0.60360227863242844</v>
      </c>
      <c r="O44" s="12"/>
      <c r="P44" s="1">
        <f>SUM(OSRRefP22_0x_0)</f>
        <v>113804.90000000001</v>
      </c>
      <c r="Q44" s="1"/>
      <c r="R44" s="5">
        <f t="shared" si="25"/>
        <v>0.85918989732820827</v>
      </c>
      <c r="S44" s="1"/>
      <c r="T44" s="1">
        <f>SUM(OSRRefT22_0x_0)</f>
        <v>95960.94</v>
      </c>
      <c r="U44" s="1"/>
      <c r="V44" s="5">
        <f t="shared" si="26"/>
        <v>0.18515003952247042</v>
      </c>
      <c r="W44" s="1"/>
      <c r="X44" s="1">
        <f t="shared" si="27"/>
        <v>17843.960000000006</v>
      </c>
      <c r="Y44" s="1"/>
      <c r="Z44" s="5">
        <f t="shared" si="28"/>
        <v>0.18595024183798123</v>
      </c>
    </row>
    <row r="45" spans="1:26" s="23" customFormat="1" hidden="1" outlineLevel="2" x14ac:dyDescent="0.25">
      <c r="A45" s="25"/>
      <c r="B45" s="10" t="str">
        <f>CONCATENATE("          ", "6111", " - ", "F.I.C.A.")</f>
        <v xml:space="preserve">          6111 - F.I.C.A.</v>
      </c>
      <c r="C45" s="10"/>
      <c r="D45" s="6">
        <v>1244.99</v>
      </c>
      <c r="E45" s="2"/>
      <c r="F45" s="7">
        <f t="shared" si="21"/>
        <v>0.25870244616036775</v>
      </c>
      <c r="G45" s="2"/>
      <c r="H45" s="6">
        <v>870.7</v>
      </c>
      <c r="I45" s="2"/>
      <c r="J45" s="7">
        <f t="shared" si="22"/>
        <v>8.7810771669806498E-2</v>
      </c>
      <c r="K45" s="2"/>
      <c r="L45" s="6">
        <f t="shared" si="23"/>
        <v>374.28999999999996</v>
      </c>
      <c r="M45" s="2"/>
      <c r="N45" s="7">
        <f t="shared" si="24"/>
        <v>0.4298725163661421</v>
      </c>
      <c r="O45" s="10"/>
      <c r="P45" s="6">
        <v>15776.77</v>
      </c>
      <c r="Q45" s="2"/>
      <c r="R45" s="7">
        <f t="shared" si="25"/>
        <v>0.11910947065083098</v>
      </c>
      <c r="S45" s="2"/>
      <c r="T45" s="6">
        <v>14893.73</v>
      </c>
      <c r="U45" s="2"/>
      <c r="V45" s="7">
        <f t="shared" si="26"/>
        <v>2.8736428573302879E-2</v>
      </c>
      <c r="W45" s="2"/>
      <c r="X45" s="6">
        <f t="shared" si="27"/>
        <v>883.04000000000087</v>
      </c>
      <c r="Y45" s="2"/>
      <c r="Z45" s="7">
        <f t="shared" si="28"/>
        <v>5.9289378819140731E-2</v>
      </c>
    </row>
    <row r="46" spans="1:26" s="23" customFormat="1" hidden="1" outlineLevel="2" x14ac:dyDescent="0.25">
      <c r="A46" s="25"/>
      <c r="B46" s="10" t="str">
        <f>CONCATENATE("          ", "6112", " - ", "COMPENSATION INSURANCE")</f>
        <v xml:space="preserve">          6112 - COMPENSATION INSURANCE</v>
      </c>
      <c r="C46" s="10"/>
      <c r="D46" s="6">
        <v>319.12</v>
      </c>
      <c r="E46" s="2"/>
      <c r="F46" s="7">
        <f t="shared" si="21"/>
        <v>6.63114760911305E-2</v>
      </c>
      <c r="G46" s="2"/>
      <c r="H46" s="6">
        <v>216.26</v>
      </c>
      <c r="I46" s="2"/>
      <c r="J46" s="7">
        <f t="shared" si="22"/>
        <v>2.1809989067775756E-2</v>
      </c>
      <c r="K46" s="2"/>
      <c r="L46" s="6">
        <f t="shared" si="23"/>
        <v>102.86000000000001</v>
      </c>
      <c r="M46" s="2"/>
      <c r="N46" s="7">
        <f t="shared" si="24"/>
        <v>0.47563118468510135</v>
      </c>
      <c r="O46" s="10"/>
      <c r="P46" s="6">
        <v>4131.79</v>
      </c>
      <c r="Q46" s="2"/>
      <c r="R46" s="7">
        <f t="shared" si="25"/>
        <v>3.1193667635415673E-2</v>
      </c>
      <c r="S46" s="2"/>
      <c r="T46" s="6">
        <v>2657.11</v>
      </c>
      <c r="U46" s="2"/>
      <c r="V46" s="7">
        <f t="shared" si="26"/>
        <v>5.126711154721404E-3</v>
      </c>
      <c r="W46" s="2"/>
      <c r="X46" s="6">
        <f t="shared" si="27"/>
        <v>1474.6799999999998</v>
      </c>
      <c r="Y46" s="2"/>
      <c r="Z46" s="7">
        <f t="shared" si="28"/>
        <v>0.55499395960272613</v>
      </c>
    </row>
    <row r="47" spans="1:26" s="23" customFormat="1" hidden="1" outlineLevel="2" x14ac:dyDescent="0.25">
      <c r="A47" s="25"/>
      <c r="B47" s="10" t="str">
        <f>CONCATENATE("          ", "6113", " - ", "GROUP INSURANCE")</f>
        <v xml:space="preserve">          6113 - GROUP INSURANCE</v>
      </c>
      <c r="C47" s="10"/>
      <c r="D47" s="6">
        <v>3421.48</v>
      </c>
      <c r="E47" s="2"/>
      <c r="F47" s="7">
        <f t="shared" si="21"/>
        <v>0.71096574710541849</v>
      </c>
      <c r="G47" s="2"/>
      <c r="H47" s="6">
        <v>2724.48</v>
      </c>
      <c r="I47" s="2"/>
      <c r="J47" s="7">
        <f t="shared" si="22"/>
        <v>0.27476592534622074</v>
      </c>
      <c r="K47" s="2"/>
      <c r="L47" s="6">
        <f t="shared" si="23"/>
        <v>697</v>
      </c>
      <c r="M47" s="2"/>
      <c r="N47" s="7">
        <f t="shared" si="24"/>
        <v>0.25582863518910032</v>
      </c>
      <c r="O47" s="10"/>
      <c r="P47" s="6">
        <v>42900.21</v>
      </c>
      <c r="Q47" s="2"/>
      <c r="R47" s="7">
        <f t="shared" si="25"/>
        <v>0.3238826010589928</v>
      </c>
      <c r="S47" s="2"/>
      <c r="T47" s="6">
        <v>35516.230000000003</v>
      </c>
      <c r="U47" s="2"/>
      <c r="V47" s="7">
        <f t="shared" si="26"/>
        <v>6.8526125194158682E-2</v>
      </c>
      <c r="W47" s="2"/>
      <c r="X47" s="6">
        <f t="shared" si="27"/>
        <v>7383.9799999999959</v>
      </c>
      <c r="Y47" s="2"/>
      <c r="Z47" s="7">
        <f t="shared" si="28"/>
        <v>0.20790438624820246</v>
      </c>
    </row>
    <row r="48" spans="1:26" s="23" customFormat="1" hidden="1" outlineLevel="2" x14ac:dyDescent="0.25">
      <c r="A48" s="25"/>
      <c r="B48" s="10" t="str">
        <f>CONCATENATE("          ", "6114", " - ", "STATE UNEMPLOYMENT INSURANCE")</f>
        <v xml:space="preserve">          6114 - STATE UNEMPLOYMENT INSURANCE</v>
      </c>
      <c r="C48" s="10"/>
      <c r="D48" s="6">
        <v>44.85</v>
      </c>
      <c r="E48" s="2"/>
      <c r="F48" s="7">
        <f t="shared" si="21"/>
        <v>9.3195967118551108E-3</v>
      </c>
      <c r="G48" s="2"/>
      <c r="H48" s="6">
        <v>-528.47</v>
      </c>
      <c r="I48" s="2"/>
      <c r="J48" s="7">
        <f t="shared" si="22"/>
        <v>-5.3296610203678235E-2</v>
      </c>
      <c r="K48" s="2"/>
      <c r="L48" s="6">
        <f t="shared" si="23"/>
        <v>573.32000000000005</v>
      </c>
      <c r="M48" s="2"/>
      <c r="N48" s="7">
        <f t="shared" si="24"/>
        <v>-1.0848676367627301</v>
      </c>
      <c r="O48" s="10"/>
      <c r="P48" s="6">
        <v>580.66999999999996</v>
      </c>
      <c r="Q48" s="2"/>
      <c r="R48" s="7">
        <f t="shared" si="25"/>
        <v>4.383869215486948E-3</v>
      </c>
      <c r="S48" s="2"/>
      <c r="T48" s="6">
        <v>0</v>
      </c>
      <c r="U48" s="2"/>
      <c r="V48" s="7">
        <f t="shared" si="26"/>
        <v>0</v>
      </c>
      <c r="W48" s="2"/>
      <c r="X48" s="6">
        <f t="shared" si="27"/>
        <v>580.66999999999996</v>
      </c>
      <c r="Y48" s="2"/>
      <c r="Z48" s="7">
        <f t="shared" si="28"/>
        <v>0</v>
      </c>
    </row>
    <row r="49" spans="1:26" s="23" customFormat="1" hidden="1" outlineLevel="2" x14ac:dyDescent="0.25">
      <c r="A49" s="25"/>
      <c r="B49" s="10" t="str">
        <f>CONCATENATE("          ", "6115", " - ", "P.E.R.S.")</f>
        <v xml:space="preserve">          6115 - P.E.R.S.</v>
      </c>
      <c r="C49" s="10"/>
      <c r="D49" s="6">
        <v>2421.6799999999998</v>
      </c>
      <c r="E49" s="2"/>
      <c r="F49" s="7">
        <f t="shared" si="21"/>
        <v>0.50321250758451019</v>
      </c>
      <c r="G49" s="2"/>
      <c r="H49" s="6">
        <v>1166.77</v>
      </c>
      <c r="I49" s="2"/>
      <c r="J49" s="7">
        <f t="shared" si="22"/>
        <v>0.1176696612624097</v>
      </c>
      <c r="K49" s="2"/>
      <c r="L49" s="6">
        <f t="shared" si="23"/>
        <v>1254.9099999999999</v>
      </c>
      <c r="M49" s="2"/>
      <c r="N49" s="7">
        <f t="shared" si="24"/>
        <v>1.0755418805762917</v>
      </c>
      <c r="O49" s="10"/>
      <c r="P49" s="6">
        <v>21347.57</v>
      </c>
      <c r="Q49" s="2"/>
      <c r="R49" s="7">
        <f t="shared" si="25"/>
        <v>0.1611671947034507</v>
      </c>
      <c r="S49" s="2"/>
      <c r="T49" s="6">
        <v>15553.42</v>
      </c>
      <c r="U49" s="2"/>
      <c r="V49" s="7">
        <f t="shared" si="26"/>
        <v>3.0009255095975317E-2</v>
      </c>
      <c r="W49" s="2"/>
      <c r="X49" s="6">
        <f t="shared" si="27"/>
        <v>5794.15</v>
      </c>
      <c r="Y49" s="2"/>
      <c r="Z49" s="7">
        <f t="shared" si="28"/>
        <v>0.37253221477977189</v>
      </c>
    </row>
    <row r="50" spans="1:26" s="23" customFormat="1" hidden="1" outlineLevel="2" x14ac:dyDescent="0.25">
      <c r="A50" s="25"/>
      <c r="B50" s="10" t="str">
        <f>CONCATENATE("          ", "6118", " - ", "VACATION")</f>
        <v xml:space="preserve">          6118 - VACATION</v>
      </c>
      <c r="C50" s="10"/>
      <c r="D50" s="6">
        <v>1216.0999999999999</v>
      </c>
      <c r="E50" s="2"/>
      <c r="F50" s="7">
        <f t="shared" si="21"/>
        <v>0.25269925443226304</v>
      </c>
      <c r="G50" s="2"/>
      <c r="H50" s="6">
        <v>1039.18</v>
      </c>
      <c r="I50" s="2"/>
      <c r="J50" s="7">
        <f t="shared" si="22"/>
        <v>0.10480211060506434</v>
      </c>
      <c r="K50" s="2"/>
      <c r="L50" s="6">
        <f t="shared" si="23"/>
        <v>176.91999999999985</v>
      </c>
      <c r="M50" s="2"/>
      <c r="N50" s="7">
        <f t="shared" si="24"/>
        <v>0.17024961989260748</v>
      </c>
      <c r="O50" s="10"/>
      <c r="P50" s="6">
        <v>15451.76</v>
      </c>
      <c r="Q50" s="2"/>
      <c r="R50" s="7">
        <f t="shared" si="25"/>
        <v>0.11665575109630705</v>
      </c>
      <c r="S50" s="2"/>
      <c r="T50" s="6">
        <v>15532.1</v>
      </c>
      <c r="U50" s="2"/>
      <c r="V50" s="7">
        <f t="shared" si="26"/>
        <v>2.9968119621035003E-2</v>
      </c>
      <c r="W50" s="2"/>
      <c r="X50" s="6">
        <f t="shared" si="27"/>
        <v>-80.340000000000146</v>
      </c>
      <c r="Y50" s="2"/>
      <c r="Z50" s="7">
        <f t="shared" si="28"/>
        <v>-5.1725136974395056E-3</v>
      </c>
    </row>
    <row r="51" spans="1:26" s="23" customFormat="1" hidden="1" outlineLevel="2" x14ac:dyDescent="0.25">
      <c r="A51" s="25"/>
      <c r="B51" s="10" t="str">
        <f>CONCATENATE("          ", "6119", " - ", "SICK LEAVE")</f>
        <v xml:space="preserve">          6119 - SICK LEAVE</v>
      </c>
      <c r="C51" s="10"/>
      <c r="D51" s="6">
        <v>738.5</v>
      </c>
      <c r="E51" s="2"/>
      <c r="F51" s="7">
        <f t="shared" si="21"/>
        <v>0.1534564586779264</v>
      </c>
      <c r="G51" s="2"/>
      <c r="H51" s="6">
        <v>526.54</v>
      </c>
      <c r="I51" s="2"/>
      <c r="J51" s="7">
        <f t="shared" si="22"/>
        <v>5.3101968203766975E-2</v>
      </c>
      <c r="K51" s="2"/>
      <c r="L51" s="6">
        <f t="shared" si="23"/>
        <v>211.96000000000004</v>
      </c>
      <c r="M51" s="2"/>
      <c r="N51" s="7">
        <f t="shared" si="24"/>
        <v>0.40255251262961989</v>
      </c>
      <c r="O51" s="10"/>
      <c r="P51" s="6">
        <v>9494.52</v>
      </c>
      <c r="Q51" s="2"/>
      <c r="R51" s="7">
        <f t="shared" si="25"/>
        <v>7.1680531013872159E-2</v>
      </c>
      <c r="S51" s="2"/>
      <c r="T51" s="6">
        <v>9221.84</v>
      </c>
      <c r="U51" s="2"/>
      <c r="V51" s="7">
        <f t="shared" si="26"/>
        <v>1.7792906577091663E-2</v>
      </c>
      <c r="W51" s="2"/>
      <c r="X51" s="6">
        <f t="shared" si="27"/>
        <v>272.68000000000029</v>
      </c>
      <c r="Y51" s="2"/>
      <c r="Z51" s="7">
        <f t="shared" si="28"/>
        <v>2.9568936351096992E-2</v>
      </c>
    </row>
    <row r="52" spans="1:26" s="23" customFormat="1" hidden="1" outlineLevel="2" x14ac:dyDescent="0.25">
      <c r="A52" s="25"/>
      <c r="B52" s="10" t="str">
        <f>CONCATENATE("          ", "6156", " - ", "EMPLOYEE MEALS")</f>
        <v xml:space="preserve">          6156 - EMPLOYEE MEALS</v>
      </c>
      <c r="C52" s="10"/>
      <c r="D52" s="6">
        <v>406.46</v>
      </c>
      <c r="E52" s="2"/>
      <c r="F52" s="7">
        <f t="shared" si="21"/>
        <v>8.4460273790426477E-2</v>
      </c>
      <c r="G52" s="2"/>
      <c r="H52" s="6">
        <v>104</v>
      </c>
      <c r="I52" s="2"/>
      <c r="J52" s="7">
        <f t="shared" si="22"/>
        <v>1.0488480824233232E-2</v>
      </c>
      <c r="K52" s="2"/>
      <c r="L52" s="6">
        <f t="shared" si="23"/>
        <v>302.45999999999998</v>
      </c>
      <c r="M52" s="2"/>
      <c r="N52" s="7">
        <f t="shared" si="24"/>
        <v>2.9082692307692306</v>
      </c>
      <c r="O52" s="10"/>
      <c r="P52" s="6">
        <v>4121.6099999999997</v>
      </c>
      <c r="Q52" s="2"/>
      <c r="R52" s="7">
        <f t="shared" si="25"/>
        <v>3.1116811953851863E-2</v>
      </c>
      <c r="S52" s="2"/>
      <c r="T52" s="6">
        <v>2586.5100000000002</v>
      </c>
      <c r="U52" s="2"/>
      <c r="V52" s="7">
        <f t="shared" si="26"/>
        <v>4.9904933061854645E-3</v>
      </c>
      <c r="W52" s="2"/>
      <c r="X52" s="6">
        <f t="shared" si="27"/>
        <v>1535.0999999999995</v>
      </c>
      <c r="Y52" s="2"/>
      <c r="Z52" s="7">
        <f t="shared" si="28"/>
        <v>0.59350244151385434</v>
      </c>
    </row>
    <row r="53" spans="1:26" s="27" customFormat="1" outlineLevel="1" collapsed="1" x14ac:dyDescent="0.25">
      <c r="A53" s="26"/>
      <c r="B53" s="12" t="str">
        <f>CONCATENATE("     ","*Payroll                                          ")</f>
        <v xml:space="preserve">     *Payroll                                          </v>
      </c>
      <c r="C53" s="12"/>
      <c r="D53" s="1">
        <f>SUM(OSRRefD22_1x_0)</f>
        <v>14325.42</v>
      </c>
      <c r="E53" s="1"/>
      <c r="F53" s="5">
        <f t="shared" ref="F53:F58" si="29">IF(D$12=0,0,D53/D$12)</f>
        <v>2.9767477620500205</v>
      </c>
      <c r="G53" s="1"/>
      <c r="H53" s="1">
        <f>SUM(OSRRefH22_1x_0)</f>
        <v>9110.02</v>
      </c>
      <c r="I53" s="1"/>
      <c r="J53" s="5">
        <f t="shared" ref="J53:J58" si="30">IF(H$12=0,0,H53/H$12)</f>
        <v>0.91875259690751188</v>
      </c>
      <c r="K53" s="1"/>
      <c r="L53" s="1">
        <f t="shared" ref="L53:L58" si="31">+D53-H53</f>
        <v>5215.3999999999996</v>
      </c>
      <c r="M53" s="1"/>
      <c r="N53" s="5">
        <f t="shared" ref="N53:N58" si="32">IF(H53=0,0,L53/H53)</f>
        <v>0.57249051044893418</v>
      </c>
      <c r="O53" s="12"/>
      <c r="P53" s="1">
        <f>SUM(OSRRefP22_1x_0)</f>
        <v>184511.34</v>
      </c>
      <c r="Q53" s="1"/>
      <c r="R53" s="5">
        <f t="shared" ref="R53:R58" si="33">IF(P$12=0,0,P53/P$12)</f>
        <v>1.3930004707221755</v>
      </c>
      <c r="S53" s="1"/>
      <c r="T53" s="1">
        <f>SUM(OSRRefT22_1x_0)</f>
        <v>187988.82</v>
      </c>
      <c r="U53" s="1"/>
      <c r="V53" s="5">
        <f t="shared" ref="V53:V58" si="34">IF(T$12=0,0,T53/T$12)</f>
        <v>0.36271151004546826</v>
      </c>
      <c r="W53" s="1"/>
      <c r="X53" s="1">
        <f t="shared" ref="X53:X58" si="35">+P53-T53</f>
        <v>-3477.4800000000105</v>
      </c>
      <c r="Y53" s="1"/>
      <c r="Z53" s="5">
        <f t="shared" ref="Z53:Z58" si="36">IF(T53=0,0,X53/T53)</f>
        <v>-1.8498334103060014E-2</v>
      </c>
    </row>
    <row r="54" spans="1:26" s="23" customFormat="1" hidden="1" outlineLevel="2" x14ac:dyDescent="0.25">
      <c r="A54" s="25"/>
      <c r="B54" s="10" t="str">
        <f>CONCATENATE("          ", "6002", " - ", "STAFF SALARIES")</f>
        <v xml:space="preserve">          6002 - STAFF SALARIES</v>
      </c>
      <c r="C54" s="10"/>
      <c r="D54" s="6">
        <v>13915.64</v>
      </c>
      <c r="E54" s="2"/>
      <c r="F54" s="7">
        <f t="shared" si="29"/>
        <v>2.8915976095286382</v>
      </c>
      <c r="G54" s="2"/>
      <c r="H54" s="6">
        <v>9110.02</v>
      </c>
      <c r="I54" s="2"/>
      <c r="J54" s="7">
        <f t="shared" si="30"/>
        <v>0.91875259690751188</v>
      </c>
      <c r="K54" s="2"/>
      <c r="L54" s="6">
        <f t="shared" si="31"/>
        <v>4805.619999999999</v>
      </c>
      <c r="M54" s="2"/>
      <c r="N54" s="7">
        <f t="shared" si="32"/>
        <v>0.52750927001257941</v>
      </c>
      <c r="O54" s="10"/>
      <c r="P54" s="6">
        <v>176389.94</v>
      </c>
      <c r="Q54" s="2"/>
      <c r="R54" s="7">
        <f t="shared" si="33"/>
        <v>1.3316865481040694</v>
      </c>
      <c r="S54" s="2"/>
      <c r="T54" s="6">
        <v>131327.66</v>
      </c>
      <c r="U54" s="2"/>
      <c r="V54" s="7">
        <f t="shared" si="34"/>
        <v>0.25338769544560064</v>
      </c>
      <c r="W54" s="2"/>
      <c r="X54" s="6">
        <f t="shared" si="35"/>
        <v>45062.28</v>
      </c>
      <c r="Y54" s="2"/>
      <c r="Z54" s="7">
        <f t="shared" si="36"/>
        <v>0.34312862956668838</v>
      </c>
    </row>
    <row r="55" spans="1:26" s="23" customFormat="1" hidden="1" outlineLevel="2" x14ac:dyDescent="0.25">
      <c r="A55" s="25"/>
      <c r="B55" s="10" t="str">
        <f>CONCATENATE("          ", "6004", " - ", "STAFF HOURLY")</f>
        <v xml:space="preserve">          6004 - STAFF HOURLY</v>
      </c>
      <c r="C55" s="10"/>
      <c r="D55" s="6"/>
      <c r="E55" s="2"/>
      <c r="F55" s="7">
        <f t="shared" si="29"/>
        <v>0</v>
      </c>
      <c r="G55" s="2"/>
      <c r="H55" s="6"/>
      <c r="I55" s="2"/>
      <c r="J55" s="7">
        <f t="shared" si="30"/>
        <v>0</v>
      </c>
      <c r="K55" s="2"/>
      <c r="L55" s="6">
        <f t="shared" si="31"/>
        <v>0</v>
      </c>
      <c r="M55" s="2"/>
      <c r="N55" s="7">
        <f t="shared" si="32"/>
        <v>0</v>
      </c>
      <c r="O55" s="10"/>
      <c r="P55" s="6"/>
      <c r="Q55" s="2"/>
      <c r="R55" s="7">
        <f t="shared" si="33"/>
        <v>0</v>
      </c>
      <c r="S55" s="2"/>
      <c r="T55" s="6">
        <v>491.67</v>
      </c>
      <c r="U55" s="2"/>
      <c r="V55" s="7">
        <f t="shared" si="34"/>
        <v>9.4864347860716062E-4</v>
      </c>
      <c r="W55" s="2"/>
      <c r="X55" s="6">
        <f t="shared" si="35"/>
        <v>-491.67</v>
      </c>
      <c r="Y55" s="2"/>
      <c r="Z55" s="7">
        <f t="shared" si="36"/>
        <v>-1</v>
      </c>
    </row>
    <row r="56" spans="1:26" s="23" customFormat="1" hidden="1" outlineLevel="2" x14ac:dyDescent="0.25">
      <c r="A56" s="25"/>
      <c r="B56" s="10" t="str">
        <f>CONCATENATE("          ", "6005", " - ", "TEMPORARY WAGES-HOURLY")</f>
        <v xml:space="preserve">          6005 - TEMPORARY WAGES-HOURLY</v>
      </c>
      <c r="C56" s="10"/>
      <c r="D56" s="6"/>
      <c r="E56" s="2"/>
      <c r="F56" s="7">
        <f t="shared" si="29"/>
        <v>0</v>
      </c>
      <c r="G56" s="2"/>
      <c r="H56" s="6"/>
      <c r="I56" s="2"/>
      <c r="J56" s="7">
        <f t="shared" si="30"/>
        <v>0</v>
      </c>
      <c r="K56" s="2"/>
      <c r="L56" s="6">
        <f t="shared" si="31"/>
        <v>0</v>
      </c>
      <c r="M56" s="2"/>
      <c r="N56" s="7">
        <f t="shared" si="32"/>
        <v>0</v>
      </c>
      <c r="O56" s="10"/>
      <c r="P56" s="6">
        <v>383.25</v>
      </c>
      <c r="Q56" s="2"/>
      <c r="R56" s="7">
        <f t="shared" si="33"/>
        <v>2.8934125696787731E-3</v>
      </c>
      <c r="S56" s="2"/>
      <c r="T56" s="6">
        <v>18251.97</v>
      </c>
      <c r="U56" s="2"/>
      <c r="V56" s="7">
        <f t="shared" si="34"/>
        <v>3.5215921883038501E-2</v>
      </c>
      <c r="W56" s="2"/>
      <c r="X56" s="6">
        <f t="shared" si="35"/>
        <v>-17868.72</v>
      </c>
      <c r="Y56" s="2"/>
      <c r="Z56" s="7">
        <f t="shared" si="36"/>
        <v>-0.97900226660464595</v>
      </c>
    </row>
    <row r="57" spans="1:26" s="23" customFormat="1" hidden="1" outlineLevel="2" x14ac:dyDescent="0.25">
      <c r="A57" s="25"/>
      <c r="B57" s="10" t="str">
        <f>CONCATENATE("          ", "6006", " - ", "TEMPORARY PART TIME")</f>
        <v xml:space="preserve">          6006 - TEMPORARY PART TIME</v>
      </c>
      <c r="C57" s="10"/>
      <c r="D57" s="6"/>
      <c r="E57" s="2"/>
      <c r="F57" s="7">
        <f t="shared" si="29"/>
        <v>0</v>
      </c>
      <c r="G57" s="2"/>
      <c r="H57" s="6"/>
      <c r="I57" s="2"/>
      <c r="J57" s="7">
        <f t="shared" si="30"/>
        <v>0</v>
      </c>
      <c r="K57" s="2"/>
      <c r="L57" s="6">
        <f t="shared" si="31"/>
        <v>0</v>
      </c>
      <c r="M57" s="2"/>
      <c r="N57" s="7">
        <f t="shared" si="32"/>
        <v>0</v>
      </c>
      <c r="O57" s="10"/>
      <c r="P57" s="6"/>
      <c r="Q57" s="2"/>
      <c r="R57" s="7">
        <f t="shared" si="33"/>
        <v>0</v>
      </c>
      <c r="S57" s="2"/>
      <c r="T57" s="6">
        <v>2571.56</v>
      </c>
      <c r="U57" s="2"/>
      <c r="V57" s="7">
        <f t="shared" si="34"/>
        <v>4.9616483085139019E-3</v>
      </c>
      <c r="W57" s="2"/>
      <c r="X57" s="6">
        <f t="shared" si="35"/>
        <v>-2571.56</v>
      </c>
      <c r="Y57" s="2"/>
      <c r="Z57" s="7">
        <f t="shared" si="36"/>
        <v>-1</v>
      </c>
    </row>
    <row r="58" spans="1:26" s="23" customFormat="1" hidden="1" outlineLevel="2" x14ac:dyDescent="0.25">
      <c r="A58" s="25"/>
      <c r="B58" s="10" t="str">
        <f>CONCATENATE("          ", "6007", " - ", "STUDENT HOURLY")</f>
        <v xml:space="preserve">          6007 - STUDENT HOURLY</v>
      </c>
      <c r="C58" s="10"/>
      <c r="D58" s="6">
        <v>409.78</v>
      </c>
      <c r="E58" s="2"/>
      <c r="F58" s="7">
        <f t="shared" si="29"/>
        <v>8.5150152521382083E-2</v>
      </c>
      <c r="G58" s="2"/>
      <c r="H58" s="6"/>
      <c r="I58" s="2"/>
      <c r="J58" s="7">
        <f t="shared" si="30"/>
        <v>0</v>
      </c>
      <c r="K58" s="2"/>
      <c r="L58" s="6">
        <f t="shared" si="31"/>
        <v>409.78</v>
      </c>
      <c r="M58" s="2"/>
      <c r="N58" s="7">
        <f t="shared" si="32"/>
        <v>0</v>
      </c>
      <c r="O58" s="10"/>
      <c r="P58" s="6">
        <v>7738.15</v>
      </c>
      <c r="Q58" s="2"/>
      <c r="R58" s="7">
        <f t="shared" si="33"/>
        <v>5.8420510048427389E-2</v>
      </c>
      <c r="S58" s="2"/>
      <c r="T58" s="6">
        <v>35345.96</v>
      </c>
      <c r="U58" s="2"/>
      <c r="V58" s="7">
        <f t="shared" si="34"/>
        <v>6.8197600929708044E-2</v>
      </c>
      <c r="W58" s="2"/>
      <c r="X58" s="6">
        <f t="shared" si="35"/>
        <v>-27607.809999999998</v>
      </c>
      <c r="Y58" s="2"/>
      <c r="Z58" s="7">
        <f t="shared" si="36"/>
        <v>-0.78107398978553699</v>
      </c>
    </row>
    <row r="59" spans="1:26" s="27" customFormat="1" outlineLevel="1" collapsed="1" x14ac:dyDescent="0.25">
      <c r="A59" s="26"/>
      <c r="B59" s="12" t="str">
        <f>CONCATENATE("     ","Advertising/Promo                                 ")</f>
        <v xml:space="preserve">     Advertising/Promo                                 </v>
      </c>
      <c r="C59" s="12"/>
      <c r="D59" s="1">
        <f>SUM(OSRRefD22_2x_0)</f>
        <v>0</v>
      </c>
      <c r="E59" s="1"/>
      <c r="F59" s="5">
        <f t="shared" ref="F59:F69" si="37">IF(D$12=0,0,D59/D$12)</f>
        <v>0</v>
      </c>
      <c r="G59" s="1"/>
      <c r="H59" s="1">
        <f>SUM(OSRRefH22_2x_0)</f>
        <v>0</v>
      </c>
      <c r="I59" s="1"/>
      <c r="J59" s="5">
        <f t="shared" ref="J59:J69" si="38">IF(H$12=0,0,H59/H$12)</f>
        <v>0</v>
      </c>
      <c r="K59" s="1"/>
      <c r="L59" s="1">
        <f t="shared" ref="L59:L69" si="39">+D59-H59</f>
        <v>0</v>
      </c>
      <c r="M59" s="1"/>
      <c r="N59" s="5">
        <f t="shared" ref="N59:N69" si="40">IF(H59=0,0,L59/H59)</f>
        <v>0</v>
      </c>
      <c r="O59" s="12"/>
      <c r="P59" s="1">
        <f>SUM(OSRRefP22_2x_0)</f>
        <v>0</v>
      </c>
      <c r="Q59" s="1"/>
      <c r="R59" s="5">
        <f t="shared" ref="R59:R69" si="41">IF(P$12=0,0,P59/P$12)</f>
        <v>0</v>
      </c>
      <c r="S59" s="1"/>
      <c r="T59" s="1">
        <f>SUM(OSRRefT22_2x_0)</f>
        <v>1915.77</v>
      </c>
      <c r="U59" s="1"/>
      <c r="V59" s="5">
        <f t="shared" ref="V59:V69" si="42">IF(T$12=0,0,T59/T$12)</f>
        <v>3.6963465678427404E-3</v>
      </c>
      <c r="W59" s="1"/>
      <c r="X59" s="1">
        <f t="shared" ref="X59:X69" si="43">+P59-T59</f>
        <v>-1915.77</v>
      </c>
      <c r="Y59" s="1"/>
      <c r="Z59" s="5">
        <f t="shared" ref="Z59:Z69" si="44">IF(T59=0,0,X59/T59)</f>
        <v>-1</v>
      </c>
    </row>
    <row r="60" spans="1:26" s="23" customFormat="1" hidden="1" outlineLevel="2" x14ac:dyDescent="0.25">
      <c r="A60" s="25"/>
      <c r="B60" s="10" t="str">
        <f>CONCATENATE("          ", "6362", " - ", "ADVERTISING EXPENSE")</f>
        <v xml:space="preserve">          6362 - ADVERTISING EXPENSE</v>
      </c>
      <c r="C60" s="10"/>
      <c r="D60" s="6"/>
      <c r="E60" s="2"/>
      <c r="F60" s="7">
        <f t="shared" si="37"/>
        <v>0</v>
      </c>
      <c r="G60" s="2"/>
      <c r="H60" s="6"/>
      <c r="I60" s="2"/>
      <c r="J60" s="7">
        <f t="shared" si="38"/>
        <v>0</v>
      </c>
      <c r="K60" s="2"/>
      <c r="L60" s="6">
        <f t="shared" si="39"/>
        <v>0</v>
      </c>
      <c r="M60" s="2"/>
      <c r="N60" s="7">
        <f t="shared" si="40"/>
        <v>0</v>
      </c>
      <c r="O60" s="10"/>
      <c r="P60" s="6"/>
      <c r="Q60" s="2"/>
      <c r="R60" s="7">
        <f t="shared" si="41"/>
        <v>0</v>
      </c>
      <c r="S60" s="2"/>
      <c r="T60" s="6">
        <v>1915.77</v>
      </c>
      <c r="U60" s="2"/>
      <c r="V60" s="7">
        <f t="shared" si="42"/>
        <v>3.6963465678427404E-3</v>
      </c>
      <c r="W60" s="2"/>
      <c r="X60" s="6">
        <f t="shared" si="43"/>
        <v>-1915.77</v>
      </c>
      <c r="Y60" s="2"/>
      <c r="Z60" s="7">
        <f t="shared" si="44"/>
        <v>-1</v>
      </c>
    </row>
    <row r="61" spans="1:26" s="27" customFormat="1" outlineLevel="1" collapsed="1" x14ac:dyDescent="0.25">
      <c r="A61" s="26"/>
      <c r="B61" s="12" t="str">
        <f>CONCATENATE("     ","Depreciation                                      ")</f>
        <v xml:space="preserve">     Depreciation                                      </v>
      </c>
      <c r="C61" s="12"/>
      <c r="D61" s="1">
        <f>SUM(OSRRefD22_3x_0)</f>
        <v>169.92</v>
      </c>
      <c r="E61" s="1"/>
      <c r="F61" s="5">
        <f t="shared" si="37"/>
        <v>3.5308492157824306E-2</v>
      </c>
      <c r="G61" s="1"/>
      <c r="H61" s="1">
        <f>SUM(OSRRefH22_3x_0)</f>
        <v>169.9</v>
      </c>
      <c r="I61" s="1"/>
      <c r="J61" s="5">
        <f t="shared" si="38"/>
        <v>1.7134547038819482E-2</v>
      </c>
      <c r="K61" s="1"/>
      <c r="L61" s="1">
        <f t="shared" si="39"/>
        <v>1.999999999998181E-2</v>
      </c>
      <c r="M61" s="1"/>
      <c r="N61" s="5">
        <f t="shared" si="40"/>
        <v>1.177163037079565E-4</v>
      </c>
      <c r="O61" s="12"/>
      <c r="P61" s="1">
        <f>SUM(OSRRefP22_3x_0)</f>
        <v>2038.6</v>
      </c>
      <c r="Q61" s="1"/>
      <c r="R61" s="5">
        <f t="shared" si="41"/>
        <v>1.5390765465224126E-2</v>
      </c>
      <c r="S61" s="1"/>
      <c r="T61" s="1">
        <f>SUM(OSRRefT22_3x_0)</f>
        <v>1189.18</v>
      </c>
      <c r="U61" s="1"/>
      <c r="V61" s="5">
        <f t="shared" si="42"/>
        <v>2.2944410923791637E-3</v>
      </c>
      <c r="W61" s="1"/>
      <c r="X61" s="1">
        <f t="shared" si="43"/>
        <v>849.41999999999985</v>
      </c>
      <c r="Y61" s="1"/>
      <c r="Z61" s="5">
        <f t="shared" si="44"/>
        <v>0.71429051951765066</v>
      </c>
    </row>
    <row r="62" spans="1:26" s="23" customFormat="1" hidden="1" outlineLevel="2" x14ac:dyDescent="0.25">
      <c r="A62" s="25"/>
      <c r="B62" s="10" t="str">
        <f>CONCATENATE("          ", "6322", " - ", "EQUIPMENT DEPRECIATION EXPENSE")</f>
        <v xml:space="preserve">          6322 - EQUIPMENT DEPRECIATION EXPENSE</v>
      </c>
      <c r="C62" s="10"/>
      <c r="D62" s="6">
        <v>169.92</v>
      </c>
      <c r="E62" s="2"/>
      <c r="F62" s="7">
        <f t="shared" si="37"/>
        <v>3.5308492157824306E-2</v>
      </c>
      <c r="G62" s="2"/>
      <c r="H62" s="6">
        <v>169.9</v>
      </c>
      <c r="I62" s="2"/>
      <c r="J62" s="7">
        <f t="shared" si="38"/>
        <v>1.7134547038819482E-2</v>
      </c>
      <c r="K62" s="2"/>
      <c r="L62" s="6">
        <f t="shared" si="39"/>
        <v>1.999999999998181E-2</v>
      </c>
      <c r="M62" s="2"/>
      <c r="N62" s="7">
        <f t="shared" si="40"/>
        <v>1.177163037079565E-4</v>
      </c>
      <c r="O62" s="10"/>
      <c r="P62" s="6">
        <v>2038.6</v>
      </c>
      <c r="Q62" s="2"/>
      <c r="R62" s="7">
        <f t="shared" si="41"/>
        <v>1.5390765465224126E-2</v>
      </c>
      <c r="S62" s="2"/>
      <c r="T62" s="6">
        <v>1189.18</v>
      </c>
      <c r="U62" s="2"/>
      <c r="V62" s="7">
        <f t="shared" si="42"/>
        <v>2.2944410923791637E-3</v>
      </c>
      <c r="W62" s="2"/>
      <c r="X62" s="6">
        <f t="shared" si="43"/>
        <v>849.41999999999985</v>
      </c>
      <c r="Y62" s="2"/>
      <c r="Z62" s="7">
        <f t="shared" si="44"/>
        <v>0.71429051951765066</v>
      </c>
    </row>
    <row r="63" spans="1:26" s="27" customFormat="1" outlineLevel="1" collapsed="1" x14ac:dyDescent="0.25">
      <c r="A63" s="26"/>
      <c r="B63" s="12" t="str">
        <f>CONCATENATE("     ","Discounts and Markdowns                           ")</f>
        <v xml:space="preserve">     Discounts and Markdowns                           </v>
      </c>
      <c r="C63" s="12"/>
      <c r="D63" s="1">
        <f>SUM(OSRRefD22_4x_0)</f>
        <v>0</v>
      </c>
      <c r="E63" s="1"/>
      <c r="F63" s="5">
        <f t="shared" si="37"/>
        <v>0</v>
      </c>
      <c r="G63" s="1"/>
      <c r="H63" s="1">
        <f>SUM(OSRRefH22_4x_0)</f>
        <v>7.99</v>
      </c>
      <c r="I63" s="1"/>
      <c r="J63" s="5">
        <f t="shared" si="38"/>
        <v>8.0579770947714925E-4</v>
      </c>
      <c r="K63" s="1"/>
      <c r="L63" s="1">
        <f t="shared" si="39"/>
        <v>-7.99</v>
      </c>
      <c r="M63" s="1"/>
      <c r="N63" s="5">
        <f t="shared" si="40"/>
        <v>-1</v>
      </c>
      <c r="O63" s="12"/>
      <c r="P63" s="1">
        <f>SUM(OSRRefP22_4x_0)</f>
        <v>0</v>
      </c>
      <c r="Q63" s="1"/>
      <c r="R63" s="5">
        <f t="shared" si="41"/>
        <v>0</v>
      </c>
      <c r="S63" s="1"/>
      <c r="T63" s="1">
        <f>SUM(OSRRefT22_4x_0)</f>
        <v>1289.18</v>
      </c>
      <c r="U63" s="1"/>
      <c r="V63" s="5">
        <f t="shared" si="42"/>
        <v>2.4873842206170386E-3</v>
      </c>
      <c r="W63" s="1"/>
      <c r="X63" s="1">
        <f t="shared" si="43"/>
        <v>-1289.18</v>
      </c>
      <c r="Y63" s="1"/>
      <c r="Z63" s="5">
        <f t="shared" si="44"/>
        <v>-1</v>
      </c>
    </row>
    <row r="64" spans="1:26" s="23" customFormat="1" hidden="1" outlineLevel="2" x14ac:dyDescent="0.25">
      <c r="A64" s="25"/>
      <c r="B64" s="10" t="str">
        <f>CONCATENATE("          ", "6382", " - ", "DISCOUNTS/MARK DOWNS")</f>
        <v xml:space="preserve">          6382 - DISCOUNTS/MARK DOWNS</v>
      </c>
      <c r="C64" s="10"/>
      <c r="D64" s="6"/>
      <c r="E64" s="2"/>
      <c r="F64" s="7">
        <f t="shared" si="37"/>
        <v>0</v>
      </c>
      <c r="G64" s="2"/>
      <c r="H64" s="6">
        <v>7.99</v>
      </c>
      <c r="I64" s="2"/>
      <c r="J64" s="7">
        <f t="shared" si="38"/>
        <v>8.0579770947714925E-4</v>
      </c>
      <c r="K64" s="2"/>
      <c r="L64" s="6">
        <f t="shared" si="39"/>
        <v>-7.99</v>
      </c>
      <c r="M64" s="2"/>
      <c r="N64" s="7">
        <f t="shared" si="40"/>
        <v>-1</v>
      </c>
      <c r="O64" s="10"/>
      <c r="P64" s="6">
        <v>0</v>
      </c>
      <c r="Q64" s="2"/>
      <c r="R64" s="7">
        <f t="shared" si="41"/>
        <v>0</v>
      </c>
      <c r="S64" s="2"/>
      <c r="T64" s="6">
        <v>1289.18</v>
      </c>
      <c r="U64" s="2"/>
      <c r="V64" s="7">
        <f t="shared" si="42"/>
        <v>2.4873842206170386E-3</v>
      </c>
      <c r="W64" s="2"/>
      <c r="X64" s="6">
        <f t="shared" si="43"/>
        <v>-1289.18</v>
      </c>
      <c r="Y64" s="2"/>
      <c r="Z64" s="7">
        <f t="shared" si="44"/>
        <v>-1</v>
      </c>
    </row>
    <row r="65" spans="1:26" s="27" customFormat="1" outlineLevel="1" collapsed="1" x14ac:dyDescent="0.25">
      <c r="A65" s="26"/>
      <c r="B65" s="12" t="str">
        <f>CONCATENATE("     ","Equipment Rental                                  ")</f>
        <v xml:space="preserve">     Equipment Rental                                  </v>
      </c>
      <c r="C65" s="12"/>
      <c r="D65" s="1">
        <f>SUM(OSRRefD22_5x_0)</f>
        <v>1205.6400000000001</v>
      </c>
      <c r="E65" s="1"/>
      <c r="F65" s="5">
        <f t="shared" si="37"/>
        <v>0.25052572084015595</v>
      </c>
      <c r="G65" s="1"/>
      <c r="H65" s="1">
        <f>SUM(OSRRefH22_5x_0)</f>
        <v>1205.6400000000001</v>
      </c>
      <c r="I65" s="1"/>
      <c r="J65" s="5">
        <f t="shared" si="38"/>
        <v>0.12158973097046688</v>
      </c>
      <c r="K65" s="1"/>
      <c r="L65" s="1">
        <f t="shared" si="39"/>
        <v>0</v>
      </c>
      <c r="M65" s="1"/>
      <c r="N65" s="5">
        <f t="shared" si="40"/>
        <v>0</v>
      </c>
      <c r="O65" s="12"/>
      <c r="P65" s="1">
        <f>SUM(OSRRefP22_5x_0)</f>
        <v>14467.68</v>
      </c>
      <c r="Q65" s="1"/>
      <c r="R65" s="5">
        <f t="shared" si="41"/>
        <v>0.1092262678828185</v>
      </c>
      <c r="S65" s="1"/>
      <c r="T65" s="1">
        <f>SUM(OSRRefT22_5x_0)</f>
        <v>17287.349999999999</v>
      </c>
      <c r="U65" s="1"/>
      <c r="V65" s="5">
        <f t="shared" si="42"/>
        <v>3.33547538794303E-2</v>
      </c>
      <c r="W65" s="1"/>
      <c r="X65" s="1">
        <f t="shared" si="43"/>
        <v>-2819.6699999999983</v>
      </c>
      <c r="Y65" s="1"/>
      <c r="Z65" s="5">
        <f t="shared" si="44"/>
        <v>-0.16310597055072051</v>
      </c>
    </row>
    <row r="66" spans="1:26" s="23" customFormat="1" hidden="1" outlineLevel="2" x14ac:dyDescent="0.25">
      <c r="A66" s="25"/>
      <c r="B66" s="10" t="str">
        <f>CONCATENATE("          ", "6351", " - ", "EQUIPMENT RENTAL")</f>
        <v xml:space="preserve">          6351 - EQUIPMENT RENTAL</v>
      </c>
      <c r="C66" s="10"/>
      <c r="D66" s="6">
        <v>1205.6400000000001</v>
      </c>
      <c r="E66" s="2"/>
      <c r="F66" s="7">
        <f t="shared" si="37"/>
        <v>0.25052572084015595</v>
      </c>
      <c r="G66" s="2"/>
      <c r="H66" s="6">
        <v>1205.6400000000001</v>
      </c>
      <c r="I66" s="2"/>
      <c r="J66" s="7">
        <f t="shared" si="38"/>
        <v>0.12158973097046688</v>
      </c>
      <c r="K66" s="2"/>
      <c r="L66" s="6">
        <f t="shared" si="39"/>
        <v>0</v>
      </c>
      <c r="M66" s="2"/>
      <c r="N66" s="7">
        <f t="shared" si="40"/>
        <v>0</v>
      </c>
      <c r="O66" s="10"/>
      <c r="P66" s="6">
        <v>14467.68</v>
      </c>
      <c r="Q66" s="2"/>
      <c r="R66" s="7">
        <f t="shared" si="41"/>
        <v>0.1092262678828185</v>
      </c>
      <c r="S66" s="2"/>
      <c r="T66" s="6">
        <v>17287.349999999999</v>
      </c>
      <c r="U66" s="2"/>
      <c r="V66" s="7">
        <f t="shared" si="42"/>
        <v>3.33547538794303E-2</v>
      </c>
      <c r="W66" s="2"/>
      <c r="X66" s="6">
        <f t="shared" si="43"/>
        <v>-2819.6699999999983</v>
      </c>
      <c r="Y66" s="2"/>
      <c r="Z66" s="7">
        <f t="shared" si="44"/>
        <v>-0.16310597055072051</v>
      </c>
    </row>
    <row r="67" spans="1:26" s="27" customFormat="1" outlineLevel="1" collapsed="1" x14ac:dyDescent="0.25">
      <c r="A67" s="26"/>
      <c r="B67" s="12" t="str">
        <f>CONCATENATE("     ","Freight out/Postage                               ")</f>
        <v xml:space="preserve">     Freight out/Postage                               </v>
      </c>
      <c r="C67" s="12"/>
      <c r="D67" s="1">
        <f>SUM(OSRRefD22_6x_0)</f>
        <v>-7826.5199999999995</v>
      </c>
      <c r="E67" s="1"/>
      <c r="F67" s="5">
        <f t="shared" si="37"/>
        <v>-1.6263101462044203</v>
      </c>
      <c r="G67" s="1"/>
      <c r="H67" s="1">
        <f>SUM(OSRRefH22_6x_0)</f>
        <v>18433.240000000002</v>
      </c>
      <c r="I67" s="1"/>
      <c r="J67" s="5">
        <f t="shared" si="38"/>
        <v>1.8590065795047019</v>
      </c>
      <c r="K67" s="1"/>
      <c r="L67" s="1">
        <f t="shared" si="39"/>
        <v>-26259.760000000002</v>
      </c>
      <c r="M67" s="1"/>
      <c r="N67" s="5">
        <f t="shared" si="40"/>
        <v>-1.4245873215994584</v>
      </c>
      <c r="O67" s="12"/>
      <c r="P67" s="1">
        <f>SUM(OSRRefP22_6x_0)</f>
        <v>-104296.18999999997</v>
      </c>
      <c r="Q67" s="1"/>
      <c r="R67" s="5">
        <f t="shared" si="41"/>
        <v>-0.78740223643993601</v>
      </c>
      <c r="S67" s="1"/>
      <c r="T67" s="1">
        <f>SUM(OSRRefT22_6x_0)</f>
        <v>6172.25</v>
      </c>
      <c r="U67" s="1"/>
      <c r="V67" s="5">
        <f t="shared" si="42"/>
        <v>1.1908932232662248E-2</v>
      </c>
      <c r="W67" s="1"/>
      <c r="X67" s="1">
        <f t="shared" si="43"/>
        <v>-110468.43999999997</v>
      </c>
      <c r="Y67" s="1"/>
      <c r="Z67" s="5">
        <f t="shared" si="44"/>
        <v>-17.897596500465792</v>
      </c>
    </row>
    <row r="68" spans="1:26" s="23" customFormat="1" hidden="1" outlineLevel="2" x14ac:dyDescent="0.25">
      <c r="A68" s="25"/>
      <c r="B68" s="10" t="str">
        <f>CONCATENATE("          ", "6305", " - ", "FREIGHT OUT")</f>
        <v xml:space="preserve">          6305 - FREIGHT OUT</v>
      </c>
      <c r="C68" s="10"/>
      <c r="D68" s="6">
        <v>7003.44</v>
      </c>
      <c r="E68" s="2"/>
      <c r="F68" s="7">
        <f t="shared" si="37"/>
        <v>1.4552784034710045</v>
      </c>
      <c r="G68" s="2"/>
      <c r="H68" s="6">
        <v>26023.29</v>
      </c>
      <c r="I68" s="2"/>
      <c r="J68" s="7">
        <f t="shared" si="38"/>
        <v>2.6244690206582733</v>
      </c>
      <c r="K68" s="2"/>
      <c r="L68" s="6">
        <f t="shared" si="39"/>
        <v>-19019.850000000002</v>
      </c>
      <c r="M68" s="2"/>
      <c r="N68" s="7">
        <f t="shared" si="40"/>
        <v>-0.73087799428896194</v>
      </c>
      <c r="O68" s="10"/>
      <c r="P68" s="6">
        <v>204791.35</v>
      </c>
      <c r="Q68" s="2"/>
      <c r="R68" s="7">
        <f t="shared" si="41"/>
        <v>1.5461079354246183</v>
      </c>
      <c r="S68" s="2"/>
      <c r="T68" s="6">
        <v>71942.320000000007</v>
      </c>
      <c r="U68" s="2"/>
      <c r="V68" s="7">
        <f t="shared" si="42"/>
        <v>0.1388077627349025</v>
      </c>
      <c r="W68" s="2"/>
      <c r="X68" s="6">
        <f t="shared" si="43"/>
        <v>132849.03</v>
      </c>
      <c r="Y68" s="2"/>
      <c r="Z68" s="7">
        <f t="shared" si="44"/>
        <v>1.8466047522515256</v>
      </c>
    </row>
    <row r="69" spans="1:26" s="23" customFormat="1" hidden="1" outlineLevel="2" x14ac:dyDescent="0.25">
      <c r="A69" s="25"/>
      <c r="B69" s="10" t="str">
        <f>CONCATENATE("          ", "6307", " - ", "POSTAGE")</f>
        <v xml:space="preserve">          6307 - POSTAGE</v>
      </c>
      <c r="C69" s="10"/>
      <c r="D69" s="6">
        <v>-14829.96</v>
      </c>
      <c r="E69" s="2"/>
      <c r="F69" s="7">
        <f t="shared" si="37"/>
        <v>-3.0815885496754247</v>
      </c>
      <c r="G69" s="2"/>
      <c r="H69" s="6">
        <v>-7590.05</v>
      </c>
      <c r="I69" s="2"/>
      <c r="J69" s="7">
        <f t="shared" si="38"/>
        <v>-0.76546244115357154</v>
      </c>
      <c r="K69" s="2"/>
      <c r="L69" s="6">
        <f t="shared" si="39"/>
        <v>-7239.9099999999989</v>
      </c>
      <c r="M69" s="2"/>
      <c r="N69" s="7">
        <f t="shared" si="40"/>
        <v>0.95386855159056905</v>
      </c>
      <c r="O69" s="10"/>
      <c r="P69" s="6">
        <v>-309087.53999999998</v>
      </c>
      <c r="Q69" s="2"/>
      <c r="R69" s="7">
        <f t="shared" si="41"/>
        <v>-2.3335101718645546</v>
      </c>
      <c r="S69" s="2"/>
      <c r="T69" s="6">
        <v>-65770.070000000007</v>
      </c>
      <c r="U69" s="2"/>
      <c r="V69" s="7">
        <f t="shared" si="42"/>
        <v>-0.12689883050224024</v>
      </c>
      <c r="W69" s="2"/>
      <c r="X69" s="6">
        <f t="shared" si="43"/>
        <v>-243317.46999999997</v>
      </c>
      <c r="Y69" s="2"/>
      <c r="Z69" s="7">
        <f t="shared" si="44"/>
        <v>3.6995166646470037</v>
      </c>
    </row>
    <row r="70" spans="1:26" s="27" customFormat="1" outlineLevel="1" collapsed="1" x14ac:dyDescent="0.25">
      <c r="A70" s="26"/>
      <c r="B70" s="12" t="str">
        <f>CONCATENATE("     ","General                                           ")</f>
        <v xml:space="preserve">     General                                           </v>
      </c>
      <c r="C70" s="12"/>
      <c r="D70" s="1">
        <f>SUM(OSRRefD22_7x_0)</f>
        <v>0</v>
      </c>
      <c r="E70" s="1"/>
      <c r="F70" s="5">
        <f t="shared" ref="F70:F75" si="45">IF(D$12=0,0,D70/D$12)</f>
        <v>0</v>
      </c>
      <c r="G70" s="1"/>
      <c r="H70" s="1">
        <f>SUM(OSRRefH22_7x_0)</f>
        <v>0</v>
      </c>
      <c r="I70" s="1"/>
      <c r="J70" s="5">
        <f t="shared" ref="J70:J75" si="46">IF(H$12=0,0,H70/H$12)</f>
        <v>0</v>
      </c>
      <c r="K70" s="1"/>
      <c r="L70" s="1">
        <f t="shared" ref="L70:L75" si="47">+D70-H70</f>
        <v>0</v>
      </c>
      <c r="M70" s="1"/>
      <c r="N70" s="5">
        <f t="shared" ref="N70:N75" si="48">IF(H70=0,0,L70/H70)</f>
        <v>0</v>
      </c>
      <c r="O70" s="12"/>
      <c r="P70" s="1">
        <f>SUM(OSRRefP22_7x_0)</f>
        <v>0</v>
      </c>
      <c r="Q70" s="1"/>
      <c r="R70" s="5">
        <f t="shared" ref="R70:R75" si="49">IF(P$12=0,0,P70/P$12)</f>
        <v>0</v>
      </c>
      <c r="S70" s="1"/>
      <c r="T70" s="1">
        <f>SUM(OSRRefT22_7x_0)</f>
        <v>155.16999999999999</v>
      </c>
      <c r="U70" s="1"/>
      <c r="V70" s="5">
        <f t="shared" ref="V70:V75" si="50">IF(T$12=0,0,T70/T$12)</f>
        <v>2.9938985208671082E-4</v>
      </c>
      <c r="W70" s="1"/>
      <c r="X70" s="1">
        <f t="shared" ref="X70:X75" si="51">+P70-T70</f>
        <v>-155.16999999999999</v>
      </c>
      <c r="Y70" s="1"/>
      <c r="Z70" s="5">
        <f t="shared" ref="Z70:Z75" si="52">IF(T70=0,0,X70/T70)</f>
        <v>-1</v>
      </c>
    </row>
    <row r="71" spans="1:26" s="23" customFormat="1" hidden="1" outlineLevel="2" x14ac:dyDescent="0.25">
      <c r="A71" s="25"/>
      <c r="B71" s="10" t="str">
        <f>CONCATENATE("          ", "6279", " - ", "GENERAL EXPENSE")</f>
        <v xml:space="preserve">          6279 - GENERAL EXPENSE</v>
      </c>
      <c r="C71" s="10"/>
      <c r="D71" s="6"/>
      <c r="E71" s="2"/>
      <c r="F71" s="7">
        <f t="shared" si="45"/>
        <v>0</v>
      </c>
      <c r="G71" s="2"/>
      <c r="H71" s="6"/>
      <c r="I71" s="2"/>
      <c r="J71" s="7">
        <f t="shared" si="46"/>
        <v>0</v>
      </c>
      <c r="K71" s="2"/>
      <c r="L71" s="6">
        <f t="shared" si="47"/>
        <v>0</v>
      </c>
      <c r="M71" s="2"/>
      <c r="N71" s="7">
        <f t="shared" si="48"/>
        <v>0</v>
      </c>
      <c r="O71" s="10"/>
      <c r="P71" s="6"/>
      <c r="Q71" s="2"/>
      <c r="R71" s="7">
        <f t="shared" si="49"/>
        <v>0</v>
      </c>
      <c r="S71" s="2"/>
      <c r="T71" s="6">
        <v>155.16999999999999</v>
      </c>
      <c r="U71" s="2"/>
      <c r="V71" s="7">
        <f t="shared" si="50"/>
        <v>2.9938985208671082E-4</v>
      </c>
      <c r="W71" s="2"/>
      <c r="X71" s="6">
        <f t="shared" si="51"/>
        <v>-155.16999999999999</v>
      </c>
      <c r="Y71" s="2"/>
      <c r="Z71" s="7">
        <f t="shared" si="52"/>
        <v>-1</v>
      </c>
    </row>
    <row r="72" spans="1:26" s="27" customFormat="1" outlineLevel="1" collapsed="1" x14ac:dyDescent="0.25">
      <c r="A72" s="26"/>
      <c r="B72" s="12" t="str">
        <f>CONCATENATE("     ","Inventory Adjustment                              ")</f>
        <v xml:space="preserve">     Inventory Adjustment                              </v>
      </c>
      <c r="C72" s="12"/>
      <c r="D72" s="1">
        <f>SUM(OSRRefD22_8x_0)</f>
        <v>0</v>
      </c>
      <c r="E72" s="1"/>
      <c r="F72" s="5">
        <f t="shared" si="45"/>
        <v>0</v>
      </c>
      <c r="G72" s="1"/>
      <c r="H72" s="1">
        <f>SUM(OSRRefH22_8x_0)</f>
        <v>-631</v>
      </c>
      <c r="I72" s="1"/>
      <c r="J72" s="5">
        <f t="shared" si="46"/>
        <v>-6.3636840385492013E-2</v>
      </c>
      <c r="K72" s="1"/>
      <c r="L72" s="1">
        <f t="shared" si="47"/>
        <v>631</v>
      </c>
      <c r="M72" s="1"/>
      <c r="N72" s="5">
        <f t="shared" si="48"/>
        <v>-1</v>
      </c>
      <c r="O72" s="12"/>
      <c r="P72" s="1">
        <f>SUM(OSRRefP22_8x_0)</f>
        <v>0</v>
      </c>
      <c r="Q72" s="1"/>
      <c r="R72" s="5">
        <f t="shared" si="49"/>
        <v>0</v>
      </c>
      <c r="S72" s="1"/>
      <c r="T72" s="1">
        <f>SUM(OSRRefT22_8x_0)</f>
        <v>369</v>
      </c>
      <c r="U72" s="1"/>
      <c r="V72" s="5">
        <f t="shared" si="50"/>
        <v>7.1196014319775919E-4</v>
      </c>
      <c r="W72" s="1"/>
      <c r="X72" s="1">
        <f t="shared" si="51"/>
        <v>-369</v>
      </c>
      <c r="Y72" s="1"/>
      <c r="Z72" s="5">
        <f t="shared" si="52"/>
        <v>-1</v>
      </c>
    </row>
    <row r="73" spans="1:26" s="23" customFormat="1" hidden="1" outlineLevel="2" x14ac:dyDescent="0.25">
      <c r="A73" s="25"/>
      <c r="B73" s="10" t="str">
        <f>CONCATENATE("          ", "6408", " - ", "INVENTORY ADJUSTMENT")</f>
        <v xml:space="preserve">          6408 - INVENTORY ADJUSTMENT</v>
      </c>
      <c r="C73" s="10"/>
      <c r="D73" s="6"/>
      <c r="E73" s="2"/>
      <c r="F73" s="7">
        <f t="shared" si="45"/>
        <v>0</v>
      </c>
      <c r="G73" s="2"/>
      <c r="H73" s="6">
        <v>-1000</v>
      </c>
      <c r="I73" s="2"/>
      <c r="J73" s="7">
        <f t="shared" si="46"/>
        <v>-0.10085077715608877</v>
      </c>
      <c r="K73" s="2"/>
      <c r="L73" s="6">
        <f t="shared" si="47"/>
        <v>1000</v>
      </c>
      <c r="M73" s="2"/>
      <c r="N73" s="7">
        <f t="shared" si="48"/>
        <v>-1</v>
      </c>
      <c r="O73" s="10"/>
      <c r="P73" s="6"/>
      <c r="Q73" s="2"/>
      <c r="R73" s="7">
        <f t="shared" si="49"/>
        <v>0</v>
      </c>
      <c r="S73" s="2"/>
      <c r="T73" s="6">
        <v>0</v>
      </c>
      <c r="U73" s="2"/>
      <c r="V73" s="7">
        <f t="shared" si="50"/>
        <v>0</v>
      </c>
      <c r="W73" s="2"/>
      <c r="X73" s="6">
        <f t="shared" si="51"/>
        <v>0</v>
      </c>
      <c r="Y73" s="2"/>
      <c r="Z73" s="7">
        <f t="shared" si="52"/>
        <v>0</v>
      </c>
    </row>
    <row r="74" spans="1:26" s="23" customFormat="1" hidden="1" outlineLevel="2" x14ac:dyDescent="0.25">
      <c r="A74" s="25"/>
      <c r="B74" s="10" t="str">
        <f>CONCATENATE("          ", "7792", " - ", "INV. SHRINKAGE-GRAD MERCH")</f>
        <v xml:space="preserve">          7792 - INV. SHRINKAGE-GRAD MERCH</v>
      </c>
      <c r="C74" s="10"/>
      <c r="D74" s="6"/>
      <c r="E74" s="2"/>
      <c r="F74" s="7">
        <f t="shared" si="45"/>
        <v>0</v>
      </c>
      <c r="G74" s="2"/>
      <c r="H74" s="6">
        <v>495</v>
      </c>
      <c r="I74" s="2"/>
      <c r="J74" s="7">
        <f t="shared" si="46"/>
        <v>4.992113469226394E-2</v>
      </c>
      <c r="K74" s="2"/>
      <c r="L74" s="6">
        <f t="shared" si="47"/>
        <v>-495</v>
      </c>
      <c r="M74" s="2"/>
      <c r="N74" s="7">
        <f t="shared" si="48"/>
        <v>-1</v>
      </c>
      <c r="O74" s="10"/>
      <c r="P74" s="6"/>
      <c r="Q74" s="2"/>
      <c r="R74" s="7">
        <f t="shared" si="49"/>
        <v>0</v>
      </c>
      <c r="S74" s="2"/>
      <c r="T74" s="6">
        <v>495</v>
      </c>
      <c r="U74" s="2"/>
      <c r="V74" s="7">
        <f t="shared" si="50"/>
        <v>9.5506848477748183E-4</v>
      </c>
      <c r="W74" s="2"/>
      <c r="X74" s="6">
        <f t="shared" si="51"/>
        <v>-495</v>
      </c>
      <c r="Y74" s="2"/>
      <c r="Z74" s="7">
        <f t="shared" si="52"/>
        <v>-1</v>
      </c>
    </row>
    <row r="75" spans="1:26" s="23" customFormat="1" hidden="1" outlineLevel="2" x14ac:dyDescent="0.25">
      <c r="A75" s="25"/>
      <c r="B75" s="10" t="str">
        <f>CONCATENATE("          ", "7795", " - ", "INV. SHRINKAGE-CUSTOMER SERVIC")</f>
        <v xml:space="preserve">          7795 - INV. SHRINKAGE-CUSTOMER SERVIC</v>
      </c>
      <c r="C75" s="10"/>
      <c r="D75" s="6"/>
      <c r="E75" s="2"/>
      <c r="F75" s="7">
        <f t="shared" si="45"/>
        <v>0</v>
      </c>
      <c r="G75" s="2"/>
      <c r="H75" s="6">
        <v>-126</v>
      </c>
      <c r="I75" s="2"/>
      <c r="J75" s="7">
        <f t="shared" si="46"/>
        <v>-1.2707197921667185E-2</v>
      </c>
      <c r="K75" s="2"/>
      <c r="L75" s="6">
        <f t="shared" si="47"/>
        <v>126</v>
      </c>
      <c r="M75" s="2"/>
      <c r="N75" s="7">
        <f t="shared" si="48"/>
        <v>-1</v>
      </c>
      <c r="O75" s="10"/>
      <c r="P75" s="6"/>
      <c r="Q75" s="2"/>
      <c r="R75" s="7">
        <f t="shared" si="49"/>
        <v>0</v>
      </c>
      <c r="S75" s="2"/>
      <c r="T75" s="6">
        <v>-126</v>
      </c>
      <c r="U75" s="2"/>
      <c r="V75" s="7">
        <f t="shared" si="50"/>
        <v>-2.4310834157972267E-4</v>
      </c>
      <c r="W75" s="2"/>
      <c r="X75" s="6">
        <f t="shared" si="51"/>
        <v>126</v>
      </c>
      <c r="Y75" s="2"/>
      <c r="Z75" s="7">
        <f t="shared" si="52"/>
        <v>-1</v>
      </c>
    </row>
    <row r="76" spans="1:26" s="27" customFormat="1" outlineLevel="1" collapsed="1" x14ac:dyDescent="0.25">
      <c r="A76" s="26"/>
      <c r="B76" s="12" t="str">
        <f>CONCATENATE("     ","Repair and Maintenance                            ")</f>
        <v xml:space="preserve">     Repair and Maintenance                            </v>
      </c>
      <c r="C76" s="12"/>
      <c r="D76" s="1">
        <f>SUM(OSRRefD22_9x_0)</f>
        <v>2435.08</v>
      </c>
      <c r="E76" s="1"/>
      <c r="F76" s="5">
        <f t="shared" ref="F76:F79" si="53">IF(D$12=0,0,D76/D$12)</f>
        <v>0.50599695788415022</v>
      </c>
      <c r="G76" s="1"/>
      <c r="H76" s="1">
        <f>SUM(OSRRefH22_9x_0)</f>
        <v>8710.14</v>
      </c>
      <c r="I76" s="1"/>
      <c r="J76" s="5">
        <f t="shared" ref="J76:J79" si="54">IF(H$12=0,0,H76/H$12)</f>
        <v>0.87842438813833501</v>
      </c>
      <c r="K76" s="1"/>
      <c r="L76" s="1">
        <f t="shared" ref="L76:L79" si="55">+D76-H76</f>
        <v>-6275.0599999999995</v>
      </c>
      <c r="M76" s="1"/>
      <c r="N76" s="5">
        <f t="shared" ref="N76:N79" si="56">IF(H76=0,0,L76/H76)</f>
        <v>-0.72043158892968429</v>
      </c>
      <c r="O76" s="12"/>
      <c r="P76" s="1">
        <f>SUM(OSRRefP22_9x_0)</f>
        <v>37311.89</v>
      </c>
      <c r="Q76" s="1"/>
      <c r="R76" s="5">
        <f t="shared" ref="R76:R79" si="57">IF(P$12=0,0,P76/P$12)</f>
        <v>0.28169260671747348</v>
      </c>
      <c r="S76" s="1"/>
      <c r="T76" s="1">
        <f>SUM(OSRRefT22_9x_0)</f>
        <v>74977.819999999992</v>
      </c>
      <c r="U76" s="1"/>
      <c r="V76" s="5">
        <f t="shared" ref="V76:V79" si="58">IF(T$12=0,0,T76/T$12)</f>
        <v>0.14466455139256318</v>
      </c>
      <c r="W76" s="1"/>
      <c r="X76" s="1">
        <f t="shared" ref="X76:X79" si="59">+P76-T76</f>
        <v>-37665.929999999993</v>
      </c>
      <c r="Y76" s="1"/>
      <c r="Z76" s="5">
        <f t="shared" ref="Z76:Z79" si="60">IF(T76=0,0,X76/T76)</f>
        <v>-0.50236096488268123</v>
      </c>
    </row>
    <row r="77" spans="1:26" s="23" customFormat="1" hidden="1" outlineLevel="2" x14ac:dyDescent="0.25">
      <c r="A77" s="25"/>
      <c r="B77" s="10" t="str">
        <f>CONCATENATE("          ", "6371", " - ", "COMPUTER SOFTWARE MAINTENANCE")</f>
        <v xml:space="preserve">          6371 - COMPUTER SOFTWARE MAINTENANCE</v>
      </c>
      <c r="C77" s="10"/>
      <c r="D77" s="6"/>
      <c r="E77" s="2"/>
      <c r="F77" s="7">
        <f t="shared" si="53"/>
        <v>0</v>
      </c>
      <c r="G77" s="2"/>
      <c r="H77" s="6"/>
      <c r="I77" s="2"/>
      <c r="J77" s="7">
        <f t="shared" si="54"/>
        <v>0</v>
      </c>
      <c r="K77" s="2"/>
      <c r="L77" s="6">
        <f t="shared" si="55"/>
        <v>0</v>
      </c>
      <c r="M77" s="2"/>
      <c r="N77" s="7">
        <f t="shared" si="56"/>
        <v>0</v>
      </c>
      <c r="O77" s="10"/>
      <c r="P77" s="6">
        <v>7.69</v>
      </c>
      <c r="Q77" s="2"/>
      <c r="R77" s="7">
        <f t="shared" si="57"/>
        <v>5.8056993244174205E-5</v>
      </c>
      <c r="S77" s="2"/>
      <c r="T77" s="6"/>
      <c r="U77" s="2"/>
      <c r="V77" s="7">
        <f t="shared" si="58"/>
        <v>0</v>
      </c>
      <c r="W77" s="2"/>
      <c r="X77" s="6">
        <f t="shared" si="59"/>
        <v>7.69</v>
      </c>
      <c r="Y77" s="2"/>
      <c r="Z77" s="7">
        <f t="shared" si="60"/>
        <v>0</v>
      </c>
    </row>
    <row r="78" spans="1:26" s="23" customFormat="1" hidden="1" outlineLevel="2" x14ac:dyDescent="0.25">
      <c r="A78" s="25"/>
      <c r="B78" s="10" t="str">
        <f>CONCATENATE("          ", "6373", " - ", "MAINTENANCE CONTRACTS")</f>
        <v xml:space="preserve">          6373 - MAINTENANCE CONTRACTS</v>
      </c>
      <c r="C78" s="10"/>
      <c r="D78" s="6">
        <v>720.33</v>
      </c>
      <c r="E78" s="2"/>
      <c r="F78" s="7">
        <f t="shared" si="53"/>
        <v>0.14968082718953382</v>
      </c>
      <c r="G78" s="2"/>
      <c r="H78" s="6">
        <v>8710.14</v>
      </c>
      <c r="I78" s="2"/>
      <c r="J78" s="7">
        <f t="shared" si="54"/>
        <v>0.87842438813833501</v>
      </c>
      <c r="K78" s="2"/>
      <c r="L78" s="6">
        <f t="shared" si="55"/>
        <v>-7989.8099999999995</v>
      </c>
      <c r="M78" s="2"/>
      <c r="N78" s="7">
        <f t="shared" si="56"/>
        <v>-0.9172998367420041</v>
      </c>
      <c r="O78" s="10"/>
      <c r="P78" s="6">
        <v>32072.67</v>
      </c>
      <c r="Q78" s="2"/>
      <c r="R78" s="7">
        <f t="shared" si="57"/>
        <v>0.24213820357771504</v>
      </c>
      <c r="S78" s="2"/>
      <c r="T78" s="6">
        <v>73576.06</v>
      </c>
      <c r="U78" s="2"/>
      <c r="V78" s="7">
        <f t="shared" si="58"/>
        <v>0.14195995179817594</v>
      </c>
      <c r="W78" s="2"/>
      <c r="X78" s="6">
        <f t="shared" si="59"/>
        <v>-41503.39</v>
      </c>
      <c r="Y78" s="2"/>
      <c r="Z78" s="7">
        <f t="shared" si="60"/>
        <v>-0.56408823739678371</v>
      </c>
    </row>
    <row r="79" spans="1:26" s="23" customFormat="1" hidden="1" outlineLevel="2" x14ac:dyDescent="0.25">
      <c r="A79" s="25"/>
      <c r="B79" s="10" t="str">
        <f>CONCATENATE("          ", "6375", " - ", "OUTSIDE REPAIRS &amp; MAINTENANCE")</f>
        <v xml:space="preserve">          6375 - OUTSIDE REPAIRS &amp; MAINTENANCE</v>
      </c>
      <c r="C79" s="10"/>
      <c r="D79" s="6">
        <v>1714.75</v>
      </c>
      <c r="E79" s="2"/>
      <c r="F79" s="7">
        <f t="shared" si="53"/>
        <v>0.35631613069461648</v>
      </c>
      <c r="G79" s="2"/>
      <c r="H79" s="6"/>
      <c r="I79" s="2"/>
      <c r="J79" s="7">
        <f t="shared" si="54"/>
        <v>0</v>
      </c>
      <c r="K79" s="2"/>
      <c r="L79" s="6">
        <f t="shared" si="55"/>
        <v>1714.75</v>
      </c>
      <c r="M79" s="2"/>
      <c r="N79" s="7">
        <f t="shared" si="56"/>
        <v>0</v>
      </c>
      <c r="O79" s="10"/>
      <c r="P79" s="6">
        <v>5231.53</v>
      </c>
      <c r="Q79" s="2"/>
      <c r="R79" s="7">
        <f t="shared" si="57"/>
        <v>3.9496346146514261E-2</v>
      </c>
      <c r="S79" s="2"/>
      <c r="T79" s="6">
        <v>1401.76</v>
      </c>
      <c r="U79" s="2"/>
      <c r="V79" s="7">
        <f t="shared" si="58"/>
        <v>2.7045995943872385E-3</v>
      </c>
      <c r="W79" s="2"/>
      <c r="X79" s="6">
        <f t="shared" si="59"/>
        <v>3829.7699999999995</v>
      </c>
      <c r="Y79" s="2"/>
      <c r="Z79" s="7">
        <f t="shared" si="60"/>
        <v>2.7321153407145298</v>
      </c>
    </row>
    <row r="80" spans="1:26" s="27" customFormat="1" outlineLevel="1" collapsed="1" x14ac:dyDescent="0.25">
      <c r="A80" s="26"/>
      <c r="B80" s="12" t="str">
        <f>CONCATENATE("     ","Royalty &amp; Commissions                             ")</f>
        <v xml:space="preserve">     Royalty &amp; Commissions                             </v>
      </c>
      <c r="C80" s="12"/>
      <c r="D80" s="1">
        <f>SUM(OSRRefD22_10x_0)</f>
        <v>2549.25</v>
      </c>
      <c r="E80" s="1"/>
      <c r="F80" s="5">
        <f t="shared" ref="F80:F90" si="61">IF(D$12=0,0,D80/D$12)</f>
        <v>0.52972089002668088</v>
      </c>
      <c r="G80" s="1"/>
      <c r="H80" s="1">
        <f>SUM(OSRRefH22_10x_0)</f>
        <v>0</v>
      </c>
      <c r="I80" s="1"/>
      <c r="J80" s="5">
        <f t="shared" ref="J80:J90" si="62">IF(H$12=0,0,H80/H$12)</f>
        <v>0</v>
      </c>
      <c r="K80" s="1"/>
      <c r="L80" s="1">
        <f t="shared" ref="L80:L90" si="63">+D80-H80</f>
        <v>2549.25</v>
      </c>
      <c r="M80" s="1"/>
      <c r="N80" s="5">
        <f t="shared" ref="N80:N90" si="64">IF(H80=0,0,L80/H80)</f>
        <v>0</v>
      </c>
      <c r="O80" s="12"/>
      <c r="P80" s="1">
        <f>SUM(OSRRefP22_10x_0)</f>
        <v>16177.12</v>
      </c>
      <c r="Q80" s="1"/>
      <c r="R80" s="5">
        <f t="shared" ref="R80:R90" si="65">IF(P$12=0,0,P80/P$12)</f>
        <v>0.1221319826463193</v>
      </c>
      <c r="S80" s="1"/>
      <c r="T80" s="1">
        <f>SUM(OSRRefT22_10x_0)</f>
        <v>82607.740000000005</v>
      </c>
      <c r="U80" s="1"/>
      <c r="V80" s="5">
        <f t="shared" ref="V80:V90" si="66">IF(T$12=0,0,T80/T$12)</f>
        <v>0.15938595772261047</v>
      </c>
      <c r="W80" s="1"/>
      <c r="X80" s="1">
        <f t="shared" ref="X80:X90" si="67">+P80-T80</f>
        <v>-66430.62000000001</v>
      </c>
      <c r="Y80" s="1"/>
      <c r="Z80" s="5">
        <f t="shared" ref="Z80:Z90" si="68">IF(T80=0,0,X80/T80)</f>
        <v>-0.80416943981278277</v>
      </c>
    </row>
    <row r="81" spans="1:26" s="23" customFormat="1" hidden="1" outlineLevel="2" x14ac:dyDescent="0.25">
      <c r="A81" s="25"/>
      <c r="B81" s="10" t="str">
        <f>CONCATENATE("          ", "6259", " - ", "ROYALTY &amp; COMMISSIONS")</f>
        <v xml:space="preserve">          6259 - ROYALTY &amp; COMMISSIONS</v>
      </c>
      <c r="C81" s="10"/>
      <c r="D81" s="6">
        <v>2549.25</v>
      </c>
      <c r="E81" s="2"/>
      <c r="F81" s="7">
        <f t="shared" si="61"/>
        <v>0.52972089002668088</v>
      </c>
      <c r="G81" s="2"/>
      <c r="H81" s="6"/>
      <c r="I81" s="2"/>
      <c r="J81" s="7">
        <f t="shared" si="62"/>
        <v>0</v>
      </c>
      <c r="K81" s="2"/>
      <c r="L81" s="6">
        <f t="shared" si="63"/>
        <v>2549.25</v>
      </c>
      <c r="M81" s="2"/>
      <c r="N81" s="7">
        <f t="shared" si="64"/>
        <v>0</v>
      </c>
      <c r="O81" s="10"/>
      <c r="P81" s="6">
        <v>16177.12</v>
      </c>
      <c r="Q81" s="2"/>
      <c r="R81" s="7">
        <f t="shared" si="65"/>
        <v>0.1221319826463193</v>
      </c>
      <c r="S81" s="2"/>
      <c r="T81" s="6">
        <v>82607.740000000005</v>
      </c>
      <c r="U81" s="2"/>
      <c r="V81" s="7">
        <f t="shared" si="66"/>
        <v>0.15938595772261047</v>
      </c>
      <c r="W81" s="2"/>
      <c r="X81" s="6">
        <f t="shared" si="67"/>
        <v>-66430.62000000001</v>
      </c>
      <c r="Y81" s="2"/>
      <c r="Z81" s="7">
        <f t="shared" si="68"/>
        <v>-0.80416943981278277</v>
      </c>
    </row>
    <row r="82" spans="1:26" s="27" customFormat="1" outlineLevel="1" collapsed="1" x14ac:dyDescent="0.25">
      <c r="A82" s="26"/>
      <c r="B82" s="12" t="str">
        <f>CONCATENATE("     ","Subscriptions &amp; Dues                              ")</f>
        <v xml:space="preserve">     Subscriptions &amp; Dues                              </v>
      </c>
      <c r="C82" s="12"/>
      <c r="D82" s="1">
        <f>SUM(OSRRefD22_11x_0)</f>
        <v>0</v>
      </c>
      <c r="E82" s="1"/>
      <c r="F82" s="5">
        <f t="shared" si="61"/>
        <v>0</v>
      </c>
      <c r="G82" s="1"/>
      <c r="H82" s="1">
        <f>SUM(OSRRefH22_11x_0)</f>
        <v>0</v>
      </c>
      <c r="I82" s="1"/>
      <c r="J82" s="5">
        <f t="shared" si="62"/>
        <v>0</v>
      </c>
      <c r="K82" s="1"/>
      <c r="L82" s="1">
        <f t="shared" si="63"/>
        <v>0</v>
      </c>
      <c r="M82" s="1"/>
      <c r="N82" s="5">
        <f t="shared" si="64"/>
        <v>0</v>
      </c>
      <c r="O82" s="12"/>
      <c r="P82" s="1">
        <f>SUM(OSRRefP22_11x_0)</f>
        <v>31.75</v>
      </c>
      <c r="Q82" s="1"/>
      <c r="R82" s="5">
        <f t="shared" si="65"/>
        <v>2.3970215026040715E-4</v>
      </c>
      <c r="S82" s="1"/>
      <c r="T82" s="1">
        <f>SUM(OSRRefT22_11x_0)</f>
        <v>0</v>
      </c>
      <c r="U82" s="1"/>
      <c r="V82" s="5">
        <f t="shared" si="66"/>
        <v>0</v>
      </c>
      <c r="W82" s="1"/>
      <c r="X82" s="1">
        <f t="shared" si="67"/>
        <v>31.75</v>
      </c>
      <c r="Y82" s="1"/>
      <c r="Z82" s="5">
        <f t="shared" si="68"/>
        <v>0</v>
      </c>
    </row>
    <row r="83" spans="1:26" s="23" customFormat="1" hidden="1" outlineLevel="2" x14ac:dyDescent="0.25">
      <c r="A83" s="25"/>
      <c r="B83" s="10" t="str">
        <f>CONCATENATE("          ", "6258", " - ", "MEMBERSHIP DUES")</f>
        <v xml:space="preserve">          6258 - MEMBERSHIP DUES</v>
      </c>
      <c r="C83" s="10"/>
      <c r="D83" s="6"/>
      <c r="E83" s="2"/>
      <c r="F83" s="7">
        <f t="shared" si="61"/>
        <v>0</v>
      </c>
      <c r="G83" s="2"/>
      <c r="H83" s="6"/>
      <c r="I83" s="2"/>
      <c r="J83" s="7">
        <f t="shared" si="62"/>
        <v>0</v>
      </c>
      <c r="K83" s="2"/>
      <c r="L83" s="6">
        <f t="shared" si="63"/>
        <v>0</v>
      </c>
      <c r="M83" s="2"/>
      <c r="N83" s="7">
        <f t="shared" si="64"/>
        <v>0</v>
      </c>
      <c r="O83" s="10"/>
      <c r="P83" s="6">
        <v>31.75</v>
      </c>
      <c r="Q83" s="2"/>
      <c r="R83" s="7">
        <f t="shared" si="65"/>
        <v>2.3970215026040715E-4</v>
      </c>
      <c r="S83" s="2"/>
      <c r="T83" s="6"/>
      <c r="U83" s="2"/>
      <c r="V83" s="7">
        <f t="shared" si="66"/>
        <v>0</v>
      </c>
      <c r="W83" s="2"/>
      <c r="X83" s="6">
        <f t="shared" si="67"/>
        <v>31.75</v>
      </c>
      <c r="Y83" s="2"/>
      <c r="Z83" s="7">
        <f t="shared" si="68"/>
        <v>0</v>
      </c>
    </row>
    <row r="84" spans="1:26" s="27" customFormat="1" outlineLevel="1" collapsed="1" x14ac:dyDescent="0.25">
      <c r="A84" s="26"/>
      <c r="B84" s="12" t="str">
        <f>CONCATENATE("     ","Supplies                                          ")</f>
        <v xml:space="preserve">     Supplies                                          </v>
      </c>
      <c r="C84" s="12"/>
      <c r="D84" s="1">
        <f>SUM(OSRRefD22_12x_0)</f>
        <v>9540.7799999999988</v>
      </c>
      <c r="E84" s="1"/>
      <c r="F84" s="5">
        <f t="shared" si="61"/>
        <v>1.9825244574477812</v>
      </c>
      <c r="G84" s="1"/>
      <c r="H84" s="1">
        <f>SUM(OSRRefH22_12x_0)</f>
        <v>8576.25</v>
      </c>
      <c r="I84" s="1"/>
      <c r="J84" s="5">
        <f t="shared" si="62"/>
        <v>0.86492147758490634</v>
      </c>
      <c r="K84" s="1"/>
      <c r="L84" s="1">
        <f t="shared" si="63"/>
        <v>964.52999999999884</v>
      </c>
      <c r="M84" s="1"/>
      <c r="N84" s="5">
        <f t="shared" si="64"/>
        <v>0.11246523830345417</v>
      </c>
      <c r="O84" s="12"/>
      <c r="P84" s="1">
        <f>SUM(OSRRefP22_12x_0)</f>
        <v>51967.22</v>
      </c>
      <c r="Q84" s="1"/>
      <c r="R84" s="5">
        <f t="shared" si="65"/>
        <v>0.39233557093088617</v>
      </c>
      <c r="S84" s="1"/>
      <c r="T84" s="1">
        <f>SUM(OSRRefT22_12x_0)</f>
        <v>57569.740000000005</v>
      </c>
      <c r="U84" s="1"/>
      <c r="V84" s="5">
        <f t="shared" si="66"/>
        <v>0.1110768572744113</v>
      </c>
      <c r="W84" s="1"/>
      <c r="X84" s="1">
        <f t="shared" si="67"/>
        <v>-5602.5200000000041</v>
      </c>
      <c r="Y84" s="1"/>
      <c r="Z84" s="5">
        <f t="shared" si="68"/>
        <v>-9.7317097489062893E-2</v>
      </c>
    </row>
    <row r="85" spans="1:26" s="23" customFormat="1" hidden="1" outlineLevel="2" x14ac:dyDescent="0.25">
      <c r="A85" s="25"/>
      <c r="B85" s="10" t="str">
        <f>CONCATENATE("          ", "6234", " - ", "EXPENDABLE SUPPLIES &amp; EQUIPMEN")</f>
        <v xml:space="preserve">          6234 - EXPENDABLE SUPPLIES &amp; EQUIPMEN</v>
      </c>
      <c r="C85" s="10"/>
      <c r="D85" s="6"/>
      <c r="E85" s="2"/>
      <c r="F85" s="7">
        <f t="shared" si="61"/>
        <v>0</v>
      </c>
      <c r="G85" s="2"/>
      <c r="H85" s="6">
        <v>4356.1000000000004</v>
      </c>
      <c r="I85" s="2"/>
      <c r="J85" s="7">
        <f t="shared" si="62"/>
        <v>0.43931607036963832</v>
      </c>
      <c r="K85" s="2"/>
      <c r="L85" s="6">
        <f t="shared" si="63"/>
        <v>-4356.1000000000004</v>
      </c>
      <c r="M85" s="2"/>
      <c r="N85" s="7">
        <f t="shared" si="64"/>
        <v>-1</v>
      </c>
      <c r="O85" s="10"/>
      <c r="P85" s="6"/>
      <c r="Q85" s="2"/>
      <c r="R85" s="7">
        <f t="shared" si="65"/>
        <v>0</v>
      </c>
      <c r="S85" s="2"/>
      <c r="T85" s="6">
        <v>5373.37</v>
      </c>
      <c r="U85" s="2"/>
      <c r="V85" s="7">
        <f t="shared" si="66"/>
        <v>1.036754816979551E-2</v>
      </c>
      <c r="W85" s="2"/>
      <c r="X85" s="6">
        <f t="shared" si="67"/>
        <v>-5373.37</v>
      </c>
      <c r="Y85" s="2"/>
      <c r="Z85" s="7">
        <f t="shared" si="68"/>
        <v>-1</v>
      </c>
    </row>
    <row r="86" spans="1:26" s="23" customFormat="1" hidden="1" outlineLevel="2" x14ac:dyDescent="0.25">
      <c r="A86" s="25"/>
      <c r="B86" s="10" t="str">
        <f>CONCATENATE("          ", "6235", " - ", "COVID-19 EXPENSES")</f>
        <v xml:space="preserve">          6235 - COVID-19 EXPENSES</v>
      </c>
      <c r="C86" s="10"/>
      <c r="D86" s="6"/>
      <c r="E86" s="2"/>
      <c r="F86" s="7">
        <f t="shared" si="61"/>
        <v>0</v>
      </c>
      <c r="G86" s="2"/>
      <c r="H86" s="6"/>
      <c r="I86" s="2"/>
      <c r="J86" s="7">
        <f t="shared" si="62"/>
        <v>0</v>
      </c>
      <c r="K86" s="2"/>
      <c r="L86" s="6">
        <f t="shared" si="63"/>
        <v>0</v>
      </c>
      <c r="M86" s="2"/>
      <c r="N86" s="7">
        <f t="shared" si="64"/>
        <v>0</v>
      </c>
      <c r="O86" s="10"/>
      <c r="P86" s="6">
        <v>310.91000000000003</v>
      </c>
      <c r="Q86" s="2"/>
      <c r="R86" s="7">
        <f t="shared" si="65"/>
        <v>2.3472691507862424E-3</v>
      </c>
      <c r="S86" s="2"/>
      <c r="T86" s="6"/>
      <c r="U86" s="2"/>
      <c r="V86" s="7">
        <f t="shared" si="66"/>
        <v>0</v>
      </c>
      <c r="W86" s="2"/>
      <c r="X86" s="6">
        <f t="shared" si="67"/>
        <v>310.91000000000003</v>
      </c>
      <c r="Y86" s="2"/>
      <c r="Z86" s="7">
        <f t="shared" si="68"/>
        <v>0</v>
      </c>
    </row>
    <row r="87" spans="1:26" s="23" customFormat="1" hidden="1" outlineLevel="2" x14ac:dyDescent="0.25">
      <c r="A87" s="25"/>
      <c r="B87" s="10" t="str">
        <f>CONCATENATE("          ", "6241", " - ", "OFFICE EXPENSE")</f>
        <v xml:space="preserve">          6241 - OFFICE EXPENSE</v>
      </c>
      <c r="C87" s="10"/>
      <c r="D87" s="6">
        <v>56.39</v>
      </c>
      <c r="E87" s="2"/>
      <c r="F87" s="7">
        <f t="shared" si="61"/>
        <v>1.1717548686321286E-2</v>
      </c>
      <c r="G87" s="2"/>
      <c r="H87" s="6"/>
      <c r="I87" s="2"/>
      <c r="J87" s="7">
        <f t="shared" si="62"/>
        <v>0</v>
      </c>
      <c r="K87" s="2"/>
      <c r="L87" s="6">
        <f t="shared" si="63"/>
        <v>56.39</v>
      </c>
      <c r="M87" s="2"/>
      <c r="N87" s="7">
        <f t="shared" si="64"/>
        <v>0</v>
      </c>
      <c r="O87" s="10"/>
      <c r="P87" s="6">
        <v>4732.3999999999996</v>
      </c>
      <c r="Q87" s="2"/>
      <c r="R87" s="7">
        <f t="shared" si="65"/>
        <v>3.5728077350940184E-2</v>
      </c>
      <c r="S87" s="2"/>
      <c r="T87" s="6">
        <v>1713.32</v>
      </c>
      <c r="U87" s="2"/>
      <c r="V87" s="7">
        <f t="shared" si="66"/>
        <v>3.3057332047251621E-3</v>
      </c>
      <c r="W87" s="2"/>
      <c r="X87" s="6">
        <f t="shared" si="67"/>
        <v>3019.08</v>
      </c>
      <c r="Y87" s="2"/>
      <c r="Z87" s="7">
        <f t="shared" si="68"/>
        <v>1.7621226624331707</v>
      </c>
    </row>
    <row r="88" spans="1:26" s="23" customFormat="1" hidden="1" outlineLevel="2" x14ac:dyDescent="0.25">
      <c r="A88" s="25"/>
      <c r="B88" s="10" t="str">
        <f>CONCATENATE("          ", "6243", " - ", "PAPER SUPPLIES")</f>
        <v xml:space="preserve">          6243 - PAPER SUPPLIES</v>
      </c>
      <c r="C88" s="10"/>
      <c r="D88" s="6">
        <v>548.02</v>
      </c>
      <c r="E88" s="2"/>
      <c r="F88" s="7">
        <f t="shared" si="61"/>
        <v>0.11387570546334085</v>
      </c>
      <c r="G88" s="2"/>
      <c r="H88" s="6">
        <v>508.47</v>
      </c>
      <c r="I88" s="2"/>
      <c r="J88" s="7">
        <f t="shared" si="62"/>
        <v>5.1279594660556461E-2</v>
      </c>
      <c r="K88" s="2"/>
      <c r="L88" s="6">
        <f t="shared" si="63"/>
        <v>39.549999999999955</v>
      </c>
      <c r="M88" s="2"/>
      <c r="N88" s="7">
        <f t="shared" si="64"/>
        <v>7.7782366707966941E-2</v>
      </c>
      <c r="O88" s="10"/>
      <c r="P88" s="6">
        <v>7230.6</v>
      </c>
      <c r="Q88" s="2"/>
      <c r="R88" s="7">
        <f t="shared" si="65"/>
        <v>5.4588672997571655E-2</v>
      </c>
      <c r="S88" s="2"/>
      <c r="T88" s="6">
        <v>18447.68</v>
      </c>
      <c r="U88" s="2"/>
      <c r="V88" s="7">
        <f t="shared" si="66"/>
        <v>3.5593530879312843E-2</v>
      </c>
      <c r="W88" s="2"/>
      <c r="X88" s="6">
        <f t="shared" si="67"/>
        <v>-11217.08</v>
      </c>
      <c r="Y88" s="2"/>
      <c r="Z88" s="7">
        <f t="shared" si="68"/>
        <v>-0.60804827490502866</v>
      </c>
    </row>
    <row r="89" spans="1:26" s="23" customFormat="1" hidden="1" outlineLevel="2" x14ac:dyDescent="0.25">
      <c r="A89" s="25"/>
      <c r="B89" s="10" t="str">
        <f>CONCATENATE("          ", "6245", " - ", "PRINTING")</f>
        <v xml:space="preserve">          6245 - PRINTING</v>
      </c>
      <c r="C89" s="10"/>
      <c r="D89" s="6">
        <v>2921.89</v>
      </c>
      <c r="E89" s="2"/>
      <c r="F89" s="7">
        <f t="shared" si="61"/>
        <v>0.60715354373249331</v>
      </c>
      <c r="G89" s="2"/>
      <c r="H89" s="6"/>
      <c r="I89" s="2"/>
      <c r="J89" s="7">
        <f t="shared" si="62"/>
        <v>0</v>
      </c>
      <c r="K89" s="2"/>
      <c r="L89" s="6">
        <f t="shared" si="63"/>
        <v>2921.89</v>
      </c>
      <c r="M89" s="2"/>
      <c r="N89" s="7">
        <f t="shared" si="64"/>
        <v>0</v>
      </c>
      <c r="O89" s="10"/>
      <c r="P89" s="6">
        <v>11937.61</v>
      </c>
      <c r="Q89" s="2"/>
      <c r="R89" s="7">
        <f t="shared" si="65"/>
        <v>9.0125064125043758E-2</v>
      </c>
      <c r="S89" s="2"/>
      <c r="T89" s="6">
        <v>5894.17</v>
      </c>
      <c r="U89" s="2"/>
      <c r="V89" s="7">
        <f t="shared" si="66"/>
        <v>1.1372395981658364E-2</v>
      </c>
      <c r="W89" s="2"/>
      <c r="X89" s="6">
        <f t="shared" si="67"/>
        <v>6043.4400000000005</v>
      </c>
      <c r="Y89" s="2"/>
      <c r="Z89" s="7">
        <f t="shared" si="68"/>
        <v>1.0253250245581651</v>
      </c>
    </row>
    <row r="90" spans="1:26" s="23" customFormat="1" hidden="1" outlineLevel="2" x14ac:dyDescent="0.25">
      <c r="A90" s="25"/>
      <c r="B90" s="10" t="str">
        <f>CONCATENATE("          ", "6247", " - ", "STORE SUPPLIES")</f>
        <v xml:space="preserve">          6247 - STORE SUPPLIES</v>
      </c>
      <c r="C90" s="10"/>
      <c r="D90" s="6">
        <v>6014.48</v>
      </c>
      <c r="E90" s="2"/>
      <c r="F90" s="7">
        <f t="shared" si="61"/>
        <v>1.2497776595656258</v>
      </c>
      <c r="G90" s="2"/>
      <c r="H90" s="6">
        <v>3711.68</v>
      </c>
      <c r="I90" s="2"/>
      <c r="J90" s="7">
        <f t="shared" si="62"/>
        <v>0.37432581255471153</v>
      </c>
      <c r="K90" s="2"/>
      <c r="L90" s="6">
        <f t="shared" si="63"/>
        <v>2302.7999999999997</v>
      </c>
      <c r="M90" s="2"/>
      <c r="N90" s="7">
        <f t="shared" si="64"/>
        <v>0.62041986378136038</v>
      </c>
      <c r="O90" s="10"/>
      <c r="P90" s="6">
        <v>27755.7</v>
      </c>
      <c r="Q90" s="2"/>
      <c r="R90" s="7">
        <f t="shared" si="65"/>
        <v>0.20954648730654435</v>
      </c>
      <c r="S90" s="2"/>
      <c r="T90" s="6">
        <v>26141.200000000001</v>
      </c>
      <c r="U90" s="2"/>
      <c r="V90" s="7">
        <f t="shared" si="66"/>
        <v>5.0437649038919417E-2</v>
      </c>
      <c r="W90" s="2"/>
      <c r="X90" s="6">
        <f t="shared" si="67"/>
        <v>1614.5</v>
      </c>
      <c r="Y90" s="2"/>
      <c r="Z90" s="7">
        <f t="shared" si="68"/>
        <v>6.1760745489878047E-2</v>
      </c>
    </row>
    <row r="91" spans="1:26" s="27" customFormat="1" outlineLevel="1" collapsed="1" x14ac:dyDescent="0.25">
      <c r="A91" s="26"/>
      <c r="B91" s="12" t="str">
        <f>CONCATENATE("     ","Telephone/Data Lines                              ")</f>
        <v xml:space="preserve">     Telephone/Data Lines                              </v>
      </c>
      <c r="C91" s="12"/>
      <c r="D91" s="1">
        <f>SUM(OSRRefD22_13x_0)</f>
        <v>234.25</v>
      </c>
      <c r="E91" s="1"/>
      <c r="F91" s="5">
        <f t="shared" ref="F91:F96" si="69">IF(D$12=0,0,D91/D$12)</f>
        <v>4.8675931544081591E-2</v>
      </c>
      <c r="G91" s="1"/>
      <c r="H91" s="1">
        <f>SUM(OSRRefH22_13x_0)</f>
        <v>124.9</v>
      </c>
      <c r="I91" s="1"/>
      <c r="J91" s="5">
        <f t="shared" ref="J91:J96" si="70">IF(H$12=0,0,H91/H$12)</f>
        <v>1.2596262066795488E-2</v>
      </c>
      <c r="K91" s="1"/>
      <c r="L91" s="1">
        <f t="shared" ref="L91:L96" si="71">+D91-H91</f>
        <v>109.35</v>
      </c>
      <c r="M91" s="1"/>
      <c r="N91" s="5">
        <f t="shared" ref="N91:N96" si="72">IF(H91=0,0,L91/H91)</f>
        <v>0.87550040032025611</v>
      </c>
      <c r="O91" s="12"/>
      <c r="P91" s="1">
        <f>SUM(OSRRefP22_13x_0)</f>
        <v>1977.6</v>
      </c>
      <c r="Q91" s="1"/>
      <c r="R91" s="5">
        <f t="shared" ref="R91:R96" si="73">IF(P$12=0,0,P91/P$12)</f>
        <v>1.4930235349763185E-2</v>
      </c>
      <c r="S91" s="1"/>
      <c r="T91" s="1">
        <f>SUM(OSRRefT22_13x_0)</f>
        <v>2338.5</v>
      </c>
      <c r="U91" s="1"/>
      <c r="V91" s="5">
        <f t="shared" ref="V91:V96" si="74">IF(T$12=0,0,T91/T$12)</f>
        <v>4.5119750538427095E-3</v>
      </c>
      <c r="W91" s="1"/>
      <c r="X91" s="1">
        <f t="shared" ref="X91:X96" si="75">+P91-T91</f>
        <v>-360.90000000000009</v>
      </c>
      <c r="Y91" s="1"/>
      <c r="Z91" s="5">
        <f t="shared" ref="Z91:Z96" si="76">IF(T91=0,0,X91/T91)</f>
        <v>-0.15432969852469536</v>
      </c>
    </row>
    <row r="92" spans="1:26" s="23" customFormat="1" hidden="1" outlineLevel="2" x14ac:dyDescent="0.25">
      <c r="A92" s="25"/>
      <c r="B92" s="10" t="str">
        <f>CONCATENATE("          ", "6309", " - ", "TELEPHONE")</f>
        <v xml:space="preserve">          6309 - TELEPHONE</v>
      </c>
      <c r="C92" s="10"/>
      <c r="D92" s="6">
        <v>234.25</v>
      </c>
      <c r="E92" s="2"/>
      <c r="F92" s="7">
        <f t="shared" si="69"/>
        <v>4.8675931544081591E-2</v>
      </c>
      <c r="G92" s="2"/>
      <c r="H92" s="6">
        <v>124.9</v>
      </c>
      <c r="I92" s="2"/>
      <c r="J92" s="7">
        <f t="shared" si="70"/>
        <v>1.2596262066795488E-2</v>
      </c>
      <c r="K92" s="2"/>
      <c r="L92" s="6">
        <f t="shared" si="71"/>
        <v>109.35</v>
      </c>
      <c r="M92" s="2"/>
      <c r="N92" s="7">
        <f t="shared" si="72"/>
        <v>0.87550040032025611</v>
      </c>
      <c r="O92" s="10"/>
      <c r="P92" s="6">
        <v>1977.6</v>
      </c>
      <c r="Q92" s="2"/>
      <c r="R92" s="7">
        <f t="shared" si="73"/>
        <v>1.4930235349763185E-2</v>
      </c>
      <c r="S92" s="2"/>
      <c r="T92" s="6">
        <v>2338.5</v>
      </c>
      <c r="U92" s="2"/>
      <c r="V92" s="7">
        <f t="shared" si="74"/>
        <v>4.5119750538427095E-3</v>
      </c>
      <c r="W92" s="2"/>
      <c r="X92" s="6">
        <f t="shared" si="75"/>
        <v>-360.90000000000009</v>
      </c>
      <c r="Y92" s="2"/>
      <c r="Z92" s="7">
        <f t="shared" si="76"/>
        <v>-0.15432969852469536</v>
      </c>
    </row>
    <row r="93" spans="1:26" s="27" customFormat="1" outlineLevel="1" collapsed="1" x14ac:dyDescent="0.25">
      <c r="A93" s="26"/>
      <c r="B93" s="12" t="str">
        <f>CONCATENATE("     ","Training                                          ")</f>
        <v xml:space="preserve">     Training                                          </v>
      </c>
      <c r="C93" s="12"/>
      <c r="D93" s="1">
        <f>SUM(OSRRefD22_14x_0)</f>
        <v>0</v>
      </c>
      <c r="E93" s="1"/>
      <c r="F93" s="5">
        <f t="shared" si="69"/>
        <v>0</v>
      </c>
      <c r="G93" s="1"/>
      <c r="H93" s="1">
        <f>SUM(OSRRefH22_14x_0)</f>
        <v>0</v>
      </c>
      <c r="I93" s="1"/>
      <c r="J93" s="5">
        <f t="shared" si="70"/>
        <v>0</v>
      </c>
      <c r="K93" s="1"/>
      <c r="L93" s="1">
        <f t="shared" si="71"/>
        <v>0</v>
      </c>
      <c r="M93" s="1"/>
      <c r="N93" s="5">
        <f t="shared" si="72"/>
        <v>0</v>
      </c>
      <c r="O93" s="12"/>
      <c r="P93" s="1">
        <f>SUM(OSRRefP22_14x_0)</f>
        <v>0</v>
      </c>
      <c r="Q93" s="1"/>
      <c r="R93" s="5">
        <f t="shared" si="73"/>
        <v>0</v>
      </c>
      <c r="S93" s="1"/>
      <c r="T93" s="1">
        <f>SUM(OSRRefT22_14x_0)</f>
        <v>97.71</v>
      </c>
      <c r="U93" s="1"/>
      <c r="V93" s="5">
        <f t="shared" si="74"/>
        <v>1.8852473060122776E-4</v>
      </c>
      <c r="W93" s="1"/>
      <c r="X93" s="1">
        <f t="shared" si="75"/>
        <v>-97.71</v>
      </c>
      <c r="Y93" s="1"/>
      <c r="Z93" s="5">
        <f t="shared" si="76"/>
        <v>-1</v>
      </c>
    </row>
    <row r="94" spans="1:26" s="23" customFormat="1" hidden="1" outlineLevel="2" x14ac:dyDescent="0.25">
      <c r="A94" s="25"/>
      <c r="B94" s="10" t="str">
        <f>CONCATENATE("          ", "6376", " - ", "TRAINING")</f>
        <v xml:space="preserve">          6376 - TRAINING</v>
      </c>
      <c r="C94" s="10"/>
      <c r="D94" s="6"/>
      <c r="E94" s="2"/>
      <c r="F94" s="7">
        <f t="shared" si="69"/>
        <v>0</v>
      </c>
      <c r="G94" s="2"/>
      <c r="H94" s="6"/>
      <c r="I94" s="2"/>
      <c r="J94" s="7">
        <f t="shared" si="70"/>
        <v>0</v>
      </c>
      <c r="K94" s="2"/>
      <c r="L94" s="6">
        <f t="shared" si="71"/>
        <v>0</v>
      </c>
      <c r="M94" s="2"/>
      <c r="N94" s="7">
        <f t="shared" si="72"/>
        <v>0</v>
      </c>
      <c r="O94" s="10"/>
      <c r="P94" s="6"/>
      <c r="Q94" s="2"/>
      <c r="R94" s="7">
        <f t="shared" si="73"/>
        <v>0</v>
      </c>
      <c r="S94" s="2"/>
      <c r="T94" s="6">
        <v>97.71</v>
      </c>
      <c r="U94" s="2"/>
      <c r="V94" s="7">
        <f t="shared" si="74"/>
        <v>1.8852473060122776E-4</v>
      </c>
      <c r="W94" s="2"/>
      <c r="X94" s="6">
        <f t="shared" si="75"/>
        <v>-97.71</v>
      </c>
      <c r="Y94" s="2"/>
      <c r="Z94" s="7">
        <f t="shared" si="76"/>
        <v>-1</v>
      </c>
    </row>
    <row r="95" spans="1:26" s="27" customFormat="1" outlineLevel="1" collapsed="1" x14ac:dyDescent="0.25">
      <c r="A95" s="26"/>
      <c r="B95" s="12" t="str">
        <f>CONCATENATE("     ","Utilities                                         ")</f>
        <v xml:space="preserve">     Utilities                                         </v>
      </c>
      <c r="C95" s="12"/>
      <c r="D95" s="1">
        <f>SUM(OSRRefD22_15x_0)</f>
        <v>0</v>
      </c>
      <c r="E95" s="1"/>
      <c r="F95" s="5">
        <f t="shared" si="69"/>
        <v>0</v>
      </c>
      <c r="G95" s="1"/>
      <c r="H95" s="1">
        <f>SUM(OSRRefH22_15x_0)</f>
        <v>0</v>
      </c>
      <c r="I95" s="1"/>
      <c r="J95" s="5">
        <f t="shared" si="70"/>
        <v>0</v>
      </c>
      <c r="K95" s="1"/>
      <c r="L95" s="1">
        <f t="shared" si="71"/>
        <v>0</v>
      </c>
      <c r="M95" s="1"/>
      <c r="N95" s="5">
        <f t="shared" si="72"/>
        <v>0</v>
      </c>
      <c r="O95" s="12"/>
      <c r="P95" s="1">
        <f>SUM(OSRRefP22_15x_0)</f>
        <v>15.02</v>
      </c>
      <c r="Q95" s="1"/>
      <c r="R95" s="5">
        <f t="shared" si="73"/>
        <v>1.1339610383972647E-4</v>
      </c>
      <c r="S95" s="1"/>
      <c r="T95" s="1">
        <f>SUM(OSRRefT22_15x_0)</f>
        <v>0</v>
      </c>
      <c r="U95" s="1"/>
      <c r="V95" s="5">
        <f t="shared" si="74"/>
        <v>0</v>
      </c>
      <c r="W95" s="1"/>
      <c r="X95" s="1">
        <f t="shared" si="75"/>
        <v>15.02</v>
      </c>
      <c r="Y95" s="1"/>
      <c r="Z95" s="5">
        <f t="shared" si="76"/>
        <v>0</v>
      </c>
    </row>
    <row r="96" spans="1:26" s="23" customFormat="1" hidden="1" outlineLevel="2" x14ac:dyDescent="0.25">
      <c r="A96" s="25"/>
      <c r="B96" s="10" t="str">
        <f>CONCATENATE("          ", "6274", " - ", "UTILITIES")</f>
        <v xml:space="preserve">          6274 - UTILITIES</v>
      </c>
      <c r="C96" s="10"/>
      <c r="D96" s="6"/>
      <c r="E96" s="2"/>
      <c r="F96" s="7">
        <f t="shared" si="69"/>
        <v>0</v>
      </c>
      <c r="G96" s="2"/>
      <c r="H96" s="6"/>
      <c r="I96" s="2"/>
      <c r="J96" s="7">
        <f t="shared" si="70"/>
        <v>0</v>
      </c>
      <c r="K96" s="2"/>
      <c r="L96" s="6">
        <f t="shared" si="71"/>
        <v>0</v>
      </c>
      <c r="M96" s="2"/>
      <c r="N96" s="7">
        <f t="shared" si="72"/>
        <v>0</v>
      </c>
      <c r="O96" s="10"/>
      <c r="P96" s="6">
        <v>15.02</v>
      </c>
      <c r="Q96" s="2"/>
      <c r="R96" s="7">
        <f t="shared" si="73"/>
        <v>1.1339610383972647E-4</v>
      </c>
      <c r="S96" s="2"/>
      <c r="T96" s="6"/>
      <c r="U96" s="2"/>
      <c r="V96" s="7">
        <f t="shared" si="74"/>
        <v>0</v>
      </c>
      <c r="W96" s="2"/>
      <c r="X96" s="6">
        <f t="shared" si="75"/>
        <v>15.02</v>
      </c>
      <c r="Y96" s="2"/>
      <c r="Z96" s="7">
        <f t="shared" si="76"/>
        <v>0</v>
      </c>
    </row>
    <row r="97" spans="1:26" s="52" customFormat="1" x14ac:dyDescent="0.25">
      <c r="A97" s="37"/>
      <c r="B97" s="37"/>
      <c r="C97" s="37"/>
      <c r="D97" s="1"/>
      <c r="E97" s="1"/>
      <c r="F97" s="5"/>
      <c r="G97" s="1"/>
      <c r="H97" s="1"/>
      <c r="I97" s="1"/>
      <c r="J97" s="5"/>
      <c r="K97" s="1"/>
      <c r="L97" s="1"/>
      <c r="M97" s="1"/>
      <c r="N97" s="5"/>
      <c r="O97" s="37"/>
      <c r="P97" s="1"/>
      <c r="Q97" s="1"/>
      <c r="R97" s="5"/>
      <c r="S97" s="1"/>
      <c r="T97" s="1"/>
      <c r="U97" s="1"/>
      <c r="V97" s="5"/>
      <c r="W97" s="1"/>
      <c r="X97" s="1"/>
      <c r="Y97" s="1"/>
      <c r="Z97" s="5"/>
    </row>
    <row r="98" spans="1:26" s="24" customFormat="1" collapsed="1" x14ac:dyDescent="0.25">
      <c r="A98" s="11"/>
      <c r="B98" s="29" t="s">
        <v>292</v>
      </c>
      <c r="C98" s="11"/>
      <c r="D98" s="4">
        <f>SUM(OSRRefD25x_0)</f>
        <v>16577.560000000001</v>
      </c>
      <c r="E98" s="4"/>
      <c r="F98" s="13">
        <f t="shared" ref="F98:F104" si="77">IF(D$12=0,0,D98/D$12)</f>
        <v>3.4447307395001294</v>
      </c>
      <c r="G98" s="4"/>
      <c r="H98" s="4">
        <f>SUM(OSRRefH25x_0)</f>
        <v>13269</v>
      </c>
      <c r="I98" s="4"/>
      <c r="J98" s="13">
        <f t="shared" ref="J98:J104" si="78">IF(H$12=0,0,H98/H$12)</f>
        <v>1.3381889620841418</v>
      </c>
      <c r="K98" s="4"/>
      <c r="L98" s="4">
        <f t="shared" ref="L98:L104" si="79">+D98-H98</f>
        <v>3308.5600000000013</v>
      </c>
      <c r="M98" s="4"/>
      <c r="N98" s="13">
        <f t="shared" ref="N98:N104" si="80">IF(H98=0,0,L98/H98)</f>
        <v>0.24934509005953737</v>
      </c>
      <c r="O98" s="11"/>
      <c r="P98" s="4">
        <f>SUM(OSRRefP25x_0)</f>
        <v>91179.56</v>
      </c>
      <c r="Q98" s="4"/>
      <c r="R98" s="13">
        <f t="shared" ref="R98:R104" si="81">IF(P$12=0,0,P98/P$12)</f>
        <v>0.68837595564717513</v>
      </c>
      <c r="S98" s="4"/>
      <c r="T98" s="4">
        <f>SUM(OSRRefT25x_0)</f>
        <v>671250.55</v>
      </c>
      <c r="U98" s="4"/>
      <c r="V98" s="13">
        <f t="shared" ref="V98:V104" si="82">IF(T$12=0,0,T98/T$12)</f>
        <v>1.2951318094839421</v>
      </c>
      <c r="W98" s="4"/>
      <c r="X98" s="4">
        <f t="shared" ref="X98:X104" si="83">+P98-T98</f>
        <v>-580070.99</v>
      </c>
      <c r="Y98" s="4"/>
      <c r="Z98" s="13">
        <f t="shared" ref="Z98:Z104" si="84">IF(T98=0,0,X98/T98)</f>
        <v>-0.86416464016305083</v>
      </c>
    </row>
    <row r="99" spans="1:26" s="23" customFormat="1" hidden="1" outlineLevel="1" x14ac:dyDescent="0.25">
      <c r="A99" s="44"/>
      <c r="B99" s="10" t="str">
        <f>CONCATENATE("          ", "4098", " - ", "TAXABLE SALES-GRAD RENTALS")</f>
        <v xml:space="preserve">          4098 - TAXABLE SALES-GRAD RENTALS</v>
      </c>
      <c r="C99" s="10"/>
      <c r="D99" s="2">
        <f t="shared" ref="D99:D101" si="85">0</f>
        <v>0</v>
      </c>
      <c r="E99" s="2"/>
      <c r="F99" s="19">
        <f t="shared" si="77"/>
        <v>0</v>
      </c>
      <c r="G99" s="2"/>
      <c r="H99" s="2">
        <f t="shared" ref="H99:H101" si="86">0</f>
        <v>0</v>
      </c>
      <c r="I99" s="2"/>
      <c r="J99" s="19">
        <f t="shared" si="78"/>
        <v>0</v>
      </c>
      <c r="K99" s="2"/>
      <c r="L99" s="2">
        <f t="shared" si="79"/>
        <v>0</v>
      </c>
      <c r="M99" s="2"/>
      <c r="N99" s="19">
        <f t="shared" si="80"/>
        <v>0</v>
      </c>
      <c r="O99" s="10"/>
      <c r="P99" s="2">
        <f t="shared" ref="P99:P101" si="87">0</f>
        <v>0</v>
      </c>
      <c r="Q99" s="2"/>
      <c r="R99" s="19">
        <f t="shared" si="81"/>
        <v>0</v>
      </c>
      <c r="S99" s="2"/>
      <c r="T99" s="2">
        <f>--1946.85</f>
        <v>1946.85</v>
      </c>
      <c r="U99" s="2"/>
      <c r="V99" s="19">
        <f t="shared" si="82"/>
        <v>3.7563132920990718E-3</v>
      </c>
      <c r="W99" s="2"/>
      <c r="X99" s="2">
        <f t="shared" si="83"/>
        <v>-1946.85</v>
      </c>
      <c r="Y99" s="2"/>
      <c r="Z99" s="19">
        <f t="shared" si="84"/>
        <v>-1</v>
      </c>
    </row>
    <row r="100" spans="1:26" s="23" customFormat="1" hidden="1" outlineLevel="1" x14ac:dyDescent="0.25">
      <c r="A100" s="44"/>
      <c r="B100" s="10" t="str">
        <f>CONCATENATE("          ", "4197", " - ", "NON-TAXABLE SALES-RETURNED CHE")</f>
        <v xml:space="preserve">          4197 - NON-TAXABLE SALES-RETURNED CHE</v>
      </c>
      <c r="C100" s="10"/>
      <c r="D100" s="2">
        <f t="shared" si="85"/>
        <v>0</v>
      </c>
      <c r="E100" s="2"/>
      <c r="F100" s="19">
        <f t="shared" si="77"/>
        <v>0</v>
      </c>
      <c r="G100" s="2"/>
      <c r="H100" s="2">
        <f t="shared" si="86"/>
        <v>0</v>
      </c>
      <c r="I100" s="2"/>
      <c r="J100" s="19">
        <f t="shared" si="78"/>
        <v>0</v>
      </c>
      <c r="K100" s="2"/>
      <c r="L100" s="2">
        <f t="shared" si="79"/>
        <v>0</v>
      </c>
      <c r="M100" s="2"/>
      <c r="N100" s="19">
        <f t="shared" si="80"/>
        <v>0</v>
      </c>
      <c r="O100" s="10"/>
      <c r="P100" s="2">
        <f t="shared" si="87"/>
        <v>0</v>
      </c>
      <c r="Q100" s="2"/>
      <c r="R100" s="19">
        <f t="shared" si="81"/>
        <v>0</v>
      </c>
      <c r="S100" s="2"/>
      <c r="T100" s="2">
        <f>--30</f>
        <v>30</v>
      </c>
      <c r="U100" s="2"/>
      <c r="V100" s="19">
        <f t="shared" si="82"/>
        <v>5.7882938471362537E-5</v>
      </c>
      <c r="W100" s="2"/>
      <c r="X100" s="2">
        <f t="shared" si="83"/>
        <v>-30</v>
      </c>
      <c r="Y100" s="2"/>
      <c r="Z100" s="19">
        <f t="shared" si="84"/>
        <v>-1</v>
      </c>
    </row>
    <row r="101" spans="1:26" s="23" customFormat="1" hidden="1" outlineLevel="1" x14ac:dyDescent="0.25">
      <c r="A101" s="44"/>
      <c r="B101" s="10" t="str">
        <f>CONCATENATE("          ", "4198", " - ", "NON-TAXABLE SALES-GRAD RENTALS")</f>
        <v xml:space="preserve">          4198 - NON-TAXABLE SALES-GRAD RENTALS</v>
      </c>
      <c r="C101" s="10"/>
      <c r="D101" s="2">
        <f t="shared" si="85"/>
        <v>0</v>
      </c>
      <c r="E101" s="2"/>
      <c r="F101" s="19">
        <f t="shared" si="77"/>
        <v>0</v>
      </c>
      <c r="G101" s="2"/>
      <c r="H101" s="2">
        <f t="shared" si="86"/>
        <v>0</v>
      </c>
      <c r="I101" s="2"/>
      <c r="J101" s="19">
        <f t="shared" si="78"/>
        <v>0</v>
      </c>
      <c r="K101" s="2"/>
      <c r="L101" s="2">
        <f t="shared" si="79"/>
        <v>0</v>
      </c>
      <c r="M101" s="2"/>
      <c r="N101" s="19">
        <f t="shared" si="80"/>
        <v>0</v>
      </c>
      <c r="O101" s="10"/>
      <c r="P101" s="2">
        <f t="shared" si="87"/>
        <v>0</v>
      </c>
      <c r="Q101" s="2"/>
      <c r="R101" s="19">
        <f t="shared" si="81"/>
        <v>0</v>
      </c>
      <c r="S101" s="2"/>
      <c r="T101" s="2">
        <f>--163.76</f>
        <v>163.76</v>
      </c>
      <c r="U101" s="2"/>
      <c r="V101" s="19">
        <f t="shared" si="82"/>
        <v>3.1596366680234429E-4</v>
      </c>
      <c r="W101" s="2"/>
      <c r="X101" s="2">
        <f t="shared" si="83"/>
        <v>-163.76</v>
      </c>
      <c r="Y101" s="2"/>
      <c r="Z101" s="19">
        <f t="shared" si="84"/>
        <v>-1</v>
      </c>
    </row>
    <row r="102" spans="1:26" s="23" customFormat="1" hidden="1" outlineLevel="1" x14ac:dyDescent="0.25">
      <c r="A102" s="44"/>
      <c r="B102" s="10" t="str">
        <f>CONCATENATE("          ", "9150", " - ", "MISC. INCOME")</f>
        <v xml:space="preserve">          9150 - MISC. INCOME</v>
      </c>
      <c r="C102" s="10"/>
      <c r="D102" s="2">
        <f>--16577.56</f>
        <v>16577.560000000001</v>
      </c>
      <c r="E102" s="2"/>
      <c r="F102" s="19">
        <f t="shared" si="77"/>
        <v>3.4447307395001294</v>
      </c>
      <c r="G102" s="2"/>
      <c r="H102" s="2">
        <f>--13269</f>
        <v>13269</v>
      </c>
      <c r="I102" s="2"/>
      <c r="J102" s="19">
        <f t="shared" si="78"/>
        <v>1.3381889620841418</v>
      </c>
      <c r="K102" s="2"/>
      <c r="L102" s="2">
        <f t="shared" si="79"/>
        <v>3308.5600000000013</v>
      </c>
      <c r="M102" s="2"/>
      <c r="N102" s="19">
        <f t="shared" si="80"/>
        <v>0.24934509005953737</v>
      </c>
      <c r="O102" s="10"/>
      <c r="P102" s="2">
        <f>--91179.56</f>
        <v>91179.56</v>
      </c>
      <c r="Q102" s="2"/>
      <c r="R102" s="19">
        <f t="shared" si="81"/>
        <v>0.68837595564717513</v>
      </c>
      <c r="S102" s="2"/>
      <c r="T102" s="2">
        <f>--157901.1</f>
        <v>157901.1</v>
      </c>
      <c r="U102" s="2"/>
      <c r="V102" s="19">
        <f t="shared" si="82"/>
        <v>0.30465932186201544</v>
      </c>
      <c r="W102" s="2"/>
      <c r="X102" s="2">
        <f t="shared" si="83"/>
        <v>-66721.540000000008</v>
      </c>
      <c r="Y102" s="2"/>
      <c r="Z102" s="19">
        <f t="shared" si="84"/>
        <v>-0.4225527244585377</v>
      </c>
    </row>
    <row r="103" spans="1:26" s="23" customFormat="1" hidden="1" outlineLevel="1" x14ac:dyDescent="0.25">
      <c r="A103" s="44"/>
      <c r="B103" s="10" t="str">
        <f>CONCATENATE("          ", "9160", " - ", "MISC. INCOME")</f>
        <v xml:space="preserve">          9160 - MISC. INCOME</v>
      </c>
      <c r="C103" s="10"/>
      <c r="D103" s="2">
        <f t="shared" ref="D103:D104" si="88">0</f>
        <v>0</v>
      </c>
      <c r="E103" s="2"/>
      <c r="F103" s="19">
        <f t="shared" si="77"/>
        <v>0</v>
      </c>
      <c r="G103" s="2"/>
      <c r="H103" s="2">
        <f t="shared" ref="H103:H104" si="89">0</f>
        <v>0</v>
      </c>
      <c r="I103" s="2"/>
      <c r="J103" s="19">
        <f t="shared" si="78"/>
        <v>0</v>
      </c>
      <c r="K103" s="2"/>
      <c r="L103" s="2">
        <f t="shared" si="79"/>
        <v>0</v>
      </c>
      <c r="M103" s="2"/>
      <c r="N103" s="19">
        <f t="shared" si="80"/>
        <v>0</v>
      </c>
      <c r="O103" s="10"/>
      <c r="P103" s="2">
        <f t="shared" ref="P103:P104" si="90">0</f>
        <v>0</v>
      </c>
      <c r="Q103" s="2"/>
      <c r="R103" s="19">
        <f t="shared" si="81"/>
        <v>0</v>
      </c>
      <c r="S103" s="2"/>
      <c r="T103" s="2">
        <f>--22475</f>
        <v>22475</v>
      </c>
      <c r="U103" s="2"/>
      <c r="V103" s="19">
        <f t="shared" si="82"/>
        <v>4.3363968071462436E-2</v>
      </c>
      <c r="W103" s="2"/>
      <c r="X103" s="2">
        <f t="shared" si="83"/>
        <v>-22475</v>
      </c>
      <c r="Y103" s="2"/>
      <c r="Z103" s="19">
        <f t="shared" si="84"/>
        <v>-1</v>
      </c>
    </row>
    <row r="104" spans="1:26" s="23" customFormat="1" hidden="1" outlineLevel="1" x14ac:dyDescent="0.25">
      <c r="A104" s="44"/>
      <c r="B104" s="10" t="str">
        <f>CONCATENATE("          ", "9163", " - ", "MISC. INCOME")</f>
        <v xml:space="preserve">          9163 - MISC. INCOME</v>
      </c>
      <c r="C104" s="10"/>
      <c r="D104" s="2">
        <f t="shared" si="88"/>
        <v>0</v>
      </c>
      <c r="E104" s="2"/>
      <c r="F104" s="19">
        <f t="shared" si="77"/>
        <v>0</v>
      </c>
      <c r="G104" s="2"/>
      <c r="H104" s="2">
        <f t="shared" si="89"/>
        <v>0</v>
      </c>
      <c r="I104" s="2"/>
      <c r="J104" s="19">
        <f t="shared" si="78"/>
        <v>0</v>
      </c>
      <c r="K104" s="2"/>
      <c r="L104" s="2">
        <f t="shared" si="79"/>
        <v>0</v>
      </c>
      <c r="M104" s="2"/>
      <c r="N104" s="19">
        <f t="shared" si="80"/>
        <v>0</v>
      </c>
      <c r="O104" s="10"/>
      <c r="P104" s="2">
        <f t="shared" si="90"/>
        <v>0</v>
      </c>
      <c r="Q104" s="2"/>
      <c r="R104" s="19">
        <f t="shared" si="81"/>
        <v>0</v>
      </c>
      <c r="S104" s="2"/>
      <c r="T104" s="2">
        <f>--488733.84</f>
        <v>488733.84</v>
      </c>
      <c r="U104" s="2"/>
      <c r="V104" s="19">
        <f t="shared" si="82"/>
        <v>0.94297835965309151</v>
      </c>
      <c r="W104" s="2"/>
      <c r="X104" s="2">
        <f t="shared" si="83"/>
        <v>-488733.84</v>
      </c>
      <c r="Y104" s="2"/>
      <c r="Z104" s="19">
        <f t="shared" si="84"/>
        <v>-1</v>
      </c>
    </row>
    <row r="105" spans="1:26" x14ac:dyDescent="0.25">
      <c r="A105" s="9"/>
      <c r="B105" s="11"/>
      <c r="C105" s="11"/>
      <c r="D105" s="3"/>
      <c r="E105" s="3"/>
      <c r="F105" s="8"/>
      <c r="G105" s="3"/>
      <c r="H105" s="3"/>
      <c r="I105" s="3"/>
      <c r="J105" s="8"/>
      <c r="K105" s="3"/>
      <c r="L105" s="3"/>
      <c r="M105" s="3"/>
      <c r="N105" s="8"/>
      <c r="O105" s="11"/>
      <c r="P105" s="3"/>
      <c r="Q105" s="3"/>
      <c r="R105" s="8"/>
      <c r="S105" s="3"/>
      <c r="T105" s="3"/>
      <c r="U105" s="3"/>
      <c r="V105" s="8"/>
      <c r="W105" s="3"/>
      <c r="X105" s="3"/>
      <c r="Y105" s="3"/>
      <c r="Z105" s="8"/>
    </row>
    <row r="106" spans="1:26" s="24" customFormat="1" x14ac:dyDescent="0.25">
      <c r="A106" s="11"/>
      <c r="B106" s="28" t="s">
        <v>276</v>
      </c>
      <c r="C106" s="28"/>
      <c r="D106" s="21">
        <f>+D41-D43+D98</f>
        <v>-11056.999999999996</v>
      </c>
      <c r="E106" s="14"/>
      <c r="F106" s="22">
        <f>IF(D$12=0,0,D106/D$12)</f>
        <v>-2.2975870868000428</v>
      </c>
      <c r="G106" s="14"/>
      <c r="H106" s="21">
        <f>+H41-H43+H98</f>
        <v>-27743.82</v>
      </c>
      <c r="I106" s="14"/>
      <c r="J106" s="22">
        <f>IF(H$12=0,0,H106/H$12)</f>
        <v>-2.7979858082786389</v>
      </c>
      <c r="K106" s="15"/>
      <c r="L106" s="21">
        <f>+D106-H106</f>
        <v>16686.820000000003</v>
      </c>
      <c r="M106" s="15"/>
      <c r="N106" s="22">
        <f>IF(H106=0,0,L106/H106)</f>
        <v>-0.60146079379119399</v>
      </c>
      <c r="O106" s="29"/>
      <c r="P106" s="21">
        <f>+P41-P43+P98</f>
        <v>-94371.32</v>
      </c>
      <c r="Q106" s="14"/>
      <c r="R106" s="22">
        <f>IF(P$12=0,0,P106/P$12)</f>
        <v>-0.71247270320985723</v>
      </c>
      <c r="S106" s="14"/>
      <c r="T106" s="21">
        <f>+T41-T43+T98</f>
        <v>645889.77</v>
      </c>
      <c r="U106" s="14"/>
      <c r="V106" s="22">
        <f>IF(T$12=0,0,T106/T$12)</f>
        <v>1.2461999272064168</v>
      </c>
      <c r="W106" s="15"/>
      <c r="X106" s="21">
        <f>+P106-T106</f>
        <v>-740261.09000000008</v>
      </c>
      <c r="Y106" s="15"/>
      <c r="Z106" s="22">
        <f>IF(T106=0,0,X106/T106)</f>
        <v>-1.1461105662038897</v>
      </c>
    </row>
    <row r="107" spans="1:26" x14ac:dyDescent="0.25">
      <c r="A107" s="9"/>
      <c r="B107" s="11"/>
      <c r="C107" s="9"/>
      <c r="D107" s="3"/>
      <c r="E107" s="3"/>
      <c r="F107" s="8"/>
      <c r="G107" s="3"/>
      <c r="H107" s="3"/>
      <c r="I107" s="3"/>
      <c r="J107" s="8"/>
      <c r="K107" s="3"/>
      <c r="L107" s="3"/>
      <c r="M107" s="3"/>
      <c r="N107" s="8"/>
      <c r="P107" s="3"/>
      <c r="Q107" s="3"/>
      <c r="R107" s="8"/>
      <c r="S107" s="3"/>
      <c r="T107" s="3"/>
      <c r="U107" s="3"/>
      <c r="V107" s="8"/>
      <c r="W107" s="3"/>
      <c r="X107" s="3"/>
      <c r="Y107" s="3"/>
      <c r="Z107" s="8"/>
    </row>
    <row r="108" spans="1:26" s="24" customFormat="1" x14ac:dyDescent="0.25">
      <c r="A108" s="51"/>
      <c r="B108" s="11" t="s">
        <v>127</v>
      </c>
      <c r="C108" s="11"/>
      <c r="D108" s="4">
        <v>9386.9</v>
      </c>
      <c r="E108" s="4"/>
      <c r="F108" s="13">
        <f>IF(D$12=0,0,D108/D$12)</f>
        <v>1.9505489938575857</v>
      </c>
      <c r="G108" s="4"/>
      <c r="H108" s="4">
        <v>18278.77</v>
      </c>
      <c r="I108" s="4"/>
      <c r="J108" s="13">
        <f>IF(H$12=0,0,H108/H$12)</f>
        <v>1.8434281599574007</v>
      </c>
      <c r="K108" s="4"/>
      <c r="L108" s="4">
        <f>+D108-H108</f>
        <v>-8891.8700000000008</v>
      </c>
      <c r="M108" s="4"/>
      <c r="N108" s="13">
        <f>IF(H108=0,0,L108/H108)</f>
        <v>-0.48645888098597445</v>
      </c>
      <c r="O108" s="11"/>
      <c r="P108" s="4">
        <v>36663.129999999997</v>
      </c>
      <c r="Q108" s="4"/>
      <c r="R108" s="13">
        <f>IF(P$12=0,0,P108/P$12)</f>
        <v>0.27679468019769576</v>
      </c>
      <c r="S108" s="4"/>
      <c r="T108" s="4">
        <v>78480.45</v>
      </c>
      <c r="U108" s="4"/>
      <c r="V108" s="13">
        <f>IF(T$12=0,0,T108/T$12)</f>
        <v>0.15142263528516148</v>
      </c>
      <c r="W108" s="4"/>
      <c r="X108" s="4">
        <f>+P108-T108</f>
        <v>-41817.32</v>
      </c>
      <c r="Y108" s="4"/>
      <c r="Z108" s="13">
        <f>IF(T108=0,0,X108/T108)</f>
        <v>-0.53283741364887693</v>
      </c>
    </row>
    <row r="109" spans="1:26" x14ac:dyDescent="0.25">
      <c r="A109" s="9"/>
      <c r="B109" s="11"/>
      <c r="C109" s="11"/>
      <c r="D109" s="3"/>
      <c r="E109" s="3"/>
      <c r="F109" s="8"/>
      <c r="G109" s="3"/>
      <c r="H109" s="3"/>
      <c r="I109" s="3"/>
      <c r="J109" s="8"/>
      <c r="K109" s="3"/>
      <c r="L109" s="3"/>
      <c r="M109" s="3"/>
      <c r="N109" s="8"/>
      <c r="O109" s="11"/>
      <c r="P109" s="3"/>
      <c r="Q109" s="3"/>
      <c r="R109" s="8"/>
      <c r="S109" s="3"/>
      <c r="T109" s="3"/>
      <c r="U109" s="3"/>
      <c r="V109" s="8"/>
      <c r="W109" s="3"/>
      <c r="X109" s="3"/>
      <c r="Y109" s="3"/>
      <c r="Z109" s="8"/>
    </row>
    <row r="110" spans="1:26" s="24" customFormat="1" ht="15.75" thickBot="1" x14ac:dyDescent="0.3">
      <c r="A110" s="11"/>
      <c r="B110" s="28" t="s">
        <v>125</v>
      </c>
      <c r="C110" s="28"/>
      <c r="D110" s="34">
        <f>+D106-D108</f>
        <v>-20443.899999999994</v>
      </c>
      <c r="E110" s="14"/>
      <c r="F110" s="31">
        <f>IF(D$12=0,0,D110/D$12)</f>
        <v>-4.2481360806576278</v>
      </c>
      <c r="G110" s="14"/>
      <c r="H110" s="34">
        <f>+H106-H108</f>
        <v>-46022.59</v>
      </c>
      <c r="I110" s="14"/>
      <c r="J110" s="31">
        <f>IF(H$12=0,0,H110/H$12)</f>
        <v>-4.6414139682360389</v>
      </c>
      <c r="K110" s="15"/>
      <c r="L110" s="34">
        <f>D110-H110</f>
        <v>25578.690000000002</v>
      </c>
      <c r="M110" s="15"/>
      <c r="N110" s="31">
        <f>IF(H110=0,0,L110/H110)</f>
        <v>-0.55578553923192942</v>
      </c>
      <c r="O110" s="29"/>
      <c r="P110" s="34">
        <f>+P106-P108</f>
        <v>-131034.45000000001</v>
      </c>
      <c r="Q110" s="14"/>
      <c r="R110" s="31">
        <f>IF(P$12=0,0,P110/P$12)</f>
        <v>-0.98926738340755305</v>
      </c>
      <c r="S110" s="14"/>
      <c r="T110" s="34">
        <f>+T106-T108</f>
        <v>567409.32000000007</v>
      </c>
      <c r="U110" s="14"/>
      <c r="V110" s="31">
        <f>IF(T$12=0,0,T110/T$12)</f>
        <v>1.0947772919212553</v>
      </c>
      <c r="W110" s="15"/>
      <c r="X110" s="34">
        <f>P110-T110</f>
        <v>-698443.77</v>
      </c>
      <c r="Y110" s="15"/>
      <c r="Z110" s="31">
        <f>IF(T110=0,0,X110/T110)</f>
        <v>-1.2309346099567062</v>
      </c>
    </row>
    <row r="111" spans="1:26" ht="15.75" thickTop="1" x14ac:dyDescent="0.25">
      <c r="A111" s="9"/>
      <c r="B111" s="9"/>
      <c r="C111" s="9"/>
      <c r="D111" s="3"/>
      <c r="E111" s="3"/>
      <c r="F111" s="8"/>
      <c r="G111" s="3"/>
      <c r="H111" s="3"/>
      <c r="I111" s="3"/>
      <c r="J111" s="8"/>
      <c r="K111" s="3"/>
      <c r="L111" s="3"/>
      <c r="M111" s="3"/>
      <c r="N111" s="8"/>
      <c r="P111" s="3"/>
      <c r="Q111" s="3"/>
      <c r="R111" s="8"/>
      <c r="S111" s="3"/>
      <c r="T111" s="3"/>
      <c r="U111" s="3"/>
      <c r="V111" s="8"/>
      <c r="W111" s="3"/>
      <c r="X111" s="3"/>
      <c r="Y111" s="3"/>
      <c r="Z111" s="8"/>
    </row>
    <row r="112" spans="1:26" x14ac:dyDescent="0.25">
      <c r="A112" s="9"/>
      <c r="B112" s="9"/>
      <c r="C112" s="9"/>
      <c r="D112" s="3"/>
      <c r="E112" s="3"/>
      <c r="F112" s="8"/>
      <c r="G112" s="3"/>
      <c r="H112" s="3"/>
      <c r="I112" s="3"/>
      <c r="J112" s="8"/>
      <c r="K112" s="3"/>
      <c r="L112" s="3"/>
      <c r="M112" s="3"/>
      <c r="N112" s="8"/>
      <c r="P112" s="3"/>
      <c r="Q112" s="3"/>
      <c r="R112" s="8"/>
      <c r="S112" s="3"/>
      <c r="T112" s="3"/>
      <c r="U112" s="3"/>
      <c r="V112" s="8"/>
      <c r="W112" s="3"/>
      <c r="X112" s="3"/>
      <c r="Y112" s="3"/>
      <c r="Z112" s="8"/>
    </row>
    <row r="113" spans="1:26" s="24" customFormat="1" ht="15.75" thickBot="1" x14ac:dyDescent="0.3">
      <c r="A113" s="11"/>
      <c r="B113" s="28" t="s">
        <v>293</v>
      </c>
      <c r="C113" s="28"/>
      <c r="D113" s="33">
        <f>SUM(D110:D112)</f>
        <v>-20443.899999999994</v>
      </c>
      <c r="E113" s="14"/>
      <c r="F113" s="35">
        <f>IF(D$12=0,0,D113/D$12)</f>
        <v>-4.2481360806576278</v>
      </c>
      <c r="G113" s="14"/>
      <c r="H113" s="33">
        <f>SUM(H110:H112)</f>
        <v>-46022.59</v>
      </c>
      <c r="I113" s="14"/>
      <c r="J113" s="35">
        <f>IF(H$12=0,0,H113/H$12)</f>
        <v>-4.6414139682360389</v>
      </c>
      <c r="K113" s="15"/>
      <c r="L113" s="33">
        <f>+D113-H113</f>
        <v>25578.690000000002</v>
      </c>
      <c r="M113" s="15"/>
      <c r="N113" s="35">
        <f>IF(H113=0,0,L113/H113)</f>
        <v>-0.55578553923192942</v>
      </c>
      <c r="O113" s="29"/>
      <c r="P113" s="33">
        <f>SUM(P110:P112)</f>
        <v>-131034.45000000001</v>
      </c>
      <c r="Q113" s="14"/>
      <c r="R113" s="35">
        <f>IF(P$12=0,0,P113/P$12)</f>
        <v>-0.98926738340755305</v>
      </c>
      <c r="S113" s="14"/>
      <c r="T113" s="33">
        <f>SUM(T110:T112)</f>
        <v>567409.32000000007</v>
      </c>
      <c r="U113" s="14"/>
      <c r="V113" s="35">
        <f>IF(T$12=0,0,T113/T$12)</f>
        <v>1.0947772919212553</v>
      </c>
      <c r="W113" s="15"/>
      <c r="X113" s="33">
        <f>+P113-T113</f>
        <v>-698443.77</v>
      </c>
      <c r="Y113" s="15"/>
      <c r="Z113" s="35">
        <f>IF(T113=0,0,X113/T113)</f>
        <v>-1.2309346099567062</v>
      </c>
    </row>
    <row r="114" spans="1:26" ht="15.75" thickTop="1" x14ac:dyDescent="0.25">
      <c r="A114" s="9"/>
      <c r="C114" s="9"/>
      <c r="D114" s="18"/>
      <c r="E114" s="18"/>
      <c r="G114" s="18"/>
      <c r="H114" s="18"/>
      <c r="I114" s="18"/>
      <c r="J114" s="43"/>
      <c r="K114" s="18"/>
      <c r="L114" s="18"/>
      <c r="M114" s="18"/>
      <c r="P114" s="18"/>
      <c r="Q114" s="18"/>
      <c r="R114" s="43"/>
      <c r="S114" s="18"/>
      <c r="T114" s="18"/>
      <c r="U114" s="18"/>
      <c r="V114" s="43"/>
      <c r="W114" s="18"/>
      <c r="X114" s="18"/>
    </row>
    <row r="115" spans="1:26" x14ac:dyDescent="0.25">
      <c r="A115" s="9"/>
      <c r="B115" s="56">
        <v>44454.698477893522</v>
      </c>
      <c r="D115" s="18"/>
      <c r="E115" s="18"/>
      <c r="G115" s="18"/>
      <c r="H115" s="18"/>
      <c r="I115" s="18"/>
      <c r="J115" s="43"/>
      <c r="K115" s="18"/>
      <c r="L115" s="18"/>
      <c r="M115" s="18"/>
      <c r="P115" s="18"/>
      <c r="Q115" s="18"/>
      <c r="R115" s="43"/>
      <c r="S115" s="18"/>
      <c r="T115" s="18"/>
      <c r="U115" s="18"/>
      <c r="V115" s="43"/>
      <c r="W115" s="18"/>
      <c r="X115" s="18"/>
    </row>
    <row r="116" spans="1:26" x14ac:dyDescent="0.25">
      <c r="A116" s="9"/>
      <c r="B116" s="55" t="s">
        <v>56</v>
      </c>
      <c r="D116" s="18"/>
      <c r="E116" s="18"/>
      <c r="G116" s="18"/>
      <c r="H116" s="18"/>
      <c r="I116" s="18"/>
      <c r="J116" s="43"/>
      <c r="K116" s="18"/>
      <c r="L116" s="18"/>
      <c r="M116" s="18"/>
      <c r="P116" s="18"/>
      <c r="Q116" s="18"/>
      <c r="R116" s="43"/>
      <c r="S116" s="18"/>
      <c r="T116" s="18"/>
      <c r="U116" s="18"/>
      <c r="V116" s="43"/>
      <c r="W116" s="18"/>
      <c r="X116" s="18"/>
    </row>
    <row r="117" spans="1:26" x14ac:dyDescent="0.25">
      <c r="A117" s="9"/>
      <c r="B117" s="60"/>
      <c r="D117" s="18"/>
      <c r="E117" s="18"/>
      <c r="G117" s="18"/>
      <c r="H117" s="18"/>
      <c r="I117" s="18"/>
      <c r="J117" s="43"/>
      <c r="K117" s="18"/>
      <c r="L117" s="18"/>
      <c r="M117" s="18"/>
      <c r="P117" s="18"/>
      <c r="Q117" s="18"/>
      <c r="R117" s="43"/>
      <c r="S117" s="18"/>
      <c r="T117" s="18"/>
      <c r="U117" s="18"/>
      <c r="V117" s="43"/>
      <c r="W117" s="18"/>
      <c r="X117" s="18"/>
    </row>
    <row r="118" spans="1:26" x14ac:dyDescent="0.25">
      <c r="D118" s="18"/>
      <c r="E118" s="18"/>
      <c r="G118" s="18"/>
      <c r="H118" s="18"/>
      <c r="I118" s="18"/>
      <c r="J118" s="43"/>
      <c r="K118" s="18"/>
      <c r="L118" s="18"/>
      <c r="M118" s="18"/>
      <c r="P118" s="18"/>
      <c r="Q118" s="18"/>
      <c r="R118" s="43"/>
      <c r="S118" s="18"/>
      <c r="T118" s="18"/>
      <c r="U118" s="18"/>
      <c r="V118" s="43"/>
      <c r="W118" s="18"/>
      <c r="X118" s="18"/>
    </row>
  </sheetData>
  <pageMargins left="0.25" right="0.25" top="0.75" bottom="0.75" header="0.3" footer="0.3"/>
  <pageSetup scale="55" fitToWidth="2" orientation="landscape"/>
  <drawing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>
    <tabColor rgb="FF92D050"/>
    <outlinePr summaryBelow="0" summaryRight="0"/>
  </sheetPr>
  <dimension ref="A2:Z100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62" t="s">
        <v>23</v>
      </c>
    </row>
    <row r="3" spans="1:26" x14ac:dyDescent="0.25">
      <c r="D3" s="62" t="s">
        <v>236</v>
      </c>
      <c r="E3" s="17"/>
      <c r="F3" s="46"/>
      <c r="G3" s="17"/>
      <c r="H3" s="17"/>
      <c r="I3" s="17"/>
      <c r="J3" s="38"/>
      <c r="K3" s="17"/>
      <c r="L3" s="17"/>
      <c r="M3" s="17"/>
      <c r="N3" s="46"/>
      <c r="O3" s="53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2" t="str">
        <f>CONCATENATE("Period ",RIGHT(202112,2),", ",2021)</f>
        <v>Period 12, 2021</v>
      </c>
      <c r="E4" s="17"/>
      <c r="F4" s="46"/>
      <c r="G4" s="17"/>
      <c r="H4" s="17"/>
      <c r="I4" s="17"/>
      <c r="J4" s="38"/>
      <c r="K4" s="17"/>
      <c r="L4" s="17"/>
      <c r="M4" s="17"/>
      <c r="N4" s="46"/>
      <c r="O4" s="53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4"/>
      <c r="D5" s="63">
        <v>44377</v>
      </c>
      <c r="E5" s="17"/>
      <c r="F5" s="46"/>
      <c r="G5" s="17"/>
      <c r="H5" s="17"/>
      <c r="I5" s="17"/>
      <c r="J5" s="38"/>
      <c r="K5" s="17"/>
      <c r="L5" s="17"/>
      <c r="M5" s="17"/>
      <c r="N5" s="46"/>
      <c r="O5" s="53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4"/>
      <c r="B6" s="48"/>
      <c r="C6" s="48"/>
      <c r="D6" s="24" t="str">
        <f>CONCATENATE("Department ","316", " - ", "Campus Copy Center")</f>
        <v>Department 316 - Campus Copy Center</v>
      </c>
      <c r="E6" s="17"/>
      <c r="F6" s="46"/>
      <c r="G6" s="17"/>
      <c r="H6" s="17"/>
      <c r="I6" s="17"/>
      <c r="J6" s="38"/>
      <c r="K6" s="17"/>
      <c r="L6" s="17"/>
      <c r="M6" s="17"/>
      <c r="N6" s="46"/>
      <c r="O6" s="54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9"/>
    </row>
    <row r="8" spans="1:26" x14ac:dyDescent="0.25">
      <c r="B8" s="59"/>
    </row>
    <row r="9" spans="1:26" x14ac:dyDescent="0.25">
      <c r="B9" s="9"/>
      <c r="C9" s="9"/>
      <c r="D9" s="16" t="s">
        <v>291</v>
      </c>
      <c r="E9" s="16"/>
      <c r="F9" s="39"/>
      <c r="G9" s="16"/>
      <c r="H9" s="16"/>
      <c r="I9" s="16"/>
      <c r="J9" s="49"/>
      <c r="K9" s="16"/>
      <c r="L9" s="16"/>
      <c r="M9" s="16"/>
      <c r="N9" s="39"/>
      <c r="P9" s="16" t="s">
        <v>39</v>
      </c>
      <c r="Q9" s="16"/>
      <c r="R9" s="39"/>
      <c r="S9" s="16"/>
      <c r="T9" s="16"/>
      <c r="U9" s="16"/>
      <c r="V9" s="49"/>
      <c r="W9" s="16"/>
      <c r="X9" s="16"/>
      <c r="Y9" s="16"/>
      <c r="Z9" s="39"/>
    </row>
    <row r="10" spans="1:26" x14ac:dyDescent="0.25">
      <c r="A10" s="11"/>
      <c r="B10" s="58"/>
      <c r="C10" s="11"/>
      <c r="D10" s="42" t="s">
        <v>57</v>
      </c>
      <c r="E10" s="36"/>
      <c r="F10" s="30" t="s">
        <v>40</v>
      </c>
      <c r="G10" s="36"/>
      <c r="H10" s="50" t="s">
        <v>237</v>
      </c>
      <c r="I10" s="36"/>
      <c r="J10" s="30" t="s">
        <v>40</v>
      </c>
      <c r="K10" s="11"/>
      <c r="L10" s="42" t="s">
        <v>126</v>
      </c>
      <c r="M10" s="11"/>
      <c r="N10" s="30" t="s">
        <v>257</v>
      </c>
      <c r="O10" s="11"/>
      <c r="P10" s="61" t="s">
        <v>57</v>
      </c>
      <c r="Q10" s="36"/>
      <c r="R10" s="30" t="s">
        <v>40</v>
      </c>
      <c r="S10" s="36"/>
      <c r="T10" s="50" t="s">
        <v>237</v>
      </c>
      <c r="U10" s="36"/>
      <c r="V10" s="30" t="s">
        <v>40</v>
      </c>
      <c r="W10" s="11"/>
      <c r="X10" s="42" t="s">
        <v>126</v>
      </c>
      <c r="Y10" s="11"/>
      <c r="Z10" s="30" t="s">
        <v>257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4" customFormat="1" collapsed="1" x14ac:dyDescent="0.25">
      <c r="A12" s="11"/>
      <c r="B12" s="29" t="s">
        <v>139</v>
      </c>
      <c r="C12" s="11"/>
      <c r="D12" s="4">
        <f>SUM(OSRRefD13x_0)</f>
        <v>4812.4399999999996</v>
      </c>
      <c r="E12" s="4"/>
      <c r="F12" s="13"/>
      <c r="G12" s="4"/>
      <c r="H12" s="4">
        <f>SUM(OSRRefH13x_0)</f>
        <v>3798.0899999999997</v>
      </c>
      <c r="I12" s="4"/>
      <c r="J12" s="13"/>
      <c r="K12" s="4"/>
      <c r="L12" s="4">
        <f t="shared" ref="L12:L29" si="0">+D12-H12</f>
        <v>1014.3499999999999</v>
      </c>
      <c r="M12" s="4"/>
      <c r="N12" s="13">
        <f t="shared" ref="N12:N29" si="1">IF(H12=0,0,L12/H12)</f>
        <v>0.26706844756180081</v>
      </c>
      <c r="O12" s="11"/>
      <c r="P12" s="4">
        <f>SUM(OSRRefP13x_0)</f>
        <v>132456.04999999999</v>
      </c>
      <c r="Q12" s="4"/>
      <c r="R12" s="13"/>
      <c r="S12" s="4"/>
      <c r="T12" s="4">
        <f>SUM(OSRRefT13x_0)</f>
        <v>476956.11</v>
      </c>
      <c r="U12" s="4"/>
      <c r="V12" s="13"/>
      <c r="W12" s="4"/>
      <c r="X12" s="4">
        <f t="shared" ref="X12:X29" si="2">+P12-T12</f>
        <v>-344500.06</v>
      </c>
      <c r="Y12" s="4"/>
      <c r="Z12" s="13">
        <f t="shared" ref="Z12:Z29" si="3">IF(T12=0,0,X12/T12)</f>
        <v>-0.72228880766408465</v>
      </c>
    </row>
    <row r="13" spans="1:26" s="23" customFormat="1" hidden="1" outlineLevel="1" x14ac:dyDescent="0.25">
      <c r="A13" s="44"/>
      <c r="B13" s="10" t="str">
        <f>CONCATENATE("          ", "4000", " - ", "TAXABLE SALES")</f>
        <v xml:space="preserve">          4000 - TAXABLE SALES</v>
      </c>
      <c r="C13" s="10"/>
      <c r="D13" s="2">
        <f>-39.88</f>
        <v>-39.880000000000003</v>
      </c>
      <c r="E13" s="2"/>
      <c r="F13" s="19"/>
      <c r="G13" s="2"/>
      <c r="H13" s="2">
        <f>0</f>
        <v>0</v>
      </c>
      <c r="I13" s="2"/>
      <c r="J13" s="19"/>
      <c r="K13" s="2"/>
      <c r="L13" s="2">
        <f t="shared" si="0"/>
        <v>-39.880000000000003</v>
      </c>
      <c r="M13" s="2"/>
      <c r="N13" s="19">
        <f t="shared" si="1"/>
        <v>0</v>
      </c>
      <c r="O13" s="10"/>
      <c r="P13" s="2">
        <f>-50.16</f>
        <v>-50.16</v>
      </c>
      <c r="Q13" s="2"/>
      <c r="R13" s="19"/>
      <c r="S13" s="2"/>
      <c r="T13" s="2">
        <f>0</f>
        <v>0</v>
      </c>
      <c r="U13" s="2"/>
      <c r="V13" s="19"/>
      <c r="W13" s="2"/>
      <c r="X13" s="2">
        <f t="shared" si="2"/>
        <v>-50.16</v>
      </c>
      <c r="Y13" s="2"/>
      <c r="Z13" s="19">
        <f t="shared" si="3"/>
        <v>0</v>
      </c>
    </row>
    <row r="14" spans="1:26" s="23" customFormat="1" hidden="1" outlineLevel="1" x14ac:dyDescent="0.25">
      <c r="A14" s="44"/>
      <c r="B14" s="10" t="str">
        <f>CONCATENATE("          ", "4041", " - ", "TAXABLE SALES-LOGO GIFTS")</f>
        <v xml:space="preserve">          4041 - TAXABLE SALES-LOGO GIFTS</v>
      </c>
      <c r="C14" s="10"/>
      <c r="D14" s="2">
        <f>--252.85</f>
        <v>252.85</v>
      </c>
      <c r="E14" s="2"/>
      <c r="F14" s="19"/>
      <c r="G14" s="2"/>
      <c r="H14" s="2">
        <f>--558.25</f>
        <v>558.25</v>
      </c>
      <c r="I14" s="2"/>
      <c r="J14" s="19"/>
      <c r="K14" s="2"/>
      <c r="L14" s="2">
        <f t="shared" si="0"/>
        <v>-305.39999999999998</v>
      </c>
      <c r="M14" s="2"/>
      <c r="N14" s="19">
        <f t="shared" si="1"/>
        <v>-0.54706672637707121</v>
      </c>
      <c r="O14" s="10"/>
      <c r="P14" s="2">
        <f>--93554.57</f>
        <v>93554.57</v>
      </c>
      <c r="Q14" s="2"/>
      <c r="R14" s="19"/>
      <c r="S14" s="2"/>
      <c r="T14" s="2">
        <f>--175578.6</f>
        <v>175578.6</v>
      </c>
      <c r="U14" s="2"/>
      <c r="V14" s="19"/>
      <c r="W14" s="2"/>
      <c r="X14" s="2">
        <f t="shared" si="2"/>
        <v>-82024.03</v>
      </c>
      <c r="Y14" s="2"/>
      <c r="Z14" s="19">
        <f t="shared" si="3"/>
        <v>-0.46716416465332333</v>
      </c>
    </row>
    <row r="15" spans="1:26" s="23" customFormat="1" hidden="1" outlineLevel="1" x14ac:dyDescent="0.25">
      <c r="A15" s="44"/>
      <c r="B15" s="10" t="str">
        <f>CONCATENATE("          ", "4042", " - ", "TAXABLE SALES-EVERYDAY GIFTS")</f>
        <v xml:space="preserve">          4042 - TAXABLE SALES-EVERYDAY GIFTS</v>
      </c>
      <c r="C15" s="10"/>
      <c r="D15" s="2">
        <f>--2580.95</f>
        <v>2580.9499999999998</v>
      </c>
      <c r="E15" s="2"/>
      <c r="F15" s="19"/>
      <c r="G15" s="2"/>
      <c r="H15" s="2">
        <f>--83.91</f>
        <v>83.91</v>
      </c>
      <c r="I15" s="2"/>
      <c r="J15" s="19"/>
      <c r="K15" s="2"/>
      <c r="L15" s="2">
        <f t="shared" si="0"/>
        <v>2497.04</v>
      </c>
      <c r="M15" s="2"/>
      <c r="N15" s="19">
        <f t="shared" si="1"/>
        <v>29.758550828268383</v>
      </c>
      <c r="O15" s="10"/>
      <c r="P15" s="2">
        <f>--20906.62</f>
        <v>20906.62</v>
      </c>
      <c r="Q15" s="2"/>
      <c r="R15" s="19"/>
      <c r="S15" s="2"/>
      <c r="T15" s="2">
        <f>--76606.57</f>
        <v>76606.570000000007</v>
      </c>
      <c r="U15" s="2"/>
      <c r="V15" s="19"/>
      <c r="W15" s="2"/>
      <c r="X15" s="2">
        <f t="shared" si="2"/>
        <v>-55699.950000000012</v>
      </c>
      <c r="Y15" s="2"/>
      <c r="Z15" s="19">
        <f t="shared" si="3"/>
        <v>-0.72709103148724719</v>
      </c>
    </row>
    <row r="16" spans="1:26" s="23" customFormat="1" hidden="1" outlineLevel="1" x14ac:dyDescent="0.25">
      <c r="A16" s="44"/>
      <c r="B16" s="10" t="str">
        <f>CONCATENATE("          ", "4043", " - ", "TAXABLE SALES-CARDS")</f>
        <v xml:space="preserve">          4043 - TAXABLE SALES-CARDS</v>
      </c>
      <c r="C16" s="10"/>
      <c r="D16" s="2">
        <f>--44.15</f>
        <v>44.15</v>
      </c>
      <c r="E16" s="2"/>
      <c r="F16" s="19"/>
      <c r="G16" s="2"/>
      <c r="H16" s="2">
        <f t="shared" ref="H16:H19" si="4">0</f>
        <v>0</v>
      </c>
      <c r="I16" s="2"/>
      <c r="J16" s="19"/>
      <c r="K16" s="2"/>
      <c r="L16" s="2">
        <f t="shared" si="0"/>
        <v>44.15</v>
      </c>
      <c r="M16" s="2"/>
      <c r="N16" s="19">
        <f t="shared" si="1"/>
        <v>0</v>
      </c>
      <c r="O16" s="10"/>
      <c r="P16" s="2">
        <f>--106.3</f>
        <v>106.3</v>
      </c>
      <c r="Q16" s="2"/>
      <c r="R16" s="19"/>
      <c r="S16" s="2"/>
      <c r="T16" s="2">
        <f>--921.72</f>
        <v>921.72</v>
      </c>
      <c r="U16" s="2"/>
      <c r="V16" s="19"/>
      <c r="W16" s="2"/>
      <c r="X16" s="2">
        <f t="shared" si="2"/>
        <v>-815.42000000000007</v>
      </c>
      <c r="Y16" s="2"/>
      <c r="Z16" s="19">
        <f t="shared" si="3"/>
        <v>-0.88467213470468264</v>
      </c>
    </row>
    <row r="17" spans="1:26" s="23" customFormat="1" hidden="1" outlineLevel="1" x14ac:dyDescent="0.25">
      <c r="A17" s="44"/>
      <c r="B17" s="10" t="str">
        <f>CONCATENATE("          ", "4044", " - ", "TAXABLE SALES-ACCESSORIES")</f>
        <v xml:space="preserve">          4044 - TAXABLE SALES-ACCESSORIES</v>
      </c>
      <c r="C17" s="10"/>
      <c r="D17" s="2">
        <f t="shared" ref="D17:D18" si="5">0</f>
        <v>0</v>
      </c>
      <c r="E17" s="2"/>
      <c r="F17" s="19"/>
      <c r="G17" s="2"/>
      <c r="H17" s="2">
        <f t="shared" si="4"/>
        <v>0</v>
      </c>
      <c r="I17" s="2"/>
      <c r="J17" s="19"/>
      <c r="K17" s="2"/>
      <c r="L17" s="2">
        <f t="shared" si="0"/>
        <v>0</v>
      </c>
      <c r="M17" s="2"/>
      <c r="N17" s="19">
        <f t="shared" si="1"/>
        <v>0</v>
      </c>
      <c r="O17" s="10"/>
      <c r="P17" s="2">
        <f t="shared" ref="P17:P18" si="6">0</f>
        <v>0</v>
      </c>
      <c r="Q17" s="2"/>
      <c r="R17" s="19"/>
      <c r="S17" s="2"/>
      <c r="T17" s="2">
        <f>--235.18</f>
        <v>235.18</v>
      </c>
      <c r="U17" s="2"/>
      <c r="V17" s="19"/>
      <c r="W17" s="2"/>
      <c r="X17" s="2">
        <f t="shared" si="2"/>
        <v>-235.18</v>
      </c>
      <c r="Y17" s="2"/>
      <c r="Z17" s="19">
        <f t="shared" si="3"/>
        <v>-1</v>
      </c>
    </row>
    <row r="18" spans="1:26" s="23" customFormat="1" hidden="1" outlineLevel="1" x14ac:dyDescent="0.25">
      <c r="A18" s="44"/>
      <c r="B18" s="10" t="str">
        <f>CONCATENATE("          ", "4047", " - ", "TAXABLE SALES-MISC")</f>
        <v xml:space="preserve">          4047 - TAXABLE SALES-MISC</v>
      </c>
      <c r="C18" s="10"/>
      <c r="D18" s="2">
        <f t="shared" si="5"/>
        <v>0</v>
      </c>
      <c r="E18" s="2"/>
      <c r="F18" s="19"/>
      <c r="G18" s="2"/>
      <c r="H18" s="2">
        <f t="shared" si="4"/>
        <v>0</v>
      </c>
      <c r="I18" s="2"/>
      <c r="J18" s="19"/>
      <c r="K18" s="2"/>
      <c r="L18" s="2">
        <f t="shared" si="0"/>
        <v>0</v>
      </c>
      <c r="M18" s="2"/>
      <c r="N18" s="19">
        <f t="shared" si="1"/>
        <v>0</v>
      </c>
      <c r="O18" s="10"/>
      <c r="P18" s="2">
        <f t="shared" si="6"/>
        <v>0</v>
      </c>
      <c r="Q18" s="2"/>
      <c r="R18" s="19"/>
      <c r="S18" s="2"/>
      <c r="T18" s="2">
        <f>--2676.14</f>
        <v>2676.14</v>
      </c>
      <c r="U18" s="2"/>
      <c r="V18" s="19"/>
      <c r="W18" s="2"/>
      <c r="X18" s="2">
        <f t="shared" si="2"/>
        <v>-2676.14</v>
      </c>
      <c r="Y18" s="2"/>
      <c r="Z18" s="19">
        <f t="shared" si="3"/>
        <v>-1</v>
      </c>
    </row>
    <row r="19" spans="1:26" s="23" customFormat="1" hidden="1" outlineLevel="1" x14ac:dyDescent="0.25">
      <c r="A19" s="44"/>
      <c r="B19" s="10" t="str">
        <f>CONCATENATE("          ", "4095", " - ", "TAXABLE SALES-CUSTOMER SERVICE")</f>
        <v xml:space="preserve">          4095 - TAXABLE SALES-CUSTOMER SERVICE</v>
      </c>
      <c r="C19" s="10"/>
      <c r="D19" s="2">
        <f>--1688.17</f>
        <v>1688.17</v>
      </c>
      <c r="E19" s="2"/>
      <c r="F19" s="19"/>
      <c r="G19" s="2"/>
      <c r="H19" s="2">
        <f t="shared" si="4"/>
        <v>0</v>
      </c>
      <c r="I19" s="2"/>
      <c r="J19" s="19"/>
      <c r="K19" s="2"/>
      <c r="L19" s="2">
        <f t="shared" si="0"/>
        <v>1688.17</v>
      </c>
      <c r="M19" s="2"/>
      <c r="N19" s="19">
        <f t="shared" si="1"/>
        <v>0</v>
      </c>
      <c r="O19" s="10"/>
      <c r="P19" s="2">
        <f>--15614</f>
        <v>15614</v>
      </c>
      <c r="Q19" s="2"/>
      <c r="R19" s="19"/>
      <c r="S19" s="2"/>
      <c r="T19" s="2">
        <f>0</f>
        <v>0</v>
      </c>
      <c r="U19" s="2"/>
      <c r="V19" s="19"/>
      <c r="W19" s="2"/>
      <c r="X19" s="2">
        <f t="shared" si="2"/>
        <v>15614</v>
      </c>
      <c r="Y19" s="2"/>
      <c r="Z19" s="19">
        <f t="shared" si="3"/>
        <v>0</v>
      </c>
    </row>
    <row r="20" spans="1:26" s="23" customFormat="1" hidden="1" outlineLevel="1" x14ac:dyDescent="0.25">
      <c r="A20" s="44"/>
      <c r="B20" s="10" t="str">
        <f>CONCATENATE("          ", "4141", " - ", "NON-TAXABLE SALES-LOGO GIFTS")</f>
        <v xml:space="preserve">          4141 - NON-TAXABLE SALES-LOGO GIFTS</v>
      </c>
      <c r="C20" s="10"/>
      <c r="D20" s="2">
        <f t="shared" ref="D20:D21" si="7">0</f>
        <v>0</v>
      </c>
      <c r="E20" s="2"/>
      <c r="F20" s="19"/>
      <c r="G20" s="2"/>
      <c r="H20" s="2">
        <f>--106.5</f>
        <v>106.5</v>
      </c>
      <c r="I20" s="2"/>
      <c r="J20" s="19"/>
      <c r="K20" s="2"/>
      <c r="L20" s="2">
        <f t="shared" si="0"/>
        <v>-106.5</v>
      </c>
      <c r="M20" s="2"/>
      <c r="N20" s="19">
        <f t="shared" si="1"/>
        <v>-1</v>
      </c>
      <c r="O20" s="10"/>
      <c r="P20" s="2">
        <f>--1756.04</f>
        <v>1756.04</v>
      </c>
      <c r="Q20" s="2"/>
      <c r="R20" s="19"/>
      <c r="S20" s="2"/>
      <c r="T20" s="2">
        <f>--1028.1</f>
        <v>1028.0999999999999</v>
      </c>
      <c r="U20" s="2"/>
      <c r="V20" s="19"/>
      <c r="W20" s="2"/>
      <c r="X20" s="2">
        <f t="shared" si="2"/>
        <v>727.94</v>
      </c>
      <c r="Y20" s="2"/>
      <c r="Z20" s="19">
        <f t="shared" si="3"/>
        <v>0.70804396459488383</v>
      </c>
    </row>
    <row r="21" spans="1:26" s="23" customFormat="1" hidden="1" outlineLevel="1" x14ac:dyDescent="0.25">
      <c r="A21" s="44"/>
      <c r="B21" s="10" t="str">
        <f>CONCATENATE("          ", "4142", " - ", "NON-TAXABLE SALES-EVERYDAY GIF")</f>
        <v xml:space="preserve">          4142 - NON-TAXABLE SALES-EVERYDAY GIF</v>
      </c>
      <c r="C21" s="10"/>
      <c r="D21" s="2">
        <f t="shared" si="7"/>
        <v>0</v>
      </c>
      <c r="E21" s="2"/>
      <c r="F21" s="19"/>
      <c r="G21" s="2"/>
      <c r="H21" s="2">
        <f>--3049.43</f>
        <v>3049.43</v>
      </c>
      <c r="I21" s="2"/>
      <c r="J21" s="19"/>
      <c r="K21" s="2"/>
      <c r="L21" s="2">
        <f t="shared" si="0"/>
        <v>-3049.43</v>
      </c>
      <c r="M21" s="2"/>
      <c r="N21" s="19">
        <f t="shared" si="1"/>
        <v>-1</v>
      </c>
      <c r="O21" s="10"/>
      <c r="P21" s="2">
        <f>--1137.08</f>
        <v>1137.08</v>
      </c>
      <c r="Q21" s="2"/>
      <c r="R21" s="19"/>
      <c r="S21" s="2"/>
      <c r="T21" s="2">
        <f>--11973.45</f>
        <v>11973.45</v>
      </c>
      <c r="U21" s="2"/>
      <c r="V21" s="19"/>
      <c r="W21" s="2"/>
      <c r="X21" s="2">
        <f t="shared" si="2"/>
        <v>-10836.37</v>
      </c>
      <c r="Y21" s="2"/>
      <c r="Z21" s="19">
        <f t="shared" si="3"/>
        <v>-0.90503321933110337</v>
      </c>
    </row>
    <row r="22" spans="1:26" s="23" customFormat="1" hidden="1" outlineLevel="1" x14ac:dyDescent="0.25">
      <c r="A22" s="44"/>
      <c r="B22" s="10" t="str">
        <f>CONCATENATE("          ", "4146", " - ", "NON-TAXABLE SALES-COIN OP MACH")</f>
        <v xml:space="preserve">          4146 - NON-TAXABLE SALES-COIN OP MACH</v>
      </c>
      <c r="C22" s="10"/>
      <c r="D22" s="2">
        <f>--282.2</f>
        <v>282.2</v>
      </c>
      <c r="E22" s="2"/>
      <c r="F22" s="19"/>
      <c r="G22" s="2"/>
      <c r="H22" s="2">
        <f t="shared" ref="H22:H29" si="8">0</f>
        <v>0</v>
      </c>
      <c r="I22" s="2"/>
      <c r="J22" s="19"/>
      <c r="K22" s="2"/>
      <c r="L22" s="2">
        <f t="shared" si="0"/>
        <v>282.2</v>
      </c>
      <c r="M22" s="2"/>
      <c r="N22" s="19">
        <f t="shared" si="1"/>
        <v>0</v>
      </c>
      <c r="O22" s="10"/>
      <c r="P22" s="2">
        <f>--668.1</f>
        <v>668.1</v>
      </c>
      <c r="Q22" s="2"/>
      <c r="R22" s="19"/>
      <c r="S22" s="2"/>
      <c r="T22" s="2">
        <f>--205908.65</f>
        <v>205908.65</v>
      </c>
      <c r="U22" s="2"/>
      <c r="V22" s="19"/>
      <c r="W22" s="2"/>
      <c r="X22" s="2">
        <f t="shared" si="2"/>
        <v>-205240.55</v>
      </c>
      <c r="Y22" s="2"/>
      <c r="Z22" s="19">
        <f t="shared" si="3"/>
        <v>-0.99675535729072084</v>
      </c>
    </row>
    <row r="23" spans="1:26" s="23" customFormat="1" hidden="1" outlineLevel="1" x14ac:dyDescent="0.25">
      <c r="A23" s="44"/>
      <c r="B23" s="10" t="str">
        <f>CONCATENATE("          ", "4147", " - ", "NON-TAXABLE SALES-MISC")</f>
        <v xml:space="preserve">          4147 - NON-TAXABLE SALES-MISC</v>
      </c>
      <c r="C23" s="10"/>
      <c r="D23" s="2">
        <f>--4</f>
        <v>4</v>
      </c>
      <c r="E23" s="2"/>
      <c r="F23" s="19"/>
      <c r="G23" s="2"/>
      <c r="H23" s="2">
        <f t="shared" si="8"/>
        <v>0</v>
      </c>
      <c r="I23" s="2"/>
      <c r="J23" s="19"/>
      <c r="K23" s="2"/>
      <c r="L23" s="2">
        <f t="shared" si="0"/>
        <v>4</v>
      </c>
      <c r="M23" s="2"/>
      <c r="N23" s="19">
        <f t="shared" si="1"/>
        <v>0</v>
      </c>
      <c r="O23" s="10"/>
      <c r="P23" s="2">
        <f>--172</f>
        <v>172</v>
      </c>
      <c r="Q23" s="2"/>
      <c r="R23" s="19"/>
      <c r="S23" s="2"/>
      <c r="T23" s="2">
        <f>--3446.37</f>
        <v>3446.37</v>
      </c>
      <c r="U23" s="2"/>
      <c r="V23" s="19"/>
      <c r="W23" s="2"/>
      <c r="X23" s="2">
        <f t="shared" si="2"/>
        <v>-3274.37</v>
      </c>
      <c r="Y23" s="2"/>
      <c r="Z23" s="19">
        <f t="shared" si="3"/>
        <v>-0.95009241607836648</v>
      </c>
    </row>
    <row r="24" spans="1:26" s="23" customFormat="1" hidden="1" outlineLevel="1" x14ac:dyDescent="0.25">
      <c r="A24" s="44"/>
      <c r="B24" s="10" t="str">
        <f>CONCATENATE("          ", "4241", " - ", "SALES RETURN TAXABLE-LOGO GIFT")</f>
        <v xml:space="preserve">          4241 - SALES RETURN TAXABLE-LOGO GIFT</v>
      </c>
      <c r="C24" s="10"/>
      <c r="D24" s="2">
        <f t="shared" ref="D24:D29" si="9">0</f>
        <v>0</v>
      </c>
      <c r="E24" s="2"/>
      <c r="F24" s="19"/>
      <c r="G24" s="2"/>
      <c r="H24" s="2">
        <f t="shared" si="8"/>
        <v>0</v>
      </c>
      <c r="I24" s="2"/>
      <c r="J24" s="19"/>
      <c r="K24" s="2"/>
      <c r="L24" s="2">
        <f t="shared" si="0"/>
        <v>0</v>
      </c>
      <c r="M24" s="2"/>
      <c r="N24" s="19">
        <f t="shared" si="1"/>
        <v>0</v>
      </c>
      <c r="O24" s="10"/>
      <c r="P24" s="2">
        <f>-1293</f>
        <v>-1293</v>
      </c>
      <c r="Q24" s="2"/>
      <c r="R24" s="19"/>
      <c r="S24" s="2"/>
      <c r="T24" s="2">
        <f>-1059.4</f>
        <v>-1059.4000000000001</v>
      </c>
      <c r="U24" s="2"/>
      <c r="V24" s="19"/>
      <c r="W24" s="2"/>
      <c r="X24" s="2">
        <f t="shared" si="2"/>
        <v>-233.59999999999991</v>
      </c>
      <c r="Y24" s="2"/>
      <c r="Z24" s="19">
        <f t="shared" si="3"/>
        <v>0.22050217104021133</v>
      </c>
    </row>
    <row r="25" spans="1:26" s="23" customFormat="1" hidden="1" outlineLevel="1" x14ac:dyDescent="0.25">
      <c r="A25" s="44"/>
      <c r="B25" s="10" t="str">
        <f>CONCATENATE("          ", "4242", " - ", "SALES RETURN TAXABLE-EVERYDAY")</f>
        <v xml:space="preserve">          4242 - SALES RETURN TAXABLE-EVERYDAY</v>
      </c>
      <c r="C25" s="10"/>
      <c r="D25" s="2">
        <f t="shared" si="9"/>
        <v>0</v>
      </c>
      <c r="E25" s="2"/>
      <c r="F25" s="19"/>
      <c r="G25" s="2"/>
      <c r="H25" s="2">
        <f t="shared" si="8"/>
        <v>0</v>
      </c>
      <c r="I25" s="2"/>
      <c r="J25" s="19"/>
      <c r="K25" s="2"/>
      <c r="L25" s="2">
        <f t="shared" si="0"/>
        <v>0</v>
      </c>
      <c r="M25" s="2"/>
      <c r="N25" s="19">
        <f t="shared" si="1"/>
        <v>0</v>
      </c>
      <c r="O25" s="10"/>
      <c r="P25" s="2">
        <f>0</f>
        <v>0</v>
      </c>
      <c r="Q25" s="2"/>
      <c r="R25" s="19"/>
      <c r="S25" s="2"/>
      <c r="T25" s="2">
        <f>-227.7</f>
        <v>-227.7</v>
      </c>
      <c r="U25" s="2"/>
      <c r="V25" s="19"/>
      <c r="W25" s="2"/>
      <c r="X25" s="2">
        <f t="shared" si="2"/>
        <v>227.7</v>
      </c>
      <c r="Y25" s="2"/>
      <c r="Z25" s="19">
        <f t="shared" si="3"/>
        <v>-1</v>
      </c>
    </row>
    <row r="26" spans="1:26" s="23" customFormat="1" hidden="1" outlineLevel="1" x14ac:dyDescent="0.25">
      <c r="A26" s="44"/>
      <c r="B26" s="10" t="str">
        <f>CONCATENATE("          ", "4341", " - ", "SALES RETURN NON TAXABLE-LOGO")</f>
        <v xml:space="preserve">          4341 - SALES RETURN NON TAXABLE-LOGO</v>
      </c>
      <c r="C26" s="10"/>
      <c r="D26" s="2">
        <f t="shared" si="9"/>
        <v>0</v>
      </c>
      <c r="E26" s="2"/>
      <c r="F26" s="19"/>
      <c r="G26" s="2"/>
      <c r="H26" s="2">
        <f t="shared" si="8"/>
        <v>0</v>
      </c>
      <c r="I26" s="2"/>
      <c r="J26" s="19"/>
      <c r="K26" s="2"/>
      <c r="L26" s="2">
        <f t="shared" si="0"/>
        <v>0</v>
      </c>
      <c r="M26" s="2"/>
      <c r="N26" s="19">
        <f t="shared" si="1"/>
        <v>0</v>
      </c>
      <c r="O26" s="10"/>
      <c r="P26" s="2">
        <f>-115.5</f>
        <v>-115.5</v>
      </c>
      <c r="Q26" s="2"/>
      <c r="R26" s="19"/>
      <c r="S26" s="2"/>
      <c r="T26" s="2">
        <f>0</f>
        <v>0</v>
      </c>
      <c r="U26" s="2"/>
      <c r="V26" s="19"/>
      <c r="W26" s="2"/>
      <c r="X26" s="2">
        <f t="shared" si="2"/>
        <v>-115.5</v>
      </c>
      <c r="Y26" s="2"/>
      <c r="Z26" s="19">
        <f t="shared" si="3"/>
        <v>0</v>
      </c>
    </row>
    <row r="27" spans="1:26" s="23" customFormat="1" hidden="1" outlineLevel="1" x14ac:dyDescent="0.25">
      <c r="A27" s="44"/>
      <c r="B27" s="10" t="str">
        <f>CONCATENATE("          ", "4342", " - ", "SALES RETURN NON TAXABLE-EVERY")</f>
        <v xml:space="preserve">          4342 - SALES RETURN NON TAXABLE-EVERY</v>
      </c>
      <c r="C27" s="10"/>
      <c r="D27" s="2">
        <f t="shared" si="9"/>
        <v>0</v>
      </c>
      <c r="E27" s="2"/>
      <c r="F27" s="19"/>
      <c r="G27" s="2"/>
      <c r="H27" s="2">
        <f t="shared" si="8"/>
        <v>0</v>
      </c>
      <c r="I27" s="2"/>
      <c r="J27" s="19"/>
      <c r="K27" s="2"/>
      <c r="L27" s="2">
        <f t="shared" si="0"/>
        <v>0</v>
      </c>
      <c r="M27" s="2"/>
      <c r="N27" s="19">
        <f t="shared" si="1"/>
        <v>0</v>
      </c>
      <c r="O27" s="10"/>
      <c r="P27" s="2">
        <f t="shared" ref="P27:P29" si="10">0</f>
        <v>0</v>
      </c>
      <c r="Q27" s="2"/>
      <c r="R27" s="19"/>
      <c r="S27" s="2"/>
      <c r="T27" s="2">
        <f>-39.42</f>
        <v>-39.42</v>
      </c>
      <c r="U27" s="2"/>
      <c r="V27" s="19"/>
      <c r="W27" s="2"/>
      <c r="X27" s="2">
        <f t="shared" si="2"/>
        <v>39.42</v>
      </c>
      <c r="Y27" s="2"/>
      <c r="Z27" s="19">
        <f t="shared" si="3"/>
        <v>-1</v>
      </c>
    </row>
    <row r="28" spans="1:26" s="23" customFormat="1" hidden="1" outlineLevel="1" x14ac:dyDescent="0.25">
      <c r="A28" s="44"/>
      <c r="B28" s="10" t="str">
        <f>CONCATENATE("          ", "4346", " - ", "SALES RETURN NON TAXABLE-COIN-")</f>
        <v xml:space="preserve">          4346 - SALES RETURN NON TAXABLE-COIN-</v>
      </c>
      <c r="C28" s="10"/>
      <c r="D28" s="2">
        <f t="shared" si="9"/>
        <v>0</v>
      </c>
      <c r="E28" s="2"/>
      <c r="F28" s="19"/>
      <c r="G28" s="2"/>
      <c r="H28" s="2">
        <f t="shared" si="8"/>
        <v>0</v>
      </c>
      <c r="I28" s="2"/>
      <c r="J28" s="19"/>
      <c r="K28" s="2"/>
      <c r="L28" s="2">
        <f t="shared" si="0"/>
        <v>0</v>
      </c>
      <c r="M28" s="2"/>
      <c r="N28" s="19">
        <f t="shared" si="1"/>
        <v>0</v>
      </c>
      <c r="O28" s="10"/>
      <c r="P28" s="2">
        <f t="shared" si="10"/>
        <v>0</v>
      </c>
      <c r="Q28" s="2"/>
      <c r="R28" s="19"/>
      <c r="S28" s="2"/>
      <c r="T28" s="2">
        <f>-8.15</f>
        <v>-8.15</v>
      </c>
      <c r="U28" s="2"/>
      <c r="V28" s="19"/>
      <c r="W28" s="2"/>
      <c r="X28" s="2">
        <f t="shared" si="2"/>
        <v>8.15</v>
      </c>
      <c r="Y28" s="2"/>
      <c r="Z28" s="19">
        <f t="shared" si="3"/>
        <v>-1</v>
      </c>
    </row>
    <row r="29" spans="1:26" s="23" customFormat="1" hidden="1" outlineLevel="1" x14ac:dyDescent="0.25">
      <c r="A29" s="44"/>
      <c r="B29" s="10" t="str">
        <f>CONCATENATE("          ", "4347", " - ", "SALES RETURN NON TAXABLE-MISC")</f>
        <v xml:space="preserve">          4347 - SALES RETURN NON TAXABLE-MISC</v>
      </c>
      <c r="C29" s="10"/>
      <c r="D29" s="2">
        <f t="shared" si="9"/>
        <v>0</v>
      </c>
      <c r="E29" s="2"/>
      <c r="F29" s="19"/>
      <c r="G29" s="2"/>
      <c r="H29" s="2">
        <f t="shared" si="8"/>
        <v>0</v>
      </c>
      <c r="I29" s="2"/>
      <c r="J29" s="19"/>
      <c r="K29" s="2"/>
      <c r="L29" s="2">
        <f t="shared" si="0"/>
        <v>0</v>
      </c>
      <c r="M29" s="2"/>
      <c r="N29" s="19">
        <f t="shared" si="1"/>
        <v>0</v>
      </c>
      <c r="O29" s="10"/>
      <c r="P29" s="2">
        <f t="shared" si="10"/>
        <v>0</v>
      </c>
      <c r="Q29" s="2"/>
      <c r="R29" s="19"/>
      <c r="S29" s="2"/>
      <c r="T29" s="2">
        <f>-84</f>
        <v>-84</v>
      </c>
      <c r="U29" s="2"/>
      <c r="V29" s="19"/>
      <c r="W29" s="2"/>
      <c r="X29" s="2">
        <f t="shared" si="2"/>
        <v>84</v>
      </c>
      <c r="Y29" s="2"/>
      <c r="Z29" s="19">
        <f t="shared" si="3"/>
        <v>-1</v>
      </c>
    </row>
    <row r="30" spans="1:26" x14ac:dyDescent="0.25">
      <c r="A30" s="9"/>
      <c r="B30" s="11"/>
      <c r="C30" s="9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4" customFormat="1" x14ac:dyDescent="0.25">
      <c r="A31" s="11"/>
      <c r="B31" s="29" t="s">
        <v>256</v>
      </c>
      <c r="C31" s="11"/>
      <c r="D31" s="4">
        <f>SUM(0)</f>
        <v>0</v>
      </c>
      <c r="E31" s="4"/>
      <c r="F31" s="13">
        <f>IF(D$12=0,0,D31/D$12)</f>
        <v>0</v>
      </c>
      <c r="G31" s="4"/>
      <c r="H31" s="4">
        <f>SUM(0)</f>
        <v>0</v>
      </c>
      <c r="I31" s="4"/>
      <c r="J31" s="13">
        <f>IF(H$12=0,0,H31/H$12)</f>
        <v>0</v>
      </c>
      <c r="K31" s="4"/>
      <c r="L31" s="4">
        <f>+D31-H31</f>
        <v>0</v>
      </c>
      <c r="M31" s="4"/>
      <c r="N31" s="13">
        <f>IF(H31=0,0,L31/H31)</f>
        <v>0</v>
      </c>
      <c r="O31" s="11"/>
      <c r="P31" s="4">
        <f>SUM(0)</f>
        <v>0</v>
      </c>
      <c r="Q31" s="4"/>
      <c r="R31" s="13">
        <f>IF(P$12=0,0,P31/P$12)</f>
        <v>0</v>
      </c>
      <c r="S31" s="4"/>
      <c r="T31" s="4">
        <f>SUM(0)</f>
        <v>0</v>
      </c>
      <c r="U31" s="4"/>
      <c r="V31" s="13">
        <f>IF(T$12=0,0,T31/T$12)</f>
        <v>0</v>
      </c>
      <c r="W31" s="4"/>
      <c r="X31" s="4">
        <f>+P31-T31</f>
        <v>0</v>
      </c>
      <c r="Y31" s="4"/>
      <c r="Z31" s="13">
        <f>IF(T31=0,0,X31/T31)</f>
        <v>0</v>
      </c>
    </row>
    <row r="32" spans="1:26" x14ac:dyDescent="0.25">
      <c r="A32" s="9"/>
      <c r="B32" s="11"/>
      <c r="C32" s="11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O32" s="11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4" customFormat="1" x14ac:dyDescent="0.25">
      <c r="A33" s="11"/>
      <c r="B33" s="28" t="s">
        <v>107</v>
      </c>
      <c r="C33" s="28"/>
      <c r="D33" s="21">
        <f>D12-D31</f>
        <v>4812.4399999999996</v>
      </c>
      <c r="E33" s="14"/>
      <c r="F33" s="22">
        <f>IF(D$12=0,0,D33/D$12)</f>
        <v>1</v>
      </c>
      <c r="G33" s="14"/>
      <c r="H33" s="21">
        <f>H12-H31</f>
        <v>3798.0899999999997</v>
      </c>
      <c r="I33" s="14"/>
      <c r="J33" s="22">
        <f>IF(H$12=0,0,H33/H$12)</f>
        <v>1</v>
      </c>
      <c r="K33" s="15"/>
      <c r="L33" s="21">
        <f>+D33-H33</f>
        <v>1014.3499999999999</v>
      </c>
      <c r="M33" s="15"/>
      <c r="N33" s="22">
        <f>IF(H33=0,0,L33/H33)</f>
        <v>0.26706844756180081</v>
      </c>
      <c r="O33" s="29"/>
      <c r="P33" s="21">
        <f>P12-P31</f>
        <v>132456.04999999999</v>
      </c>
      <c r="Q33" s="14"/>
      <c r="R33" s="22">
        <f>IF(P$12=0,0,P33/P$12)</f>
        <v>1</v>
      </c>
      <c r="S33" s="14"/>
      <c r="T33" s="21">
        <f>T12-T31</f>
        <v>476956.11</v>
      </c>
      <c r="U33" s="14"/>
      <c r="V33" s="22">
        <f>IF(T$12=0,0,T33/T$12)</f>
        <v>1</v>
      </c>
      <c r="W33" s="15"/>
      <c r="X33" s="21">
        <f>+P33-T33</f>
        <v>-344500.06</v>
      </c>
      <c r="Y33" s="15"/>
      <c r="Z33" s="22">
        <f>IF(T33=0,0,X33/T33)</f>
        <v>-0.72228880766408465</v>
      </c>
    </row>
    <row r="34" spans="1:26" x14ac:dyDescent="0.25">
      <c r="A34" s="9"/>
      <c r="B34" s="11"/>
      <c r="C34" s="9"/>
      <c r="D34" s="1"/>
      <c r="E34" s="1"/>
      <c r="F34" s="5"/>
      <c r="G34" s="1"/>
      <c r="H34" s="1"/>
      <c r="I34" s="1"/>
      <c r="J34" s="5"/>
      <c r="K34" s="1"/>
      <c r="L34" s="1"/>
      <c r="M34" s="1"/>
      <c r="N34" s="5"/>
      <c r="O34" s="37"/>
      <c r="P34" s="1"/>
      <c r="Q34" s="1"/>
      <c r="R34" s="5"/>
      <c r="S34" s="1"/>
      <c r="T34" s="1"/>
      <c r="U34" s="1"/>
      <c r="V34" s="5"/>
      <c r="W34" s="1"/>
      <c r="X34" s="1"/>
      <c r="Y34" s="1"/>
      <c r="Z34" s="5"/>
    </row>
    <row r="35" spans="1:26" s="24" customFormat="1" x14ac:dyDescent="0.25">
      <c r="A35" s="11"/>
      <c r="B35" s="29" t="s">
        <v>294</v>
      </c>
      <c r="C35" s="11"/>
      <c r="D35" s="20">
        <f>SUM(OSRRefD22x_0)</f>
        <v>32446.999999999996</v>
      </c>
      <c r="E35" s="20"/>
      <c r="F35" s="32">
        <f t="shared" ref="F35:F44" si="11">IF(D$12=0,0,D35/D$12)</f>
        <v>6.7423178263001722</v>
      </c>
      <c r="G35" s="20"/>
      <c r="H35" s="20">
        <f>SUM(OSRRefH22x_0)</f>
        <v>30237.630000000005</v>
      </c>
      <c r="I35" s="20"/>
      <c r="J35" s="32">
        <f t="shared" ref="J35:J44" si="12">IF(H$12=0,0,H35/H$12)</f>
        <v>7.9612726396688878</v>
      </c>
      <c r="K35" s="4"/>
      <c r="L35" s="20">
        <f t="shared" ref="L35:L44" si="13">+D35-H35</f>
        <v>2209.3699999999917</v>
      </c>
      <c r="M35" s="4"/>
      <c r="N35" s="32">
        <f t="shared" ref="N35:N44" si="14">IF(H35=0,0,L35/H35)</f>
        <v>7.3066903722282181E-2</v>
      </c>
      <c r="O35" s="11"/>
      <c r="P35" s="20">
        <f>SUM(OSRRefP22x_0)</f>
        <v>318006.93</v>
      </c>
      <c r="Q35" s="20"/>
      <c r="R35" s="32">
        <f t="shared" ref="R35:R44" si="15">IF(P$12=0,0,P35/P$12)</f>
        <v>2.4008486588570324</v>
      </c>
      <c r="S35" s="20"/>
      <c r="T35" s="20">
        <f>SUM(OSRRefT22x_0)</f>
        <v>502001.7699999999</v>
      </c>
      <c r="U35" s="20"/>
      <c r="V35" s="32">
        <f t="shared" ref="V35:V44" si="16">IF(T$12=0,0,T35/T$12)</f>
        <v>1.0525114564524605</v>
      </c>
      <c r="W35" s="4"/>
      <c r="X35" s="20">
        <f t="shared" ref="X35:X44" si="17">+P35-T35</f>
        <v>-183994.83999999991</v>
      </c>
      <c r="Y35" s="4"/>
      <c r="Z35" s="32">
        <f t="shared" ref="Z35:Z44" si="18">IF(T35=0,0,X35/T35)</f>
        <v>-0.36652229333773056</v>
      </c>
    </row>
    <row r="36" spans="1:26" s="27" customFormat="1" outlineLevel="1" collapsed="1" x14ac:dyDescent="0.25">
      <c r="A36" s="26"/>
      <c r="B36" s="12" t="str">
        <f>CONCATENATE("     ","*Benefits                                         ")</f>
        <v xml:space="preserve">     *Benefits                                         </v>
      </c>
      <c r="C36" s="12"/>
      <c r="D36" s="1">
        <f>SUM(OSRRefD22_0x_0)</f>
        <v>9813.18</v>
      </c>
      <c r="E36" s="1"/>
      <c r="F36" s="5">
        <f t="shared" si="11"/>
        <v>2.0391277605538982</v>
      </c>
      <c r="G36" s="1"/>
      <c r="H36" s="1">
        <f>SUM(OSRRefH22_0x_0)</f>
        <v>6124.46</v>
      </c>
      <c r="I36" s="1"/>
      <c r="J36" s="5">
        <f t="shared" si="12"/>
        <v>1.6125104986980299</v>
      </c>
      <c r="K36" s="1"/>
      <c r="L36" s="1">
        <f t="shared" si="13"/>
        <v>3688.7200000000003</v>
      </c>
      <c r="M36" s="1"/>
      <c r="N36" s="5">
        <f t="shared" si="14"/>
        <v>0.60229310012637849</v>
      </c>
      <c r="O36" s="12"/>
      <c r="P36" s="1">
        <f>SUM(OSRRefP22_0x_0)</f>
        <v>113804.90000000001</v>
      </c>
      <c r="Q36" s="1"/>
      <c r="R36" s="5">
        <f t="shared" si="15"/>
        <v>0.85918989732820827</v>
      </c>
      <c r="S36" s="1"/>
      <c r="T36" s="1">
        <f>SUM(OSRRefT22_0x_0)</f>
        <v>95091.499999999985</v>
      </c>
      <c r="U36" s="1"/>
      <c r="V36" s="5">
        <f t="shared" si="16"/>
        <v>0.19937159417037342</v>
      </c>
      <c r="W36" s="1"/>
      <c r="X36" s="1">
        <f t="shared" si="17"/>
        <v>18713.400000000023</v>
      </c>
      <c r="Y36" s="1"/>
      <c r="Z36" s="5">
        <f t="shared" si="18"/>
        <v>0.19679361457122904</v>
      </c>
    </row>
    <row r="37" spans="1:26" s="23" customFormat="1" hidden="1" outlineLevel="2" x14ac:dyDescent="0.25">
      <c r="A37" s="25"/>
      <c r="B37" s="10" t="str">
        <f>CONCATENATE("          ", "6111", " - ", "F.I.C.A.")</f>
        <v xml:space="preserve">          6111 - F.I.C.A.</v>
      </c>
      <c r="C37" s="10"/>
      <c r="D37" s="6">
        <v>1244.99</v>
      </c>
      <c r="E37" s="2"/>
      <c r="F37" s="7">
        <f t="shared" si="11"/>
        <v>0.25870244616036775</v>
      </c>
      <c r="G37" s="2"/>
      <c r="H37" s="6">
        <v>870.7</v>
      </c>
      <c r="I37" s="2"/>
      <c r="J37" s="7">
        <f t="shared" si="12"/>
        <v>0.22924680563125152</v>
      </c>
      <c r="K37" s="2"/>
      <c r="L37" s="6">
        <f t="shared" si="13"/>
        <v>374.28999999999996</v>
      </c>
      <c r="M37" s="2"/>
      <c r="N37" s="7">
        <f t="shared" si="14"/>
        <v>0.4298725163661421</v>
      </c>
      <c r="O37" s="10"/>
      <c r="P37" s="6">
        <v>15776.77</v>
      </c>
      <c r="Q37" s="2"/>
      <c r="R37" s="7">
        <f t="shared" si="15"/>
        <v>0.11910947065083098</v>
      </c>
      <c r="S37" s="2"/>
      <c r="T37" s="6">
        <v>14684.92</v>
      </c>
      <c r="U37" s="2"/>
      <c r="V37" s="7">
        <f t="shared" si="16"/>
        <v>3.0788828766655282E-2</v>
      </c>
      <c r="W37" s="2"/>
      <c r="X37" s="6">
        <f t="shared" si="17"/>
        <v>1091.8500000000004</v>
      </c>
      <c r="Y37" s="2"/>
      <c r="Z37" s="7">
        <f t="shared" si="18"/>
        <v>7.435178400699495E-2</v>
      </c>
    </row>
    <row r="38" spans="1:26" s="23" customFormat="1" hidden="1" outlineLevel="2" x14ac:dyDescent="0.25">
      <c r="A38" s="25"/>
      <c r="B38" s="10" t="str">
        <f>CONCATENATE("          ", "6112", " - ", "COMPENSATION INSURANCE")</f>
        <v xml:space="preserve">          6112 - COMPENSATION INSURANCE</v>
      </c>
      <c r="C38" s="10"/>
      <c r="D38" s="6">
        <v>319.12</v>
      </c>
      <c r="E38" s="2"/>
      <c r="F38" s="7">
        <f t="shared" si="11"/>
        <v>6.63114760911305E-2</v>
      </c>
      <c r="G38" s="2"/>
      <c r="H38" s="6">
        <v>216.26</v>
      </c>
      <c r="I38" s="2"/>
      <c r="J38" s="7">
        <f t="shared" si="12"/>
        <v>5.6939145728510915E-2</v>
      </c>
      <c r="K38" s="2"/>
      <c r="L38" s="6">
        <f t="shared" si="13"/>
        <v>102.86000000000001</v>
      </c>
      <c r="M38" s="2"/>
      <c r="N38" s="7">
        <f t="shared" si="14"/>
        <v>0.47563118468510135</v>
      </c>
      <c r="O38" s="10"/>
      <c r="P38" s="6">
        <v>4131.79</v>
      </c>
      <c r="Q38" s="2"/>
      <c r="R38" s="7">
        <f t="shared" si="15"/>
        <v>3.1193667635415673E-2</v>
      </c>
      <c r="S38" s="2"/>
      <c r="T38" s="6">
        <v>2635.06</v>
      </c>
      <c r="U38" s="2"/>
      <c r="V38" s="7">
        <f t="shared" si="16"/>
        <v>5.5247431467016954E-3</v>
      </c>
      <c r="W38" s="2"/>
      <c r="X38" s="6">
        <f t="shared" si="17"/>
        <v>1496.73</v>
      </c>
      <c r="Y38" s="2"/>
      <c r="Z38" s="7">
        <f t="shared" si="18"/>
        <v>0.56800604160816071</v>
      </c>
    </row>
    <row r="39" spans="1:26" s="23" customFormat="1" hidden="1" outlineLevel="2" x14ac:dyDescent="0.25">
      <c r="A39" s="25"/>
      <c r="B39" s="10" t="str">
        <f>CONCATENATE("          ", "6113", " - ", "GROUP INSURANCE")</f>
        <v xml:space="preserve">          6113 - GROUP INSURANCE</v>
      </c>
      <c r="C39" s="10"/>
      <c r="D39" s="6">
        <v>3421.48</v>
      </c>
      <c r="E39" s="2"/>
      <c r="F39" s="7">
        <f t="shared" si="11"/>
        <v>0.71096574710541849</v>
      </c>
      <c r="G39" s="2"/>
      <c r="H39" s="6">
        <v>2724.48</v>
      </c>
      <c r="I39" s="2"/>
      <c r="J39" s="7">
        <f t="shared" si="12"/>
        <v>0.71732897324707956</v>
      </c>
      <c r="K39" s="2"/>
      <c r="L39" s="6">
        <f t="shared" si="13"/>
        <v>697</v>
      </c>
      <c r="M39" s="2"/>
      <c r="N39" s="7">
        <f t="shared" si="14"/>
        <v>0.25582863518910032</v>
      </c>
      <c r="O39" s="10"/>
      <c r="P39" s="6">
        <v>42900.21</v>
      </c>
      <c r="Q39" s="2"/>
      <c r="R39" s="7">
        <f t="shared" si="15"/>
        <v>0.3238826010589928</v>
      </c>
      <c r="S39" s="2"/>
      <c r="T39" s="6">
        <v>35210.97</v>
      </c>
      <c r="U39" s="2"/>
      <c r="V39" s="7">
        <f t="shared" si="16"/>
        <v>7.3824339937693648E-2</v>
      </c>
      <c r="W39" s="2"/>
      <c r="X39" s="6">
        <f t="shared" si="17"/>
        <v>7689.239999999998</v>
      </c>
      <c r="Y39" s="2"/>
      <c r="Z39" s="7">
        <f t="shared" si="18"/>
        <v>0.21837626171616395</v>
      </c>
    </row>
    <row r="40" spans="1:26" s="23" customFormat="1" hidden="1" outlineLevel="2" x14ac:dyDescent="0.25">
      <c r="A40" s="25"/>
      <c r="B40" s="10" t="str">
        <f>CONCATENATE("          ", "6114", " - ", "STATE UNEMPLOYMENT INSURANCE")</f>
        <v xml:space="preserve">          6114 - STATE UNEMPLOYMENT INSURANCE</v>
      </c>
      <c r="C40" s="10"/>
      <c r="D40" s="6">
        <v>44.85</v>
      </c>
      <c r="E40" s="2"/>
      <c r="F40" s="7">
        <f t="shared" si="11"/>
        <v>9.3195967118551108E-3</v>
      </c>
      <c r="G40" s="2"/>
      <c r="H40" s="6">
        <v>-523.47</v>
      </c>
      <c r="I40" s="2"/>
      <c r="J40" s="7">
        <f t="shared" si="12"/>
        <v>-0.13782453812310927</v>
      </c>
      <c r="K40" s="2"/>
      <c r="L40" s="6">
        <f t="shared" si="13"/>
        <v>568.32000000000005</v>
      </c>
      <c r="M40" s="2"/>
      <c r="N40" s="7">
        <f t="shared" si="14"/>
        <v>-1.0856782623646055</v>
      </c>
      <c r="O40" s="10"/>
      <c r="P40" s="6">
        <v>580.66999999999996</v>
      </c>
      <c r="Q40" s="2"/>
      <c r="R40" s="7">
        <f t="shared" si="15"/>
        <v>4.383869215486948E-3</v>
      </c>
      <c r="S40" s="2"/>
      <c r="T40" s="6">
        <v>0</v>
      </c>
      <c r="U40" s="2"/>
      <c r="V40" s="7">
        <f t="shared" si="16"/>
        <v>0</v>
      </c>
      <c r="W40" s="2"/>
      <c r="X40" s="6">
        <f t="shared" si="17"/>
        <v>580.66999999999996</v>
      </c>
      <c r="Y40" s="2"/>
      <c r="Z40" s="7">
        <f t="shared" si="18"/>
        <v>0</v>
      </c>
    </row>
    <row r="41" spans="1:26" s="23" customFormat="1" hidden="1" outlineLevel="2" x14ac:dyDescent="0.25">
      <c r="A41" s="25"/>
      <c r="B41" s="10" t="str">
        <f>CONCATENATE("          ", "6115", " - ", "P.E.R.S.")</f>
        <v xml:space="preserve">          6115 - P.E.R.S.</v>
      </c>
      <c r="C41" s="10"/>
      <c r="D41" s="6">
        <v>2421.6799999999998</v>
      </c>
      <c r="E41" s="2"/>
      <c r="F41" s="7">
        <f t="shared" si="11"/>
        <v>0.50321250758451019</v>
      </c>
      <c r="G41" s="2"/>
      <c r="H41" s="6">
        <v>1166.77</v>
      </c>
      <c r="I41" s="2"/>
      <c r="J41" s="7">
        <f t="shared" si="12"/>
        <v>0.30719914483332411</v>
      </c>
      <c r="K41" s="2"/>
      <c r="L41" s="6">
        <f t="shared" si="13"/>
        <v>1254.9099999999999</v>
      </c>
      <c r="M41" s="2"/>
      <c r="N41" s="7">
        <f t="shared" si="14"/>
        <v>1.0755418805762917</v>
      </c>
      <c r="O41" s="10"/>
      <c r="P41" s="6">
        <v>21347.57</v>
      </c>
      <c r="Q41" s="2"/>
      <c r="R41" s="7">
        <f t="shared" si="15"/>
        <v>0.1611671947034507</v>
      </c>
      <c r="S41" s="2"/>
      <c r="T41" s="6">
        <v>15419.3</v>
      </c>
      <c r="U41" s="2"/>
      <c r="V41" s="7">
        <f t="shared" si="16"/>
        <v>3.2328551153270685E-2</v>
      </c>
      <c r="W41" s="2"/>
      <c r="X41" s="6">
        <f t="shared" si="17"/>
        <v>5928.27</v>
      </c>
      <c r="Y41" s="2"/>
      <c r="Z41" s="7">
        <f t="shared" si="18"/>
        <v>0.38447076067006936</v>
      </c>
    </row>
    <row r="42" spans="1:26" s="23" customFormat="1" hidden="1" outlineLevel="2" x14ac:dyDescent="0.25">
      <c r="A42" s="25"/>
      <c r="B42" s="10" t="str">
        <f>CONCATENATE("          ", "6118", " - ", "VACATION")</f>
        <v xml:space="preserve">          6118 - VACATION</v>
      </c>
      <c r="C42" s="10"/>
      <c r="D42" s="6">
        <v>1216.0999999999999</v>
      </c>
      <c r="E42" s="2"/>
      <c r="F42" s="7">
        <f t="shared" si="11"/>
        <v>0.25269925443226304</v>
      </c>
      <c r="G42" s="2"/>
      <c r="H42" s="6">
        <v>1039.18</v>
      </c>
      <c r="I42" s="2"/>
      <c r="J42" s="7">
        <f t="shared" si="12"/>
        <v>0.27360594404029398</v>
      </c>
      <c r="K42" s="2"/>
      <c r="L42" s="6">
        <f t="shared" si="13"/>
        <v>176.91999999999985</v>
      </c>
      <c r="M42" s="2"/>
      <c r="N42" s="7">
        <f t="shared" si="14"/>
        <v>0.17024961989260748</v>
      </c>
      <c r="O42" s="10"/>
      <c r="P42" s="6">
        <v>15451.76</v>
      </c>
      <c r="Q42" s="2"/>
      <c r="R42" s="7">
        <f t="shared" si="15"/>
        <v>0.11665575109630705</v>
      </c>
      <c r="S42" s="2"/>
      <c r="T42" s="6">
        <v>15421.46</v>
      </c>
      <c r="U42" s="2"/>
      <c r="V42" s="7">
        <f t="shared" si="16"/>
        <v>3.2333079871856553E-2</v>
      </c>
      <c r="W42" s="2"/>
      <c r="X42" s="6">
        <f t="shared" si="17"/>
        <v>30.300000000001091</v>
      </c>
      <c r="Y42" s="2"/>
      <c r="Z42" s="7">
        <f t="shared" si="18"/>
        <v>1.9647945136194041E-3</v>
      </c>
    </row>
    <row r="43" spans="1:26" s="23" customFormat="1" hidden="1" outlineLevel="2" x14ac:dyDescent="0.25">
      <c r="A43" s="25"/>
      <c r="B43" s="10" t="str">
        <f>CONCATENATE("          ", "6119", " - ", "SICK LEAVE")</f>
        <v xml:space="preserve">          6119 - SICK LEAVE</v>
      </c>
      <c r="C43" s="10"/>
      <c r="D43" s="6">
        <v>738.5</v>
      </c>
      <c r="E43" s="2"/>
      <c r="F43" s="7">
        <f t="shared" si="11"/>
        <v>0.1534564586779264</v>
      </c>
      <c r="G43" s="2"/>
      <c r="H43" s="6">
        <v>526.54</v>
      </c>
      <c r="I43" s="2"/>
      <c r="J43" s="7">
        <f t="shared" si="12"/>
        <v>0.13863283913756652</v>
      </c>
      <c r="K43" s="2"/>
      <c r="L43" s="6">
        <f t="shared" si="13"/>
        <v>211.96000000000004</v>
      </c>
      <c r="M43" s="2"/>
      <c r="N43" s="7">
        <f t="shared" si="14"/>
        <v>0.40255251262961989</v>
      </c>
      <c r="O43" s="10"/>
      <c r="P43" s="6">
        <v>9494.52</v>
      </c>
      <c r="Q43" s="2"/>
      <c r="R43" s="7">
        <f t="shared" si="15"/>
        <v>7.1680531013872159E-2</v>
      </c>
      <c r="S43" s="2"/>
      <c r="T43" s="6">
        <v>9133.2800000000007</v>
      </c>
      <c r="U43" s="2"/>
      <c r="V43" s="7">
        <f t="shared" si="16"/>
        <v>1.9149099484227178E-2</v>
      </c>
      <c r="W43" s="2"/>
      <c r="X43" s="6">
        <f t="shared" si="17"/>
        <v>361.23999999999978</v>
      </c>
      <c r="Y43" s="2"/>
      <c r="Z43" s="7">
        <f t="shared" si="18"/>
        <v>3.9552055778427873E-2</v>
      </c>
    </row>
    <row r="44" spans="1:26" s="23" customFormat="1" hidden="1" outlineLevel="2" x14ac:dyDescent="0.25">
      <c r="A44" s="25"/>
      <c r="B44" s="10" t="str">
        <f>CONCATENATE("          ", "6156", " - ", "EMPLOYEE MEALS")</f>
        <v xml:space="preserve">          6156 - EMPLOYEE MEALS</v>
      </c>
      <c r="C44" s="10"/>
      <c r="D44" s="6">
        <v>406.46</v>
      </c>
      <c r="E44" s="2"/>
      <c r="F44" s="7">
        <f t="shared" si="11"/>
        <v>8.4460273790426477E-2</v>
      </c>
      <c r="G44" s="2"/>
      <c r="H44" s="6">
        <v>104</v>
      </c>
      <c r="I44" s="2"/>
      <c r="J44" s="7">
        <f t="shared" si="12"/>
        <v>2.7382184203112621E-2</v>
      </c>
      <c r="K44" s="2"/>
      <c r="L44" s="6">
        <f t="shared" si="13"/>
        <v>302.45999999999998</v>
      </c>
      <c r="M44" s="2"/>
      <c r="N44" s="7">
        <f t="shared" si="14"/>
        <v>2.9082692307692306</v>
      </c>
      <c r="O44" s="10"/>
      <c r="P44" s="6">
        <v>4121.6099999999997</v>
      </c>
      <c r="Q44" s="2"/>
      <c r="R44" s="7">
        <f t="shared" si="15"/>
        <v>3.1116811953851863E-2</v>
      </c>
      <c r="S44" s="2"/>
      <c r="T44" s="6">
        <v>2586.5100000000002</v>
      </c>
      <c r="U44" s="2"/>
      <c r="V44" s="7">
        <f t="shared" si="16"/>
        <v>5.422951809968427E-3</v>
      </c>
      <c r="W44" s="2"/>
      <c r="X44" s="6">
        <f t="shared" si="17"/>
        <v>1535.0999999999995</v>
      </c>
      <c r="Y44" s="2"/>
      <c r="Z44" s="7">
        <f t="shared" si="18"/>
        <v>0.59350244151385434</v>
      </c>
    </row>
    <row r="45" spans="1:26" s="27" customFormat="1" outlineLevel="1" collapsed="1" x14ac:dyDescent="0.25">
      <c r="A45" s="26"/>
      <c r="B45" s="12" t="str">
        <f>CONCATENATE("     ","*Payroll                                          ")</f>
        <v xml:space="preserve">     *Payroll                                          </v>
      </c>
      <c r="C45" s="12"/>
      <c r="D45" s="1">
        <f>SUM(OSRRefD22_1x_0)</f>
        <v>14325.42</v>
      </c>
      <c r="E45" s="1"/>
      <c r="F45" s="5">
        <f t="shared" ref="F45:F49" si="19">IF(D$12=0,0,D45/D$12)</f>
        <v>2.9767477620500205</v>
      </c>
      <c r="G45" s="1"/>
      <c r="H45" s="1">
        <f>SUM(OSRRefH22_1x_0)</f>
        <v>9110.02</v>
      </c>
      <c r="I45" s="1"/>
      <c r="J45" s="5">
        <f t="shared" ref="J45:J49" si="20">IF(H$12=0,0,H45/H$12)</f>
        <v>2.3985792859042312</v>
      </c>
      <c r="K45" s="1"/>
      <c r="L45" s="1">
        <f t="shared" ref="L45:L49" si="21">+D45-H45</f>
        <v>5215.3999999999996</v>
      </c>
      <c r="M45" s="1"/>
      <c r="N45" s="5">
        <f t="shared" ref="N45:N49" si="22">IF(H45=0,0,L45/H45)</f>
        <v>0.57249051044893418</v>
      </c>
      <c r="O45" s="12"/>
      <c r="P45" s="1">
        <f>SUM(OSRRefP22_1x_0)</f>
        <v>184511.34</v>
      </c>
      <c r="Q45" s="1"/>
      <c r="R45" s="5">
        <f t="shared" ref="R45:R49" si="23">IF(P$12=0,0,P45/P$12)</f>
        <v>1.3930004707221755</v>
      </c>
      <c r="S45" s="1"/>
      <c r="T45" s="1">
        <f>SUM(OSRRefT22_1x_0)</f>
        <v>181885.82</v>
      </c>
      <c r="U45" s="1"/>
      <c r="V45" s="5">
        <f t="shared" ref="V45:V49" si="24">IF(T$12=0,0,T45/T$12)</f>
        <v>0.38134708034246589</v>
      </c>
      <c r="W45" s="1"/>
      <c r="X45" s="1">
        <f t="shared" ref="X45:X49" si="25">+P45-T45</f>
        <v>2625.5199999999895</v>
      </c>
      <c r="Y45" s="1"/>
      <c r="Z45" s="5">
        <f t="shared" ref="Z45:Z49" si="26">IF(T45=0,0,X45/T45)</f>
        <v>1.4434990039355401E-2</v>
      </c>
    </row>
    <row r="46" spans="1:26" s="23" customFormat="1" hidden="1" outlineLevel="2" x14ac:dyDescent="0.25">
      <c r="A46" s="25"/>
      <c r="B46" s="10" t="str">
        <f>CONCATENATE("          ", "6002", " - ", "STAFF SALARIES")</f>
        <v xml:space="preserve">          6002 - STAFF SALARIES</v>
      </c>
      <c r="C46" s="10"/>
      <c r="D46" s="6">
        <v>13915.64</v>
      </c>
      <c r="E46" s="2"/>
      <c r="F46" s="7">
        <f t="shared" si="19"/>
        <v>2.8915976095286382</v>
      </c>
      <c r="G46" s="2"/>
      <c r="H46" s="6">
        <v>9110.02</v>
      </c>
      <c r="I46" s="2"/>
      <c r="J46" s="7">
        <f t="shared" si="20"/>
        <v>2.3985792859042312</v>
      </c>
      <c r="K46" s="2"/>
      <c r="L46" s="6">
        <f t="shared" si="21"/>
        <v>4805.619999999999</v>
      </c>
      <c r="M46" s="2"/>
      <c r="N46" s="7">
        <f t="shared" si="22"/>
        <v>0.52750927001257941</v>
      </c>
      <c r="O46" s="10"/>
      <c r="P46" s="6">
        <v>176389.94</v>
      </c>
      <c r="Q46" s="2"/>
      <c r="R46" s="7">
        <f t="shared" si="23"/>
        <v>1.3316865481040694</v>
      </c>
      <c r="S46" s="2"/>
      <c r="T46" s="6">
        <v>129455.66</v>
      </c>
      <c r="U46" s="2"/>
      <c r="V46" s="7">
        <f t="shared" si="24"/>
        <v>0.27142048772579935</v>
      </c>
      <c r="W46" s="2"/>
      <c r="X46" s="6">
        <f t="shared" si="25"/>
        <v>46934.28</v>
      </c>
      <c r="Y46" s="2"/>
      <c r="Z46" s="7">
        <f t="shared" si="26"/>
        <v>0.36255100781225014</v>
      </c>
    </row>
    <row r="47" spans="1:26" s="23" customFormat="1" hidden="1" outlineLevel="2" x14ac:dyDescent="0.25">
      <c r="A47" s="25"/>
      <c r="B47" s="10" t="str">
        <f>CONCATENATE("          ", "6005", " - ", "TEMPORARY WAGES-HOURLY")</f>
        <v xml:space="preserve">          6005 - TEMPORARY WAGES-HOURLY</v>
      </c>
      <c r="C47" s="10"/>
      <c r="D47" s="6"/>
      <c r="E47" s="2"/>
      <c r="F47" s="7">
        <f t="shared" si="19"/>
        <v>0</v>
      </c>
      <c r="G47" s="2"/>
      <c r="H47" s="6"/>
      <c r="I47" s="2"/>
      <c r="J47" s="7">
        <f t="shared" si="20"/>
        <v>0</v>
      </c>
      <c r="K47" s="2"/>
      <c r="L47" s="6">
        <f t="shared" si="21"/>
        <v>0</v>
      </c>
      <c r="M47" s="2"/>
      <c r="N47" s="7">
        <f t="shared" si="22"/>
        <v>0</v>
      </c>
      <c r="O47" s="10"/>
      <c r="P47" s="6">
        <v>383.25</v>
      </c>
      <c r="Q47" s="2"/>
      <c r="R47" s="7">
        <f t="shared" si="23"/>
        <v>2.8934125696787731E-3</v>
      </c>
      <c r="S47" s="2"/>
      <c r="T47" s="6">
        <v>18111.36</v>
      </c>
      <c r="U47" s="2"/>
      <c r="V47" s="7">
        <f t="shared" si="24"/>
        <v>3.7972802151543882E-2</v>
      </c>
      <c r="W47" s="2"/>
      <c r="X47" s="6">
        <f t="shared" si="25"/>
        <v>-17728.11</v>
      </c>
      <c r="Y47" s="2"/>
      <c r="Z47" s="7">
        <f t="shared" si="26"/>
        <v>-0.97883924785328102</v>
      </c>
    </row>
    <row r="48" spans="1:26" s="23" customFormat="1" hidden="1" outlineLevel="2" x14ac:dyDescent="0.25">
      <c r="A48" s="25"/>
      <c r="B48" s="10" t="str">
        <f>CONCATENATE("          ", "6006", " - ", "TEMPORARY PART TIME")</f>
        <v xml:space="preserve">          6006 - TEMPORARY PART TIME</v>
      </c>
      <c r="C48" s="10"/>
      <c r="D48" s="6"/>
      <c r="E48" s="2"/>
      <c r="F48" s="7">
        <f t="shared" si="19"/>
        <v>0</v>
      </c>
      <c r="G48" s="2"/>
      <c r="H48" s="6"/>
      <c r="I48" s="2"/>
      <c r="J48" s="7">
        <f t="shared" si="20"/>
        <v>0</v>
      </c>
      <c r="K48" s="2"/>
      <c r="L48" s="6">
        <f t="shared" si="21"/>
        <v>0</v>
      </c>
      <c r="M48" s="2"/>
      <c r="N48" s="7">
        <f t="shared" si="22"/>
        <v>0</v>
      </c>
      <c r="O48" s="10"/>
      <c r="P48" s="6"/>
      <c r="Q48" s="2"/>
      <c r="R48" s="7">
        <f t="shared" si="23"/>
        <v>0</v>
      </c>
      <c r="S48" s="2"/>
      <c r="T48" s="6">
        <v>2451.21</v>
      </c>
      <c r="U48" s="2"/>
      <c r="V48" s="7">
        <f t="shared" si="24"/>
        <v>5.1392779096592345E-3</v>
      </c>
      <c r="W48" s="2"/>
      <c r="X48" s="6">
        <f t="shared" si="25"/>
        <v>-2451.21</v>
      </c>
      <c r="Y48" s="2"/>
      <c r="Z48" s="7">
        <f t="shared" si="26"/>
        <v>-1</v>
      </c>
    </row>
    <row r="49" spans="1:26" s="23" customFormat="1" hidden="1" outlineLevel="2" x14ac:dyDescent="0.25">
      <c r="A49" s="25"/>
      <c r="B49" s="10" t="str">
        <f>CONCATENATE("          ", "6007", " - ", "STUDENT HOURLY")</f>
        <v xml:space="preserve">          6007 - STUDENT HOURLY</v>
      </c>
      <c r="C49" s="10"/>
      <c r="D49" s="6">
        <v>409.78</v>
      </c>
      <c r="E49" s="2"/>
      <c r="F49" s="7">
        <f t="shared" si="19"/>
        <v>8.5150152521382083E-2</v>
      </c>
      <c r="G49" s="2"/>
      <c r="H49" s="6"/>
      <c r="I49" s="2"/>
      <c r="J49" s="7">
        <f t="shared" si="20"/>
        <v>0</v>
      </c>
      <c r="K49" s="2"/>
      <c r="L49" s="6">
        <f t="shared" si="21"/>
        <v>409.78</v>
      </c>
      <c r="M49" s="2"/>
      <c r="N49" s="7">
        <f t="shared" si="22"/>
        <v>0</v>
      </c>
      <c r="O49" s="10"/>
      <c r="P49" s="6">
        <v>7738.15</v>
      </c>
      <c r="Q49" s="2"/>
      <c r="R49" s="7">
        <f t="shared" si="23"/>
        <v>5.8420510048427389E-2</v>
      </c>
      <c r="S49" s="2"/>
      <c r="T49" s="6">
        <v>31867.59</v>
      </c>
      <c r="U49" s="2"/>
      <c r="V49" s="7">
        <f t="shared" si="24"/>
        <v>6.6814512555463446E-2</v>
      </c>
      <c r="W49" s="2"/>
      <c r="X49" s="6">
        <f t="shared" si="25"/>
        <v>-24129.440000000002</v>
      </c>
      <c r="Y49" s="2"/>
      <c r="Z49" s="7">
        <f t="shared" si="26"/>
        <v>-0.75717806084488981</v>
      </c>
    </row>
    <row r="50" spans="1:26" s="27" customFormat="1" outlineLevel="1" collapsed="1" x14ac:dyDescent="0.25">
      <c r="A50" s="26"/>
      <c r="B50" s="12" t="str">
        <f>CONCATENATE("     ","Advertising/Promo                                 ")</f>
        <v xml:space="preserve">     Advertising/Promo                                 </v>
      </c>
      <c r="C50" s="12"/>
      <c r="D50" s="1">
        <f>SUM(OSRRefD22_2x_0)</f>
        <v>0</v>
      </c>
      <c r="E50" s="1"/>
      <c r="F50" s="5">
        <f t="shared" ref="F50:F60" si="27">IF(D$12=0,0,D50/D$12)</f>
        <v>0</v>
      </c>
      <c r="G50" s="1"/>
      <c r="H50" s="1">
        <f>SUM(OSRRefH22_2x_0)</f>
        <v>0</v>
      </c>
      <c r="I50" s="1"/>
      <c r="J50" s="5">
        <f t="shared" ref="J50:J60" si="28">IF(H$12=0,0,H50/H$12)</f>
        <v>0</v>
      </c>
      <c r="K50" s="1"/>
      <c r="L50" s="1">
        <f t="shared" ref="L50:L60" si="29">+D50-H50</f>
        <v>0</v>
      </c>
      <c r="M50" s="1"/>
      <c r="N50" s="5">
        <f t="shared" ref="N50:N60" si="30">IF(H50=0,0,L50/H50)</f>
        <v>0</v>
      </c>
      <c r="O50" s="12"/>
      <c r="P50" s="1">
        <f>SUM(OSRRefP22_2x_0)</f>
        <v>0</v>
      </c>
      <c r="Q50" s="1"/>
      <c r="R50" s="5">
        <f t="shared" ref="R50:R60" si="31">IF(P$12=0,0,P50/P$12)</f>
        <v>0</v>
      </c>
      <c r="S50" s="1"/>
      <c r="T50" s="1">
        <f>SUM(OSRRefT22_2x_0)</f>
        <v>751</v>
      </c>
      <c r="U50" s="1"/>
      <c r="V50" s="5">
        <f t="shared" ref="V50:V60" si="32">IF(T$12=0,0,T50/T$12)</f>
        <v>1.5745683601788853E-3</v>
      </c>
      <c r="W50" s="1"/>
      <c r="X50" s="1">
        <f t="shared" ref="X50:X60" si="33">+P50-T50</f>
        <v>-751</v>
      </c>
      <c r="Y50" s="1"/>
      <c r="Z50" s="5">
        <f t="shared" ref="Z50:Z60" si="34">IF(T50=0,0,X50/T50)</f>
        <v>-1</v>
      </c>
    </row>
    <row r="51" spans="1:26" s="23" customFormat="1" hidden="1" outlineLevel="2" x14ac:dyDescent="0.25">
      <c r="A51" s="25"/>
      <c r="B51" s="10" t="str">
        <f>CONCATENATE("          ", "6362", " - ", "ADVERTISING EXPENSE")</f>
        <v xml:space="preserve">          6362 - ADVERTISING EXPENSE</v>
      </c>
      <c r="C51" s="10"/>
      <c r="D51" s="6"/>
      <c r="E51" s="2"/>
      <c r="F51" s="7">
        <f t="shared" si="27"/>
        <v>0</v>
      </c>
      <c r="G51" s="2"/>
      <c r="H51" s="6"/>
      <c r="I51" s="2"/>
      <c r="J51" s="7">
        <f t="shared" si="28"/>
        <v>0</v>
      </c>
      <c r="K51" s="2"/>
      <c r="L51" s="6">
        <f t="shared" si="29"/>
        <v>0</v>
      </c>
      <c r="M51" s="2"/>
      <c r="N51" s="7">
        <f t="shared" si="30"/>
        <v>0</v>
      </c>
      <c r="O51" s="10"/>
      <c r="P51" s="6"/>
      <c r="Q51" s="2"/>
      <c r="R51" s="7">
        <f t="shared" si="31"/>
        <v>0</v>
      </c>
      <c r="S51" s="2"/>
      <c r="T51" s="6">
        <v>751</v>
      </c>
      <c r="U51" s="2"/>
      <c r="V51" s="7">
        <f t="shared" si="32"/>
        <v>1.5745683601788853E-3</v>
      </c>
      <c r="W51" s="2"/>
      <c r="X51" s="6">
        <f t="shared" si="33"/>
        <v>-751</v>
      </c>
      <c r="Y51" s="2"/>
      <c r="Z51" s="7">
        <f t="shared" si="34"/>
        <v>-1</v>
      </c>
    </row>
    <row r="52" spans="1:26" s="27" customFormat="1" outlineLevel="1" collapsed="1" x14ac:dyDescent="0.25">
      <c r="A52" s="26"/>
      <c r="B52" s="12" t="str">
        <f>CONCATENATE("     ","Depreciation                                      ")</f>
        <v xml:space="preserve">     Depreciation                                      </v>
      </c>
      <c r="C52" s="12"/>
      <c r="D52" s="1">
        <f>SUM(OSRRefD22_3x_0)</f>
        <v>169.92</v>
      </c>
      <c r="E52" s="1"/>
      <c r="F52" s="5">
        <f t="shared" si="27"/>
        <v>3.5308492157824306E-2</v>
      </c>
      <c r="G52" s="1"/>
      <c r="H52" s="1">
        <f>SUM(OSRRefH22_3x_0)</f>
        <v>169.9</v>
      </c>
      <c r="I52" s="1"/>
      <c r="J52" s="5">
        <f t="shared" si="28"/>
        <v>4.4733010539508018E-2</v>
      </c>
      <c r="K52" s="1"/>
      <c r="L52" s="1">
        <f t="shared" si="29"/>
        <v>1.999999999998181E-2</v>
      </c>
      <c r="M52" s="1"/>
      <c r="N52" s="5">
        <f t="shared" si="30"/>
        <v>1.177163037079565E-4</v>
      </c>
      <c r="O52" s="12"/>
      <c r="P52" s="1">
        <f>SUM(OSRRefP22_3x_0)</f>
        <v>2038.6</v>
      </c>
      <c r="Q52" s="1"/>
      <c r="R52" s="5">
        <f t="shared" si="31"/>
        <v>1.5390765465224126E-2</v>
      </c>
      <c r="S52" s="1"/>
      <c r="T52" s="1">
        <f>SUM(OSRRefT22_3x_0)</f>
        <v>1189.18</v>
      </c>
      <c r="U52" s="1"/>
      <c r="V52" s="5">
        <f t="shared" si="32"/>
        <v>2.4932692444174791E-3</v>
      </c>
      <c r="W52" s="1"/>
      <c r="X52" s="1">
        <f t="shared" si="33"/>
        <v>849.41999999999985</v>
      </c>
      <c r="Y52" s="1"/>
      <c r="Z52" s="5">
        <f t="shared" si="34"/>
        <v>0.71429051951765066</v>
      </c>
    </row>
    <row r="53" spans="1:26" s="23" customFormat="1" hidden="1" outlineLevel="2" x14ac:dyDescent="0.25">
      <c r="A53" s="25"/>
      <c r="B53" s="10" t="str">
        <f>CONCATENATE("          ", "6322", " - ", "EQUIPMENT DEPRECIATION EXPENSE")</f>
        <v xml:space="preserve">          6322 - EQUIPMENT DEPRECIATION EXPENSE</v>
      </c>
      <c r="C53" s="10"/>
      <c r="D53" s="6">
        <v>169.92</v>
      </c>
      <c r="E53" s="2"/>
      <c r="F53" s="7">
        <f t="shared" si="27"/>
        <v>3.5308492157824306E-2</v>
      </c>
      <c r="G53" s="2"/>
      <c r="H53" s="6">
        <v>169.9</v>
      </c>
      <c r="I53" s="2"/>
      <c r="J53" s="7">
        <f t="shared" si="28"/>
        <v>4.4733010539508018E-2</v>
      </c>
      <c r="K53" s="2"/>
      <c r="L53" s="6">
        <f t="shared" si="29"/>
        <v>1.999999999998181E-2</v>
      </c>
      <c r="M53" s="2"/>
      <c r="N53" s="7">
        <f t="shared" si="30"/>
        <v>1.177163037079565E-4</v>
      </c>
      <c r="O53" s="10"/>
      <c r="P53" s="6">
        <v>2038.6</v>
      </c>
      <c r="Q53" s="2"/>
      <c r="R53" s="7">
        <f t="shared" si="31"/>
        <v>1.5390765465224126E-2</v>
      </c>
      <c r="S53" s="2"/>
      <c r="T53" s="6">
        <v>1189.18</v>
      </c>
      <c r="U53" s="2"/>
      <c r="V53" s="7">
        <f t="shared" si="32"/>
        <v>2.4932692444174791E-3</v>
      </c>
      <c r="W53" s="2"/>
      <c r="X53" s="6">
        <f t="shared" si="33"/>
        <v>849.41999999999985</v>
      </c>
      <c r="Y53" s="2"/>
      <c r="Z53" s="7">
        <f t="shared" si="34"/>
        <v>0.71429051951765066</v>
      </c>
    </row>
    <row r="54" spans="1:26" s="27" customFormat="1" outlineLevel="1" collapsed="1" x14ac:dyDescent="0.25">
      <c r="A54" s="26"/>
      <c r="B54" s="12" t="str">
        <f>CONCATENATE("     ","Discounts and Markdowns                           ")</f>
        <v xml:space="preserve">     Discounts and Markdowns                           </v>
      </c>
      <c r="C54" s="12"/>
      <c r="D54" s="1">
        <f>SUM(OSRRefD22_4x_0)</f>
        <v>0</v>
      </c>
      <c r="E54" s="1"/>
      <c r="F54" s="5">
        <f t="shared" si="27"/>
        <v>0</v>
      </c>
      <c r="G54" s="1"/>
      <c r="H54" s="1">
        <f>SUM(OSRRefH22_4x_0)</f>
        <v>0</v>
      </c>
      <c r="I54" s="1"/>
      <c r="J54" s="5">
        <f t="shared" si="28"/>
        <v>0</v>
      </c>
      <c r="K54" s="1"/>
      <c r="L54" s="1">
        <f t="shared" si="29"/>
        <v>0</v>
      </c>
      <c r="M54" s="1"/>
      <c r="N54" s="5">
        <f t="shared" si="30"/>
        <v>0</v>
      </c>
      <c r="O54" s="12"/>
      <c r="P54" s="1">
        <f>SUM(OSRRefP22_4x_0)</f>
        <v>0</v>
      </c>
      <c r="Q54" s="1"/>
      <c r="R54" s="5">
        <f t="shared" si="31"/>
        <v>0</v>
      </c>
      <c r="S54" s="1"/>
      <c r="T54" s="1">
        <f>SUM(OSRRefT22_4x_0)</f>
        <v>726.07</v>
      </c>
      <c r="U54" s="1"/>
      <c r="V54" s="5">
        <f t="shared" si="32"/>
        <v>1.5222993998336661E-3</v>
      </c>
      <c r="W54" s="1"/>
      <c r="X54" s="1">
        <f t="shared" si="33"/>
        <v>-726.07</v>
      </c>
      <c r="Y54" s="1"/>
      <c r="Z54" s="5">
        <f t="shared" si="34"/>
        <v>-1</v>
      </c>
    </row>
    <row r="55" spans="1:26" s="23" customFormat="1" hidden="1" outlineLevel="2" x14ac:dyDescent="0.25">
      <c r="A55" s="25"/>
      <c r="B55" s="10" t="str">
        <f>CONCATENATE("          ", "6382", " - ", "DISCOUNTS/MARK DOWNS")</f>
        <v xml:space="preserve">          6382 - DISCOUNTS/MARK DOWNS</v>
      </c>
      <c r="C55" s="10"/>
      <c r="D55" s="6"/>
      <c r="E55" s="2"/>
      <c r="F55" s="7">
        <f t="shared" si="27"/>
        <v>0</v>
      </c>
      <c r="G55" s="2"/>
      <c r="H55" s="6"/>
      <c r="I55" s="2"/>
      <c r="J55" s="7">
        <f t="shared" si="28"/>
        <v>0</v>
      </c>
      <c r="K55" s="2"/>
      <c r="L55" s="6">
        <f t="shared" si="29"/>
        <v>0</v>
      </c>
      <c r="M55" s="2"/>
      <c r="N55" s="7">
        <f t="shared" si="30"/>
        <v>0</v>
      </c>
      <c r="O55" s="10"/>
      <c r="P55" s="6">
        <v>0</v>
      </c>
      <c r="Q55" s="2"/>
      <c r="R55" s="7">
        <f t="shared" si="31"/>
        <v>0</v>
      </c>
      <c r="S55" s="2"/>
      <c r="T55" s="6">
        <v>726.07</v>
      </c>
      <c r="U55" s="2"/>
      <c r="V55" s="7">
        <f t="shared" si="32"/>
        <v>1.5222993998336661E-3</v>
      </c>
      <c r="W55" s="2"/>
      <c r="X55" s="6">
        <f t="shared" si="33"/>
        <v>-726.07</v>
      </c>
      <c r="Y55" s="2"/>
      <c r="Z55" s="7">
        <f t="shared" si="34"/>
        <v>-1</v>
      </c>
    </row>
    <row r="56" spans="1:26" s="27" customFormat="1" outlineLevel="1" collapsed="1" x14ac:dyDescent="0.25">
      <c r="A56" s="26"/>
      <c r="B56" s="12" t="str">
        <f>CONCATENATE("     ","Equipment Rental                                  ")</f>
        <v xml:space="preserve">     Equipment Rental                                  </v>
      </c>
      <c r="C56" s="12"/>
      <c r="D56" s="1">
        <f>SUM(OSRRefD22_5x_0)</f>
        <v>1205.6400000000001</v>
      </c>
      <c r="E56" s="1"/>
      <c r="F56" s="5">
        <f t="shared" si="27"/>
        <v>0.25052572084015595</v>
      </c>
      <c r="G56" s="1"/>
      <c r="H56" s="1">
        <f>SUM(OSRRefH22_5x_0)</f>
        <v>1205.6400000000001</v>
      </c>
      <c r="I56" s="1"/>
      <c r="J56" s="5">
        <f t="shared" si="28"/>
        <v>0.31743323617923752</v>
      </c>
      <c r="K56" s="1"/>
      <c r="L56" s="1">
        <f t="shared" si="29"/>
        <v>0</v>
      </c>
      <c r="M56" s="1"/>
      <c r="N56" s="5">
        <f t="shared" si="30"/>
        <v>0</v>
      </c>
      <c r="O56" s="12"/>
      <c r="P56" s="1">
        <f>SUM(OSRRefP22_5x_0)</f>
        <v>14467.68</v>
      </c>
      <c r="Q56" s="1"/>
      <c r="R56" s="5">
        <f t="shared" si="31"/>
        <v>0.1092262678828185</v>
      </c>
      <c r="S56" s="1"/>
      <c r="T56" s="1">
        <f>SUM(OSRRefT22_5x_0)</f>
        <v>17287.349999999999</v>
      </c>
      <c r="U56" s="1"/>
      <c r="V56" s="5">
        <f t="shared" si="32"/>
        <v>3.6245158909904727E-2</v>
      </c>
      <c r="W56" s="1"/>
      <c r="X56" s="1">
        <f t="shared" si="33"/>
        <v>-2819.6699999999983</v>
      </c>
      <c r="Y56" s="1"/>
      <c r="Z56" s="5">
        <f t="shared" si="34"/>
        <v>-0.16310597055072051</v>
      </c>
    </row>
    <row r="57" spans="1:26" s="23" customFormat="1" hidden="1" outlineLevel="2" x14ac:dyDescent="0.25">
      <c r="A57" s="25"/>
      <c r="B57" s="10" t="str">
        <f>CONCATENATE("          ", "6351", " - ", "EQUIPMENT RENTAL")</f>
        <v xml:space="preserve">          6351 - EQUIPMENT RENTAL</v>
      </c>
      <c r="C57" s="10"/>
      <c r="D57" s="6">
        <v>1205.6400000000001</v>
      </c>
      <c r="E57" s="2"/>
      <c r="F57" s="7">
        <f t="shared" si="27"/>
        <v>0.25052572084015595</v>
      </c>
      <c r="G57" s="2"/>
      <c r="H57" s="6">
        <v>1205.6400000000001</v>
      </c>
      <c r="I57" s="2"/>
      <c r="J57" s="7">
        <f t="shared" si="28"/>
        <v>0.31743323617923752</v>
      </c>
      <c r="K57" s="2"/>
      <c r="L57" s="6">
        <f t="shared" si="29"/>
        <v>0</v>
      </c>
      <c r="M57" s="2"/>
      <c r="N57" s="7">
        <f t="shared" si="30"/>
        <v>0</v>
      </c>
      <c r="O57" s="10"/>
      <c r="P57" s="6">
        <v>14467.68</v>
      </c>
      <c r="Q57" s="2"/>
      <c r="R57" s="7">
        <f t="shared" si="31"/>
        <v>0.1092262678828185</v>
      </c>
      <c r="S57" s="2"/>
      <c r="T57" s="6">
        <v>17287.349999999999</v>
      </c>
      <c r="U57" s="2"/>
      <c r="V57" s="7">
        <f t="shared" si="32"/>
        <v>3.6245158909904727E-2</v>
      </c>
      <c r="W57" s="2"/>
      <c r="X57" s="6">
        <f t="shared" si="33"/>
        <v>-2819.6699999999983</v>
      </c>
      <c r="Y57" s="2"/>
      <c r="Z57" s="7">
        <f t="shared" si="34"/>
        <v>-0.16310597055072051</v>
      </c>
    </row>
    <row r="58" spans="1:26" s="27" customFormat="1" outlineLevel="1" collapsed="1" x14ac:dyDescent="0.25">
      <c r="A58" s="26"/>
      <c r="B58" s="12" t="str">
        <f>CONCATENATE("     ","Freight out/Postage                               ")</f>
        <v xml:space="preserve">     Freight out/Postage                               </v>
      </c>
      <c r="C58" s="12"/>
      <c r="D58" s="1">
        <f>SUM(OSRRefD22_6x_0)</f>
        <v>-7826.5199999999995</v>
      </c>
      <c r="E58" s="1"/>
      <c r="F58" s="5">
        <f t="shared" si="27"/>
        <v>-1.6263101462044203</v>
      </c>
      <c r="G58" s="1"/>
      <c r="H58" s="1">
        <f>SUM(OSRRefH22_6x_0)</f>
        <v>0</v>
      </c>
      <c r="I58" s="1"/>
      <c r="J58" s="5">
        <f t="shared" si="28"/>
        <v>0</v>
      </c>
      <c r="K58" s="1"/>
      <c r="L58" s="1">
        <f t="shared" si="29"/>
        <v>-7826.5199999999995</v>
      </c>
      <c r="M58" s="1"/>
      <c r="N58" s="5">
        <f t="shared" si="30"/>
        <v>0</v>
      </c>
      <c r="O58" s="12"/>
      <c r="P58" s="1">
        <f>SUM(OSRRefP22_6x_0)</f>
        <v>-104296.18999999997</v>
      </c>
      <c r="Q58" s="1"/>
      <c r="R58" s="5">
        <f t="shared" si="31"/>
        <v>-0.78740223643993601</v>
      </c>
      <c r="S58" s="1"/>
      <c r="T58" s="1">
        <f>SUM(OSRRefT22_6x_0)</f>
        <v>15.02</v>
      </c>
      <c r="U58" s="1"/>
      <c r="V58" s="5">
        <f t="shared" si="32"/>
        <v>3.1491367203577706E-5</v>
      </c>
      <c r="W58" s="1"/>
      <c r="X58" s="1">
        <f t="shared" si="33"/>
        <v>-104311.20999999998</v>
      </c>
      <c r="Y58" s="1"/>
      <c r="Z58" s="5">
        <f t="shared" si="34"/>
        <v>-6944.8209054593863</v>
      </c>
    </row>
    <row r="59" spans="1:26" s="23" customFormat="1" hidden="1" outlineLevel="2" x14ac:dyDescent="0.25">
      <c r="A59" s="25"/>
      <c r="B59" s="10" t="str">
        <f>CONCATENATE("          ", "6305", " - ", "FREIGHT OUT")</f>
        <v xml:space="preserve">          6305 - FREIGHT OUT</v>
      </c>
      <c r="C59" s="10"/>
      <c r="D59" s="6">
        <v>7003.44</v>
      </c>
      <c r="E59" s="2"/>
      <c r="F59" s="7">
        <f t="shared" si="27"/>
        <v>1.4552784034710045</v>
      </c>
      <c r="G59" s="2"/>
      <c r="H59" s="6"/>
      <c r="I59" s="2"/>
      <c r="J59" s="7">
        <f t="shared" si="28"/>
        <v>0</v>
      </c>
      <c r="K59" s="2"/>
      <c r="L59" s="6">
        <f t="shared" si="29"/>
        <v>7003.44</v>
      </c>
      <c r="M59" s="2"/>
      <c r="N59" s="7">
        <f t="shared" si="30"/>
        <v>0</v>
      </c>
      <c r="O59" s="10"/>
      <c r="P59" s="6">
        <v>204791.35</v>
      </c>
      <c r="Q59" s="2"/>
      <c r="R59" s="7">
        <f t="shared" si="31"/>
        <v>1.5461079354246183</v>
      </c>
      <c r="S59" s="2"/>
      <c r="T59" s="6">
        <v>15.02</v>
      </c>
      <c r="U59" s="2"/>
      <c r="V59" s="7">
        <f t="shared" si="32"/>
        <v>3.1491367203577706E-5</v>
      </c>
      <c r="W59" s="2"/>
      <c r="X59" s="6">
        <f t="shared" si="33"/>
        <v>204776.33000000002</v>
      </c>
      <c r="Y59" s="2"/>
      <c r="Z59" s="7">
        <f t="shared" si="34"/>
        <v>13633.577230359522</v>
      </c>
    </row>
    <row r="60" spans="1:26" s="23" customFormat="1" hidden="1" outlineLevel="2" x14ac:dyDescent="0.25">
      <c r="A60" s="25"/>
      <c r="B60" s="10" t="str">
        <f>CONCATENATE("          ", "6307", " - ", "POSTAGE")</f>
        <v xml:space="preserve">          6307 - POSTAGE</v>
      </c>
      <c r="C60" s="10"/>
      <c r="D60" s="6">
        <v>-14829.96</v>
      </c>
      <c r="E60" s="2"/>
      <c r="F60" s="7">
        <f t="shared" si="27"/>
        <v>-3.0815885496754247</v>
      </c>
      <c r="G60" s="2"/>
      <c r="H60" s="6"/>
      <c r="I60" s="2"/>
      <c r="J60" s="7">
        <f t="shared" si="28"/>
        <v>0</v>
      </c>
      <c r="K60" s="2"/>
      <c r="L60" s="6">
        <f t="shared" si="29"/>
        <v>-14829.96</v>
      </c>
      <c r="M60" s="2"/>
      <c r="N60" s="7">
        <f t="shared" si="30"/>
        <v>0</v>
      </c>
      <c r="O60" s="10"/>
      <c r="P60" s="6">
        <v>-309087.53999999998</v>
      </c>
      <c r="Q60" s="2"/>
      <c r="R60" s="7">
        <f t="shared" si="31"/>
        <v>-2.3335101718645546</v>
      </c>
      <c r="S60" s="2"/>
      <c r="T60" s="6"/>
      <c r="U60" s="2"/>
      <c r="V60" s="7">
        <f t="shared" si="32"/>
        <v>0</v>
      </c>
      <c r="W60" s="2"/>
      <c r="X60" s="6">
        <f t="shared" si="33"/>
        <v>-309087.53999999998</v>
      </c>
      <c r="Y60" s="2"/>
      <c r="Z60" s="7">
        <f t="shared" si="34"/>
        <v>0</v>
      </c>
    </row>
    <row r="61" spans="1:26" s="27" customFormat="1" outlineLevel="1" collapsed="1" x14ac:dyDescent="0.25">
      <c r="A61" s="26"/>
      <c r="B61" s="12" t="str">
        <f>CONCATENATE("     ","General                                           ")</f>
        <v xml:space="preserve">     General                                           </v>
      </c>
      <c r="C61" s="12"/>
      <c r="D61" s="1">
        <f>SUM(OSRRefD22_7x_0)</f>
        <v>0</v>
      </c>
      <c r="E61" s="1"/>
      <c r="F61" s="5">
        <f t="shared" ref="F61:F66" si="35">IF(D$12=0,0,D61/D$12)</f>
        <v>0</v>
      </c>
      <c r="G61" s="1"/>
      <c r="H61" s="1">
        <f>SUM(OSRRefH22_7x_0)</f>
        <v>0</v>
      </c>
      <c r="I61" s="1"/>
      <c r="J61" s="5">
        <f t="shared" ref="J61:J66" si="36">IF(H$12=0,0,H61/H$12)</f>
        <v>0</v>
      </c>
      <c r="K61" s="1"/>
      <c r="L61" s="1">
        <f t="shared" ref="L61:L66" si="37">+D61-H61</f>
        <v>0</v>
      </c>
      <c r="M61" s="1"/>
      <c r="N61" s="5">
        <f t="shared" ref="N61:N66" si="38">IF(H61=0,0,L61/H61)</f>
        <v>0</v>
      </c>
      <c r="O61" s="12"/>
      <c r="P61" s="1">
        <f>SUM(OSRRefP22_7x_0)</f>
        <v>0</v>
      </c>
      <c r="Q61" s="1"/>
      <c r="R61" s="5">
        <f t="shared" ref="R61:R66" si="39">IF(P$12=0,0,P61/P$12)</f>
        <v>0</v>
      </c>
      <c r="S61" s="1"/>
      <c r="T61" s="1">
        <f>SUM(OSRRefT22_7x_0)</f>
        <v>75</v>
      </c>
      <c r="U61" s="1"/>
      <c r="V61" s="5">
        <f t="shared" ref="V61:V66" si="40">IF(T$12=0,0,T61/T$12)</f>
        <v>1.5724717312039465E-4</v>
      </c>
      <c r="W61" s="1"/>
      <c r="X61" s="1">
        <f t="shared" ref="X61:X66" si="41">+P61-T61</f>
        <v>-75</v>
      </c>
      <c r="Y61" s="1"/>
      <c r="Z61" s="5">
        <f t="shared" ref="Z61:Z66" si="42">IF(T61=0,0,X61/T61)</f>
        <v>-1</v>
      </c>
    </row>
    <row r="62" spans="1:26" s="23" customFormat="1" hidden="1" outlineLevel="2" x14ac:dyDescent="0.25">
      <c r="A62" s="25"/>
      <c r="B62" s="10" t="str">
        <f>CONCATENATE("          ", "6279", " - ", "GENERAL EXPENSE")</f>
        <v xml:space="preserve">          6279 - GENERAL EXPENSE</v>
      </c>
      <c r="C62" s="10"/>
      <c r="D62" s="6"/>
      <c r="E62" s="2"/>
      <c r="F62" s="7">
        <f t="shared" si="35"/>
        <v>0</v>
      </c>
      <c r="G62" s="2"/>
      <c r="H62" s="6"/>
      <c r="I62" s="2"/>
      <c r="J62" s="7">
        <f t="shared" si="36"/>
        <v>0</v>
      </c>
      <c r="K62" s="2"/>
      <c r="L62" s="6">
        <f t="shared" si="37"/>
        <v>0</v>
      </c>
      <c r="M62" s="2"/>
      <c r="N62" s="7">
        <f t="shared" si="38"/>
        <v>0</v>
      </c>
      <c r="O62" s="10"/>
      <c r="P62" s="6"/>
      <c r="Q62" s="2"/>
      <c r="R62" s="7">
        <f t="shared" si="39"/>
        <v>0</v>
      </c>
      <c r="S62" s="2"/>
      <c r="T62" s="6">
        <v>75</v>
      </c>
      <c r="U62" s="2"/>
      <c r="V62" s="7">
        <f t="shared" si="40"/>
        <v>1.5724717312039465E-4</v>
      </c>
      <c r="W62" s="2"/>
      <c r="X62" s="6">
        <f t="shared" si="41"/>
        <v>-75</v>
      </c>
      <c r="Y62" s="2"/>
      <c r="Z62" s="7">
        <f t="shared" si="42"/>
        <v>-1</v>
      </c>
    </row>
    <row r="63" spans="1:26" s="27" customFormat="1" outlineLevel="1" collapsed="1" x14ac:dyDescent="0.25">
      <c r="A63" s="26"/>
      <c r="B63" s="12" t="str">
        <f>CONCATENATE("     ","Repair and Maintenance                            ")</f>
        <v xml:space="preserve">     Repair and Maintenance                            </v>
      </c>
      <c r="C63" s="12"/>
      <c r="D63" s="1">
        <f>SUM(OSRRefD22_8x_0)</f>
        <v>2435.08</v>
      </c>
      <c r="E63" s="1"/>
      <c r="F63" s="5">
        <f t="shared" si="35"/>
        <v>0.50599695788415022</v>
      </c>
      <c r="G63" s="1"/>
      <c r="H63" s="1">
        <f>SUM(OSRRefH22_8x_0)</f>
        <v>8710.14</v>
      </c>
      <c r="I63" s="1"/>
      <c r="J63" s="5">
        <f t="shared" si="36"/>
        <v>2.293294787643263</v>
      </c>
      <c r="K63" s="1"/>
      <c r="L63" s="1">
        <f t="shared" si="37"/>
        <v>-6275.0599999999995</v>
      </c>
      <c r="M63" s="1"/>
      <c r="N63" s="5">
        <f t="shared" si="38"/>
        <v>-0.72043158892968429</v>
      </c>
      <c r="O63" s="12"/>
      <c r="P63" s="1">
        <f>SUM(OSRRefP22_8x_0)</f>
        <v>37311.89</v>
      </c>
      <c r="Q63" s="1"/>
      <c r="R63" s="5">
        <f t="shared" si="39"/>
        <v>0.28169260671747348</v>
      </c>
      <c r="S63" s="1"/>
      <c r="T63" s="1">
        <f>SUM(OSRRefT22_8x_0)</f>
        <v>74977.819999999992</v>
      </c>
      <c r="U63" s="1"/>
      <c r="V63" s="5">
        <f t="shared" si="40"/>
        <v>0.15720066988973053</v>
      </c>
      <c r="W63" s="1"/>
      <c r="X63" s="1">
        <f t="shared" si="41"/>
        <v>-37665.929999999993</v>
      </c>
      <c r="Y63" s="1"/>
      <c r="Z63" s="5">
        <f t="shared" si="42"/>
        <v>-0.50236096488268123</v>
      </c>
    </row>
    <row r="64" spans="1:26" s="23" customFormat="1" hidden="1" outlineLevel="2" x14ac:dyDescent="0.25">
      <c r="A64" s="25"/>
      <c r="B64" s="10" t="str">
        <f>CONCATENATE("          ", "6371", " - ", "COMPUTER SOFTWARE MAINTENANCE")</f>
        <v xml:space="preserve">          6371 - COMPUTER SOFTWARE MAINTENANCE</v>
      </c>
      <c r="C64" s="10"/>
      <c r="D64" s="6"/>
      <c r="E64" s="2"/>
      <c r="F64" s="7">
        <f t="shared" si="35"/>
        <v>0</v>
      </c>
      <c r="G64" s="2"/>
      <c r="H64" s="6"/>
      <c r="I64" s="2"/>
      <c r="J64" s="7">
        <f t="shared" si="36"/>
        <v>0</v>
      </c>
      <c r="K64" s="2"/>
      <c r="L64" s="6">
        <f t="shared" si="37"/>
        <v>0</v>
      </c>
      <c r="M64" s="2"/>
      <c r="N64" s="7">
        <f t="shared" si="38"/>
        <v>0</v>
      </c>
      <c r="O64" s="10"/>
      <c r="P64" s="6">
        <v>7.69</v>
      </c>
      <c r="Q64" s="2"/>
      <c r="R64" s="7">
        <f t="shared" si="39"/>
        <v>5.8056993244174205E-5</v>
      </c>
      <c r="S64" s="2"/>
      <c r="T64" s="6"/>
      <c r="U64" s="2"/>
      <c r="V64" s="7">
        <f t="shared" si="40"/>
        <v>0</v>
      </c>
      <c r="W64" s="2"/>
      <c r="X64" s="6">
        <f t="shared" si="41"/>
        <v>7.69</v>
      </c>
      <c r="Y64" s="2"/>
      <c r="Z64" s="7">
        <f t="shared" si="42"/>
        <v>0</v>
      </c>
    </row>
    <row r="65" spans="1:26" s="23" customFormat="1" hidden="1" outlineLevel="2" x14ac:dyDescent="0.25">
      <c r="A65" s="25"/>
      <c r="B65" s="10" t="str">
        <f>CONCATENATE("          ", "6373", " - ", "MAINTENANCE CONTRACTS")</f>
        <v xml:space="preserve">          6373 - MAINTENANCE CONTRACTS</v>
      </c>
      <c r="C65" s="10"/>
      <c r="D65" s="6">
        <v>720.33</v>
      </c>
      <c r="E65" s="2"/>
      <c r="F65" s="7">
        <f t="shared" si="35"/>
        <v>0.14968082718953382</v>
      </c>
      <c r="G65" s="2"/>
      <c r="H65" s="6">
        <v>8710.14</v>
      </c>
      <c r="I65" s="2"/>
      <c r="J65" s="7">
        <f t="shared" si="36"/>
        <v>2.293294787643263</v>
      </c>
      <c r="K65" s="2"/>
      <c r="L65" s="6">
        <f t="shared" si="37"/>
        <v>-7989.8099999999995</v>
      </c>
      <c r="M65" s="2"/>
      <c r="N65" s="7">
        <f t="shared" si="38"/>
        <v>-0.9172998367420041</v>
      </c>
      <c r="O65" s="10"/>
      <c r="P65" s="6">
        <v>32072.67</v>
      </c>
      <c r="Q65" s="2"/>
      <c r="R65" s="7">
        <f t="shared" si="39"/>
        <v>0.24213820357771504</v>
      </c>
      <c r="S65" s="2"/>
      <c r="T65" s="6">
        <v>73576.06</v>
      </c>
      <c r="U65" s="2"/>
      <c r="V65" s="7">
        <f t="shared" si="40"/>
        <v>0.1542616992578206</v>
      </c>
      <c r="W65" s="2"/>
      <c r="X65" s="6">
        <f t="shared" si="41"/>
        <v>-41503.39</v>
      </c>
      <c r="Y65" s="2"/>
      <c r="Z65" s="7">
        <f t="shared" si="42"/>
        <v>-0.56408823739678371</v>
      </c>
    </row>
    <row r="66" spans="1:26" s="23" customFormat="1" hidden="1" outlineLevel="2" x14ac:dyDescent="0.25">
      <c r="A66" s="25"/>
      <c r="B66" s="10" t="str">
        <f>CONCATENATE("          ", "6375", " - ", "OUTSIDE REPAIRS &amp; MAINTENANCE")</f>
        <v xml:space="preserve">          6375 - OUTSIDE REPAIRS &amp; MAINTENANCE</v>
      </c>
      <c r="C66" s="10"/>
      <c r="D66" s="6">
        <v>1714.75</v>
      </c>
      <c r="E66" s="2"/>
      <c r="F66" s="7">
        <f t="shared" si="35"/>
        <v>0.35631613069461648</v>
      </c>
      <c r="G66" s="2"/>
      <c r="H66" s="6"/>
      <c r="I66" s="2"/>
      <c r="J66" s="7">
        <f t="shared" si="36"/>
        <v>0</v>
      </c>
      <c r="K66" s="2"/>
      <c r="L66" s="6">
        <f t="shared" si="37"/>
        <v>1714.75</v>
      </c>
      <c r="M66" s="2"/>
      <c r="N66" s="7">
        <f t="shared" si="38"/>
        <v>0</v>
      </c>
      <c r="O66" s="10"/>
      <c r="P66" s="6">
        <v>5231.53</v>
      </c>
      <c r="Q66" s="2"/>
      <c r="R66" s="7">
        <f t="shared" si="39"/>
        <v>3.9496346146514261E-2</v>
      </c>
      <c r="S66" s="2"/>
      <c r="T66" s="6">
        <v>1401.76</v>
      </c>
      <c r="U66" s="2"/>
      <c r="V66" s="7">
        <f t="shared" si="40"/>
        <v>2.9389706319099258E-3</v>
      </c>
      <c r="W66" s="2"/>
      <c r="X66" s="6">
        <f t="shared" si="41"/>
        <v>3829.7699999999995</v>
      </c>
      <c r="Y66" s="2"/>
      <c r="Z66" s="7">
        <f t="shared" si="42"/>
        <v>2.7321153407145298</v>
      </c>
    </row>
    <row r="67" spans="1:26" s="27" customFormat="1" outlineLevel="1" collapsed="1" x14ac:dyDescent="0.25">
      <c r="A67" s="26"/>
      <c r="B67" s="12" t="str">
        <f>CONCATENATE("     ","Royalty &amp; Commissions                             ")</f>
        <v xml:space="preserve">     Royalty &amp; Commissions                             </v>
      </c>
      <c r="C67" s="12"/>
      <c r="D67" s="1">
        <f>SUM(OSRRefD22_9x_0)</f>
        <v>2549.25</v>
      </c>
      <c r="E67" s="1"/>
      <c r="F67" s="5">
        <f t="shared" ref="F67:F77" si="43">IF(D$12=0,0,D67/D$12)</f>
        <v>0.52972089002668088</v>
      </c>
      <c r="G67" s="1"/>
      <c r="H67" s="1">
        <f>SUM(OSRRefH22_9x_0)</f>
        <v>0</v>
      </c>
      <c r="I67" s="1"/>
      <c r="J67" s="5">
        <f t="shared" ref="J67:J77" si="44">IF(H$12=0,0,H67/H$12)</f>
        <v>0</v>
      </c>
      <c r="K67" s="1"/>
      <c r="L67" s="1">
        <f t="shared" ref="L67:L77" si="45">+D67-H67</f>
        <v>2549.25</v>
      </c>
      <c r="M67" s="1"/>
      <c r="N67" s="5">
        <f t="shared" ref="N67:N77" si="46">IF(H67=0,0,L67/H67)</f>
        <v>0</v>
      </c>
      <c r="O67" s="12"/>
      <c r="P67" s="1">
        <f>SUM(OSRRefP22_9x_0)</f>
        <v>16177.12</v>
      </c>
      <c r="Q67" s="1"/>
      <c r="R67" s="5">
        <f t="shared" ref="R67:R77" si="47">IF(P$12=0,0,P67/P$12)</f>
        <v>0.1221319826463193</v>
      </c>
      <c r="S67" s="1"/>
      <c r="T67" s="1">
        <f>SUM(OSRRefT22_9x_0)</f>
        <v>82607.740000000005</v>
      </c>
      <c r="U67" s="1"/>
      <c r="V67" s="5">
        <f t="shared" ref="V67:V77" si="48">IF(T$12=0,0,T67/T$12)</f>
        <v>0.17319778123819404</v>
      </c>
      <c r="W67" s="1"/>
      <c r="X67" s="1">
        <f t="shared" ref="X67:X77" si="49">+P67-T67</f>
        <v>-66430.62000000001</v>
      </c>
      <c r="Y67" s="1"/>
      <c r="Z67" s="5">
        <f t="shared" ref="Z67:Z77" si="50">IF(T67=0,0,X67/T67)</f>
        <v>-0.80416943981278277</v>
      </c>
    </row>
    <row r="68" spans="1:26" s="23" customFormat="1" hidden="1" outlineLevel="2" x14ac:dyDescent="0.25">
      <c r="A68" s="25"/>
      <c r="B68" s="10" t="str">
        <f>CONCATENATE("          ", "6259", " - ", "ROYALTY &amp; COMMISSIONS")</f>
        <v xml:space="preserve">          6259 - ROYALTY &amp; COMMISSIONS</v>
      </c>
      <c r="C68" s="10"/>
      <c r="D68" s="6">
        <v>2549.25</v>
      </c>
      <c r="E68" s="2"/>
      <c r="F68" s="7">
        <f t="shared" si="43"/>
        <v>0.52972089002668088</v>
      </c>
      <c r="G68" s="2"/>
      <c r="H68" s="6"/>
      <c r="I68" s="2"/>
      <c r="J68" s="7">
        <f t="shared" si="44"/>
        <v>0</v>
      </c>
      <c r="K68" s="2"/>
      <c r="L68" s="6">
        <f t="shared" si="45"/>
        <v>2549.25</v>
      </c>
      <c r="M68" s="2"/>
      <c r="N68" s="7">
        <f t="shared" si="46"/>
        <v>0</v>
      </c>
      <c r="O68" s="10"/>
      <c r="P68" s="6">
        <v>16177.12</v>
      </c>
      <c r="Q68" s="2"/>
      <c r="R68" s="7">
        <f t="shared" si="47"/>
        <v>0.1221319826463193</v>
      </c>
      <c r="S68" s="2"/>
      <c r="T68" s="6">
        <v>82607.740000000005</v>
      </c>
      <c r="U68" s="2"/>
      <c r="V68" s="7">
        <f t="shared" si="48"/>
        <v>0.17319778123819404</v>
      </c>
      <c r="W68" s="2"/>
      <c r="X68" s="6">
        <f t="shared" si="49"/>
        <v>-66430.62000000001</v>
      </c>
      <c r="Y68" s="2"/>
      <c r="Z68" s="7">
        <f t="shared" si="50"/>
        <v>-0.80416943981278277</v>
      </c>
    </row>
    <row r="69" spans="1:26" s="27" customFormat="1" outlineLevel="1" collapsed="1" x14ac:dyDescent="0.25">
      <c r="A69" s="26"/>
      <c r="B69" s="12" t="str">
        <f>CONCATENATE("     ","Subscriptions &amp; Dues                              ")</f>
        <v xml:space="preserve">     Subscriptions &amp; Dues                              </v>
      </c>
      <c r="C69" s="12"/>
      <c r="D69" s="1">
        <f>SUM(OSRRefD22_10x_0)</f>
        <v>0</v>
      </c>
      <c r="E69" s="1"/>
      <c r="F69" s="5">
        <f t="shared" si="43"/>
        <v>0</v>
      </c>
      <c r="G69" s="1"/>
      <c r="H69" s="1">
        <f>SUM(OSRRefH22_10x_0)</f>
        <v>0</v>
      </c>
      <c r="I69" s="1"/>
      <c r="J69" s="5">
        <f t="shared" si="44"/>
        <v>0</v>
      </c>
      <c r="K69" s="1"/>
      <c r="L69" s="1">
        <f t="shared" si="45"/>
        <v>0</v>
      </c>
      <c r="M69" s="1"/>
      <c r="N69" s="5">
        <f t="shared" si="46"/>
        <v>0</v>
      </c>
      <c r="O69" s="12"/>
      <c r="P69" s="1">
        <f>SUM(OSRRefP22_10x_0)</f>
        <v>31.75</v>
      </c>
      <c r="Q69" s="1"/>
      <c r="R69" s="5">
        <f t="shared" si="47"/>
        <v>2.3970215026040715E-4</v>
      </c>
      <c r="S69" s="1"/>
      <c r="T69" s="1">
        <f>SUM(OSRRefT22_10x_0)</f>
        <v>0</v>
      </c>
      <c r="U69" s="1"/>
      <c r="V69" s="5">
        <f t="shared" si="48"/>
        <v>0</v>
      </c>
      <c r="W69" s="1"/>
      <c r="X69" s="1">
        <f t="shared" si="49"/>
        <v>31.75</v>
      </c>
      <c r="Y69" s="1"/>
      <c r="Z69" s="5">
        <f t="shared" si="50"/>
        <v>0</v>
      </c>
    </row>
    <row r="70" spans="1:26" s="23" customFormat="1" hidden="1" outlineLevel="2" x14ac:dyDescent="0.25">
      <c r="A70" s="25"/>
      <c r="B70" s="10" t="str">
        <f>CONCATENATE("          ", "6258", " - ", "MEMBERSHIP DUES")</f>
        <v xml:space="preserve">          6258 - MEMBERSHIP DUES</v>
      </c>
      <c r="C70" s="10"/>
      <c r="D70" s="6"/>
      <c r="E70" s="2"/>
      <c r="F70" s="7">
        <f t="shared" si="43"/>
        <v>0</v>
      </c>
      <c r="G70" s="2"/>
      <c r="H70" s="6"/>
      <c r="I70" s="2"/>
      <c r="J70" s="7">
        <f t="shared" si="44"/>
        <v>0</v>
      </c>
      <c r="K70" s="2"/>
      <c r="L70" s="6">
        <f t="shared" si="45"/>
        <v>0</v>
      </c>
      <c r="M70" s="2"/>
      <c r="N70" s="7">
        <f t="shared" si="46"/>
        <v>0</v>
      </c>
      <c r="O70" s="10"/>
      <c r="P70" s="6">
        <v>31.75</v>
      </c>
      <c r="Q70" s="2"/>
      <c r="R70" s="7">
        <f t="shared" si="47"/>
        <v>2.3970215026040715E-4</v>
      </c>
      <c r="S70" s="2"/>
      <c r="T70" s="6"/>
      <c r="U70" s="2"/>
      <c r="V70" s="7">
        <f t="shared" si="48"/>
        <v>0</v>
      </c>
      <c r="W70" s="2"/>
      <c r="X70" s="6">
        <f t="shared" si="49"/>
        <v>31.75</v>
      </c>
      <c r="Y70" s="2"/>
      <c r="Z70" s="7">
        <f t="shared" si="50"/>
        <v>0</v>
      </c>
    </row>
    <row r="71" spans="1:26" s="27" customFormat="1" outlineLevel="1" collapsed="1" x14ac:dyDescent="0.25">
      <c r="A71" s="26"/>
      <c r="B71" s="12" t="str">
        <f>CONCATENATE("     ","Supplies                                          ")</f>
        <v xml:space="preserve">     Supplies                                          </v>
      </c>
      <c r="C71" s="12"/>
      <c r="D71" s="1">
        <f>SUM(OSRRefD22_11x_0)</f>
        <v>9540.7799999999988</v>
      </c>
      <c r="E71" s="1"/>
      <c r="F71" s="5">
        <f t="shared" si="43"/>
        <v>1.9825244574477812</v>
      </c>
      <c r="G71" s="1"/>
      <c r="H71" s="1">
        <f>SUM(OSRRefH22_11x_0)</f>
        <v>4864.5700000000006</v>
      </c>
      <c r="I71" s="1"/>
      <c r="J71" s="5">
        <f t="shared" si="44"/>
        <v>1.2807937673936112</v>
      </c>
      <c r="K71" s="1"/>
      <c r="L71" s="1">
        <f t="shared" si="45"/>
        <v>4676.2099999999982</v>
      </c>
      <c r="M71" s="1"/>
      <c r="N71" s="5">
        <f t="shared" si="46"/>
        <v>0.96127920864536798</v>
      </c>
      <c r="O71" s="12"/>
      <c r="P71" s="1">
        <f>SUM(OSRRefP22_11x_0)</f>
        <v>51967.22</v>
      </c>
      <c r="Q71" s="1"/>
      <c r="R71" s="5">
        <f t="shared" si="47"/>
        <v>0.39233557093088617</v>
      </c>
      <c r="S71" s="1"/>
      <c r="T71" s="1">
        <f>SUM(OSRRefT22_11x_0)</f>
        <v>45644.959999999999</v>
      </c>
      <c r="U71" s="1"/>
      <c r="V71" s="5">
        <f t="shared" si="48"/>
        <v>9.57005456959132E-2</v>
      </c>
      <c r="W71" s="1"/>
      <c r="X71" s="1">
        <f t="shared" si="49"/>
        <v>6322.260000000002</v>
      </c>
      <c r="Y71" s="1"/>
      <c r="Z71" s="5">
        <f t="shared" si="50"/>
        <v>0.13850948713724368</v>
      </c>
    </row>
    <row r="72" spans="1:26" s="23" customFormat="1" hidden="1" outlineLevel="2" x14ac:dyDescent="0.25">
      <c r="A72" s="25"/>
      <c r="B72" s="10" t="str">
        <f>CONCATENATE("          ", "6234", " - ", "EXPENDABLE SUPPLIES &amp; EQUIPMEN")</f>
        <v xml:space="preserve">          6234 - EXPENDABLE SUPPLIES &amp; EQUIPMEN</v>
      </c>
      <c r="C72" s="10"/>
      <c r="D72" s="6"/>
      <c r="E72" s="2"/>
      <c r="F72" s="7">
        <f t="shared" si="43"/>
        <v>0</v>
      </c>
      <c r="G72" s="2"/>
      <c r="H72" s="6">
        <v>4356.1000000000004</v>
      </c>
      <c r="I72" s="2"/>
      <c r="J72" s="7">
        <f t="shared" si="44"/>
        <v>1.1469185827613355</v>
      </c>
      <c r="K72" s="2"/>
      <c r="L72" s="6">
        <f t="shared" si="45"/>
        <v>-4356.1000000000004</v>
      </c>
      <c r="M72" s="2"/>
      <c r="N72" s="7">
        <f t="shared" si="46"/>
        <v>-1</v>
      </c>
      <c r="O72" s="10"/>
      <c r="P72" s="6"/>
      <c r="Q72" s="2"/>
      <c r="R72" s="7">
        <f t="shared" si="47"/>
        <v>0</v>
      </c>
      <c r="S72" s="2"/>
      <c r="T72" s="6">
        <v>5373.37</v>
      </c>
      <c r="U72" s="2"/>
      <c r="V72" s="7">
        <f t="shared" si="48"/>
        <v>1.1265963235065801E-2</v>
      </c>
      <c r="W72" s="2"/>
      <c r="X72" s="6">
        <f t="shared" si="49"/>
        <v>-5373.37</v>
      </c>
      <c r="Y72" s="2"/>
      <c r="Z72" s="7">
        <f t="shared" si="50"/>
        <v>-1</v>
      </c>
    </row>
    <row r="73" spans="1:26" s="23" customFormat="1" hidden="1" outlineLevel="2" x14ac:dyDescent="0.25">
      <c r="A73" s="25"/>
      <c r="B73" s="10" t="str">
        <f>CONCATENATE("          ", "6235", " - ", "COVID-19 EXPENSES")</f>
        <v xml:space="preserve">          6235 - COVID-19 EXPENSES</v>
      </c>
      <c r="C73" s="10"/>
      <c r="D73" s="6"/>
      <c r="E73" s="2"/>
      <c r="F73" s="7">
        <f t="shared" si="43"/>
        <v>0</v>
      </c>
      <c r="G73" s="2"/>
      <c r="H73" s="6"/>
      <c r="I73" s="2"/>
      <c r="J73" s="7">
        <f t="shared" si="44"/>
        <v>0</v>
      </c>
      <c r="K73" s="2"/>
      <c r="L73" s="6">
        <f t="shared" si="45"/>
        <v>0</v>
      </c>
      <c r="M73" s="2"/>
      <c r="N73" s="7">
        <f t="shared" si="46"/>
        <v>0</v>
      </c>
      <c r="O73" s="10"/>
      <c r="P73" s="6">
        <v>310.91000000000003</v>
      </c>
      <c r="Q73" s="2"/>
      <c r="R73" s="7">
        <f t="shared" si="47"/>
        <v>2.3472691507862424E-3</v>
      </c>
      <c r="S73" s="2"/>
      <c r="T73" s="6"/>
      <c r="U73" s="2"/>
      <c r="V73" s="7">
        <f t="shared" si="48"/>
        <v>0</v>
      </c>
      <c r="W73" s="2"/>
      <c r="X73" s="6">
        <f t="shared" si="49"/>
        <v>310.91000000000003</v>
      </c>
      <c r="Y73" s="2"/>
      <c r="Z73" s="7">
        <f t="shared" si="50"/>
        <v>0</v>
      </c>
    </row>
    <row r="74" spans="1:26" s="23" customFormat="1" hidden="1" outlineLevel="2" x14ac:dyDescent="0.25">
      <c r="A74" s="25"/>
      <c r="B74" s="10" t="str">
        <f>CONCATENATE("          ", "6241", " - ", "OFFICE EXPENSE")</f>
        <v xml:space="preserve">          6241 - OFFICE EXPENSE</v>
      </c>
      <c r="C74" s="10"/>
      <c r="D74" s="6">
        <v>56.39</v>
      </c>
      <c r="E74" s="2"/>
      <c r="F74" s="7">
        <f t="shared" si="43"/>
        <v>1.1717548686321286E-2</v>
      </c>
      <c r="G74" s="2"/>
      <c r="H74" s="6"/>
      <c r="I74" s="2"/>
      <c r="J74" s="7">
        <f t="shared" si="44"/>
        <v>0</v>
      </c>
      <c r="K74" s="2"/>
      <c r="L74" s="6">
        <f t="shared" si="45"/>
        <v>56.39</v>
      </c>
      <c r="M74" s="2"/>
      <c r="N74" s="7">
        <f t="shared" si="46"/>
        <v>0</v>
      </c>
      <c r="O74" s="10"/>
      <c r="P74" s="6">
        <v>4732.3999999999996</v>
      </c>
      <c r="Q74" s="2"/>
      <c r="R74" s="7">
        <f t="shared" si="47"/>
        <v>3.5728077350940184E-2</v>
      </c>
      <c r="S74" s="2"/>
      <c r="T74" s="6">
        <v>1578.06</v>
      </c>
      <c r="U74" s="2"/>
      <c r="V74" s="7">
        <f t="shared" si="48"/>
        <v>3.3086063201916002E-3</v>
      </c>
      <c r="W74" s="2"/>
      <c r="X74" s="6">
        <f t="shared" si="49"/>
        <v>3154.3399999999997</v>
      </c>
      <c r="Y74" s="2"/>
      <c r="Z74" s="7">
        <f t="shared" si="50"/>
        <v>1.9988720327490714</v>
      </c>
    </row>
    <row r="75" spans="1:26" s="23" customFormat="1" hidden="1" outlineLevel="2" x14ac:dyDescent="0.25">
      <c r="A75" s="25"/>
      <c r="B75" s="10" t="str">
        <f>CONCATENATE("          ", "6243", " - ", "PAPER SUPPLIES")</f>
        <v xml:space="preserve">          6243 - PAPER SUPPLIES</v>
      </c>
      <c r="C75" s="10"/>
      <c r="D75" s="6">
        <v>548.02</v>
      </c>
      <c r="E75" s="2"/>
      <c r="F75" s="7">
        <f t="shared" si="43"/>
        <v>0.11387570546334085</v>
      </c>
      <c r="G75" s="2"/>
      <c r="H75" s="6">
        <v>508.47</v>
      </c>
      <c r="I75" s="2"/>
      <c r="J75" s="7">
        <f t="shared" si="44"/>
        <v>0.13387518463227571</v>
      </c>
      <c r="K75" s="2"/>
      <c r="L75" s="6">
        <f t="shared" si="45"/>
        <v>39.549999999999955</v>
      </c>
      <c r="M75" s="2"/>
      <c r="N75" s="7">
        <f t="shared" si="46"/>
        <v>7.7782366707966941E-2</v>
      </c>
      <c r="O75" s="10"/>
      <c r="P75" s="6">
        <v>7230.6</v>
      </c>
      <c r="Q75" s="2"/>
      <c r="R75" s="7">
        <f t="shared" si="47"/>
        <v>5.4588672997571655E-2</v>
      </c>
      <c r="S75" s="2"/>
      <c r="T75" s="6">
        <v>18447.68</v>
      </c>
      <c r="U75" s="2"/>
      <c r="V75" s="7">
        <f t="shared" si="48"/>
        <v>3.8677940408395228E-2</v>
      </c>
      <c r="W75" s="2"/>
      <c r="X75" s="6">
        <f t="shared" si="49"/>
        <v>-11217.08</v>
      </c>
      <c r="Y75" s="2"/>
      <c r="Z75" s="7">
        <f t="shared" si="50"/>
        <v>-0.60804827490502866</v>
      </c>
    </row>
    <row r="76" spans="1:26" s="23" customFormat="1" hidden="1" outlineLevel="2" x14ac:dyDescent="0.25">
      <c r="A76" s="25"/>
      <c r="B76" s="10" t="str">
        <f>CONCATENATE("          ", "6245", " - ", "PRINTING")</f>
        <v xml:space="preserve">          6245 - PRINTING</v>
      </c>
      <c r="C76" s="10"/>
      <c r="D76" s="6">
        <v>2921.89</v>
      </c>
      <c r="E76" s="2"/>
      <c r="F76" s="7">
        <f t="shared" si="43"/>
        <v>0.60715354373249331</v>
      </c>
      <c r="G76" s="2"/>
      <c r="H76" s="6"/>
      <c r="I76" s="2"/>
      <c r="J76" s="7">
        <f t="shared" si="44"/>
        <v>0</v>
      </c>
      <c r="K76" s="2"/>
      <c r="L76" s="6">
        <f t="shared" si="45"/>
        <v>2921.89</v>
      </c>
      <c r="M76" s="2"/>
      <c r="N76" s="7">
        <f t="shared" si="46"/>
        <v>0</v>
      </c>
      <c r="O76" s="10"/>
      <c r="P76" s="6">
        <v>11937.61</v>
      </c>
      <c r="Q76" s="2"/>
      <c r="R76" s="7">
        <f t="shared" si="47"/>
        <v>9.0125064125043758E-2</v>
      </c>
      <c r="S76" s="2"/>
      <c r="T76" s="6">
        <v>5894.17</v>
      </c>
      <c r="U76" s="2"/>
      <c r="V76" s="7">
        <f t="shared" si="48"/>
        <v>1.2357887605213821E-2</v>
      </c>
      <c r="W76" s="2"/>
      <c r="X76" s="6">
        <f t="shared" si="49"/>
        <v>6043.4400000000005</v>
      </c>
      <c r="Y76" s="2"/>
      <c r="Z76" s="7">
        <f t="shared" si="50"/>
        <v>1.0253250245581651</v>
      </c>
    </row>
    <row r="77" spans="1:26" s="23" customFormat="1" hidden="1" outlineLevel="2" x14ac:dyDescent="0.25">
      <c r="A77" s="25"/>
      <c r="B77" s="10" t="str">
        <f>CONCATENATE("          ", "6247", " - ", "STORE SUPPLIES")</f>
        <v xml:space="preserve">          6247 - STORE SUPPLIES</v>
      </c>
      <c r="C77" s="10"/>
      <c r="D77" s="6">
        <v>6014.48</v>
      </c>
      <c r="E77" s="2"/>
      <c r="F77" s="7">
        <f t="shared" si="43"/>
        <v>1.2497776595656258</v>
      </c>
      <c r="G77" s="2"/>
      <c r="H77" s="6"/>
      <c r="I77" s="2"/>
      <c r="J77" s="7">
        <f t="shared" si="44"/>
        <v>0</v>
      </c>
      <c r="K77" s="2"/>
      <c r="L77" s="6">
        <f t="shared" si="45"/>
        <v>6014.48</v>
      </c>
      <c r="M77" s="2"/>
      <c r="N77" s="7">
        <f t="shared" si="46"/>
        <v>0</v>
      </c>
      <c r="O77" s="10"/>
      <c r="P77" s="6">
        <v>27755.7</v>
      </c>
      <c r="Q77" s="2"/>
      <c r="R77" s="7">
        <f t="shared" si="47"/>
        <v>0.20954648730654435</v>
      </c>
      <c r="S77" s="2"/>
      <c r="T77" s="6">
        <v>14351.68</v>
      </c>
      <c r="U77" s="2"/>
      <c r="V77" s="7">
        <f t="shared" si="48"/>
        <v>3.0090148127046745E-2</v>
      </c>
      <c r="W77" s="2"/>
      <c r="X77" s="6">
        <f t="shared" si="49"/>
        <v>13404.02</v>
      </c>
      <c r="Y77" s="2"/>
      <c r="Z77" s="7">
        <f t="shared" si="50"/>
        <v>0.93396870610270022</v>
      </c>
    </row>
    <row r="78" spans="1:26" s="27" customFormat="1" outlineLevel="1" collapsed="1" x14ac:dyDescent="0.25">
      <c r="A78" s="26"/>
      <c r="B78" s="12" t="str">
        <f>CONCATENATE("     ","Telephone/Data Lines                              ")</f>
        <v xml:space="preserve">     Telephone/Data Lines                              </v>
      </c>
      <c r="C78" s="12"/>
      <c r="D78" s="1">
        <f>SUM(OSRRefD22_12x_0)</f>
        <v>234.25</v>
      </c>
      <c r="E78" s="1"/>
      <c r="F78" s="5">
        <f t="shared" ref="F78:F83" si="51">IF(D$12=0,0,D78/D$12)</f>
        <v>4.8675931544081591E-2</v>
      </c>
      <c r="G78" s="1"/>
      <c r="H78" s="1">
        <f>SUM(OSRRefH22_12x_0)</f>
        <v>52.9</v>
      </c>
      <c r="I78" s="1"/>
      <c r="J78" s="5">
        <f t="shared" ref="J78:J83" si="52">IF(H$12=0,0,H78/H$12)</f>
        <v>1.3928053311006322E-2</v>
      </c>
      <c r="K78" s="1"/>
      <c r="L78" s="1">
        <f t="shared" ref="L78:L83" si="53">+D78-H78</f>
        <v>181.35</v>
      </c>
      <c r="M78" s="1"/>
      <c r="N78" s="5">
        <f t="shared" ref="N78:N83" si="54">IF(H78=0,0,L78/H78)</f>
        <v>3.4281663516068055</v>
      </c>
      <c r="O78" s="12"/>
      <c r="P78" s="1">
        <f>SUM(OSRRefP22_12x_0)</f>
        <v>1977.6</v>
      </c>
      <c r="Q78" s="1"/>
      <c r="R78" s="5">
        <f t="shared" ref="R78:R83" si="55">IF(P$12=0,0,P78/P$12)</f>
        <v>1.4930235349763185E-2</v>
      </c>
      <c r="S78" s="1"/>
      <c r="T78" s="1">
        <f>SUM(OSRRefT22_12x_0)</f>
        <v>1652.6</v>
      </c>
      <c r="U78" s="1"/>
      <c r="V78" s="5">
        <f t="shared" ref="V78:V83" si="56">IF(T$12=0,0,T78/T$12)</f>
        <v>3.4648890439835226E-3</v>
      </c>
      <c r="W78" s="1"/>
      <c r="X78" s="1">
        <f t="shared" ref="X78:X83" si="57">+P78-T78</f>
        <v>325</v>
      </c>
      <c r="Y78" s="1"/>
      <c r="Z78" s="5">
        <f t="shared" ref="Z78:Z83" si="58">IF(T78=0,0,X78/T78)</f>
        <v>0.19665980878615516</v>
      </c>
    </row>
    <row r="79" spans="1:26" s="23" customFormat="1" hidden="1" outlineLevel="2" x14ac:dyDescent="0.25">
      <c r="A79" s="25"/>
      <c r="B79" s="10" t="str">
        <f>CONCATENATE("          ", "6309", " - ", "TELEPHONE")</f>
        <v xml:space="preserve">          6309 - TELEPHONE</v>
      </c>
      <c r="C79" s="10"/>
      <c r="D79" s="6">
        <v>234.25</v>
      </c>
      <c r="E79" s="2"/>
      <c r="F79" s="7">
        <f t="shared" si="51"/>
        <v>4.8675931544081591E-2</v>
      </c>
      <c r="G79" s="2"/>
      <c r="H79" s="6">
        <v>52.9</v>
      </c>
      <c r="I79" s="2"/>
      <c r="J79" s="7">
        <f t="shared" si="52"/>
        <v>1.3928053311006322E-2</v>
      </c>
      <c r="K79" s="2"/>
      <c r="L79" s="6">
        <f t="shared" si="53"/>
        <v>181.35</v>
      </c>
      <c r="M79" s="2"/>
      <c r="N79" s="7">
        <f t="shared" si="54"/>
        <v>3.4281663516068055</v>
      </c>
      <c r="O79" s="10"/>
      <c r="P79" s="6">
        <v>1977.6</v>
      </c>
      <c r="Q79" s="2"/>
      <c r="R79" s="7">
        <f t="shared" si="55"/>
        <v>1.4930235349763185E-2</v>
      </c>
      <c r="S79" s="2"/>
      <c r="T79" s="6">
        <v>1652.6</v>
      </c>
      <c r="U79" s="2"/>
      <c r="V79" s="7">
        <f t="shared" si="56"/>
        <v>3.4648890439835226E-3</v>
      </c>
      <c r="W79" s="2"/>
      <c r="X79" s="6">
        <f t="shared" si="57"/>
        <v>325</v>
      </c>
      <c r="Y79" s="2"/>
      <c r="Z79" s="7">
        <f t="shared" si="58"/>
        <v>0.19665980878615516</v>
      </c>
    </row>
    <row r="80" spans="1:26" s="27" customFormat="1" outlineLevel="1" collapsed="1" x14ac:dyDescent="0.25">
      <c r="A80" s="26"/>
      <c r="B80" s="12" t="str">
        <f>CONCATENATE("     ","Training                                          ")</f>
        <v xml:space="preserve">     Training                                          </v>
      </c>
      <c r="C80" s="12"/>
      <c r="D80" s="1">
        <f>SUM(OSRRefD22_13x_0)</f>
        <v>0</v>
      </c>
      <c r="E80" s="1"/>
      <c r="F80" s="5">
        <f t="shared" si="51"/>
        <v>0</v>
      </c>
      <c r="G80" s="1"/>
      <c r="H80" s="1">
        <f>SUM(OSRRefH22_13x_0)</f>
        <v>0</v>
      </c>
      <c r="I80" s="1"/>
      <c r="J80" s="5">
        <f t="shared" si="52"/>
        <v>0</v>
      </c>
      <c r="K80" s="1"/>
      <c r="L80" s="1">
        <f t="shared" si="53"/>
        <v>0</v>
      </c>
      <c r="M80" s="1"/>
      <c r="N80" s="5">
        <f t="shared" si="54"/>
        <v>0</v>
      </c>
      <c r="O80" s="12"/>
      <c r="P80" s="1">
        <f>SUM(OSRRefP22_13x_0)</f>
        <v>0</v>
      </c>
      <c r="Q80" s="1"/>
      <c r="R80" s="5">
        <f t="shared" si="55"/>
        <v>0</v>
      </c>
      <c r="S80" s="1"/>
      <c r="T80" s="1">
        <f>SUM(OSRRefT22_13x_0)</f>
        <v>97.71</v>
      </c>
      <c r="U80" s="1"/>
      <c r="V80" s="5">
        <f t="shared" si="56"/>
        <v>2.0486161714125016E-4</v>
      </c>
      <c r="W80" s="1"/>
      <c r="X80" s="1">
        <f t="shared" si="57"/>
        <v>-97.71</v>
      </c>
      <c r="Y80" s="1"/>
      <c r="Z80" s="5">
        <f t="shared" si="58"/>
        <v>-1</v>
      </c>
    </row>
    <row r="81" spans="1:26" s="23" customFormat="1" hidden="1" outlineLevel="2" x14ac:dyDescent="0.25">
      <c r="A81" s="25"/>
      <c r="B81" s="10" t="str">
        <f>CONCATENATE("          ", "6376", " - ", "TRAINING")</f>
        <v xml:space="preserve">          6376 - TRAINING</v>
      </c>
      <c r="C81" s="10"/>
      <c r="D81" s="6"/>
      <c r="E81" s="2"/>
      <c r="F81" s="7">
        <f t="shared" si="51"/>
        <v>0</v>
      </c>
      <c r="G81" s="2"/>
      <c r="H81" s="6"/>
      <c r="I81" s="2"/>
      <c r="J81" s="7">
        <f t="shared" si="52"/>
        <v>0</v>
      </c>
      <c r="K81" s="2"/>
      <c r="L81" s="6">
        <f t="shared" si="53"/>
        <v>0</v>
      </c>
      <c r="M81" s="2"/>
      <c r="N81" s="7">
        <f t="shared" si="54"/>
        <v>0</v>
      </c>
      <c r="O81" s="10"/>
      <c r="P81" s="6"/>
      <c r="Q81" s="2"/>
      <c r="R81" s="7">
        <f t="shared" si="55"/>
        <v>0</v>
      </c>
      <c r="S81" s="2"/>
      <c r="T81" s="6">
        <v>97.71</v>
      </c>
      <c r="U81" s="2"/>
      <c r="V81" s="7">
        <f t="shared" si="56"/>
        <v>2.0486161714125016E-4</v>
      </c>
      <c r="W81" s="2"/>
      <c r="X81" s="6">
        <f t="shared" si="57"/>
        <v>-97.71</v>
      </c>
      <c r="Y81" s="2"/>
      <c r="Z81" s="7">
        <f t="shared" si="58"/>
        <v>-1</v>
      </c>
    </row>
    <row r="82" spans="1:26" s="27" customFormat="1" outlineLevel="1" collapsed="1" x14ac:dyDescent="0.25">
      <c r="A82" s="26"/>
      <c r="B82" s="12" t="str">
        <f>CONCATENATE("     ","Utilities                                         ")</f>
        <v xml:space="preserve">     Utilities                                         </v>
      </c>
      <c r="C82" s="12"/>
      <c r="D82" s="1">
        <f>SUM(OSRRefD22_14x_0)</f>
        <v>0</v>
      </c>
      <c r="E82" s="1"/>
      <c r="F82" s="5">
        <f t="shared" si="51"/>
        <v>0</v>
      </c>
      <c r="G82" s="1"/>
      <c r="H82" s="1">
        <f>SUM(OSRRefH22_14x_0)</f>
        <v>0</v>
      </c>
      <c r="I82" s="1"/>
      <c r="J82" s="5">
        <f t="shared" si="52"/>
        <v>0</v>
      </c>
      <c r="K82" s="1"/>
      <c r="L82" s="1">
        <f t="shared" si="53"/>
        <v>0</v>
      </c>
      <c r="M82" s="1"/>
      <c r="N82" s="5">
        <f t="shared" si="54"/>
        <v>0</v>
      </c>
      <c r="O82" s="12"/>
      <c r="P82" s="1">
        <f>SUM(OSRRefP22_14x_0)</f>
        <v>15.02</v>
      </c>
      <c r="Q82" s="1"/>
      <c r="R82" s="5">
        <f t="shared" si="55"/>
        <v>1.1339610383972647E-4</v>
      </c>
      <c r="S82" s="1"/>
      <c r="T82" s="1">
        <f>SUM(OSRRefT22_14x_0)</f>
        <v>0</v>
      </c>
      <c r="U82" s="1"/>
      <c r="V82" s="5">
        <f t="shared" si="56"/>
        <v>0</v>
      </c>
      <c r="W82" s="1"/>
      <c r="X82" s="1">
        <f t="shared" si="57"/>
        <v>15.02</v>
      </c>
      <c r="Y82" s="1"/>
      <c r="Z82" s="5">
        <f t="shared" si="58"/>
        <v>0</v>
      </c>
    </row>
    <row r="83" spans="1:26" s="23" customFormat="1" hidden="1" outlineLevel="2" x14ac:dyDescent="0.25">
      <c r="A83" s="25"/>
      <c r="B83" s="10" t="str">
        <f>CONCATENATE("          ", "6274", " - ", "UTILITIES")</f>
        <v xml:space="preserve">          6274 - UTILITIES</v>
      </c>
      <c r="C83" s="10"/>
      <c r="D83" s="6"/>
      <c r="E83" s="2"/>
      <c r="F83" s="7">
        <f t="shared" si="51"/>
        <v>0</v>
      </c>
      <c r="G83" s="2"/>
      <c r="H83" s="6"/>
      <c r="I83" s="2"/>
      <c r="J83" s="7">
        <f t="shared" si="52"/>
        <v>0</v>
      </c>
      <c r="K83" s="2"/>
      <c r="L83" s="6">
        <f t="shared" si="53"/>
        <v>0</v>
      </c>
      <c r="M83" s="2"/>
      <c r="N83" s="7">
        <f t="shared" si="54"/>
        <v>0</v>
      </c>
      <c r="O83" s="10"/>
      <c r="P83" s="6">
        <v>15.02</v>
      </c>
      <c r="Q83" s="2"/>
      <c r="R83" s="7">
        <f t="shared" si="55"/>
        <v>1.1339610383972647E-4</v>
      </c>
      <c r="S83" s="2"/>
      <c r="T83" s="6"/>
      <c r="U83" s="2"/>
      <c r="V83" s="7">
        <f t="shared" si="56"/>
        <v>0</v>
      </c>
      <c r="W83" s="2"/>
      <c r="X83" s="6">
        <f t="shared" si="57"/>
        <v>15.02</v>
      </c>
      <c r="Y83" s="2"/>
      <c r="Z83" s="7">
        <f t="shared" si="58"/>
        <v>0</v>
      </c>
    </row>
    <row r="84" spans="1:26" s="52" customFormat="1" x14ac:dyDescent="0.25">
      <c r="A84" s="37"/>
      <c r="B84" s="37"/>
      <c r="C84" s="37"/>
      <c r="D84" s="1"/>
      <c r="E84" s="1"/>
      <c r="F84" s="5"/>
      <c r="G84" s="1"/>
      <c r="H84" s="1"/>
      <c r="I84" s="1"/>
      <c r="J84" s="5"/>
      <c r="K84" s="1"/>
      <c r="L84" s="1"/>
      <c r="M84" s="1"/>
      <c r="N84" s="5"/>
      <c r="O84" s="37"/>
      <c r="P84" s="1"/>
      <c r="Q84" s="1"/>
      <c r="R84" s="5"/>
      <c r="S84" s="1"/>
      <c r="T84" s="1"/>
      <c r="U84" s="1"/>
      <c r="V84" s="5"/>
      <c r="W84" s="1"/>
      <c r="X84" s="1"/>
      <c r="Y84" s="1"/>
      <c r="Z84" s="5"/>
    </row>
    <row r="85" spans="1:26" s="24" customFormat="1" collapsed="1" x14ac:dyDescent="0.25">
      <c r="A85" s="11"/>
      <c r="B85" s="29" t="s">
        <v>292</v>
      </c>
      <c r="C85" s="11"/>
      <c r="D85" s="4">
        <f>SUM(OSRRefD25x_0)</f>
        <v>16577.560000000001</v>
      </c>
      <c r="E85" s="4"/>
      <c r="F85" s="13">
        <f t="shared" ref="F85:F86" si="59">IF(D$12=0,0,D85/D$12)</f>
        <v>3.4447307395001294</v>
      </c>
      <c r="G85" s="4"/>
      <c r="H85" s="4">
        <f>SUM(OSRRefH25x_0)</f>
        <v>13269</v>
      </c>
      <c r="I85" s="4"/>
      <c r="J85" s="13">
        <f t="shared" ref="J85:J86" si="60">IF(H$12=0,0,H85/H$12)</f>
        <v>3.493598097991359</v>
      </c>
      <c r="K85" s="4"/>
      <c r="L85" s="4">
        <f t="shared" ref="L85:L86" si="61">+D85-H85</f>
        <v>3308.5600000000013</v>
      </c>
      <c r="M85" s="4"/>
      <c r="N85" s="13">
        <f t="shared" ref="N85:N86" si="62">IF(H85=0,0,L85/H85)</f>
        <v>0.24934509005953737</v>
      </c>
      <c r="O85" s="11"/>
      <c r="P85" s="4">
        <f>SUM(OSRRefP25x_0)</f>
        <v>91179.56</v>
      </c>
      <c r="Q85" s="4"/>
      <c r="R85" s="13">
        <f t="shared" ref="R85:R86" si="63">IF(P$12=0,0,P85/P$12)</f>
        <v>0.68837595564717513</v>
      </c>
      <c r="S85" s="4"/>
      <c r="T85" s="4">
        <f>SUM(OSRRefT25x_0)</f>
        <v>157901.1</v>
      </c>
      <c r="U85" s="4"/>
      <c r="V85" s="13">
        <f t="shared" ref="V85:V86" si="64">IF(T$12=0,0,T85/T$12)</f>
        <v>0.33106002143467667</v>
      </c>
      <c r="W85" s="4"/>
      <c r="X85" s="4">
        <f t="shared" ref="X85:X86" si="65">+P85-T85</f>
        <v>-66721.540000000008</v>
      </c>
      <c r="Y85" s="4"/>
      <c r="Z85" s="13">
        <f t="shared" ref="Z85:Z86" si="66">IF(T85=0,0,X85/T85)</f>
        <v>-0.4225527244585377</v>
      </c>
    </row>
    <row r="86" spans="1:26" s="23" customFormat="1" hidden="1" outlineLevel="1" x14ac:dyDescent="0.25">
      <c r="A86" s="44"/>
      <c r="B86" s="10" t="str">
        <f>CONCATENATE("          ", "9150", " - ", "MISC. INCOME")</f>
        <v xml:space="preserve">          9150 - MISC. INCOME</v>
      </c>
      <c r="C86" s="10"/>
      <c r="D86" s="2">
        <f>--16577.56</f>
        <v>16577.560000000001</v>
      </c>
      <c r="E86" s="2"/>
      <c r="F86" s="19">
        <f t="shared" si="59"/>
        <v>3.4447307395001294</v>
      </c>
      <c r="G86" s="2"/>
      <c r="H86" s="2">
        <f>--13269</f>
        <v>13269</v>
      </c>
      <c r="I86" s="2"/>
      <c r="J86" s="19">
        <f t="shared" si="60"/>
        <v>3.493598097991359</v>
      </c>
      <c r="K86" s="2"/>
      <c r="L86" s="2">
        <f t="shared" si="61"/>
        <v>3308.5600000000013</v>
      </c>
      <c r="M86" s="2"/>
      <c r="N86" s="19">
        <f t="shared" si="62"/>
        <v>0.24934509005953737</v>
      </c>
      <c r="O86" s="10"/>
      <c r="P86" s="2">
        <f>--91179.56</f>
        <v>91179.56</v>
      </c>
      <c r="Q86" s="2"/>
      <c r="R86" s="19">
        <f t="shared" si="63"/>
        <v>0.68837595564717513</v>
      </c>
      <c r="S86" s="2"/>
      <c r="T86" s="2">
        <f>--157901.1</f>
        <v>157901.1</v>
      </c>
      <c r="U86" s="2"/>
      <c r="V86" s="19">
        <f t="shared" si="64"/>
        <v>0.33106002143467667</v>
      </c>
      <c r="W86" s="2"/>
      <c r="X86" s="2">
        <f t="shared" si="65"/>
        <v>-66721.540000000008</v>
      </c>
      <c r="Y86" s="2"/>
      <c r="Z86" s="19">
        <f t="shared" si="66"/>
        <v>-0.4225527244585377</v>
      </c>
    </row>
    <row r="87" spans="1:26" x14ac:dyDescent="0.25">
      <c r="A87" s="9"/>
      <c r="B87" s="11"/>
      <c r="C87" s="11"/>
      <c r="D87" s="3"/>
      <c r="E87" s="3"/>
      <c r="F87" s="8"/>
      <c r="G87" s="3"/>
      <c r="H87" s="3"/>
      <c r="I87" s="3"/>
      <c r="J87" s="8"/>
      <c r="K87" s="3"/>
      <c r="L87" s="3"/>
      <c r="M87" s="3"/>
      <c r="N87" s="8"/>
      <c r="O87" s="11"/>
      <c r="P87" s="3"/>
      <c r="Q87" s="3"/>
      <c r="R87" s="8"/>
      <c r="S87" s="3"/>
      <c r="T87" s="3"/>
      <c r="U87" s="3"/>
      <c r="V87" s="8"/>
      <c r="W87" s="3"/>
      <c r="X87" s="3"/>
      <c r="Y87" s="3"/>
      <c r="Z87" s="8"/>
    </row>
    <row r="88" spans="1:26" s="24" customFormat="1" x14ac:dyDescent="0.25">
      <c r="A88" s="11"/>
      <c r="B88" s="28" t="s">
        <v>276</v>
      </c>
      <c r="C88" s="28"/>
      <c r="D88" s="21">
        <f>+D33-D35+D85</f>
        <v>-11056.999999999996</v>
      </c>
      <c r="E88" s="14"/>
      <c r="F88" s="22">
        <f>IF(D$12=0,0,D88/D$12)</f>
        <v>-2.2975870868000428</v>
      </c>
      <c r="G88" s="14"/>
      <c r="H88" s="21">
        <f>+H33-H35+H85</f>
        <v>-13170.540000000005</v>
      </c>
      <c r="I88" s="14"/>
      <c r="J88" s="22">
        <f>IF(H$12=0,0,H88/H$12)</f>
        <v>-3.4676745416775288</v>
      </c>
      <c r="K88" s="15"/>
      <c r="L88" s="21">
        <f>+D88-H88</f>
        <v>2113.5400000000081</v>
      </c>
      <c r="M88" s="15"/>
      <c r="N88" s="22">
        <f>IF(H88=0,0,L88/H88)</f>
        <v>-0.16047481728160026</v>
      </c>
      <c r="O88" s="29"/>
      <c r="P88" s="21">
        <f>+P33-P35+P85</f>
        <v>-94371.32</v>
      </c>
      <c r="Q88" s="14"/>
      <c r="R88" s="22">
        <f>IF(P$12=0,0,P88/P$12)</f>
        <v>-0.71247270320985723</v>
      </c>
      <c r="S88" s="14"/>
      <c r="T88" s="21">
        <f>+T33-T35+T85</f>
        <v>132855.44000000009</v>
      </c>
      <c r="U88" s="14"/>
      <c r="V88" s="22">
        <f>IF(T$12=0,0,T88/T$12)</f>
        <v>0.27854856498221625</v>
      </c>
      <c r="W88" s="15"/>
      <c r="X88" s="21">
        <f>+P88-T88</f>
        <v>-227226.7600000001</v>
      </c>
      <c r="Y88" s="15"/>
      <c r="Z88" s="22">
        <f>IF(T88=0,0,X88/T88)</f>
        <v>-1.7103308678967151</v>
      </c>
    </row>
    <row r="89" spans="1:26" x14ac:dyDescent="0.25">
      <c r="A89" s="9"/>
      <c r="B89" s="11"/>
      <c r="C89" s="9"/>
      <c r="D89" s="3"/>
      <c r="E89" s="3"/>
      <c r="F89" s="8"/>
      <c r="G89" s="3"/>
      <c r="H89" s="3"/>
      <c r="I89" s="3"/>
      <c r="J89" s="8"/>
      <c r="K89" s="3"/>
      <c r="L89" s="3"/>
      <c r="M89" s="3"/>
      <c r="N89" s="8"/>
      <c r="P89" s="3"/>
      <c r="Q89" s="3"/>
      <c r="R89" s="8"/>
      <c r="S89" s="3"/>
      <c r="T89" s="3"/>
      <c r="U89" s="3"/>
      <c r="V89" s="8"/>
      <c r="W89" s="3"/>
      <c r="X89" s="3"/>
      <c r="Y89" s="3"/>
      <c r="Z89" s="8"/>
    </row>
    <row r="90" spans="1:26" s="24" customFormat="1" x14ac:dyDescent="0.25">
      <c r="A90" s="51"/>
      <c r="B90" s="11" t="s">
        <v>127</v>
      </c>
      <c r="C90" s="11"/>
      <c r="D90" s="4">
        <v>9386.9</v>
      </c>
      <c r="E90" s="4"/>
      <c r="F90" s="13">
        <f>IF(D$12=0,0,D90/D$12)</f>
        <v>1.9505489938575857</v>
      </c>
      <c r="G90" s="4"/>
      <c r="H90" s="4">
        <v>16190.31</v>
      </c>
      <c r="I90" s="4"/>
      <c r="J90" s="13">
        <f>IF(H$12=0,0,H90/H$12)</f>
        <v>4.2627504877451567</v>
      </c>
      <c r="K90" s="4"/>
      <c r="L90" s="4">
        <f>+D90-H90</f>
        <v>-6803.41</v>
      </c>
      <c r="M90" s="4"/>
      <c r="N90" s="13">
        <f>IF(H90=0,0,L90/H90)</f>
        <v>-0.42021493102973323</v>
      </c>
      <c r="O90" s="11"/>
      <c r="P90" s="4">
        <v>36663.129999999997</v>
      </c>
      <c r="Q90" s="4"/>
      <c r="R90" s="13">
        <f>IF(P$12=0,0,P90/P$12)</f>
        <v>0.27679468019769576</v>
      </c>
      <c r="S90" s="4"/>
      <c r="T90" s="4">
        <v>72221.95</v>
      </c>
      <c r="U90" s="4"/>
      <c r="V90" s="13">
        <f>IF(T$12=0,0,T90/T$12)</f>
        <v>0.1514226329965665</v>
      </c>
      <c r="W90" s="4"/>
      <c r="X90" s="4">
        <f>+P90-T90</f>
        <v>-35558.82</v>
      </c>
      <c r="Y90" s="4"/>
      <c r="Z90" s="13">
        <f>IF(T90=0,0,X90/T90)</f>
        <v>-0.49235474810635826</v>
      </c>
    </row>
    <row r="91" spans="1:26" x14ac:dyDescent="0.25">
      <c r="A91" s="9"/>
      <c r="B91" s="11"/>
      <c r="C91" s="11"/>
      <c r="D91" s="3"/>
      <c r="E91" s="3"/>
      <c r="F91" s="8"/>
      <c r="G91" s="3"/>
      <c r="H91" s="3"/>
      <c r="I91" s="3"/>
      <c r="J91" s="8"/>
      <c r="K91" s="3"/>
      <c r="L91" s="3"/>
      <c r="M91" s="3"/>
      <c r="N91" s="8"/>
      <c r="O91" s="11"/>
      <c r="P91" s="3"/>
      <c r="Q91" s="3"/>
      <c r="R91" s="8"/>
      <c r="S91" s="3"/>
      <c r="T91" s="3"/>
      <c r="U91" s="3"/>
      <c r="V91" s="8"/>
      <c r="W91" s="3"/>
      <c r="X91" s="3"/>
      <c r="Y91" s="3"/>
      <c r="Z91" s="8"/>
    </row>
    <row r="92" spans="1:26" s="24" customFormat="1" ht="15.75" thickBot="1" x14ac:dyDescent="0.3">
      <c r="A92" s="11"/>
      <c r="B92" s="28" t="s">
        <v>125</v>
      </c>
      <c r="C92" s="28"/>
      <c r="D92" s="34">
        <f>+D88-D90</f>
        <v>-20443.899999999994</v>
      </c>
      <c r="E92" s="14"/>
      <c r="F92" s="31">
        <f>IF(D$12=0,0,D92/D$12)</f>
        <v>-4.2481360806576278</v>
      </c>
      <c r="G92" s="14"/>
      <c r="H92" s="34">
        <f>+H88-H90</f>
        <v>-29360.850000000006</v>
      </c>
      <c r="I92" s="14"/>
      <c r="J92" s="31">
        <f>IF(H$12=0,0,H92/H$12)</f>
        <v>-7.7304250294226859</v>
      </c>
      <c r="K92" s="15"/>
      <c r="L92" s="34">
        <f>D92-H92</f>
        <v>8916.9500000000116</v>
      </c>
      <c r="M92" s="15"/>
      <c r="N92" s="31">
        <f>IF(H92=0,0,L92/H92)</f>
        <v>-0.30370203859901912</v>
      </c>
      <c r="O92" s="29"/>
      <c r="P92" s="34">
        <f>+P88-P90</f>
        <v>-131034.45000000001</v>
      </c>
      <c r="Q92" s="14"/>
      <c r="R92" s="31">
        <f>IF(P$12=0,0,P92/P$12)</f>
        <v>-0.98926738340755305</v>
      </c>
      <c r="S92" s="14"/>
      <c r="T92" s="34">
        <f>+T88-T90</f>
        <v>60633.490000000093</v>
      </c>
      <c r="U92" s="14"/>
      <c r="V92" s="31">
        <f>IF(T$12=0,0,T92/T$12)</f>
        <v>0.12712593198564978</v>
      </c>
      <c r="W92" s="15"/>
      <c r="X92" s="34">
        <f>P92-T92</f>
        <v>-191667.94000000012</v>
      </c>
      <c r="Y92" s="15"/>
      <c r="Z92" s="31">
        <f>IF(T92=0,0,X92/T92)</f>
        <v>-3.1610903479248815</v>
      </c>
    </row>
    <row r="93" spans="1:26" ht="15.75" thickTop="1" x14ac:dyDescent="0.25">
      <c r="A93" s="9"/>
      <c r="B93" s="9"/>
      <c r="C93" s="9"/>
      <c r="D93" s="3"/>
      <c r="E93" s="3"/>
      <c r="F93" s="8"/>
      <c r="G93" s="3"/>
      <c r="H93" s="3"/>
      <c r="I93" s="3"/>
      <c r="J93" s="8"/>
      <c r="K93" s="3"/>
      <c r="L93" s="3"/>
      <c r="M93" s="3"/>
      <c r="N93" s="8"/>
      <c r="P93" s="3"/>
      <c r="Q93" s="3"/>
      <c r="R93" s="8"/>
      <c r="S93" s="3"/>
      <c r="T93" s="3"/>
      <c r="U93" s="3"/>
      <c r="V93" s="8"/>
      <c r="W93" s="3"/>
      <c r="X93" s="3"/>
      <c r="Y93" s="3"/>
      <c r="Z93" s="8"/>
    </row>
    <row r="94" spans="1:26" x14ac:dyDescent="0.25">
      <c r="A94" s="9"/>
      <c r="B94" s="9"/>
      <c r="C94" s="9"/>
      <c r="D94" s="3"/>
      <c r="E94" s="3"/>
      <c r="F94" s="8"/>
      <c r="G94" s="3"/>
      <c r="H94" s="3"/>
      <c r="I94" s="3"/>
      <c r="J94" s="8"/>
      <c r="K94" s="3"/>
      <c r="L94" s="3"/>
      <c r="M94" s="3"/>
      <c r="N94" s="8"/>
      <c r="P94" s="3"/>
      <c r="Q94" s="3"/>
      <c r="R94" s="8"/>
      <c r="S94" s="3"/>
      <c r="T94" s="3"/>
      <c r="U94" s="3"/>
      <c r="V94" s="8"/>
      <c r="W94" s="3"/>
      <c r="X94" s="3"/>
      <c r="Y94" s="3"/>
      <c r="Z94" s="8"/>
    </row>
    <row r="95" spans="1:26" s="24" customFormat="1" ht="15.75" thickBot="1" x14ac:dyDescent="0.3">
      <c r="A95" s="11"/>
      <c r="B95" s="28" t="s">
        <v>293</v>
      </c>
      <c r="C95" s="28"/>
      <c r="D95" s="33">
        <f>SUM(D92:D94)</f>
        <v>-20443.899999999994</v>
      </c>
      <c r="E95" s="14"/>
      <c r="F95" s="35">
        <f>IF(D$12=0,0,D95/D$12)</f>
        <v>-4.2481360806576278</v>
      </c>
      <c r="G95" s="14"/>
      <c r="H95" s="33">
        <f>SUM(H92:H94)</f>
        <v>-29360.850000000006</v>
      </c>
      <c r="I95" s="14"/>
      <c r="J95" s="35">
        <f>IF(H$12=0,0,H95/H$12)</f>
        <v>-7.7304250294226859</v>
      </c>
      <c r="K95" s="15"/>
      <c r="L95" s="33">
        <f>+D95-H95</f>
        <v>8916.9500000000116</v>
      </c>
      <c r="M95" s="15"/>
      <c r="N95" s="35">
        <f>IF(H95=0,0,L95/H95)</f>
        <v>-0.30370203859901912</v>
      </c>
      <c r="O95" s="29"/>
      <c r="P95" s="33">
        <f>SUM(P92:P94)</f>
        <v>-131034.45000000001</v>
      </c>
      <c r="Q95" s="14"/>
      <c r="R95" s="35">
        <f>IF(P$12=0,0,P95/P$12)</f>
        <v>-0.98926738340755305</v>
      </c>
      <c r="S95" s="14"/>
      <c r="T95" s="33">
        <f>SUM(T92:T94)</f>
        <v>60633.490000000093</v>
      </c>
      <c r="U95" s="14"/>
      <c r="V95" s="35">
        <f>IF(T$12=0,0,T95/T$12)</f>
        <v>0.12712593198564978</v>
      </c>
      <c r="W95" s="15"/>
      <c r="X95" s="33">
        <f>+P95-T95</f>
        <v>-191667.94000000012</v>
      </c>
      <c r="Y95" s="15"/>
      <c r="Z95" s="35">
        <f>IF(T95=0,0,X95/T95)</f>
        <v>-3.1610903479248815</v>
      </c>
    </row>
    <row r="96" spans="1:26" ht="15.75" thickTop="1" x14ac:dyDescent="0.25">
      <c r="A96" s="9"/>
      <c r="C96" s="9"/>
      <c r="D96" s="18"/>
      <c r="E96" s="18"/>
      <c r="G96" s="18"/>
      <c r="H96" s="18"/>
      <c r="I96" s="18"/>
      <c r="J96" s="43"/>
      <c r="K96" s="18"/>
      <c r="L96" s="18"/>
      <c r="M96" s="18"/>
      <c r="P96" s="18"/>
      <c r="Q96" s="18"/>
      <c r="R96" s="43"/>
      <c r="S96" s="18"/>
      <c r="T96" s="18"/>
      <c r="U96" s="18"/>
      <c r="V96" s="43"/>
      <c r="W96" s="18"/>
      <c r="X96" s="18"/>
    </row>
    <row r="97" spans="1:24" x14ac:dyDescent="0.25">
      <c r="A97" s="9"/>
      <c r="B97" s="56">
        <v>44454.698585613427</v>
      </c>
      <c r="D97" s="18"/>
      <c r="E97" s="18"/>
      <c r="G97" s="18"/>
      <c r="H97" s="18"/>
      <c r="I97" s="18"/>
      <c r="J97" s="43"/>
      <c r="K97" s="18"/>
      <c r="L97" s="18"/>
      <c r="M97" s="18"/>
      <c r="P97" s="18"/>
      <c r="Q97" s="18"/>
      <c r="R97" s="43"/>
      <c r="S97" s="18"/>
      <c r="T97" s="18"/>
      <c r="U97" s="18"/>
      <c r="V97" s="43"/>
      <c r="W97" s="18"/>
      <c r="X97" s="18"/>
    </row>
    <row r="98" spans="1:24" x14ac:dyDescent="0.25">
      <c r="A98" s="9"/>
      <c r="B98" s="55" t="s">
        <v>56</v>
      </c>
      <c r="D98" s="18"/>
      <c r="E98" s="18"/>
      <c r="G98" s="18"/>
      <c r="H98" s="18"/>
      <c r="I98" s="18"/>
      <c r="J98" s="43"/>
      <c r="K98" s="18"/>
      <c r="L98" s="18"/>
      <c r="M98" s="18"/>
      <c r="P98" s="18"/>
      <c r="Q98" s="18"/>
      <c r="R98" s="43"/>
      <c r="S98" s="18"/>
      <c r="T98" s="18"/>
      <c r="U98" s="18"/>
      <c r="V98" s="43"/>
      <c r="W98" s="18"/>
      <c r="X98" s="18"/>
    </row>
    <row r="99" spans="1:24" x14ac:dyDescent="0.25">
      <c r="A99" s="9"/>
      <c r="B99" s="60"/>
      <c r="D99" s="18"/>
      <c r="E99" s="18"/>
      <c r="G99" s="18"/>
      <c r="H99" s="18"/>
      <c r="I99" s="18"/>
      <c r="J99" s="43"/>
      <c r="K99" s="18"/>
      <c r="L99" s="18"/>
      <c r="M99" s="18"/>
      <c r="P99" s="18"/>
      <c r="Q99" s="18"/>
      <c r="R99" s="43"/>
      <c r="S99" s="18"/>
      <c r="T99" s="18"/>
      <c r="U99" s="18"/>
      <c r="V99" s="43"/>
      <c r="W99" s="18"/>
      <c r="X99" s="18"/>
    </row>
    <row r="100" spans="1:24" x14ac:dyDescent="0.25">
      <c r="D100" s="18"/>
      <c r="E100" s="18"/>
      <c r="G100" s="18"/>
      <c r="H100" s="18"/>
      <c r="I100" s="18"/>
      <c r="J100" s="43"/>
      <c r="K100" s="18"/>
      <c r="L100" s="18"/>
      <c r="M100" s="18"/>
      <c r="P100" s="18"/>
      <c r="Q100" s="18"/>
      <c r="R100" s="43"/>
      <c r="S100" s="18"/>
      <c r="T100" s="18"/>
      <c r="U100" s="18"/>
      <c r="V100" s="43"/>
      <c r="W100" s="18"/>
      <c r="X100" s="18"/>
    </row>
  </sheetData>
  <pageMargins left="0.25" right="0.25" top="0.75" bottom="0.75" header="0.3" footer="0.3"/>
  <pageSetup scale="55" fitToWidth="2" orientation="landscape"/>
  <drawing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>
    <tabColor rgb="FF92D050"/>
    <outlinePr summaryBelow="0" summaryRight="0"/>
  </sheetPr>
  <dimension ref="A2:Z80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62" t="s">
        <v>23</v>
      </c>
    </row>
    <row r="3" spans="1:26" x14ac:dyDescent="0.25">
      <c r="D3" s="62" t="s">
        <v>236</v>
      </c>
      <c r="E3" s="17"/>
      <c r="F3" s="46"/>
      <c r="G3" s="17"/>
      <c r="H3" s="17"/>
      <c r="I3" s="17"/>
      <c r="J3" s="38"/>
      <c r="K3" s="17"/>
      <c r="L3" s="17"/>
      <c r="M3" s="17"/>
      <c r="N3" s="46"/>
      <c r="O3" s="53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2" t="str">
        <f>CONCATENATE("Period ",RIGHT(202112,2),", ",2021)</f>
        <v>Period 12, 2021</v>
      </c>
      <c r="E4" s="17"/>
      <c r="F4" s="46"/>
      <c r="G4" s="17"/>
      <c r="H4" s="17"/>
      <c r="I4" s="17"/>
      <c r="J4" s="38"/>
      <c r="K4" s="17"/>
      <c r="L4" s="17"/>
      <c r="M4" s="17"/>
      <c r="N4" s="46"/>
      <c r="O4" s="53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4"/>
      <c r="D5" s="63">
        <v>44377</v>
      </c>
      <c r="E5" s="17"/>
      <c r="F5" s="46"/>
      <c r="G5" s="17"/>
      <c r="H5" s="17"/>
      <c r="I5" s="17"/>
      <c r="J5" s="38"/>
      <c r="K5" s="17"/>
      <c r="L5" s="17"/>
      <c r="M5" s="17"/>
      <c r="N5" s="46"/>
      <c r="O5" s="53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4"/>
      <c r="B6" s="48"/>
      <c r="C6" s="48"/>
      <c r="D6" s="24" t="str">
        <f>CONCATENATE("Department ","320", " - ", "Customer Service (old)")</f>
        <v>Department 320 - Customer Service (old)</v>
      </c>
      <c r="E6" s="17"/>
      <c r="F6" s="46"/>
      <c r="G6" s="17"/>
      <c r="H6" s="17"/>
      <c r="I6" s="17"/>
      <c r="J6" s="38"/>
      <c r="K6" s="17"/>
      <c r="L6" s="17"/>
      <c r="M6" s="17"/>
      <c r="N6" s="46"/>
      <c r="O6" s="54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9"/>
    </row>
    <row r="8" spans="1:26" x14ac:dyDescent="0.25">
      <c r="B8" s="59"/>
    </row>
    <row r="9" spans="1:26" x14ac:dyDescent="0.25">
      <c r="B9" s="9"/>
      <c r="C9" s="9"/>
      <c r="D9" s="16" t="s">
        <v>291</v>
      </c>
      <c r="E9" s="16"/>
      <c r="F9" s="39"/>
      <c r="G9" s="16"/>
      <c r="H9" s="16"/>
      <c r="I9" s="16"/>
      <c r="J9" s="49"/>
      <c r="K9" s="16"/>
      <c r="L9" s="16"/>
      <c r="M9" s="16"/>
      <c r="N9" s="39"/>
      <c r="P9" s="16" t="s">
        <v>39</v>
      </c>
      <c r="Q9" s="16"/>
      <c r="R9" s="39"/>
      <c r="S9" s="16"/>
      <c r="T9" s="16"/>
      <c r="U9" s="16"/>
      <c r="V9" s="49"/>
      <c r="W9" s="16"/>
      <c r="X9" s="16"/>
      <c r="Y9" s="16"/>
      <c r="Z9" s="39"/>
    </row>
    <row r="10" spans="1:26" x14ac:dyDescent="0.25">
      <c r="A10" s="11"/>
      <c r="B10" s="58"/>
      <c r="C10" s="11"/>
      <c r="D10" s="42" t="s">
        <v>57</v>
      </c>
      <c r="E10" s="36"/>
      <c r="F10" s="30" t="s">
        <v>40</v>
      </c>
      <c r="G10" s="36"/>
      <c r="H10" s="50" t="s">
        <v>237</v>
      </c>
      <c r="I10" s="36"/>
      <c r="J10" s="30" t="s">
        <v>40</v>
      </c>
      <c r="K10" s="11"/>
      <c r="L10" s="42" t="s">
        <v>126</v>
      </c>
      <c r="M10" s="11"/>
      <c r="N10" s="30" t="s">
        <v>257</v>
      </c>
      <c r="O10" s="11"/>
      <c r="P10" s="61" t="s">
        <v>57</v>
      </c>
      <c r="Q10" s="36"/>
      <c r="R10" s="30" t="s">
        <v>40</v>
      </c>
      <c r="S10" s="36"/>
      <c r="T10" s="50" t="s">
        <v>237</v>
      </c>
      <c r="U10" s="36"/>
      <c r="V10" s="30" t="s">
        <v>40</v>
      </c>
      <c r="W10" s="11"/>
      <c r="X10" s="42" t="s">
        <v>126</v>
      </c>
      <c r="Y10" s="11"/>
      <c r="Z10" s="30" t="s">
        <v>257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4" customFormat="1" collapsed="1" x14ac:dyDescent="0.25">
      <c r="A12" s="11"/>
      <c r="B12" s="29" t="s">
        <v>139</v>
      </c>
      <c r="C12" s="11"/>
      <c r="D12" s="4">
        <f>SUM(OSRRefD13x_0)</f>
        <v>0</v>
      </c>
      <c r="E12" s="4"/>
      <c r="F12" s="13"/>
      <c r="G12" s="4"/>
      <c r="H12" s="4">
        <f>SUM(OSRRefH13x_0)</f>
        <v>6117.5499999999993</v>
      </c>
      <c r="I12" s="4"/>
      <c r="J12" s="13"/>
      <c r="K12" s="4"/>
      <c r="L12" s="4">
        <f t="shared" ref="L12:L16" si="0">+D12-H12</f>
        <v>-6117.5499999999993</v>
      </c>
      <c r="M12" s="4"/>
      <c r="N12" s="13">
        <f t="shared" ref="N12:N16" si="1">IF(H12=0,0,L12/H12)</f>
        <v>-1</v>
      </c>
      <c r="O12" s="11"/>
      <c r="P12" s="4">
        <f>SUM(OSRRefP13x_0)</f>
        <v>0</v>
      </c>
      <c r="Q12" s="4"/>
      <c r="R12" s="13"/>
      <c r="S12" s="4"/>
      <c r="T12" s="4">
        <f>SUM(OSRRefT13x_0)</f>
        <v>41331.33</v>
      </c>
      <c r="U12" s="4"/>
      <c r="V12" s="13"/>
      <c r="W12" s="4"/>
      <c r="X12" s="4">
        <f t="shared" ref="X12:X16" si="2">+P12-T12</f>
        <v>-41331.33</v>
      </c>
      <c r="Y12" s="4"/>
      <c r="Z12" s="13">
        <f t="shared" ref="Z12:Z16" si="3">IF(T12=0,0,X12/T12)</f>
        <v>-1</v>
      </c>
    </row>
    <row r="13" spans="1:26" s="23" customFormat="1" hidden="1" outlineLevel="1" x14ac:dyDescent="0.25">
      <c r="A13" s="44"/>
      <c r="B13" s="10" t="str">
        <f>CONCATENATE("          ", "4092", " - ", "TAXABLE SALES-GRAD MERCH")</f>
        <v xml:space="preserve">          4092 - TAXABLE SALES-GRAD MERCH</v>
      </c>
      <c r="C13" s="10"/>
      <c r="D13" s="2">
        <f t="shared" ref="D13:D16" si="4">0</f>
        <v>0</v>
      </c>
      <c r="E13" s="2"/>
      <c r="F13" s="19"/>
      <c r="G13" s="2"/>
      <c r="H13" s="2">
        <f>--6332.23</f>
        <v>6332.23</v>
      </c>
      <c r="I13" s="2"/>
      <c r="J13" s="19"/>
      <c r="K13" s="2"/>
      <c r="L13" s="2">
        <f t="shared" si="0"/>
        <v>-6332.23</v>
      </c>
      <c r="M13" s="2"/>
      <c r="N13" s="19">
        <f t="shared" si="1"/>
        <v>-1</v>
      </c>
      <c r="O13" s="10"/>
      <c r="P13" s="2">
        <f t="shared" ref="P13:P16" si="5">0</f>
        <v>0</v>
      </c>
      <c r="Q13" s="2"/>
      <c r="R13" s="19"/>
      <c r="S13" s="2"/>
      <c r="T13" s="2">
        <f>--41725.89</f>
        <v>41725.89</v>
      </c>
      <c r="U13" s="2"/>
      <c r="V13" s="19"/>
      <c r="W13" s="2"/>
      <c r="X13" s="2">
        <f t="shared" si="2"/>
        <v>-41725.89</v>
      </c>
      <c r="Y13" s="2"/>
      <c r="Z13" s="19">
        <f t="shared" si="3"/>
        <v>-1</v>
      </c>
    </row>
    <row r="14" spans="1:26" s="23" customFormat="1" hidden="1" outlineLevel="1" x14ac:dyDescent="0.25">
      <c r="A14" s="44"/>
      <c r="B14" s="10" t="str">
        <f>CONCATENATE("          ", "4095", " - ", "TAXABLE SALES-CUSTOMER SERVICE")</f>
        <v xml:space="preserve">          4095 - TAXABLE SALES-CUSTOMER SERVICE</v>
      </c>
      <c r="C14" s="10"/>
      <c r="D14" s="2">
        <f t="shared" si="4"/>
        <v>0</v>
      </c>
      <c r="E14" s="2"/>
      <c r="F14" s="19"/>
      <c r="G14" s="2"/>
      <c r="H14" s="2">
        <f t="shared" ref="H14:H15" si="6">0</f>
        <v>0</v>
      </c>
      <c r="I14" s="2"/>
      <c r="J14" s="19"/>
      <c r="K14" s="2"/>
      <c r="L14" s="2">
        <f t="shared" si="0"/>
        <v>0</v>
      </c>
      <c r="M14" s="2"/>
      <c r="N14" s="19">
        <f t="shared" si="1"/>
        <v>0</v>
      </c>
      <c r="O14" s="10"/>
      <c r="P14" s="2">
        <f t="shared" si="5"/>
        <v>0</v>
      </c>
      <c r="Q14" s="2"/>
      <c r="R14" s="19"/>
      <c r="S14" s="2"/>
      <c r="T14" s="2">
        <f>--279.56</f>
        <v>279.56</v>
      </c>
      <c r="U14" s="2"/>
      <c r="V14" s="19"/>
      <c r="W14" s="2"/>
      <c r="X14" s="2">
        <f t="shared" si="2"/>
        <v>-279.56</v>
      </c>
      <c r="Y14" s="2"/>
      <c r="Z14" s="19">
        <f t="shared" si="3"/>
        <v>-1</v>
      </c>
    </row>
    <row r="15" spans="1:26" s="23" customFormat="1" hidden="1" outlineLevel="1" x14ac:dyDescent="0.25">
      <c r="A15" s="44"/>
      <c r="B15" s="10" t="str">
        <f>CONCATENATE("          ", "4192", " - ", "NON-TAXABLE SALES-GRAD MERCH")</f>
        <v xml:space="preserve">          4192 - NON-TAXABLE SALES-GRAD MERCH</v>
      </c>
      <c r="C15" s="10"/>
      <c r="D15" s="2">
        <f t="shared" si="4"/>
        <v>0</v>
      </c>
      <c r="E15" s="2"/>
      <c r="F15" s="19"/>
      <c r="G15" s="2"/>
      <c r="H15" s="2">
        <f t="shared" si="6"/>
        <v>0</v>
      </c>
      <c r="I15" s="2"/>
      <c r="J15" s="19"/>
      <c r="K15" s="2"/>
      <c r="L15" s="2">
        <f t="shared" si="0"/>
        <v>0</v>
      </c>
      <c r="M15" s="2"/>
      <c r="N15" s="19">
        <f t="shared" si="1"/>
        <v>0</v>
      </c>
      <c r="O15" s="10"/>
      <c r="P15" s="2">
        <f t="shared" si="5"/>
        <v>0</v>
      </c>
      <c r="Q15" s="2"/>
      <c r="R15" s="19"/>
      <c r="S15" s="2"/>
      <c r="T15" s="2">
        <f>--119.4</f>
        <v>119.4</v>
      </c>
      <c r="U15" s="2"/>
      <c r="V15" s="19"/>
      <c r="W15" s="2"/>
      <c r="X15" s="2">
        <f t="shared" si="2"/>
        <v>-119.4</v>
      </c>
      <c r="Y15" s="2"/>
      <c r="Z15" s="19">
        <f t="shared" si="3"/>
        <v>-1</v>
      </c>
    </row>
    <row r="16" spans="1:26" s="23" customFormat="1" hidden="1" outlineLevel="1" x14ac:dyDescent="0.25">
      <c r="A16" s="44"/>
      <c r="B16" s="10" t="str">
        <f>CONCATENATE("          ", "4292", " - ", "SALES RETURN TAXABLE-GRAD MERC")</f>
        <v xml:space="preserve">          4292 - SALES RETURN TAXABLE-GRAD MERC</v>
      </c>
      <c r="C16" s="10"/>
      <c r="D16" s="2">
        <f t="shared" si="4"/>
        <v>0</v>
      </c>
      <c r="E16" s="2"/>
      <c r="F16" s="19"/>
      <c r="G16" s="2"/>
      <c r="H16" s="2">
        <f>-214.68</f>
        <v>-214.68</v>
      </c>
      <c r="I16" s="2"/>
      <c r="J16" s="19"/>
      <c r="K16" s="2"/>
      <c r="L16" s="2">
        <f t="shared" si="0"/>
        <v>214.68</v>
      </c>
      <c r="M16" s="2"/>
      <c r="N16" s="19">
        <f t="shared" si="1"/>
        <v>-1</v>
      </c>
      <c r="O16" s="10"/>
      <c r="P16" s="2">
        <f t="shared" si="5"/>
        <v>0</v>
      </c>
      <c r="Q16" s="2"/>
      <c r="R16" s="19"/>
      <c r="S16" s="2"/>
      <c r="T16" s="2">
        <f>-793.52</f>
        <v>-793.52</v>
      </c>
      <c r="U16" s="2"/>
      <c r="V16" s="19"/>
      <c r="W16" s="2"/>
      <c r="X16" s="2">
        <f t="shared" si="2"/>
        <v>793.52</v>
      </c>
      <c r="Y16" s="2"/>
      <c r="Z16" s="19">
        <f t="shared" si="3"/>
        <v>-1</v>
      </c>
    </row>
    <row r="17" spans="1:26" x14ac:dyDescent="0.25">
      <c r="A17" s="9"/>
      <c r="B17" s="11"/>
      <c r="C17" s="9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4" customFormat="1" collapsed="1" x14ac:dyDescent="0.25">
      <c r="A18" s="11"/>
      <c r="B18" s="29" t="s">
        <v>256</v>
      </c>
      <c r="C18" s="11"/>
      <c r="D18" s="4">
        <f>SUM(OSRRefD16x_0)</f>
        <v>0</v>
      </c>
      <c r="E18" s="4"/>
      <c r="F18" s="13">
        <f t="shared" ref="F18:F23" si="7">IF(D$12=0,0,D18/D$12)</f>
        <v>0</v>
      </c>
      <c r="G18" s="4"/>
      <c r="H18" s="4">
        <f>SUM(OSRRefH16x_0)</f>
        <v>-898.07999999999981</v>
      </c>
      <c r="I18" s="4"/>
      <c r="J18" s="13">
        <f t="shared" ref="J18:J23" si="8">IF(H$12=0,0,H18/H$12)</f>
        <v>-0.14680386756136032</v>
      </c>
      <c r="K18" s="4"/>
      <c r="L18" s="4">
        <f t="shared" ref="L18:L23" si="9">+D18-H18</f>
        <v>898.07999999999981</v>
      </c>
      <c r="M18" s="4"/>
      <c r="N18" s="13">
        <f t="shared" ref="N18:N23" si="10">IF(H18=0,0,L18/H18)</f>
        <v>-1</v>
      </c>
      <c r="O18" s="11"/>
      <c r="P18" s="4">
        <f>SUM(OSRRefP16x_0)</f>
        <v>0</v>
      </c>
      <c r="Q18" s="4"/>
      <c r="R18" s="13">
        <f t="shared" ref="R18:R23" si="11">IF(P$12=0,0,P18/P$12)</f>
        <v>0</v>
      </c>
      <c r="S18" s="4"/>
      <c r="T18" s="4">
        <f>SUM(OSRRefT16x_0)</f>
        <v>13729.05</v>
      </c>
      <c r="U18" s="4"/>
      <c r="V18" s="13">
        <f t="shared" ref="V18:V23" si="12">IF(T$12=0,0,T18/T$12)</f>
        <v>0.33217053503964183</v>
      </c>
      <c r="W18" s="4"/>
      <c r="X18" s="4">
        <f t="shared" ref="X18:X23" si="13">+P18-T18</f>
        <v>-13729.05</v>
      </c>
      <c r="Y18" s="4"/>
      <c r="Z18" s="13">
        <f t="shared" ref="Z18:Z23" si="14">IF(T18=0,0,X18/T18)</f>
        <v>-1</v>
      </c>
    </row>
    <row r="19" spans="1:26" s="23" customFormat="1" hidden="1" outlineLevel="1" x14ac:dyDescent="0.25">
      <c r="A19" s="44"/>
      <c r="B19" s="10" t="str">
        <f>CONCATENATE("          ", "5092", " - ", "PURCHASES @ COST-GRAD MERCH")</f>
        <v xml:space="preserve">          5092 - PURCHASES @ COST-GRAD MERCH</v>
      </c>
      <c r="C19" s="10"/>
      <c r="D19" s="2"/>
      <c r="E19" s="2"/>
      <c r="F19" s="19">
        <f t="shared" si="7"/>
        <v>0</v>
      </c>
      <c r="G19" s="2"/>
      <c r="H19" s="2">
        <v>9354.1</v>
      </c>
      <c r="I19" s="2"/>
      <c r="J19" s="19">
        <f t="shared" si="8"/>
        <v>1.5290598360454759</v>
      </c>
      <c r="K19" s="2"/>
      <c r="L19" s="2">
        <f t="shared" si="9"/>
        <v>-9354.1</v>
      </c>
      <c r="M19" s="2"/>
      <c r="N19" s="19">
        <f t="shared" si="10"/>
        <v>-1</v>
      </c>
      <c r="O19" s="10"/>
      <c r="P19" s="2">
        <v>0</v>
      </c>
      <c r="Q19" s="2"/>
      <c r="R19" s="19">
        <f t="shared" si="11"/>
        <v>0</v>
      </c>
      <c r="S19" s="2"/>
      <c r="T19" s="2">
        <v>13900.33</v>
      </c>
      <c r="U19" s="2"/>
      <c r="V19" s="19">
        <f t="shared" si="12"/>
        <v>0.33631460686118736</v>
      </c>
      <c r="W19" s="2"/>
      <c r="X19" s="2">
        <f t="shared" si="13"/>
        <v>-13900.33</v>
      </c>
      <c r="Y19" s="2"/>
      <c r="Z19" s="19">
        <f t="shared" si="14"/>
        <v>-1</v>
      </c>
    </row>
    <row r="20" spans="1:26" s="23" customFormat="1" hidden="1" outlineLevel="1" x14ac:dyDescent="0.25">
      <c r="A20" s="44"/>
      <c r="B20" s="10" t="str">
        <f>CONCATENATE("          ", "5095", " - ", "PURCHASES @ COST-CUSTOMER SERV")</f>
        <v xml:space="preserve">          5095 - PURCHASES @ COST-CUSTOMER SERV</v>
      </c>
      <c r="C20" s="10"/>
      <c r="D20" s="2"/>
      <c r="E20" s="2"/>
      <c r="F20" s="19">
        <f t="shared" si="7"/>
        <v>0</v>
      </c>
      <c r="G20" s="2"/>
      <c r="H20" s="2">
        <v>18.989999999999998</v>
      </c>
      <c r="I20" s="2"/>
      <c r="J20" s="19">
        <f t="shared" si="8"/>
        <v>3.1041838644555418E-3</v>
      </c>
      <c r="K20" s="2"/>
      <c r="L20" s="2">
        <f t="shared" si="9"/>
        <v>-18.989999999999998</v>
      </c>
      <c r="M20" s="2"/>
      <c r="N20" s="19">
        <f t="shared" si="10"/>
        <v>-1</v>
      </c>
      <c r="O20" s="10"/>
      <c r="P20" s="2"/>
      <c r="Q20" s="2"/>
      <c r="R20" s="19">
        <f t="shared" si="11"/>
        <v>0</v>
      </c>
      <c r="S20" s="2"/>
      <c r="T20" s="2">
        <v>30.84</v>
      </c>
      <c r="U20" s="2"/>
      <c r="V20" s="19">
        <f t="shared" si="12"/>
        <v>7.4616519720028358E-4</v>
      </c>
      <c r="W20" s="2"/>
      <c r="X20" s="2">
        <f t="shared" si="13"/>
        <v>-30.84</v>
      </c>
      <c r="Y20" s="2"/>
      <c r="Z20" s="19">
        <f t="shared" si="14"/>
        <v>-1</v>
      </c>
    </row>
    <row r="21" spans="1:26" s="23" customFormat="1" hidden="1" outlineLevel="1" x14ac:dyDescent="0.25">
      <c r="A21" s="44"/>
      <c r="B21" s="10" t="str">
        <f>CONCATENATE("          ", "5200", " - ", "PURCHASES OFFSET")</f>
        <v xml:space="preserve">          5200 - PURCHASES OFFSET</v>
      </c>
      <c r="C21" s="10"/>
      <c r="D21" s="2"/>
      <c r="E21" s="2"/>
      <c r="F21" s="19">
        <f t="shared" si="7"/>
        <v>0</v>
      </c>
      <c r="G21" s="2"/>
      <c r="H21" s="2">
        <v>-9384</v>
      </c>
      <c r="I21" s="2"/>
      <c r="J21" s="19">
        <f t="shared" si="8"/>
        <v>-1.5339474135887734</v>
      </c>
      <c r="K21" s="2"/>
      <c r="L21" s="2">
        <f t="shared" si="9"/>
        <v>9384</v>
      </c>
      <c r="M21" s="2"/>
      <c r="N21" s="19">
        <f t="shared" si="10"/>
        <v>-1</v>
      </c>
      <c r="O21" s="10"/>
      <c r="P21" s="2"/>
      <c r="Q21" s="2"/>
      <c r="R21" s="19">
        <f t="shared" si="11"/>
        <v>0</v>
      </c>
      <c r="S21" s="2"/>
      <c r="T21" s="2">
        <v>-14103</v>
      </c>
      <c r="U21" s="2"/>
      <c r="V21" s="19">
        <f t="shared" si="12"/>
        <v>-0.34121815097651104</v>
      </c>
      <c r="W21" s="2"/>
      <c r="X21" s="2">
        <f t="shared" si="13"/>
        <v>14103</v>
      </c>
      <c r="Y21" s="2"/>
      <c r="Z21" s="19">
        <f t="shared" si="14"/>
        <v>-1</v>
      </c>
    </row>
    <row r="22" spans="1:26" s="23" customFormat="1" hidden="1" outlineLevel="1" x14ac:dyDescent="0.25">
      <c r="A22" s="44"/>
      <c r="B22" s="10" t="str">
        <f>CONCATENATE("          ", "5300", " - ", "COG$ OFFSET")</f>
        <v xml:space="preserve">          5300 - COG$ OFFSET</v>
      </c>
      <c r="C22" s="10"/>
      <c r="D22" s="2"/>
      <c r="E22" s="2"/>
      <c r="F22" s="19">
        <f t="shared" si="7"/>
        <v>0</v>
      </c>
      <c r="G22" s="2"/>
      <c r="H22" s="2">
        <v>-898</v>
      </c>
      <c r="I22" s="2"/>
      <c r="J22" s="19">
        <f t="shared" si="8"/>
        <v>-0.14679079043080973</v>
      </c>
      <c r="K22" s="2"/>
      <c r="L22" s="2">
        <f t="shared" si="9"/>
        <v>898</v>
      </c>
      <c r="M22" s="2"/>
      <c r="N22" s="19">
        <f t="shared" si="10"/>
        <v>-1</v>
      </c>
      <c r="O22" s="10"/>
      <c r="P22" s="2"/>
      <c r="Q22" s="2"/>
      <c r="R22" s="19">
        <f t="shared" si="11"/>
        <v>0</v>
      </c>
      <c r="S22" s="2"/>
      <c r="T22" s="2">
        <v>13730</v>
      </c>
      <c r="U22" s="2"/>
      <c r="V22" s="19">
        <f t="shared" si="12"/>
        <v>0.33219352002463987</v>
      </c>
      <c r="W22" s="2"/>
      <c r="X22" s="2">
        <f t="shared" si="13"/>
        <v>-13730</v>
      </c>
      <c r="Y22" s="2"/>
      <c r="Z22" s="19">
        <f t="shared" si="14"/>
        <v>-1</v>
      </c>
    </row>
    <row r="23" spans="1:26" s="23" customFormat="1" hidden="1" outlineLevel="1" x14ac:dyDescent="0.25">
      <c r="A23" s="44"/>
      <c r="B23" s="10" t="str">
        <f>CONCATENATE("          ", "5592", " - ", "FREIGHT-IN-GRAD MERCH")</f>
        <v xml:space="preserve">          5592 - FREIGHT-IN-GRAD MERCH</v>
      </c>
      <c r="C23" s="10"/>
      <c r="D23" s="2"/>
      <c r="E23" s="2"/>
      <c r="F23" s="19">
        <f t="shared" si="7"/>
        <v>0</v>
      </c>
      <c r="G23" s="2"/>
      <c r="H23" s="2">
        <v>10.83</v>
      </c>
      <c r="I23" s="2"/>
      <c r="J23" s="19">
        <f t="shared" si="8"/>
        <v>1.7703165482913913E-3</v>
      </c>
      <c r="K23" s="2"/>
      <c r="L23" s="2">
        <f t="shared" si="9"/>
        <v>-10.83</v>
      </c>
      <c r="M23" s="2"/>
      <c r="N23" s="19">
        <f t="shared" si="10"/>
        <v>-1</v>
      </c>
      <c r="O23" s="10"/>
      <c r="P23" s="2">
        <v>0</v>
      </c>
      <c r="Q23" s="2"/>
      <c r="R23" s="19">
        <f t="shared" si="11"/>
        <v>0</v>
      </c>
      <c r="S23" s="2"/>
      <c r="T23" s="2">
        <v>170.88</v>
      </c>
      <c r="U23" s="2"/>
      <c r="V23" s="19">
        <f t="shared" si="12"/>
        <v>4.1343939331253072E-3</v>
      </c>
      <c r="W23" s="2"/>
      <c r="X23" s="2">
        <f t="shared" si="13"/>
        <v>-170.88</v>
      </c>
      <c r="Y23" s="2"/>
      <c r="Z23" s="19">
        <f t="shared" si="14"/>
        <v>-1</v>
      </c>
    </row>
    <row r="24" spans="1:26" x14ac:dyDescent="0.25">
      <c r="A24" s="9"/>
      <c r="B24" s="11"/>
      <c r="C24" s="11"/>
      <c r="D24" s="3"/>
      <c r="E24" s="3"/>
      <c r="F24" s="8"/>
      <c r="G24" s="3"/>
      <c r="H24" s="3"/>
      <c r="I24" s="3"/>
      <c r="J24" s="8"/>
      <c r="K24" s="3"/>
      <c r="L24" s="3"/>
      <c r="M24" s="3"/>
      <c r="N24" s="8"/>
      <c r="O24" s="11"/>
      <c r="P24" s="3"/>
      <c r="Q24" s="3"/>
      <c r="R24" s="8"/>
      <c r="S24" s="3"/>
      <c r="T24" s="3"/>
      <c r="U24" s="3"/>
      <c r="V24" s="8"/>
      <c r="W24" s="3"/>
      <c r="X24" s="3"/>
      <c r="Y24" s="3"/>
      <c r="Z24" s="8"/>
    </row>
    <row r="25" spans="1:26" s="24" customFormat="1" x14ac:dyDescent="0.25">
      <c r="A25" s="11"/>
      <c r="B25" s="28" t="s">
        <v>107</v>
      </c>
      <c r="C25" s="28"/>
      <c r="D25" s="21">
        <f>D12-D18</f>
        <v>0</v>
      </c>
      <c r="E25" s="14"/>
      <c r="F25" s="22">
        <f>IF(D$12=0,0,D25/D$12)</f>
        <v>0</v>
      </c>
      <c r="G25" s="14"/>
      <c r="H25" s="21">
        <f>H12-H18</f>
        <v>7015.6299999999992</v>
      </c>
      <c r="I25" s="14"/>
      <c r="J25" s="22">
        <f>IF(H$12=0,0,H25/H$12)</f>
        <v>1.1468038675613603</v>
      </c>
      <c r="K25" s="15"/>
      <c r="L25" s="21">
        <f>+D25-H25</f>
        <v>-7015.6299999999992</v>
      </c>
      <c r="M25" s="15"/>
      <c r="N25" s="22">
        <f>IF(H25=0,0,L25/H25)</f>
        <v>-1</v>
      </c>
      <c r="O25" s="29"/>
      <c r="P25" s="21">
        <f>P12-P18</f>
        <v>0</v>
      </c>
      <c r="Q25" s="14"/>
      <c r="R25" s="22">
        <f>IF(P$12=0,0,P25/P$12)</f>
        <v>0</v>
      </c>
      <c r="S25" s="14"/>
      <c r="T25" s="21">
        <f>T12-T18</f>
        <v>27602.280000000002</v>
      </c>
      <c r="U25" s="14"/>
      <c r="V25" s="22">
        <f>IF(T$12=0,0,T25/T$12)</f>
        <v>0.66782946496035822</v>
      </c>
      <c r="W25" s="15"/>
      <c r="X25" s="21">
        <f>+P25-T25</f>
        <v>-27602.280000000002</v>
      </c>
      <c r="Y25" s="15"/>
      <c r="Z25" s="22">
        <f>IF(T25=0,0,X25/T25)</f>
        <v>-1</v>
      </c>
    </row>
    <row r="26" spans="1:26" x14ac:dyDescent="0.25">
      <c r="A26" s="9"/>
      <c r="B26" s="11"/>
      <c r="C26" s="9"/>
      <c r="D26" s="1"/>
      <c r="E26" s="1"/>
      <c r="F26" s="5"/>
      <c r="G26" s="1"/>
      <c r="H26" s="1"/>
      <c r="I26" s="1"/>
      <c r="J26" s="5"/>
      <c r="K26" s="1"/>
      <c r="L26" s="1"/>
      <c r="M26" s="1"/>
      <c r="N26" s="5"/>
      <c r="O26" s="37"/>
      <c r="P26" s="1"/>
      <c r="Q26" s="1"/>
      <c r="R26" s="5"/>
      <c r="S26" s="1"/>
      <c r="T26" s="1"/>
      <c r="U26" s="1"/>
      <c r="V26" s="5"/>
      <c r="W26" s="1"/>
      <c r="X26" s="1"/>
      <c r="Y26" s="1"/>
      <c r="Z26" s="5"/>
    </row>
    <row r="27" spans="1:26" s="24" customFormat="1" x14ac:dyDescent="0.25">
      <c r="A27" s="11"/>
      <c r="B27" s="29" t="s">
        <v>294</v>
      </c>
      <c r="C27" s="11"/>
      <c r="D27" s="20">
        <f>SUM(OSRRefD22x_0)</f>
        <v>0</v>
      </c>
      <c r="E27" s="20"/>
      <c r="F27" s="32">
        <f t="shared" ref="F27:F35" si="15">IF(D$12=0,0,D27/D$12)</f>
        <v>0</v>
      </c>
      <c r="G27" s="20"/>
      <c r="H27" s="20">
        <f>SUM(OSRRefH22x_0)</f>
        <v>21588.910000000003</v>
      </c>
      <c r="I27" s="20"/>
      <c r="J27" s="32">
        <f t="shared" ref="J27:J35" si="16">IF(H$12=0,0,H27/H$12)</f>
        <v>3.5290124314472306</v>
      </c>
      <c r="K27" s="4"/>
      <c r="L27" s="20">
        <f t="shared" ref="L27:L35" si="17">+D27-H27</f>
        <v>-21588.910000000003</v>
      </c>
      <c r="M27" s="4"/>
      <c r="N27" s="32">
        <f t="shared" ref="N27:N35" si="18">IF(H27=0,0,L27/H27)</f>
        <v>-1</v>
      </c>
      <c r="O27" s="11"/>
      <c r="P27" s="20">
        <f>SUM(OSRRefP22x_0)</f>
        <v>0</v>
      </c>
      <c r="Q27" s="20"/>
      <c r="R27" s="32">
        <f t="shared" ref="R27:R35" si="19">IF(P$12=0,0,P27/P$12)</f>
        <v>0</v>
      </c>
      <c r="S27" s="20"/>
      <c r="T27" s="20">
        <f>SUM(OSRRefT22x_0)</f>
        <v>27917.400000000005</v>
      </c>
      <c r="U27" s="20"/>
      <c r="V27" s="32">
        <f t="shared" ref="V27:V35" si="20">IF(T$12=0,0,T27/T$12)</f>
        <v>0.67545370545782113</v>
      </c>
      <c r="W27" s="4"/>
      <c r="X27" s="20">
        <f t="shared" ref="X27:X35" si="21">+P27-T27</f>
        <v>-27917.400000000005</v>
      </c>
      <c r="Y27" s="4"/>
      <c r="Z27" s="32">
        <f t="shared" ref="Z27:Z35" si="22">IF(T27=0,0,X27/T27)</f>
        <v>-1</v>
      </c>
    </row>
    <row r="28" spans="1:26" s="27" customFormat="1" outlineLevel="1" collapsed="1" x14ac:dyDescent="0.25">
      <c r="A28" s="26"/>
      <c r="B28" s="12" t="str">
        <f>CONCATENATE("     ","*Benefits                                         ")</f>
        <v xml:space="preserve">     *Benefits                                         </v>
      </c>
      <c r="C28" s="12"/>
      <c r="D28" s="1">
        <f>SUM(OSRRefD22_0x_0)</f>
        <v>0</v>
      </c>
      <c r="E28" s="1"/>
      <c r="F28" s="5">
        <f t="shared" si="15"/>
        <v>0</v>
      </c>
      <c r="G28" s="1"/>
      <c r="H28" s="1">
        <f>SUM(OSRRefH22_0x_0)</f>
        <v>-5</v>
      </c>
      <c r="I28" s="1"/>
      <c r="J28" s="5">
        <f t="shared" si="16"/>
        <v>-8.1732065941430817E-4</v>
      </c>
      <c r="K28" s="1"/>
      <c r="L28" s="1">
        <f t="shared" si="17"/>
        <v>5</v>
      </c>
      <c r="M28" s="1"/>
      <c r="N28" s="5">
        <f t="shared" si="18"/>
        <v>-1</v>
      </c>
      <c r="O28" s="12"/>
      <c r="P28" s="1">
        <f>SUM(OSRRefP22_0x_0)</f>
        <v>0</v>
      </c>
      <c r="Q28" s="1"/>
      <c r="R28" s="5">
        <f t="shared" si="19"/>
        <v>0</v>
      </c>
      <c r="S28" s="1"/>
      <c r="T28" s="1">
        <f>SUM(OSRRefT22_0x_0)</f>
        <v>869.44</v>
      </c>
      <c r="U28" s="1"/>
      <c r="V28" s="5">
        <f t="shared" si="20"/>
        <v>2.1035858270227453E-2</v>
      </c>
      <c r="W28" s="1"/>
      <c r="X28" s="1">
        <f t="shared" si="21"/>
        <v>-869.44</v>
      </c>
      <c r="Y28" s="1"/>
      <c r="Z28" s="5">
        <f t="shared" si="22"/>
        <v>-1</v>
      </c>
    </row>
    <row r="29" spans="1:26" s="23" customFormat="1" hidden="1" outlineLevel="2" x14ac:dyDescent="0.25">
      <c r="A29" s="25"/>
      <c r="B29" s="10" t="str">
        <f>CONCATENATE("          ", "6111", " - ", "F.I.C.A.")</f>
        <v xml:space="preserve">          6111 - F.I.C.A.</v>
      </c>
      <c r="C29" s="10"/>
      <c r="D29" s="6"/>
      <c r="E29" s="2"/>
      <c r="F29" s="7">
        <f t="shared" si="15"/>
        <v>0</v>
      </c>
      <c r="G29" s="2"/>
      <c r="H29" s="6"/>
      <c r="I29" s="2"/>
      <c r="J29" s="7">
        <f t="shared" si="16"/>
        <v>0</v>
      </c>
      <c r="K29" s="2"/>
      <c r="L29" s="6">
        <f t="shared" si="17"/>
        <v>0</v>
      </c>
      <c r="M29" s="2"/>
      <c r="N29" s="7">
        <f t="shared" si="18"/>
        <v>0</v>
      </c>
      <c r="O29" s="10"/>
      <c r="P29" s="6"/>
      <c r="Q29" s="2"/>
      <c r="R29" s="7">
        <f t="shared" si="19"/>
        <v>0</v>
      </c>
      <c r="S29" s="2"/>
      <c r="T29" s="6">
        <v>208.81</v>
      </c>
      <c r="U29" s="2"/>
      <c r="V29" s="7">
        <f t="shared" si="20"/>
        <v>5.0520997025742939E-3</v>
      </c>
      <c r="W29" s="2"/>
      <c r="X29" s="6">
        <f t="shared" si="21"/>
        <v>-208.81</v>
      </c>
      <c r="Y29" s="2"/>
      <c r="Z29" s="7">
        <f t="shared" si="22"/>
        <v>-1</v>
      </c>
    </row>
    <row r="30" spans="1:26" s="23" customFormat="1" hidden="1" outlineLevel="2" x14ac:dyDescent="0.25">
      <c r="A30" s="25"/>
      <c r="B30" s="10" t="str">
        <f>CONCATENATE("          ", "6112", " - ", "COMPENSATION INSURANCE")</f>
        <v xml:space="preserve">          6112 - COMPENSATION INSURANCE</v>
      </c>
      <c r="C30" s="10"/>
      <c r="D30" s="6"/>
      <c r="E30" s="2"/>
      <c r="F30" s="7">
        <f t="shared" si="15"/>
        <v>0</v>
      </c>
      <c r="G30" s="2"/>
      <c r="H30" s="6"/>
      <c r="I30" s="2"/>
      <c r="J30" s="7">
        <f t="shared" si="16"/>
        <v>0</v>
      </c>
      <c r="K30" s="2"/>
      <c r="L30" s="6">
        <f t="shared" si="17"/>
        <v>0</v>
      </c>
      <c r="M30" s="2"/>
      <c r="N30" s="7">
        <f t="shared" si="18"/>
        <v>0</v>
      </c>
      <c r="O30" s="10"/>
      <c r="P30" s="6"/>
      <c r="Q30" s="2"/>
      <c r="R30" s="7">
        <f t="shared" si="19"/>
        <v>0</v>
      </c>
      <c r="S30" s="2"/>
      <c r="T30" s="6">
        <v>22.05</v>
      </c>
      <c r="U30" s="2"/>
      <c r="V30" s="7">
        <f t="shared" si="20"/>
        <v>5.3349359916557242E-4</v>
      </c>
      <c r="W30" s="2"/>
      <c r="X30" s="6">
        <f t="shared" si="21"/>
        <v>-22.05</v>
      </c>
      <c r="Y30" s="2"/>
      <c r="Z30" s="7">
        <f t="shared" si="22"/>
        <v>-1</v>
      </c>
    </row>
    <row r="31" spans="1:26" s="23" customFormat="1" hidden="1" outlineLevel="2" x14ac:dyDescent="0.25">
      <c r="A31" s="25"/>
      <c r="B31" s="10" t="str">
        <f>CONCATENATE("          ", "6113", " - ", "GROUP INSURANCE")</f>
        <v xml:space="preserve">          6113 - GROUP INSURANCE</v>
      </c>
      <c r="C31" s="10"/>
      <c r="D31" s="6"/>
      <c r="E31" s="2"/>
      <c r="F31" s="7">
        <f t="shared" si="15"/>
        <v>0</v>
      </c>
      <c r="G31" s="2"/>
      <c r="H31" s="6"/>
      <c r="I31" s="2"/>
      <c r="J31" s="7">
        <f t="shared" si="16"/>
        <v>0</v>
      </c>
      <c r="K31" s="2"/>
      <c r="L31" s="6">
        <f t="shared" si="17"/>
        <v>0</v>
      </c>
      <c r="M31" s="2"/>
      <c r="N31" s="7">
        <f t="shared" si="18"/>
        <v>0</v>
      </c>
      <c r="O31" s="10"/>
      <c r="P31" s="6"/>
      <c r="Q31" s="2"/>
      <c r="R31" s="7">
        <f t="shared" si="19"/>
        <v>0</v>
      </c>
      <c r="S31" s="2"/>
      <c r="T31" s="6">
        <v>305.26</v>
      </c>
      <c r="U31" s="2"/>
      <c r="V31" s="7">
        <f t="shared" si="20"/>
        <v>7.3856805479039743E-3</v>
      </c>
      <c r="W31" s="2"/>
      <c r="X31" s="6">
        <f t="shared" si="21"/>
        <v>-305.26</v>
      </c>
      <c r="Y31" s="2"/>
      <c r="Z31" s="7">
        <f t="shared" si="22"/>
        <v>-1</v>
      </c>
    </row>
    <row r="32" spans="1:26" s="23" customFormat="1" hidden="1" outlineLevel="2" x14ac:dyDescent="0.25">
      <c r="A32" s="25"/>
      <c r="B32" s="10" t="str">
        <f>CONCATENATE("          ", "6114", " - ", "STATE UNEMPLOYMENT INSURANCE")</f>
        <v xml:space="preserve">          6114 - STATE UNEMPLOYMENT INSURANCE</v>
      </c>
      <c r="C32" s="10"/>
      <c r="D32" s="6"/>
      <c r="E32" s="2"/>
      <c r="F32" s="7">
        <f t="shared" si="15"/>
        <v>0</v>
      </c>
      <c r="G32" s="2"/>
      <c r="H32" s="6">
        <v>-5</v>
      </c>
      <c r="I32" s="2"/>
      <c r="J32" s="7">
        <f t="shared" si="16"/>
        <v>-8.1732065941430817E-4</v>
      </c>
      <c r="K32" s="2"/>
      <c r="L32" s="6">
        <f t="shared" si="17"/>
        <v>5</v>
      </c>
      <c r="M32" s="2"/>
      <c r="N32" s="7">
        <f t="shared" si="18"/>
        <v>-1</v>
      </c>
      <c r="O32" s="10"/>
      <c r="P32" s="6"/>
      <c r="Q32" s="2"/>
      <c r="R32" s="7">
        <f t="shared" si="19"/>
        <v>0</v>
      </c>
      <c r="S32" s="2"/>
      <c r="T32" s="6">
        <v>0</v>
      </c>
      <c r="U32" s="2"/>
      <c r="V32" s="7">
        <f t="shared" si="20"/>
        <v>0</v>
      </c>
      <c r="W32" s="2"/>
      <c r="X32" s="6">
        <f t="shared" si="21"/>
        <v>0</v>
      </c>
      <c r="Y32" s="2"/>
      <c r="Z32" s="7">
        <f t="shared" si="22"/>
        <v>0</v>
      </c>
    </row>
    <row r="33" spans="1:26" s="23" customFormat="1" hidden="1" outlineLevel="2" x14ac:dyDescent="0.25">
      <c r="A33" s="25"/>
      <c r="B33" s="10" t="str">
        <f>CONCATENATE("          ", "6115", " - ", "P.E.R.S.")</f>
        <v xml:space="preserve">          6115 - P.E.R.S.</v>
      </c>
      <c r="C33" s="10"/>
      <c r="D33" s="6"/>
      <c r="E33" s="2"/>
      <c r="F33" s="7">
        <f t="shared" si="15"/>
        <v>0</v>
      </c>
      <c r="G33" s="2"/>
      <c r="H33" s="6"/>
      <c r="I33" s="2"/>
      <c r="J33" s="7">
        <f t="shared" si="16"/>
        <v>0</v>
      </c>
      <c r="K33" s="2"/>
      <c r="L33" s="6">
        <f t="shared" si="17"/>
        <v>0</v>
      </c>
      <c r="M33" s="2"/>
      <c r="N33" s="7">
        <f t="shared" si="18"/>
        <v>0</v>
      </c>
      <c r="O33" s="10"/>
      <c r="P33" s="6"/>
      <c r="Q33" s="2"/>
      <c r="R33" s="7">
        <f t="shared" si="19"/>
        <v>0</v>
      </c>
      <c r="S33" s="2"/>
      <c r="T33" s="6">
        <v>134.12</v>
      </c>
      <c r="U33" s="2"/>
      <c r="V33" s="7">
        <f t="shared" si="20"/>
        <v>3.2449959873055139E-3</v>
      </c>
      <c r="W33" s="2"/>
      <c r="X33" s="6">
        <f t="shared" si="21"/>
        <v>-134.12</v>
      </c>
      <c r="Y33" s="2"/>
      <c r="Z33" s="7">
        <f t="shared" si="22"/>
        <v>-1</v>
      </c>
    </row>
    <row r="34" spans="1:26" s="23" customFormat="1" hidden="1" outlineLevel="2" x14ac:dyDescent="0.25">
      <c r="A34" s="25"/>
      <c r="B34" s="10" t="str">
        <f>CONCATENATE("          ", "6118", " - ", "VACATION")</f>
        <v xml:space="preserve">          6118 - VACATION</v>
      </c>
      <c r="C34" s="10"/>
      <c r="D34" s="6"/>
      <c r="E34" s="2"/>
      <c r="F34" s="7">
        <f t="shared" si="15"/>
        <v>0</v>
      </c>
      <c r="G34" s="2"/>
      <c r="H34" s="6"/>
      <c r="I34" s="2"/>
      <c r="J34" s="7">
        <f t="shared" si="16"/>
        <v>0</v>
      </c>
      <c r="K34" s="2"/>
      <c r="L34" s="6">
        <f t="shared" si="17"/>
        <v>0</v>
      </c>
      <c r="M34" s="2"/>
      <c r="N34" s="7">
        <f t="shared" si="18"/>
        <v>0</v>
      </c>
      <c r="O34" s="10"/>
      <c r="P34" s="6"/>
      <c r="Q34" s="2"/>
      <c r="R34" s="7">
        <f t="shared" si="19"/>
        <v>0</v>
      </c>
      <c r="S34" s="2"/>
      <c r="T34" s="6">
        <v>110.64</v>
      </c>
      <c r="U34" s="2"/>
      <c r="V34" s="7">
        <f t="shared" si="20"/>
        <v>2.6769039370375934E-3</v>
      </c>
      <c r="W34" s="2"/>
      <c r="X34" s="6">
        <f t="shared" si="21"/>
        <v>-110.64</v>
      </c>
      <c r="Y34" s="2"/>
      <c r="Z34" s="7">
        <f t="shared" si="22"/>
        <v>-1</v>
      </c>
    </row>
    <row r="35" spans="1:26" s="23" customFormat="1" hidden="1" outlineLevel="2" x14ac:dyDescent="0.25">
      <c r="A35" s="25"/>
      <c r="B35" s="10" t="str">
        <f>CONCATENATE("          ", "6119", " - ", "SICK LEAVE")</f>
        <v xml:space="preserve">          6119 - SICK LEAVE</v>
      </c>
      <c r="C35" s="10"/>
      <c r="D35" s="6"/>
      <c r="E35" s="2"/>
      <c r="F35" s="7">
        <f t="shared" si="15"/>
        <v>0</v>
      </c>
      <c r="G35" s="2"/>
      <c r="H35" s="6"/>
      <c r="I35" s="2"/>
      <c r="J35" s="7">
        <f t="shared" si="16"/>
        <v>0</v>
      </c>
      <c r="K35" s="2"/>
      <c r="L35" s="6">
        <f t="shared" si="17"/>
        <v>0</v>
      </c>
      <c r="M35" s="2"/>
      <c r="N35" s="7">
        <f t="shared" si="18"/>
        <v>0</v>
      </c>
      <c r="O35" s="10"/>
      <c r="P35" s="6"/>
      <c r="Q35" s="2"/>
      <c r="R35" s="7">
        <f t="shared" si="19"/>
        <v>0</v>
      </c>
      <c r="S35" s="2"/>
      <c r="T35" s="6">
        <v>88.56</v>
      </c>
      <c r="U35" s="2"/>
      <c r="V35" s="7">
        <f t="shared" si="20"/>
        <v>2.1426844962405033E-3</v>
      </c>
      <c r="W35" s="2"/>
      <c r="X35" s="6">
        <f t="shared" si="21"/>
        <v>-88.56</v>
      </c>
      <c r="Y35" s="2"/>
      <c r="Z35" s="7">
        <f t="shared" si="22"/>
        <v>-1</v>
      </c>
    </row>
    <row r="36" spans="1:26" s="27" customFormat="1" outlineLevel="1" collapsed="1" x14ac:dyDescent="0.25">
      <c r="A36" s="26"/>
      <c r="B36" s="12" t="str">
        <f>CONCATENATE("     ","*Payroll                                          ")</f>
        <v xml:space="preserve">     *Payroll                                          </v>
      </c>
      <c r="C36" s="12"/>
      <c r="D36" s="1">
        <f>SUM(OSRRefD22_1x_0)</f>
        <v>0</v>
      </c>
      <c r="E36" s="1"/>
      <c r="F36" s="5">
        <f t="shared" ref="F36:F41" si="23">IF(D$12=0,0,D36/D$12)</f>
        <v>0</v>
      </c>
      <c r="G36" s="1"/>
      <c r="H36" s="1">
        <f>SUM(OSRRefH22_1x_0)</f>
        <v>0</v>
      </c>
      <c r="I36" s="1"/>
      <c r="J36" s="5">
        <f t="shared" ref="J36:J41" si="24">IF(H$12=0,0,H36/H$12)</f>
        <v>0</v>
      </c>
      <c r="K36" s="1"/>
      <c r="L36" s="1">
        <f t="shared" ref="L36:L41" si="25">+D36-H36</f>
        <v>0</v>
      </c>
      <c r="M36" s="1"/>
      <c r="N36" s="5">
        <f t="shared" ref="N36:N41" si="26">IF(H36=0,0,L36/H36)</f>
        <v>0</v>
      </c>
      <c r="O36" s="12"/>
      <c r="P36" s="1">
        <f>SUM(OSRRefP22_1x_0)</f>
        <v>0</v>
      </c>
      <c r="Q36" s="1"/>
      <c r="R36" s="5">
        <f t="shared" ref="R36:R41" si="27">IF(P$12=0,0,P36/P$12)</f>
        <v>0</v>
      </c>
      <c r="S36" s="1"/>
      <c r="T36" s="1">
        <f>SUM(OSRRefT22_1x_0)</f>
        <v>6103</v>
      </c>
      <c r="U36" s="1"/>
      <c r="V36" s="5">
        <f t="shared" ref="V36:V41" si="28">IF(T$12=0,0,T36/T$12)</f>
        <v>0.1476603825717682</v>
      </c>
      <c r="W36" s="1"/>
      <c r="X36" s="1">
        <f t="shared" ref="X36:X41" si="29">+P36-T36</f>
        <v>-6103</v>
      </c>
      <c r="Y36" s="1"/>
      <c r="Z36" s="5">
        <f t="shared" ref="Z36:Z41" si="30">IF(T36=0,0,X36/T36)</f>
        <v>-1</v>
      </c>
    </row>
    <row r="37" spans="1:26" s="23" customFormat="1" hidden="1" outlineLevel="2" x14ac:dyDescent="0.25">
      <c r="A37" s="25"/>
      <c r="B37" s="10" t="str">
        <f>CONCATENATE("          ", "6002", " - ", "STAFF SALARIES")</f>
        <v xml:space="preserve">          6002 - STAFF SALARIES</v>
      </c>
      <c r="C37" s="10"/>
      <c r="D37" s="6"/>
      <c r="E37" s="2"/>
      <c r="F37" s="7">
        <f t="shared" si="23"/>
        <v>0</v>
      </c>
      <c r="G37" s="2"/>
      <c r="H37" s="6"/>
      <c r="I37" s="2"/>
      <c r="J37" s="7">
        <f t="shared" si="24"/>
        <v>0</v>
      </c>
      <c r="K37" s="2"/>
      <c r="L37" s="6">
        <f t="shared" si="25"/>
        <v>0</v>
      </c>
      <c r="M37" s="2"/>
      <c r="N37" s="7">
        <f t="shared" si="26"/>
        <v>0</v>
      </c>
      <c r="O37" s="10"/>
      <c r="P37" s="6"/>
      <c r="Q37" s="2"/>
      <c r="R37" s="7">
        <f t="shared" si="27"/>
        <v>0</v>
      </c>
      <c r="S37" s="2"/>
      <c r="T37" s="6">
        <v>1872</v>
      </c>
      <c r="U37" s="2"/>
      <c r="V37" s="7">
        <f t="shared" si="28"/>
        <v>4.5292517806709821E-2</v>
      </c>
      <c r="W37" s="2"/>
      <c r="X37" s="6">
        <f t="shared" si="29"/>
        <v>-1872</v>
      </c>
      <c r="Y37" s="2"/>
      <c r="Z37" s="7">
        <f t="shared" si="30"/>
        <v>-1</v>
      </c>
    </row>
    <row r="38" spans="1:26" s="23" customFormat="1" hidden="1" outlineLevel="2" x14ac:dyDescent="0.25">
      <c r="A38" s="25"/>
      <c r="B38" s="10" t="str">
        <f>CONCATENATE("          ", "6004", " - ", "STAFF HOURLY")</f>
        <v xml:space="preserve">          6004 - STAFF HOURLY</v>
      </c>
      <c r="C38" s="10"/>
      <c r="D38" s="6"/>
      <c r="E38" s="2"/>
      <c r="F38" s="7">
        <f t="shared" si="23"/>
        <v>0</v>
      </c>
      <c r="G38" s="2"/>
      <c r="H38" s="6"/>
      <c r="I38" s="2"/>
      <c r="J38" s="7">
        <f t="shared" si="24"/>
        <v>0</v>
      </c>
      <c r="K38" s="2"/>
      <c r="L38" s="6">
        <f t="shared" si="25"/>
        <v>0</v>
      </c>
      <c r="M38" s="2"/>
      <c r="N38" s="7">
        <f t="shared" si="26"/>
        <v>0</v>
      </c>
      <c r="O38" s="10"/>
      <c r="P38" s="6"/>
      <c r="Q38" s="2"/>
      <c r="R38" s="7">
        <f t="shared" si="27"/>
        <v>0</v>
      </c>
      <c r="S38" s="2"/>
      <c r="T38" s="6">
        <v>491.67</v>
      </c>
      <c r="U38" s="2"/>
      <c r="V38" s="7">
        <f t="shared" si="28"/>
        <v>1.1895818498944988E-2</v>
      </c>
      <c r="W38" s="2"/>
      <c r="X38" s="6">
        <f t="shared" si="29"/>
        <v>-491.67</v>
      </c>
      <c r="Y38" s="2"/>
      <c r="Z38" s="7">
        <f t="shared" si="30"/>
        <v>-1</v>
      </c>
    </row>
    <row r="39" spans="1:26" s="23" customFormat="1" hidden="1" outlineLevel="2" x14ac:dyDescent="0.25">
      <c r="A39" s="25"/>
      <c r="B39" s="10" t="str">
        <f>CONCATENATE("          ", "6005", " - ", "TEMPORARY WAGES-HOURLY")</f>
        <v xml:space="preserve">          6005 - TEMPORARY WAGES-HOURLY</v>
      </c>
      <c r="C39" s="10"/>
      <c r="D39" s="6"/>
      <c r="E39" s="2"/>
      <c r="F39" s="7">
        <f t="shared" si="23"/>
        <v>0</v>
      </c>
      <c r="G39" s="2"/>
      <c r="H39" s="6"/>
      <c r="I39" s="2"/>
      <c r="J39" s="7">
        <f t="shared" si="24"/>
        <v>0</v>
      </c>
      <c r="K39" s="2"/>
      <c r="L39" s="6">
        <f t="shared" si="25"/>
        <v>0</v>
      </c>
      <c r="M39" s="2"/>
      <c r="N39" s="7">
        <f t="shared" si="26"/>
        <v>0</v>
      </c>
      <c r="O39" s="10"/>
      <c r="P39" s="6"/>
      <c r="Q39" s="2"/>
      <c r="R39" s="7">
        <f t="shared" si="27"/>
        <v>0</v>
      </c>
      <c r="S39" s="2"/>
      <c r="T39" s="6">
        <v>140.61000000000001</v>
      </c>
      <c r="U39" s="2"/>
      <c r="V39" s="7">
        <f t="shared" si="28"/>
        <v>3.4020197269238614E-3</v>
      </c>
      <c r="W39" s="2"/>
      <c r="X39" s="6">
        <f t="shared" si="29"/>
        <v>-140.61000000000001</v>
      </c>
      <c r="Y39" s="2"/>
      <c r="Z39" s="7">
        <f t="shared" si="30"/>
        <v>-1</v>
      </c>
    </row>
    <row r="40" spans="1:26" s="23" customFormat="1" hidden="1" outlineLevel="2" x14ac:dyDescent="0.25">
      <c r="A40" s="25"/>
      <c r="B40" s="10" t="str">
        <f>CONCATENATE("          ", "6006", " - ", "TEMPORARY PART TIME")</f>
        <v xml:space="preserve">          6006 - TEMPORARY PART TIME</v>
      </c>
      <c r="C40" s="10"/>
      <c r="D40" s="6"/>
      <c r="E40" s="2"/>
      <c r="F40" s="7">
        <f t="shared" si="23"/>
        <v>0</v>
      </c>
      <c r="G40" s="2"/>
      <c r="H40" s="6"/>
      <c r="I40" s="2"/>
      <c r="J40" s="7">
        <f t="shared" si="24"/>
        <v>0</v>
      </c>
      <c r="K40" s="2"/>
      <c r="L40" s="6">
        <f t="shared" si="25"/>
        <v>0</v>
      </c>
      <c r="M40" s="2"/>
      <c r="N40" s="7">
        <f t="shared" si="26"/>
        <v>0</v>
      </c>
      <c r="O40" s="10"/>
      <c r="P40" s="6"/>
      <c r="Q40" s="2"/>
      <c r="R40" s="7">
        <f t="shared" si="27"/>
        <v>0</v>
      </c>
      <c r="S40" s="2"/>
      <c r="T40" s="6">
        <v>120.35</v>
      </c>
      <c r="U40" s="2"/>
      <c r="V40" s="7">
        <f t="shared" si="28"/>
        <v>2.9118346784388497E-3</v>
      </c>
      <c r="W40" s="2"/>
      <c r="X40" s="6">
        <f t="shared" si="29"/>
        <v>-120.35</v>
      </c>
      <c r="Y40" s="2"/>
      <c r="Z40" s="7">
        <f t="shared" si="30"/>
        <v>-1</v>
      </c>
    </row>
    <row r="41" spans="1:26" s="23" customFormat="1" hidden="1" outlineLevel="2" x14ac:dyDescent="0.25">
      <c r="A41" s="25"/>
      <c r="B41" s="10" t="str">
        <f>CONCATENATE("          ", "6007", " - ", "STUDENT HOURLY")</f>
        <v xml:space="preserve">          6007 - STUDENT HOURLY</v>
      </c>
      <c r="C41" s="10"/>
      <c r="D41" s="6"/>
      <c r="E41" s="2"/>
      <c r="F41" s="7">
        <f t="shared" si="23"/>
        <v>0</v>
      </c>
      <c r="G41" s="2"/>
      <c r="H41" s="6"/>
      <c r="I41" s="2"/>
      <c r="J41" s="7">
        <f t="shared" si="24"/>
        <v>0</v>
      </c>
      <c r="K41" s="2"/>
      <c r="L41" s="6">
        <f t="shared" si="25"/>
        <v>0</v>
      </c>
      <c r="M41" s="2"/>
      <c r="N41" s="7">
        <f t="shared" si="26"/>
        <v>0</v>
      </c>
      <c r="O41" s="10"/>
      <c r="P41" s="6"/>
      <c r="Q41" s="2"/>
      <c r="R41" s="7">
        <f t="shared" si="27"/>
        <v>0</v>
      </c>
      <c r="S41" s="2"/>
      <c r="T41" s="6">
        <v>3478.37</v>
      </c>
      <c r="U41" s="2"/>
      <c r="V41" s="7">
        <f t="shared" si="28"/>
        <v>8.4158191860750658E-2</v>
      </c>
      <c r="W41" s="2"/>
      <c r="X41" s="6">
        <f t="shared" si="29"/>
        <v>-3478.37</v>
      </c>
      <c r="Y41" s="2"/>
      <c r="Z41" s="7">
        <f t="shared" si="30"/>
        <v>-1</v>
      </c>
    </row>
    <row r="42" spans="1:26" s="27" customFormat="1" outlineLevel="1" collapsed="1" x14ac:dyDescent="0.25">
      <c r="A42" s="26"/>
      <c r="B42" s="12" t="str">
        <f>CONCATENATE("     ","Advertising/Promo                                 ")</f>
        <v xml:space="preserve">     Advertising/Promo                                 </v>
      </c>
      <c r="C42" s="12"/>
      <c r="D42" s="1">
        <f>SUM(OSRRefD22_2x_0)</f>
        <v>0</v>
      </c>
      <c r="E42" s="1"/>
      <c r="F42" s="5">
        <f t="shared" ref="F42:F48" si="31">IF(D$12=0,0,D42/D$12)</f>
        <v>0</v>
      </c>
      <c r="G42" s="1"/>
      <c r="H42" s="1">
        <f>SUM(OSRRefH22_2x_0)</f>
        <v>0</v>
      </c>
      <c r="I42" s="1"/>
      <c r="J42" s="5">
        <f t="shared" ref="J42:J48" si="32">IF(H$12=0,0,H42/H$12)</f>
        <v>0</v>
      </c>
      <c r="K42" s="1"/>
      <c r="L42" s="1">
        <f t="shared" ref="L42:L48" si="33">+D42-H42</f>
        <v>0</v>
      </c>
      <c r="M42" s="1"/>
      <c r="N42" s="5">
        <f t="shared" ref="N42:N48" si="34">IF(H42=0,0,L42/H42)</f>
        <v>0</v>
      </c>
      <c r="O42" s="12"/>
      <c r="P42" s="1">
        <f>SUM(OSRRefP22_2x_0)</f>
        <v>0</v>
      </c>
      <c r="Q42" s="1"/>
      <c r="R42" s="5">
        <f t="shared" ref="R42:R48" si="35">IF(P$12=0,0,P42/P$12)</f>
        <v>0</v>
      </c>
      <c r="S42" s="1"/>
      <c r="T42" s="1">
        <f>SUM(OSRRefT22_2x_0)</f>
        <v>1164.77</v>
      </c>
      <c r="U42" s="1"/>
      <c r="V42" s="5">
        <f t="shared" ref="V42:V48" si="36">IF(T$12=0,0,T42/T$12)</f>
        <v>2.8181285238099037E-2</v>
      </c>
      <c r="W42" s="1"/>
      <c r="X42" s="1">
        <f t="shared" ref="X42:X48" si="37">+P42-T42</f>
        <v>-1164.77</v>
      </c>
      <c r="Y42" s="1"/>
      <c r="Z42" s="5">
        <f t="shared" ref="Z42:Z48" si="38">IF(T42=0,0,X42/T42)</f>
        <v>-1</v>
      </c>
    </row>
    <row r="43" spans="1:26" s="23" customFormat="1" hidden="1" outlineLevel="2" x14ac:dyDescent="0.25">
      <c r="A43" s="25"/>
      <c r="B43" s="10" t="str">
        <f>CONCATENATE("          ", "6362", " - ", "ADVERTISING EXPENSE")</f>
        <v xml:space="preserve">          6362 - ADVERTISING EXPENSE</v>
      </c>
      <c r="C43" s="10"/>
      <c r="D43" s="6"/>
      <c r="E43" s="2"/>
      <c r="F43" s="7">
        <f t="shared" si="31"/>
        <v>0</v>
      </c>
      <c r="G43" s="2"/>
      <c r="H43" s="6"/>
      <c r="I43" s="2"/>
      <c r="J43" s="7">
        <f t="shared" si="32"/>
        <v>0</v>
      </c>
      <c r="K43" s="2"/>
      <c r="L43" s="6">
        <f t="shared" si="33"/>
        <v>0</v>
      </c>
      <c r="M43" s="2"/>
      <c r="N43" s="7">
        <f t="shared" si="34"/>
        <v>0</v>
      </c>
      <c r="O43" s="10"/>
      <c r="P43" s="6"/>
      <c r="Q43" s="2"/>
      <c r="R43" s="7">
        <f t="shared" si="35"/>
        <v>0</v>
      </c>
      <c r="S43" s="2"/>
      <c r="T43" s="6">
        <v>1164.77</v>
      </c>
      <c r="U43" s="2"/>
      <c r="V43" s="7">
        <f t="shared" si="36"/>
        <v>2.8181285238099037E-2</v>
      </c>
      <c r="W43" s="2"/>
      <c r="X43" s="6">
        <f t="shared" si="37"/>
        <v>-1164.77</v>
      </c>
      <c r="Y43" s="2"/>
      <c r="Z43" s="7">
        <f t="shared" si="38"/>
        <v>-1</v>
      </c>
    </row>
    <row r="44" spans="1:26" s="27" customFormat="1" outlineLevel="1" collapsed="1" x14ac:dyDescent="0.25">
      <c r="A44" s="26"/>
      <c r="B44" s="12" t="str">
        <f>CONCATENATE("     ","Discounts and Markdowns                           ")</f>
        <v xml:space="preserve">     Discounts and Markdowns                           </v>
      </c>
      <c r="C44" s="12"/>
      <c r="D44" s="1">
        <f>SUM(OSRRefD22_3x_0)</f>
        <v>0</v>
      </c>
      <c r="E44" s="1"/>
      <c r="F44" s="5">
        <f t="shared" si="31"/>
        <v>0</v>
      </c>
      <c r="G44" s="1"/>
      <c r="H44" s="1">
        <f>SUM(OSRRefH22_3x_0)</f>
        <v>7.99</v>
      </c>
      <c r="I44" s="1"/>
      <c r="J44" s="5">
        <f t="shared" si="32"/>
        <v>1.3060784137440644E-3</v>
      </c>
      <c r="K44" s="1"/>
      <c r="L44" s="1">
        <f t="shared" si="33"/>
        <v>-7.99</v>
      </c>
      <c r="M44" s="1"/>
      <c r="N44" s="5">
        <f t="shared" si="34"/>
        <v>-1</v>
      </c>
      <c r="O44" s="12"/>
      <c r="P44" s="1">
        <f>SUM(OSRRefP22_3x_0)</f>
        <v>0</v>
      </c>
      <c r="Q44" s="1"/>
      <c r="R44" s="5">
        <f t="shared" si="35"/>
        <v>0</v>
      </c>
      <c r="S44" s="1"/>
      <c r="T44" s="1">
        <f>SUM(OSRRefT22_3x_0)</f>
        <v>563.11</v>
      </c>
      <c r="U44" s="1"/>
      <c r="V44" s="5">
        <f t="shared" si="36"/>
        <v>1.3624289370799342E-2</v>
      </c>
      <c r="W44" s="1"/>
      <c r="X44" s="1">
        <f t="shared" si="37"/>
        <v>-563.11</v>
      </c>
      <c r="Y44" s="1"/>
      <c r="Z44" s="5">
        <f t="shared" si="38"/>
        <v>-1</v>
      </c>
    </row>
    <row r="45" spans="1:26" s="23" customFormat="1" hidden="1" outlineLevel="2" x14ac:dyDescent="0.25">
      <c r="A45" s="25"/>
      <c r="B45" s="10" t="str">
        <f>CONCATENATE("          ", "6382", " - ", "DISCOUNTS/MARK DOWNS")</f>
        <v xml:space="preserve">          6382 - DISCOUNTS/MARK DOWNS</v>
      </c>
      <c r="C45" s="10"/>
      <c r="D45" s="6"/>
      <c r="E45" s="2"/>
      <c r="F45" s="7">
        <f t="shared" si="31"/>
        <v>0</v>
      </c>
      <c r="G45" s="2"/>
      <c r="H45" s="6">
        <v>7.99</v>
      </c>
      <c r="I45" s="2"/>
      <c r="J45" s="7">
        <f t="shared" si="32"/>
        <v>1.3060784137440644E-3</v>
      </c>
      <c r="K45" s="2"/>
      <c r="L45" s="6">
        <f t="shared" si="33"/>
        <v>-7.99</v>
      </c>
      <c r="M45" s="2"/>
      <c r="N45" s="7">
        <f t="shared" si="34"/>
        <v>-1</v>
      </c>
      <c r="O45" s="10"/>
      <c r="P45" s="6"/>
      <c r="Q45" s="2"/>
      <c r="R45" s="7">
        <f t="shared" si="35"/>
        <v>0</v>
      </c>
      <c r="S45" s="2"/>
      <c r="T45" s="6">
        <v>563.11</v>
      </c>
      <c r="U45" s="2"/>
      <c r="V45" s="7">
        <f t="shared" si="36"/>
        <v>1.3624289370799342E-2</v>
      </c>
      <c r="W45" s="2"/>
      <c r="X45" s="6">
        <f t="shared" si="37"/>
        <v>-563.11</v>
      </c>
      <c r="Y45" s="2"/>
      <c r="Z45" s="7">
        <f t="shared" si="38"/>
        <v>-1</v>
      </c>
    </row>
    <row r="46" spans="1:26" s="27" customFormat="1" outlineLevel="1" collapsed="1" x14ac:dyDescent="0.25">
      <c r="A46" s="26"/>
      <c r="B46" s="12" t="str">
        <f>CONCATENATE("     ","Freight out/Postage                               ")</f>
        <v xml:space="preserve">     Freight out/Postage                               </v>
      </c>
      <c r="C46" s="12"/>
      <c r="D46" s="1">
        <f>SUM(OSRRefD22_4x_0)</f>
        <v>0</v>
      </c>
      <c r="E46" s="1"/>
      <c r="F46" s="5">
        <f t="shared" si="31"/>
        <v>0</v>
      </c>
      <c r="G46" s="1"/>
      <c r="H46" s="1">
        <f>SUM(OSRRefH22_4x_0)</f>
        <v>18433.240000000002</v>
      </c>
      <c r="I46" s="1"/>
      <c r="J46" s="5">
        <f t="shared" si="32"/>
        <v>3.0131735743884405</v>
      </c>
      <c r="K46" s="1"/>
      <c r="L46" s="1">
        <f t="shared" si="33"/>
        <v>-18433.240000000002</v>
      </c>
      <c r="M46" s="1"/>
      <c r="N46" s="5">
        <f t="shared" si="34"/>
        <v>-1</v>
      </c>
      <c r="O46" s="12"/>
      <c r="P46" s="1">
        <f>SUM(OSRRefP22_4x_0)</f>
        <v>0</v>
      </c>
      <c r="Q46" s="1"/>
      <c r="R46" s="5">
        <f t="shared" si="35"/>
        <v>0</v>
      </c>
      <c r="S46" s="1"/>
      <c r="T46" s="1">
        <f>SUM(OSRRefT22_4x_0)</f>
        <v>6157.2299999999959</v>
      </c>
      <c r="U46" s="1"/>
      <c r="V46" s="5">
        <f t="shared" si="36"/>
        <v>0.14897246229434175</v>
      </c>
      <c r="W46" s="1"/>
      <c r="X46" s="1">
        <f t="shared" si="37"/>
        <v>-6157.2299999999959</v>
      </c>
      <c r="Y46" s="1"/>
      <c r="Z46" s="5">
        <f t="shared" si="38"/>
        <v>-1</v>
      </c>
    </row>
    <row r="47" spans="1:26" s="23" customFormat="1" hidden="1" outlineLevel="2" x14ac:dyDescent="0.25">
      <c r="A47" s="25"/>
      <c r="B47" s="10" t="str">
        <f>CONCATENATE("          ", "6305", " - ", "FREIGHT OUT")</f>
        <v xml:space="preserve">          6305 - FREIGHT OUT</v>
      </c>
      <c r="C47" s="10"/>
      <c r="D47" s="6"/>
      <c r="E47" s="2"/>
      <c r="F47" s="7">
        <f t="shared" si="31"/>
        <v>0</v>
      </c>
      <c r="G47" s="2"/>
      <c r="H47" s="6">
        <v>26023.29</v>
      </c>
      <c r="I47" s="2"/>
      <c r="J47" s="7">
        <f t="shared" si="32"/>
        <v>4.2538745085859544</v>
      </c>
      <c r="K47" s="2"/>
      <c r="L47" s="6">
        <f t="shared" si="33"/>
        <v>-26023.29</v>
      </c>
      <c r="M47" s="2"/>
      <c r="N47" s="7">
        <f t="shared" si="34"/>
        <v>-1</v>
      </c>
      <c r="O47" s="10"/>
      <c r="P47" s="6">
        <v>0</v>
      </c>
      <c r="Q47" s="2"/>
      <c r="R47" s="7">
        <f t="shared" si="35"/>
        <v>0</v>
      </c>
      <c r="S47" s="2"/>
      <c r="T47" s="6">
        <v>71927.3</v>
      </c>
      <c r="U47" s="2"/>
      <c r="V47" s="7">
        <f t="shared" si="36"/>
        <v>1.7402609594223075</v>
      </c>
      <c r="W47" s="2"/>
      <c r="X47" s="6">
        <f t="shared" si="37"/>
        <v>-71927.3</v>
      </c>
      <c r="Y47" s="2"/>
      <c r="Z47" s="7">
        <f t="shared" si="38"/>
        <v>-1</v>
      </c>
    </row>
    <row r="48" spans="1:26" s="23" customFormat="1" hidden="1" outlineLevel="2" x14ac:dyDescent="0.25">
      <c r="A48" s="25"/>
      <c r="B48" s="10" t="str">
        <f>CONCATENATE("          ", "6307", " - ", "POSTAGE")</f>
        <v xml:space="preserve">          6307 - POSTAGE</v>
      </c>
      <c r="C48" s="10"/>
      <c r="D48" s="6"/>
      <c r="E48" s="2"/>
      <c r="F48" s="7">
        <f t="shared" si="31"/>
        <v>0</v>
      </c>
      <c r="G48" s="2"/>
      <c r="H48" s="6">
        <v>-7590.05</v>
      </c>
      <c r="I48" s="2"/>
      <c r="J48" s="7">
        <f t="shared" si="32"/>
        <v>-1.2407009341975139</v>
      </c>
      <c r="K48" s="2"/>
      <c r="L48" s="6">
        <f t="shared" si="33"/>
        <v>7590.05</v>
      </c>
      <c r="M48" s="2"/>
      <c r="N48" s="7">
        <f t="shared" si="34"/>
        <v>-1</v>
      </c>
      <c r="O48" s="10"/>
      <c r="P48" s="6">
        <v>0</v>
      </c>
      <c r="Q48" s="2"/>
      <c r="R48" s="7">
        <f t="shared" si="35"/>
        <v>0</v>
      </c>
      <c r="S48" s="2"/>
      <c r="T48" s="6">
        <v>-65770.070000000007</v>
      </c>
      <c r="U48" s="2"/>
      <c r="V48" s="7">
        <f t="shared" si="36"/>
        <v>-1.5912884971279657</v>
      </c>
      <c r="W48" s="2"/>
      <c r="X48" s="6">
        <f t="shared" si="37"/>
        <v>65770.070000000007</v>
      </c>
      <c r="Y48" s="2"/>
      <c r="Z48" s="7">
        <f t="shared" si="38"/>
        <v>-1</v>
      </c>
    </row>
    <row r="49" spans="1:26" s="27" customFormat="1" outlineLevel="1" collapsed="1" x14ac:dyDescent="0.25">
      <c r="A49" s="26"/>
      <c r="B49" s="12" t="str">
        <f>CONCATENATE("     ","General                                           ")</f>
        <v xml:space="preserve">     General                                           </v>
      </c>
      <c r="C49" s="12"/>
      <c r="D49" s="1">
        <f>SUM(OSRRefD22_5x_0)</f>
        <v>0</v>
      </c>
      <c r="E49" s="1"/>
      <c r="F49" s="5">
        <f t="shared" ref="F49:F54" si="39">IF(D$12=0,0,D49/D$12)</f>
        <v>0</v>
      </c>
      <c r="G49" s="1"/>
      <c r="H49" s="1">
        <f>SUM(OSRRefH22_5x_0)</f>
        <v>0</v>
      </c>
      <c r="I49" s="1"/>
      <c r="J49" s="5">
        <f t="shared" ref="J49:J54" si="40">IF(H$12=0,0,H49/H$12)</f>
        <v>0</v>
      </c>
      <c r="K49" s="1"/>
      <c r="L49" s="1">
        <f t="shared" ref="L49:L54" si="41">+D49-H49</f>
        <v>0</v>
      </c>
      <c r="M49" s="1"/>
      <c r="N49" s="5">
        <f t="shared" ref="N49:N54" si="42">IF(H49=0,0,L49/H49)</f>
        <v>0</v>
      </c>
      <c r="O49" s="12"/>
      <c r="P49" s="1">
        <f>SUM(OSRRefP22_5x_0)</f>
        <v>0</v>
      </c>
      <c r="Q49" s="1"/>
      <c r="R49" s="5">
        <f t="shared" ref="R49:R54" si="43">IF(P$12=0,0,P49/P$12)</f>
        <v>0</v>
      </c>
      <c r="S49" s="1"/>
      <c r="T49" s="1">
        <f>SUM(OSRRefT22_5x_0)</f>
        <v>80.17</v>
      </c>
      <c r="U49" s="1"/>
      <c r="V49" s="5">
        <f t="shared" ref="V49:V54" si="44">IF(T$12=0,0,T49/T$12)</f>
        <v>1.9396907866260293E-3</v>
      </c>
      <c r="W49" s="1"/>
      <c r="X49" s="1">
        <f t="shared" ref="X49:X54" si="45">+P49-T49</f>
        <v>-80.17</v>
      </c>
      <c r="Y49" s="1"/>
      <c r="Z49" s="5">
        <f t="shared" ref="Z49:Z54" si="46">IF(T49=0,0,X49/T49)</f>
        <v>-1</v>
      </c>
    </row>
    <row r="50" spans="1:26" s="23" customFormat="1" hidden="1" outlineLevel="2" x14ac:dyDescent="0.25">
      <c r="A50" s="25"/>
      <c r="B50" s="10" t="str">
        <f>CONCATENATE("          ", "6279", " - ", "GENERAL EXPENSE")</f>
        <v xml:space="preserve">          6279 - GENERAL EXPENSE</v>
      </c>
      <c r="C50" s="10"/>
      <c r="D50" s="6"/>
      <c r="E50" s="2"/>
      <c r="F50" s="7">
        <f t="shared" si="39"/>
        <v>0</v>
      </c>
      <c r="G50" s="2"/>
      <c r="H50" s="6"/>
      <c r="I50" s="2"/>
      <c r="J50" s="7">
        <f t="shared" si="40"/>
        <v>0</v>
      </c>
      <c r="K50" s="2"/>
      <c r="L50" s="6">
        <f t="shared" si="41"/>
        <v>0</v>
      </c>
      <c r="M50" s="2"/>
      <c r="N50" s="7">
        <f t="shared" si="42"/>
        <v>0</v>
      </c>
      <c r="O50" s="10"/>
      <c r="P50" s="6"/>
      <c r="Q50" s="2"/>
      <c r="R50" s="7">
        <f t="shared" si="43"/>
        <v>0</v>
      </c>
      <c r="S50" s="2"/>
      <c r="T50" s="6">
        <v>80.17</v>
      </c>
      <c r="U50" s="2"/>
      <c r="V50" s="7">
        <f t="shared" si="44"/>
        <v>1.9396907866260293E-3</v>
      </c>
      <c r="W50" s="2"/>
      <c r="X50" s="6">
        <f t="shared" si="45"/>
        <v>-80.17</v>
      </c>
      <c r="Y50" s="2"/>
      <c r="Z50" s="7">
        <f t="shared" si="46"/>
        <v>-1</v>
      </c>
    </row>
    <row r="51" spans="1:26" s="27" customFormat="1" outlineLevel="1" collapsed="1" x14ac:dyDescent="0.25">
      <c r="A51" s="26"/>
      <c r="B51" s="12" t="str">
        <f>CONCATENATE("     ","Inventory Adjustment                              ")</f>
        <v xml:space="preserve">     Inventory Adjustment                              </v>
      </c>
      <c r="C51" s="12"/>
      <c r="D51" s="1">
        <f>SUM(OSRRefD22_6x_0)</f>
        <v>0</v>
      </c>
      <c r="E51" s="1"/>
      <c r="F51" s="5">
        <f t="shared" si="39"/>
        <v>0</v>
      </c>
      <c r="G51" s="1"/>
      <c r="H51" s="1">
        <f>SUM(OSRRefH22_6x_0)</f>
        <v>-631</v>
      </c>
      <c r="I51" s="1"/>
      <c r="J51" s="5">
        <f t="shared" si="40"/>
        <v>-0.10314586721808569</v>
      </c>
      <c r="K51" s="1"/>
      <c r="L51" s="1">
        <f t="shared" si="41"/>
        <v>631</v>
      </c>
      <c r="M51" s="1"/>
      <c r="N51" s="5">
        <f t="shared" si="42"/>
        <v>-1</v>
      </c>
      <c r="O51" s="12"/>
      <c r="P51" s="1">
        <f>SUM(OSRRefP22_6x_0)</f>
        <v>0</v>
      </c>
      <c r="Q51" s="1"/>
      <c r="R51" s="5">
        <f t="shared" si="43"/>
        <v>0</v>
      </c>
      <c r="S51" s="1"/>
      <c r="T51" s="1">
        <f>SUM(OSRRefT22_6x_0)</f>
        <v>369</v>
      </c>
      <c r="U51" s="1"/>
      <c r="V51" s="5">
        <f t="shared" si="44"/>
        <v>8.927852067668763E-3</v>
      </c>
      <c r="W51" s="1"/>
      <c r="X51" s="1">
        <f t="shared" si="45"/>
        <v>-369</v>
      </c>
      <c r="Y51" s="1"/>
      <c r="Z51" s="5">
        <f t="shared" si="46"/>
        <v>-1</v>
      </c>
    </row>
    <row r="52" spans="1:26" s="23" customFormat="1" hidden="1" outlineLevel="2" x14ac:dyDescent="0.25">
      <c r="A52" s="25"/>
      <c r="B52" s="10" t="str">
        <f>CONCATENATE("          ", "6408", " - ", "INVENTORY ADJUSTMENT")</f>
        <v xml:space="preserve">          6408 - INVENTORY ADJUSTMENT</v>
      </c>
      <c r="C52" s="10"/>
      <c r="D52" s="6"/>
      <c r="E52" s="2"/>
      <c r="F52" s="7">
        <f t="shared" si="39"/>
        <v>0</v>
      </c>
      <c r="G52" s="2"/>
      <c r="H52" s="6">
        <v>-1000</v>
      </c>
      <c r="I52" s="2"/>
      <c r="J52" s="7">
        <f t="shared" si="40"/>
        <v>-0.16346413188286163</v>
      </c>
      <c r="K52" s="2"/>
      <c r="L52" s="6">
        <f t="shared" si="41"/>
        <v>1000</v>
      </c>
      <c r="M52" s="2"/>
      <c r="N52" s="7">
        <f t="shared" si="42"/>
        <v>-1</v>
      </c>
      <c r="O52" s="10"/>
      <c r="P52" s="6"/>
      <c r="Q52" s="2"/>
      <c r="R52" s="7">
        <f t="shared" si="43"/>
        <v>0</v>
      </c>
      <c r="S52" s="2"/>
      <c r="T52" s="6">
        <v>0</v>
      </c>
      <c r="U52" s="2"/>
      <c r="V52" s="7">
        <f t="shared" si="44"/>
        <v>0</v>
      </c>
      <c r="W52" s="2"/>
      <c r="X52" s="6">
        <f t="shared" si="45"/>
        <v>0</v>
      </c>
      <c r="Y52" s="2"/>
      <c r="Z52" s="7">
        <f t="shared" si="46"/>
        <v>0</v>
      </c>
    </row>
    <row r="53" spans="1:26" s="23" customFormat="1" hidden="1" outlineLevel="2" x14ac:dyDescent="0.25">
      <c r="A53" s="25"/>
      <c r="B53" s="10" t="str">
        <f>CONCATENATE("          ", "7792", " - ", "INV. SHRINKAGE-GRAD MERCH")</f>
        <v xml:space="preserve">          7792 - INV. SHRINKAGE-GRAD MERCH</v>
      </c>
      <c r="C53" s="10"/>
      <c r="D53" s="6"/>
      <c r="E53" s="2"/>
      <c r="F53" s="7">
        <f t="shared" si="39"/>
        <v>0</v>
      </c>
      <c r="G53" s="2"/>
      <c r="H53" s="6">
        <v>495</v>
      </c>
      <c r="I53" s="2"/>
      <c r="J53" s="7">
        <f t="shared" si="40"/>
        <v>8.0914745282016504E-2</v>
      </c>
      <c r="K53" s="2"/>
      <c r="L53" s="6">
        <f t="shared" si="41"/>
        <v>-495</v>
      </c>
      <c r="M53" s="2"/>
      <c r="N53" s="7">
        <f t="shared" si="42"/>
        <v>-1</v>
      </c>
      <c r="O53" s="10"/>
      <c r="P53" s="6"/>
      <c r="Q53" s="2"/>
      <c r="R53" s="7">
        <f t="shared" si="43"/>
        <v>0</v>
      </c>
      <c r="S53" s="2"/>
      <c r="T53" s="6">
        <v>495</v>
      </c>
      <c r="U53" s="2"/>
      <c r="V53" s="7">
        <f t="shared" si="44"/>
        <v>1.1976386920043464E-2</v>
      </c>
      <c r="W53" s="2"/>
      <c r="X53" s="6">
        <f t="shared" si="45"/>
        <v>-495</v>
      </c>
      <c r="Y53" s="2"/>
      <c r="Z53" s="7">
        <f t="shared" si="46"/>
        <v>-1</v>
      </c>
    </row>
    <row r="54" spans="1:26" s="23" customFormat="1" hidden="1" outlineLevel="2" x14ac:dyDescent="0.25">
      <c r="A54" s="25"/>
      <c r="B54" s="10" t="str">
        <f>CONCATENATE("          ", "7795", " - ", "INV. SHRINKAGE-CUSTOMER SERVIC")</f>
        <v xml:space="preserve">          7795 - INV. SHRINKAGE-CUSTOMER SERVIC</v>
      </c>
      <c r="C54" s="10"/>
      <c r="D54" s="6"/>
      <c r="E54" s="2"/>
      <c r="F54" s="7">
        <f t="shared" si="39"/>
        <v>0</v>
      </c>
      <c r="G54" s="2"/>
      <c r="H54" s="6">
        <v>-126</v>
      </c>
      <c r="I54" s="2"/>
      <c r="J54" s="7">
        <f t="shared" si="40"/>
        <v>-2.0596480617240565E-2</v>
      </c>
      <c r="K54" s="2"/>
      <c r="L54" s="6">
        <f t="shared" si="41"/>
        <v>126</v>
      </c>
      <c r="M54" s="2"/>
      <c r="N54" s="7">
        <f t="shared" si="42"/>
        <v>-1</v>
      </c>
      <c r="O54" s="10"/>
      <c r="P54" s="6"/>
      <c r="Q54" s="2"/>
      <c r="R54" s="7">
        <f t="shared" si="43"/>
        <v>0</v>
      </c>
      <c r="S54" s="2"/>
      <c r="T54" s="6">
        <v>-126</v>
      </c>
      <c r="U54" s="2"/>
      <c r="V54" s="7">
        <f t="shared" si="44"/>
        <v>-3.0485348523746998E-3</v>
      </c>
      <c r="W54" s="2"/>
      <c r="X54" s="6">
        <f t="shared" si="45"/>
        <v>126</v>
      </c>
      <c r="Y54" s="2"/>
      <c r="Z54" s="7">
        <f t="shared" si="46"/>
        <v>-1</v>
      </c>
    </row>
    <row r="55" spans="1:26" s="27" customFormat="1" outlineLevel="1" collapsed="1" x14ac:dyDescent="0.25">
      <c r="A55" s="26"/>
      <c r="B55" s="12" t="str">
        <f>CONCATENATE("     ","Supplies                                          ")</f>
        <v xml:space="preserve">     Supplies                                          </v>
      </c>
      <c r="C55" s="12"/>
      <c r="D55" s="1">
        <f>SUM(OSRRefD22_7x_0)</f>
        <v>0</v>
      </c>
      <c r="E55" s="1"/>
      <c r="F55" s="5">
        <f t="shared" ref="F55:F57" si="47">IF(D$12=0,0,D55/D$12)</f>
        <v>0</v>
      </c>
      <c r="G55" s="1"/>
      <c r="H55" s="1">
        <f>SUM(OSRRefH22_7x_0)</f>
        <v>3711.68</v>
      </c>
      <c r="I55" s="1"/>
      <c r="J55" s="5">
        <f t="shared" ref="J55:J57" si="48">IF(H$12=0,0,H55/H$12)</f>
        <v>0.60672654902697976</v>
      </c>
      <c r="K55" s="1"/>
      <c r="L55" s="1">
        <f t="shared" ref="L55:L57" si="49">+D55-H55</f>
        <v>-3711.68</v>
      </c>
      <c r="M55" s="1"/>
      <c r="N55" s="5">
        <f t="shared" ref="N55:N57" si="50">IF(H55=0,0,L55/H55)</f>
        <v>-1</v>
      </c>
      <c r="O55" s="12"/>
      <c r="P55" s="1">
        <f>SUM(OSRRefP22_7x_0)</f>
        <v>0</v>
      </c>
      <c r="Q55" s="1"/>
      <c r="R55" s="5">
        <f t="shared" ref="R55:R57" si="51">IF(P$12=0,0,P55/P$12)</f>
        <v>0</v>
      </c>
      <c r="S55" s="1"/>
      <c r="T55" s="1">
        <f>SUM(OSRRefT22_7x_0)</f>
        <v>11924.78</v>
      </c>
      <c r="U55" s="1"/>
      <c r="V55" s="5">
        <f t="shared" ref="V55:V57" si="52">IF(T$12=0,0,T55/T$12)</f>
        <v>0.28851672568968867</v>
      </c>
      <c r="W55" s="1"/>
      <c r="X55" s="1">
        <f t="shared" ref="X55:X57" si="53">+P55-T55</f>
        <v>-11924.78</v>
      </c>
      <c r="Y55" s="1"/>
      <c r="Z55" s="5">
        <f t="shared" ref="Z55:Z57" si="54">IF(T55=0,0,X55/T55)</f>
        <v>-1</v>
      </c>
    </row>
    <row r="56" spans="1:26" s="23" customFormat="1" hidden="1" outlineLevel="2" x14ac:dyDescent="0.25">
      <c r="A56" s="25"/>
      <c r="B56" s="10" t="str">
        <f>CONCATENATE("          ", "6241", " - ", "OFFICE EXPENSE")</f>
        <v xml:space="preserve">          6241 - OFFICE EXPENSE</v>
      </c>
      <c r="C56" s="10"/>
      <c r="D56" s="6"/>
      <c r="E56" s="2"/>
      <c r="F56" s="7">
        <f t="shared" si="47"/>
        <v>0</v>
      </c>
      <c r="G56" s="2"/>
      <c r="H56" s="6"/>
      <c r="I56" s="2"/>
      <c r="J56" s="7">
        <f t="shared" si="48"/>
        <v>0</v>
      </c>
      <c r="K56" s="2"/>
      <c r="L56" s="6">
        <f t="shared" si="49"/>
        <v>0</v>
      </c>
      <c r="M56" s="2"/>
      <c r="N56" s="7">
        <f t="shared" si="50"/>
        <v>0</v>
      </c>
      <c r="O56" s="10"/>
      <c r="P56" s="6"/>
      <c r="Q56" s="2"/>
      <c r="R56" s="7">
        <f t="shared" si="51"/>
        <v>0</v>
      </c>
      <c r="S56" s="2"/>
      <c r="T56" s="6">
        <v>135.26</v>
      </c>
      <c r="U56" s="2"/>
      <c r="V56" s="7">
        <f t="shared" si="52"/>
        <v>3.2725779693031894E-3</v>
      </c>
      <c r="W56" s="2"/>
      <c r="X56" s="6">
        <f t="shared" si="53"/>
        <v>-135.26</v>
      </c>
      <c r="Y56" s="2"/>
      <c r="Z56" s="7">
        <f t="shared" si="54"/>
        <v>-1</v>
      </c>
    </row>
    <row r="57" spans="1:26" s="23" customFormat="1" hidden="1" outlineLevel="2" x14ac:dyDescent="0.25">
      <c r="A57" s="25"/>
      <c r="B57" s="10" t="str">
        <f>CONCATENATE("          ", "6247", " - ", "STORE SUPPLIES")</f>
        <v xml:space="preserve">          6247 - STORE SUPPLIES</v>
      </c>
      <c r="C57" s="10"/>
      <c r="D57" s="6"/>
      <c r="E57" s="2"/>
      <c r="F57" s="7">
        <f t="shared" si="47"/>
        <v>0</v>
      </c>
      <c r="G57" s="2"/>
      <c r="H57" s="6">
        <v>3711.68</v>
      </c>
      <c r="I57" s="2"/>
      <c r="J57" s="7">
        <f t="shared" si="48"/>
        <v>0.60672654902697976</v>
      </c>
      <c r="K57" s="2"/>
      <c r="L57" s="6">
        <f t="shared" si="49"/>
        <v>-3711.68</v>
      </c>
      <c r="M57" s="2"/>
      <c r="N57" s="7">
        <f t="shared" si="50"/>
        <v>-1</v>
      </c>
      <c r="O57" s="10"/>
      <c r="P57" s="6">
        <v>0</v>
      </c>
      <c r="Q57" s="2"/>
      <c r="R57" s="7">
        <f t="shared" si="51"/>
        <v>0</v>
      </c>
      <c r="S57" s="2"/>
      <c r="T57" s="6">
        <v>11789.52</v>
      </c>
      <c r="U57" s="2"/>
      <c r="V57" s="7">
        <f t="shared" si="52"/>
        <v>0.28524414772038548</v>
      </c>
      <c r="W57" s="2"/>
      <c r="X57" s="6">
        <f t="shared" si="53"/>
        <v>-11789.52</v>
      </c>
      <c r="Y57" s="2"/>
      <c r="Z57" s="7">
        <f t="shared" si="54"/>
        <v>-1</v>
      </c>
    </row>
    <row r="58" spans="1:26" s="27" customFormat="1" outlineLevel="1" collapsed="1" x14ac:dyDescent="0.25">
      <c r="A58" s="26"/>
      <c r="B58" s="12" t="str">
        <f>CONCATENATE("     ","Telephone/Data Lines                              ")</f>
        <v xml:space="preserve">     Telephone/Data Lines                              </v>
      </c>
      <c r="C58" s="12"/>
      <c r="D58" s="1">
        <f>SUM(OSRRefD22_8x_0)</f>
        <v>0</v>
      </c>
      <c r="E58" s="1"/>
      <c r="F58" s="5">
        <f t="shared" ref="F58:F59" si="55">IF(D$12=0,0,D58/D$12)</f>
        <v>0</v>
      </c>
      <c r="G58" s="1"/>
      <c r="H58" s="1">
        <f>SUM(OSRRefH22_8x_0)</f>
        <v>72</v>
      </c>
      <c r="I58" s="1"/>
      <c r="J58" s="5">
        <f t="shared" ref="J58:J59" si="56">IF(H$12=0,0,H58/H$12)</f>
        <v>1.1769417495566037E-2</v>
      </c>
      <c r="K58" s="1"/>
      <c r="L58" s="1">
        <f t="shared" ref="L58:L59" si="57">+D58-H58</f>
        <v>-72</v>
      </c>
      <c r="M58" s="1"/>
      <c r="N58" s="5">
        <f t="shared" ref="N58:N59" si="58">IF(H58=0,0,L58/H58)</f>
        <v>-1</v>
      </c>
      <c r="O58" s="12"/>
      <c r="P58" s="1">
        <f>SUM(OSRRefP22_8x_0)</f>
        <v>0</v>
      </c>
      <c r="Q58" s="1"/>
      <c r="R58" s="5">
        <f t="shared" ref="R58:R59" si="59">IF(P$12=0,0,P58/P$12)</f>
        <v>0</v>
      </c>
      <c r="S58" s="1"/>
      <c r="T58" s="1">
        <f>SUM(OSRRefT22_8x_0)</f>
        <v>685.9</v>
      </c>
      <c r="U58" s="1"/>
      <c r="V58" s="5">
        <f t="shared" ref="V58:V59" si="60">IF(T$12=0,0,T58/T$12)</f>
        <v>1.6595159168601638E-2</v>
      </c>
      <c r="W58" s="1"/>
      <c r="X58" s="1">
        <f t="shared" ref="X58:X59" si="61">+P58-T58</f>
        <v>-685.9</v>
      </c>
      <c r="Y58" s="1"/>
      <c r="Z58" s="5">
        <f t="shared" ref="Z58:Z59" si="62">IF(T58=0,0,X58/T58)</f>
        <v>-1</v>
      </c>
    </row>
    <row r="59" spans="1:26" s="23" customFormat="1" hidden="1" outlineLevel="2" x14ac:dyDescent="0.25">
      <c r="A59" s="25"/>
      <c r="B59" s="10" t="str">
        <f>CONCATENATE("          ", "6309", " - ", "TELEPHONE")</f>
        <v xml:space="preserve">          6309 - TELEPHONE</v>
      </c>
      <c r="C59" s="10"/>
      <c r="D59" s="6"/>
      <c r="E59" s="2"/>
      <c r="F59" s="7">
        <f t="shared" si="55"/>
        <v>0</v>
      </c>
      <c r="G59" s="2"/>
      <c r="H59" s="6">
        <v>72</v>
      </c>
      <c r="I59" s="2"/>
      <c r="J59" s="7">
        <f t="shared" si="56"/>
        <v>1.1769417495566037E-2</v>
      </c>
      <c r="K59" s="2"/>
      <c r="L59" s="6">
        <f t="shared" si="57"/>
        <v>-72</v>
      </c>
      <c r="M59" s="2"/>
      <c r="N59" s="7">
        <f t="shared" si="58"/>
        <v>-1</v>
      </c>
      <c r="O59" s="10"/>
      <c r="P59" s="6">
        <v>0</v>
      </c>
      <c r="Q59" s="2"/>
      <c r="R59" s="7">
        <f t="shared" si="59"/>
        <v>0</v>
      </c>
      <c r="S59" s="2"/>
      <c r="T59" s="6">
        <v>685.9</v>
      </c>
      <c r="U59" s="2"/>
      <c r="V59" s="7">
        <f t="shared" si="60"/>
        <v>1.6595159168601638E-2</v>
      </c>
      <c r="W59" s="2"/>
      <c r="X59" s="6">
        <f t="shared" si="61"/>
        <v>-685.9</v>
      </c>
      <c r="Y59" s="2"/>
      <c r="Z59" s="7">
        <f t="shared" si="62"/>
        <v>-1</v>
      </c>
    </row>
    <row r="60" spans="1:26" s="52" customFormat="1" x14ac:dyDescent="0.25">
      <c r="A60" s="37"/>
      <c r="B60" s="37"/>
      <c r="C60" s="37"/>
      <c r="D60" s="1"/>
      <c r="E60" s="1"/>
      <c r="F60" s="5"/>
      <c r="G60" s="1"/>
      <c r="H60" s="1"/>
      <c r="I60" s="1"/>
      <c r="J60" s="5"/>
      <c r="K60" s="1"/>
      <c r="L60" s="1"/>
      <c r="M60" s="1"/>
      <c r="N60" s="5"/>
      <c r="O60" s="37"/>
      <c r="P60" s="1"/>
      <c r="Q60" s="1"/>
      <c r="R60" s="5"/>
      <c r="S60" s="1"/>
      <c r="T60" s="1"/>
      <c r="U60" s="1"/>
      <c r="V60" s="5"/>
      <c r="W60" s="1"/>
      <c r="X60" s="1"/>
      <c r="Y60" s="1"/>
      <c r="Z60" s="5"/>
    </row>
    <row r="61" spans="1:26" s="24" customFormat="1" collapsed="1" x14ac:dyDescent="0.25">
      <c r="A61" s="11"/>
      <c r="B61" s="29" t="s">
        <v>292</v>
      </c>
      <c r="C61" s="11"/>
      <c r="D61" s="4">
        <f>SUM(OSRRefD25x_0)</f>
        <v>0</v>
      </c>
      <c r="E61" s="4"/>
      <c r="F61" s="13">
        <f t="shared" ref="F61:F66" si="63">IF(D$12=0,0,D61/D$12)</f>
        <v>0</v>
      </c>
      <c r="G61" s="4"/>
      <c r="H61" s="4">
        <f>SUM(OSRRefH25x_0)</f>
        <v>0</v>
      </c>
      <c r="I61" s="4"/>
      <c r="J61" s="13">
        <f t="shared" ref="J61:J66" si="64">IF(H$12=0,0,H61/H$12)</f>
        <v>0</v>
      </c>
      <c r="K61" s="4"/>
      <c r="L61" s="4">
        <f t="shared" ref="L61:L66" si="65">+D61-H61</f>
        <v>0</v>
      </c>
      <c r="M61" s="4"/>
      <c r="N61" s="13">
        <f t="shared" ref="N61:N66" si="66">IF(H61=0,0,L61/H61)</f>
        <v>0</v>
      </c>
      <c r="O61" s="11"/>
      <c r="P61" s="4">
        <f>SUM(OSRRefP25x_0)</f>
        <v>0</v>
      </c>
      <c r="Q61" s="4"/>
      <c r="R61" s="13">
        <f t="shared" ref="R61:R66" si="67">IF(P$12=0,0,P61/P$12)</f>
        <v>0</v>
      </c>
      <c r="S61" s="4"/>
      <c r="T61" s="4">
        <f>SUM(OSRRefT25x_0)</f>
        <v>513349.45</v>
      </c>
      <c r="U61" s="4"/>
      <c r="V61" s="13">
        <f t="shared" ref="V61:V66" si="68">IF(T$12=0,0,T61/T$12)</f>
        <v>12.420346744225265</v>
      </c>
      <c r="W61" s="4"/>
      <c r="X61" s="4">
        <f t="shared" ref="X61:X66" si="69">+P61-T61</f>
        <v>-513349.45</v>
      </c>
      <c r="Y61" s="4"/>
      <c r="Z61" s="13">
        <f t="shared" ref="Z61:Z66" si="70">IF(T61=0,0,X61/T61)</f>
        <v>-1</v>
      </c>
    </row>
    <row r="62" spans="1:26" s="23" customFormat="1" hidden="1" outlineLevel="1" x14ac:dyDescent="0.25">
      <c r="A62" s="44"/>
      <c r="B62" s="10" t="str">
        <f>CONCATENATE("          ", "4098", " - ", "TAXABLE SALES-GRAD RENTALS")</f>
        <v xml:space="preserve">          4098 - TAXABLE SALES-GRAD RENTALS</v>
      </c>
      <c r="C62" s="10"/>
      <c r="D62" s="2">
        <f t="shared" ref="D62:D66" si="71">0</f>
        <v>0</v>
      </c>
      <c r="E62" s="2"/>
      <c r="F62" s="19">
        <f t="shared" si="63"/>
        <v>0</v>
      </c>
      <c r="G62" s="2"/>
      <c r="H62" s="2">
        <f t="shared" ref="H62:H66" si="72">0</f>
        <v>0</v>
      </c>
      <c r="I62" s="2"/>
      <c r="J62" s="19">
        <f t="shared" si="64"/>
        <v>0</v>
      </c>
      <c r="K62" s="2"/>
      <c r="L62" s="2">
        <f t="shared" si="65"/>
        <v>0</v>
      </c>
      <c r="M62" s="2"/>
      <c r="N62" s="19">
        <f t="shared" si="66"/>
        <v>0</v>
      </c>
      <c r="O62" s="10"/>
      <c r="P62" s="2">
        <f t="shared" ref="P62:P66" si="73">0</f>
        <v>0</v>
      </c>
      <c r="Q62" s="2"/>
      <c r="R62" s="19">
        <f t="shared" si="67"/>
        <v>0</v>
      </c>
      <c r="S62" s="2"/>
      <c r="T62" s="2">
        <f>--1946.85</f>
        <v>1946.85</v>
      </c>
      <c r="U62" s="2"/>
      <c r="V62" s="19">
        <f t="shared" si="68"/>
        <v>4.7103492677346696E-2</v>
      </c>
      <c r="W62" s="2"/>
      <c r="X62" s="2">
        <f t="shared" si="69"/>
        <v>-1946.85</v>
      </c>
      <c r="Y62" s="2"/>
      <c r="Z62" s="19">
        <f t="shared" si="70"/>
        <v>-1</v>
      </c>
    </row>
    <row r="63" spans="1:26" s="23" customFormat="1" hidden="1" outlineLevel="1" x14ac:dyDescent="0.25">
      <c r="A63" s="44"/>
      <c r="B63" s="10" t="str">
        <f>CONCATENATE("          ", "4197", " - ", "NON-TAXABLE SALES-RETURNED CHE")</f>
        <v xml:space="preserve">          4197 - NON-TAXABLE SALES-RETURNED CHE</v>
      </c>
      <c r="C63" s="10"/>
      <c r="D63" s="2">
        <f t="shared" si="71"/>
        <v>0</v>
      </c>
      <c r="E63" s="2"/>
      <c r="F63" s="19">
        <f t="shared" si="63"/>
        <v>0</v>
      </c>
      <c r="G63" s="2"/>
      <c r="H63" s="2">
        <f t="shared" si="72"/>
        <v>0</v>
      </c>
      <c r="I63" s="2"/>
      <c r="J63" s="19">
        <f t="shared" si="64"/>
        <v>0</v>
      </c>
      <c r="K63" s="2"/>
      <c r="L63" s="2">
        <f t="shared" si="65"/>
        <v>0</v>
      </c>
      <c r="M63" s="2"/>
      <c r="N63" s="19">
        <f t="shared" si="66"/>
        <v>0</v>
      </c>
      <c r="O63" s="10"/>
      <c r="P63" s="2">
        <f t="shared" si="73"/>
        <v>0</v>
      </c>
      <c r="Q63" s="2"/>
      <c r="R63" s="19">
        <f t="shared" si="67"/>
        <v>0</v>
      </c>
      <c r="S63" s="2"/>
      <c r="T63" s="2">
        <f>--30</f>
        <v>30</v>
      </c>
      <c r="U63" s="2"/>
      <c r="V63" s="19">
        <f t="shared" si="68"/>
        <v>7.2584163151778562E-4</v>
      </c>
      <c r="W63" s="2"/>
      <c r="X63" s="2">
        <f t="shared" si="69"/>
        <v>-30</v>
      </c>
      <c r="Y63" s="2"/>
      <c r="Z63" s="19">
        <f t="shared" si="70"/>
        <v>-1</v>
      </c>
    </row>
    <row r="64" spans="1:26" s="23" customFormat="1" hidden="1" outlineLevel="1" x14ac:dyDescent="0.25">
      <c r="A64" s="44"/>
      <c r="B64" s="10" t="str">
        <f>CONCATENATE("          ", "4198", " - ", "NON-TAXABLE SALES-GRAD RENTALS")</f>
        <v xml:space="preserve">          4198 - NON-TAXABLE SALES-GRAD RENTALS</v>
      </c>
      <c r="C64" s="10"/>
      <c r="D64" s="2">
        <f t="shared" si="71"/>
        <v>0</v>
      </c>
      <c r="E64" s="2"/>
      <c r="F64" s="19">
        <f t="shared" si="63"/>
        <v>0</v>
      </c>
      <c r="G64" s="2"/>
      <c r="H64" s="2">
        <f t="shared" si="72"/>
        <v>0</v>
      </c>
      <c r="I64" s="2"/>
      <c r="J64" s="19">
        <f t="shared" si="64"/>
        <v>0</v>
      </c>
      <c r="K64" s="2"/>
      <c r="L64" s="2">
        <f t="shared" si="65"/>
        <v>0</v>
      </c>
      <c r="M64" s="2"/>
      <c r="N64" s="19">
        <f t="shared" si="66"/>
        <v>0</v>
      </c>
      <c r="O64" s="10"/>
      <c r="P64" s="2">
        <f t="shared" si="73"/>
        <v>0</v>
      </c>
      <c r="Q64" s="2"/>
      <c r="R64" s="19">
        <f t="shared" si="67"/>
        <v>0</v>
      </c>
      <c r="S64" s="2"/>
      <c r="T64" s="2">
        <f>--163.76</f>
        <v>163.76</v>
      </c>
      <c r="U64" s="2"/>
      <c r="V64" s="19">
        <f t="shared" si="68"/>
        <v>3.9621275192450855E-3</v>
      </c>
      <c r="W64" s="2"/>
      <c r="X64" s="2">
        <f t="shared" si="69"/>
        <v>-163.76</v>
      </c>
      <c r="Y64" s="2"/>
      <c r="Z64" s="19">
        <f t="shared" si="70"/>
        <v>-1</v>
      </c>
    </row>
    <row r="65" spans="1:26" s="23" customFormat="1" hidden="1" outlineLevel="1" x14ac:dyDescent="0.25">
      <c r="A65" s="44"/>
      <c r="B65" s="10" t="str">
        <f>CONCATENATE("          ", "9160", " - ", "MISC. INCOME")</f>
        <v xml:space="preserve">          9160 - MISC. INCOME</v>
      </c>
      <c r="C65" s="10"/>
      <c r="D65" s="2">
        <f t="shared" si="71"/>
        <v>0</v>
      </c>
      <c r="E65" s="2"/>
      <c r="F65" s="19">
        <f t="shared" si="63"/>
        <v>0</v>
      </c>
      <c r="G65" s="2"/>
      <c r="H65" s="2">
        <f t="shared" si="72"/>
        <v>0</v>
      </c>
      <c r="I65" s="2"/>
      <c r="J65" s="19">
        <f t="shared" si="64"/>
        <v>0</v>
      </c>
      <c r="K65" s="2"/>
      <c r="L65" s="2">
        <f t="shared" si="65"/>
        <v>0</v>
      </c>
      <c r="M65" s="2"/>
      <c r="N65" s="19">
        <f t="shared" si="66"/>
        <v>0</v>
      </c>
      <c r="O65" s="10"/>
      <c r="P65" s="2">
        <f t="shared" si="73"/>
        <v>0</v>
      </c>
      <c r="Q65" s="2"/>
      <c r="R65" s="19">
        <f t="shared" si="67"/>
        <v>0</v>
      </c>
      <c r="S65" s="2"/>
      <c r="T65" s="2">
        <f>--22475</f>
        <v>22475</v>
      </c>
      <c r="U65" s="2"/>
      <c r="V65" s="19">
        <f t="shared" si="68"/>
        <v>0.54377635561207438</v>
      </c>
      <c r="W65" s="2"/>
      <c r="X65" s="2">
        <f t="shared" si="69"/>
        <v>-22475</v>
      </c>
      <c r="Y65" s="2"/>
      <c r="Z65" s="19">
        <f t="shared" si="70"/>
        <v>-1</v>
      </c>
    </row>
    <row r="66" spans="1:26" s="23" customFormat="1" hidden="1" outlineLevel="1" x14ac:dyDescent="0.25">
      <c r="A66" s="44"/>
      <c r="B66" s="10" t="str">
        <f>CONCATENATE("          ", "9163", " - ", "MISC. INCOME")</f>
        <v xml:space="preserve">          9163 - MISC. INCOME</v>
      </c>
      <c r="C66" s="10"/>
      <c r="D66" s="2">
        <f t="shared" si="71"/>
        <v>0</v>
      </c>
      <c r="E66" s="2"/>
      <c r="F66" s="19">
        <f t="shared" si="63"/>
        <v>0</v>
      </c>
      <c r="G66" s="2"/>
      <c r="H66" s="2">
        <f t="shared" si="72"/>
        <v>0</v>
      </c>
      <c r="I66" s="2"/>
      <c r="J66" s="19">
        <f t="shared" si="64"/>
        <v>0</v>
      </c>
      <c r="K66" s="2"/>
      <c r="L66" s="2">
        <f t="shared" si="65"/>
        <v>0</v>
      </c>
      <c r="M66" s="2"/>
      <c r="N66" s="19">
        <f t="shared" si="66"/>
        <v>0</v>
      </c>
      <c r="O66" s="10"/>
      <c r="P66" s="2">
        <f t="shared" si="73"/>
        <v>0</v>
      </c>
      <c r="Q66" s="2"/>
      <c r="R66" s="19">
        <f t="shared" si="67"/>
        <v>0</v>
      </c>
      <c r="S66" s="2"/>
      <c r="T66" s="2">
        <f>--488733.84</f>
        <v>488733.84</v>
      </c>
      <c r="U66" s="2"/>
      <c r="V66" s="19">
        <f t="shared" si="68"/>
        <v>11.824778926785081</v>
      </c>
      <c r="W66" s="2"/>
      <c r="X66" s="2">
        <f t="shared" si="69"/>
        <v>-488733.84</v>
      </c>
      <c r="Y66" s="2"/>
      <c r="Z66" s="19">
        <f t="shared" si="70"/>
        <v>-1</v>
      </c>
    </row>
    <row r="67" spans="1:26" x14ac:dyDescent="0.25">
      <c r="A67" s="9"/>
      <c r="B67" s="11"/>
      <c r="C67" s="11"/>
      <c r="D67" s="3"/>
      <c r="E67" s="3"/>
      <c r="F67" s="8"/>
      <c r="G67" s="3"/>
      <c r="H67" s="3"/>
      <c r="I67" s="3"/>
      <c r="J67" s="8"/>
      <c r="K67" s="3"/>
      <c r="L67" s="3"/>
      <c r="M67" s="3"/>
      <c r="N67" s="8"/>
      <c r="O67" s="11"/>
      <c r="P67" s="3"/>
      <c r="Q67" s="3"/>
      <c r="R67" s="8"/>
      <c r="S67" s="3"/>
      <c r="T67" s="3"/>
      <c r="U67" s="3"/>
      <c r="V67" s="8"/>
      <c r="W67" s="3"/>
      <c r="X67" s="3"/>
      <c r="Y67" s="3"/>
      <c r="Z67" s="8"/>
    </row>
    <row r="68" spans="1:26" s="24" customFormat="1" x14ac:dyDescent="0.25">
      <c r="A68" s="11"/>
      <c r="B68" s="28" t="s">
        <v>276</v>
      </c>
      <c r="C68" s="28"/>
      <c r="D68" s="21">
        <f>+D25-D27+D61</f>
        <v>0</v>
      </c>
      <c r="E68" s="14"/>
      <c r="F68" s="22">
        <f>IF(D$12=0,0,D68/D$12)</f>
        <v>0</v>
      </c>
      <c r="G68" s="14"/>
      <c r="H68" s="21">
        <f>+H25-H27+H61</f>
        <v>-14573.280000000004</v>
      </c>
      <c r="I68" s="14"/>
      <c r="J68" s="22">
        <f>IF(H$12=0,0,H68/H$12)</f>
        <v>-2.3822085638858703</v>
      </c>
      <c r="K68" s="15"/>
      <c r="L68" s="21">
        <f>+D68-H68</f>
        <v>14573.280000000004</v>
      </c>
      <c r="M68" s="15"/>
      <c r="N68" s="22">
        <f>IF(H68=0,0,L68/H68)</f>
        <v>-1</v>
      </c>
      <c r="O68" s="29"/>
      <c r="P68" s="21">
        <f>+P25-P27+P61</f>
        <v>0</v>
      </c>
      <c r="Q68" s="14"/>
      <c r="R68" s="22">
        <f>IF(P$12=0,0,P68/P$12)</f>
        <v>0</v>
      </c>
      <c r="S68" s="14"/>
      <c r="T68" s="21">
        <f>+T25-T27+T61</f>
        <v>513034.33</v>
      </c>
      <c r="U68" s="14"/>
      <c r="V68" s="22">
        <f>IF(T$12=0,0,T68/T$12)</f>
        <v>12.412722503727801</v>
      </c>
      <c r="W68" s="15"/>
      <c r="X68" s="21">
        <f>+P68-T68</f>
        <v>-513034.33</v>
      </c>
      <c r="Y68" s="15"/>
      <c r="Z68" s="22">
        <f>IF(T68=0,0,X68/T68)</f>
        <v>-1</v>
      </c>
    </row>
    <row r="69" spans="1:26" x14ac:dyDescent="0.25">
      <c r="A69" s="9"/>
      <c r="B69" s="11"/>
      <c r="C69" s="9"/>
      <c r="D69" s="3"/>
      <c r="E69" s="3"/>
      <c r="F69" s="8"/>
      <c r="G69" s="3"/>
      <c r="H69" s="3"/>
      <c r="I69" s="3"/>
      <c r="J69" s="8"/>
      <c r="K69" s="3"/>
      <c r="L69" s="3"/>
      <c r="M69" s="3"/>
      <c r="N69" s="8"/>
      <c r="P69" s="3"/>
      <c r="Q69" s="3"/>
      <c r="R69" s="8"/>
      <c r="S69" s="3"/>
      <c r="T69" s="3"/>
      <c r="U69" s="3"/>
      <c r="V69" s="8"/>
      <c r="W69" s="3"/>
      <c r="X69" s="3"/>
      <c r="Y69" s="3"/>
      <c r="Z69" s="8"/>
    </row>
    <row r="70" spans="1:26" s="24" customFormat="1" x14ac:dyDescent="0.25">
      <c r="A70" s="51"/>
      <c r="B70" s="11" t="s">
        <v>127</v>
      </c>
      <c r="C70" s="11"/>
      <c r="D70" s="4"/>
      <c r="E70" s="4"/>
      <c r="F70" s="13">
        <f>IF(D$12=0,0,D70/D$12)</f>
        <v>0</v>
      </c>
      <c r="G70" s="4"/>
      <c r="H70" s="4">
        <v>2088.46</v>
      </c>
      <c r="I70" s="4"/>
      <c r="J70" s="13">
        <f>IF(H$12=0,0,H70/H$12)</f>
        <v>0.34138830087208116</v>
      </c>
      <c r="K70" s="4"/>
      <c r="L70" s="4">
        <f>+D70-H70</f>
        <v>-2088.46</v>
      </c>
      <c r="M70" s="4"/>
      <c r="N70" s="13">
        <f>IF(H70=0,0,L70/H70)</f>
        <v>-1</v>
      </c>
      <c r="O70" s="11"/>
      <c r="P70" s="4"/>
      <c r="Q70" s="4"/>
      <c r="R70" s="13">
        <f>IF(P$12=0,0,P70/P$12)</f>
        <v>0</v>
      </c>
      <c r="S70" s="4"/>
      <c r="T70" s="4">
        <v>6258.5</v>
      </c>
      <c r="U70" s="4"/>
      <c r="V70" s="13">
        <f>IF(T$12=0,0,T70/T$12)</f>
        <v>0.15142266169513538</v>
      </c>
      <c r="W70" s="4"/>
      <c r="X70" s="4">
        <f>+P70-T70</f>
        <v>-6258.5</v>
      </c>
      <c r="Y70" s="4"/>
      <c r="Z70" s="13">
        <f>IF(T70=0,0,X70/T70)</f>
        <v>-1</v>
      </c>
    </row>
    <row r="71" spans="1:26" x14ac:dyDescent="0.25">
      <c r="A71" s="9"/>
      <c r="B71" s="11"/>
      <c r="C71" s="11"/>
      <c r="D71" s="3"/>
      <c r="E71" s="3"/>
      <c r="F71" s="8"/>
      <c r="G71" s="3"/>
      <c r="H71" s="3"/>
      <c r="I71" s="3"/>
      <c r="J71" s="8"/>
      <c r="K71" s="3"/>
      <c r="L71" s="3"/>
      <c r="M71" s="3"/>
      <c r="N71" s="8"/>
      <c r="O71" s="11"/>
      <c r="P71" s="3"/>
      <c r="Q71" s="3"/>
      <c r="R71" s="8"/>
      <c r="S71" s="3"/>
      <c r="T71" s="3"/>
      <c r="U71" s="3"/>
      <c r="V71" s="8"/>
      <c r="W71" s="3"/>
      <c r="X71" s="3"/>
      <c r="Y71" s="3"/>
      <c r="Z71" s="8"/>
    </row>
    <row r="72" spans="1:26" s="24" customFormat="1" ht="15.75" thickBot="1" x14ac:dyDescent="0.3">
      <c r="A72" s="11"/>
      <c r="B72" s="28" t="s">
        <v>125</v>
      </c>
      <c r="C72" s="28"/>
      <c r="D72" s="34">
        <f>+D68-D70</f>
        <v>0</v>
      </c>
      <c r="E72" s="14"/>
      <c r="F72" s="31">
        <f>IF(D$12=0,0,D72/D$12)</f>
        <v>0</v>
      </c>
      <c r="G72" s="14"/>
      <c r="H72" s="34">
        <f>+H68-H70</f>
        <v>-16661.740000000005</v>
      </c>
      <c r="I72" s="14"/>
      <c r="J72" s="31">
        <f>IF(H$12=0,0,H72/H$12)</f>
        <v>-2.7235968647579516</v>
      </c>
      <c r="K72" s="15"/>
      <c r="L72" s="34">
        <f>D72-H72</f>
        <v>16661.740000000005</v>
      </c>
      <c r="M72" s="15"/>
      <c r="N72" s="31">
        <f>IF(H72=0,0,L72/H72)</f>
        <v>-1</v>
      </c>
      <c r="O72" s="29"/>
      <c r="P72" s="34">
        <f>+P68-P70</f>
        <v>0</v>
      </c>
      <c r="Q72" s="14"/>
      <c r="R72" s="31">
        <f>IF(P$12=0,0,P72/P$12)</f>
        <v>0</v>
      </c>
      <c r="S72" s="14"/>
      <c r="T72" s="34">
        <f>+T68-T70</f>
        <v>506775.83</v>
      </c>
      <c r="U72" s="14"/>
      <c r="V72" s="31">
        <f>IF(T$12=0,0,T72/T$12)</f>
        <v>12.261299842032667</v>
      </c>
      <c r="W72" s="15"/>
      <c r="X72" s="34">
        <f>P72-T72</f>
        <v>-506775.83</v>
      </c>
      <c r="Y72" s="15"/>
      <c r="Z72" s="31">
        <f>IF(T72=0,0,X72/T72)</f>
        <v>-1</v>
      </c>
    </row>
    <row r="73" spans="1:26" ht="15.75" thickTop="1" x14ac:dyDescent="0.25">
      <c r="A73" s="9"/>
      <c r="B73" s="9"/>
      <c r="C73" s="9"/>
      <c r="D73" s="3"/>
      <c r="E73" s="3"/>
      <c r="F73" s="8"/>
      <c r="G73" s="3"/>
      <c r="H73" s="3"/>
      <c r="I73" s="3"/>
      <c r="J73" s="8"/>
      <c r="K73" s="3"/>
      <c r="L73" s="3"/>
      <c r="M73" s="3"/>
      <c r="N73" s="8"/>
      <c r="P73" s="3"/>
      <c r="Q73" s="3"/>
      <c r="R73" s="8"/>
      <c r="S73" s="3"/>
      <c r="T73" s="3"/>
      <c r="U73" s="3"/>
      <c r="V73" s="8"/>
      <c r="W73" s="3"/>
      <c r="X73" s="3"/>
      <c r="Y73" s="3"/>
      <c r="Z73" s="8"/>
    </row>
    <row r="74" spans="1:26" x14ac:dyDescent="0.25">
      <c r="A74" s="9"/>
      <c r="B74" s="9"/>
      <c r="C74" s="9"/>
      <c r="D74" s="3"/>
      <c r="E74" s="3"/>
      <c r="F74" s="8"/>
      <c r="G74" s="3"/>
      <c r="H74" s="3"/>
      <c r="I74" s="3"/>
      <c r="J74" s="8"/>
      <c r="K74" s="3"/>
      <c r="L74" s="3"/>
      <c r="M74" s="3"/>
      <c r="N74" s="8"/>
      <c r="P74" s="3"/>
      <c r="Q74" s="3"/>
      <c r="R74" s="8"/>
      <c r="S74" s="3"/>
      <c r="T74" s="3"/>
      <c r="U74" s="3"/>
      <c r="V74" s="8"/>
      <c r="W74" s="3"/>
      <c r="X74" s="3"/>
      <c r="Y74" s="3"/>
      <c r="Z74" s="8"/>
    </row>
    <row r="75" spans="1:26" s="24" customFormat="1" ht="15.75" thickBot="1" x14ac:dyDescent="0.3">
      <c r="A75" s="11"/>
      <c r="B75" s="28" t="s">
        <v>293</v>
      </c>
      <c r="C75" s="28"/>
      <c r="D75" s="33">
        <f>SUM(D72:D74)</f>
        <v>0</v>
      </c>
      <c r="E75" s="14"/>
      <c r="F75" s="35">
        <f>IF(D$12=0,0,D75/D$12)</f>
        <v>0</v>
      </c>
      <c r="G75" s="14"/>
      <c r="H75" s="33">
        <f>SUM(H72:H74)</f>
        <v>-16661.740000000005</v>
      </c>
      <c r="I75" s="14"/>
      <c r="J75" s="35">
        <f>IF(H$12=0,0,H75/H$12)</f>
        <v>-2.7235968647579516</v>
      </c>
      <c r="K75" s="15"/>
      <c r="L75" s="33">
        <f>+D75-H75</f>
        <v>16661.740000000005</v>
      </c>
      <c r="M75" s="15"/>
      <c r="N75" s="35">
        <f>IF(H75=0,0,L75/H75)</f>
        <v>-1</v>
      </c>
      <c r="O75" s="29"/>
      <c r="P75" s="33">
        <f>SUM(P72:P74)</f>
        <v>0</v>
      </c>
      <c r="Q75" s="14"/>
      <c r="R75" s="35">
        <f>IF(P$12=0,0,P75/P$12)</f>
        <v>0</v>
      </c>
      <c r="S75" s="14"/>
      <c r="T75" s="33">
        <f>SUM(T72:T74)</f>
        <v>506775.83</v>
      </c>
      <c r="U75" s="14"/>
      <c r="V75" s="35">
        <f>IF(T$12=0,0,T75/T$12)</f>
        <v>12.261299842032667</v>
      </c>
      <c r="W75" s="15"/>
      <c r="X75" s="33">
        <f>+P75-T75</f>
        <v>-506775.83</v>
      </c>
      <c r="Y75" s="15"/>
      <c r="Z75" s="35">
        <f>IF(T75=0,0,X75/T75)</f>
        <v>-1</v>
      </c>
    </row>
    <row r="76" spans="1:26" ht="15.75" thickTop="1" x14ac:dyDescent="0.25">
      <c r="A76" s="9"/>
      <c r="C76" s="9"/>
      <c r="D76" s="18"/>
      <c r="E76" s="18"/>
      <c r="G76" s="18"/>
      <c r="H76" s="18"/>
      <c r="I76" s="18"/>
      <c r="J76" s="43"/>
      <c r="K76" s="18"/>
      <c r="L76" s="18"/>
      <c r="M76" s="18"/>
      <c r="P76" s="18"/>
      <c r="Q76" s="18"/>
      <c r="R76" s="43"/>
      <c r="S76" s="18"/>
      <c r="T76" s="18"/>
      <c r="U76" s="18"/>
      <c r="V76" s="43"/>
      <c r="W76" s="18"/>
      <c r="X76" s="18"/>
    </row>
    <row r="77" spans="1:26" x14ac:dyDescent="0.25">
      <c r="A77" s="9"/>
      <c r="B77" s="56">
        <v>44454.698585613427</v>
      </c>
      <c r="D77" s="18"/>
      <c r="E77" s="18"/>
      <c r="G77" s="18"/>
      <c r="H77" s="18"/>
      <c r="I77" s="18"/>
      <c r="J77" s="43"/>
      <c r="K77" s="18"/>
      <c r="L77" s="18"/>
      <c r="M77" s="18"/>
      <c r="P77" s="18"/>
      <c r="Q77" s="18"/>
      <c r="R77" s="43"/>
      <c r="S77" s="18"/>
      <c r="T77" s="18"/>
      <c r="U77" s="18"/>
      <c r="V77" s="43"/>
      <c r="W77" s="18"/>
      <c r="X77" s="18"/>
    </row>
    <row r="78" spans="1:26" x14ac:dyDescent="0.25">
      <c r="A78" s="9"/>
      <c r="B78" s="55" t="s">
        <v>56</v>
      </c>
      <c r="D78" s="18"/>
      <c r="E78" s="18"/>
      <c r="G78" s="18"/>
      <c r="H78" s="18"/>
      <c r="I78" s="18"/>
      <c r="J78" s="43"/>
      <c r="K78" s="18"/>
      <c r="L78" s="18"/>
      <c r="M78" s="18"/>
      <c r="P78" s="18"/>
      <c r="Q78" s="18"/>
      <c r="R78" s="43"/>
      <c r="S78" s="18"/>
      <c r="T78" s="18"/>
      <c r="U78" s="18"/>
      <c r="V78" s="43"/>
      <c r="W78" s="18"/>
      <c r="X78" s="18"/>
    </row>
    <row r="79" spans="1:26" x14ac:dyDescent="0.25">
      <c r="A79" s="9"/>
      <c r="B79" s="60"/>
      <c r="D79" s="18"/>
      <c r="E79" s="18"/>
      <c r="G79" s="18"/>
      <c r="H79" s="18"/>
      <c r="I79" s="18"/>
      <c r="J79" s="43"/>
      <c r="K79" s="18"/>
      <c r="L79" s="18"/>
      <c r="M79" s="18"/>
      <c r="P79" s="18"/>
      <c r="Q79" s="18"/>
      <c r="R79" s="43"/>
      <c r="S79" s="18"/>
      <c r="T79" s="18"/>
      <c r="U79" s="18"/>
      <c r="V79" s="43"/>
      <c r="W79" s="18"/>
      <c r="X79" s="18"/>
    </row>
    <row r="80" spans="1:26" x14ac:dyDescent="0.25">
      <c r="D80" s="18"/>
      <c r="E80" s="18"/>
      <c r="G80" s="18"/>
      <c r="H80" s="18"/>
      <c r="I80" s="18"/>
      <c r="J80" s="43"/>
      <c r="K80" s="18"/>
      <c r="L80" s="18"/>
      <c r="M80" s="18"/>
      <c r="P80" s="18"/>
      <c r="Q80" s="18"/>
      <c r="R80" s="43"/>
      <c r="S80" s="18"/>
      <c r="T80" s="18"/>
      <c r="U80" s="18"/>
      <c r="V80" s="43"/>
      <c r="W80" s="18"/>
      <c r="X80" s="18"/>
    </row>
  </sheetData>
  <pageMargins left="0.25" right="0.25" top="0.75" bottom="0.75" header="0.3" footer="0.3"/>
  <pageSetup scale="55" fitToWidth="2" orientation="landscape"/>
  <drawing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tabColor rgb="FFFFC000"/>
    <outlinePr summaryBelow="0" summaryRight="0"/>
  </sheetPr>
  <dimension ref="A2:Z133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62" t="s">
        <v>23</v>
      </c>
    </row>
    <row r="3" spans="1:26" x14ac:dyDescent="0.25">
      <c r="D3" s="62" t="s">
        <v>236</v>
      </c>
      <c r="E3" s="17"/>
      <c r="F3" s="46"/>
      <c r="G3" s="17"/>
      <c r="H3" s="17"/>
      <c r="I3" s="17"/>
      <c r="J3" s="38"/>
      <c r="K3" s="17"/>
      <c r="L3" s="17"/>
      <c r="M3" s="17"/>
      <c r="N3" s="46"/>
      <c r="O3" s="53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2" t="str">
        <f>CONCATENATE("Period ",RIGHT(202112,2),", ",2021)</f>
        <v>Period 12, 2021</v>
      </c>
      <c r="E4" s="17"/>
      <c r="F4" s="46"/>
      <c r="G4" s="17"/>
      <c r="H4" s="17"/>
      <c r="I4" s="17"/>
      <c r="J4" s="38"/>
      <c r="K4" s="17"/>
      <c r="L4" s="17"/>
      <c r="M4" s="17"/>
      <c r="N4" s="46"/>
      <c r="O4" s="53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4"/>
      <c r="D5" s="63">
        <v>44377</v>
      </c>
      <c r="E5" s="17"/>
      <c r="F5" s="46"/>
      <c r="G5" s="17"/>
      <c r="H5" s="17"/>
      <c r="I5" s="17"/>
      <c r="J5" s="38"/>
      <c r="K5" s="17"/>
      <c r="L5" s="17"/>
      <c r="M5" s="17"/>
      <c r="N5" s="46"/>
      <c r="O5" s="53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4"/>
      <c r="B6" s="48"/>
      <c r="C6" s="48"/>
      <c r="D6" s="24" t="s">
        <v>218</v>
      </c>
      <c r="E6" s="17"/>
      <c r="F6" s="46"/>
      <c r="G6" s="17"/>
      <c r="H6" s="17"/>
      <c r="I6" s="17"/>
      <c r="J6" s="38"/>
      <c r="K6" s="17"/>
      <c r="L6" s="17"/>
      <c r="M6" s="17"/>
      <c r="N6" s="46"/>
      <c r="O6" s="54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9"/>
    </row>
    <row r="8" spans="1:26" x14ac:dyDescent="0.25">
      <c r="B8" s="59"/>
    </row>
    <row r="9" spans="1:26" x14ac:dyDescent="0.25">
      <c r="B9" s="9"/>
      <c r="C9" s="9"/>
      <c r="D9" s="16" t="s">
        <v>291</v>
      </c>
      <c r="E9" s="16"/>
      <c r="F9" s="39"/>
      <c r="G9" s="16"/>
      <c r="H9" s="16"/>
      <c r="I9" s="16"/>
      <c r="J9" s="49"/>
      <c r="K9" s="16"/>
      <c r="L9" s="16"/>
      <c r="M9" s="16"/>
      <c r="N9" s="39"/>
      <c r="P9" s="16" t="s">
        <v>39</v>
      </c>
      <c r="Q9" s="16"/>
      <c r="R9" s="39"/>
      <c r="S9" s="16"/>
      <c r="T9" s="16"/>
      <c r="U9" s="16"/>
      <c r="V9" s="49"/>
      <c r="W9" s="16"/>
      <c r="X9" s="16"/>
      <c r="Y9" s="16"/>
      <c r="Z9" s="39"/>
    </row>
    <row r="10" spans="1:26" x14ac:dyDescent="0.25">
      <c r="A10" s="11"/>
      <c r="B10" s="58"/>
      <c r="C10" s="11"/>
      <c r="D10" s="42" t="s">
        <v>57</v>
      </c>
      <c r="E10" s="36"/>
      <c r="F10" s="30" t="s">
        <v>40</v>
      </c>
      <c r="G10" s="36"/>
      <c r="H10" s="50" t="s">
        <v>237</v>
      </c>
      <c r="I10" s="36"/>
      <c r="J10" s="30" t="s">
        <v>40</v>
      </c>
      <c r="K10" s="11"/>
      <c r="L10" s="42" t="s">
        <v>126</v>
      </c>
      <c r="M10" s="11"/>
      <c r="N10" s="30" t="s">
        <v>257</v>
      </c>
      <c r="O10" s="11"/>
      <c r="P10" s="61" t="s">
        <v>57</v>
      </c>
      <c r="Q10" s="36"/>
      <c r="R10" s="30" t="s">
        <v>40</v>
      </c>
      <c r="S10" s="36"/>
      <c r="T10" s="50" t="s">
        <v>237</v>
      </c>
      <c r="U10" s="36"/>
      <c r="V10" s="30" t="s">
        <v>40</v>
      </c>
      <c r="W10" s="11"/>
      <c r="X10" s="42" t="s">
        <v>126</v>
      </c>
      <c r="Y10" s="11"/>
      <c r="Z10" s="30" t="s">
        <v>257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4" customFormat="1" collapsed="1" x14ac:dyDescent="0.25">
      <c r="A12" s="11"/>
      <c r="B12" s="29" t="s">
        <v>139</v>
      </c>
      <c r="C12" s="11"/>
      <c r="D12" s="4">
        <f>SUM(OSRRefD13x_0)</f>
        <v>64681.91</v>
      </c>
      <c r="E12" s="4"/>
      <c r="F12" s="13"/>
      <c r="G12" s="4"/>
      <c r="H12" s="4">
        <f>SUM(OSRRefH13x_0)</f>
        <v>447610.93999999994</v>
      </c>
      <c r="I12" s="4"/>
      <c r="J12" s="13"/>
      <c r="K12" s="4"/>
      <c r="L12" s="4">
        <f t="shared" ref="L12:L37" si="0">+D12-H12</f>
        <v>-382929.02999999991</v>
      </c>
      <c r="M12" s="4"/>
      <c r="N12" s="13">
        <f t="shared" ref="N12:N37" si="1">IF(H12=0,0,L12/H12)</f>
        <v>-0.85549524325745918</v>
      </c>
      <c r="O12" s="11"/>
      <c r="P12" s="4">
        <f>SUM(OSRRefP13x_0)</f>
        <v>2637246.41</v>
      </c>
      <c r="Q12" s="4"/>
      <c r="R12" s="13"/>
      <c r="S12" s="4"/>
      <c r="T12" s="4">
        <f>SUM(OSRRefT13x_0)</f>
        <v>2885090.36</v>
      </c>
      <c r="U12" s="4"/>
      <c r="V12" s="13"/>
      <c r="W12" s="4"/>
      <c r="X12" s="4">
        <f t="shared" ref="X12:X37" si="2">+P12-T12</f>
        <v>-247843.94999999972</v>
      </c>
      <c r="Y12" s="4"/>
      <c r="Z12" s="13">
        <f t="shared" ref="Z12:Z37" si="3">IF(T12=0,0,X12/T12)</f>
        <v>-8.5905091028067398E-2</v>
      </c>
    </row>
    <row r="13" spans="1:26" s="23" customFormat="1" hidden="1" outlineLevel="1" x14ac:dyDescent="0.25">
      <c r="A13" s="44"/>
      <c r="B13" s="10" t="str">
        <f>CONCATENATE("          ", "4000", " - ", "TAXABLE SALES")</f>
        <v xml:space="preserve">          4000 - TAXABLE SALES</v>
      </c>
      <c r="C13" s="10"/>
      <c r="D13" s="2">
        <f>-113.77</f>
        <v>-113.77</v>
      </c>
      <c r="E13" s="2"/>
      <c r="F13" s="19"/>
      <c r="G13" s="2"/>
      <c r="H13" s="2">
        <f>0</f>
        <v>0</v>
      </c>
      <c r="I13" s="2"/>
      <c r="J13" s="19"/>
      <c r="K13" s="2"/>
      <c r="L13" s="2">
        <f t="shared" si="0"/>
        <v>-113.77</v>
      </c>
      <c r="M13" s="2"/>
      <c r="N13" s="19">
        <f t="shared" si="1"/>
        <v>0</v>
      </c>
      <c r="O13" s="10"/>
      <c r="P13" s="2">
        <f>-3077.68</f>
        <v>-3077.68</v>
      </c>
      <c r="Q13" s="2"/>
      <c r="R13" s="19"/>
      <c r="S13" s="2"/>
      <c r="T13" s="2">
        <f>0</f>
        <v>0</v>
      </c>
      <c r="U13" s="2"/>
      <c r="V13" s="19"/>
      <c r="W13" s="2"/>
      <c r="X13" s="2">
        <f t="shared" si="2"/>
        <v>-3077.68</v>
      </c>
      <c r="Y13" s="2"/>
      <c r="Z13" s="19">
        <f t="shared" si="3"/>
        <v>0</v>
      </c>
    </row>
    <row r="14" spans="1:26" s="23" customFormat="1" hidden="1" outlineLevel="1" x14ac:dyDescent="0.25">
      <c r="A14" s="44"/>
      <c r="B14" s="10" t="str">
        <f>CONCATENATE("          ", "4081", " - ", "TAXABLE SALES-ELECTRONICS")</f>
        <v xml:space="preserve">          4081 - TAXABLE SALES-ELECTRONICS</v>
      </c>
      <c r="C14" s="10"/>
      <c r="D14" s="2">
        <f>--1743.92</f>
        <v>1743.92</v>
      </c>
      <c r="E14" s="2"/>
      <c r="F14" s="19"/>
      <c r="G14" s="2"/>
      <c r="H14" s="2">
        <f>--1708.99</f>
        <v>1708.99</v>
      </c>
      <c r="I14" s="2"/>
      <c r="J14" s="19"/>
      <c r="K14" s="2"/>
      <c r="L14" s="2">
        <f t="shared" si="0"/>
        <v>34.930000000000064</v>
      </c>
      <c r="M14" s="2"/>
      <c r="N14" s="19">
        <f t="shared" si="1"/>
        <v>2.0438972726581236E-2</v>
      </c>
      <c r="O14" s="10"/>
      <c r="P14" s="2">
        <f>--65697.9</f>
        <v>65697.899999999994</v>
      </c>
      <c r="Q14" s="2"/>
      <c r="R14" s="19"/>
      <c r="S14" s="2"/>
      <c r="T14" s="2">
        <f>--314869.02</f>
        <v>314869.02</v>
      </c>
      <c r="U14" s="2"/>
      <c r="V14" s="19"/>
      <c r="W14" s="2"/>
      <c r="X14" s="2">
        <f t="shared" si="2"/>
        <v>-249171.12000000002</v>
      </c>
      <c r="Y14" s="2"/>
      <c r="Z14" s="19">
        <f t="shared" si="3"/>
        <v>-0.79134847880556813</v>
      </c>
    </row>
    <row r="15" spans="1:26" s="23" customFormat="1" hidden="1" outlineLevel="1" x14ac:dyDescent="0.25">
      <c r="A15" s="44"/>
      <c r="B15" s="10" t="str">
        <f>CONCATENATE("          ", "4082", " - ", "TAXABLE SALES-COMPUTER HARDWAR")</f>
        <v xml:space="preserve">          4082 - TAXABLE SALES-COMPUTER HARDWAR</v>
      </c>
      <c r="C15" s="10"/>
      <c r="D15" s="2">
        <f>--78232.49</f>
        <v>78232.490000000005</v>
      </c>
      <c r="E15" s="2"/>
      <c r="F15" s="19"/>
      <c r="G15" s="2"/>
      <c r="H15" s="2">
        <f>--391247.66</f>
        <v>391247.66</v>
      </c>
      <c r="I15" s="2"/>
      <c r="J15" s="19"/>
      <c r="K15" s="2"/>
      <c r="L15" s="2">
        <f t="shared" si="0"/>
        <v>-313015.17</v>
      </c>
      <c r="M15" s="2"/>
      <c r="N15" s="19">
        <f t="shared" si="1"/>
        <v>-0.80004355808798955</v>
      </c>
      <c r="O15" s="10"/>
      <c r="P15" s="2">
        <f>--2207891.11</f>
        <v>2207891.11</v>
      </c>
      <c r="Q15" s="2"/>
      <c r="R15" s="19"/>
      <c r="S15" s="2"/>
      <c r="T15" s="2">
        <f>--2373486.44</f>
        <v>2373486.44</v>
      </c>
      <c r="U15" s="2"/>
      <c r="V15" s="19"/>
      <c r="W15" s="2"/>
      <c r="X15" s="2">
        <f t="shared" si="2"/>
        <v>-165595.33000000007</v>
      </c>
      <c r="Y15" s="2"/>
      <c r="Z15" s="19">
        <f t="shared" si="3"/>
        <v>-6.9768812329932706E-2</v>
      </c>
    </row>
    <row r="16" spans="1:26" s="23" customFormat="1" hidden="1" outlineLevel="1" x14ac:dyDescent="0.25">
      <c r="A16" s="44"/>
      <c r="B16" s="10" t="str">
        <f>CONCATENATE("          ", "4083", " - ", "TAXABLE SALES-COMPUTER EQUIPME")</f>
        <v xml:space="preserve">          4083 - TAXABLE SALES-COMPUTER EQUIPME</v>
      </c>
      <c r="C16" s="10"/>
      <c r="D16" s="2">
        <f>--3971.25</f>
        <v>3971.25</v>
      </c>
      <c r="E16" s="2"/>
      <c r="F16" s="19"/>
      <c r="G16" s="2"/>
      <c r="H16" s="2">
        <f>--32731.49</f>
        <v>32731.49</v>
      </c>
      <c r="I16" s="2"/>
      <c r="J16" s="19"/>
      <c r="K16" s="2"/>
      <c r="L16" s="2">
        <f t="shared" si="0"/>
        <v>-28760.240000000002</v>
      </c>
      <c r="M16" s="2"/>
      <c r="N16" s="19">
        <f t="shared" si="1"/>
        <v>-0.87867188447577549</v>
      </c>
      <c r="O16" s="10"/>
      <c r="P16" s="2">
        <f>--141108.24</f>
        <v>141108.24</v>
      </c>
      <c r="Q16" s="2"/>
      <c r="R16" s="19"/>
      <c r="S16" s="2"/>
      <c r="T16" s="2">
        <f>--138235.56</f>
        <v>138235.56</v>
      </c>
      <c r="U16" s="2"/>
      <c r="V16" s="19"/>
      <c r="W16" s="2"/>
      <c r="X16" s="2">
        <f t="shared" si="2"/>
        <v>2872.679999999993</v>
      </c>
      <c r="Y16" s="2"/>
      <c r="Z16" s="19">
        <f t="shared" si="3"/>
        <v>2.0781049391343249E-2</v>
      </c>
    </row>
    <row r="17" spans="1:26" s="23" customFormat="1" hidden="1" outlineLevel="1" x14ac:dyDescent="0.25">
      <c r="A17" s="44"/>
      <c r="B17" s="10" t="str">
        <f>CONCATENATE("          ", "4084", " - ", "TAXABLE SALES-SOFTWARE LICENSE")</f>
        <v xml:space="preserve">          4084 - TAXABLE SALES-SOFTWARE LICENSE</v>
      </c>
      <c r="C17" s="10"/>
      <c r="D17" s="2">
        <f t="shared" ref="D17:D18" si="4">0</f>
        <v>0</v>
      </c>
      <c r="E17" s="2"/>
      <c r="F17" s="19"/>
      <c r="G17" s="2"/>
      <c r="H17" s="2">
        <f t="shared" ref="H17:H18" si="5">0</f>
        <v>0</v>
      </c>
      <c r="I17" s="2"/>
      <c r="J17" s="19"/>
      <c r="K17" s="2"/>
      <c r="L17" s="2">
        <f t="shared" si="0"/>
        <v>0</v>
      </c>
      <c r="M17" s="2"/>
      <c r="N17" s="19">
        <f t="shared" si="1"/>
        <v>0</v>
      </c>
      <c r="O17" s="10"/>
      <c r="P17" s="2">
        <f>0</f>
        <v>0</v>
      </c>
      <c r="Q17" s="2"/>
      <c r="R17" s="19"/>
      <c r="S17" s="2"/>
      <c r="T17" s="2">
        <f>--129</f>
        <v>129</v>
      </c>
      <c r="U17" s="2"/>
      <c r="V17" s="19"/>
      <c r="W17" s="2"/>
      <c r="X17" s="2">
        <f t="shared" si="2"/>
        <v>-129</v>
      </c>
      <c r="Y17" s="2"/>
      <c r="Z17" s="19">
        <f t="shared" si="3"/>
        <v>-1</v>
      </c>
    </row>
    <row r="18" spans="1:26" s="23" customFormat="1" hidden="1" outlineLevel="1" x14ac:dyDescent="0.25">
      <c r="A18" s="44"/>
      <c r="B18" s="10" t="str">
        <f>CONCATENATE("          ", "4085", " - ", "TAXABLE SALES-SOFTWARE")</f>
        <v xml:space="preserve">          4085 - TAXABLE SALES-SOFTWARE</v>
      </c>
      <c r="C18" s="10"/>
      <c r="D18" s="2">
        <f t="shared" si="4"/>
        <v>0</v>
      </c>
      <c r="E18" s="2"/>
      <c r="F18" s="19"/>
      <c r="G18" s="2"/>
      <c r="H18" s="2">
        <f t="shared" si="5"/>
        <v>0</v>
      </c>
      <c r="I18" s="2"/>
      <c r="J18" s="19"/>
      <c r="K18" s="2"/>
      <c r="L18" s="2">
        <f t="shared" si="0"/>
        <v>0</v>
      </c>
      <c r="M18" s="2"/>
      <c r="N18" s="19">
        <f t="shared" si="1"/>
        <v>0</v>
      </c>
      <c r="O18" s="10"/>
      <c r="P18" s="2">
        <f>--4870.79</f>
        <v>4870.79</v>
      </c>
      <c r="Q18" s="2"/>
      <c r="R18" s="19"/>
      <c r="S18" s="2"/>
      <c r="T18" s="2">
        <f>--4587.93</f>
        <v>4587.93</v>
      </c>
      <c r="U18" s="2"/>
      <c r="V18" s="19"/>
      <c r="W18" s="2"/>
      <c r="X18" s="2">
        <f t="shared" si="2"/>
        <v>282.85999999999967</v>
      </c>
      <c r="Y18" s="2"/>
      <c r="Z18" s="19">
        <f t="shared" si="3"/>
        <v>6.165307665984434E-2</v>
      </c>
    </row>
    <row r="19" spans="1:26" s="23" customFormat="1" hidden="1" outlineLevel="1" x14ac:dyDescent="0.25">
      <c r="A19" s="44"/>
      <c r="B19" s="10" t="str">
        <f>CONCATENATE("          ", "4086", " - ", "TAXABLE SALES-COMPUTER SUPPLIE")</f>
        <v xml:space="preserve">          4086 - TAXABLE SALES-COMPUTER SUPPLIE</v>
      </c>
      <c r="C19" s="10"/>
      <c r="D19" s="2">
        <f>--850.72</f>
        <v>850.72</v>
      </c>
      <c r="E19" s="2"/>
      <c r="F19" s="19"/>
      <c r="G19" s="2"/>
      <c r="H19" s="2">
        <f>--114.95</f>
        <v>114.95</v>
      </c>
      <c r="I19" s="2"/>
      <c r="J19" s="19"/>
      <c r="K19" s="2"/>
      <c r="L19" s="2">
        <f t="shared" si="0"/>
        <v>735.77</v>
      </c>
      <c r="M19" s="2"/>
      <c r="N19" s="19">
        <f t="shared" si="1"/>
        <v>6.4007829491083079</v>
      </c>
      <c r="O19" s="10"/>
      <c r="P19" s="2">
        <f>--67783.14</f>
        <v>67783.14</v>
      </c>
      <c r="Q19" s="2"/>
      <c r="R19" s="19"/>
      <c r="S19" s="2"/>
      <c r="T19" s="2">
        <f>--48830.67</f>
        <v>48830.67</v>
      </c>
      <c r="U19" s="2"/>
      <c r="V19" s="19"/>
      <c r="W19" s="2"/>
      <c r="X19" s="2">
        <f t="shared" si="2"/>
        <v>18952.47</v>
      </c>
      <c r="Y19" s="2"/>
      <c r="Z19" s="19">
        <f t="shared" si="3"/>
        <v>0.38812635583333183</v>
      </c>
    </row>
    <row r="20" spans="1:26" s="23" customFormat="1" hidden="1" outlineLevel="1" x14ac:dyDescent="0.25">
      <c r="A20" s="44"/>
      <c r="B20" s="10" t="str">
        <f>CONCATENATE("          ", "4088", " - ", "TAXABLE SALES-MUSIC")</f>
        <v xml:space="preserve">          4088 - TAXABLE SALES-MUSIC</v>
      </c>
      <c r="C20" s="10"/>
      <c r="D20" s="2">
        <f>0</f>
        <v>0</v>
      </c>
      <c r="E20" s="2"/>
      <c r="F20" s="19"/>
      <c r="G20" s="2"/>
      <c r="H20" s="2">
        <f>--356</f>
        <v>356</v>
      </c>
      <c r="I20" s="2"/>
      <c r="J20" s="19"/>
      <c r="K20" s="2"/>
      <c r="L20" s="2">
        <f t="shared" si="0"/>
        <v>-356</v>
      </c>
      <c r="M20" s="2"/>
      <c r="N20" s="19">
        <f t="shared" si="1"/>
        <v>-1</v>
      </c>
      <c r="O20" s="10"/>
      <c r="P20" s="2">
        <f>0</f>
        <v>0</v>
      </c>
      <c r="Q20" s="2"/>
      <c r="R20" s="19"/>
      <c r="S20" s="2"/>
      <c r="T20" s="2">
        <f>--3151.75</f>
        <v>3151.75</v>
      </c>
      <c r="U20" s="2"/>
      <c r="V20" s="19"/>
      <c r="W20" s="2"/>
      <c r="X20" s="2">
        <f t="shared" si="2"/>
        <v>-3151.75</v>
      </c>
      <c r="Y20" s="2"/>
      <c r="Z20" s="19">
        <f t="shared" si="3"/>
        <v>-1</v>
      </c>
    </row>
    <row r="21" spans="1:26" s="23" customFormat="1" hidden="1" outlineLevel="1" x14ac:dyDescent="0.25">
      <c r="A21" s="44"/>
      <c r="B21" s="10" t="str">
        <f>CONCATENATE("          ", "4181", " - ", "NON-TAXABLE SALES-ELECTRONICS")</f>
        <v xml:space="preserve">          4181 - NON-TAXABLE SALES-ELECTRONICS</v>
      </c>
      <c r="C21" s="10"/>
      <c r="D21" s="2">
        <f>--33.97</f>
        <v>33.97</v>
      </c>
      <c r="E21" s="2"/>
      <c r="F21" s="19"/>
      <c r="G21" s="2"/>
      <c r="H21" s="2">
        <f>--1267.95</f>
        <v>1267.95</v>
      </c>
      <c r="I21" s="2"/>
      <c r="J21" s="19"/>
      <c r="K21" s="2"/>
      <c r="L21" s="2">
        <f t="shared" si="0"/>
        <v>-1233.98</v>
      </c>
      <c r="M21" s="2"/>
      <c r="N21" s="19">
        <f t="shared" si="1"/>
        <v>-0.973208722741433</v>
      </c>
      <c r="O21" s="10"/>
      <c r="P21" s="2">
        <f>--14322.55</f>
        <v>14322.55</v>
      </c>
      <c r="Q21" s="2"/>
      <c r="R21" s="19"/>
      <c r="S21" s="2"/>
      <c r="T21" s="2">
        <f>--3925.74</f>
        <v>3925.74</v>
      </c>
      <c r="U21" s="2"/>
      <c r="V21" s="19"/>
      <c r="W21" s="2"/>
      <c r="X21" s="2">
        <f t="shared" si="2"/>
        <v>10396.81</v>
      </c>
      <c r="Y21" s="2"/>
      <c r="Z21" s="19">
        <f t="shared" si="3"/>
        <v>2.6483694793847783</v>
      </c>
    </row>
    <row r="22" spans="1:26" s="23" customFormat="1" hidden="1" outlineLevel="1" x14ac:dyDescent="0.25">
      <c r="A22" s="44"/>
      <c r="B22" s="10" t="str">
        <f>CONCATENATE("          ", "4182", " - ", "NON-TAXABLE SALES-COMPUTER HAR")</f>
        <v xml:space="preserve">          4182 - NON-TAXABLE SALES-COMPUTER HAR</v>
      </c>
      <c r="C22" s="10"/>
      <c r="D22" s="2">
        <f>--19892.86</f>
        <v>19892.86</v>
      </c>
      <c r="E22" s="2"/>
      <c r="F22" s="19"/>
      <c r="G22" s="2"/>
      <c r="H22" s="2">
        <f>--45022.25</f>
        <v>45022.25</v>
      </c>
      <c r="I22" s="2"/>
      <c r="J22" s="19"/>
      <c r="K22" s="2"/>
      <c r="L22" s="2">
        <f t="shared" si="0"/>
        <v>-25129.39</v>
      </c>
      <c r="M22" s="2"/>
      <c r="N22" s="19">
        <f t="shared" si="1"/>
        <v>-0.558154912293366</v>
      </c>
      <c r="O22" s="10"/>
      <c r="P22" s="2">
        <f>--367422.08</f>
        <v>367422.08</v>
      </c>
      <c r="Q22" s="2"/>
      <c r="R22" s="19"/>
      <c r="S22" s="2"/>
      <c r="T22" s="2">
        <f>--221223.79</f>
        <v>221223.79</v>
      </c>
      <c r="U22" s="2"/>
      <c r="V22" s="19"/>
      <c r="W22" s="2"/>
      <c r="X22" s="2">
        <f t="shared" si="2"/>
        <v>146198.29</v>
      </c>
      <c r="Y22" s="2"/>
      <c r="Z22" s="19">
        <f t="shared" si="3"/>
        <v>0.66086151945954819</v>
      </c>
    </row>
    <row r="23" spans="1:26" s="23" customFormat="1" hidden="1" outlineLevel="1" x14ac:dyDescent="0.25">
      <c r="A23" s="44"/>
      <c r="B23" s="10" t="str">
        <f>CONCATENATE("          ", "4183", " - ", "NON-TAXABLE SALES-COMPUTER EQU")</f>
        <v xml:space="preserve">          4183 - NON-TAXABLE SALES-COMPUTER EQU</v>
      </c>
      <c r="C23" s="10"/>
      <c r="D23" s="2">
        <f>--1441.27</f>
        <v>1441.27</v>
      </c>
      <c r="E23" s="2"/>
      <c r="F23" s="19"/>
      <c r="G23" s="2"/>
      <c r="H23" s="2">
        <f>--1394.82</f>
        <v>1394.82</v>
      </c>
      <c r="I23" s="2"/>
      <c r="J23" s="19"/>
      <c r="K23" s="2"/>
      <c r="L23" s="2">
        <f t="shared" si="0"/>
        <v>46.450000000000045</v>
      </c>
      <c r="M23" s="2"/>
      <c r="N23" s="19">
        <f t="shared" si="1"/>
        <v>3.3301788044335506E-2</v>
      </c>
      <c r="O23" s="10"/>
      <c r="P23" s="2">
        <f>--23887.02</f>
        <v>23887.02</v>
      </c>
      <c r="Q23" s="2"/>
      <c r="R23" s="19"/>
      <c r="S23" s="2"/>
      <c r="T23" s="2">
        <f>--12822.38</f>
        <v>12822.38</v>
      </c>
      <c r="U23" s="2"/>
      <c r="V23" s="19"/>
      <c r="W23" s="2"/>
      <c r="X23" s="2">
        <f t="shared" si="2"/>
        <v>11064.640000000001</v>
      </c>
      <c r="Y23" s="2"/>
      <c r="Z23" s="19">
        <f t="shared" si="3"/>
        <v>0.86291624487809615</v>
      </c>
    </row>
    <row r="24" spans="1:26" s="23" customFormat="1" hidden="1" outlineLevel="1" x14ac:dyDescent="0.25">
      <c r="A24" s="44"/>
      <c r="B24" s="10" t="str">
        <f>CONCATENATE("          ", "4184", " - ", "NON-TAXABLE SALES-SOFTWARE LIC")</f>
        <v xml:space="preserve">          4184 - NON-TAXABLE SALES-SOFTWARE LIC</v>
      </c>
      <c r="C24" s="10"/>
      <c r="D24" s="2">
        <f>0</f>
        <v>0</v>
      </c>
      <c r="E24" s="2"/>
      <c r="F24" s="19"/>
      <c r="G24" s="2"/>
      <c r="H24" s="2">
        <f>0</f>
        <v>0</v>
      </c>
      <c r="I24" s="2"/>
      <c r="J24" s="19"/>
      <c r="K24" s="2"/>
      <c r="L24" s="2">
        <f t="shared" si="0"/>
        <v>0</v>
      </c>
      <c r="M24" s="2"/>
      <c r="N24" s="19">
        <f t="shared" si="1"/>
        <v>0</v>
      </c>
      <c r="O24" s="10"/>
      <c r="P24" s="2">
        <f>0</f>
        <v>0</v>
      </c>
      <c r="Q24" s="2"/>
      <c r="R24" s="19"/>
      <c r="S24" s="2"/>
      <c r="T24" s="2">
        <f>--2728</f>
        <v>2728</v>
      </c>
      <c r="U24" s="2"/>
      <c r="V24" s="19"/>
      <c r="W24" s="2"/>
      <c r="X24" s="2">
        <f t="shared" si="2"/>
        <v>-2728</v>
      </c>
      <c r="Y24" s="2"/>
      <c r="Z24" s="19">
        <f t="shared" si="3"/>
        <v>-1</v>
      </c>
    </row>
    <row r="25" spans="1:26" s="23" customFormat="1" hidden="1" outlineLevel="1" x14ac:dyDescent="0.25">
      <c r="A25" s="44"/>
      <c r="B25" s="10" t="str">
        <f>CONCATENATE("          ", "4185", " - ", "NON-TAXABLE SALES-SOFTWARE")</f>
        <v xml:space="preserve">          4185 - NON-TAXABLE SALES-SOFTWARE</v>
      </c>
      <c r="C25" s="10"/>
      <c r="D25" s="2">
        <f>--3849.74</f>
        <v>3849.74</v>
      </c>
      <c r="E25" s="2"/>
      <c r="F25" s="19"/>
      <c r="G25" s="2"/>
      <c r="H25" s="2">
        <f>--5267.75</f>
        <v>5267.75</v>
      </c>
      <c r="I25" s="2"/>
      <c r="J25" s="19"/>
      <c r="K25" s="2"/>
      <c r="L25" s="2">
        <f t="shared" si="0"/>
        <v>-1418.0100000000002</v>
      </c>
      <c r="M25" s="2"/>
      <c r="N25" s="19">
        <f t="shared" si="1"/>
        <v>-0.26918703431256236</v>
      </c>
      <c r="O25" s="10"/>
      <c r="P25" s="2">
        <f>--59807.35</f>
        <v>59807.35</v>
      </c>
      <c r="Q25" s="2"/>
      <c r="R25" s="19"/>
      <c r="S25" s="2"/>
      <c r="T25" s="2">
        <f>--25792.1</f>
        <v>25792.1</v>
      </c>
      <c r="U25" s="2"/>
      <c r="V25" s="19"/>
      <c r="W25" s="2"/>
      <c r="X25" s="2">
        <f t="shared" si="2"/>
        <v>34015.25</v>
      </c>
      <c r="Y25" s="2"/>
      <c r="Z25" s="19">
        <f t="shared" si="3"/>
        <v>1.3188243687020444</v>
      </c>
    </row>
    <row r="26" spans="1:26" s="23" customFormat="1" hidden="1" outlineLevel="1" x14ac:dyDescent="0.25">
      <c r="A26" s="44"/>
      <c r="B26" s="10" t="str">
        <f>CONCATENATE("          ", "4186", " - ", "NON-TAXABLE SALES-COMPUTER SUP")</f>
        <v xml:space="preserve">          4186 - NON-TAXABLE SALES-COMPUTER SUP</v>
      </c>
      <c r="C26" s="10"/>
      <c r="D26" s="2">
        <f>--317.9</f>
        <v>317.89999999999998</v>
      </c>
      <c r="E26" s="2"/>
      <c r="F26" s="19"/>
      <c r="G26" s="2"/>
      <c r="H26" s="2">
        <f>--431.97</f>
        <v>431.97</v>
      </c>
      <c r="I26" s="2"/>
      <c r="J26" s="19"/>
      <c r="K26" s="2"/>
      <c r="L26" s="2">
        <f t="shared" si="0"/>
        <v>-114.07000000000005</v>
      </c>
      <c r="M26" s="2"/>
      <c r="N26" s="19">
        <f t="shared" si="1"/>
        <v>-0.26406926406926418</v>
      </c>
      <c r="O26" s="10"/>
      <c r="P26" s="2">
        <f>--3797.04</f>
        <v>3797.04</v>
      </c>
      <c r="Q26" s="2"/>
      <c r="R26" s="19"/>
      <c r="S26" s="2"/>
      <c r="T26" s="2">
        <f>--3358.05</f>
        <v>3358.05</v>
      </c>
      <c r="U26" s="2"/>
      <c r="V26" s="19"/>
      <c r="W26" s="2"/>
      <c r="X26" s="2">
        <f t="shared" si="2"/>
        <v>438.98999999999978</v>
      </c>
      <c r="Y26" s="2"/>
      <c r="Z26" s="19">
        <f t="shared" si="3"/>
        <v>0.13072765444231019</v>
      </c>
    </row>
    <row r="27" spans="1:26" s="23" customFormat="1" hidden="1" outlineLevel="1" x14ac:dyDescent="0.25">
      <c r="A27" s="44"/>
      <c r="B27" s="10" t="str">
        <f>CONCATENATE("          ", "4188", " - ", "NON-TAXABLE SALES-MUSIC")</f>
        <v xml:space="preserve">          4188 - NON-TAXABLE SALES-MUSIC</v>
      </c>
      <c r="C27" s="10"/>
      <c r="D27" s="2">
        <f>0</f>
        <v>0</v>
      </c>
      <c r="E27" s="2"/>
      <c r="F27" s="19"/>
      <c r="G27" s="2"/>
      <c r="H27" s="2">
        <f>0</f>
        <v>0</v>
      </c>
      <c r="I27" s="2"/>
      <c r="J27" s="19"/>
      <c r="K27" s="2"/>
      <c r="L27" s="2">
        <f t="shared" si="0"/>
        <v>0</v>
      </c>
      <c r="M27" s="2"/>
      <c r="N27" s="19">
        <f t="shared" si="1"/>
        <v>0</v>
      </c>
      <c r="O27" s="10"/>
      <c r="P27" s="2">
        <f>0</f>
        <v>0</v>
      </c>
      <c r="Q27" s="2"/>
      <c r="R27" s="19"/>
      <c r="S27" s="2"/>
      <c r="T27" s="2">
        <f>--343.94</f>
        <v>343.94</v>
      </c>
      <c r="U27" s="2"/>
      <c r="V27" s="19"/>
      <c r="W27" s="2"/>
      <c r="X27" s="2">
        <f t="shared" si="2"/>
        <v>-343.94</v>
      </c>
      <c r="Y27" s="2"/>
      <c r="Z27" s="19">
        <f t="shared" si="3"/>
        <v>-1</v>
      </c>
    </row>
    <row r="28" spans="1:26" s="23" customFormat="1" hidden="1" outlineLevel="1" x14ac:dyDescent="0.25">
      <c r="A28" s="44"/>
      <c r="B28" s="10" t="str">
        <f>CONCATENATE("          ", "4281", " - ", "SALES RETURN TAXABLE-ELECTRONI")</f>
        <v xml:space="preserve">          4281 - SALES RETURN TAXABLE-ELECTRONI</v>
      </c>
      <c r="C28" s="10"/>
      <c r="D28" s="2">
        <f>-529.99</f>
        <v>-529.99</v>
      </c>
      <c r="E28" s="2"/>
      <c r="F28" s="19"/>
      <c r="G28" s="2"/>
      <c r="H28" s="2">
        <f>-159</f>
        <v>-159</v>
      </c>
      <c r="I28" s="2"/>
      <c r="J28" s="19"/>
      <c r="K28" s="2"/>
      <c r="L28" s="2">
        <f t="shared" si="0"/>
        <v>-370.99</v>
      </c>
      <c r="M28" s="2"/>
      <c r="N28" s="19">
        <f t="shared" si="1"/>
        <v>2.3332704402515723</v>
      </c>
      <c r="O28" s="10"/>
      <c r="P28" s="2">
        <f>-15372.12</f>
        <v>-15372.12</v>
      </c>
      <c r="Q28" s="2"/>
      <c r="R28" s="19"/>
      <c r="S28" s="2"/>
      <c r="T28" s="2">
        <f>-8099.7</f>
        <v>-8099.7</v>
      </c>
      <c r="U28" s="2"/>
      <c r="V28" s="19"/>
      <c r="W28" s="2"/>
      <c r="X28" s="2">
        <f t="shared" si="2"/>
        <v>-7272.420000000001</v>
      </c>
      <c r="Y28" s="2"/>
      <c r="Z28" s="19">
        <f t="shared" si="3"/>
        <v>0.8978628838105116</v>
      </c>
    </row>
    <row r="29" spans="1:26" s="23" customFormat="1" hidden="1" outlineLevel="1" x14ac:dyDescent="0.25">
      <c r="A29" s="44"/>
      <c r="B29" s="10" t="str">
        <f>CONCATENATE("          ", "4282", " - ", "SALES RETURN TAXABLE-COMPUTER")</f>
        <v xml:space="preserve">          4282 - SALES RETURN TAXABLE-COMPUTER</v>
      </c>
      <c r="C29" s="10"/>
      <c r="D29" s="2">
        <f>-44973</f>
        <v>-44973</v>
      </c>
      <c r="E29" s="2"/>
      <c r="F29" s="19"/>
      <c r="G29" s="2"/>
      <c r="H29" s="2">
        <f>-31763.9</f>
        <v>-31763.9</v>
      </c>
      <c r="I29" s="2"/>
      <c r="J29" s="19"/>
      <c r="K29" s="2"/>
      <c r="L29" s="2">
        <f t="shared" si="0"/>
        <v>-13209.099999999999</v>
      </c>
      <c r="M29" s="2"/>
      <c r="N29" s="19">
        <f t="shared" si="1"/>
        <v>0.41585258737119807</v>
      </c>
      <c r="O29" s="10"/>
      <c r="P29" s="2">
        <f>-285193.17</f>
        <v>-285193.17</v>
      </c>
      <c r="Q29" s="2"/>
      <c r="R29" s="19"/>
      <c r="S29" s="2"/>
      <c r="T29" s="2">
        <f>-247392.7</f>
        <v>-247392.7</v>
      </c>
      <c r="U29" s="2"/>
      <c r="V29" s="19"/>
      <c r="W29" s="2"/>
      <c r="X29" s="2">
        <f t="shared" si="2"/>
        <v>-37800.469999999972</v>
      </c>
      <c r="Y29" s="2"/>
      <c r="Z29" s="19">
        <f t="shared" si="3"/>
        <v>0.15279541393096874</v>
      </c>
    </row>
    <row r="30" spans="1:26" s="23" customFormat="1" hidden="1" outlineLevel="1" x14ac:dyDescent="0.25">
      <c r="A30" s="44"/>
      <c r="B30" s="10" t="str">
        <f>CONCATENATE("          ", "4283", " - ", "SALES RETURN TAXABLE-COMPUTER")</f>
        <v xml:space="preserve">          4283 - SALES RETURN TAXABLE-COMPUTER</v>
      </c>
      <c r="C30" s="10"/>
      <c r="D30" s="2">
        <f>-23.47</f>
        <v>-23.47</v>
      </c>
      <c r="E30" s="2"/>
      <c r="F30" s="19"/>
      <c r="G30" s="2"/>
      <c r="H30" s="2">
        <f>-9.99</f>
        <v>-9.99</v>
      </c>
      <c r="I30" s="2"/>
      <c r="J30" s="19"/>
      <c r="K30" s="2"/>
      <c r="L30" s="2">
        <f t="shared" si="0"/>
        <v>-13.479999999999999</v>
      </c>
      <c r="M30" s="2"/>
      <c r="N30" s="19">
        <f t="shared" si="1"/>
        <v>1.3493493493493491</v>
      </c>
      <c r="O30" s="10"/>
      <c r="P30" s="2">
        <f>-4152.64</f>
        <v>-4152.6400000000003</v>
      </c>
      <c r="Q30" s="2"/>
      <c r="R30" s="19"/>
      <c r="S30" s="2"/>
      <c r="T30" s="2">
        <f>-6718.01</f>
        <v>-6718.01</v>
      </c>
      <c r="U30" s="2"/>
      <c r="V30" s="19"/>
      <c r="W30" s="2"/>
      <c r="X30" s="2">
        <f t="shared" si="2"/>
        <v>2565.37</v>
      </c>
      <c r="Y30" s="2"/>
      <c r="Z30" s="19">
        <f t="shared" si="3"/>
        <v>-0.38186457001403684</v>
      </c>
    </row>
    <row r="31" spans="1:26" s="23" customFormat="1" hidden="1" outlineLevel="1" x14ac:dyDescent="0.25">
      <c r="A31" s="44"/>
      <c r="B31" s="10" t="str">
        <f>CONCATENATE("          ", "4284", " - ", "SALES RETURN TAXABLE-SOFTWARE")</f>
        <v xml:space="preserve">          4284 - SALES RETURN TAXABLE-SOFTWARE</v>
      </c>
      <c r="C31" s="10"/>
      <c r="D31" s="2">
        <f t="shared" ref="D31:D32" si="6">0</f>
        <v>0</v>
      </c>
      <c r="E31" s="2"/>
      <c r="F31" s="19"/>
      <c r="G31" s="2"/>
      <c r="H31" s="2">
        <f t="shared" ref="H31:H37" si="7">0</f>
        <v>0</v>
      </c>
      <c r="I31" s="2"/>
      <c r="J31" s="19"/>
      <c r="K31" s="2"/>
      <c r="L31" s="2">
        <f t="shared" si="0"/>
        <v>0</v>
      </c>
      <c r="M31" s="2"/>
      <c r="N31" s="19">
        <f t="shared" si="1"/>
        <v>0</v>
      </c>
      <c r="O31" s="10"/>
      <c r="P31" s="2">
        <f>0</f>
        <v>0</v>
      </c>
      <c r="Q31" s="2"/>
      <c r="R31" s="19"/>
      <c r="S31" s="2"/>
      <c r="T31" s="2">
        <f>-129</f>
        <v>-129</v>
      </c>
      <c r="U31" s="2"/>
      <c r="V31" s="19"/>
      <c r="W31" s="2"/>
      <c r="X31" s="2">
        <f t="shared" si="2"/>
        <v>129</v>
      </c>
      <c r="Y31" s="2"/>
      <c r="Z31" s="19">
        <f t="shared" si="3"/>
        <v>-1</v>
      </c>
    </row>
    <row r="32" spans="1:26" s="23" customFormat="1" hidden="1" outlineLevel="1" x14ac:dyDescent="0.25">
      <c r="A32" s="44"/>
      <c r="B32" s="10" t="str">
        <f>CONCATENATE("          ", "4285", " - ", "SALES RETURN TAXABLE-SOFTWARE")</f>
        <v xml:space="preserve">          4285 - SALES RETURN TAXABLE-SOFTWARE</v>
      </c>
      <c r="C32" s="10"/>
      <c r="D32" s="2">
        <f t="shared" si="6"/>
        <v>0</v>
      </c>
      <c r="E32" s="2"/>
      <c r="F32" s="19"/>
      <c r="G32" s="2"/>
      <c r="H32" s="2">
        <f t="shared" si="7"/>
        <v>0</v>
      </c>
      <c r="I32" s="2"/>
      <c r="J32" s="19"/>
      <c r="K32" s="2"/>
      <c r="L32" s="2">
        <f t="shared" si="0"/>
        <v>0</v>
      </c>
      <c r="M32" s="2"/>
      <c r="N32" s="19">
        <f t="shared" si="1"/>
        <v>0</v>
      </c>
      <c r="O32" s="10"/>
      <c r="P32" s="2">
        <f>-1091.79</f>
        <v>-1091.79</v>
      </c>
      <c r="Q32" s="2"/>
      <c r="R32" s="19"/>
      <c r="S32" s="2"/>
      <c r="T32" s="2">
        <f>-805.97</f>
        <v>-805.97</v>
      </c>
      <c r="U32" s="2"/>
      <c r="V32" s="19"/>
      <c r="W32" s="2"/>
      <c r="X32" s="2">
        <f t="shared" si="2"/>
        <v>-285.81999999999994</v>
      </c>
      <c r="Y32" s="2"/>
      <c r="Z32" s="19">
        <f t="shared" si="3"/>
        <v>0.35462858419047844</v>
      </c>
    </row>
    <row r="33" spans="1:26" s="23" customFormat="1" hidden="1" outlineLevel="1" x14ac:dyDescent="0.25">
      <c r="A33" s="44"/>
      <c r="B33" s="10" t="str">
        <f>CONCATENATE("          ", "4286", " - ", "SALES RETURN TAXABLE-COMPUTER")</f>
        <v xml:space="preserve">          4286 - SALES RETURN TAXABLE-COMPUTER</v>
      </c>
      <c r="C33" s="10"/>
      <c r="D33" s="2">
        <f>-9.99</f>
        <v>-9.99</v>
      </c>
      <c r="E33" s="2"/>
      <c r="F33" s="19"/>
      <c r="G33" s="2"/>
      <c r="H33" s="2">
        <f t="shared" si="7"/>
        <v>0</v>
      </c>
      <c r="I33" s="2"/>
      <c r="J33" s="19"/>
      <c r="K33" s="2"/>
      <c r="L33" s="2">
        <f t="shared" si="0"/>
        <v>-9.99</v>
      </c>
      <c r="M33" s="2"/>
      <c r="N33" s="19">
        <f t="shared" si="1"/>
        <v>0</v>
      </c>
      <c r="O33" s="10"/>
      <c r="P33" s="2">
        <f>-4812.28</f>
        <v>-4812.28</v>
      </c>
      <c r="Q33" s="2"/>
      <c r="R33" s="19"/>
      <c r="S33" s="2"/>
      <c r="T33" s="2">
        <f>-3660.86</f>
        <v>-3660.86</v>
      </c>
      <c r="U33" s="2"/>
      <c r="V33" s="19"/>
      <c r="W33" s="2"/>
      <c r="X33" s="2">
        <f t="shared" si="2"/>
        <v>-1151.4199999999996</v>
      </c>
      <c r="Y33" s="2"/>
      <c r="Z33" s="19">
        <f t="shared" si="3"/>
        <v>0.31452172440355536</v>
      </c>
    </row>
    <row r="34" spans="1:26" s="23" customFormat="1" hidden="1" outlineLevel="1" x14ac:dyDescent="0.25">
      <c r="A34" s="44"/>
      <c r="B34" s="10" t="str">
        <f>CONCATENATE("          ", "4288", " - ", "TAXABLE SALES RETURN-MUSIC")</f>
        <v xml:space="preserve">          4288 - TAXABLE SALES RETURN-MUSIC</v>
      </c>
      <c r="C34" s="10"/>
      <c r="D34" s="2">
        <f>0</f>
        <v>0</v>
      </c>
      <c r="E34" s="2"/>
      <c r="F34" s="19"/>
      <c r="G34" s="2"/>
      <c r="H34" s="2">
        <f t="shared" si="7"/>
        <v>0</v>
      </c>
      <c r="I34" s="2"/>
      <c r="J34" s="19"/>
      <c r="K34" s="2"/>
      <c r="L34" s="2">
        <f t="shared" si="0"/>
        <v>0</v>
      </c>
      <c r="M34" s="2"/>
      <c r="N34" s="19">
        <f t="shared" si="1"/>
        <v>0</v>
      </c>
      <c r="O34" s="10"/>
      <c r="P34" s="2">
        <f>0</f>
        <v>0</v>
      </c>
      <c r="Q34" s="2"/>
      <c r="R34" s="19"/>
      <c r="S34" s="2"/>
      <c r="T34" s="2">
        <f>-152.99</f>
        <v>-152.99</v>
      </c>
      <c r="U34" s="2"/>
      <c r="V34" s="19"/>
      <c r="W34" s="2"/>
      <c r="X34" s="2">
        <f t="shared" si="2"/>
        <v>152.99</v>
      </c>
      <c r="Y34" s="2"/>
      <c r="Z34" s="19">
        <f t="shared" si="3"/>
        <v>-1</v>
      </c>
    </row>
    <row r="35" spans="1:26" s="23" customFormat="1" hidden="1" outlineLevel="1" x14ac:dyDescent="0.25">
      <c r="A35" s="44"/>
      <c r="B35" s="10" t="str">
        <f>CONCATENATE("          ", "4381", " - ", "SALES RETURN NON TAXABLE-ELECT")</f>
        <v xml:space="preserve">          4381 - SALES RETURN NON TAXABLE-ELECT</v>
      </c>
      <c r="C35" s="10"/>
      <c r="D35" s="2">
        <f>-1.99</f>
        <v>-1.99</v>
      </c>
      <c r="E35" s="2"/>
      <c r="F35" s="19"/>
      <c r="G35" s="2"/>
      <c r="H35" s="2">
        <f t="shared" si="7"/>
        <v>0</v>
      </c>
      <c r="I35" s="2"/>
      <c r="J35" s="19"/>
      <c r="K35" s="2"/>
      <c r="L35" s="2">
        <f t="shared" si="0"/>
        <v>-1.99</v>
      </c>
      <c r="M35" s="2"/>
      <c r="N35" s="19">
        <f t="shared" si="1"/>
        <v>0</v>
      </c>
      <c r="O35" s="10"/>
      <c r="P35" s="2">
        <f>-5626.14</f>
        <v>-5626.14</v>
      </c>
      <c r="Q35" s="2"/>
      <c r="R35" s="19"/>
      <c r="S35" s="2"/>
      <c r="T35" s="2">
        <f>-1279.84</f>
        <v>-1279.8399999999999</v>
      </c>
      <c r="U35" s="2"/>
      <c r="V35" s="19"/>
      <c r="W35" s="2"/>
      <c r="X35" s="2">
        <f t="shared" si="2"/>
        <v>-4346.3</v>
      </c>
      <c r="Y35" s="2"/>
      <c r="Z35" s="19">
        <f t="shared" si="3"/>
        <v>3.3959713714214281</v>
      </c>
    </row>
    <row r="36" spans="1:26" s="23" customFormat="1" hidden="1" outlineLevel="1" x14ac:dyDescent="0.25">
      <c r="A36" s="44"/>
      <c r="B36" s="10" t="str">
        <f>CONCATENATE("          ", "4383", " - ", "SALES RETURN NON TAXABLE-COMPU")</f>
        <v xml:space="preserve">          4383 - SALES RETURN NON TAXABLE-COMPU</v>
      </c>
      <c r="C36" s="10"/>
      <c r="D36" s="2">
        <f t="shared" ref="D36:D37" si="8">0</f>
        <v>0</v>
      </c>
      <c r="E36" s="2"/>
      <c r="F36" s="19"/>
      <c r="G36" s="2"/>
      <c r="H36" s="2">
        <f t="shared" si="7"/>
        <v>0</v>
      </c>
      <c r="I36" s="2"/>
      <c r="J36" s="19"/>
      <c r="K36" s="2"/>
      <c r="L36" s="2">
        <f t="shared" si="0"/>
        <v>0</v>
      </c>
      <c r="M36" s="2"/>
      <c r="N36" s="19">
        <f t="shared" si="1"/>
        <v>0</v>
      </c>
      <c r="O36" s="10"/>
      <c r="P36" s="2">
        <f>-14.99</f>
        <v>-14.99</v>
      </c>
      <c r="Q36" s="2"/>
      <c r="R36" s="19"/>
      <c r="S36" s="2"/>
      <c r="T36" s="2">
        <f>-49.98</f>
        <v>-49.98</v>
      </c>
      <c r="U36" s="2"/>
      <c r="V36" s="19"/>
      <c r="W36" s="2"/>
      <c r="X36" s="2">
        <f t="shared" si="2"/>
        <v>34.989999999999995</v>
      </c>
      <c r="Y36" s="2"/>
      <c r="Z36" s="19">
        <f t="shared" si="3"/>
        <v>-0.70008003201280511</v>
      </c>
    </row>
    <row r="37" spans="1:26" s="23" customFormat="1" hidden="1" outlineLevel="1" x14ac:dyDescent="0.25">
      <c r="A37" s="44"/>
      <c r="B37" s="10" t="str">
        <f>CONCATENATE("          ", "4386", " - ", "SALES RETURN NON TAXABLE-COMPU")</f>
        <v xml:space="preserve">          4386 - SALES RETURN NON TAXABLE-COMPU</v>
      </c>
      <c r="C37" s="10"/>
      <c r="D37" s="2">
        <f t="shared" si="8"/>
        <v>0</v>
      </c>
      <c r="E37" s="2"/>
      <c r="F37" s="19"/>
      <c r="G37" s="2"/>
      <c r="H37" s="2">
        <f t="shared" si="7"/>
        <v>0</v>
      </c>
      <c r="I37" s="2"/>
      <c r="J37" s="19"/>
      <c r="K37" s="2"/>
      <c r="L37" s="2">
        <f t="shared" si="0"/>
        <v>0</v>
      </c>
      <c r="M37" s="2"/>
      <c r="N37" s="19">
        <f t="shared" si="1"/>
        <v>0</v>
      </c>
      <c r="O37" s="10"/>
      <c r="P37" s="2">
        <f>0</f>
        <v>0</v>
      </c>
      <c r="Q37" s="2"/>
      <c r="R37" s="19"/>
      <c r="S37" s="2"/>
      <c r="T37" s="2">
        <f>-104.96</f>
        <v>-104.96</v>
      </c>
      <c r="U37" s="2"/>
      <c r="V37" s="19"/>
      <c r="W37" s="2"/>
      <c r="X37" s="2">
        <f t="shared" si="2"/>
        <v>104.96</v>
      </c>
      <c r="Y37" s="2"/>
      <c r="Z37" s="19">
        <f t="shared" si="3"/>
        <v>-1</v>
      </c>
    </row>
    <row r="38" spans="1:26" x14ac:dyDescent="0.25">
      <c r="A38" s="9"/>
      <c r="B38" s="11"/>
      <c r="C38" s="9"/>
      <c r="D38" s="3"/>
      <c r="E38" s="3"/>
      <c r="F38" s="8"/>
      <c r="G38" s="3"/>
      <c r="H38" s="3"/>
      <c r="I38" s="3"/>
      <c r="J38" s="8"/>
      <c r="K38" s="3"/>
      <c r="L38" s="3"/>
      <c r="M38" s="3"/>
      <c r="N38" s="8"/>
      <c r="P38" s="3"/>
      <c r="Q38" s="3"/>
      <c r="R38" s="8"/>
      <c r="S38" s="3"/>
      <c r="T38" s="3"/>
      <c r="U38" s="3"/>
      <c r="V38" s="8"/>
      <c r="W38" s="3"/>
      <c r="X38" s="3"/>
      <c r="Y38" s="3"/>
      <c r="Z38" s="8"/>
    </row>
    <row r="39" spans="1:26" s="24" customFormat="1" collapsed="1" x14ac:dyDescent="0.25">
      <c r="A39" s="11"/>
      <c r="B39" s="29" t="s">
        <v>256</v>
      </c>
      <c r="C39" s="11"/>
      <c r="D39" s="4">
        <f>SUM(OSRRefD16x_0)</f>
        <v>25290.510000000009</v>
      </c>
      <c r="E39" s="4"/>
      <c r="F39" s="13">
        <f t="shared" ref="F39:F55" si="9">IF(D$12=0,0,D39/D$12)</f>
        <v>0.39099819408548708</v>
      </c>
      <c r="G39" s="4"/>
      <c r="H39" s="4">
        <f>SUM(OSRRefH16x_0)</f>
        <v>325888.92</v>
      </c>
      <c r="I39" s="4"/>
      <c r="J39" s="13">
        <f t="shared" ref="J39:J55" si="10">IF(H$12=0,0,H39/H$12)</f>
        <v>0.72806290212656555</v>
      </c>
      <c r="K39" s="4"/>
      <c r="L39" s="4">
        <f t="shared" ref="L39:L55" si="11">+D39-H39</f>
        <v>-300598.40999999997</v>
      </c>
      <c r="M39" s="4"/>
      <c r="N39" s="13">
        <f t="shared" ref="N39:N55" si="12">IF(H39=0,0,L39/H39)</f>
        <v>-0.92239530573791828</v>
      </c>
      <c r="O39" s="11"/>
      <c r="P39" s="4">
        <f>SUM(OSRRefP16x_0)</f>
        <v>2315780.3500000006</v>
      </c>
      <c r="Q39" s="4"/>
      <c r="R39" s="13">
        <f t="shared" ref="R39:R55" si="13">IF(P$12=0,0,P39/P$12)</f>
        <v>0.87810541374478557</v>
      </c>
      <c r="S39" s="4"/>
      <c r="T39" s="4">
        <f>SUM(OSRRefT16x_0)</f>
        <v>2447645.5199999996</v>
      </c>
      <c r="U39" s="4"/>
      <c r="V39" s="13">
        <f t="shared" ref="V39:V55" si="14">IF(T$12=0,0,T39/T$12)</f>
        <v>0.84837742135743699</v>
      </c>
      <c r="W39" s="4"/>
      <c r="X39" s="4">
        <f t="shared" ref="X39:X55" si="15">+P39-T39</f>
        <v>-131865.16999999899</v>
      </c>
      <c r="Y39" s="4"/>
      <c r="Z39" s="13">
        <f t="shared" ref="Z39:Z55" si="16">IF(T39=0,0,X39/T39)</f>
        <v>-5.3874292221856954E-2</v>
      </c>
    </row>
    <row r="40" spans="1:26" s="23" customFormat="1" hidden="1" outlineLevel="1" x14ac:dyDescent="0.25">
      <c r="A40" s="44"/>
      <c r="B40" s="10" t="str">
        <f>CONCATENATE("          ", "5000", " - ", "PURCHASES @ COST")</f>
        <v xml:space="preserve">          5000 - PURCHASES @ COST</v>
      </c>
      <c r="C40" s="10"/>
      <c r="D40" s="2"/>
      <c r="E40" s="2"/>
      <c r="F40" s="19">
        <f t="shared" si="9"/>
        <v>0</v>
      </c>
      <c r="G40" s="2"/>
      <c r="H40" s="2">
        <v>0</v>
      </c>
      <c r="I40" s="2"/>
      <c r="J40" s="19">
        <f t="shared" si="10"/>
        <v>0</v>
      </c>
      <c r="K40" s="2"/>
      <c r="L40" s="2">
        <f t="shared" si="11"/>
        <v>0</v>
      </c>
      <c r="M40" s="2"/>
      <c r="N40" s="19">
        <f t="shared" si="12"/>
        <v>0</v>
      </c>
      <c r="O40" s="10"/>
      <c r="P40" s="2">
        <v>0</v>
      </c>
      <c r="Q40" s="2"/>
      <c r="R40" s="19">
        <f t="shared" si="13"/>
        <v>0</v>
      </c>
      <c r="S40" s="2"/>
      <c r="T40" s="2">
        <v>0</v>
      </c>
      <c r="U40" s="2"/>
      <c r="V40" s="19">
        <f t="shared" si="14"/>
        <v>0</v>
      </c>
      <c r="W40" s="2"/>
      <c r="X40" s="2">
        <f t="shared" si="15"/>
        <v>0</v>
      </c>
      <c r="Y40" s="2"/>
      <c r="Z40" s="19">
        <f t="shared" si="16"/>
        <v>0</v>
      </c>
    </row>
    <row r="41" spans="1:26" s="23" customFormat="1" hidden="1" outlineLevel="1" x14ac:dyDescent="0.25">
      <c r="A41" s="44"/>
      <c r="B41" s="10" t="str">
        <f>CONCATENATE("          ", "5081", " - ", "PURCHASES @ COST-ELECTRONICS")</f>
        <v xml:space="preserve">          5081 - PURCHASES @ COST-ELECTRONICS</v>
      </c>
      <c r="C41" s="10"/>
      <c r="D41" s="2">
        <v>-5028.84</v>
      </c>
      <c r="E41" s="2"/>
      <c r="F41" s="19">
        <f t="shared" si="9"/>
        <v>-7.7747240302582288E-2</v>
      </c>
      <c r="G41" s="2"/>
      <c r="H41" s="2">
        <v>-173.28</v>
      </c>
      <c r="I41" s="2"/>
      <c r="J41" s="19">
        <f t="shared" si="10"/>
        <v>-3.8712190546549201E-4</v>
      </c>
      <c r="K41" s="2"/>
      <c r="L41" s="2">
        <f t="shared" si="11"/>
        <v>-4855.5600000000004</v>
      </c>
      <c r="M41" s="2"/>
      <c r="N41" s="19">
        <f t="shared" si="12"/>
        <v>28.021468144044324</v>
      </c>
      <c r="O41" s="10"/>
      <c r="P41" s="2">
        <v>27390.62</v>
      </c>
      <c r="Q41" s="2"/>
      <c r="R41" s="19">
        <f t="shared" si="13"/>
        <v>1.038606779258067E-2</v>
      </c>
      <c r="S41" s="2"/>
      <c r="T41" s="2">
        <v>258288.3</v>
      </c>
      <c r="U41" s="2"/>
      <c r="V41" s="19">
        <f t="shared" si="14"/>
        <v>8.9525202947196431E-2</v>
      </c>
      <c r="W41" s="2"/>
      <c r="X41" s="2">
        <f t="shared" si="15"/>
        <v>-230897.68</v>
      </c>
      <c r="Y41" s="2"/>
      <c r="Z41" s="19">
        <f t="shared" si="16"/>
        <v>-0.89395330721523203</v>
      </c>
    </row>
    <row r="42" spans="1:26" s="23" customFormat="1" hidden="1" outlineLevel="1" x14ac:dyDescent="0.25">
      <c r="A42" s="44"/>
      <c r="B42" s="10" t="str">
        <f>CONCATENATE("          ", "5082", " - ", "PURCHASES @ COST-COMPUTER HARD")</f>
        <v xml:space="preserve">          5082 - PURCHASES @ COST-COMPUTER HARD</v>
      </c>
      <c r="C42" s="10"/>
      <c r="D42" s="2">
        <v>152090.79</v>
      </c>
      <c r="E42" s="2"/>
      <c r="F42" s="19">
        <f t="shared" si="9"/>
        <v>2.3513651653143826</v>
      </c>
      <c r="G42" s="2"/>
      <c r="H42" s="2">
        <v>190200.93</v>
      </c>
      <c r="I42" s="2"/>
      <c r="J42" s="19">
        <f t="shared" si="10"/>
        <v>0.42492466783765387</v>
      </c>
      <c r="K42" s="2"/>
      <c r="L42" s="2">
        <f t="shared" si="11"/>
        <v>-38110.139999999985</v>
      </c>
      <c r="M42" s="2"/>
      <c r="N42" s="19">
        <f t="shared" si="12"/>
        <v>-0.2003677899997649</v>
      </c>
      <c r="O42" s="10"/>
      <c r="P42" s="2">
        <v>1954625.66</v>
      </c>
      <c r="Q42" s="2"/>
      <c r="R42" s="19">
        <f t="shared" si="13"/>
        <v>0.74116155873352763</v>
      </c>
      <c r="S42" s="2"/>
      <c r="T42" s="2">
        <v>1831501.23</v>
      </c>
      <c r="U42" s="2"/>
      <c r="V42" s="19">
        <f t="shared" si="14"/>
        <v>0.63481589879909339</v>
      </c>
      <c r="W42" s="2"/>
      <c r="X42" s="2">
        <f t="shared" si="15"/>
        <v>123124.42999999993</v>
      </c>
      <c r="Y42" s="2"/>
      <c r="Z42" s="19">
        <f t="shared" si="16"/>
        <v>6.7225960858350031E-2</v>
      </c>
    </row>
    <row r="43" spans="1:26" s="23" customFormat="1" hidden="1" outlineLevel="1" x14ac:dyDescent="0.25">
      <c r="A43" s="44"/>
      <c r="B43" s="10" t="str">
        <f>CONCATENATE("          ", "5083", " - ", "PURCHASES @ COST-COMPUTER EQUI")</f>
        <v xml:space="preserve">          5083 - PURCHASES @ COST-COMPUTER EQUI</v>
      </c>
      <c r="C43" s="10"/>
      <c r="D43" s="2">
        <v>24621.69</v>
      </c>
      <c r="E43" s="2"/>
      <c r="F43" s="19">
        <f t="shared" si="9"/>
        <v>0.38065805416073828</v>
      </c>
      <c r="G43" s="2"/>
      <c r="H43" s="2">
        <v>12873.49</v>
      </c>
      <c r="I43" s="2"/>
      <c r="J43" s="19">
        <f t="shared" si="10"/>
        <v>2.8760445399301459E-2</v>
      </c>
      <c r="K43" s="2"/>
      <c r="L43" s="2">
        <f t="shared" si="11"/>
        <v>11748.199999999999</v>
      </c>
      <c r="M43" s="2"/>
      <c r="N43" s="19">
        <f t="shared" si="12"/>
        <v>0.91258858320470981</v>
      </c>
      <c r="O43" s="10"/>
      <c r="P43" s="2">
        <v>151651.63</v>
      </c>
      <c r="Q43" s="2"/>
      <c r="R43" s="19">
        <f t="shared" si="13"/>
        <v>5.7503777206772272E-2</v>
      </c>
      <c r="S43" s="2"/>
      <c r="T43" s="2">
        <v>107424.25</v>
      </c>
      <c r="U43" s="2"/>
      <c r="V43" s="19">
        <f t="shared" si="14"/>
        <v>3.7234275740327248E-2</v>
      </c>
      <c r="W43" s="2"/>
      <c r="X43" s="2">
        <f t="shared" si="15"/>
        <v>44227.380000000005</v>
      </c>
      <c r="Y43" s="2"/>
      <c r="Z43" s="19">
        <f t="shared" si="16"/>
        <v>0.41170759861018352</v>
      </c>
    </row>
    <row r="44" spans="1:26" s="23" customFormat="1" hidden="1" outlineLevel="1" x14ac:dyDescent="0.25">
      <c r="A44" s="44"/>
      <c r="B44" s="10" t="str">
        <f>CONCATENATE("          ", "5084", " - ", "PURCHASES @ COST-SOFTWARE LICE")</f>
        <v xml:space="preserve">          5084 - PURCHASES @ COST-SOFTWARE LICE</v>
      </c>
      <c r="C44" s="10"/>
      <c r="D44" s="2">
        <v>2421</v>
      </c>
      <c r="E44" s="2"/>
      <c r="F44" s="19">
        <f t="shared" si="9"/>
        <v>3.7429321428510687E-2</v>
      </c>
      <c r="G44" s="2"/>
      <c r="H44" s="2"/>
      <c r="I44" s="2"/>
      <c r="J44" s="19">
        <f t="shared" si="10"/>
        <v>0</v>
      </c>
      <c r="K44" s="2"/>
      <c r="L44" s="2">
        <f t="shared" si="11"/>
        <v>2421</v>
      </c>
      <c r="M44" s="2"/>
      <c r="N44" s="19">
        <f t="shared" si="12"/>
        <v>0</v>
      </c>
      <c r="O44" s="10"/>
      <c r="P44" s="2">
        <v>2421</v>
      </c>
      <c r="Q44" s="2"/>
      <c r="R44" s="19">
        <f t="shared" si="13"/>
        <v>9.1800295596951818E-4</v>
      </c>
      <c r="S44" s="2"/>
      <c r="T44" s="2">
        <v>2728</v>
      </c>
      <c r="U44" s="2"/>
      <c r="V44" s="19">
        <f t="shared" si="14"/>
        <v>9.4555097400831495E-4</v>
      </c>
      <c r="W44" s="2"/>
      <c r="X44" s="2">
        <f t="shared" si="15"/>
        <v>-307</v>
      </c>
      <c r="Y44" s="2"/>
      <c r="Z44" s="19">
        <f t="shared" si="16"/>
        <v>-0.1125366568914956</v>
      </c>
    </row>
    <row r="45" spans="1:26" s="23" customFormat="1" hidden="1" outlineLevel="1" x14ac:dyDescent="0.25">
      <c r="A45" s="44"/>
      <c r="B45" s="10" t="str">
        <f>CONCATENATE("          ", "5085", " - ", "PURCHASES @ COST-SOFTWARE")</f>
        <v xml:space="preserve">          5085 - PURCHASES @ COST-SOFTWARE</v>
      </c>
      <c r="C45" s="10"/>
      <c r="D45" s="2">
        <v>10694.79</v>
      </c>
      <c r="E45" s="2"/>
      <c r="F45" s="19">
        <f t="shared" si="9"/>
        <v>0.1653443752665931</v>
      </c>
      <c r="G45" s="2"/>
      <c r="H45" s="2">
        <v>1996.51</v>
      </c>
      <c r="I45" s="2"/>
      <c r="J45" s="19">
        <f t="shared" si="10"/>
        <v>4.4603690874937063E-3</v>
      </c>
      <c r="K45" s="2"/>
      <c r="L45" s="2">
        <f t="shared" si="11"/>
        <v>8698.2800000000007</v>
      </c>
      <c r="M45" s="2"/>
      <c r="N45" s="19">
        <f t="shared" si="12"/>
        <v>4.3567425156898789</v>
      </c>
      <c r="O45" s="10"/>
      <c r="P45" s="2">
        <v>56981.16</v>
      </c>
      <c r="Q45" s="2"/>
      <c r="R45" s="19">
        <f t="shared" si="13"/>
        <v>2.1606308680120642E-2</v>
      </c>
      <c r="S45" s="2"/>
      <c r="T45" s="2">
        <v>17324.650000000001</v>
      </c>
      <c r="U45" s="2"/>
      <c r="V45" s="19">
        <f t="shared" si="14"/>
        <v>6.0048899127027695E-3</v>
      </c>
      <c r="W45" s="2"/>
      <c r="X45" s="2">
        <f t="shared" si="15"/>
        <v>39656.51</v>
      </c>
      <c r="Y45" s="2"/>
      <c r="Z45" s="19">
        <f t="shared" si="16"/>
        <v>2.2890222890505725</v>
      </c>
    </row>
    <row r="46" spans="1:26" s="23" customFormat="1" hidden="1" outlineLevel="1" x14ac:dyDescent="0.25">
      <c r="A46" s="44"/>
      <c r="B46" s="10" t="str">
        <f>CONCATENATE("          ", "5086", " - ", "PURCHASES @ COST-COMPUTER SUPP")</f>
        <v xml:space="preserve">          5086 - PURCHASES @ COST-COMPUTER SUPP</v>
      </c>
      <c r="C46" s="10"/>
      <c r="D46" s="2">
        <v>697.28</v>
      </c>
      <c r="E46" s="2"/>
      <c r="F46" s="19">
        <f t="shared" si="9"/>
        <v>1.0780139300153627E-2</v>
      </c>
      <c r="G46" s="2"/>
      <c r="H46" s="2">
        <v>127.27</v>
      </c>
      <c r="I46" s="2"/>
      <c r="J46" s="19">
        <f t="shared" si="10"/>
        <v>2.8433174577904645E-4</v>
      </c>
      <c r="K46" s="2"/>
      <c r="L46" s="2">
        <f t="shared" si="11"/>
        <v>570.01</v>
      </c>
      <c r="M46" s="2"/>
      <c r="N46" s="19">
        <f t="shared" si="12"/>
        <v>4.4787459731279959</v>
      </c>
      <c r="O46" s="10"/>
      <c r="P46" s="2">
        <v>24460.29</v>
      </c>
      <c r="Q46" s="2"/>
      <c r="R46" s="19">
        <f t="shared" si="13"/>
        <v>9.2749353671506187E-3</v>
      </c>
      <c r="S46" s="2"/>
      <c r="T46" s="2">
        <v>30010.32</v>
      </c>
      <c r="U46" s="2"/>
      <c r="V46" s="19">
        <f t="shared" si="14"/>
        <v>1.0401864848350885E-2</v>
      </c>
      <c r="W46" s="2"/>
      <c r="X46" s="2">
        <f t="shared" si="15"/>
        <v>-5550.0299999999988</v>
      </c>
      <c r="Y46" s="2"/>
      <c r="Z46" s="19">
        <f t="shared" si="16"/>
        <v>-0.18493738154074996</v>
      </c>
    </row>
    <row r="47" spans="1:26" s="23" customFormat="1" hidden="1" outlineLevel="1" x14ac:dyDescent="0.25">
      <c r="A47" s="44"/>
      <c r="B47" s="10" t="str">
        <f>CONCATENATE("          ", "5088", " - ", "PURCHASES @ COST-MUSIC")</f>
        <v xml:space="preserve">          5088 - PURCHASES @ COST-MUSIC</v>
      </c>
      <c r="C47" s="10"/>
      <c r="D47" s="2"/>
      <c r="E47" s="2"/>
      <c r="F47" s="19">
        <f t="shared" si="9"/>
        <v>0</v>
      </c>
      <c r="G47" s="2"/>
      <c r="H47" s="2"/>
      <c r="I47" s="2"/>
      <c r="J47" s="19">
        <f t="shared" si="10"/>
        <v>0</v>
      </c>
      <c r="K47" s="2"/>
      <c r="L47" s="2">
        <f t="shared" si="11"/>
        <v>0</v>
      </c>
      <c r="M47" s="2"/>
      <c r="N47" s="19">
        <f t="shared" si="12"/>
        <v>0</v>
      </c>
      <c r="O47" s="10"/>
      <c r="P47" s="2"/>
      <c r="Q47" s="2"/>
      <c r="R47" s="19">
        <f t="shared" si="13"/>
        <v>0</v>
      </c>
      <c r="S47" s="2"/>
      <c r="T47" s="2">
        <v>95.65</v>
      </c>
      <c r="U47" s="2"/>
      <c r="V47" s="19">
        <f t="shared" si="14"/>
        <v>3.3153207721369259E-5</v>
      </c>
      <c r="W47" s="2"/>
      <c r="X47" s="2">
        <f t="shared" si="15"/>
        <v>-95.65</v>
      </c>
      <c r="Y47" s="2"/>
      <c r="Z47" s="19">
        <f t="shared" si="16"/>
        <v>-1</v>
      </c>
    </row>
    <row r="48" spans="1:26" s="23" customFormat="1" hidden="1" outlineLevel="1" x14ac:dyDescent="0.25">
      <c r="A48" s="44"/>
      <c r="B48" s="10" t="str">
        <f>CONCATENATE("          ", "5200", " - ", "PURCHASES OFFSET")</f>
        <v xml:space="preserve">          5200 - PURCHASES OFFSET</v>
      </c>
      <c r="C48" s="10"/>
      <c r="D48" s="2">
        <v>-228321.2</v>
      </c>
      <c r="E48" s="2"/>
      <c r="F48" s="19">
        <f t="shared" si="9"/>
        <v>-3.5299081304185358</v>
      </c>
      <c r="G48" s="2"/>
      <c r="H48" s="2">
        <v>-205025</v>
      </c>
      <c r="I48" s="2"/>
      <c r="J48" s="19">
        <f t="shared" si="10"/>
        <v>-0.45804287089140411</v>
      </c>
      <c r="K48" s="2"/>
      <c r="L48" s="2">
        <f t="shared" si="11"/>
        <v>-23296.200000000012</v>
      </c>
      <c r="M48" s="2"/>
      <c r="N48" s="19">
        <f t="shared" si="12"/>
        <v>0.11362614315327405</v>
      </c>
      <c r="O48" s="10"/>
      <c r="P48" s="2">
        <v>-2256861</v>
      </c>
      <c r="Q48" s="2"/>
      <c r="R48" s="19">
        <f t="shared" si="13"/>
        <v>-0.85576417563499496</v>
      </c>
      <c r="S48" s="2"/>
      <c r="T48" s="2">
        <v>-2248069</v>
      </c>
      <c r="U48" s="2"/>
      <c r="V48" s="19">
        <f t="shared" si="14"/>
        <v>-0.77920228467298336</v>
      </c>
      <c r="W48" s="2"/>
      <c r="X48" s="2">
        <f t="shared" si="15"/>
        <v>-8792</v>
      </c>
      <c r="Y48" s="2"/>
      <c r="Z48" s="19">
        <f t="shared" si="16"/>
        <v>3.9109119871320675E-3</v>
      </c>
    </row>
    <row r="49" spans="1:26" s="23" customFormat="1" hidden="1" outlineLevel="1" x14ac:dyDescent="0.25">
      <c r="A49" s="44"/>
      <c r="B49" s="10" t="str">
        <f>CONCATENATE("          ", "5300", " - ", "COG$ OFFSET")</f>
        <v xml:space="preserve">          5300 - COG$ OFFSET</v>
      </c>
      <c r="C49" s="10"/>
      <c r="D49" s="2">
        <v>68115</v>
      </c>
      <c r="E49" s="2"/>
      <c r="F49" s="19">
        <f t="shared" si="9"/>
        <v>1.0530765093362271</v>
      </c>
      <c r="G49" s="2"/>
      <c r="H49" s="2">
        <v>325889</v>
      </c>
      <c r="I49" s="2"/>
      <c r="J49" s="19">
        <f t="shared" si="10"/>
        <v>0.72806308085320715</v>
      </c>
      <c r="K49" s="2"/>
      <c r="L49" s="2">
        <f t="shared" si="11"/>
        <v>-257774</v>
      </c>
      <c r="M49" s="2"/>
      <c r="N49" s="19">
        <f t="shared" si="12"/>
        <v>-0.79098711524476129</v>
      </c>
      <c r="O49" s="10"/>
      <c r="P49" s="2">
        <v>2354659</v>
      </c>
      <c r="Q49" s="2"/>
      <c r="R49" s="19">
        <f t="shared" si="13"/>
        <v>0.89284755154904161</v>
      </c>
      <c r="S49" s="2"/>
      <c r="T49" s="2">
        <v>2447643</v>
      </c>
      <c r="U49" s="2"/>
      <c r="V49" s="19">
        <f t="shared" si="14"/>
        <v>0.84837654790125883</v>
      </c>
      <c r="W49" s="2"/>
      <c r="X49" s="2">
        <f t="shared" si="15"/>
        <v>-92984</v>
      </c>
      <c r="Y49" s="2"/>
      <c r="Z49" s="19">
        <f t="shared" si="16"/>
        <v>-3.7989200222418057E-2</v>
      </c>
    </row>
    <row r="50" spans="1:26" s="23" customFormat="1" hidden="1" outlineLevel="1" x14ac:dyDescent="0.25">
      <c r="A50" s="44"/>
      <c r="B50" s="10" t="str">
        <f>CONCATENATE("          ", "5500", " - ", "FREIGHT-IN")</f>
        <v xml:space="preserve">          5500 - FREIGHT-IN</v>
      </c>
      <c r="C50" s="10"/>
      <c r="D50" s="2"/>
      <c r="E50" s="2"/>
      <c r="F50" s="19">
        <f t="shared" si="9"/>
        <v>0</v>
      </c>
      <c r="G50" s="2"/>
      <c r="H50" s="2"/>
      <c r="I50" s="2"/>
      <c r="J50" s="19">
        <f t="shared" si="10"/>
        <v>0</v>
      </c>
      <c r="K50" s="2"/>
      <c r="L50" s="2">
        <f t="shared" si="11"/>
        <v>0</v>
      </c>
      <c r="M50" s="2"/>
      <c r="N50" s="19">
        <f t="shared" si="12"/>
        <v>0</v>
      </c>
      <c r="O50" s="10"/>
      <c r="P50" s="2">
        <v>0</v>
      </c>
      <c r="Q50" s="2"/>
      <c r="R50" s="19">
        <f t="shared" si="13"/>
        <v>0</v>
      </c>
      <c r="S50" s="2"/>
      <c r="T50" s="2">
        <v>0</v>
      </c>
      <c r="U50" s="2"/>
      <c r="V50" s="19">
        <f t="shared" si="14"/>
        <v>0</v>
      </c>
      <c r="W50" s="2"/>
      <c r="X50" s="2">
        <f t="shared" si="15"/>
        <v>0</v>
      </c>
      <c r="Y50" s="2"/>
      <c r="Z50" s="19">
        <f t="shared" si="16"/>
        <v>0</v>
      </c>
    </row>
    <row r="51" spans="1:26" s="23" customFormat="1" hidden="1" outlineLevel="1" x14ac:dyDescent="0.25">
      <c r="A51" s="44"/>
      <c r="B51" s="10" t="str">
        <f>CONCATENATE("          ", "5581", " - ", "FREIGHT-IN-ELECTRONICS")</f>
        <v xml:space="preserve">          5581 - FREIGHT-IN-ELECTRONICS</v>
      </c>
      <c r="C51" s="10"/>
      <c r="D51" s="2">
        <v>0</v>
      </c>
      <c r="E51" s="2"/>
      <c r="F51" s="19">
        <f t="shared" si="9"/>
        <v>0</v>
      </c>
      <c r="G51" s="2"/>
      <c r="H51" s="2"/>
      <c r="I51" s="2"/>
      <c r="J51" s="19">
        <f t="shared" si="10"/>
        <v>0</v>
      </c>
      <c r="K51" s="2"/>
      <c r="L51" s="2">
        <f t="shared" si="11"/>
        <v>0</v>
      </c>
      <c r="M51" s="2"/>
      <c r="N51" s="19">
        <f t="shared" si="12"/>
        <v>0</v>
      </c>
      <c r="O51" s="10"/>
      <c r="P51" s="2">
        <v>31</v>
      </c>
      <c r="Q51" s="2"/>
      <c r="R51" s="19">
        <f t="shared" si="13"/>
        <v>1.17546846902334E-5</v>
      </c>
      <c r="S51" s="2"/>
      <c r="T51" s="2">
        <v>137</v>
      </c>
      <c r="U51" s="2"/>
      <c r="V51" s="19">
        <f t="shared" si="14"/>
        <v>4.7485514457162448E-5</v>
      </c>
      <c r="W51" s="2"/>
      <c r="X51" s="2">
        <f t="shared" si="15"/>
        <v>-106</v>
      </c>
      <c r="Y51" s="2"/>
      <c r="Z51" s="19">
        <f t="shared" si="16"/>
        <v>-0.77372262773722633</v>
      </c>
    </row>
    <row r="52" spans="1:26" s="23" customFormat="1" hidden="1" outlineLevel="1" x14ac:dyDescent="0.25">
      <c r="A52" s="44"/>
      <c r="B52" s="10" t="str">
        <f>CONCATENATE("          ", "5582", " - ", "FREIGHT-IN-COMPUTER HARDWARE")</f>
        <v xml:space="preserve">          5582 - FREIGHT-IN-COMPUTER HARDWARE</v>
      </c>
      <c r="C52" s="10"/>
      <c r="D52" s="2"/>
      <c r="E52" s="2"/>
      <c r="F52" s="19">
        <f t="shared" si="9"/>
        <v>0</v>
      </c>
      <c r="G52" s="2"/>
      <c r="H52" s="2"/>
      <c r="I52" s="2"/>
      <c r="J52" s="19">
        <f t="shared" si="10"/>
        <v>0</v>
      </c>
      <c r="K52" s="2"/>
      <c r="L52" s="2">
        <f t="shared" si="11"/>
        <v>0</v>
      </c>
      <c r="M52" s="2"/>
      <c r="N52" s="19">
        <f t="shared" si="12"/>
        <v>0</v>
      </c>
      <c r="O52" s="10"/>
      <c r="P52" s="2">
        <v>145</v>
      </c>
      <c r="Q52" s="2"/>
      <c r="R52" s="19">
        <f t="shared" si="13"/>
        <v>5.4981589680123972E-5</v>
      </c>
      <c r="S52" s="2"/>
      <c r="T52" s="2">
        <v>154.30000000000001</v>
      </c>
      <c r="U52" s="2"/>
      <c r="V52" s="19">
        <f t="shared" si="14"/>
        <v>5.3481860443358875E-5</v>
      </c>
      <c r="W52" s="2"/>
      <c r="X52" s="2">
        <f t="shared" si="15"/>
        <v>-9.3000000000000114</v>
      </c>
      <c r="Y52" s="2"/>
      <c r="Z52" s="19">
        <f t="shared" si="16"/>
        <v>-6.0272197018794625E-2</v>
      </c>
    </row>
    <row r="53" spans="1:26" s="23" customFormat="1" hidden="1" outlineLevel="1" x14ac:dyDescent="0.25">
      <c r="A53" s="44"/>
      <c r="B53" s="10" t="str">
        <f>CONCATENATE("          ", "5583", " - ", "FREIGHT-IN-COMPUTER EQUIPMENT")</f>
        <v xml:space="preserve">          5583 - FREIGHT-IN-COMPUTER EQUIPMENT</v>
      </c>
      <c r="C53" s="10"/>
      <c r="D53" s="2"/>
      <c r="E53" s="2"/>
      <c r="F53" s="19">
        <f t="shared" si="9"/>
        <v>0</v>
      </c>
      <c r="G53" s="2"/>
      <c r="H53" s="2"/>
      <c r="I53" s="2"/>
      <c r="J53" s="19">
        <f t="shared" si="10"/>
        <v>0</v>
      </c>
      <c r="K53" s="2"/>
      <c r="L53" s="2">
        <f t="shared" si="11"/>
        <v>0</v>
      </c>
      <c r="M53" s="2"/>
      <c r="N53" s="19">
        <f t="shared" si="12"/>
        <v>0</v>
      </c>
      <c r="O53" s="10"/>
      <c r="P53" s="2">
        <v>242.46</v>
      </c>
      <c r="Q53" s="2"/>
      <c r="R53" s="19">
        <f t="shared" si="13"/>
        <v>9.1936801612709366E-5</v>
      </c>
      <c r="S53" s="2"/>
      <c r="T53" s="2">
        <v>96.55</v>
      </c>
      <c r="U53" s="2"/>
      <c r="V53" s="19">
        <f t="shared" si="14"/>
        <v>3.3465156356489299E-5</v>
      </c>
      <c r="W53" s="2"/>
      <c r="X53" s="2">
        <f t="shared" si="15"/>
        <v>145.91000000000003</v>
      </c>
      <c r="Y53" s="2"/>
      <c r="Z53" s="19">
        <f t="shared" si="16"/>
        <v>1.5112377006732267</v>
      </c>
    </row>
    <row r="54" spans="1:26" s="23" customFormat="1" hidden="1" outlineLevel="1" x14ac:dyDescent="0.25">
      <c r="A54" s="44"/>
      <c r="B54" s="10" t="str">
        <f>CONCATENATE("          ", "5585", " - ", "FREIGHT-IN-SOFTWARE")</f>
        <v xml:space="preserve">          5585 - FREIGHT-IN-SOFTWARE</v>
      </c>
      <c r="C54" s="10"/>
      <c r="D54" s="2"/>
      <c r="E54" s="2"/>
      <c r="F54" s="19">
        <f t="shared" si="9"/>
        <v>0</v>
      </c>
      <c r="G54" s="2"/>
      <c r="H54" s="2"/>
      <c r="I54" s="2"/>
      <c r="J54" s="19">
        <f t="shared" si="10"/>
        <v>0</v>
      </c>
      <c r="K54" s="2"/>
      <c r="L54" s="2">
        <f t="shared" si="11"/>
        <v>0</v>
      </c>
      <c r="M54" s="2"/>
      <c r="N54" s="19">
        <f t="shared" si="12"/>
        <v>0</v>
      </c>
      <c r="O54" s="10"/>
      <c r="P54" s="2">
        <v>9.41</v>
      </c>
      <c r="Q54" s="2"/>
      <c r="R54" s="19">
        <f t="shared" si="13"/>
        <v>3.5681155785514936E-6</v>
      </c>
      <c r="S54" s="2"/>
      <c r="T54" s="2">
        <v>10</v>
      </c>
      <c r="U54" s="2"/>
      <c r="V54" s="19">
        <f t="shared" si="14"/>
        <v>3.4660959457782807E-6</v>
      </c>
      <c r="W54" s="2"/>
      <c r="X54" s="2">
        <f t="shared" si="15"/>
        <v>-0.58999999999999986</v>
      </c>
      <c r="Y54" s="2"/>
      <c r="Z54" s="19">
        <f t="shared" si="16"/>
        <v>-5.8999999999999983E-2</v>
      </c>
    </row>
    <row r="55" spans="1:26" s="23" customFormat="1" hidden="1" outlineLevel="1" x14ac:dyDescent="0.25">
      <c r="A55" s="44"/>
      <c r="B55" s="10" t="str">
        <f>CONCATENATE("          ", "5586", " - ", "FREIGHT-IN-COMPUTER SUPPLIES")</f>
        <v xml:space="preserve">          5586 - FREIGHT-IN-COMPUTER SUPPLIES</v>
      </c>
      <c r="C55" s="10"/>
      <c r="D55" s="2"/>
      <c r="E55" s="2"/>
      <c r="F55" s="19">
        <f t="shared" si="9"/>
        <v>0</v>
      </c>
      <c r="G55" s="2"/>
      <c r="H55" s="2"/>
      <c r="I55" s="2"/>
      <c r="J55" s="19">
        <f t="shared" si="10"/>
        <v>0</v>
      </c>
      <c r="K55" s="2"/>
      <c r="L55" s="2">
        <f t="shared" si="11"/>
        <v>0</v>
      </c>
      <c r="M55" s="2"/>
      <c r="N55" s="19">
        <f t="shared" si="12"/>
        <v>0</v>
      </c>
      <c r="O55" s="10"/>
      <c r="P55" s="2">
        <v>24.12</v>
      </c>
      <c r="Q55" s="2"/>
      <c r="R55" s="19">
        <f t="shared" si="13"/>
        <v>9.1459030557557945E-6</v>
      </c>
      <c r="S55" s="2"/>
      <c r="T55" s="2">
        <v>301.27</v>
      </c>
      <c r="U55" s="2"/>
      <c r="V55" s="19">
        <f t="shared" si="14"/>
        <v>1.0442307255846226E-4</v>
      </c>
      <c r="W55" s="2"/>
      <c r="X55" s="2">
        <f t="shared" si="15"/>
        <v>-277.14999999999998</v>
      </c>
      <c r="Y55" s="2"/>
      <c r="Z55" s="19">
        <f t="shared" si="16"/>
        <v>-0.91993892521658316</v>
      </c>
    </row>
    <row r="56" spans="1:26" x14ac:dyDescent="0.25">
      <c r="A56" s="9"/>
      <c r="B56" s="11"/>
      <c r="C56" s="11"/>
      <c r="D56" s="3"/>
      <c r="E56" s="3"/>
      <c r="F56" s="8"/>
      <c r="G56" s="3"/>
      <c r="H56" s="3"/>
      <c r="I56" s="3"/>
      <c r="J56" s="8"/>
      <c r="K56" s="3"/>
      <c r="L56" s="3"/>
      <c r="M56" s="3"/>
      <c r="N56" s="8"/>
      <c r="O56" s="11"/>
      <c r="P56" s="3"/>
      <c r="Q56" s="3"/>
      <c r="R56" s="8"/>
      <c r="S56" s="3"/>
      <c r="T56" s="3"/>
      <c r="U56" s="3"/>
      <c r="V56" s="8"/>
      <c r="W56" s="3"/>
      <c r="X56" s="3"/>
      <c r="Y56" s="3"/>
      <c r="Z56" s="8"/>
    </row>
    <row r="57" spans="1:26" s="24" customFormat="1" x14ac:dyDescent="0.25">
      <c r="A57" s="11"/>
      <c r="B57" s="28" t="s">
        <v>107</v>
      </c>
      <c r="C57" s="28"/>
      <c r="D57" s="21">
        <f>D12-D39</f>
        <v>39391.399999999994</v>
      </c>
      <c r="E57" s="14"/>
      <c r="F57" s="22">
        <f>IF(D$12=0,0,D57/D$12)</f>
        <v>0.60900180591451292</v>
      </c>
      <c r="G57" s="14"/>
      <c r="H57" s="21">
        <f>H12-H39</f>
        <v>121722.01999999996</v>
      </c>
      <c r="I57" s="14"/>
      <c r="J57" s="22">
        <f>IF(H$12=0,0,H57/H$12)</f>
        <v>0.2719370978734344</v>
      </c>
      <c r="K57" s="15"/>
      <c r="L57" s="21">
        <f>+D57-H57</f>
        <v>-82330.619999999966</v>
      </c>
      <c r="M57" s="15"/>
      <c r="N57" s="22">
        <f>IF(H57=0,0,L57/H57)</f>
        <v>-0.67638230124672594</v>
      </c>
      <c r="O57" s="29"/>
      <c r="P57" s="21">
        <f>P12-P39</f>
        <v>321466.05999999959</v>
      </c>
      <c r="Q57" s="14"/>
      <c r="R57" s="22">
        <f>IF(P$12=0,0,P57/P$12)</f>
        <v>0.12189458625521442</v>
      </c>
      <c r="S57" s="14"/>
      <c r="T57" s="21">
        <f>T12-T39</f>
        <v>437444.84000000032</v>
      </c>
      <c r="U57" s="14"/>
      <c r="V57" s="22">
        <f>IF(T$12=0,0,T57/T$12)</f>
        <v>0.15162257864256298</v>
      </c>
      <c r="W57" s="15"/>
      <c r="X57" s="21">
        <f>+P57-T57</f>
        <v>-115978.78000000073</v>
      </c>
      <c r="Y57" s="15"/>
      <c r="Z57" s="22">
        <f>IF(T57=0,0,X57/T57)</f>
        <v>-0.26512778159641942</v>
      </c>
    </row>
    <row r="58" spans="1:26" x14ac:dyDescent="0.25">
      <c r="A58" s="9"/>
      <c r="B58" s="11"/>
      <c r="C58" s="9"/>
      <c r="D58" s="1"/>
      <c r="E58" s="1"/>
      <c r="F58" s="5"/>
      <c r="G58" s="1"/>
      <c r="H58" s="1"/>
      <c r="I58" s="1"/>
      <c r="J58" s="5"/>
      <c r="K58" s="1"/>
      <c r="L58" s="1"/>
      <c r="M58" s="1"/>
      <c r="N58" s="5"/>
      <c r="O58" s="37"/>
      <c r="P58" s="1"/>
      <c r="Q58" s="1"/>
      <c r="R58" s="5"/>
      <c r="S58" s="1"/>
      <c r="T58" s="1"/>
      <c r="U58" s="1"/>
      <c r="V58" s="5"/>
      <c r="W58" s="1"/>
      <c r="X58" s="1"/>
      <c r="Y58" s="1"/>
      <c r="Z58" s="5"/>
    </row>
    <row r="59" spans="1:26" s="24" customFormat="1" x14ac:dyDescent="0.25">
      <c r="A59" s="11"/>
      <c r="B59" s="29" t="s">
        <v>294</v>
      </c>
      <c r="C59" s="11"/>
      <c r="D59" s="20">
        <f>SUM(OSRRefD22x_0)</f>
        <v>-995.91999999999894</v>
      </c>
      <c r="E59" s="20"/>
      <c r="F59" s="32">
        <f t="shared" ref="F59:F69" si="17">IF(D$12=0,0,D59/D$12)</f>
        <v>-1.5397195289996831E-2</v>
      </c>
      <c r="G59" s="20"/>
      <c r="H59" s="20">
        <f>SUM(OSRRefH22x_0)</f>
        <v>-32410.319999999996</v>
      </c>
      <c r="I59" s="20"/>
      <c r="J59" s="32">
        <f t="shared" ref="J59:J69" si="18">IF(H$12=0,0,H59/H$12)</f>
        <v>-7.240734553985656E-2</v>
      </c>
      <c r="K59" s="4"/>
      <c r="L59" s="20">
        <f t="shared" ref="L59:L69" si="19">+D59-H59</f>
        <v>31414.399999999998</v>
      </c>
      <c r="M59" s="4"/>
      <c r="N59" s="32">
        <f t="shared" ref="N59:N69" si="20">IF(H59=0,0,L59/H59)</f>
        <v>-0.96927151598626615</v>
      </c>
      <c r="O59" s="11"/>
      <c r="P59" s="20">
        <f>SUM(OSRRefP22x_0)</f>
        <v>150448.5</v>
      </c>
      <c r="Q59" s="20"/>
      <c r="R59" s="32">
        <f t="shared" ref="R59:R69" si="21">IF(P$12=0,0,P59/P$12)</f>
        <v>5.7047570310276768E-2</v>
      </c>
      <c r="S59" s="20"/>
      <c r="T59" s="20">
        <f>SUM(OSRRefT22x_0)</f>
        <v>177712.97000000006</v>
      </c>
      <c r="U59" s="20"/>
      <c r="V59" s="32">
        <f t="shared" ref="V59:V69" si="22">IF(T$12=0,0,T59/T$12)</f>
        <v>6.1597020482921747E-2</v>
      </c>
      <c r="W59" s="4"/>
      <c r="X59" s="20">
        <f t="shared" ref="X59:X69" si="23">+P59-T59</f>
        <v>-27264.470000000059</v>
      </c>
      <c r="Y59" s="4"/>
      <c r="Z59" s="32">
        <f t="shared" ref="Z59:Z69" si="24">IF(T59=0,0,X59/T59)</f>
        <v>-0.15341857153138597</v>
      </c>
    </row>
    <row r="60" spans="1:26" s="27" customFormat="1" outlineLevel="1" collapsed="1" x14ac:dyDescent="0.25">
      <c r="A60" s="26"/>
      <c r="B60" s="12" t="str">
        <f>CONCATENATE("     ","*Benefits                                         ")</f>
        <v xml:space="preserve">     *Benefits                                         </v>
      </c>
      <c r="C60" s="12"/>
      <c r="D60" s="1">
        <f>SUM(OSRRefD22_0x_0)</f>
        <v>3035.8100000000004</v>
      </c>
      <c r="E60" s="1"/>
      <c r="F60" s="5">
        <f t="shared" si="17"/>
        <v>4.6934451997475035E-2</v>
      </c>
      <c r="G60" s="1"/>
      <c r="H60" s="1">
        <f>SUM(OSRRefH22_0x_0)</f>
        <v>2225.61</v>
      </c>
      <c r="I60" s="1"/>
      <c r="J60" s="5">
        <f t="shared" si="18"/>
        <v>4.9721975070582507E-3</v>
      </c>
      <c r="K60" s="1"/>
      <c r="L60" s="1">
        <f t="shared" si="19"/>
        <v>810.20000000000027</v>
      </c>
      <c r="M60" s="1"/>
      <c r="N60" s="5">
        <f t="shared" si="20"/>
        <v>0.36403502859890108</v>
      </c>
      <c r="O60" s="12"/>
      <c r="P60" s="1">
        <f>SUM(OSRRefP22_0x_0)</f>
        <v>35524.879999999997</v>
      </c>
      <c r="Q60" s="1"/>
      <c r="R60" s="5">
        <f t="shared" si="21"/>
        <v>1.347044396962512E-2</v>
      </c>
      <c r="S60" s="1"/>
      <c r="T60" s="1">
        <f>SUM(OSRRefT22_0x_0)</f>
        <v>29115.980000000003</v>
      </c>
      <c r="U60" s="1"/>
      <c r="V60" s="5">
        <f t="shared" si="22"/>
        <v>1.0091878023536153E-2</v>
      </c>
      <c r="W60" s="1"/>
      <c r="X60" s="1">
        <f t="shared" si="23"/>
        <v>6408.8999999999942</v>
      </c>
      <c r="Y60" s="1"/>
      <c r="Z60" s="5">
        <f t="shared" si="24"/>
        <v>0.22011623857414359</v>
      </c>
    </row>
    <row r="61" spans="1:26" s="23" customFormat="1" hidden="1" outlineLevel="2" x14ac:dyDescent="0.25">
      <c r="A61" s="25"/>
      <c r="B61" s="10" t="str">
        <f>CONCATENATE("          ", "6111", " - ", "F.I.C.A.")</f>
        <v xml:space="preserve">          6111 - F.I.C.A.</v>
      </c>
      <c r="C61" s="10"/>
      <c r="D61" s="6">
        <v>622.99</v>
      </c>
      <c r="E61" s="2"/>
      <c r="F61" s="7">
        <f t="shared" si="17"/>
        <v>9.6315956037785529E-3</v>
      </c>
      <c r="G61" s="2"/>
      <c r="H61" s="6">
        <v>424.75</v>
      </c>
      <c r="I61" s="2"/>
      <c r="J61" s="7">
        <f t="shared" si="18"/>
        <v>9.4892676215643887E-4</v>
      </c>
      <c r="K61" s="2"/>
      <c r="L61" s="6">
        <f t="shared" si="19"/>
        <v>198.24</v>
      </c>
      <c r="M61" s="2"/>
      <c r="N61" s="7">
        <f t="shared" si="20"/>
        <v>0.46672160094173043</v>
      </c>
      <c r="O61" s="10"/>
      <c r="P61" s="6">
        <v>6560.19</v>
      </c>
      <c r="Q61" s="2"/>
      <c r="R61" s="7">
        <f t="shared" si="21"/>
        <v>2.4875149986458788E-3</v>
      </c>
      <c r="S61" s="2"/>
      <c r="T61" s="6">
        <v>8039.26</v>
      </c>
      <c r="U61" s="2"/>
      <c r="V61" s="7">
        <f t="shared" si="22"/>
        <v>2.7864846493057503E-3</v>
      </c>
      <c r="W61" s="2"/>
      <c r="X61" s="6">
        <f t="shared" si="23"/>
        <v>-1479.0700000000006</v>
      </c>
      <c r="Y61" s="2"/>
      <c r="Z61" s="7">
        <f t="shared" si="24"/>
        <v>-0.18398086391035998</v>
      </c>
    </row>
    <row r="62" spans="1:26" s="23" customFormat="1" hidden="1" outlineLevel="2" x14ac:dyDescent="0.25">
      <c r="A62" s="25"/>
      <c r="B62" s="10" t="str">
        <f>CONCATENATE("          ", "6112", " - ", "COMPENSATION INSURANCE")</f>
        <v xml:space="preserve">          6112 - COMPENSATION INSURANCE</v>
      </c>
      <c r="C62" s="10"/>
      <c r="D62" s="6">
        <v>132.6</v>
      </c>
      <c r="E62" s="2"/>
      <c r="F62" s="7">
        <f t="shared" si="17"/>
        <v>2.0500322269394948E-3</v>
      </c>
      <c r="G62" s="2"/>
      <c r="H62" s="6">
        <v>54.45</v>
      </c>
      <c r="I62" s="2"/>
      <c r="J62" s="7">
        <f t="shared" si="18"/>
        <v>1.2164582036355056E-4</v>
      </c>
      <c r="K62" s="2"/>
      <c r="L62" s="6">
        <f t="shared" si="19"/>
        <v>78.149999999999991</v>
      </c>
      <c r="M62" s="2"/>
      <c r="N62" s="7">
        <f t="shared" si="20"/>
        <v>1.4352617079889805</v>
      </c>
      <c r="O62" s="10"/>
      <c r="P62" s="6">
        <v>1867.88</v>
      </c>
      <c r="Q62" s="2"/>
      <c r="R62" s="7">
        <f t="shared" si="21"/>
        <v>7.0826904642558601E-4</v>
      </c>
      <c r="S62" s="2"/>
      <c r="T62" s="6">
        <v>2050.15</v>
      </c>
      <c r="U62" s="2"/>
      <c r="V62" s="7">
        <f t="shared" si="22"/>
        <v>7.1060166032373422E-4</v>
      </c>
      <c r="W62" s="2"/>
      <c r="X62" s="6">
        <f t="shared" si="23"/>
        <v>-182.26999999999998</v>
      </c>
      <c r="Y62" s="2"/>
      <c r="Z62" s="7">
        <f t="shared" si="24"/>
        <v>-8.8905689827573575E-2</v>
      </c>
    </row>
    <row r="63" spans="1:26" s="23" customFormat="1" hidden="1" outlineLevel="2" x14ac:dyDescent="0.25">
      <c r="A63" s="25"/>
      <c r="B63" s="10" t="str">
        <f>CONCATENATE("          ", "6113", " - ", "GROUP INSURANCE")</f>
        <v xml:space="preserve">          6113 - GROUP INSURANCE</v>
      </c>
      <c r="C63" s="10"/>
      <c r="D63" s="6">
        <v>1053.8499999999999</v>
      </c>
      <c r="E63" s="2"/>
      <c r="F63" s="7">
        <f t="shared" si="17"/>
        <v>1.6292808916743489E-2</v>
      </c>
      <c r="G63" s="2"/>
      <c r="H63" s="6">
        <v>1035.69</v>
      </c>
      <c r="I63" s="2"/>
      <c r="J63" s="7">
        <f t="shared" si="18"/>
        <v>2.313817441548681E-3</v>
      </c>
      <c r="K63" s="2"/>
      <c r="L63" s="6">
        <f t="shared" si="19"/>
        <v>18.159999999999854</v>
      </c>
      <c r="M63" s="2"/>
      <c r="N63" s="7">
        <f t="shared" si="20"/>
        <v>1.7534204250306419E-2</v>
      </c>
      <c r="O63" s="10"/>
      <c r="P63" s="6">
        <v>12537.88</v>
      </c>
      <c r="Q63" s="2"/>
      <c r="R63" s="7">
        <f t="shared" si="21"/>
        <v>4.7541556801285016E-3</v>
      </c>
      <c r="S63" s="2"/>
      <c r="T63" s="6">
        <v>13627.38</v>
      </c>
      <c r="U63" s="2"/>
      <c r="V63" s="7">
        <f t="shared" si="22"/>
        <v>4.7233806569580029E-3</v>
      </c>
      <c r="W63" s="2"/>
      <c r="X63" s="6">
        <f t="shared" si="23"/>
        <v>-1089.5</v>
      </c>
      <c r="Y63" s="2"/>
      <c r="Z63" s="7">
        <f t="shared" si="24"/>
        <v>-7.9949337290073377E-2</v>
      </c>
    </row>
    <row r="64" spans="1:26" s="23" customFormat="1" hidden="1" outlineLevel="2" x14ac:dyDescent="0.25">
      <c r="A64" s="25"/>
      <c r="B64" s="10" t="str">
        <f>CONCATENATE("          ", "6114", " - ", "STATE UNEMPLOYMENT INSURANCE")</f>
        <v xml:space="preserve">          6114 - STATE UNEMPLOYMENT INSURANCE</v>
      </c>
      <c r="C64" s="10"/>
      <c r="D64" s="6">
        <v>18.63</v>
      </c>
      <c r="E64" s="2"/>
      <c r="F64" s="7">
        <f t="shared" si="17"/>
        <v>2.8802488980303763E-4</v>
      </c>
      <c r="G64" s="2"/>
      <c r="H64" s="6">
        <v>-322.33</v>
      </c>
      <c r="I64" s="2"/>
      <c r="J64" s="7">
        <f t="shared" si="18"/>
        <v>-7.2011197938995862E-4</v>
      </c>
      <c r="K64" s="2"/>
      <c r="L64" s="6">
        <f t="shared" si="19"/>
        <v>340.96</v>
      </c>
      <c r="M64" s="2"/>
      <c r="N64" s="7">
        <f t="shared" si="20"/>
        <v>-1.0577979089752738</v>
      </c>
      <c r="O64" s="10"/>
      <c r="P64" s="6">
        <v>277.20999999999998</v>
      </c>
      <c r="Q64" s="2"/>
      <c r="R64" s="7">
        <f t="shared" si="21"/>
        <v>1.051134239670839E-4</v>
      </c>
      <c r="S64" s="2"/>
      <c r="T64" s="6">
        <v>0</v>
      </c>
      <c r="U64" s="2"/>
      <c r="V64" s="7">
        <f t="shared" si="22"/>
        <v>0</v>
      </c>
      <c r="W64" s="2"/>
      <c r="X64" s="6">
        <f t="shared" si="23"/>
        <v>277.20999999999998</v>
      </c>
      <c r="Y64" s="2"/>
      <c r="Z64" s="7">
        <f t="shared" si="24"/>
        <v>0</v>
      </c>
    </row>
    <row r="65" spans="1:26" s="23" customFormat="1" hidden="1" outlineLevel="2" x14ac:dyDescent="0.25">
      <c r="A65" s="25"/>
      <c r="B65" s="10" t="str">
        <f>CONCATENATE("          ", "6115", " - ", "P.E.R.S.")</f>
        <v xml:space="preserve">          6115 - P.E.R.S.</v>
      </c>
      <c r="C65" s="10"/>
      <c r="D65" s="6">
        <v>287.82</v>
      </c>
      <c r="E65" s="2"/>
      <c r="F65" s="7">
        <f t="shared" si="17"/>
        <v>4.4497758337686683E-3</v>
      </c>
      <c r="G65" s="2"/>
      <c r="H65" s="6">
        <v>159.41999999999999</v>
      </c>
      <c r="I65" s="2"/>
      <c r="J65" s="7">
        <f t="shared" si="18"/>
        <v>3.5615751482749732E-4</v>
      </c>
      <c r="K65" s="2"/>
      <c r="L65" s="6">
        <f t="shared" si="19"/>
        <v>128.4</v>
      </c>
      <c r="M65" s="2"/>
      <c r="N65" s="7">
        <f t="shared" si="20"/>
        <v>0.8054196462175387</v>
      </c>
      <c r="O65" s="10"/>
      <c r="P65" s="6">
        <v>2404.86</v>
      </c>
      <c r="Q65" s="2"/>
      <c r="R65" s="7">
        <f t="shared" si="21"/>
        <v>9.1188293626305475E-4</v>
      </c>
      <c r="S65" s="2"/>
      <c r="T65" s="6">
        <v>2807.7</v>
      </c>
      <c r="U65" s="2"/>
      <c r="V65" s="7">
        <f t="shared" si="22"/>
        <v>9.731757586961678E-4</v>
      </c>
      <c r="W65" s="2"/>
      <c r="X65" s="6">
        <f t="shared" si="23"/>
        <v>-402.83999999999969</v>
      </c>
      <c r="Y65" s="2"/>
      <c r="Z65" s="7">
        <f t="shared" si="24"/>
        <v>-0.14347686718666514</v>
      </c>
    </row>
    <row r="66" spans="1:26" s="23" customFormat="1" hidden="1" outlineLevel="2" x14ac:dyDescent="0.25">
      <c r="A66" s="25"/>
      <c r="B66" s="10" t="str">
        <f>CONCATENATE("          ", "6117", " - ", "RETIREMENT STAFF HOURLY")</f>
        <v xml:space="preserve">          6117 - RETIREMENT STAFF HOURLY</v>
      </c>
      <c r="C66" s="10"/>
      <c r="D66" s="6">
        <v>169.75</v>
      </c>
      <c r="E66" s="2"/>
      <c r="F66" s="7">
        <f t="shared" si="17"/>
        <v>2.6243813764930566E-3</v>
      </c>
      <c r="G66" s="2"/>
      <c r="H66" s="6">
        <v>154.78</v>
      </c>
      <c r="I66" s="2"/>
      <c r="J66" s="7">
        <f t="shared" si="18"/>
        <v>3.4579136962112681E-4</v>
      </c>
      <c r="K66" s="2"/>
      <c r="L66" s="6">
        <f t="shared" si="19"/>
        <v>14.969999999999999</v>
      </c>
      <c r="M66" s="2"/>
      <c r="N66" s="7">
        <f t="shared" si="20"/>
        <v>9.6717922212172111E-2</v>
      </c>
      <c r="O66" s="10"/>
      <c r="P66" s="6">
        <v>2242.48</v>
      </c>
      <c r="Q66" s="2"/>
      <c r="R66" s="7">
        <f t="shared" si="21"/>
        <v>8.5031113948885793E-4</v>
      </c>
      <c r="S66" s="2"/>
      <c r="T66" s="6">
        <v>2058.8200000000002</v>
      </c>
      <c r="U66" s="2"/>
      <c r="V66" s="7">
        <f t="shared" si="22"/>
        <v>7.136067655087241E-4</v>
      </c>
      <c r="W66" s="2"/>
      <c r="X66" s="6">
        <f t="shared" si="23"/>
        <v>183.65999999999985</v>
      </c>
      <c r="Y66" s="2"/>
      <c r="Z66" s="7">
        <f t="shared" si="24"/>
        <v>8.9206438639609018E-2</v>
      </c>
    </row>
    <row r="67" spans="1:26" s="23" customFormat="1" hidden="1" outlineLevel="2" x14ac:dyDescent="0.25">
      <c r="A67" s="25"/>
      <c r="B67" s="10" t="str">
        <f>CONCATENATE("          ", "6118", " - ", "VACATION")</f>
        <v xml:space="preserve">          6118 - VACATION</v>
      </c>
      <c r="C67" s="10"/>
      <c r="D67" s="6">
        <v>267.04000000000002</v>
      </c>
      <c r="E67" s="2"/>
      <c r="F67" s="7">
        <f t="shared" si="17"/>
        <v>4.1285113565755864E-3</v>
      </c>
      <c r="G67" s="2"/>
      <c r="H67" s="6">
        <v>257.8</v>
      </c>
      <c r="I67" s="2"/>
      <c r="J67" s="7">
        <f t="shared" si="18"/>
        <v>5.7594660219877569E-4</v>
      </c>
      <c r="K67" s="2"/>
      <c r="L67" s="6">
        <f t="shared" si="19"/>
        <v>9.2400000000000091</v>
      </c>
      <c r="M67" s="2"/>
      <c r="N67" s="7">
        <f t="shared" si="20"/>
        <v>3.5841737781225791E-2</v>
      </c>
      <c r="O67" s="10"/>
      <c r="P67" s="6">
        <v>3425.3</v>
      </c>
      <c r="Q67" s="2"/>
      <c r="R67" s="7">
        <f t="shared" si="21"/>
        <v>1.29881682159537E-3</v>
      </c>
      <c r="S67" s="2"/>
      <c r="T67" s="6">
        <v>3303.15</v>
      </c>
      <c r="U67" s="2"/>
      <c r="V67" s="7">
        <f t="shared" si="22"/>
        <v>1.1449034823297528E-3</v>
      </c>
      <c r="W67" s="2"/>
      <c r="X67" s="6">
        <f t="shared" si="23"/>
        <v>122.15000000000009</v>
      </c>
      <c r="Y67" s="2"/>
      <c r="Z67" s="7">
        <f t="shared" si="24"/>
        <v>3.6979852564975886E-2</v>
      </c>
    </row>
    <row r="68" spans="1:26" s="23" customFormat="1" hidden="1" outlineLevel="2" x14ac:dyDescent="0.25">
      <c r="A68" s="25"/>
      <c r="B68" s="10" t="str">
        <f>CONCATENATE("          ", "6119", " - ", "SICK LEAVE")</f>
        <v xml:space="preserve">          6119 - SICK LEAVE</v>
      </c>
      <c r="C68" s="10"/>
      <c r="D68" s="6">
        <v>267.63</v>
      </c>
      <c r="E68" s="2"/>
      <c r="F68" s="7">
        <f t="shared" si="17"/>
        <v>4.1376329177663426E-3</v>
      </c>
      <c r="G68" s="2"/>
      <c r="H68" s="6">
        <v>256.57</v>
      </c>
      <c r="I68" s="2"/>
      <c r="J68" s="7">
        <f t="shared" si="18"/>
        <v>5.7319868008588E-4</v>
      </c>
      <c r="K68" s="2"/>
      <c r="L68" s="6">
        <f t="shared" si="19"/>
        <v>11.060000000000002</v>
      </c>
      <c r="M68" s="2"/>
      <c r="N68" s="7">
        <f t="shared" si="20"/>
        <v>4.3107144249132798E-2</v>
      </c>
      <c r="O68" s="10"/>
      <c r="P68" s="6">
        <v>3423.89</v>
      </c>
      <c r="Q68" s="2"/>
      <c r="R68" s="7">
        <f t="shared" si="21"/>
        <v>1.2982821730336527E-3</v>
      </c>
      <c r="S68" s="2"/>
      <c r="T68" s="6">
        <v>-4833.5600000000004</v>
      </c>
      <c r="U68" s="2"/>
      <c r="V68" s="7">
        <f t="shared" si="22"/>
        <v>-1.6753582719676069E-3</v>
      </c>
      <c r="W68" s="2"/>
      <c r="X68" s="6">
        <f t="shared" si="23"/>
        <v>8257.4500000000007</v>
      </c>
      <c r="Y68" s="2"/>
      <c r="Z68" s="7">
        <f t="shared" si="24"/>
        <v>-1.708357814943851</v>
      </c>
    </row>
    <row r="69" spans="1:26" s="23" customFormat="1" hidden="1" outlineLevel="2" x14ac:dyDescent="0.25">
      <c r="A69" s="25"/>
      <c r="B69" s="10" t="str">
        <f>CONCATENATE("          ", "6156", " - ", "EMPLOYEE MEALS")</f>
        <v xml:space="preserve">          6156 - EMPLOYEE MEALS</v>
      </c>
      <c r="C69" s="10"/>
      <c r="D69" s="6">
        <v>215.5</v>
      </c>
      <c r="E69" s="2"/>
      <c r="F69" s="7">
        <f t="shared" si="17"/>
        <v>3.331688875606796E-3</v>
      </c>
      <c r="G69" s="2"/>
      <c r="H69" s="6">
        <v>204.48</v>
      </c>
      <c r="I69" s="2"/>
      <c r="J69" s="7">
        <f t="shared" si="18"/>
        <v>4.5682529564625927E-4</v>
      </c>
      <c r="K69" s="2"/>
      <c r="L69" s="6">
        <f t="shared" si="19"/>
        <v>11.02000000000001</v>
      </c>
      <c r="M69" s="2"/>
      <c r="N69" s="7">
        <f t="shared" si="20"/>
        <v>5.3892801251956238E-2</v>
      </c>
      <c r="O69" s="10"/>
      <c r="P69" s="6">
        <v>2785.19</v>
      </c>
      <c r="Q69" s="2"/>
      <c r="R69" s="7">
        <f t="shared" si="21"/>
        <v>1.0560977500771343E-3</v>
      </c>
      <c r="S69" s="2"/>
      <c r="T69" s="6">
        <v>2063.08</v>
      </c>
      <c r="U69" s="2"/>
      <c r="V69" s="7">
        <f t="shared" si="22"/>
        <v>7.1508332238162556E-4</v>
      </c>
      <c r="W69" s="2"/>
      <c r="X69" s="6">
        <f t="shared" si="23"/>
        <v>722.11000000000013</v>
      </c>
      <c r="Y69" s="2"/>
      <c r="Z69" s="7">
        <f t="shared" si="24"/>
        <v>0.35001551078969317</v>
      </c>
    </row>
    <row r="70" spans="1:26" s="27" customFormat="1" outlineLevel="1" collapsed="1" x14ac:dyDescent="0.25">
      <c r="A70" s="26"/>
      <c r="B70" s="12" t="str">
        <f>CONCATENATE("     ","*Payroll                                          ")</f>
        <v xml:space="preserve">     *Payroll                                          </v>
      </c>
      <c r="C70" s="12"/>
      <c r="D70" s="1">
        <f>SUM(OSRRefD22_1x_0)</f>
        <v>7568.11</v>
      </c>
      <c r="E70" s="1"/>
      <c r="F70" s="5">
        <f t="shared" ref="F70:F75" si="25">IF(D$12=0,0,D70/D$12)</f>
        <v>0.11700504824300952</v>
      </c>
      <c r="G70" s="1"/>
      <c r="H70" s="1">
        <f>SUM(OSRRefH22_1x_0)</f>
        <v>5490.55</v>
      </c>
      <c r="I70" s="1"/>
      <c r="J70" s="5">
        <f t="shared" ref="J70:J75" si="26">IF(H$12=0,0,H70/H$12)</f>
        <v>1.226634451785294E-2</v>
      </c>
      <c r="K70" s="1"/>
      <c r="L70" s="1">
        <f t="shared" ref="L70:L75" si="27">+D70-H70</f>
        <v>2077.5599999999995</v>
      </c>
      <c r="M70" s="1"/>
      <c r="N70" s="5">
        <f t="shared" ref="N70:N75" si="28">IF(H70=0,0,L70/H70)</f>
        <v>0.37838832175282977</v>
      </c>
      <c r="O70" s="12"/>
      <c r="P70" s="1">
        <f>SUM(OSRRefP22_1x_0)</f>
        <v>96957.290000000008</v>
      </c>
      <c r="Q70" s="1"/>
      <c r="R70" s="5">
        <f t="shared" ref="R70:R75" si="29">IF(P$12=0,0,P70/P$12)</f>
        <v>3.6764592657081291E-2</v>
      </c>
      <c r="S70" s="1"/>
      <c r="T70" s="1">
        <f>SUM(OSRRefT22_1x_0)</f>
        <v>106281.83000000002</v>
      </c>
      <c r="U70" s="1"/>
      <c r="V70" s="5">
        <f t="shared" ref="V70:V75" si="30">IF(T$12=0,0,T70/T$12)</f>
        <v>3.6838302007289651E-2</v>
      </c>
      <c r="W70" s="1"/>
      <c r="X70" s="1">
        <f t="shared" ref="X70:X75" si="31">+P70-T70</f>
        <v>-9324.5400000000081</v>
      </c>
      <c r="Y70" s="1"/>
      <c r="Z70" s="5">
        <f t="shared" ref="Z70:Z75" si="32">IF(T70=0,0,X70/T70)</f>
        <v>-8.7734093400537103E-2</v>
      </c>
    </row>
    <row r="71" spans="1:26" s="23" customFormat="1" hidden="1" outlineLevel="2" x14ac:dyDescent="0.25">
      <c r="A71" s="25"/>
      <c r="B71" s="10" t="str">
        <f>CONCATENATE("          ", "6002", " - ", "STAFF SALARIES")</f>
        <v xml:space="preserve">          6002 - STAFF SALARIES</v>
      </c>
      <c r="C71" s="10"/>
      <c r="D71" s="6">
        <v>2354.0700000000002</v>
      </c>
      <c r="E71" s="2"/>
      <c r="F71" s="7">
        <f t="shared" si="25"/>
        <v>3.6394565342922E-2</v>
      </c>
      <c r="G71" s="2"/>
      <c r="H71" s="6">
        <v>2282.3000000000002</v>
      </c>
      <c r="I71" s="2"/>
      <c r="J71" s="7">
        <f t="shared" si="26"/>
        <v>5.0988476733834975E-3</v>
      </c>
      <c r="K71" s="2"/>
      <c r="L71" s="6">
        <f t="shared" si="27"/>
        <v>71.769999999999982</v>
      </c>
      <c r="M71" s="2"/>
      <c r="N71" s="7">
        <f t="shared" si="28"/>
        <v>3.1446347982298548E-2</v>
      </c>
      <c r="O71" s="10"/>
      <c r="P71" s="6">
        <v>27912.61</v>
      </c>
      <c r="Q71" s="2"/>
      <c r="R71" s="7">
        <f t="shared" si="29"/>
        <v>1.0583997723595346E-2</v>
      </c>
      <c r="S71" s="2"/>
      <c r="T71" s="6">
        <v>36505.870000000003</v>
      </c>
      <c r="U71" s="2"/>
      <c r="V71" s="7">
        <f t="shared" si="30"/>
        <v>1.2653284800410898E-2</v>
      </c>
      <c r="W71" s="2"/>
      <c r="X71" s="6">
        <f t="shared" si="31"/>
        <v>-8593.260000000002</v>
      </c>
      <c r="Y71" s="2"/>
      <c r="Z71" s="7">
        <f t="shared" si="32"/>
        <v>-0.23539392431956838</v>
      </c>
    </row>
    <row r="72" spans="1:26" s="23" customFormat="1" hidden="1" outlineLevel="2" x14ac:dyDescent="0.25">
      <c r="A72" s="25"/>
      <c r="B72" s="10" t="str">
        <f>CONCATENATE("          ", "6004", " - ", "STAFF HOURLY")</f>
        <v xml:space="preserve">          6004 - STAFF HOURLY</v>
      </c>
      <c r="C72" s="10"/>
      <c r="D72" s="6">
        <v>3168.99</v>
      </c>
      <c r="E72" s="2"/>
      <c r="F72" s="7">
        <f t="shared" si="25"/>
        <v>4.8993451182873224E-2</v>
      </c>
      <c r="G72" s="2"/>
      <c r="H72" s="6">
        <v>3208.25</v>
      </c>
      <c r="I72" s="2"/>
      <c r="J72" s="7">
        <f t="shared" si="26"/>
        <v>7.1674968444694412E-3</v>
      </c>
      <c r="K72" s="2"/>
      <c r="L72" s="6">
        <f t="shared" si="27"/>
        <v>-39.260000000000218</v>
      </c>
      <c r="M72" s="2"/>
      <c r="N72" s="7">
        <f t="shared" si="28"/>
        <v>-1.2237200966258932E-2</v>
      </c>
      <c r="O72" s="10"/>
      <c r="P72" s="6">
        <v>42904.19</v>
      </c>
      <c r="Q72" s="2"/>
      <c r="R72" s="7">
        <f t="shared" si="29"/>
        <v>1.6268555656124676E-2</v>
      </c>
      <c r="S72" s="2"/>
      <c r="T72" s="6">
        <v>11783.41</v>
      </c>
      <c r="U72" s="2"/>
      <c r="V72" s="7">
        <f t="shared" si="30"/>
        <v>4.0842429628443252E-3</v>
      </c>
      <c r="W72" s="2"/>
      <c r="X72" s="6">
        <f t="shared" si="31"/>
        <v>31120.780000000002</v>
      </c>
      <c r="Y72" s="2"/>
      <c r="Z72" s="7">
        <f t="shared" si="32"/>
        <v>2.6410673989957067</v>
      </c>
    </row>
    <row r="73" spans="1:26" s="23" customFormat="1" hidden="1" outlineLevel="2" x14ac:dyDescent="0.25">
      <c r="A73" s="25"/>
      <c r="B73" s="10" t="str">
        <f>CONCATENATE("          ", "6005", " - ", "TEMPORARY WAGES-HOURLY")</f>
        <v xml:space="preserve">          6005 - TEMPORARY WAGES-HOURLY</v>
      </c>
      <c r="C73" s="10"/>
      <c r="D73" s="6"/>
      <c r="E73" s="2"/>
      <c r="F73" s="7">
        <f t="shared" si="25"/>
        <v>0</v>
      </c>
      <c r="G73" s="2"/>
      <c r="H73" s="6"/>
      <c r="I73" s="2"/>
      <c r="J73" s="7">
        <f t="shared" si="26"/>
        <v>0</v>
      </c>
      <c r="K73" s="2"/>
      <c r="L73" s="6">
        <f t="shared" si="27"/>
        <v>0</v>
      </c>
      <c r="M73" s="2"/>
      <c r="N73" s="7">
        <f t="shared" si="28"/>
        <v>0</v>
      </c>
      <c r="O73" s="10"/>
      <c r="P73" s="6"/>
      <c r="Q73" s="2"/>
      <c r="R73" s="7">
        <f t="shared" si="29"/>
        <v>0</v>
      </c>
      <c r="S73" s="2"/>
      <c r="T73" s="6">
        <v>29960.57</v>
      </c>
      <c r="U73" s="2"/>
      <c r="V73" s="7">
        <f t="shared" si="30"/>
        <v>1.0384621021020638E-2</v>
      </c>
      <c r="W73" s="2"/>
      <c r="X73" s="6">
        <f t="shared" si="31"/>
        <v>-29960.57</v>
      </c>
      <c r="Y73" s="2"/>
      <c r="Z73" s="7">
        <f t="shared" si="32"/>
        <v>-1</v>
      </c>
    </row>
    <row r="74" spans="1:26" s="23" customFormat="1" hidden="1" outlineLevel="2" x14ac:dyDescent="0.25">
      <c r="A74" s="25"/>
      <c r="B74" s="10" t="str">
        <f>CONCATENATE("          ", "6006", " - ", "TEMPORARY PART TIME")</f>
        <v xml:space="preserve">          6006 - TEMPORARY PART TIME</v>
      </c>
      <c r="C74" s="10"/>
      <c r="D74" s="6"/>
      <c r="E74" s="2"/>
      <c r="F74" s="7">
        <f t="shared" si="25"/>
        <v>0</v>
      </c>
      <c r="G74" s="2"/>
      <c r="H74" s="6"/>
      <c r="I74" s="2"/>
      <c r="J74" s="7">
        <f t="shared" si="26"/>
        <v>0</v>
      </c>
      <c r="K74" s="2"/>
      <c r="L74" s="6">
        <f t="shared" si="27"/>
        <v>0</v>
      </c>
      <c r="M74" s="2"/>
      <c r="N74" s="7">
        <f t="shared" si="28"/>
        <v>0</v>
      </c>
      <c r="O74" s="10"/>
      <c r="P74" s="6"/>
      <c r="Q74" s="2"/>
      <c r="R74" s="7">
        <f t="shared" si="29"/>
        <v>0</v>
      </c>
      <c r="S74" s="2"/>
      <c r="T74" s="6">
        <v>9008.99</v>
      </c>
      <c r="U74" s="2"/>
      <c r="V74" s="7">
        <f t="shared" si="30"/>
        <v>3.1226023714557073E-3</v>
      </c>
      <c r="W74" s="2"/>
      <c r="X74" s="6">
        <f t="shared" si="31"/>
        <v>-9008.99</v>
      </c>
      <c r="Y74" s="2"/>
      <c r="Z74" s="7">
        <f t="shared" si="32"/>
        <v>-1</v>
      </c>
    </row>
    <row r="75" spans="1:26" s="23" customFormat="1" hidden="1" outlineLevel="2" x14ac:dyDescent="0.25">
      <c r="A75" s="25"/>
      <c r="B75" s="10" t="str">
        <f>CONCATENATE("          ", "6007", " - ", "STUDENT HOURLY")</f>
        <v xml:space="preserve">          6007 - STUDENT HOURLY</v>
      </c>
      <c r="C75" s="10"/>
      <c r="D75" s="6">
        <v>2045.05</v>
      </c>
      <c r="E75" s="2"/>
      <c r="F75" s="7">
        <f t="shared" si="25"/>
        <v>3.1617031717214285E-2</v>
      </c>
      <c r="G75" s="2"/>
      <c r="H75" s="6"/>
      <c r="I75" s="2"/>
      <c r="J75" s="7">
        <f t="shared" si="26"/>
        <v>0</v>
      </c>
      <c r="K75" s="2"/>
      <c r="L75" s="6">
        <f t="shared" si="27"/>
        <v>2045.05</v>
      </c>
      <c r="M75" s="2"/>
      <c r="N75" s="7">
        <f t="shared" si="28"/>
        <v>0</v>
      </c>
      <c r="O75" s="10"/>
      <c r="P75" s="6">
        <v>26140.49</v>
      </c>
      <c r="Q75" s="2"/>
      <c r="R75" s="7">
        <f t="shared" si="29"/>
        <v>9.9120392773612686E-3</v>
      </c>
      <c r="S75" s="2"/>
      <c r="T75" s="6">
        <v>19022.990000000002</v>
      </c>
      <c r="U75" s="2"/>
      <c r="V75" s="7">
        <f t="shared" si="30"/>
        <v>6.5935508515580785E-3</v>
      </c>
      <c r="W75" s="2"/>
      <c r="X75" s="6">
        <f t="shared" si="31"/>
        <v>7117.5</v>
      </c>
      <c r="Y75" s="2"/>
      <c r="Z75" s="7">
        <f t="shared" si="32"/>
        <v>0.3741525385862054</v>
      </c>
    </row>
    <row r="76" spans="1:26" s="27" customFormat="1" outlineLevel="1" collapsed="1" x14ac:dyDescent="0.25">
      <c r="A76" s="26"/>
      <c r="B76" s="12" t="str">
        <f>CONCATENATE("     ","Advertising/Promo                                 ")</f>
        <v xml:space="preserve">     Advertising/Promo                                 </v>
      </c>
      <c r="C76" s="12"/>
      <c r="D76" s="1">
        <f>SUM(OSRRefD22_2x_0)</f>
        <v>0</v>
      </c>
      <c r="E76" s="1"/>
      <c r="F76" s="5">
        <f t="shared" ref="F76:F84" si="33">IF(D$12=0,0,D76/D$12)</f>
        <v>0</v>
      </c>
      <c r="G76" s="1"/>
      <c r="H76" s="1">
        <f>SUM(OSRRefH22_2x_0)</f>
        <v>34.450000000000003</v>
      </c>
      <c r="I76" s="1"/>
      <c r="J76" s="5">
        <f t="shared" ref="J76:J84" si="34">IF(H$12=0,0,H76/H$12)</f>
        <v>7.6964159991263853E-5</v>
      </c>
      <c r="K76" s="1"/>
      <c r="L76" s="1">
        <f t="shared" ref="L76:L84" si="35">+D76-H76</f>
        <v>-34.450000000000003</v>
      </c>
      <c r="M76" s="1"/>
      <c r="N76" s="5">
        <f t="shared" ref="N76:N84" si="36">IF(H76=0,0,L76/H76)</f>
        <v>-1</v>
      </c>
      <c r="O76" s="12"/>
      <c r="P76" s="1">
        <f>SUM(OSRRefP22_2x_0)</f>
        <v>692.63</v>
      </c>
      <c r="Q76" s="1"/>
      <c r="R76" s="5">
        <f t="shared" ref="R76:R84" si="37">IF(P$12=0,0,P76/P$12)</f>
        <v>2.6263378248375354E-4</v>
      </c>
      <c r="S76" s="1"/>
      <c r="T76" s="1">
        <f>SUM(OSRRefT22_2x_0)</f>
        <v>1780.37</v>
      </c>
      <c r="U76" s="1"/>
      <c r="V76" s="5">
        <f t="shared" ref="V76:V84" si="38">IF(T$12=0,0,T76/T$12)</f>
        <v>6.1709332389852777E-4</v>
      </c>
      <c r="W76" s="1"/>
      <c r="X76" s="1">
        <f t="shared" ref="X76:X84" si="39">+P76-T76</f>
        <v>-1087.7399999999998</v>
      </c>
      <c r="Y76" s="1"/>
      <c r="Z76" s="5">
        <f t="shared" ref="Z76:Z84" si="40">IF(T76=0,0,X76/T76)</f>
        <v>-0.610962889736403</v>
      </c>
    </row>
    <row r="77" spans="1:26" s="23" customFormat="1" hidden="1" outlineLevel="2" x14ac:dyDescent="0.25">
      <c r="A77" s="25"/>
      <c r="B77" s="10" t="str">
        <f>CONCATENATE("          ", "6362", " - ", "ADVERTISING EXPENSE")</f>
        <v xml:space="preserve">          6362 - ADVERTISING EXPENSE</v>
      </c>
      <c r="C77" s="10"/>
      <c r="D77" s="6"/>
      <c r="E77" s="2"/>
      <c r="F77" s="7">
        <f t="shared" si="33"/>
        <v>0</v>
      </c>
      <c r="G77" s="2"/>
      <c r="H77" s="6">
        <v>34.450000000000003</v>
      </c>
      <c r="I77" s="2"/>
      <c r="J77" s="7">
        <f t="shared" si="34"/>
        <v>7.6964159991263853E-5</v>
      </c>
      <c r="K77" s="2"/>
      <c r="L77" s="6">
        <f t="shared" si="35"/>
        <v>-34.450000000000003</v>
      </c>
      <c r="M77" s="2"/>
      <c r="N77" s="7">
        <f t="shared" si="36"/>
        <v>-1</v>
      </c>
      <c r="O77" s="10"/>
      <c r="P77" s="6">
        <v>692.63</v>
      </c>
      <c r="Q77" s="2"/>
      <c r="R77" s="7">
        <f t="shared" si="37"/>
        <v>2.6263378248375354E-4</v>
      </c>
      <c r="S77" s="2"/>
      <c r="T77" s="6">
        <v>1780.37</v>
      </c>
      <c r="U77" s="2"/>
      <c r="V77" s="7">
        <f t="shared" si="38"/>
        <v>6.1709332389852777E-4</v>
      </c>
      <c r="W77" s="2"/>
      <c r="X77" s="6">
        <f t="shared" si="39"/>
        <v>-1087.7399999999998</v>
      </c>
      <c r="Y77" s="2"/>
      <c r="Z77" s="7">
        <f t="shared" si="40"/>
        <v>-0.610962889736403</v>
      </c>
    </row>
    <row r="78" spans="1:26" s="27" customFormat="1" outlineLevel="1" collapsed="1" x14ac:dyDescent="0.25">
      <c r="A78" s="26"/>
      <c r="B78" s="12" t="str">
        <f>CONCATENATE("     ","Depreciation                                      ")</f>
        <v xml:space="preserve">     Depreciation                                      </v>
      </c>
      <c r="C78" s="12"/>
      <c r="D78" s="1">
        <f>SUM(OSRRefD22_3x_0)</f>
        <v>280.45</v>
      </c>
      <c r="E78" s="1"/>
      <c r="F78" s="5">
        <f t="shared" si="33"/>
        <v>4.3358336202502365E-3</v>
      </c>
      <c r="G78" s="1"/>
      <c r="H78" s="1">
        <f>SUM(OSRRefH22_3x_0)</f>
        <v>280.45</v>
      </c>
      <c r="I78" s="1"/>
      <c r="J78" s="5">
        <f t="shared" si="34"/>
        <v>6.2654858257039036E-4</v>
      </c>
      <c r="K78" s="1"/>
      <c r="L78" s="1">
        <f t="shared" si="35"/>
        <v>0</v>
      </c>
      <c r="M78" s="1"/>
      <c r="N78" s="5">
        <f t="shared" si="36"/>
        <v>0</v>
      </c>
      <c r="O78" s="12"/>
      <c r="P78" s="1">
        <f>SUM(OSRRefP22_3x_0)</f>
        <v>3365.29</v>
      </c>
      <c r="Q78" s="1"/>
      <c r="R78" s="5">
        <f t="shared" si="37"/>
        <v>1.2760620271353407E-3</v>
      </c>
      <c r="S78" s="1"/>
      <c r="T78" s="1">
        <f>SUM(OSRRefT22_3x_0)</f>
        <v>3365.29</v>
      </c>
      <c r="U78" s="1"/>
      <c r="V78" s="5">
        <f t="shared" si="38"/>
        <v>1.166441802536819E-3</v>
      </c>
      <c r="W78" s="1"/>
      <c r="X78" s="1">
        <f t="shared" si="39"/>
        <v>0</v>
      </c>
      <c r="Y78" s="1"/>
      <c r="Z78" s="5">
        <f t="shared" si="40"/>
        <v>0</v>
      </c>
    </row>
    <row r="79" spans="1:26" s="23" customFormat="1" hidden="1" outlineLevel="2" x14ac:dyDescent="0.25">
      <c r="A79" s="25"/>
      <c r="B79" s="10" t="str">
        <f>CONCATENATE("          ", "6322", " - ", "EQUIPMENT DEPRECIATION EXPENSE")</f>
        <v xml:space="preserve">          6322 - EQUIPMENT DEPRECIATION EXPENSE</v>
      </c>
      <c r="C79" s="10"/>
      <c r="D79" s="6">
        <v>280.45</v>
      </c>
      <c r="E79" s="2"/>
      <c r="F79" s="7">
        <f t="shared" si="33"/>
        <v>4.3358336202502365E-3</v>
      </c>
      <c r="G79" s="2"/>
      <c r="H79" s="6">
        <v>280.45</v>
      </c>
      <c r="I79" s="2"/>
      <c r="J79" s="7">
        <f t="shared" si="34"/>
        <v>6.2654858257039036E-4</v>
      </c>
      <c r="K79" s="2"/>
      <c r="L79" s="6">
        <f t="shared" si="35"/>
        <v>0</v>
      </c>
      <c r="M79" s="2"/>
      <c r="N79" s="7">
        <f t="shared" si="36"/>
        <v>0</v>
      </c>
      <c r="O79" s="10"/>
      <c r="P79" s="6">
        <v>3365.29</v>
      </c>
      <c r="Q79" s="2"/>
      <c r="R79" s="7">
        <f t="shared" si="37"/>
        <v>1.2760620271353407E-3</v>
      </c>
      <c r="S79" s="2"/>
      <c r="T79" s="6">
        <v>3365.29</v>
      </c>
      <c r="U79" s="2"/>
      <c r="V79" s="7">
        <f t="shared" si="38"/>
        <v>1.166441802536819E-3</v>
      </c>
      <c r="W79" s="2"/>
      <c r="X79" s="6">
        <f t="shared" si="39"/>
        <v>0</v>
      </c>
      <c r="Y79" s="2"/>
      <c r="Z79" s="7">
        <f t="shared" si="40"/>
        <v>0</v>
      </c>
    </row>
    <row r="80" spans="1:26" s="27" customFormat="1" outlineLevel="1" collapsed="1" x14ac:dyDescent="0.25">
      <c r="A80" s="26"/>
      <c r="B80" s="12" t="str">
        <f>CONCATENATE("     ","Discounts and Markdowns                           ")</f>
        <v xml:space="preserve">     Discounts and Markdowns                           </v>
      </c>
      <c r="C80" s="12"/>
      <c r="D80" s="1">
        <f>SUM(OSRRefD22_4x_0)</f>
        <v>0</v>
      </c>
      <c r="E80" s="1"/>
      <c r="F80" s="5">
        <f t="shared" si="33"/>
        <v>0</v>
      </c>
      <c r="G80" s="1"/>
      <c r="H80" s="1">
        <f>SUM(OSRRefH22_4x_0)</f>
        <v>2379.19</v>
      </c>
      <c r="I80" s="1"/>
      <c r="J80" s="5">
        <f t="shared" si="34"/>
        <v>5.3153079770570403E-3</v>
      </c>
      <c r="K80" s="1"/>
      <c r="L80" s="1">
        <f t="shared" si="35"/>
        <v>-2379.19</v>
      </c>
      <c r="M80" s="1"/>
      <c r="N80" s="5">
        <f t="shared" si="36"/>
        <v>-1</v>
      </c>
      <c r="O80" s="12"/>
      <c r="P80" s="1">
        <f>SUM(OSRRefP22_4x_0)</f>
        <v>0</v>
      </c>
      <c r="Q80" s="1"/>
      <c r="R80" s="5">
        <f t="shared" si="37"/>
        <v>0</v>
      </c>
      <c r="S80" s="1"/>
      <c r="T80" s="1">
        <f>SUM(OSRRefT22_4x_0)</f>
        <v>76736.39</v>
      </c>
      <c r="U80" s="1"/>
      <c r="V80" s="5">
        <f t="shared" si="38"/>
        <v>2.6597569027266101E-2</v>
      </c>
      <c r="W80" s="1"/>
      <c r="X80" s="1">
        <f t="shared" si="39"/>
        <v>-76736.39</v>
      </c>
      <c r="Y80" s="1"/>
      <c r="Z80" s="5">
        <f t="shared" si="40"/>
        <v>-1</v>
      </c>
    </row>
    <row r="81" spans="1:26" s="23" customFormat="1" hidden="1" outlineLevel="2" x14ac:dyDescent="0.25">
      <c r="A81" s="25"/>
      <c r="B81" s="10" t="str">
        <f>CONCATENATE("          ", "6382", " - ", "DISCOUNTS/MARK DOWNS")</f>
        <v xml:space="preserve">          6382 - DISCOUNTS/MARK DOWNS</v>
      </c>
      <c r="C81" s="10"/>
      <c r="D81" s="6">
        <v>0</v>
      </c>
      <c r="E81" s="2"/>
      <c r="F81" s="7">
        <f t="shared" si="33"/>
        <v>0</v>
      </c>
      <c r="G81" s="2"/>
      <c r="H81" s="6">
        <v>2379.19</v>
      </c>
      <c r="I81" s="2"/>
      <c r="J81" s="7">
        <f t="shared" si="34"/>
        <v>5.3153079770570403E-3</v>
      </c>
      <c r="K81" s="2"/>
      <c r="L81" s="6">
        <f t="shared" si="35"/>
        <v>-2379.19</v>
      </c>
      <c r="M81" s="2"/>
      <c r="N81" s="7">
        <f t="shared" si="36"/>
        <v>-1</v>
      </c>
      <c r="O81" s="10"/>
      <c r="P81" s="6">
        <v>0</v>
      </c>
      <c r="Q81" s="2"/>
      <c r="R81" s="7">
        <f t="shared" si="37"/>
        <v>0</v>
      </c>
      <c r="S81" s="2"/>
      <c r="T81" s="6">
        <v>76736.39</v>
      </c>
      <c r="U81" s="2"/>
      <c r="V81" s="7">
        <f t="shared" si="38"/>
        <v>2.6597569027266101E-2</v>
      </c>
      <c r="W81" s="2"/>
      <c r="X81" s="6">
        <f t="shared" si="39"/>
        <v>-76736.39</v>
      </c>
      <c r="Y81" s="2"/>
      <c r="Z81" s="7">
        <f t="shared" si="40"/>
        <v>-1</v>
      </c>
    </row>
    <row r="82" spans="1:26" s="27" customFormat="1" outlineLevel="1" collapsed="1" x14ac:dyDescent="0.25">
      <c r="A82" s="26"/>
      <c r="B82" s="12" t="str">
        <f>CONCATENATE("     ","Freight out/Postage                               ")</f>
        <v xml:space="preserve">     Freight out/Postage                               </v>
      </c>
      <c r="C82" s="12"/>
      <c r="D82" s="1">
        <f>SUM(OSRRefD22_5x_0)</f>
        <v>0</v>
      </c>
      <c r="E82" s="1"/>
      <c r="F82" s="5">
        <f t="shared" si="33"/>
        <v>0</v>
      </c>
      <c r="G82" s="1"/>
      <c r="H82" s="1">
        <f>SUM(OSRRefH22_5x_0)</f>
        <v>142.69</v>
      </c>
      <c r="I82" s="1"/>
      <c r="J82" s="5">
        <f t="shared" si="34"/>
        <v>3.1878130592607952E-4</v>
      </c>
      <c r="K82" s="1"/>
      <c r="L82" s="1">
        <f t="shared" si="35"/>
        <v>-142.69</v>
      </c>
      <c r="M82" s="1"/>
      <c r="N82" s="5">
        <f t="shared" si="36"/>
        <v>-1</v>
      </c>
      <c r="O82" s="12"/>
      <c r="P82" s="1">
        <f>SUM(OSRRefP22_5x_0)</f>
        <v>2698.56</v>
      </c>
      <c r="Q82" s="1"/>
      <c r="R82" s="5">
        <f t="shared" si="37"/>
        <v>1.0232490941185885E-3</v>
      </c>
      <c r="S82" s="1"/>
      <c r="T82" s="1">
        <f>SUM(OSRRefT22_5x_0)</f>
        <v>263.27999999999997</v>
      </c>
      <c r="U82" s="1"/>
      <c r="V82" s="5">
        <f t="shared" si="38"/>
        <v>9.1255374060450562E-5</v>
      </c>
      <c r="W82" s="1"/>
      <c r="X82" s="1">
        <f t="shared" si="39"/>
        <v>2435.2799999999997</v>
      </c>
      <c r="Y82" s="1"/>
      <c r="Z82" s="5">
        <f t="shared" si="40"/>
        <v>9.2497721057429345</v>
      </c>
    </row>
    <row r="83" spans="1:26" s="23" customFormat="1" hidden="1" outlineLevel="2" x14ac:dyDescent="0.25">
      <c r="A83" s="25"/>
      <c r="B83" s="10" t="str">
        <f>CONCATENATE("          ", "6305", " - ", "FREIGHT OUT")</f>
        <v xml:space="preserve">          6305 - FREIGHT OUT</v>
      </c>
      <c r="C83" s="10"/>
      <c r="D83" s="6"/>
      <c r="E83" s="2"/>
      <c r="F83" s="7">
        <f t="shared" si="33"/>
        <v>0</v>
      </c>
      <c r="G83" s="2"/>
      <c r="H83" s="6">
        <v>142.69</v>
      </c>
      <c r="I83" s="2"/>
      <c r="J83" s="7">
        <f t="shared" si="34"/>
        <v>3.1878130592607952E-4</v>
      </c>
      <c r="K83" s="2"/>
      <c r="L83" s="6">
        <f t="shared" si="35"/>
        <v>-142.69</v>
      </c>
      <c r="M83" s="2"/>
      <c r="N83" s="7">
        <f t="shared" si="36"/>
        <v>-1</v>
      </c>
      <c r="O83" s="10"/>
      <c r="P83" s="6">
        <v>2685.96</v>
      </c>
      <c r="Q83" s="2"/>
      <c r="R83" s="7">
        <f t="shared" si="37"/>
        <v>1.0184713835670743E-3</v>
      </c>
      <c r="S83" s="2"/>
      <c r="T83" s="6">
        <v>263.27999999999997</v>
      </c>
      <c r="U83" s="2"/>
      <c r="V83" s="7">
        <f t="shared" si="38"/>
        <v>9.1255374060450562E-5</v>
      </c>
      <c r="W83" s="2"/>
      <c r="X83" s="6">
        <f t="shared" si="39"/>
        <v>2422.6800000000003</v>
      </c>
      <c r="Y83" s="2"/>
      <c r="Z83" s="7">
        <f t="shared" si="40"/>
        <v>9.2019143117593458</v>
      </c>
    </row>
    <row r="84" spans="1:26" s="23" customFormat="1" hidden="1" outlineLevel="2" x14ac:dyDescent="0.25">
      <c r="A84" s="25"/>
      <c r="B84" s="10" t="str">
        <f>CONCATENATE("          ", "6307", " - ", "POSTAGE")</f>
        <v xml:space="preserve">          6307 - POSTAGE</v>
      </c>
      <c r="C84" s="10"/>
      <c r="D84" s="6"/>
      <c r="E84" s="2"/>
      <c r="F84" s="7">
        <f t="shared" si="33"/>
        <v>0</v>
      </c>
      <c r="G84" s="2"/>
      <c r="H84" s="6"/>
      <c r="I84" s="2"/>
      <c r="J84" s="7">
        <f t="shared" si="34"/>
        <v>0</v>
      </c>
      <c r="K84" s="2"/>
      <c r="L84" s="6">
        <f t="shared" si="35"/>
        <v>0</v>
      </c>
      <c r="M84" s="2"/>
      <c r="N84" s="7">
        <f t="shared" si="36"/>
        <v>0</v>
      </c>
      <c r="O84" s="10"/>
      <c r="P84" s="6">
        <v>12.6</v>
      </c>
      <c r="Q84" s="2"/>
      <c r="R84" s="7">
        <f t="shared" si="37"/>
        <v>4.7777105515142208E-6</v>
      </c>
      <c r="S84" s="2"/>
      <c r="T84" s="6"/>
      <c r="U84" s="2"/>
      <c r="V84" s="7">
        <f t="shared" si="38"/>
        <v>0</v>
      </c>
      <c r="W84" s="2"/>
      <c r="X84" s="6">
        <f t="shared" si="39"/>
        <v>12.6</v>
      </c>
      <c r="Y84" s="2"/>
      <c r="Z84" s="7">
        <f t="shared" si="40"/>
        <v>0</v>
      </c>
    </row>
    <row r="85" spans="1:26" s="27" customFormat="1" outlineLevel="1" collapsed="1" x14ac:dyDescent="0.25">
      <c r="A85" s="26"/>
      <c r="B85" s="12" t="str">
        <f>CONCATENATE("     ","General                                           ")</f>
        <v xml:space="preserve">     General                                           </v>
      </c>
      <c r="C85" s="12"/>
      <c r="D85" s="1">
        <f>SUM(OSRRefD22_6x_0)</f>
        <v>0</v>
      </c>
      <c r="E85" s="1"/>
      <c r="F85" s="5">
        <f t="shared" ref="F85:F95" si="41">IF(D$12=0,0,D85/D$12)</f>
        <v>0</v>
      </c>
      <c r="G85" s="1"/>
      <c r="H85" s="1">
        <f>SUM(OSRRefH22_6x_0)</f>
        <v>0</v>
      </c>
      <c r="I85" s="1"/>
      <c r="J85" s="5">
        <f t="shared" ref="J85:J95" si="42">IF(H$12=0,0,H85/H$12)</f>
        <v>0</v>
      </c>
      <c r="K85" s="1"/>
      <c r="L85" s="1">
        <f t="shared" ref="L85:L95" si="43">+D85-H85</f>
        <v>0</v>
      </c>
      <c r="M85" s="1"/>
      <c r="N85" s="5">
        <f t="shared" ref="N85:N95" si="44">IF(H85=0,0,L85/H85)</f>
        <v>0</v>
      </c>
      <c r="O85" s="12"/>
      <c r="P85" s="1">
        <f>SUM(OSRRefP22_6x_0)</f>
        <v>254.85</v>
      </c>
      <c r="Q85" s="1"/>
      <c r="R85" s="5">
        <f t="shared" ref="R85:R95" si="45">IF(P$12=0,0,P85/P$12)</f>
        <v>9.6634883655031685E-5</v>
      </c>
      <c r="S85" s="1"/>
      <c r="T85" s="1">
        <f>SUM(OSRRefT22_6x_0)</f>
        <v>205</v>
      </c>
      <c r="U85" s="1"/>
      <c r="V85" s="5">
        <f t="shared" ref="V85:V95" si="46">IF(T$12=0,0,T85/T$12)</f>
        <v>7.1054966888454759E-5</v>
      </c>
      <c r="W85" s="1"/>
      <c r="X85" s="1">
        <f t="shared" ref="X85:X95" si="47">+P85-T85</f>
        <v>49.849999999999994</v>
      </c>
      <c r="Y85" s="1"/>
      <c r="Z85" s="5">
        <f t="shared" ref="Z85:Z95" si="48">IF(T85=0,0,X85/T85)</f>
        <v>0.24317073170731704</v>
      </c>
    </row>
    <row r="86" spans="1:26" s="23" customFormat="1" hidden="1" outlineLevel="2" x14ac:dyDescent="0.25">
      <c r="A86" s="25"/>
      <c r="B86" s="10" t="str">
        <f>CONCATENATE("          ", "6279", " - ", "GENERAL EXPENSE")</f>
        <v xml:space="preserve">          6279 - GENERAL EXPENSE</v>
      </c>
      <c r="C86" s="10"/>
      <c r="D86" s="6"/>
      <c r="E86" s="2"/>
      <c r="F86" s="7">
        <f t="shared" si="41"/>
        <v>0</v>
      </c>
      <c r="G86" s="2"/>
      <c r="H86" s="6"/>
      <c r="I86" s="2"/>
      <c r="J86" s="7">
        <f t="shared" si="42"/>
        <v>0</v>
      </c>
      <c r="K86" s="2"/>
      <c r="L86" s="6">
        <f t="shared" si="43"/>
        <v>0</v>
      </c>
      <c r="M86" s="2"/>
      <c r="N86" s="7">
        <f t="shared" si="44"/>
        <v>0</v>
      </c>
      <c r="O86" s="10"/>
      <c r="P86" s="6">
        <v>254.85</v>
      </c>
      <c r="Q86" s="2"/>
      <c r="R86" s="7">
        <f t="shared" si="45"/>
        <v>9.6634883655031685E-5</v>
      </c>
      <c r="S86" s="2"/>
      <c r="T86" s="6">
        <v>205</v>
      </c>
      <c r="U86" s="2"/>
      <c r="V86" s="7">
        <f t="shared" si="46"/>
        <v>7.1054966888454759E-5</v>
      </c>
      <c r="W86" s="2"/>
      <c r="X86" s="6">
        <f t="shared" si="47"/>
        <v>49.849999999999994</v>
      </c>
      <c r="Y86" s="2"/>
      <c r="Z86" s="7">
        <f t="shared" si="48"/>
        <v>0.24317073170731704</v>
      </c>
    </row>
    <row r="87" spans="1:26" s="27" customFormat="1" outlineLevel="1" collapsed="1" x14ac:dyDescent="0.25">
      <c r="A87" s="26"/>
      <c r="B87" s="12" t="str">
        <f>CONCATENATE("     ","Inventory Adjustment                              ")</f>
        <v xml:space="preserve">     Inventory Adjustment                              </v>
      </c>
      <c r="C87" s="12"/>
      <c r="D87" s="1">
        <f>SUM(OSRRefD22_7x_0)</f>
        <v>-13750</v>
      </c>
      <c r="E87" s="1"/>
      <c r="F87" s="5">
        <f t="shared" si="41"/>
        <v>-0.21257875656423875</v>
      </c>
      <c r="G87" s="1"/>
      <c r="H87" s="1">
        <f>SUM(OSRRefH22_7x_0)</f>
        <v>-43236</v>
      </c>
      <c r="I87" s="1"/>
      <c r="J87" s="5">
        <f t="shared" si="42"/>
        <v>-9.6592813392809396E-2</v>
      </c>
      <c r="K87" s="1"/>
      <c r="L87" s="1">
        <f t="shared" si="43"/>
        <v>29486</v>
      </c>
      <c r="M87" s="1"/>
      <c r="N87" s="5">
        <f t="shared" si="44"/>
        <v>-0.68197798131186971</v>
      </c>
      <c r="O87" s="12"/>
      <c r="P87" s="1">
        <f>SUM(OSRRefP22_7x_0)</f>
        <v>0</v>
      </c>
      <c r="Q87" s="1"/>
      <c r="R87" s="5">
        <f t="shared" si="45"/>
        <v>0</v>
      </c>
      <c r="S87" s="1"/>
      <c r="T87" s="1">
        <f>SUM(OSRRefT22_7x_0)</f>
        <v>-43236</v>
      </c>
      <c r="U87" s="1"/>
      <c r="V87" s="5">
        <f t="shared" si="46"/>
        <v>-1.4986012431166975E-2</v>
      </c>
      <c r="W87" s="1"/>
      <c r="X87" s="1">
        <f t="shared" si="47"/>
        <v>43236</v>
      </c>
      <c r="Y87" s="1"/>
      <c r="Z87" s="5">
        <f t="shared" si="48"/>
        <v>-1</v>
      </c>
    </row>
    <row r="88" spans="1:26" s="23" customFormat="1" hidden="1" outlineLevel="2" x14ac:dyDescent="0.25">
      <c r="A88" s="25"/>
      <c r="B88" s="10" t="str">
        <f>CONCATENATE("          ", "6408", " - ", "INVENTORY ADJUSTMENT")</f>
        <v xml:space="preserve">          6408 - INVENTORY ADJUSTMENT</v>
      </c>
      <c r="C88" s="10"/>
      <c r="D88" s="6">
        <v>-13750</v>
      </c>
      <c r="E88" s="2"/>
      <c r="F88" s="7">
        <f t="shared" si="41"/>
        <v>-0.21257875656423875</v>
      </c>
      <c r="G88" s="2"/>
      <c r="H88" s="6"/>
      <c r="I88" s="2"/>
      <c r="J88" s="7">
        <f t="shared" si="42"/>
        <v>0</v>
      </c>
      <c r="K88" s="2"/>
      <c r="L88" s="6">
        <f t="shared" si="43"/>
        <v>-13750</v>
      </c>
      <c r="M88" s="2"/>
      <c r="N88" s="7">
        <f t="shared" si="44"/>
        <v>0</v>
      </c>
      <c r="O88" s="10"/>
      <c r="P88" s="6">
        <v>0</v>
      </c>
      <c r="Q88" s="2"/>
      <c r="R88" s="7">
        <f t="shared" si="45"/>
        <v>0</v>
      </c>
      <c r="S88" s="2"/>
      <c r="T88" s="6"/>
      <c r="U88" s="2"/>
      <c r="V88" s="7">
        <f t="shared" si="46"/>
        <v>0</v>
      </c>
      <c r="W88" s="2"/>
      <c r="X88" s="6">
        <f t="shared" si="47"/>
        <v>0</v>
      </c>
      <c r="Y88" s="2"/>
      <c r="Z88" s="7">
        <f t="shared" si="48"/>
        <v>0</v>
      </c>
    </row>
    <row r="89" spans="1:26" s="23" customFormat="1" hidden="1" outlineLevel="2" x14ac:dyDescent="0.25">
      <c r="A89" s="25"/>
      <c r="B89" s="10" t="str">
        <f>CONCATENATE("          ", "7781", " - ", "INV. SHRINKAGE-ELECTRONICS")</f>
        <v xml:space="preserve">          7781 - INV. SHRINKAGE-ELECTRONICS</v>
      </c>
      <c r="C89" s="10"/>
      <c r="D89" s="6"/>
      <c r="E89" s="2"/>
      <c r="F89" s="7">
        <f t="shared" si="41"/>
        <v>0</v>
      </c>
      <c r="G89" s="2"/>
      <c r="H89" s="6">
        <v>-18505</v>
      </c>
      <c r="I89" s="2"/>
      <c r="J89" s="7">
        <f t="shared" si="42"/>
        <v>-4.1341706259458273E-2</v>
      </c>
      <c r="K89" s="2"/>
      <c r="L89" s="6">
        <f t="shared" si="43"/>
        <v>18505</v>
      </c>
      <c r="M89" s="2"/>
      <c r="N89" s="7">
        <f t="shared" si="44"/>
        <v>-1</v>
      </c>
      <c r="O89" s="10"/>
      <c r="P89" s="6"/>
      <c r="Q89" s="2"/>
      <c r="R89" s="7">
        <f t="shared" si="45"/>
        <v>0</v>
      </c>
      <c r="S89" s="2"/>
      <c r="T89" s="6">
        <v>-18505</v>
      </c>
      <c r="U89" s="2"/>
      <c r="V89" s="7">
        <f t="shared" si="46"/>
        <v>-6.4140105476627081E-3</v>
      </c>
      <c r="W89" s="2"/>
      <c r="X89" s="6">
        <f t="shared" si="47"/>
        <v>18505</v>
      </c>
      <c r="Y89" s="2"/>
      <c r="Z89" s="7">
        <f t="shared" si="48"/>
        <v>-1</v>
      </c>
    </row>
    <row r="90" spans="1:26" s="23" customFormat="1" hidden="1" outlineLevel="2" x14ac:dyDescent="0.25">
      <c r="A90" s="25"/>
      <c r="B90" s="10" t="str">
        <f>CONCATENATE("          ", "7782", " - ", "INV. SHRINKAGE-COMPUTER HARDWA")</f>
        <v xml:space="preserve">          7782 - INV. SHRINKAGE-COMPUTER HARDWA</v>
      </c>
      <c r="C90" s="10"/>
      <c r="D90" s="6"/>
      <c r="E90" s="2"/>
      <c r="F90" s="7">
        <f t="shared" si="41"/>
        <v>0</v>
      </c>
      <c r="G90" s="2"/>
      <c r="H90" s="6">
        <v>-30263</v>
      </c>
      <c r="I90" s="2"/>
      <c r="J90" s="7">
        <f t="shared" si="42"/>
        <v>-6.7610054392325633E-2</v>
      </c>
      <c r="K90" s="2"/>
      <c r="L90" s="6">
        <f t="shared" si="43"/>
        <v>30263</v>
      </c>
      <c r="M90" s="2"/>
      <c r="N90" s="7">
        <f t="shared" si="44"/>
        <v>-1</v>
      </c>
      <c r="O90" s="10"/>
      <c r="P90" s="6"/>
      <c r="Q90" s="2"/>
      <c r="R90" s="7">
        <f t="shared" si="45"/>
        <v>0</v>
      </c>
      <c r="S90" s="2"/>
      <c r="T90" s="6">
        <v>-30263</v>
      </c>
      <c r="U90" s="2"/>
      <c r="V90" s="7">
        <f t="shared" si="46"/>
        <v>-1.048944616070881E-2</v>
      </c>
      <c r="W90" s="2"/>
      <c r="X90" s="6">
        <f t="shared" si="47"/>
        <v>30263</v>
      </c>
      <c r="Y90" s="2"/>
      <c r="Z90" s="7">
        <f t="shared" si="48"/>
        <v>-1</v>
      </c>
    </row>
    <row r="91" spans="1:26" s="23" customFormat="1" hidden="1" outlineLevel="2" x14ac:dyDescent="0.25">
      <c r="A91" s="25"/>
      <c r="B91" s="10" t="str">
        <f>CONCATENATE("          ", "7783", " - ", "INV. SHRINKAGE-COMPUTER EQUIPM")</f>
        <v xml:space="preserve">          7783 - INV. SHRINKAGE-COMPUTER EQUIPM</v>
      </c>
      <c r="C91" s="10"/>
      <c r="D91" s="6"/>
      <c r="E91" s="2"/>
      <c r="F91" s="7">
        <f t="shared" si="41"/>
        <v>0</v>
      </c>
      <c r="G91" s="2"/>
      <c r="H91" s="6">
        <v>2729</v>
      </c>
      <c r="I91" s="2"/>
      <c r="J91" s="7">
        <f t="shared" si="42"/>
        <v>6.096812557798521E-3</v>
      </c>
      <c r="K91" s="2"/>
      <c r="L91" s="6">
        <f t="shared" si="43"/>
        <v>-2729</v>
      </c>
      <c r="M91" s="2"/>
      <c r="N91" s="7">
        <f t="shared" si="44"/>
        <v>-1</v>
      </c>
      <c r="O91" s="10"/>
      <c r="P91" s="6"/>
      <c r="Q91" s="2"/>
      <c r="R91" s="7">
        <f t="shared" si="45"/>
        <v>0</v>
      </c>
      <c r="S91" s="2"/>
      <c r="T91" s="6">
        <v>2729</v>
      </c>
      <c r="U91" s="2"/>
      <c r="V91" s="7">
        <f t="shared" si="46"/>
        <v>9.4589758360289281E-4</v>
      </c>
      <c r="W91" s="2"/>
      <c r="X91" s="6">
        <f t="shared" si="47"/>
        <v>-2729</v>
      </c>
      <c r="Y91" s="2"/>
      <c r="Z91" s="7">
        <f t="shared" si="48"/>
        <v>-1</v>
      </c>
    </row>
    <row r="92" spans="1:26" s="23" customFormat="1" hidden="1" outlineLevel="2" x14ac:dyDescent="0.25">
      <c r="A92" s="25"/>
      <c r="B92" s="10" t="str">
        <f>CONCATENATE("          ", "7784", " - ", "INV. SHRINKAGE-SOFTWARE LICENS")</f>
        <v xml:space="preserve">          7784 - INV. SHRINKAGE-SOFTWARE LICENS</v>
      </c>
      <c r="C92" s="10"/>
      <c r="D92" s="6"/>
      <c r="E92" s="2"/>
      <c r="F92" s="7">
        <f t="shared" si="41"/>
        <v>0</v>
      </c>
      <c r="G92" s="2"/>
      <c r="H92" s="6">
        <v>1394</v>
      </c>
      <c r="I92" s="2"/>
      <c r="J92" s="7">
        <f t="shared" si="42"/>
        <v>3.1143117279483832E-3</v>
      </c>
      <c r="K92" s="2"/>
      <c r="L92" s="6">
        <f t="shared" si="43"/>
        <v>-1394</v>
      </c>
      <c r="M92" s="2"/>
      <c r="N92" s="7">
        <f t="shared" si="44"/>
        <v>-1</v>
      </c>
      <c r="O92" s="10"/>
      <c r="P92" s="6"/>
      <c r="Q92" s="2"/>
      <c r="R92" s="7">
        <f t="shared" si="45"/>
        <v>0</v>
      </c>
      <c r="S92" s="2"/>
      <c r="T92" s="6">
        <v>1394</v>
      </c>
      <c r="U92" s="2"/>
      <c r="V92" s="7">
        <f t="shared" si="46"/>
        <v>4.8317377484149234E-4</v>
      </c>
      <c r="W92" s="2"/>
      <c r="X92" s="6">
        <f t="shared" si="47"/>
        <v>-1394</v>
      </c>
      <c r="Y92" s="2"/>
      <c r="Z92" s="7">
        <f t="shared" si="48"/>
        <v>-1</v>
      </c>
    </row>
    <row r="93" spans="1:26" s="23" customFormat="1" hidden="1" outlineLevel="2" x14ac:dyDescent="0.25">
      <c r="A93" s="25"/>
      <c r="B93" s="10" t="str">
        <f>CONCATENATE("          ", "7785", " - ", "INV. SHRINKAGE-SOFTWARE")</f>
        <v xml:space="preserve">          7785 - INV. SHRINKAGE-SOFTWARE</v>
      </c>
      <c r="C93" s="10"/>
      <c r="D93" s="6"/>
      <c r="E93" s="2"/>
      <c r="F93" s="7">
        <f t="shared" si="41"/>
        <v>0</v>
      </c>
      <c r="G93" s="2"/>
      <c r="H93" s="6">
        <v>-3743</v>
      </c>
      <c r="I93" s="2"/>
      <c r="J93" s="7">
        <f t="shared" si="42"/>
        <v>-8.3621727386734568E-3</v>
      </c>
      <c r="K93" s="2"/>
      <c r="L93" s="6">
        <f t="shared" si="43"/>
        <v>3743</v>
      </c>
      <c r="M93" s="2"/>
      <c r="N93" s="7">
        <f t="shared" si="44"/>
        <v>-1</v>
      </c>
      <c r="O93" s="10"/>
      <c r="P93" s="6"/>
      <c r="Q93" s="2"/>
      <c r="R93" s="7">
        <f t="shared" si="45"/>
        <v>0</v>
      </c>
      <c r="S93" s="2"/>
      <c r="T93" s="6">
        <v>-3743</v>
      </c>
      <c r="U93" s="2"/>
      <c r="V93" s="7">
        <f t="shared" si="46"/>
        <v>-1.2973597125048105E-3</v>
      </c>
      <c r="W93" s="2"/>
      <c r="X93" s="6">
        <f t="shared" si="47"/>
        <v>3743</v>
      </c>
      <c r="Y93" s="2"/>
      <c r="Z93" s="7">
        <f t="shared" si="48"/>
        <v>-1</v>
      </c>
    </row>
    <row r="94" spans="1:26" s="23" customFormat="1" hidden="1" outlineLevel="2" x14ac:dyDescent="0.25">
      <c r="A94" s="25"/>
      <c r="B94" s="10" t="str">
        <f>CONCATENATE("          ", "7786", " - ", "INV. SHRINKAGE-COMPUTER SUPPLI")</f>
        <v xml:space="preserve">          7786 - INV. SHRINKAGE-COMPUTER SUPPLI</v>
      </c>
      <c r="C94" s="10"/>
      <c r="D94" s="6"/>
      <c r="E94" s="2"/>
      <c r="F94" s="7">
        <f t="shared" si="41"/>
        <v>0</v>
      </c>
      <c r="G94" s="2"/>
      <c r="H94" s="6">
        <v>5000</v>
      </c>
      <c r="I94" s="2"/>
      <c r="J94" s="7">
        <f t="shared" si="42"/>
        <v>1.1170415093071677E-2</v>
      </c>
      <c r="K94" s="2"/>
      <c r="L94" s="6">
        <f t="shared" si="43"/>
        <v>-5000</v>
      </c>
      <c r="M94" s="2"/>
      <c r="N94" s="7">
        <f t="shared" si="44"/>
        <v>-1</v>
      </c>
      <c r="O94" s="10"/>
      <c r="P94" s="6"/>
      <c r="Q94" s="2"/>
      <c r="R94" s="7">
        <f t="shared" si="45"/>
        <v>0</v>
      </c>
      <c r="S94" s="2"/>
      <c r="T94" s="6">
        <v>5000</v>
      </c>
      <c r="U94" s="2"/>
      <c r="V94" s="7">
        <f t="shared" si="46"/>
        <v>1.7330479728891403E-3</v>
      </c>
      <c r="W94" s="2"/>
      <c r="X94" s="6">
        <f t="shared" si="47"/>
        <v>-5000</v>
      </c>
      <c r="Y94" s="2"/>
      <c r="Z94" s="7">
        <f t="shared" si="48"/>
        <v>-1</v>
      </c>
    </row>
    <row r="95" spans="1:26" s="23" customFormat="1" hidden="1" outlineLevel="2" x14ac:dyDescent="0.25">
      <c r="A95" s="25"/>
      <c r="B95" s="10" t="str">
        <f>CONCATENATE("          ", "7788", " - ", "INV. SHRINKAGE-MUSIC")</f>
        <v xml:space="preserve">          7788 - INV. SHRINKAGE-MUSIC</v>
      </c>
      <c r="C95" s="10"/>
      <c r="D95" s="6"/>
      <c r="E95" s="2"/>
      <c r="F95" s="7">
        <f t="shared" si="41"/>
        <v>0</v>
      </c>
      <c r="G95" s="2"/>
      <c r="H95" s="6">
        <v>152</v>
      </c>
      <c r="I95" s="2"/>
      <c r="J95" s="7">
        <f t="shared" si="42"/>
        <v>3.3958061882937899E-4</v>
      </c>
      <c r="K95" s="2"/>
      <c r="L95" s="6">
        <f t="shared" si="43"/>
        <v>-152</v>
      </c>
      <c r="M95" s="2"/>
      <c r="N95" s="7">
        <f t="shared" si="44"/>
        <v>-1</v>
      </c>
      <c r="O95" s="10"/>
      <c r="P95" s="6"/>
      <c r="Q95" s="2"/>
      <c r="R95" s="7">
        <f t="shared" si="45"/>
        <v>0</v>
      </c>
      <c r="S95" s="2"/>
      <c r="T95" s="6">
        <v>152</v>
      </c>
      <c r="U95" s="2"/>
      <c r="V95" s="7">
        <f t="shared" si="46"/>
        <v>5.2684658375829866E-5</v>
      </c>
      <c r="W95" s="2"/>
      <c r="X95" s="6">
        <f t="shared" si="47"/>
        <v>-152</v>
      </c>
      <c r="Y95" s="2"/>
      <c r="Z95" s="7">
        <f t="shared" si="48"/>
        <v>-1</v>
      </c>
    </row>
    <row r="96" spans="1:26" s="27" customFormat="1" outlineLevel="1" collapsed="1" x14ac:dyDescent="0.25">
      <c r="A96" s="26"/>
      <c r="B96" s="12" t="str">
        <f>CONCATENATE("     ","Repair and Maintenance                            ")</f>
        <v xml:space="preserve">     Repair and Maintenance                            </v>
      </c>
      <c r="C96" s="12"/>
      <c r="D96" s="1">
        <f>SUM(OSRRefD22_8x_0)</f>
        <v>-190</v>
      </c>
      <c r="E96" s="1"/>
      <c r="F96" s="5">
        <f t="shared" ref="F96:F98" si="49">IF(D$12=0,0,D96/D$12)</f>
        <v>-2.9374519088876624E-3</v>
      </c>
      <c r="G96" s="1"/>
      <c r="H96" s="1">
        <f>SUM(OSRRefH22_8x_0)</f>
        <v>0</v>
      </c>
      <c r="I96" s="1"/>
      <c r="J96" s="5">
        <f t="shared" ref="J96:J98" si="50">IF(H$12=0,0,H96/H$12)</f>
        <v>0</v>
      </c>
      <c r="K96" s="1"/>
      <c r="L96" s="1">
        <f t="shared" ref="L96:L98" si="51">+D96-H96</f>
        <v>-190</v>
      </c>
      <c r="M96" s="1"/>
      <c r="N96" s="5">
        <f t="shared" ref="N96:N98" si="52">IF(H96=0,0,L96/H96)</f>
        <v>0</v>
      </c>
      <c r="O96" s="12"/>
      <c r="P96" s="1">
        <f>SUM(OSRRefP22_8x_0)</f>
        <v>1360</v>
      </c>
      <c r="Q96" s="1"/>
      <c r="R96" s="5">
        <f t="shared" ref="R96:R98" si="53">IF(P$12=0,0,P96/P$12)</f>
        <v>5.1568939286185237E-4</v>
      </c>
      <c r="S96" s="1"/>
      <c r="T96" s="1">
        <f>SUM(OSRRefT22_8x_0)</f>
        <v>197.18</v>
      </c>
      <c r="U96" s="1"/>
      <c r="V96" s="5">
        <f t="shared" ref="V96:V98" si="54">IF(T$12=0,0,T96/T$12)</f>
        <v>6.8344479858856137E-5</v>
      </c>
      <c r="W96" s="1"/>
      <c r="X96" s="1">
        <f t="shared" ref="X96:X98" si="55">+P96-T96</f>
        <v>1162.82</v>
      </c>
      <c r="Y96" s="1"/>
      <c r="Z96" s="5">
        <f t="shared" ref="Z96:Z98" si="56">IF(T96=0,0,X96/T96)</f>
        <v>5.8972512425195251</v>
      </c>
    </row>
    <row r="97" spans="1:26" s="23" customFormat="1" hidden="1" outlineLevel="2" x14ac:dyDescent="0.25">
      <c r="A97" s="25"/>
      <c r="B97" s="10" t="str">
        <f>CONCATENATE("          ", "6371", " - ", "COMPUTER SOFTWARE MAINTENANCE")</f>
        <v xml:space="preserve">          6371 - COMPUTER SOFTWARE MAINTENANCE</v>
      </c>
      <c r="C97" s="10"/>
      <c r="D97" s="6"/>
      <c r="E97" s="2"/>
      <c r="F97" s="7">
        <f t="shared" si="49"/>
        <v>0</v>
      </c>
      <c r="G97" s="2"/>
      <c r="H97" s="6"/>
      <c r="I97" s="2"/>
      <c r="J97" s="7">
        <f t="shared" si="50"/>
        <v>0</v>
      </c>
      <c r="K97" s="2"/>
      <c r="L97" s="6">
        <f t="shared" si="51"/>
        <v>0</v>
      </c>
      <c r="M97" s="2"/>
      <c r="N97" s="7">
        <f t="shared" si="52"/>
        <v>0</v>
      </c>
      <c r="O97" s="10"/>
      <c r="P97" s="6">
        <v>1550</v>
      </c>
      <c r="Q97" s="2"/>
      <c r="R97" s="7">
        <f t="shared" si="53"/>
        <v>5.8773423451167009E-4</v>
      </c>
      <c r="S97" s="2"/>
      <c r="T97" s="6"/>
      <c r="U97" s="2"/>
      <c r="V97" s="7">
        <f t="shared" si="54"/>
        <v>0</v>
      </c>
      <c r="W97" s="2"/>
      <c r="X97" s="6">
        <f t="shared" si="55"/>
        <v>1550</v>
      </c>
      <c r="Y97" s="2"/>
      <c r="Z97" s="7">
        <f t="shared" si="56"/>
        <v>0</v>
      </c>
    </row>
    <row r="98" spans="1:26" s="23" customFormat="1" hidden="1" outlineLevel="2" x14ac:dyDescent="0.25">
      <c r="A98" s="25"/>
      <c r="B98" s="10" t="str">
        <f>CONCATENATE("          ", "6375", " - ", "OUTSIDE REPAIRS &amp; MAINTENANCE")</f>
        <v xml:space="preserve">          6375 - OUTSIDE REPAIRS &amp; MAINTENANCE</v>
      </c>
      <c r="C98" s="10"/>
      <c r="D98" s="6">
        <v>-190</v>
      </c>
      <c r="E98" s="2"/>
      <c r="F98" s="7">
        <f t="shared" si="49"/>
        <v>-2.9374519088876624E-3</v>
      </c>
      <c r="G98" s="2"/>
      <c r="H98" s="6"/>
      <c r="I98" s="2"/>
      <c r="J98" s="7">
        <f t="shared" si="50"/>
        <v>0</v>
      </c>
      <c r="K98" s="2"/>
      <c r="L98" s="6">
        <f t="shared" si="51"/>
        <v>-190</v>
      </c>
      <c r="M98" s="2"/>
      <c r="N98" s="7">
        <f t="shared" si="52"/>
        <v>0</v>
      </c>
      <c r="O98" s="10"/>
      <c r="P98" s="6">
        <v>-190</v>
      </c>
      <c r="Q98" s="2"/>
      <c r="R98" s="7">
        <f t="shared" si="53"/>
        <v>-7.204484164981762E-5</v>
      </c>
      <c r="S98" s="2"/>
      <c r="T98" s="6">
        <v>197.18</v>
      </c>
      <c r="U98" s="2"/>
      <c r="V98" s="7">
        <f t="shared" si="54"/>
        <v>6.8344479858856137E-5</v>
      </c>
      <c r="W98" s="2"/>
      <c r="X98" s="6">
        <f t="shared" si="55"/>
        <v>-387.18</v>
      </c>
      <c r="Y98" s="2"/>
      <c r="Z98" s="7">
        <f t="shared" si="56"/>
        <v>-1.9635865706461102</v>
      </c>
    </row>
    <row r="99" spans="1:26" s="27" customFormat="1" outlineLevel="1" collapsed="1" x14ac:dyDescent="0.25">
      <c r="A99" s="26"/>
      <c r="B99" s="12" t="str">
        <f>CONCATENATE("     ","Subscriptions &amp; Dues                              ")</f>
        <v xml:space="preserve">     Subscriptions &amp; Dues                              </v>
      </c>
      <c r="C99" s="12"/>
      <c r="D99" s="1">
        <f>SUM(OSRRefD22_9x_0)</f>
        <v>0</v>
      </c>
      <c r="E99" s="1"/>
      <c r="F99" s="5">
        <f t="shared" ref="F99:F101" si="57">IF(D$12=0,0,D99/D$12)</f>
        <v>0</v>
      </c>
      <c r="G99" s="1"/>
      <c r="H99" s="1">
        <f>SUM(OSRRefH22_9x_0)</f>
        <v>0</v>
      </c>
      <c r="I99" s="1"/>
      <c r="J99" s="5">
        <f t="shared" ref="J99:J101" si="58">IF(H$12=0,0,H99/H$12)</f>
        <v>0</v>
      </c>
      <c r="K99" s="1"/>
      <c r="L99" s="1">
        <f t="shared" ref="L99:L101" si="59">+D99-H99</f>
        <v>0</v>
      </c>
      <c r="M99" s="1"/>
      <c r="N99" s="5">
        <f t="shared" ref="N99:N101" si="60">IF(H99=0,0,L99/H99)</f>
        <v>0</v>
      </c>
      <c r="O99" s="12"/>
      <c r="P99" s="1">
        <f>SUM(OSRRefP22_9x_0)</f>
        <v>142.22</v>
      </c>
      <c r="Q99" s="1"/>
      <c r="R99" s="5">
        <f t="shared" ref="R99:R101" si="61">IF(P$12=0,0,P99/P$12)</f>
        <v>5.392745989177401E-5</v>
      </c>
      <c r="S99" s="1"/>
      <c r="T99" s="1">
        <f>SUM(OSRRefT22_9x_0)</f>
        <v>-4886.5</v>
      </c>
      <c r="U99" s="1"/>
      <c r="V99" s="5">
        <f t="shared" ref="V99:V101" si="62">IF(T$12=0,0,T99/T$12)</f>
        <v>-1.693707783904557E-3</v>
      </c>
      <c r="W99" s="1"/>
      <c r="X99" s="1">
        <f t="shared" ref="X99:X101" si="63">+P99-T99</f>
        <v>5028.72</v>
      </c>
      <c r="Y99" s="1"/>
      <c r="Z99" s="5">
        <f t="shared" ref="Z99:Z101" si="64">IF(T99=0,0,X99/T99)</f>
        <v>-1.0291046761485727</v>
      </c>
    </row>
    <row r="100" spans="1:26" s="23" customFormat="1" hidden="1" outlineLevel="2" x14ac:dyDescent="0.25">
      <c r="A100" s="25"/>
      <c r="B100" s="10" t="str">
        <f>CONCATENATE("          ", "6258", " - ", "MEMBERSHIP DUES")</f>
        <v xml:space="preserve">          6258 - MEMBERSHIP DUES</v>
      </c>
      <c r="C100" s="10"/>
      <c r="D100" s="6"/>
      <c r="E100" s="2"/>
      <c r="F100" s="7">
        <f t="shared" si="57"/>
        <v>0</v>
      </c>
      <c r="G100" s="2"/>
      <c r="H100" s="6"/>
      <c r="I100" s="2"/>
      <c r="J100" s="7">
        <f t="shared" si="58"/>
        <v>0</v>
      </c>
      <c r="K100" s="2"/>
      <c r="L100" s="6">
        <f t="shared" si="59"/>
        <v>0</v>
      </c>
      <c r="M100" s="2"/>
      <c r="N100" s="7">
        <f t="shared" si="60"/>
        <v>0</v>
      </c>
      <c r="O100" s="10"/>
      <c r="P100" s="6"/>
      <c r="Q100" s="2"/>
      <c r="R100" s="7">
        <f t="shared" si="61"/>
        <v>0</v>
      </c>
      <c r="S100" s="2"/>
      <c r="T100" s="6">
        <v>-4886.5</v>
      </c>
      <c r="U100" s="2"/>
      <c r="V100" s="7">
        <f t="shared" si="62"/>
        <v>-1.693707783904557E-3</v>
      </c>
      <c r="W100" s="2"/>
      <c r="X100" s="6">
        <f t="shared" si="63"/>
        <v>4886.5</v>
      </c>
      <c r="Y100" s="2"/>
      <c r="Z100" s="7">
        <f t="shared" si="64"/>
        <v>-1</v>
      </c>
    </row>
    <row r="101" spans="1:26" s="23" customFormat="1" hidden="1" outlineLevel="2" x14ac:dyDescent="0.25">
      <c r="A101" s="25"/>
      <c r="B101" s="10" t="str">
        <f>CONCATENATE("          ", "6275", " - ", "SUBSCRIPTIONS")</f>
        <v xml:space="preserve">          6275 - SUBSCRIPTIONS</v>
      </c>
      <c r="C101" s="10"/>
      <c r="D101" s="6"/>
      <c r="E101" s="2"/>
      <c r="F101" s="7">
        <f t="shared" si="57"/>
        <v>0</v>
      </c>
      <c r="G101" s="2"/>
      <c r="H101" s="6"/>
      <c r="I101" s="2"/>
      <c r="J101" s="7">
        <f t="shared" si="58"/>
        <v>0</v>
      </c>
      <c r="K101" s="2"/>
      <c r="L101" s="6">
        <f t="shared" si="59"/>
        <v>0</v>
      </c>
      <c r="M101" s="2"/>
      <c r="N101" s="7">
        <f t="shared" si="60"/>
        <v>0</v>
      </c>
      <c r="O101" s="10"/>
      <c r="P101" s="6">
        <v>142.22</v>
      </c>
      <c r="Q101" s="2"/>
      <c r="R101" s="7">
        <f t="shared" si="61"/>
        <v>5.392745989177401E-5</v>
      </c>
      <c r="S101" s="2"/>
      <c r="T101" s="6"/>
      <c r="U101" s="2"/>
      <c r="V101" s="7">
        <f t="shared" si="62"/>
        <v>0</v>
      </c>
      <c r="W101" s="2"/>
      <c r="X101" s="6">
        <f t="shared" si="63"/>
        <v>142.22</v>
      </c>
      <c r="Y101" s="2"/>
      <c r="Z101" s="7">
        <f t="shared" si="64"/>
        <v>0</v>
      </c>
    </row>
    <row r="102" spans="1:26" s="27" customFormat="1" outlineLevel="1" collapsed="1" x14ac:dyDescent="0.25">
      <c r="A102" s="26"/>
      <c r="B102" s="12" t="str">
        <f>CONCATENATE("     ","Supplies                                          ")</f>
        <v xml:space="preserve">     Supplies                                          </v>
      </c>
      <c r="C102" s="12"/>
      <c r="D102" s="1">
        <f>SUM(OSRRefD22_10x_0)</f>
        <v>1644.01</v>
      </c>
      <c r="E102" s="1"/>
      <c r="F102" s="5">
        <f t="shared" ref="F102:F107" si="65">IF(D$12=0,0,D102/D$12)</f>
        <v>2.5416843751212663E-2</v>
      </c>
      <c r="G102" s="1"/>
      <c r="H102" s="1">
        <f>SUM(OSRRefH22_10x_0)</f>
        <v>65.59</v>
      </c>
      <c r="I102" s="1"/>
      <c r="J102" s="5">
        <f t="shared" ref="J102:J107" si="66">IF(H$12=0,0,H102/H$12)</f>
        <v>1.4653350519091426E-4</v>
      </c>
      <c r="K102" s="1"/>
      <c r="L102" s="1">
        <f t="shared" ref="L102:L107" si="67">+D102-H102</f>
        <v>1578.42</v>
      </c>
      <c r="M102" s="1"/>
      <c r="N102" s="5">
        <f t="shared" ref="N102:N107" si="68">IF(H102=0,0,L102/H102)</f>
        <v>24.064948925141028</v>
      </c>
      <c r="O102" s="12"/>
      <c r="P102" s="1">
        <f>SUM(OSRRefP22_10x_0)</f>
        <v>5676.33</v>
      </c>
      <c r="Q102" s="1"/>
      <c r="R102" s="5">
        <f t="shared" ref="R102:R107" si="69">IF(P$12=0,0,P102/P$12)</f>
        <v>2.1523699789584697E-3</v>
      </c>
      <c r="S102" s="1"/>
      <c r="T102" s="1">
        <f>SUM(OSRRefT22_10x_0)</f>
        <v>3260.11</v>
      </c>
      <c r="U102" s="1"/>
      <c r="V102" s="5">
        <f t="shared" ref="V102:V107" si="70">IF(T$12=0,0,T102/T$12)</f>
        <v>1.1299854053791231E-3</v>
      </c>
      <c r="W102" s="1"/>
      <c r="X102" s="1">
        <f t="shared" ref="X102:X107" si="71">+P102-T102</f>
        <v>2416.2199999999998</v>
      </c>
      <c r="Y102" s="1"/>
      <c r="Z102" s="5">
        <f t="shared" ref="Z102:Z107" si="72">IF(T102=0,0,X102/T102)</f>
        <v>0.74114677112121974</v>
      </c>
    </row>
    <row r="103" spans="1:26" s="23" customFormat="1" hidden="1" outlineLevel="2" x14ac:dyDescent="0.25">
      <c r="A103" s="25"/>
      <c r="B103" s="10" t="str">
        <f>CONCATENATE("          ", "6234", " - ", "EXPENDABLE SUPPLIES &amp; EQUIPMEN")</f>
        <v xml:space="preserve">          6234 - EXPENDABLE SUPPLIES &amp; EQUIPMEN</v>
      </c>
      <c r="C103" s="10"/>
      <c r="D103" s="6"/>
      <c r="E103" s="2"/>
      <c r="F103" s="7">
        <f t="shared" si="65"/>
        <v>0</v>
      </c>
      <c r="G103" s="2"/>
      <c r="H103" s="6"/>
      <c r="I103" s="2"/>
      <c r="J103" s="7">
        <f t="shared" si="66"/>
        <v>0</v>
      </c>
      <c r="K103" s="2"/>
      <c r="L103" s="6">
        <f t="shared" si="67"/>
        <v>0</v>
      </c>
      <c r="M103" s="2"/>
      <c r="N103" s="7">
        <f t="shared" si="68"/>
        <v>0</v>
      </c>
      <c r="O103" s="10"/>
      <c r="P103" s="6">
        <v>1733.49</v>
      </c>
      <c r="Q103" s="2"/>
      <c r="R103" s="7">
        <f t="shared" si="69"/>
        <v>6.573105923765387E-4</v>
      </c>
      <c r="S103" s="2"/>
      <c r="T103" s="6"/>
      <c r="U103" s="2"/>
      <c r="V103" s="7">
        <f t="shared" si="70"/>
        <v>0</v>
      </c>
      <c r="W103" s="2"/>
      <c r="X103" s="6">
        <f t="shared" si="71"/>
        <v>1733.49</v>
      </c>
      <c r="Y103" s="2"/>
      <c r="Z103" s="7">
        <f t="shared" si="72"/>
        <v>0</v>
      </c>
    </row>
    <row r="104" spans="1:26" s="23" customFormat="1" hidden="1" outlineLevel="2" x14ac:dyDescent="0.25">
      <c r="A104" s="25"/>
      <c r="B104" s="10" t="str">
        <f>CONCATENATE("          ", "6235", " - ", "COVID-19 EXPENSES")</f>
        <v xml:space="preserve">          6235 - COVID-19 EXPENSES</v>
      </c>
      <c r="C104" s="10"/>
      <c r="D104" s="6"/>
      <c r="E104" s="2"/>
      <c r="F104" s="7">
        <f t="shared" si="65"/>
        <v>0</v>
      </c>
      <c r="G104" s="2"/>
      <c r="H104" s="6"/>
      <c r="I104" s="2"/>
      <c r="J104" s="7">
        <f t="shared" si="66"/>
        <v>0</v>
      </c>
      <c r="K104" s="2"/>
      <c r="L104" s="6">
        <f t="shared" si="67"/>
        <v>0</v>
      </c>
      <c r="M104" s="2"/>
      <c r="N104" s="7">
        <f t="shared" si="68"/>
        <v>0</v>
      </c>
      <c r="O104" s="10"/>
      <c r="P104" s="6">
        <v>668.12</v>
      </c>
      <c r="Q104" s="2"/>
      <c r="R104" s="7">
        <f t="shared" si="69"/>
        <v>2.5333999791092706E-4</v>
      </c>
      <c r="S104" s="2"/>
      <c r="T104" s="6"/>
      <c r="U104" s="2"/>
      <c r="V104" s="7">
        <f t="shared" si="70"/>
        <v>0</v>
      </c>
      <c r="W104" s="2"/>
      <c r="X104" s="6">
        <f t="shared" si="71"/>
        <v>668.12</v>
      </c>
      <c r="Y104" s="2"/>
      <c r="Z104" s="7">
        <f t="shared" si="72"/>
        <v>0</v>
      </c>
    </row>
    <row r="105" spans="1:26" s="23" customFormat="1" hidden="1" outlineLevel="2" x14ac:dyDescent="0.25">
      <c r="A105" s="25"/>
      <c r="B105" s="10" t="str">
        <f>CONCATENATE("          ", "6241", " - ", "OFFICE EXPENSE")</f>
        <v xml:space="preserve">          6241 - OFFICE EXPENSE</v>
      </c>
      <c r="C105" s="10"/>
      <c r="D105" s="6">
        <v>122.01</v>
      </c>
      <c r="E105" s="2"/>
      <c r="F105" s="7">
        <f t="shared" si="65"/>
        <v>1.8863079337020196E-3</v>
      </c>
      <c r="G105" s="2"/>
      <c r="H105" s="6">
        <v>65.59</v>
      </c>
      <c r="I105" s="2"/>
      <c r="J105" s="7">
        <f t="shared" si="66"/>
        <v>1.4653350519091426E-4</v>
      </c>
      <c r="K105" s="2"/>
      <c r="L105" s="6">
        <f t="shared" si="67"/>
        <v>56.42</v>
      </c>
      <c r="M105" s="2"/>
      <c r="N105" s="7">
        <f t="shared" si="68"/>
        <v>0.8601921024546425</v>
      </c>
      <c r="O105" s="10"/>
      <c r="P105" s="6">
        <v>1752.72</v>
      </c>
      <c r="Q105" s="2"/>
      <c r="R105" s="7">
        <f t="shared" si="69"/>
        <v>6.6460228871825441E-4</v>
      </c>
      <c r="S105" s="2"/>
      <c r="T105" s="6">
        <v>1250.73</v>
      </c>
      <c r="U105" s="2"/>
      <c r="V105" s="7">
        <f t="shared" si="70"/>
        <v>4.335150182263269E-4</v>
      </c>
      <c r="W105" s="2"/>
      <c r="X105" s="6">
        <f t="shared" si="71"/>
        <v>501.99</v>
      </c>
      <c r="Y105" s="2"/>
      <c r="Z105" s="7">
        <f t="shared" si="72"/>
        <v>0.40135760715742008</v>
      </c>
    </row>
    <row r="106" spans="1:26" s="23" customFormat="1" hidden="1" outlineLevel="2" x14ac:dyDescent="0.25">
      <c r="A106" s="25"/>
      <c r="B106" s="10" t="str">
        <f>CONCATENATE("          ", "6245", " - ", "PRINTING")</f>
        <v xml:space="preserve">          6245 - PRINTING</v>
      </c>
      <c r="C106" s="10"/>
      <c r="D106" s="6"/>
      <c r="E106" s="2"/>
      <c r="F106" s="7">
        <f t="shared" si="65"/>
        <v>0</v>
      </c>
      <c r="G106" s="2"/>
      <c r="H106" s="6"/>
      <c r="I106" s="2"/>
      <c r="J106" s="7">
        <f t="shared" si="66"/>
        <v>0</v>
      </c>
      <c r="K106" s="2"/>
      <c r="L106" s="6">
        <f t="shared" si="67"/>
        <v>0</v>
      </c>
      <c r="M106" s="2"/>
      <c r="N106" s="7">
        <f t="shared" si="68"/>
        <v>0</v>
      </c>
      <c r="O106" s="10"/>
      <c r="P106" s="6"/>
      <c r="Q106" s="2"/>
      <c r="R106" s="7">
        <f t="shared" si="69"/>
        <v>0</v>
      </c>
      <c r="S106" s="2"/>
      <c r="T106" s="6">
        <v>0</v>
      </c>
      <c r="U106" s="2"/>
      <c r="V106" s="7">
        <f t="shared" si="70"/>
        <v>0</v>
      </c>
      <c r="W106" s="2"/>
      <c r="X106" s="6">
        <f t="shared" si="71"/>
        <v>0</v>
      </c>
      <c r="Y106" s="2"/>
      <c r="Z106" s="7">
        <f t="shared" si="72"/>
        <v>0</v>
      </c>
    </row>
    <row r="107" spans="1:26" s="23" customFormat="1" hidden="1" outlineLevel="2" x14ac:dyDescent="0.25">
      <c r="A107" s="25"/>
      <c r="B107" s="10" t="str">
        <f>CONCATENATE("          ", "6247", " - ", "STORE SUPPLIES")</f>
        <v xml:space="preserve">          6247 - STORE SUPPLIES</v>
      </c>
      <c r="C107" s="10"/>
      <c r="D107" s="6">
        <v>1522</v>
      </c>
      <c r="E107" s="2"/>
      <c r="F107" s="7">
        <f t="shared" si="65"/>
        <v>2.3530535817510644E-2</v>
      </c>
      <c r="G107" s="2"/>
      <c r="H107" s="6"/>
      <c r="I107" s="2"/>
      <c r="J107" s="7">
        <f t="shared" si="66"/>
        <v>0</v>
      </c>
      <c r="K107" s="2"/>
      <c r="L107" s="6">
        <f t="shared" si="67"/>
        <v>1522</v>
      </c>
      <c r="M107" s="2"/>
      <c r="N107" s="7">
        <f t="shared" si="68"/>
        <v>0</v>
      </c>
      <c r="O107" s="10"/>
      <c r="P107" s="6">
        <v>1522</v>
      </c>
      <c r="Q107" s="2"/>
      <c r="R107" s="7">
        <f t="shared" si="69"/>
        <v>5.7711709995274957E-4</v>
      </c>
      <c r="S107" s="2"/>
      <c r="T107" s="6">
        <v>2009.38</v>
      </c>
      <c r="U107" s="2"/>
      <c r="V107" s="7">
        <f t="shared" si="70"/>
        <v>6.9647038715279618E-4</v>
      </c>
      <c r="W107" s="2"/>
      <c r="X107" s="6">
        <f t="shared" si="71"/>
        <v>-487.38000000000011</v>
      </c>
      <c r="Y107" s="2"/>
      <c r="Z107" s="7">
        <f t="shared" si="72"/>
        <v>-0.24255242910748592</v>
      </c>
    </row>
    <row r="108" spans="1:26" s="27" customFormat="1" outlineLevel="1" collapsed="1" x14ac:dyDescent="0.25">
      <c r="A108" s="26"/>
      <c r="B108" s="12" t="str">
        <f>CONCATENATE("     ","Telephone/Data Lines                              ")</f>
        <v xml:space="preserve">     Telephone/Data Lines                              </v>
      </c>
      <c r="C108" s="12"/>
      <c r="D108" s="1">
        <f>SUM(OSRRefD22_11x_0)</f>
        <v>415.7</v>
      </c>
      <c r="E108" s="1"/>
      <c r="F108" s="5">
        <f t="shared" ref="F108:F113" si="73">IF(D$12=0,0,D108/D$12)</f>
        <v>6.4268355711821117E-3</v>
      </c>
      <c r="G108" s="1"/>
      <c r="H108" s="1">
        <f>SUM(OSRRefH22_11x_0)</f>
        <v>207.15</v>
      </c>
      <c r="I108" s="1"/>
      <c r="J108" s="5">
        <f t="shared" ref="J108:J113" si="74">IF(H$12=0,0,H108/H$12)</f>
        <v>4.6279029730595956E-4</v>
      </c>
      <c r="K108" s="1"/>
      <c r="L108" s="1">
        <f t="shared" ref="L108:L113" si="75">+D108-H108</f>
        <v>208.54999999999998</v>
      </c>
      <c r="M108" s="1"/>
      <c r="N108" s="5">
        <f t="shared" ref="N108:N113" si="76">IF(H108=0,0,L108/H108)</f>
        <v>1.0067583876418054</v>
      </c>
      <c r="O108" s="12"/>
      <c r="P108" s="1">
        <f>SUM(OSRRefP22_11x_0)</f>
        <v>3676.45</v>
      </c>
      <c r="Q108" s="1"/>
      <c r="R108" s="5">
        <f t="shared" ref="R108:R113" si="77">IF(P$12=0,0,P108/P$12)</f>
        <v>1.3940487267551157E-3</v>
      </c>
      <c r="S108" s="1"/>
      <c r="T108" s="1">
        <f>SUM(OSRRefT22_11x_0)</f>
        <v>2932.35</v>
      </c>
      <c r="U108" s="1"/>
      <c r="V108" s="5">
        <f t="shared" ref="V108:V113" si="78">IF(T$12=0,0,T108/T$12)</f>
        <v>1.0163806446602942E-3</v>
      </c>
      <c r="W108" s="1"/>
      <c r="X108" s="1">
        <f t="shared" ref="X108:X113" si="79">+P108-T108</f>
        <v>744.09999999999991</v>
      </c>
      <c r="Y108" s="1"/>
      <c r="Z108" s="5">
        <f t="shared" ref="Z108:Z113" si="80">IF(T108=0,0,X108/T108)</f>
        <v>0.2537555203164697</v>
      </c>
    </row>
    <row r="109" spans="1:26" s="23" customFormat="1" hidden="1" outlineLevel="2" x14ac:dyDescent="0.25">
      <c r="A109" s="25"/>
      <c r="B109" s="10" t="str">
        <f>CONCATENATE("          ", "6309", " - ", "TELEPHONE")</f>
        <v xml:space="preserve">          6309 - TELEPHONE</v>
      </c>
      <c r="C109" s="10"/>
      <c r="D109" s="6">
        <v>415.7</v>
      </c>
      <c r="E109" s="2"/>
      <c r="F109" s="7">
        <f t="shared" si="73"/>
        <v>6.4268355711821117E-3</v>
      </c>
      <c r="G109" s="2"/>
      <c r="H109" s="6">
        <v>207.15</v>
      </c>
      <c r="I109" s="2"/>
      <c r="J109" s="7">
        <f t="shared" si="74"/>
        <v>4.6279029730595956E-4</v>
      </c>
      <c r="K109" s="2"/>
      <c r="L109" s="6">
        <f t="shared" si="75"/>
        <v>208.54999999999998</v>
      </c>
      <c r="M109" s="2"/>
      <c r="N109" s="7">
        <f t="shared" si="76"/>
        <v>1.0067583876418054</v>
      </c>
      <c r="O109" s="10"/>
      <c r="P109" s="6">
        <v>3676.45</v>
      </c>
      <c r="Q109" s="2"/>
      <c r="R109" s="7">
        <f t="shared" si="77"/>
        <v>1.3940487267551157E-3</v>
      </c>
      <c r="S109" s="2"/>
      <c r="T109" s="6">
        <v>2932.35</v>
      </c>
      <c r="U109" s="2"/>
      <c r="V109" s="7">
        <f t="shared" si="78"/>
        <v>1.0163806446602942E-3</v>
      </c>
      <c r="W109" s="2"/>
      <c r="X109" s="6">
        <f t="shared" si="79"/>
        <v>744.09999999999991</v>
      </c>
      <c r="Y109" s="2"/>
      <c r="Z109" s="7">
        <f t="shared" si="80"/>
        <v>0.2537555203164697</v>
      </c>
    </row>
    <row r="110" spans="1:26" s="27" customFormat="1" outlineLevel="1" collapsed="1" x14ac:dyDescent="0.25">
      <c r="A110" s="26"/>
      <c r="B110" s="12" t="str">
        <f>CONCATENATE("     ","Training                                          ")</f>
        <v xml:space="preserve">     Training                                          </v>
      </c>
      <c r="C110" s="12"/>
      <c r="D110" s="1">
        <f>SUM(OSRRefD22_12x_0)</f>
        <v>0</v>
      </c>
      <c r="E110" s="1"/>
      <c r="F110" s="5">
        <f t="shared" si="73"/>
        <v>0</v>
      </c>
      <c r="G110" s="1"/>
      <c r="H110" s="1">
        <f>SUM(OSRRefH22_12x_0)</f>
        <v>0</v>
      </c>
      <c r="I110" s="1"/>
      <c r="J110" s="5">
        <f t="shared" si="74"/>
        <v>0</v>
      </c>
      <c r="K110" s="1"/>
      <c r="L110" s="1">
        <f t="shared" si="75"/>
        <v>0</v>
      </c>
      <c r="M110" s="1"/>
      <c r="N110" s="5">
        <f t="shared" si="76"/>
        <v>0</v>
      </c>
      <c r="O110" s="12"/>
      <c r="P110" s="1">
        <f>SUM(OSRRefP22_12x_0)</f>
        <v>100</v>
      </c>
      <c r="Q110" s="1"/>
      <c r="R110" s="5">
        <f t="shared" si="77"/>
        <v>3.7918337710430325E-5</v>
      </c>
      <c r="S110" s="1"/>
      <c r="T110" s="1">
        <f>SUM(OSRRefT22_12x_0)</f>
        <v>1875.75</v>
      </c>
      <c r="U110" s="1"/>
      <c r="V110" s="5">
        <f t="shared" si="78"/>
        <v>6.5015294702936105E-4</v>
      </c>
      <c r="W110" s="1"/>
      <c r="X110" s="1">
        <f t="shared" si="79"/>
        <v>-1775.75</v>
      </c>
      <c r="Y110" s="1"/>
      <c r="Z110" s="5">
        <f t="shared" si="80"/>
        <v>-0.94668799147007865</v>
      </c>
    </row>
    <row r="111" spans="1:26" s="23" customFormat="1" hidden="1" outlineLevel="2" x14ac:dyDescent="0.25">
      <c r="A111" s="25"/>
      <c r="B111" s="10" t="str">
        <f>CONCATENATE("          ", "6376", " - ", "TRAINING")</f>
        <v xml:space="preserve">          6376 - TRAINING</v>
      </c>
      <c r="C111" s="10"/>
      <c r="D111" s="6"/>
      <c r="E111" s="2"/>
      <c r="F111" s="7">
        <f t="shared" si="73"/>
        <v>0</v>
      </c>
      <c r="G111" s="2"/>
      <c r="H111" s="6"/>
      <c r="I111" s="2"/>
      <c r="J111" s="7">
        <f t="shared" si="74"/>
        <v>0</v>
      </c>
      <c r="K111" s="2"/>
      <c r="L111" s="6">
        <f t="shared" si="75"/>
        <v>0</v>
      </c>
      <c r="M111" s="2"/>
      <c r="N111" s="7">
        <f t="shared" si="76"/>
        <v>0</v>
      </c>
      <c r="O111" s="10"/>
      <c r="P111" s="6">
        <v>100</v>
      </c>
      <c r="Q111" s="2"/>
      <c r="R111" s="7">
        <f t="shared" si="77"/>
        <v>3.7918337710430325E-5</v>
      </c>
      <c r="S111" s="2"/>
      <c r="T111" s="6">
        <v>1875.75</v>
      </c>
      <c r="U111" s="2"/>
      <c r="V111" s="7">
        <f t="shared" si="78"/>
        <v>6.5015294702936105E-4</v>
      </c>
      <c r="W111" s="2"/>
      <c r="X111" s="6">
        <f t="shared" si="79"/>
        <v>-1775.75</v>
      </c>
      <c r="Y111" s="2"/>
      <c r="Z111" s="7">
        <f t="shared" si="80"/>
        <v>-0.94668799147007865</v>
      </c>
    </row>
    <row r="112" spans="1:26" s="27" customFormat="1" outlineLevel="1" collapsed="1" x14ac:dyDescent="0.25">
      <c r="A112" s="26"/>
      <c r="B112" s="12" t="str">
        <f>CONCATENATE("     ","Travel                                            ")</f>
        <v xml:space="preserve">     Travel                                            </v>
      </c>
      <c r="C112" s="12"/>
      <c r="D112" s="1">
        <f>SUM(OSRRefD22_13x_0)</f>
        <v>0</v>
      </c>
      <c r="E112" s="1"/>
      <c r="F112" s="5">
        <f t="shared" si="73"/>
        <v>0</v>
      </c>
      <c r="G112" s="1"/>
      <c r="H112" s="1">
        <f>SUM(OSRRefH22_13x_0)</f>
        <v>0</v>
      </c>
      <c r="I112" s="1"/>
      <c r="J112" s="5">
        <f t="shared" si="74"/>
        <v>0</v>
      </c>
      <c r="K112" s="1"/>
      <c r="L112" s="1">
        <f t="shared" si="75"/>
        <v>0</v>
      </c>
      <c r="M112" s="1"/>
      <c r="N112" s="5">
        <f t="shared" si="76"/>
        <v>0</v>
      </c>
      <c r="O112" s="12"/>
      <c r="P112" s="1">
        <f>SUM(OSRRefP22_13x_0)</f>
        <v>0</v>
      </c>
      <c r="Q112" s="1"/>
      <c r="R112" s="5">
        <f t="shared" si="77"/>
        <v>0</v>
      </c>
      <c r="S112" s="1"/>
      <c r="T112" s="1">
        <f>SUM(OSRRefT22_13x_0)</f>
        <v>-178.06</v>
      </c>
      <c r="U112" s="1"/>
      <c r="V112" s="5">
        <f t="shared" si="78"/>
        <v>-6.1717304410528067E-5</v>
      </c>
      <c r="W112" s="1"/>
      <c r="X112" s="1">
        <f t="shared" si="79"/>
        <v>178.06</v>
      </c>
      <c r="Y112" s="1"/>
      <c r="Z112" s="5">
        <f t="shared" si="80"/>
        <v>-1</v>
      </c>
    </row>
    <row r="113" spans="1:26" s="23" customFormat="1" hidden="1" outlineLevel="2" x14ac:dyDescent="0.25">
      <c r="A113" s="25"/>
      <c r="B113" s="10" t="str">
        <f>CONCATENATE("          ", "6292", " - ", "TRAVEL/CONFERENCE")</f>
        <v xml:space="preserve">          6292 - TRAVEL/CONFERENCE</v>
      </c>
      <c r="C113" s="10"/>
      <c r="D113" s="6"/>
      <c r="E113" s="2"/>
      <c r="F113" s="7">
        <f t="shared" si="73"/>
        <v>0</v>
      </c>
      <c r="G113" s="2"/>
      <c r="H113" s="6"/>
      <c r="I113" s="2"/>
      <c r="J113" s="7">
        <f t="shared" si="74"/>
        <v>0</v>
      </c>
      <c r="K113" s="2"/>
      <c r="L113" s="6">
        <f t="shared" si="75"/>
        <v>0</v>
      </c>
      <c r="M113" s="2"/>
      <c r="N113" s="7">
        <f t="shared" si="76"/>
        <v>0</v>
      </c>
      <c r="O113" s="10"/>
      <c r="P113" s="6"/>
      <c r="Q113" s="2"/>
      <c r="R113" s="7">
        <f t="shared" si="77"/>
        <v>0</v>
      </c>
      <c r="S113" s="2"/>
      <c r="T113" s="6">
        <v>-178.06</v>
      </c>
      <c r="U113" s="2"/>
      <c r="V113" s="7">
        <f t="shared" si="78"/>
        <v>-6.1717304410528067E-5</v>
      </c>
      <c r="W113" s="2"/>
      <c r="X113" s="6">
        <f t="shared" si="79"/>
        <v>178.06</v>
      </c>
      <c r="Y113" s="2"/>
      <c r="Z113" s="7">
        <f t="shared" si="80"/>
        <v>-1</v>
      </c>
    </row>
    <row r="114" spans="1:26" s="52" customFormat="1" x14ac:dyDescent="0.25">
      <c r="A114" s="37"/>
      <c r="B114" s="37"/>
      <c r="C114" s="37"/>
      <c r="D114" s="1"/>
      <c r="E114" s="1"/>
      <c r="F114" s="5"/>
      <c r="G114" s="1"/>
      <c r="H114" s="1"/>
      <c r="I114" s="1"/>
      <c r="J114" s="5"/>
      <c r="K114" s="1"/>
      <c r="L114" s="1"/>
      <c r="M114" s="1"/>
      <c r="N114" s="5"/>
      <c r="O114" s="37"/>
      <c r="P114" s="1"/>
      <c r="Q114" s="1"/>
      <c r="R114" s="5"/>
      <c r="S114" s="1"/>
      <c r="T114" s="1"/>
      <c r="U114" s="1"/>
      <c r="V114" s="5"/>
      <c r="W114" s="1"/>
      <c r="X114" s="1"/>
      <c r="Y114" s="1"/>
      <c r="Z114" s="5"/>
    </row>
    <row r="115" spans="1:26" s="24" customFormat="1" collapsed="1" x14ac:dyDescent="0.25">
      <c r="A115" s="11"/>
      <c r="B115" s="29" t="s">
        <v>292</v>
      </c>
      <c r="C115" s="11"/>
      <c r="D115" s="4">
        <f>SUM(OSRRefD25x_0)</f>
        <v>-2.1800000000000068</v>
      </c>
      <c r="E115" s="4"/>
      <c r="F115" s="13">
        <f t="shared" ref="F115:F119" si="81">IF(D$12=0,0,D115/D$12)</f>
        <v>-3.3703395586184868E-5</v>
      </c>
      <c r="G115" s="4"/>
      <c r="H115" s="4">
        <f>SUM(OSRRefH25x_0)</f>
        <v>557.77</v>
      </c>
      <c r="I115" s="4"/>
      <c r="J115" s="13">
        <f t="shared" ref="J115:J119" si="82">IF(H$12=0,0,H115/H$12)</f>
        <v>1.2461044852925178E-3</v>
      </c>
      <c r="K115" s="4"/>
      <c r="L115" s="4">
        <f t="shared" ref="L115:L119" si="83">+D115-H115</f>
        <v>-559.95000000000005</v>
      </c>
      <c r="M115" s="4"/>
      <c r="N115" s="13">
        <f t="shared" ref="N115:N119" si="84">IF(H115=0,0,L115/H115)</f>
        <v>-1.0039084210337597</v>
      </c>
      <c r="O115" s="11"/>
      <c r="P115" s="4">
        <f>SUM(OSRRefP25x_0)</f>
        <v>4030.6</v>
      </c>
      <c r="Q115" s="4"/>
      <c r="R115" s="13">
        <f t="shared" ref="R115:R119" si="85">IF(P$12=0,0,P115/P$12)</f>
        <v>1.5283365197566047E-3</v>
      </c>
      <c r="S115" s="4"/>
      <c r="T115" s="4">
        <f>SUM(OSRRefT25x_0)</f>
        <v>13920.349999999999</v>
      </c>
      <c r="U115" s="4"/>
      <c r="V115" s="13">
        <f t="shared" ref="V115:V119" si="86">IF(T$12=0,0,T115/T$12)</f>
        <v>4.8249268698814683E-3</v>
      </c>
      <c r="W115" s="4"/>
      <c r="X115" s="4">
        <f t="shared" ref="X115:X119" si="87">+P115-T115</f>
        <v>-9889.7499999999982</v>
      </c>
      <c r="Y115" s="4"/>
      <c r="Z115" s="13">
        <f t="shared" ref="Z115:Z119" si="88">IF(T115=0,0,X115/T115)</f>
        <v>-0.71045268258341199</v>
      </c>
    </row>
    <row r="116" spans="1:26" s="23" customFormat="1" hidden="1" outlineLevel="1" x14ac:dyDescent="0.25">
      <c r="A116" s="44"/>
      <c r="B116" s="10" t="str">
        <f>CONCATENATE("          ", "4187", " - ", "NON-TAXABLE SALES-COMPUTER REP")</f>
        <v xml:space="preserve">          4187 - NON-TAXABLE SALES-COMPUTER REP</v>
      </c>
      <c r="C116" s="10"/>
      <c r="D116" s="2">
        <f>--189.31</f>
        <v>189.31</v>
      </c>
      <c r="E116" s="2"/>
      <c r="F116" s="19">
        <f t="shared" si="81"/>
        <v>2.9267843203764389E-3</v>
      </c>
      <c r="G116" s="2"/>
      <c r="H116" s="2">
        <f>--166.52</f>
        <v>166.52</v>
      </c>
      <c r="I116" s="2"/>
      <c r="J116" s="19">
        <f t="shared" si="82"/>
        <v>3.7201950425965917E-4</v>
      </c>
      <c r="K116" s="2"/>
      <c r="L116" s="2">
        <f t="shared" si="83"/>
        <v>22.789999999999992</v>
      </c>
      <c r="M116" s="2"/>
      <c r="N116" s="19">
        <f t="shared" si="84"/>
        <v>0.13686043718472249</v>
      </c>
      <c r="O116" s="10"/>
      <c r="P116" s="2">
        <f>--3769.75</f>
        <v>3769.75</v>
      </c>
      <c r="Q116" s="2"/>
      <c r="R116" s="19">
        <f t="shared" si="85"/>
        <v>1.4294265358389471E-3</v>
      </c>
      <c r="S116" s="2"/>
      <c r="T116" s="2">
        <f>--16449.71</f>
        <v>16449.71</v>
      </c>
      <c r="U116" s="2"/>
      <c r="V116" s="19">
        <f t="shared" si="86"/>
        <v>5.7016273140228441E-3</v>
      </c>
      <c r="W116" s="2"/>
      <c r="X116" s="2">
        <f t="shared" si="87"/>
        <v>-12679.96</v>
      </c>
      <c r="Y116" s="2"/>
      <c r="Z116" s="19">
        <f t="shared" si="88"/>
        <v>-0.77083182621456547</v>
      </c>
    </row>
    <row r="117" spans="1:26" s="23" customFormat="1" hidden="1" outlineLevel="1" x14ac:dyDescent="0.25">
      <c r="A117" s="44"/>
      <c r="B117" s="10" t="str">
        <f>CONCATENATE("          ", "4387", " - ", "SALES RETURN NON TAXABLE-COMPU")</f>
        <v xml:space="preserve">          4387 - SALES RETURN NON TAXABLE-COMPU</v>
      </c>
      <c r="C117" s="10"/>
      <c r="D117" s="2">
        <f t="shared" ref="D117:D118" si="89">0</f>
        <v>0</v>
      </c>
      <c r="E117" s="2"/>
      <c r="F117" s="19">
        <f t="shared" si="81"/>
        <v>0</v>
      </c>
      <c r="G117" s="2"/>
      <c r="H117" s="2">
        <f t="shared" ref="H117:H118" si="90">0</f>
        <v>0</v>
      </c>
      <c r="I117" s="2"/>
      <c r="J117" s="19">
        <f t="shared" si="82"/>
        <v>0</v>
      </c>
      <c r="K117" s="2"/>
      <c r="L117" s="2">
        <f t="shared" si="83"/>
        <v>0</v>
      </c>
      <c r="M117" s="2"/>
      <c r="N117" s="19">
        <f t="shared" si="84"/>
        <v>0</v>
      </c>
      <c r="O117" s="10"/>
      <c r="P117" s="2">
        <f t="shared" ref="P117:P118" si="91">0</f>
        <v>0</v>
      </c>
      <c r="Q117" s="2"/>
      <c r="R117" s="19">
        <f t="shared" si="85"/>
        <v>0</v>
      </c>
      <c r="S117" s="2"/>
      <c r="T117" s="2">
        <f>-7889</f>
        <v>-7889</v>
      </c>
      <c r="U117" s="2"/>
      <c r="V117" s="19">
        <f t="shared" si="86"/>
        <v>-2.7344030916244856E-3</v>
      </c>
      <c r="W117" s="2"/>
      <c r="X117" s="2">
        <f t="shared" si="87"/>
        <v>7889</v>
      </c>
      <c r="Y117" s="2"/>
      <c r="Z117" s="19">
        <f t="shared" si="88"/>
        <v>-1</v>
      </c>
    </row>
    <row r="118" spans="1:26" s="23" customFormat="1" hidden="1" outlineLevel="1" x14ac:dyDescent="0.25">
      <c r="A118" s="44"/>
      <c r="B118" s="10" t="str">
        <f>CONCATENATE("          ", "5087", " - ", "PURCHASES @ COST-COMPUTER REPA")</f>
        <v xml:space="preserve">          5087 - PURCHASES @ COST-COMPUTER REPA</v>
      </c>
      <c r="C118" s="10"/>
      <c r="D118" s="2">
        <f t="shared" si="89"/>
        <v>0</v>
      </c>
      <c r="E118" s="2"/>
      <c r="F118" s="19">
        <f t="shared" si="81"/>
        <v>0</v>
      </c>
      <c r="G118" s="2"/>
      <c r="H118" s="2">
        <f t="shared" si="90"/>
        <v>0</v>
      </c>
      <c r="I118" s="2"/>
      <c r="J118" s="19">
        <f t="shared" si="82"/>
        <v>0</v>
      </c>
      <c r="K118" s="2"/>
      <c r="L118" s="2">
        <f t="shared" si="83"/>
        <v>0</v>
      </c>
      <c r="M118" s="2"/>
      <c r="N118" s="19">
        <f t="shared" si="84"/>
        <v>0</v>
      </c>
      <c r="O118" s="10"/>
      <c r="P118" s="2">
        <f t="shared" si="91"/>
        <v>0</v>
      </c>
      <c r="Q118" s="2"/>
      <c r="R118" s="19">
        <f t="shared" si="85"/>
        <v>0</v>
      </c>
      <c r="S118" s="2"/>
      <c r="T118" s="2">
        <f>-72.06</f>
        <v>-72.06</v>
      </c>
      <c r="U118" s="2"/>
      <c r="V118" s="19">
        <f t="shared" si="86"/>
        <v>-2.4976687385278291E-5</v>
      </c>
      <c r="W118" s="2"/>
      <c r="X118" s="2">
        <f t="shared" si="87"/>
        <v>72.06</v>
      </c>
      <c r="Y118" s="2"/>
      <c r="Z118" s="19">
        <f t="shared" si="88"/>
        <v>-1</v>
      </c>
    </row>
    <row r="119" spans="1:26" s="23" customFormat="1" hidden="1" outlineLevel="1" x14ac:dyDescent="0.25">
      <c r="A119" s="44"/>
      <c r="B119" s="10" t="str">
        <f>CONCATENATE("          ", "9150", " - ", "MISC. INCOME")</f>
        <v xml:space="preserve">          9150 - MISC. INCOME</v>
      </c>
      <c r="C119" s="10"/>
      <c r="D119" s="2">
        <f>-191.49</f>
        <v>-191.49</v>
      </c>
      <c r="E119" s="2"/>
      <c r="F119" s="19">
        <f t="shared" si="81"/>
        <v>-2.9604877159626238E-3</v>
      </c>
      <c r="G119" s="2"/>
      <c r="H119" s="2">
        <f>--391.25</f>
        <v>391.25</v>
      </c>
      <c r="I119" s="2"/>
      <c r="J119" s="19">
        <f t="shared" si="82"/>
        <v>8.740849810328587E-4</v>
      </c>
      <c r="K119" s="2"/>
      <c r="L119" s="2">
        <f t="shared" si="83"/>
        <v>-582.74</v>
      </c>
      <c r="M119" s="2"/>
      <c r="N119" s="19">
        <f t="shared" si="84"/>
        <v>-1.4894313099041534</v>
      </c>
      <c r="O119" s="10"/>
      <c r="P119" s="2">
        <f>--260.85</f>
        <v>260.85000000000002</v>
      </c>
      <c r="Q119" s="2"/>
      <c r="R119" s="19">
        <f t="shared" si="85"/>
        <v>9.8909983917657511E-5</v>
      </c>
      <c r="S119" s="2"/>
      <c r="T119" s="2">
        <f>--5431.7</f>
        <v>5431.7</v>
      </c>
      <c r="U119" s="2"/>
      <c r="V119" s="19">
        <f t="shared" si="86"/>
        <v>1.8826793348683886E-3</v>
      </c>
      <c r="W119" s="2"/>
      <c r="X119" s="2">
        <f t="shared" si="87"/>
        <v>-5170.8499999999995</v>
      </c>
      <c r="Y119" s="2"/>
      <c r="Z119" s="19">
        <f t="shared" si="88"/>
        <v>-0.9519763609919546</v>
      </c>
    </row>
    <row r="120" spans="1:26" x14ac:dyDescent="0.25">
      <c r="A120" s="9"/>
      <c r="B120" s="11"/>
      <c r="C120" s="11"/>
      <c r="D120" s="3"/>
      <c r="E120" s="3"/>
      <c r="F120" s="8"/>
      <c r="G120" s="3"/>
      <c r="H120" s="3"/>
      <c r="I120" s="3"/>
      <c r="J120" s="8"/>
      <c r="K120" s="3"/>
      <c r="L120" s="3"/>
      <c r="M120" s="3"/>
      <c r="N120" s="8"/>
      <c r="O120" s="11"/>
      <c r="P120" s="3"/>
      <c r="Q120" s="3"/>
      <c r="R120" s="8"/>
      <c r="S120" s="3"/>
      <c r="T120" s="3"/>
      <c r="U120" s="3"/>
      <c r="V120" s="8"/>
      <c r="W120" s="3"/>
      <c r="X120" s="3"/>
      <c r="Y120" s="3"/>
      <c r="Z120" s="8"/>
    </row>
    <row r="121" spans="1:26" s="24" customFormat="1" x14ac:dyDescent="0.25">
      <c r="A121" s="11"/>
      <c r="B121" s="28" t="s">
        <v>276</v>
      </c>
      <c r="C121" s="28"/>
      <c r="D121" s="21">
        <f>+D57-D59+D115</f>
        <v>40385.139999999992</v>
      </c>
      <c r="E121" s="14"/>
      <c r="F121" s="22">
        <f>IF(D$12=0,0,D121/D$12)</f>
        <v>0.62436529780892358</v>
      </c>
      <c r="G121" s="14"/>
      <c r="H121" s="21">
        <f>+H57-H59+H115</f>
        <v>154690.10999999996</v>
      </c>
      <c r="I121" s="14"/>
      <c r="J121" s="22">
        <f>IF(H$12=0,0,H121/H$12)</f>
        <v>0.34559054789858346</v>
      </c>
      <c r="K121" s="15"/>
      <c r="L121" s="21">
        <f>+D121-H121</f>
        <v>-114304.96999999997</v>
      </c>
      <c r="M121" s="15"/>
      <c r="N121" s="22">
        <f>IF(H121=0,0,L121/H121)</f>
        <v>-0.73892875245870604</v>
      </c>
      <c r="O121" s="29"/>
      <c r="P121" s="21">
        <f>+P57-P59+P115</f>
        <v>175048.1599999996</v>
      </c>
      <c r="Q121" s="14"/>
      <c r="R121" s="22">
        <f>IF(P$12=0,0,P121/P$12)</f>
        <v>6.6375352464694254E-2</v>
      </c>
      <c r="S121" s="14"/>
      <c r="T121" s="21">
        <f>+T57-T59+T115</f>
        <v>273652.22000000026</v>
      </c>
      <c r="U121" s="14"/>
      <c r="V121" s="22">
        <f>IF(T$12=0,0,T121/T$12)</f>
        <v>9.4850485029522702E-2</v>
      </c>
      <c r="W121" s="15"/>
      <c r="X121" s="21">
        <f>+P121-T121</f>
        <v>-98604.060000000667</v>
      </c>
      <c r="Y121" s="15"/>
      <c r="Z121" s="22">
        <f>IF(T121=0,0,X121/T121)</f>
        <v>-0.36032618335784222</v>
      </c>
    </row>
    <row r="122" spans="1:26" x14ac:dyDescent="0.25">
      <c r="A122" s="9"/>
      <c r="B122" s="11"/>
      <c r="C122" s="9"/>
      <c r="D122" s="3"/>
      <c r="E122" s="3"/>
      <c r="F122" s="8"/>
      <c r="G122" s="3"/>
      <c r="H122" s="3"/>
      <c r="I122" s="3"/>
      <c r="J122" s="8"/>
      <c r="K122" s="3"/>
      <c r="L122" s="3"/>
      <c r="M122" s="3"/>
      <c r="N122" s="8"/>
      <c r="P122" s="3"/>
      <c r="Q122" s="3"/>
      <c r="R122" s="8"/>
      <c r="S122" s="3"/>
      <c r="T122" s="3"/>
      <c r="U122" s="3"/>
      <c r="V122" s="8"/>
      <c r="W122" s="3"/>
      <c r="X122" s="3"/>
      <c r="Y122" s="3"/>
      <c r="Z122" s="8"/>
    </row>
    <row r="123" spans="1:26" s="24" customFormat="1" x14ac:dyDescent="0.25">
      <c r="A123" s="51"/>
      <c r="B123" s="11" t="s">
        <v>127</v>
      </c>
      <c r="C123" s="11"/>
      <c r="D123" s="4">
        <v>180243.05</v>
      </c>
      <c r="E123" s="4"/>
      <c r="F123" s="13">
        <f>IF(D$12=0,0,D123/D$12)</f>
        <v>2.7866067962433387</v>
      </c>
      <c r="G123" s="4"/>
      <c r="H123" s="4">
        <v>148220.24</v>
      </c>
      <c r="I123" s="4"/>
      <c r="J123" s="13">
        <f>IF(H$12=0,0,H123/H$12)</f>
        <v>0.33113632119894121</v>
      </c>
      <c r="K123" s="4"/>
      <c r="L123" s="4">
        <f>+D123-H123</f>
        <v>32022.809999999998</v>
      </c>
      <c r="M123" s="4"/>
      <c r="N123" s="13">
        <f>IF(H123=0,0,L123/H123)</f>
        <v>0.21604883381648821</v>
      </c>
      <c r="O123" s="11"/>
      <c r="P123" s="4">
        <v>729975.69</v>
      </c>
      <c r="Q123" s="4"/>
      <c r="R123" s="13">
        <f>IF(P$12=0,0,P123/P$12)</f>
        <v>0.27679464733824394</v>
      </c>
      <c r="S123" s="4"/>
      <c r="T123" s="4">
        <v>436867.95</v>
      </c>
      <c r="U123" s="4"/>
      <c r="V123" s="13">
        <f>IF(T$12=0,0,T123/T$12)</f>
        <v>0.15142262303354687</v>
      </c>
      <c r="W123" s="4"/>
      <c r="X123" s="4">
        <f>+P123-T123</f>
        <v>293107.73999999993</v>
      </c>
      <c r="Y123" s="4"/>
      <c r="Z123" s="13">
        <f>IF(T123=0,0,X123/T123)</f>
        <v>0.67092983131401585</v>
      </c>
    </row>
    <row r="124" spans="1:26" x14ac:dyDescent="0.25">
      <c r="A124" s="9"/>
      <c r="B124" s="11"/>
      <c r="C124" s="11"/>
      <c r="D124" s="3"/>
      <c r="E124" s="3"/>
      <c r="F124" s="8"/>
      <c r="G124" s="3"/>
      <c r="H124" s="3"/>
      <c r="I124" s="3"/>
      <c r="J124" s="8"/>
      <c r="K124" s="3"/>
      <c r="L124" s="3"/>
      <c r="M124" s="3"/>
      <c r="N124" s="8"/>
      <c r="O124" s="11"/>
      <c r="P124" s="3"/>
      <c r="Q124" s="3"/>
      <c r="R124" s="8"/>
      <c r="S124" s="3"/>
      <c r="T124" s="3"/>
      <c r="U124" s="3"/>
      <c r="V124" s="8"/>
      <c r="W124" s="3"/>
      <c r="X124" s="3"/>
      <c r="Y124" s="3"/>
      <c r="Z124" s="8"/>
    </row>
    <row r="125" spans="1:26" s="24" customFormat="1" ht="15.75" thickBot="1" x14ac:dyDescent="0.3">
      <c r="A125" s="11"/>
      <c r="B125" s="28" t="s">
        <v>125</v>
      </c>
      <c r="C125" s="28"/>
      <c r="D125" s="34">
        <f>+D121-D123</f>
        <v>-139857.91</v>
      </c>
      <c r="E125" s="14"/>
      <c r="F125" s="31">
        <f>IF(D$12=0,0,D125/D$12)</f>
        <v>-2.1622414984344154</v>
      </c>
      <c r="G125" s="14"/>
      <c r="H125" s="34">
        <f>+H121-H123</f>
        <v>6469.8699999999662</v>
      </c>
      <c r="I125" s="14"/>
      <c r="J125" s="31">
        <f>IF(H$12=0,0,H125/H$12)</f>
        <v>1.4454226699642254E-2</v>
      </c>
      <c r="K125" s="15"/>
      <c r="L125" s="34">
        <f>D125-H125</f>
        <v>-146327.77999999997</v>
      </c>
      <c r="M125" s="15"/>
      <c r="N125" s="31">
        <f>IF(H125=0,0,L125/H125)</f>
        <v>-22.616803737942298</v>
      </c>
      <c r="O125" s="29"/>
      <c r="P125" s="34">
        <f>+P121-P123</f>
        <v>-554927.53000000038</v>
      </c>
      <c r="Q125" s="14"/>
      <c r="R125" s="31">
        <f>IF(P$12=0,0,P125/P$12)</f>
        <v>-0.21041929487354971</v>
      </c>
      <c r="S125" s="14"/>
      <c r="T125" s="34">
        <f>+T121-T123</f>
        <v>-163215.72999999975</v>
      </c>
      <c r="U125" s="14"/>
      <c r="V125" s="31">
        <f>IF(T$12=0,0,T125/T$12)</f>
        <v>-5.6572138004024164E-2</v>
      </c>
      <c r="W125" s="15"/>
      <c r="X125" s="34">
        <f>P125-T125</f>
        <v>-391711.80000000063</v>
      </c>
      <c r="Y125" s="15"/>
      <c r="Z125" s="31">
        <f>IF(T125=0,0,X125/T125)</f>
        <v>2.3999635329266438</v>
      </c>
    </row>
    <row r="126" spans="1:26" ht="15.75" thickTop="1" x14ac:dyDescent="0.25">
      <c r="A126" s="9"/>
      <c r="B126" s="9"/>
      <c r="C126" s="9"/>
      <c r="D126" s="3"/>
      <c r="E126" s="3"/>
      <c r="F126" s="8"/>
      <c r="G126" s="3"/>
      <c r="H126" s="3"/>
      <c r="I126" s="3"/>
      <c r="J126" s="8"/>
      <c r="K126" s="3"/>
      <c r="L126" s="3"/>
      <c r="M126" s="3"/>
      <c r="N126" s="8"/>
      <c r="P126" s="3"/>
      <c r="Q126" s="3"/>
      <c r="R126" s="8"/>
      <c r="S126" s="3"/>
      <c r="T126" s="3"/>
      <c r="U126" s="3"/>
      <c r="V126" s="8"/>
      <c r="W126" s="3"/>
      <c r="X126" s="3"/>
      <c r="Y126" s="3"/>
      <c r="Z126" s="8"/>
    </row>
    <row r="127" spans="1:26" x14ac:dyDescent="0.25">
      <c r="A127" s="9"/>
      <c r="B127" s="9"/>
      <c r="C127" s="9"/>
      <c r="D127" s="3"/>
      <c r="E127" s="3"/>
      <c r="F127" s="8"/>
      <c r="G127" s="3"/>
      <c r="H127" s="3"/>
      <c r="I127" s="3"/>
      <c r="J127" s="8"/>
      <c r="K127" s="3"/>
      <c r="L127" s="3"/>
      <c r="M127" s="3"/>
      <c r="N127" s="8"/>
      <c r="P127" s="3"/>
      <c r="Q127" s="3"/>
      <c r="R127" s="8"/>
      <c r="S127" s="3"/>
      <c r="T127" s="3"/>
      <c r="U127" s="3"/>
      <c r="V127" s="8"/>
      <c r="W127" s="3"/>
      <c r="X127" s="3"/>
      <c r="Y127" s="3"/>
      <c r="Z127" s="8"/>
    </row>
    <row r="128" spans="1:26" s="24" customFormat="1" ht="15.75" thickBot="1" x14ac:dyDescent="0.3">
      <c r="A128" s="11"/>
      <c r="B128" s="28" t="s">
        <v>293</v>
      </c>
      <c r="C128" s="28"/>
      <c r="D128" s="33">
        <f>SUM(D125:D127)</f>
        <v>-139857.91</v>
      </c>
      <c r="E128" s="14"/>
      <c r="F128" s="35">
        <f>IF(D$12=0,0,D128/D$12)</f>
        <v>-2.1622414984344154</v>
      </c>
      <c r="G128" s="14"/>
      <c r="H128" s="33">
        <f>SUM(H125:H127)</f>
        <v>6469.8699999999662</v>
      </c>
      <c r="I128" s="14"/>
      <c r="J128" s="35">
        <f>IF(H$12=0,0,H128/H$12)</f>
        <v>1.4454226699642254E-2</v>
      </c>
      <c r="K128" s="15"/>
      <c r="L128" s="33">
        <f>+D128-H128</f>
        <v>-146327.77999999997</v>
      </c>
      <c r="M128" s="15"/>
      <c r="N128" s="35">
        <f>IF(H128=0,0,L128/H128)</f>
        <v>-22.616803737942298</v>
      </c>
      <c r="O128" s="29"/>
      <c r="P128" s="33">
        <f>SUM(P125:P127)</f>
        <v>-554927.53000000038</v>
      </c>
      <c r="Q128" s="14"/>
      <c r="R128" s="35">
        <f>IF(P$12=0,0,P128/P$12)</f>
        <v>-0.21041929487354971</v>
      </c>
      <c r="S128" s="14"/>
      <c r="T128" s="33">
        <f>SUM(T125:T127)</f>
        <v>-163215.72999999975</v>
      </c>
      <c r="U128" s="14"/>
      <c r="V128" s="35">
        <f>IF(T$12=0,0,T128/T$12)</f>
        <v>-5.6572138004024164E-2</v>
      </c>
      <c r="W128" s="15"/>
      <c r="X128" s="33">
        <f>+P128-T128</f>
        <v>-391711.80000000063</v>
      </c>
      <c r="Y128" s="15"/>
      <c r="Z128" s="35">
        <f>IF(T128=0,0,X128/T128)</f>
        <v>2.3999635329266438</v>
      </c>
    </row>
    <row r="129" spans="1:24" ht="15.75" thickTop="1" x14ac:dyDescent="0.25">
      <c r="A129" s="9"/>
      <c r="C129" s="9"/>
      <c r="D129" s="18"/>
      <c r="E129" s="18"/>
      <c r="G129" s="18"/>
      <c r="H129" s="18"/>
      <c r="I129" s="18"/>
      <c r="J129" s="43"/>
      <c r="K129" s="18"/>
      <c r="L129" s="18"/>
      <c r="M129" s="18"/>
      <c r="P129" s="18"/>
      <c r="Q129" s="18"/>
      <c r="R129" s="43"/>
      <c r="S129" s="18"/>
      <c r="T129" s="18"/>
      <c r="U129" s="18"/>
      <c r="V129" s="43"/>
      <c r="W129" s="18"/>
      <c r="X129" s="18"/>
    </row>
    <row r="130" spans="1:24" x14ac:dyDescent="0.25">
      <c r="A130" s="9"/>
      <c r="B130" s="56">
        <v>44454.698538773147</v>
      </c>
      <c r="D130" s="18"/>
      <c r="E130" s="18"/>
      <c r="G130" s="18"/>
      <c r="H130" s="18"/>
      <c r="I130" s="18"/>
      <c r="J130" s="43"/>
      <c r="K130" s="18"/>
      <c r="L130" s="18"/>
      <c r="M130" s="18"/>
      <c r="P130" s="18"/>
      <c r="Q130" s="18"/>
      <c r="R130" s="43"/>
      <c r="S130" s="18"/>
      <c r="T130" s="18"/>
      <c r="U130" s="18"/>
      <c r="V130" s="43"/>
      <c r="W130" s="18"/>
      <c r="X130" s="18"/>
    </row>
    <row r="131" spans="1:24" x14ac:dyDescent="0.25">
      <c r="A131" s="9"/>
      <c r="B131" s="55" t="s">
        <v>56</v>
      </c>
      <c r="D131" s="18"/>
      <c r="E131" s="18"/>
      <c r="G131" s="18"/>
      <c r="H131" s="18"/>
      <c r="I131" s="18"/>
      <c r="J131" s="43"/>
      <c r="K131" s="18"/>
      <c r="L131" s="18"/>
      <c r="M131" s="18"/>
      <c r="P131" s="18"/>
      <c r="Q131" s="18"/>
      <c r="R131" s="43"/>
      <c r="S131" s="18"/>
      <c r="T131" s="18"/>
      <c r="U131" s="18"/>
      <c r="V131" s="43"/>
      <c r="W131" s="18"/>
      <c r="X131" s="18"/>
    </row>
    <row r="132" spans="1:24" x14ac:dyDescent="0.25">
      <c r="A132" s="9"/>
      <c r="B132" s="60"/>
      <c r="D132" s="18"/>
      <c r="E132" s="18"/>
      <c r="G132" s="18"/>
      <c r="H132" s="18"/>
      <c r="I132" s="18"/>
      <c r="J132" s="43"/>
      <c r="K132" s="18"/>
      <c r="L132" s="18"/>
      <c r="M132" s="18"/>
      <c r="P132" s="18"/>
      <c r="Q132" s="18"/>
      <c r="R132" s="43"/>
      <c r="S132" s="18"/>
      <c r="T132" s="18"/>
      <c r="U132" s="18"/>
      <c r="V132" s="43"/>
      <c r="W132" s="18"/>
      <c r="X132" s="18"/>
    </row>
    <row r="133" spans="1:24" x14ac:dyDescent="0.25">
      <c r="D133" s="18"/>
      <c r="E133" s="18"/>
      <c r="G133" s="18"/>
      <c r="H133" s="18"/>
      <c r="I133" s="18"/>
      <c r="J133" s="43"/>
      <c r="K133" s="18"/>
      <c r="L133" s="18"/>
      <c r="M133" s="18"/>
      <c r="P133" s="18"/>
      <c r="Q133" s="18"/>
      <c r="R133" s="43"/>
      <c r="S133" s="18"/>
      <c r="T133" s="18"/>
      <c r="U133" s="18"/>
      <c r="V133" s="43"/>
      <c r="W133" s="18"/>
      <c r="X133" s="18"/>
    </row>
  </sheetData>
  <pageMargins left="0.25" right="0.25" top="0.75" bottom="0.75" header="0.3" footer="0.3"/>
  <pageSetup scale="55" fitToWidth="2" orientation="landscape"/>
  <drawing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>
    <tabColor rgb="FF92D050"/>
    <outlinePr summaryBelow="0" summaryRight="0"/>
  </sheetPr>
  <dimension ref="A2:Z133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62" t="s">
        <v>23</v>
      </c>
    </row>
    <row r="3" spans="1:26" x14ac:dyDescent="0.25">
      <c r="D3" s="62" t="s">
        <v>236</v>
      </c>
      <c r="E3" s="17"/>
      <c r="F3" s="46"/>
      <c r="G3" s="17"/>
      <c r="H3" s="17"/>
      <c r="I3" s="17"/>
      <c r="J3" s="38"/>
      <c r="K3" s="17"/>
      <c r="L3" s="17"/>
      <c r="M3" s="17"/>
      <c r="N3" s="46"/>
      <c r="O3" s="53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2" t="str">
        <f>CONCATENATE("Period ",RIGHT(202112,2),", ",2021)</f>
        <v>Period 12, 2021</v>
      </c>
      <c r="E4" s="17"/>
      <c r="F4" s="46"/>
      <c r="G4" s="17"/>
      <c r="H4" s="17"/>
      <c r="I4" s="17"/>
      <c r="J4" s="38"/>
      <c r="K4" s="17"/>
      <c r="L4" s="17"/>
      <c r="M4" s="17"/>
      <c r="N4" s="46"/>
      <c r="O4" s="53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4"/>
      <c r="D5" s="63">
        <v>44377</v>
      </c>
      <c r="E5" s="17"/>
      <c r="F5" s="46"/>
      <c r="G5" s="17"/>
      <c r="H5" s="17"/>
      <c r="I5" s="17"/>
      <c r="J5" s="38"/>
      <c r="K5" s="17"/>
      <c r="L5" s="17"/>
      <c r="M5" s="17"/>
      <c r="N5" s="46"/>
      <c r="O5" s="53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4"/>
      <c r="B6" s="48"/>
      <c r="C6" s="48"/>
      <c r="D6" s="24" t="str">
        <f>CONCATENATE("Department ","317", " - ", "Computer Store")</f>
        <v>Department 317 - Computer Store</v>
      </c>
      <c r="E6" s="17"/>
      <c r="F6" s="46"/>
      <c r="G6" s="17"/>
      <c r="H6" s="17"/>
      <c r="I6" s="17"/>
      <c r="J6" s="38"/>
      <c r="K6" s="17"/>
      <c r="L6" s="17"/>
      <c r="M6" s="17"/>
      <c r="N6" s="46"/>
      <c r="O6" s="54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9"/>
    </row>
    <row r="8" spans="1:26" x14ac:dyDescent="0.25">
      <c r="B8" s="59"/>
    </row>
    <row r="9" spans="1:26" x14ac:dyDescent="0.25">
      <c r="B9" s="9"/>
      <c r="C9" s="9"/>
      <c r="D9" s="16" t="s">
        <v>291</v>
      </c>
      <c r="E9" s="16"/>
      <c r="F9" s="39"/>
      <c r="G9" s="16"/>
      <c r="H9" s="16"/>
      <c r="I9" s="16"/>
      <c r="J9" s="49"/>
      <c r="K9" s="16"/>
      <c r="L9" s="16"/>
      <c r="M9" s="16"/>
      <c r="N9" s="39"/>
      <c r="P9" s="16" t="s">
        <v>39</v>
      </c>
      <c r="Q9" s="16"/>
      <c r="R9" s="39"/>
      <c r="S9" s="16"/>
      <c r="T9" s="16"/>
      <c r="U9" s="16"/>
      <c r="V9" s="49"/>
      <c r="W9" s="16"/>
      <c r="X9" s="16"/>
      <c r="Y9" s="16"/>
      <c r="Z9" s="39"/>
    </row>
    <row r="10" spans="1:26" x14ac:dyDescent="0.25">
      <c r="A10" s="11"/>
      <c r="B10" s="58"/>
      <c r="C10" s="11"/>
      <c r="D10" s="42" t="s">
        <v>57</v>
      </c>
      <c r="E10" s="36"/>
      <c r="F10" s="30" t="s">
        <v>40</v>
      </c>
      <c r="G10" s="36"/>
      <c r="H10" s="50" t="s">
        <v>237</v>
      </c>
      <c r="I10" s="36"/>
      <c r="J10" s="30" t="s">
        <v>40</v>
      </c>
      <c r="K10" s="11"/>
      <c r="L10" s="42" t="s">
        <v>126</v>
      </c>
      <c r="M10" s="11"/>
      <c r="N10" s="30" t="s">
        <v>257</v>
      </c>
      <c r="O10" s="11"/>
      <c r="P10" s="61" t="s">
        <v>57</v>
      </c>
      <c r="Q10" s="36"/>
      <c r="R10" s="30" t="s">
        <v>40</v>
      </c>
      <c r="S10" s="36"/>
      <c r="T10" s="50" t="s">
        <v>237</v>
      </c>
      <c r="U10" s="36"/>
      <c r="V10" s="30" t="s">
        <v>40</v>
      </c>
      <c r="W10" s="11"/>
      <c r="X10" s="42" t="s">
        <v>126</v>
      </c>
      <c r="Y10" s="11"/>
      <c r="Z10" s="30" t="s">
        <v>257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4" customFormat="1" collapsed="1" x14ac:dyDescent="0.25">
      <c r="A12" s="11"/>
      <c r="B12" s="29" t="s">
        <v>139</v>
      </c>
      <c r="C12" s="11"/>
      <c r="D12" s="4">
        <f>SUM(OSRRefD13x_0)</f>
        <v>64681.91</v>
      </c>
      <c r="E12" s="4"/>
      <c r="F12" s="13"/>
      <c r="G12" s="4"/>
      <c r="H12" s="4">
        <f>SUM(OSRRefH13x_0)</f>
        <v>447610.93999999994</v>
      </c>
      <c r="I12" s="4"/>
      <c r="J12" s="13"/>
      <c r="K12" s="4"/>
      <c r="L12" s="4">
        <f t="shared" ref="L12:L37" si="0">+D12-H12</f>
        <v>-382929.02999999991</v>
      </c>
      <c r="M12" s="4"/>
      <c r="N12" s="13">
        <f t="shared" ref="N12:N37" si="1">IF(H12=0,0,L12/H12)</f>
        <v>-0.85549524325745918</v>
      </c>
      <c r="O12" s="11"/>
      <c r="P12" s="4">
        <f>SUM(OSRRefP13x_0)</f>
        <v>2637246.41</v>
      </c>
      <c r="Q12" s="4"/>
      <c r="R12" s="13"/>
      <c r="S12" s="4"/>
      <c r="T12" s="4">
        <f>SUM(OSRRefT13x_0)</f>
        <v>2885090.36</v>
      </c>
      <c r="U12" s="4"/>
      <c r="V12" s="13"/>
      <c r="W12" s="4"/>
      <c r="X12" s="4">
        <f t="shared" ref="X12:X37" si="2">+P12-T12</f>
        <v>-247843.94999999972</v>
      </c>
      <c r="Y12" s="4"/>
      <c r="Z12" s="13">
        <f t="shared" ref="Z12:Z37" si="3">IF(T12=0,0,X12/T12)</f>
        <v>-8.5905091028067398E-2</v>
      </c>
    </row>
    <row r="13" spans="1:26" s="23" customFormat="1" hidden="1" outlineLevel="1" x14ac:dyDescent="0.25">
      <c r="A13" s="44"/>
      <c r="B13" s="10" t="str">
        <f>CONCATENATE("          ", "4000", " - ", "TAXABLE SALES")</f>
        <v xml:space="preserve">          4000 - TAXABLE SALES</v>
      </c>
      <c r="C13" s="10"/>
      <c r="D13" s="2">
        <f>-113.77</f>
        <v>-113.77</v>
      </c>
      <c r="E13" s="2"/>
      <c r="F13" s="19"/>
      <c r="G13" s="2"/>
      <c r="H13" s="2">
        <f>0</f>
        <v>0</v>
      </c>
      <c r="I13" s="2"/>
      <c r="J13" s="19"/>
      <c r="K13" s="2"/>
      <c r="L13" s="2">
        <f t="shared" si="0"/>
        <v>-113.77</v>
      </c>
      <c r="M13" s="2"/>
      <c r="N13" s="19">
        <f t="shared" si="1"/>
        <v>0</v>
      </c>
      <c r="O13" s="10"/>
      <c r="P13" s="2">
        <f>-3077.68</f>
        <v>-3077.68</v>
      </c>
      <c r="Q13" s="2"/>
      <c r="R13" s="19"/>
      <c r="S13" s="2"/>
      <c r="T13" s="2">
        <f>0</f>
        <v>0</v>
      </c>
      <c r="U13" s="2"/>
      <c r="V13" s="19"/>
      <c r="W13" s="2"/>
      <c r="X13" s="2">
        <f t="shared" si="2"/>
        <v>-3077.68</v>
      </c>
      <c r="Y13" s="2"/>
      <c r="Z13" s="19">
        <f t="shared" si="3"/>
        <v>0</v>
      </c>
    </row>
    <row r="14" spans="1:26" s="23" customFormat="1" hidden="1" outlineLevel="1" x14ac:dyDescent="0.25">
      <c r="A14" s="44"/>
      <c r="B14" s="10" t="str">
        <f>CONCATENATE("          ", "4081", " - ", "TAXABLE SALES-ELECTRONICS")</f>
        <v xml:space="preserve">          4081 - TAXABLE SALES-ELECTRONICS</v>
      </c>
      <c r="C14" s="10"/>
      <c r="D14" s="2">
        <f>--1743.92</f>
        <v>1743.92</v>
      </c>
      <c r="E14" s="2"/>
      <c r="F14" s="19"/>
      <c r="G14" s="2"/>
      <c r="H14" s="2">
        <f>--1708.99</f>
        <v>1708.99</v>
      </c>
      <c r="I14" s="2"/>
      <c r="J14" s="19"/>
      <c r="K14" s="2"/>
      <c r="L14" s="2">
        <f t="shared" si="0"/>
        <v>34.930000000000064</v>
      </c>
      <c r="M14" s="2"/>
      <c r="N14" s="19">
        <f t="shared" si="1"/>
        <v>2.0438972726581236E-2</v>
      </c>
      <c r="O14" s="10"/>
      <c r="P14" s="2">
        <f>--65697.9</f>
        <v>65697.899999999994</v>
      </c>
      <c r="Q14" s="2"/>
      <c r="R14" s="19"/>
      <c r="S14" s="2"/>
      <c r="T14" s="2">
        <f>--314869.02</f>
        <v>314869.02</v>
      </c>
      <c r="U14" s="2"/>
      <c r="V14" s="19"/>
      <c r="W14" s="2"/>
      <c r="X14" s="2">
        <f t="shared" si="2"/>
        <v>-249171.12000000002</v>
      </c>
      <c r="Y14" s="2"/>
      <c r="Z14" s="19">
        <f t="shared" si="3"/>
        <v>-0.79134847880556813</v>
      </c>
    </row>
    <row r="15" spans="1:26" s="23" customFormat="1" hidden="1" outlineLevel="1" x14ac:dyDescent="0.25">
      <c r="A15" s="44"/>
      <c r="B15" s="10" t="str">
        <f>CONCATENATE("          ", "4082", " - ", "TAXABLE SALES-COMPUTER HARDWAR")</f>
        <v xml:space="preserve">          4082 - TAXABLE SALES-COMPUTER HARDWAR</v>
      </c>
      <c r="C15" s="10"/>
      <c r="D15" s="2">
        <f>--78232.49</f>
        <v>78232.490000000005</v>
      </c>
      <c r="E15" s="2"/>
      <c r="F15" s="19"/>
      <c r="G15" s="2"/>
      <c r="H15" s="2">
        <f>--391247.66</f>
        <v>391247.66</v>
      </c>
      <c r="I15" s="2"/>
      <c r="J15" s="19"/>
      <c r="K15" s="2"/>
      <c r="L15" s="2">
        <f t="shared" si="0"/>
        <v>-313015.17</v>
      </c>
      <c r="M15" s="2"/>
      <c r="N15" s="19">
        <f t="shared" si="1"/>
        <v>-0.80004355808798955</v>
      </c>
      <c r="O15" s="10"/>
      <c r="P15" s="2">
        <f>--2207891.11</f>
        <v>2207891.11</v>
      </c>
      <c r="Q15" s="2"/>
      <c r="R15" s="19"/>
      <c r="S15" s="2"/>
      <c r="T15" s="2">
        <f>--2373486.44</f>
        <v>2373486.44</v>
      </c>
      <c r="U15" s="2"/>
      <c r="V15" s="19"/>
      <c r="W15" s="2"/>
      <c r="X15" s="2">
        <f t="shared" si="2"/>
        <v>-165595.33000000007</v>
      </c>
      <c r="Y15" s="2"/>
      <c r="Z15" s="19">
        <f t="shared" si="3"/>
        <v>-6.9768812329932706E-2</v>
      </c>
    </row>
    <row r="16" spans="1:26" s="23" customFormat="1" hidden="1" outlineLevel="1" x14ac:dyDescent="0.25">
      <c r="A16" s="44"/>
      <c r="B16" s="10" t="str">
        <f>CONCATENATE("          ", "4083", " - ", "TAXABLE SALES-COMPUTER EQUIPME")</f>
        <v xml:space="preserve">          4083 - TAXABLE SALES-COMPUTER EQUIPME</v>
      </c>
      <c r="C16" s="10"/>
      <c r="D16" s="2">
        <f>--3971.25</f>
        <v>3971.25</v>
      </c>
      <c r="E16" s="2"/>
      <c r="F16" s="19"/>
      <c r="G16" s="2"/>
      <c r="H16" s="2">
        <f>--32731.49</f>
        <v>32731.49</v>
      </c>
      <c r="I16" s="2"/>
      <c r="J16" s="19"/>
      <c r="K16" s="2"/>
      <c r="L16" s="2">
        <f t="shared" si="0"/>
        <v>-28760.240000000002</v>
      </c>
      <c r="M16" s="2"/>
      <c r="N16" s="19">
        <f t="shared" si="1"/>
        <v>-0.87867188447577549</v>
      </c>
      <c r="O16" s="10"/>
      <c r="P16" s="2">
        <f>--141108.24</f>
        <v>141108.24</v>
      </c>
      <c r="Q16" s="2"/>
      <c r="R16" s="19"/>
      <c r="S16" s="2"/>
      <c r="T16" s="2">
        <f>--138235.56</f>
        <v>138235.56</v>
      </c>
      <c r="U16" s="2"/>
      <c r="V16" s="19"/>
      <c r="W16" s="2"/>
      <c r="X16" s="2">
        <f t="shared" si="2"/>
        <v>2872.679999999993</v>
      </c>
      <c r="Y16" s="2"/>
      <c r="Z16" s="19">
        <f t="shared" si="3"/>
        <v>2.0781049391343249E-2</v>
      </c>
    </row>
    <row r="17" spans="1:26" s="23" customFormat="1" hidden="1" outlineLevel="1" x14ac:dyDescent="0.25">
      <c r="A17" s="44"/>
      <c r="B17" s="10" t="str">
        <f>CONCATENATE("          ", "4084", " - ", "TAXABLE SALES-SOFTWARE LICENSE")</f>
        <v xml:space="preserve">          4084 - TAXABLE SALES-SOFTWARE LICENSE</v>
      </c>
      <c r="C17" s="10"/>
      <c r="D17" s="2">
        <f t="shared" ref="D17:D18" si="4">0</f>
        <v>0</v>
      </c>
      <c r="E17" s="2"/>
      <c r="F17" s="19"/>
      <c r="G17" s="2"/>
      <c r="H17" s="2">
        <f t="shared" ref="H17:H18" si="5">0</f>
        <v>0</v>
      </c>
      <c r="I17" s="2"/>
      <c r="J17" s="19"/>
      <c r="K17" s="2"/>
      <c r="L17" s="2">
        <f t="shared" si="0"/>
        <v>0</v>
      </c>
      <c r="M17" s="2"/>
      <c r="N17" s="19">
        <f t="shared" si="1"/>
        <v>0</v>
      </c>
      <c r="O17" s="10"/>
      <c r="P17" s="2">
        <f>0</f>
        <v>0</v>
      </c>
      <c r="Q17" s="2"/>
      <c r="R17" s="19"/>
      <c r="S17" s="2"/>
      <c r="T17" s="2">
        <f>--129</f>
        <v>129</v>
      </c>
      <c r="U17" s="2"/>
      <c r="V17" s="19"/>
      <c r="W17" s="2"/>
      <c r="X17" s="2">
        <f t="shared" si="2"/>
        <v>-129</v>
      </c>
      <c r="Y17" s="2"/>
      <c r="Z17" s="19">
        <f t="shared" si="3"/>
        <v>-1</v>
      </c>
    </row>
    <row r="18" spans="1:26" s="23" customFormat="1" hidden="1" outlineLevel="1" x14ac:dyDescent="0.25">
      <c r="A18" s="44"/>
      <c r="B18" s="10" t="str">
        <f>CONCATENATE("          ", "4085", " - ", "TAXABLE SALES-SOFTWARE")</f>
        <v xml:space="preserve">          4085 - TAXABLE SALES-SOFTWARE</v>
      </c>
      <c r="C18" s="10"/>
      <c r="D18" s="2">
        <f t="shared" si="4"/>
        <v>0</v>
      </c>
      <c r="E18" s="2"/>
      <c r="F18" s="19"/>
      <c r="G18" s="2"/>
      <c r="H18" s="2">
        <f t="shared" si="5"/>
        <v>0</v>
      </c>
      <c r="I18" s="2"/>
      <c r="J18" s="19"/>
      <c r="K18" s="2"/>
      <c r="L18" s="2">
        <f t="shared" si="0"/>
        <v>0</v>
      </c>
      <c r="M18" s="2"/>
      <c r="N18" s="19">
        <f t="shared" si="1"/>
        <v>0</v>
      </c>
      <c r="O18" s="10"/>
      <c r="P18" s="2">
        <f>--4870.79</f>
        <v>4870.79</v>
      </c>
      <c r="Q18" s="2"/>
      <c r="R18" s="19"/>
      <c r="S18" s="2"/>
      <c r="T18" s="2">
        <f>--4587.93</f>
        <v>4587.93</v>
      </c>
      <c r="U18" s="2"/>
      <c r="V18" s="19"/>
      <c r="W18" s="2"/>
      <c r="X18" s="2">
        <f t="shared" si="2"/>
        <v>282.85999999999967</v>
      </c>
      <c r="Y18" s="2"/>
      <c r="Z18" s="19">
        <f t="shared" si="3"/>
        <v>6.165307665984434E-2</v>
      </c>
    </row>
    <row r="19" spans="1:26" s="23" customFormat="1" hidden="1" outlineLevel="1" x14ac:dyDescent="0.25">
      <c r="A19" s="44"/>
      <c r="B19" s="10" t="str">
        <f>CONCATENATE("          ", "4086", " - ", "TAXABLE SALES-COMPUTER SUPPLIE")</f>
        <v xml:space="preserve">          4086 - TAXABLE SALES-COMPUTER SUPPLIE</v>
      </c>
      <c r="C19" s="10"/>
      <c r="D19" s="2">
        <f>--850.72</f>
        <v>850.72</v>
      </c>
      <c r="E19" s="2"/>
      <c r="F19" s="19"/>
      <c r="G19" s="2"/>
      <c r="H19" s="2">
        <f>--114.95</f>
        <v>114.95</v>
      </c>
      <c r="I19" s="2"/>
      <c r="J19" s="19"/>
      <c r="K19" s="2"/>
      <c r="L19" s="2">
        <f t="shared" si="0"/>
        <v>735.77</v>
      </c>
      <c r="M19" s="2"/>
      <c r="N19" s="19">
        <f t="shared" si="1"/>
        <v>6.4007829491083079</v>
      </c>
      <c r="O19" s="10"/>
      <c r="P19" s="2">
        <f>--67783.14</f>
        <v>67783.14</v>
      </c>
      <c r="Q19" s="2"/>
      <c r="R19" s="19"/>
      <c r="S19" s="2"/>
      <c r="T19" s="2">
        <f>--48830.67</f>
        <v>48830.67</v>
      </c>
      <c r="U19" s="2"/>
      <c r="V19" s="19"/>
      <c r="W19" s="2"/>
      <c r="X19" s="2">
        <f t="shared" si="2"/>
        <v>18952.47</v>
      </c>
      <c r="Y19" s="2"/>
      <c r="Z19" s="19">
        <f t="shared" si="3"/>
        <v>0.38812635583333183</v>
      </c>
    </row>
    <row r="20" spans="1:26" s="23" customFormat="1" hidden="1" outlineLevel="1" x14ac:dyDescent="0.25">
      <c r="A20" s="44"/>
      <c r="B20" s="10" t="str">
        <f>CONCATENATE("          ", "4088", " - ", "TAXABLE SALES-MUSIC")</f>
        <v xml:space="preserve">          4088 - TAXABLE SALES-MUSIC</v>
      </c>
      <c r="C20" s="10"/>
      <c r="D20" s="2">
        <f>0</f>
        <v>0</v>
      </c>
      <c r="E20" s="2"/>
      <c r="F20" s="19"/>
      <c r="G20" s="2"/>
      <c r="H20" s="2">
        <f>--356</f>
        <v>356</v>
      </c>
      <c r="I20" s="2"/>
      <c r="J20" s="19"/>
      <c r="K20" s="2"/>
      <c r="L20" s="2">
        <f t="shared" si="0"/>
        <v>-356</v>
      </c>
      <c r="M20" s="2"/>
      <c r="N20" s="19">
        <f t="shared" si="1"/>
        <v>-1</v>
      </c>
      <c r="O20" s="10"/>
      <c r="P20" s="2">
        <f>0</f>
        <v>0</v>
      </c>
      <c r="Q20" s="2"/>
      <c r="R20" s="19"/>
      <c r="S20" s="2"/>
      <c r="T20" s="2">
        <f>--3151.75</f>
        <v>3151.75</v>
      </c>
      <c r="U20" s="2"/>
      <c r="V20" s="19"/>
      <c r="W20" s="2"/>
      <c r="X20" s="2">
        <f t="shared" si="2"/>
        <v>-3151.75</v>
      </c>
      <c r="Y20" s="2"/>
      <c r="Z20" s="19">
        <f t="shared" si="3"/>
        <v>-1</v>
      </c>
    </row>
    <row r="21" spans="1:26" s="23" customFormat="1" hidden="1" outlineLevel="1" x14ac:dyDescent="0.25">
      <c r="A21" s="44"/>
      <c r="B21" s="10" t="str">
        <f>CONCATENATE("          ", "4181", " - ", "NON-TAXABLE SALES-ELECTRONICS")</f>
        <v xml:space="preserve">          4181 - NON-TAXABLE SALES-ELECTRONICS</v>
      </c>
      <c r="C21" s="10"/>
      <c r="D21" s="2">
        <f>--33.97</f>
        <v>33.97</v>
      </c>
      <c r="E21" s="2"/>
      <c r="F21" s="19"/>
      <c r="G21" s="2"/>
      <c r="H21" s="2">
        <f>--1267.95</f>
        <v>1267.95</v>
      </c>
      <c r="I21" s="2"/>
      <c r="J21" s="19"/>
      <c r="K21" s="2"/>
      <c r="L21" s="2">
        <f t="shared" si="0"/>
        <v>-1233.98</v>
      </c>
      <c r="M21" s="2"/>
      <c r="N21" s="19">
        <f t="shared" si="1"/>
        <v>-0.973208722741433</v>
      </c>
      <c r="O21" s="10"/>
      <c r="P21" s="2">
        <f>--14322.55</f>
        <v>14322.55</v>
      </c>
      <c r="Q21" s="2"/>
      <c r="R21" s="19"/>
      <c r="S21" s="2"/>
      <c r="T21" s="2">
        <f>--3925.74</f>
        <v>3925.74</v>
      </c>
      <c r="U21" s="2"/>
      <c r="V21" s="19"/>
      <c r="W21" s="2"/>
      <c r="X21" s="2">
        <f t="shared" si="2"/>
        <v>10396.81</v>
      </c>
      <c r="Y21" s="2"/>
      <c r="Z21" s="19">
        <f t="shared" si="3"/>
        <v>2.6483694793847783</v>
      </c>
    </row>
    <row r="22" spans="1:26" s="23" customFormat="1" hidden="1" outlineLevel="1" x14ac:dyDescent="0.25">
      <c r="A22" s="44"/>
      <c r="B22" s="10" t="str">
        <f>CONCATENATE("          ", "4182", " - ", "NON-TAXABLE SALES-COMPUTER HAR")</f>
        <v xml:space="preserve">          4182 - NON-TAXABLE SALES-COMPUTER HAR</v>
      </c>
      <c r="C22" s="10"/>
      <c r="D22" s="2">
        <f>--19892.86</f>
        <v>19892.86</v>
      </c>
      <c r="E22" s="2"/>
      <c r="F22" s="19"/>
      <c r="G22" s="2"/>
      <c r="H22" s="2">
        <f>--45022.25</f>
        <v>45022.25</v>
      </c>
      <c r="I22" s="2"/>
      <c r="J22" s="19"/>
      <c r="K22" s="2"/>
      <c r="L22" s="2">
        <f t="shared" si="0"/>
        <v>-25129.39</v>
      </c>
      <c r="M22" s="2"/>
      <c r="N22" s="19">
        <f t="shared" si="1"/>
        <v>-0.558154912293366</v>
      </c>
      <c r="O22" s="10"/>
      <c r="P22" s="2">
        <f>--367422.08</f>
        <v>367422.08</v>
      </c>
      <c r="Q22" s="2"/>
      <c r="R22" s="19"/>
      <c r="S22" s="2"/>
      <c r="T22" s="2">
        <f>--221223.79</f>
        <v>221223.79</v>
      </c>
      <c r="U22" s="2"/>
      <c r="V22" s="19"/>
      <c r="W22" s="2"/>
      <c r="X22" s="2">
        <f t="shared" si="2"/>
        <v>146198.29</v>
      </c>
      <c r="Y22" s="2"/>
      <c r="Z22" s="19">
        <f t="shared" si="3"/>
        <v>0.66086151945954819</v>
      </c>
    </row>
    <row r="23" spans="1:26" s="23" customFormat="1" hidden="1" outlineLevel="1" x14ac:dyDescent="0.25">
      <c r="A23" s="44"/>
      <c r="B23" s="10" t="str">
        <f>CONCATENATE("          ", "4183", " - ", "NON-TAXABLE SALES-COMPUTER EQU")</f>
        <v xml:space="preserve">          4183 - NON-TAXABLE SALES-COMPUTER EQU</v>
      </c>
      <c r="C23" s="10"/>
      <c r="D23" s="2">
        <f>--1441.27</f>
        <v>1441.27</v>
      </c>
      <c r="E23" s="2"/>
      <c r="F23" s="19"/>
      <c r="G23" s="2"/>
      <c r="H23" s="2">
        <f>--1394.82</f>
        <v>1394.82</v>
      </c>
      <c r="I23" s="2"/>
      <c r="J23" s="19"/>
      <c r="K23" s="2"/>
      <c r="L23" s="2">
        <f t="shared" si="0"/>
        <v>46.450000000000045</v>
      </c>
      <c r="M23" s="2"/>
      <c r="N23" s="19">
        <f t="shared" si="1"/>
        <v>3.3301788044335506E-2</v>
      </c>
      <c r="O23" s="10"/>
      <c r="P23" s="2">
        <f>--23887.02</f>
        <v>23887.02</v>
      </c>
      <c r="Q23" s="2"/>
      <c r="R23" s="19"/>
      <c r="S23" s="2"/>
      <c r="T23" s="2">
        <f>--12822.38</f>
        <v>12822.38</v>
      </c>
      <c r="U23" s="2"/>
      <c r="V23" s="19"/>
      <c r="W23" s="2"/>
      <c r="X23" s="2">
        <f t="shared" si="2"/>
        <v>11064.640000000001</v>
      </c>
      <c r="Y23" s="2"/>
      <c r="Z23" s="19">
        <f t="shared" si="3"/>
        <v>0.86291624487809615</v>
      </c>
    </row>
    <row r="24" spans="1:26" s="23" customFormat="1" hidden="1" outlineLevel="1" x14ac:dyDescent="0.25">
      <c r="A24" s="44"/>
      <c r="B24" s="10" t="str">
        <f>CONCATENATE("          ", "4184", " - ", "NON-TAXABLE SALES-SOFTWARE LIC")</f>
        <v xml:space="preserve">          4184 - NON-TAXABLE SALES-SOFTWARE LIC</v>
      </c>
      <c r="C24" s="10"/>
      <c r="D24" s="2">
        <f>0</f>
        <v>0</v>
      </c>
      <c r="E24" s="2"/>
      <c r="F24" s="19"/>
      <c r="G24" s="2"/>
      <c r="H24" s="2">
        <f>0</f>
        <v>0</v>
      </c>
      <c r="I24" s="2"/>
      <c r="J24" s="19"/>
      <c r="K24" s="2"/>
      <c r="L24" s="2">
        <f t="shared" si="0"/>
        <v>0</v>
      </c>
      <c r="M24" s="2"/>
      <c r="N24" s="19">
        <f t="shared" si="1"/>
        <v>0</v>
      </c>
      <c r="O24" s="10"/>
      <c r="P24" s="2">
        <f>0</f>
        <v>0</v>
      </c>
      <c r="Q24" s="2"/>
      <c r="R24" s="19"/>
      <c r="S24" s="2"/>
      <c r="T24" s="2">
        <f>--2728</f>
        <v>2728</v>
      </c>
      <c r="U24" s="2"/>
      <c r="V24" s="19"/>
      <c r="W24" s="2"/>
      <c r="X24" s="2">
        <f t="shared" si="2"/>
        <v>-2728</v>
      </c>
      <c r="Y24" s="2"/>
      <c r="Z24" s="19">
        <f t="shared" si="3"/>
        <v>-1</v>
      </c>
    </row>
    <row r="25" spans="1:26" s="23" customFormat="1" hidden="1" outlineLevel="1" x14ac:dyDescent="0.25">
      <c r="A25" s="44"/>
      <c r="B25" s="10" t="str">
        <f>CONCATENATE("          ", "4185", " - ", "NON-TAXABLE SALES-SOFTWARE")</f>
        <v xml:space="preserve">          4185 - NON-TAXABLE SALES-SOFTWARE</v>
      </c>
      <c r="C25" s="10"/>
      <c r="D25" s="2">
        <f>--3849.74</f>
        <v>3849.74</v>
      </c>
      <c r="E25" s="2"/>
      <c r="F25" s="19"/>
      <c r="G25" s="2"/>
      <c r="H25" s="2">
        <f>--5267.75</f>
        <v>5267.75</v>
      </c>
      <c r="I25" s="2"/>
      <c r="J25" s="19"/>
      <c r="K25" s="2"/>
      <c r="L25" s="2">
        <f t="shared" si="0"/>
        <v>-1418.0100000000002</v>
      </c>
      <c r="M25" s="2"/>
      <c r="N25" s="19">
        <f t="shared" si="1"/>
        <v>-0.26918703431256236</v>
      </c>
      <c r="O25" s="10"/>
      <c r="P25" s="2">
        <f>--59807.35</f>
        <v>59807.35</v>
      </c>
      <c r="Q25" s="2"/>
      <c r="R25" s="19"/>
      <c r="S25" s="2"/>
      <c r="T25" s="2">
        <f>--25792.1</f>
        <v>25792.1</v>
      </c>
      <c r="U25" s="2"/>
      <c r="V25" s="19"/>
      <c r="W25" s="2"/>
      <c r="X25" s="2">
        <f t="shared" si="2"/>
        <v>34015.25</v>
      </c>
      <c r="Y25" s="2"/>
      <c r="Z25" s="19">
        <f t="shared" si="3"/>
        <v>1.3188243687020444</v>
      </c>
    </row>
    <row r="26" spans="1:26" s="23" customFormat="1" hidden="1" outlineLevel="1" x14ac:dyDescent="0.25">
      <c r="A26" s="44"/>
      <c r="B26" s="10" t="str">
        <f>CONCATENATE("          ", "4186", " - ", "NON-TAXABLE SALES-COMPUTER SUP")</f>
        <v xml:space="preserve">          4186 - NON-TAXABLE SALES-COMPUTER SUP</v>
      </c>
      <c r="C26" s="10"/>
      <c r="D26" s="2">
        <f>--317.9</f>
        <v>317.89999999999998</v>
      </c>
      <c r="E26" s="2"/>
      <c r="F26" s="19"/>
      <c r="G26" s="2"/>
      <c r="H26" s="2">
        <f>--431.97</f>
        <v>431.97</v>
      </c>
      <c r="I26" s="2"/>
      <c r="J26" s="19"/>
      <c r="K26" s="2"/>
      <c r="L26" s="2">
        <f t="shared" si="0"/>
        <v>-114.07000000000005</v>
      </c>
      <c r="M26" s="2"/>
      <c r="N26" s="19">
        <f t="shared" si="1"/>
        <v>-0.26406926406926418</v>
      </c>
      <c r="O26" s="10"/>
      <c r="P26" s="2">
        <f>--3797.04</f>
        <v>3797.04</v>
      </c>
      <c r="Q26" s="2"/>
      <c r="R26" s="19"/>
      <c r="S26" s="2"/>
      <c r="T26" s="2">
        <f>--3358.05</f>
        <v>3358.05</v>
      </c>
      <c r="U26" s="2"/>
      <c r="V26" s="19"/>
      <c r="W26" s="2"/>
      <c r="X26" s="2">
        <f t="shared" si="2"/>
        <v>438.98999999999978</v>
      </c>
      <c r="Y26" s="2"/>
      <c r="Z26" s="19">
        <f t="shared" si="3"/>
        <v>0.13072765444231019</v>
      </c>
    </row>
    <row r="27" spans="1:26" s="23" customFormat="1" hidden="1" outlineLevel="1" x14ac:dyDescent="0.25">
      <c r="A27" s="44"/>
      <c r="B27" s="10" t="str">
        <f>CONCATENATE("          ", "4188", " - ", "NON-TAXABLE SALES-MUSIC")</f>
        <v xml:space="preserve">          4188 - NON-TAXABLE SALES-MUSIC</v>
      </c>
      <c r="C27" s="10"/>
      <c r="D27" s="2">
        <f>0</f>
        <v>0</v>
      </c>
      <c r="E27" s="2"/>
      <c r="F27" s="19"/>
      <c r="G27" s="2"/>
      <c r="H27" s="2">
        <f>0</f>
        <v>0</v>
      </c>
      <c r="I27" s="2"/>
      <c r="J27" s="19"/>
      <c r="K27" s="2"/>
      <c r="L27" s="2">
        <f t="shared" si="0"/>
        <v>0</v>
      </c>
      <c r="M27" s="2"/>
      <c r="N27" s="19">
        <f t="shared" si="1"/>
        <v>0</v>
      </c>
      <c r="O27" s="10"/>
      <c r="P27" s="2">
        <f>0</f>
        <v>0</v>
      </c>
      <c r="Q27" s="2"/>
      <c r="R27" s="19"/>
      <c r="S27" s="2"/>
      <c r="T27" s="2">
        <f>--343.94</f>
        <v>343.94</v>
      </c>
      <c r="U27" s="2"/>
      <c r="V27" s="19"/>
      <c r="W27" s="2"/>
      <c r="X27" s="2">
        <f t="shared" si="2"/>
        <v>-343.94</v>
      </c>
      <c r="Y27" s="2"/>
      <c r="Z27" s="19">
        <f t="shared" si="3"/>
        <v>-1</v>
      </c>
    </row>
    <row r="28" spans="1:26" s="23" customFormat="1" hidden="1" outlineLevel="1" x14ac:dyDescent="0.25">
      <c r="A28" s="44"/>
      <c r="B28" s="10" t="str">
        <f>CONCATENATE("          ", "4281", " - ", "SALES RETURN TAXABLE-ELECTRONI")</f>
        <v xml:space="preserve">          4281 - SALES RETURN TAXABLE-ELECTRONI</v>
      </c>
      <c r="C28" s="10"/>
      <c r="D28" s="2">
        <f>-529.99</f>
        <v>-529.99</v>
      </c>
      <c r="E28" s="2"/>
      <c r="F28" s="19"/>
      <c r="G28" s="2"/>
      <c r="H28" s="2">
        <f>-159</f>
        <v>-159</v>
      </c>
      <c r="I28" s="2"/>
      <c r="J28" s="19"/>
      <c r="K28" s="2"/>
      <c r="L28" s="2">
        <f t="shared" si="0"/>
        <v>-370.99</v>
      </c>
      <c r="M28" s="2"/>
      <c r="N28" s="19">
        <f t="shared" si="1"/>
        <v>2.3332704402515723</v>
      </c>
      <c r="O28" s="10"/>
      <c r="P28" s="2">
        <f>-15372.12</f>
        <v>-15372.12</v>
      </c>
      <c r="Q28" s="2"/>
      <c r="R28" s="19"/>
      <c r="S28" s="2"/>
      <c r="T28" s="2">
        <f>-8099.7</f>
        <v>-8099.7</v>
      </c>
      <c r="U28" s="2"/>
      <c r="V28" s="19"/>
      <c r="W28" s="2"/>
      <c r="X28" s="2">
        <f t="shared" si="2"/>
        <v>-7272.420000000001</v>
      </c>
      <c r="Y28" s="2"/>
      <c r="Z28" s="19">
        <f t="shared" si="3"/>
        <v>0.8978628838105116</v>
      </c>
    </row>
    <row r="29" spans="1:26" s="23" customFormat="1" hidden="1" outlineLevel="1" x14ac:dyDescent="0.25">
      <c r="A29" s="44"/>
      <c r="B29" s="10" t="str">
        <f>CONCATENATE("          ", "4282", " - ", "SALES RETURN TAXABLE-COMPUTER")</f>
        <v xml:space="preserve">          4282 - SALES RETURN TAXABLE-COMPUTER</v>
      </c>
      <c r="C29" s="10"/>
      <c r="D29" s="2">
        <f>-44973</f>
        <v>-44973</v>
      </c>
      <c r="E29" s="2"/>
      <c r="F29" s="19"/>
      <c r="G29" s="2"/>
      <c r="H29" s="2">
        <f>-31763.9</f>
        <v>-31763.9</v>
      </c>
      <c r="I29" s="2"/>
      <c r="J29" s="19"/>
      <c r="K29" s="2"/>
      <c r="L29" s="2">
        <f t="shared" si="0"/>
        <v>-13209.099999999999</v>
      </c>
      <c r="M29" s="2"/>
      <c r="N29" s="19">
        <f t="shared" si="1"/>
        <v>0.41585258737119807</v>
      </c>
      <c r="O29" s="10"/>
      <c r="P29" s="2">
        <f>-285193.17</f>
        <v>-285193.17</v>
      </c>
      <c r="Q29" s="2"/>
      <c r="R29" s="19"/>
      <c r="S29" s="2"/>
      <c r="T29" s="2">
        <f>-247392.7</f>
        <v>-247392.7</v>
      </c>
      <c r="U29" s="2"/>
      <c r="V29" s="19"/>
      <c r="W29" s="2"/>
      <c r="X29" s="2">
        <f t="shared" si="2"/>
        <v>-37800.469999999972</v>
      </c>
      <c r="Y29" s="2"/>
      <c r="Z29" s="19">
        <f t="shared" si="3"/>
        <v>0.15279541393096874</v>
      </c>
    </row>
    <row r="30" spans="1:26" s="23" customFormat="1" hidden="1" outlineLevel="1" x14ac:dyDescent="0.25">
      <c r="A30" s="44"/>
      <c r="B30" s="10" t="str">
        <f>CONCATENATE("          ", "4283", " - ", "SALES RETURN TAXABLE-COMPUTER")</f>
        <v xml:space="preserve">          4283 - SALES RETURN TAXABLE-COMPUTER</v>
      </c>
      <c r="C30" s="10"/>
      <c r="D30" s="2">
        <f>-23.47</f>
        <v>-23.47</v>
      </c>
      <c r="E30" s="2"/>
      <c r="F30" s="19"/>
      <c r="G30" s="2"/>
      <c r="H30" s="2">
        <f>-9.99</f>
        <v>-9.99</v>
      </c>
      <c r="I30" s="2"/>
      <c r="J30" s="19"/>
      <c r="K30" s="2"/>
      <c r="L30" s="2">
        <f t="shared" si="0"/>
        <v>-13.479999999999999</v>
      </c>
      <c r="M30" s="2"/>
      <c r="N30" s="19">
        <f t="shared" si="1"/>
        <v>1.3493493493493491</v>
      </c>
      <c r="O30" s="10"/>
      <c r="P30" s="2">
        <f>-4152.64</f>
        <v>-4152.6400000000003</v>
      </c>
      <c r="Q30" s="2"/>
      <c r="R30" s="19"/>
      <c r="S30" s="2"/>
      <c r="T30" s="2">
        <f>-6718.01</f>
        <v>-6718.01</v>
      </c>
      <c r="U30" s="2"/>
      <c r="V30" s="19"/>
      <c r="W30" s="2"/>
      <c r="X30" s="2">
        <f t="shared" si="2"/>
        <v>2565.37</v>
      </c>
      <c r="Y30" s="2"/>
      <c r="Z30" s="19">
        <f t="shared" si="3"/>
        <v>-0.38186457001403684</v>
      </c>
    </row>
    <row r="31" spans="1:26" s="23" customFormat="1" hidden="1" outlineLevel="1" x14ac:dyDescent="0.25">
      <c r="A31" s="44"/>
      <c r="B31" s="10" t="str">
        <f>CONCATENATE("          ", "4284", " - ", "SALES RETURN TAXABLE-SOFTWARE")</f>
        <v xml:space="preserve">          4284 - SALES RETURN TAXABLE-SOFTWARE</v>
      </c>
      <c r="C31" s="10"/>
      <c r="D31" s="2">
        <f t="shared" ref="D31:D32" si="6">0</f>
        <v>0</v>
      </c>
      <c r="E31" s="2"/>
      <c r="F31" s="19"/>
      <c r="G31" s="2"/>
      <c r="H31" s="2">
        <f t="shared" ref="H31:H37" si="7">0</f>
        <v>0</v>
      </c>
      <c r="I31" s="2"/>
      <c r="J31" s="19"/>
      <c r="K31" s="2"/>
      <c r="L31" s="2">
        <f t="shared" si="0"/>
        <v>0</v>
      </c>
      <c r="M31" s="2"/>
      <c r="N31" s="19">
        <f t="shared" si="1"/>
        <v>0</v>
      </c>
      <c r="O31" s="10"/>
      <c r="P31" s="2">
        <f>0</f>
        <v>0</v>
      </c>
      <c r="Q31" s="2"/>
      <c r="R31" s="19"/>
      <c r="S31" s="2"/>
      <c r="T31" s="2">
        <f>-129</f>
        <v>-129</v>
      </c>
      <c r="U31" s="2"/>
      <c r="V31" s="19"/>
      <c r="W31" s="2"/>
      <c r="X31" s="2">
        <f t="shared" si="2"/>
        <v>129</v>
      </c>
      <c r="Y31" s="2"/>
      <c r="Z31" s="19">
        <f t="shared" si="3"/>
        <v>-1</v>
      </c>
    </row>
    <row r="32" spans="1:26" s="23" customFormat="1" hidden="1" outlineLevel="1" x14ac:dyDescent="0.25">
      <c r="A32" s="44"/>
      <c r="B32" s="10" t="str">
        <f>CONCATENATE("          ", "4285", " - ", "SALES RETURN TAXABLE-SOFTWARE")</f>
        <v xml:space="preserve">          4285 - SALES RETURN TAXABLE-SOFTWARE</v>
      </c>
      <c r="C32" s="10"/>
      <c r="D32" s="2">
        <f t="shared" si="6"/>
        <v>0</v>
      </c>
      <c r="E32" s="2"/>
      <c r="F32" s="19"/>
      <c r="G32" s="2"/>
      <c r="H32" s="2">
        <f t="shared" si="7"/>
        <v>0</v>
      </c>
      <c r="I32" s="2"/>
      <c r="J32" s="19"/>
      <c r="K32" s="2"/>
      <c r="L32" s="2">
        <f t="shared" si="0"/>
        <v>0</v>
      </c>
      <c r="M32" s="2"/>
      <c r="N32" s="19">
        <f t="shared" si="1"/>
        <v>0</v>
      </c>
      <c r="O32" s="10"/>
      <c r="P32" s="2">
        <f>-1091.79</f>
        <v>-1091.79</v>
      </c>
      <c r="Q32" s="2"/>
      <c r="R32" s="19"/>
      <c r="S32" s="2"/>
      <c r="T32" s="2">
        <f>-805.97</f>
        <v>-805.97</v>
      </c>
      <c r="U32" s="2"/>
      <c r="V32" s="19"/>
      <c r="W32" s="2"/>
      <c r="X32" s="2">
        <f t="shared" si="2"/>
        <v>-285.81999999999994</v>
      </c>
      <c r="Y32" s="2"/>
      <c r="Z32" s="19">
        <f t="shared" si="3"/>
        <v>0.35462858419047844</v>
      </c>
    </row>
    <row r="33" spans="1:26" s="23" customFormat="1" hidden="1" outlineLevel="1" x14ac:dyDescent="0.25">
      <c r="A33" s="44"/>
      <c r="B33" s="10" t="str">
        <f>CONCATENATE("          ", "4286", " - ", "SALES RETURN TAXABLE-COMPUTER")</f>
        <v xml:space="preserve">          4286 - SALES RETURN TAXABLE-COMPUTER</v>
      </c>
      <c r="C33" s="10"/>
      <c r="D33" s="2">
        <f>-9.99</f>
        <v>-9.99</v>
      </c>
      <c r="E33" s="2"/>
      <c r="F33" s="19"/>
      <c r="G33" s="2"/>
      <c r="H33" s="2">
        <f t="shared" si="7"/>
        <v>0</v>
      </c>
      <c r="I33" s="2"/>
      <c r="J33" s="19"/>
      <c r="K33" s="2"/>
      <c r="L33" s="2">
        <f t="shared" si="0"/>
        <v>-9.99</v>
      </c>
      <c r="M33" s="2"/>
      <c r="N33" s="19">
        <f t="shared" si="1"/>
        <v>0</v>
      </c>
      <c r="O33" s="10"/>
      <c r="P33" s="2">
        <f>-4812.28</f>
        <v>-4812.28</v>
      </c>
      <c r="Q33" s="2"/>
      <c r="R33" s="19"/>
      <c r="S33" s="2"/>
      <c r="T33" s="2">
        <f>-3660.86</f>
        <v>-3660.86</v>
      </c>
      <c r="U33" s="2"/>
      <c r="V33" s="19"/>
      <c r="W33" s="2"/>
      <c r="X33" s="2">
        <f t="shared" si="2"/>
        <v>-1151.4199999999996</v>
      </c>
      <c r="Y33" s="2"/>
      <c r="Z33" s="19">
        <f t="shared" si="3"/>
        <v>0.31452172440355536</v>
      </c>
    </row>
    <row r="34" spans="1:26" s="23" customFormat="1" hidden="1" outlineLevel="1" x14ac:dyDescent="0.25">
      <c r="A34" s="44"/>
      <c r="B34" s="10" t="str">
        <f>CONCATENATE("          ", "4288", " - ", "TAXABLE SALES RETURN-MUSIC")</f>
        <v xml:space="preserve">          4288 - TAXABLE SALES RETURN-MUSIC</v>
      </c>
      <c r="C34" s="10"/>
      <c r="D34" s="2">
        <f>0</f>
        <v>0</v>
      </c>
      <c r="E34" s="2"/>
      <c r="F34" s="19"/>
      <c r="G34" s="2"/>
      <c r="H34" s="2">
        <f t="shared" si="7"/>
        <v>0</v>
      </c>
      <c r="I34" s="2"/>
      <c r="J34" s="19"/>
      <c r="K34" s="2"/>
      <c r="L34" s="2">
        <f t="shared" si="0"/>
        <v>0</v>
      </c>
      <c r="M34" s="2"/>
      <c r="N34" s="19">
        <f t="shared" si="1"/>
        <v>0</v>
      </c>
      <c r="O34" s="10"/>
      <c r="P34" s="2">
        <f>0</f>
        <v>0</v>
      </c>
      <c r="Q34" s="2"/>
      <c r="R34" s="19"/>
      <c r="S34" s="2"/>
      <c r="T34" s="2">
        <f>-152.99</f>
        <v>-152.99</v>
      </c>
      <c r="U34" s="2"/>
      <c r="V34" s="19"/>
      <c r="W34" s="2"/>
      <c r="X34" s="2">
        <f t="shared" si="2"/>
        <v>152.99</v>
      </c>
      <c r="Y34" s="2"/>
      <c r="Z34" s="19">
        <f t="shared" si="3"/>
        <v>-1</v>
      </c>
    </row>
    <row r="35" spans="1:26" s="23" customFormat="1" hidden="1" outlineLevel="1" x14ac:dyDescent="0.25">
      <c r="A35" s="44"/>
      <c r="B35" s="10" t="str">
        <f>CONCATENATE("          ", "4381", " - ", "SALES RETURN NON TAXABLE-ELECT")</f>
        <v xml:space="preserve">          4381 - SALES RETURN NON TAXABLE-ELECT</v>
      </c>
      <c r="C35" s="10"/>
      <c r="D35" s="2">
        <f>-1.99</f>
        <v>-1.99</v>
      </c>
      <c r="E35" s="2"/>
      <c r="F35" s="19"/>
      <c r="G35" s="2"/>
      <c r="H35" s="2">
        <f t="shared" si="7"/>
        <v>0</v>
      </c>
      <c r="I35" s="2"/>
      <c r="J35" s="19"/>
      <c r="K35" s="2"/>
      <c r="L35" s="2">
        <f t="shared" si="0"/>
        <v>-1.99</v>
      </c>
      <c r="M35" s="2"/>
      <c r="N35" s="19">
        <f t="shared" si="1"/>
        <v>0</v>
      </c>
      <c r="O35" s="10"/>
      <c r="P35" s="2">
        <f>-5626.14</f>
        <v>-5626.14</v>
      </c>
      <c r="Q35" s="2"/>
      <c r="R35" s="19"/>
      <c r="S35" s="2"/>
      <c r="T35" s="2">
        <f>-1279.84</f>
        <v>-1279.8399999999999</v>
      </c>
      <c r="U35" s="2"/>
      <c r="V35" s="19"/>
      <c r="W35" s="2"/>
      <c r="X35" s="2">
        <f t="shared" si="2"/>
        <v>-4346.3</v>
      </c>
      <c r="Y35" s="2"/>
      <c r="Z35" s="19">
        <f t="shared" si="3"/>
        <v>3.3959713714214281</v>
      </c>
    </row>
    <row r="36" spans="1:26" s="23" customFormat="1" hidden="1" outlineLevel="1" x14ac:dyDescent="0.25">
      <c r="A36" s="44"/>
      <c r="B36" s="10" t="str">
        <f>CONCATENATE("          ", "4383", " - ", "SALES RETURN NON TAXABLE-COMPU")</f>
        <v xml:space="preserve">          4383 - SALES RETURN NON TAXABLE-COMPU</v>
      </c>
      <c r="C36" s="10"/>
      <c r="D36" s="2">
        <f t="shared" ref="D36:D37" si="8">0</f>
        <v>0</v>
      </c>
      <c r="E36" s="2"/>
      <c r="F36" s="19"/>
      <c r="G36" s="2"/>
      <c r="H36" s="2">
        <f t="shared" si="7"/>
        <v>0</v>
      </c>
      <c r="I36" s="2"/>
      <c r="J36" s="19"/>
      <c r="K36" s="2"/>
      <c r="L36" s="2">
        <f t="shared" si="0"/>
        <v>0</v>
      </c>
      <c r="M36" s="2"/>
      <c r="N36" s="19">
        <f t="shared" si="1"/>
        <v>0</v>
      </c>
      <c r="O36" s="10"/>
      <c r="P36" s="2">
        <f>-14.99</f>
        <v>-14.99</v>
      </c>
      <c r="Q36" s="2"/>
      <c r="R36" s="19"/>
      <c r="S36" s="2"/>
      <c r="T36" s="2">
        <f>-49.98</f>
        <v>-49.98</v>
      </c>
      <c r="U36" s="2"/>
      <c r="V36" s="19"/>
      <c r="W36" s="2"/>
      <c r="X36" s="2">
        <f t="shared" si="2"/>
        <v>34.989999999999995</v>
      </c>
      <c r="Y36" s="2"/>
      <c r="Z36" s="19">
        <f t="shared" si="3"/>
        <v>-0.70008003201280511</v>
      </c>
    </row>
    <row r="37" spans="1:26" s="23" customFormat="1" hidden="1" outlineLevel="1" x14ac:dyDescent="0.25">
      <c r="A37" s="44"/>
      <c r="B37" s="10" t="str">
        <f>CONCATENATE("          ", "4386", " - ", "SALES RETURN NON TAXABLE-COMPU")</f>
        <v xml:space="preserve">          4386 - SALES RETURN NON TAXABLE-COMPU</v>
      </c>
      <c r="C37" s="10"/>
      <c r="D37" s="2">
        <f t="shared" si="8"/>
        <v>0</v>
      </c>
      <c r="E37" s="2"/>
      <c r="F37" s="19"/>
      <c r="G37" s="2"/>
      <c r="H37" s="2">
        <f t="shared" si="7"/>
        <v>0</v>
      </c>
      <c r="I37" s="2"/>
      <c r="J37" s="19"/>
      <c r="K37" s="2"/>
      <c r="L37" s="2">
        <f t="shared" si="0"/>
        <v>0</v>
      </c>
      <c r="M37" s="2"/>
      <c r="N37" s="19">
        <f t="shared" si="1"/>
        <v>0</v>
      </c>
      <c r="O37" s="10"/>
      <c r="P37" s="2">
        <f>0</f>
        <v>0</v>
      </c>
      <c r="Q37" s="2"/>
      <c r="R37" s="19"/>
      <c r="S37" s="2"/>
      <c r="T37" s="2">
        <f>-104.96</f>
        <v>-104.96</v>
      </c>
      <c r="U37" s="2"/>
      <c r="V37" s="19"/>
      <c r="W37" s="2"/>
      <c r="X37" s="2">
        <f t="shared" si="2"/>
        <v>104.96</v>
      </c>
      <c r="Y37" s="2"/>
      <c r="Z37" s="19">
        <f t="shared" si="3"/>
        <v>-1</v>
      </c>
    </row>
    <row r="38" spans="1:26" x14ac:dyDescent="0.25">
      <c r="A38" s="9"/>
      <c r="B38" s="11"/>
      <c r="C38" s="9"/>
      <c r="D38" s="3"/>
      <c r="E38" s="3"/>
      <c r="F38" s="8"/>
      <c r="G38" s="3"/>
      <c r="H38" s="3"/>
      <c r="I38" s="3"/>
      <c r="J38" s="8"/>
      <c r="K38" s="3"/>
      <c r="L38" s="3"/>
      <c r="M38" s="3"/>
      <c r="N38" s="8"/>
      <c r="P38" s="3"/>
      <c r="Q38" s="3"/>
      <c r="R38" s="8"/>
      <c r="S38" s="3"/>
      <c r="T38" s="3"/>
      <c r="U38" s="3"/>
      <c r="V38" s="8"/>
      <c r="W38" s="3"/>
      <c r="X38" s="3"/>
      <c r="Y38" s="3"/>
      <c r="Z38" s="8"/>
    </row>
    <row r="39" spans="1:26" s="24" customFormat="1" collapsed="1" x14ac:dyDescent="0.25">
      <c r="A39" s="11"/>
      <c r="B39" s="29" t="s">
        <v>256</v>
      </c>
      <c r="C39" s="11"/>
      <c r="D39" s="4">
        <f>SUM(OSRRefD16x_0)</f>
        <v>25290.510000000009</v>
      </c>
      <c r="E39" s="4"/>
      <c r="F39" s="13">
        <f t="shared" ref="F39:F55" si="9">IF(D$12=0,0,D39/D$12)</f>
        <v>0.39099819408548708</v>
      </c>
      <c r="G39" s="4"/>
      <c r="H39" s="4">
        <f>SUM(OSRRefH16x_0)</f>
        <v>325888.92</v>
      </c>
      <c r="I39" s="4"/>
      <c r="J39" s="13">
        <f t="shared" ref="J39:J55" si="10">IF(H$12=0,0,H39/H$12)</f>
        <v>0.72806290212656555</v>
      </c>
      <c r="K39" s="4"/>
      <c r="L39" s="4">
        <f t="shared" ref="L39:L55" si="11">+D39-H39</f>
        <v>-300598.40999999997</v>
      </c>
      <c r="M39" s="4"/>
      <c r="N39" s="13">
        <f t="shared" ref="N39:N55" si="12">IF(H39=0,0,L39/H39)</f>
        <v>-0.92239530573791828</v>
      </c>
      <c r="O39" s="11"/>
      <c r="P39" s="4">
        <f>SUM(OSRRefP16x_0)</f>
        <v>2315780.3500000006</v>
      </c>
      <c r="Q39" s="4"/>
      <c r="R39" s="13">
        <f t="shared" ref="R39:R55" si="13">IF(P$12=0,0,P39/P$12)</f>
        <v>0.87810541374478557</v>
      </c>
      <c r="S39" s="4"/>
      <c r="T39" s="4">
        <f>SUM(OSRRefT16x_0)</f>
        <v>2447645.5199999996</v>
      </c>
      <c r="U39" s="4"/>
      <c r="V39" s="13">
        <f t="shared" ref="V39:V55" si="14">IF(T$12=0,0,T39/T$12)</f>
        <v>0.84837742135743699</v>
      </c>
      <c r="W39" s="4"/>
      <c r="X39" s="4">
        <f t="shared" ref="X39:X55" si="15">+P39-T39</f>
        <v>-131865.16999999899</v>
      </c>
      <c r="Y39" s="4"/>
      <c r="Z39" s="13">
        <f t="shared" ref="Z39:Z55" si="16">IF(T39=0,0,X39/T39)</f>
        <v>-5.3874292221856954E-2</v>
      </c>
    </row>
    <row r="40" spans="1:26" s="23" customFormat="1" hidden="1" outlineLevel="1" x14ac:dyDescent="0.25">
      <c r="A40" s="44"/>
      <c r="B40" s="10" t="str">
        <f>CONCATENATE("          ", "5000", " - ", "PURCHASES @ COST")</f>
        <v xml:space="preserve">          5000 - PURCHASES @ COST</v>
      </c>
      <c r="C40" s="10"/>
      <c r="D40" s="2"/>
      <c r="E40" s="2"/>
      <c r="F40" s="19">
        <f t="shared" si="9"/>
        <v>0</v>
      </c>
      <c r="G40" s="2"/>
      <c r="H40" s="2">
        <v>0</v>
      </c>
      <c r="I40" s="2"/>
      <c r="J40" s="19">
        <f t="shared" si="10"/>
        <v>0</v>
      </c>
      <c r="K40" s="2"/>
      <c r="L40" s="2">
        <f t="shared" si="11"/>
        <v>0</v>
      </c>
      <c r="M40" s="2"/>
      <c r="N40" s="19">
        <f t="shared" si="12"/>
        <v>0</v>
      </c>
      <c r="O40" s="10"/>
      <c r="P40" s="2">
        <v>0</v>
      </c>
      <c r="Q40" s="2"/>
      <c r="R40" s="19">
        <f t="shared" si="13"/>
        <v>0</v>
      </c>
      <c r="S40" s="2"/>
      <c r="T40" s="2">
        <v>0</v>
      </c>
      <c r="U40" s="2"/>
      <c r="V40" s="19">
        <f t="shared" si="14"/>
        <v>0</v>
      </c>
      <c r="W40" s="2"/>
      <c r="X40" s="2">
        <f t="shared" si="15"/>
        <v>0</v>
      </c>
      <c r="Y40" s="2"/>
      <c r="Z40" s="19">
        <f t="shared" si="16"/>
        <v>0</v>
      </c>
    </row>
    <row r="41" spans="1:26" s="23" customFormat="1" hidden="1" outlineLevel="1" x14ac:dyDescent="0.25">
      <c r="A41" s="44"/>
      <c r="B41" s="10" t="str">
        <f>CONCATENATE("          ", "5081", " - ", "PURCHASES @ COST-ELECTRONICS")</f>
        <v xml:space="preserve">          5081 - PURCHASES @ COST-ELECTRONICS</v>
      </c>
      <c r="C41" s="10"/>
      <c r="D41" s="2">
        <v>-5028.84</v>
      </c>
      <c r="E41" s="2"/>
      <c r="F41" s="19">
        <f t="shared" si="9"/>
        <v>-7.7747240302582288E-2</v>
      </c>
      <c r="G41" s="2"/>
      <c r="H41" s="2">
        <v>-173.28</v>
      </c>
      <c r="I41" s="2"/>
      <c r="J41" s="19">
        <f t="shared" si="10"/>
        <v>-3.8712190546549201E-4</v>
      </c>
      <c r="K41" s="2"/>
      <c r="L41" s="2">
        <f t="shared" si="11"/>
        <v>-4855.5600000000004</v>
      </c>
      <c r="M41" s="2"/>
      <c r="N41" s="19">
        <f t="shared" si="12"/>
        <v>28.021468144044324</v>
      </c>
      <c r="O41" s="10"/>
      <c r="P41" s="2">
        <v>27390.62</v>
      </c>
      <c r="Q41" s="2"/>
      <c r="R41" s="19">
        <f t="shared" si="13"/>
        <v>1.038606779258067E-2</v>
      </c>
      <c r="S41" s="2"/>
      <c r="T41" s="2">
        <v>258288.3</v>
      </c>
      <c r="U41" s="2"/>
      <c r="V41" s="19">
        <f t="shared" si="14"/>
        <v>8.9525202947196431E-2</v>
      </c>
      <c r="W41" s="2"/>
      <c r="X41" s="2">
        <f t="shared" si="15"/>
        <v>-230897.68</v>
      </c>
      <c r="Y41" s="2"/>
      <c r="Z41" s="19">
        <f t="shared" si="16"/>
        <v>-0.89395330721523203</v>
      </c>
    </row>
    <row r="42" spans="1:26" s="23" customFormat="1" hidden="1" outlineLevel="1" x14ac:dyDescent="0.25">
      <c r="A42" s="44"/>
      <c r="B42" s="10" t="str">
        <f>CONCATENATE("          ", "5082", " - ", "PURCHASES @ COST-COMPUTER HARD")</f>
        <v xml:space="preserve">          5082 - PURCHASES @ COST-COMPUTER HARD</v>
      </c>
      <c r="C42" s="10"/>
      <c r="D42" s="2">
        <v>152090.79</v>
      </c>
      <c r="E42" s="2"/>
      <c r="F42" s="19">
        <f t="shared" si="9"/>
        <v>2.3513651653143826</v>
      </c>
      <c r="G42" s="2"/>
      <c r="H42" s="2">
        <v>190200.93</v>
      </c>
      <c r="I42" s="2"/>
      <c r="J42" s="19">
        <f t="shared" si="10"/>
        <v>0.42492466783765387</v>
      </c>
      <c r="K42" s="2"/>
      <c r="L42" s="2">
        <f t="shared" si="11"/>
        <v>-38110.139999999985</v>
      </c>
      <c r="M42" s="2"/>
      <c r="N42" s="19">
        <f t="shared" si="12"/>
        <v>-0.2003677899997649</v>
      </c>
      <c r="O42" s="10"/>
      <c r="P42" s="2">
        <v>1954625.66</v>
      </c>
      <c r="Q42" s="2"/>
      <c r="R42" s="19">
        <f t="shared" si="13"/>
        <v>0.74116155873352763</v>
      </c>
      <c r="S42" s="2"/>
      <c r="T42" s="2">
        <v>1831501.23</v>
      </c>
      <c r="U42" s="2"/>
      <c r="V42" s="19">
        <f t="shared" si="14"/>
        <v>0.63481589879909339</v>
      </c>
      <c r="W42" s="2"/>
      <c r="X42" s="2">
        <f t="shared" si="15"/>
        <v>123124.42999999993</v>
      </c>
      <c r="Y42" s="2"/>
      <c r="Z42" s="19">
        <f t="shared" si="16"/>
        <v>6.7225960858350031E-2</v>
      </c>
    </row>
    <row r="43" spans="1:26" s="23" customFormat="1" hidden="1" outlineLevel="1" x14ac:dyDescent="0.25">
      <c r="A43" s="44"/>
      <c r="B43" s="10" t="str">
        <f>CONCATENATE("          ", "5083", " - ", "PURCHASES @ COST-COMPUTER EQUI")</f>
        <v xml:space="preserve">          5083 - PURCHASES @ COST-COMPUTER EQUI</v>
      </c>
      <c r="C43" s="10"/>
      <c r="D43" s="2">
        <v>24621.69</v>
      </c>
      <c r="E43" s="2"/>
      <c r="F43" s="19">
        <f t="shared" si="9"/>
        <v>0.38065805416073828</v>
      </c>
      <c r="G43" s="2"/>
      <c r="H43" s="2">
        <v>12873.49</v>
      </c>
      <c r="I43" s="2"/>
      <c r="J43" s="19">
        <f t="shared" si="10"/>
        <v>2.8760445399301459E-2</v>
      </c>
      <c r="K43" s="2"/>
      <c r="L43" s="2">
        <f t="shared" si="11"/>
        <v>11748.199999999999</v>
      </c>
      <c r="M43" s="2"/>
      <c r="N43" s="19">
        <f t="shared" si="12"/>
        <v>0.91258858320470981</v>
      </c>
      <c r="O43" s="10"/>
      <c r="P43" s="2">
        <v>151651.63</v>
      </c>
      <c r="Q43" s="2"/>
      <c r="R43" s="19">
        <f t="shared" si="13"/>
        <v>5.7503777206772272E-2</v>
      </c>
      <c r="S43" s="2"/>
      <c r="T43" s="2">
        <v>107424.25</v>
      </c>
      <c r="U43" s="2"/>
      <c r="V43" s="19">
        <f t="shared" si="14"/>
        <v>3.7234275740327248E-2</v>
      </c>
      <c r="W43" s="2"/>
      <c r="X43" s="2">
        <f t="shared" si="15"/>
        <v>44227.380000000005</v>
      </c>
      <c r="Y43" s="2"/>
      <c r="Z43" s="19">
        <f t="shared" si="16"/>
        <v>0.41170759861018352</v>
      </c>
    </row>
    <row r="44" spans="1:26" s="23" customFormat="1" hidden="1" outlineLevel="1" x14ac:dyDescent="0.25">
      <c r="A44" s="44"/>
      <c r="B44" s="10" t="str">
        <f>CONCATENATE("          ", "5084", " - ", "PURCHASES @ COST-SOFTWARE LICE")</f>
        <v xml:space="preserve">          5084 - PURCHASES @ COST-SOFTWARE LICE</v>
      </c>
      <c r="C44" s="10"/>
      <c r="D44" s="2">
        <v>2421</v>
      </c>
      <c r="E44" s="2"/>
      <c r="F44" s="19">
        <f t="shared" si="9"/>
        <v>3.7429321428510687E-2</v>
      </c>
      <c r="G44" s="2"/>
      <c r="H44" s="2"/>
      <c r="I44" s="2"/>
      <c r="J44" s="19">
        <f t="shared" si="10"/>
        <v>0</v>
      </c>
      <c r="K44" s="2"/>
      <c r="L44" s="2">
        <f t="shared" si="11"/>
        <v>2421</v>
      </c>
      <c r="M44" s="2"/>
      <c r="N44" s="19">
        <f t="shared" si="12"/>
        <v>0</v>
      </c>
      <c r="O44" s="10"/>
      <c r="P44" s="2">
        <v>2421</v>
      </c>
      <c r="Q44" s="2"/>
      <c r="R44" s="19">
        <f t="shared" si="13"/>
        <v>9.1800295596951818E-4</v>
      </c>
      <c r="S44" s="2"/>
      <c r="T44" s="2">
        <v>2728</v>
      </c>
      <c r="U44" s="2"/>
      <c r="V44" s="19">
        <f t="shared" si="14"/>
        <v>9.4555097400831495E-4</v>
      </c>
      <c r="W44" s="2"/>
      <c r="X44" s="2">
        <f t="shared" si="15"/>
        <v>-307</v>
      </c>
      <c r="Y44" s="2"/>
      <c r="Z44" s="19">
        <f t="shared" si="16"/>
        <v>-0.1125366568914956</v>
      </c>
    </row>
    <row r="45" spans="1:26" s="23" customFormat="1" hidden="1" outlineLevel="1" x14ac:dyDescent="0.25">
      <c r="A45" s="44"/>
      <c r="B45" s="10" t="str">
        <f>CONCATENATE("          ", "5085", " - ", "PURCHASES @ COST-SOFTWARE")</f>
        <v xml:space="preserve">          5085 - PURCHASES @ COST-SOFTWARE</v>
      </c>
      <c r="C45" s="10"/>
      <c r="D45" s="2">
        <v>10694.79</v>
      </c>
      <c r="E45" s="2"/>
      <c r="F45" s="19">
        <f t="shared" si="9"/>
        <v>0.1653443752665931</v>
      </c>
      <c r="G45" s="2"/>
      <c r="H45" s="2">
        <v>1996.51</v>
      </c>
      <c r="I45" s="2"/>
      <c r="J45" s="19">
        <f t="shared" si="10"/>
        <v>4.4603690874937063E-3</v>
      </c>
      <c r="K45" s="2"/>
      <c r="L45" s="2">
        <f t="shared" si="11"/>
        <v>8698.2800000000007</v>
      </c>
      <c r="M45" s="2"/>
      <c r="N45" s="19">
        <f t="shared" si="12"/>
        <v>4.3567425156898789</v>
      </c>
      <c r="O45" s="10"/>
      <c r="P45" s="2">
        <v>56981.16</v>
      </c>
      <c r="Q45" s="2"/>
      <c r="R45" s="19">
        <f t="shared" si="13"/>
        <v>2.1606308680120642E-2</v>
      </c>
      <c r="S45" s="2"/>
      <c r="T45" s="2">
        <v>17324.650000000001</v>
      </c>
      <c r="U45" s="2"/>
      <c r="V45" s="19">
        <f t="shared" si="14"/>
        <v>6.0048899127027695E-3</v>
      </c>
      <c r="W45" s="2"/>
      <c r="X45" s="2">
        <f t="shared" si="15"/>
        <v>39656.51</v>
      </c>
      <c r="Y45" s="2"/>
      <c r="Z45" s="19">
        <f t="shared" si="16"/>
        <v>2.2890222890505725</v>
      </c>
    </row>
    <row r="46" spans="1:26" s="23" customFormat="1" hidden="1" outlineLevel="1" x14ac:dyDescent="0.25">
      <c r="A46" s="44"/>
      <c r="B46" s="10" t="str">
        <f>CONCATENATE("          ", "5086", " - ", "PURCHASES @ COST-COMPUTER SUPP")</f>
        <v xml:space="preserve">          5086 - PURCHASES @ COST-COMPUTER SUPP</v>
      </c>
      <c r="C46" s="10"/>
      <c r="D46" s="2">
        <v>697.28</v>
      </c>
      <c r="E46" s="2"/>
      <c r="F46" s="19">
        <f t="shared" si="9"/>
        <v>1.0780139300153627E-2</v>
      </c>
      <c r="G46" s="2"/>
      <c r="H46" s="2">
        <v>127.27</v>
      </c>
      <c r="I46" s="2"/>
      <c r="J46" s="19">
        <f t="shared" si="10"/>
        <v>2.8433174577904645E-4</v>
      </c>
      <c r="K46" s="2"/>
      <c r="L46" s="2">
        <f t="shared" si="11"/>
        <v>570.01</v>
      </c>
      <c r="M46" s="2"/>
      <c r="N46" s="19">
        <f t="shared" si="12"/>
        <v>4.4787459731279959</v>
      </c>
      <c r="O46" s="10"/>
      <c r="P46" s="2">
        <v>24460.29</v>
      </c>
      <c r="Q46" s="2"/>
      <c r="R46" s="19">
        <f t="shared" si="13"/>
        <v>9.2749353671506187E-3</v>
      </c>
      <c r="S46" s="2"/>
      <c r="T46" s="2">
        <v>30010.32</v>
      </c>
      <c r="U46" s="2"/>
      <c r="V46" s="19">
        <f t="shared" si="14"/>
        <v>1.0401864848350885E-2</v>
      </c>
      <c r="W46" s="2"/>
      <c r="X46" s="2">
        <f t="shared" si="15"/>
        <v>-5550.0299999999988</v>
      </c>
      <c r="Y46" s="2"/>
      <c r="Z46" s="19">
        <f t="shared" si="16"/>
        <v>-0.18493738154074996</v>
      </c>
    </row>
    <row r="47" spans="1:26" s="23" customFormat="1" hidden="1" outlineLevel="1" x14ac:dyDescent="0.25">
      <c r="A47" s="44"/>
      <c r="B47" s="10" t="str">
        <f>CONCATENATE("          ", "5088", " - ", "PURCHASES @ COST-MUSIC")</f>
        <v xml:space="preserve">          5088 - PURCHASES @ COST-MUSIC</v>
      </c>
      <c r="C47" s="10"/>
      <c r="D47" s="2"/>
      <c r="E47" s="2"/>
      <c r="F47" s="19">
        <f t="shared" si="9"/>
        <v>0</v>
      </c>
      <c r="G47" s="2"/>
      <c r="H47" s="2"/>
      <c r="I47" s="2"/>
      <c r="J47" s="19">
        <f t="shared" si="10"/>
        <v>0</v>
      </c>
      <c r="K47" s="2"/>
      <c r="L47" s="2">
        <f t="shared" si="11"/>
        <v>0</v>
      </c>
      <c r="M47" s="2"/>
      <c r="N47" s="19">
        <f t="shared" si="12"/>
        <v>0</v>
      </c>
      <c r="O47" s="10"/>
      <c r="P47" s="2"/>
      <c r="Q47" s="2"/>
      <c r="R47" s="19">
        <f t="shared" si="13"/>
        <v>0</v>
      </c>
      <c r="S47" s="2"/>
      <c r="T47" s="2">
        <v>95.65</v>
      </c>
      <c r="U47" s="2"/>
      <c r="V47" s="19">
        <f t="shared" si="14"/>
        <v>3.3153207721369259E-5</v>
      </c>
      <c r="W47" s="2"/>
      <c r="X47" s="2">
        <f t="shared" si="15"/>
        <v>-95.65</v>
      </c>
      <c r="Y47" s="2"/>
      <c r="Z47" s="19">
        <f t="shared" si="16"/>
        <v>-1</v>
      </c>
    </row>
    <row r="48" spans="1:26" s="23" customFormat="1" hidden="1" outlineLevel="1" x14ac:dyDescent="0.25">
      <c r="A48" s="44"/>
      <c r="B48" s="10" t="str">
        <f>CONCATENATE("          ", "5200", " - ", "PURCHASES OFFSET")</f>
        <v xml:space="preserve">          5200 - PURCHASES OFFSET</v>
      </c>
      <c r="C48" s="10"/>
      <c r="D48" s="2">
        <v>-228321.2</v>
      </c>
      <c r="E48" s="2"/>
      <c r="F48" s="19">
        <f t="shared" si="9"/>
        <v>-3.5299081304185358</v>
      </c>
      <c r="G48" s="2"/>
      <c r="H48" s="2">
        <v>-205025</v>
      </c>
      <c r="I48" s="2"/>
      <c r="J48" s="19">
        <f t="shared" si="10"/>
        <v>-0.45804287089140411</v>
      </c>
      <c r="K48" s="2"/>
      <c r="L48" s="2">
        <f t="shared" si="11"/>
        <v>-23296.200000000012</v>
      </c>
      <c r="M48" s="2"/>
      <c r="N48" s="19">
        <f t="shared" si="12"/>
        <v>0.11362614315327405</v>
      </c>
      <c r="O48" s="10"/>
      <c r="P48" s="2">
        <v>-2256861</v>
      </c>
      <c r="Q48" s="2"/>
      <c r="R48" s="19">
        <f t="shared" si="13"/>
        <v>-0.85576417563499496</v>
      </c>
      <c r="S48" s="2"/>
      <c r="T48" s="2">
        <v>-2248069</v>
      </c>
      <c r="U48" s="2"/>
      <c r="V48" s="19">
        <f t="shared" si="14"/>
        <v>-0.77920228467298336</v>
      </c>
      <c r="W48" s="2"/>
      <c r="X48" s="2">
        <f t="shared" si="15"/>
        <v>-8792</v>
      </c>
      <c r="Y48" s="2"/>
      <c r="Z48" s="19">
        <f t="shared" si="16"/>
        <v>3.9109119871320675E-3</v>
      </c>
    </row>
    <row r="49" spans="1:26" s="23" customFormat="1" hidden="1" outlineLevel="1" x14ac:dyDescent="0.25">
      <c r="A49" s="44"/>
      <c r="B49" s="10" t="str">
        <f>CONCATENATE("          ", "5300", " - ", "COG$ OFFSET")</f>
        <v xml:space="preserve">          5300 - COG$ OFFSET</v>
      </c>
      <c r="C49" s="10"/>
      <c r="D49" s="2">
        <v>68115</v>
      </c>
      <c r="E49" s="2"/>
      <c r="F49" s="19">
        <f t="shared" si="9"/>
        <v>1.0530765093362271</v>
      </c>
      <c r="G49" s="2"/>
      <c r="H49" s="2">
        <v>325889</v>
      </c>
      <c r="I49" s="2"/>
      <c r="J49" s="19">
        <f t="shared" si="10"/>
        <v>0.72806308085320715</v>
      </c>
      <c r="K49" s="2"/>
      <c r="L49" s="2">
        <f t="shared" si="11"/>
        <v>-257774</v>
      </c>
      <c r="M49" s="2"/>
      <c r="N49" s="19">
        <f t="shared" si="12"/>
        <v>-0.79098711524476129</v>
      </c>
      <c r="O49" s="10"/>
      <c r="P49" s="2">
        <v>2354659</v>
      </c>
      <c r="Q49" s="2"/>
      <c r="R49" s="19">
        <f t="shared" si="13"/>
        <v>0.89284755154904161</v>
      </c>
      <c r="S49" s="2"/>
      <c r="T49" s="2">
        <v>2447643</v>
      </c>
      <c r="U49" s="2"/>
      <c r="V49" s="19">
        <f t="shared" si="14"/>
        <v>0.84837654790125883</v>
      </c>
      <c r="W49" s="2"/>
      <c r="X49" s="2">
        <f t="shared" si="15"/>
        <v>-92984</v>
      </c>
      <c r="Y49" s="2"/>
      <c r="Z49" s="19">
        <f t="shared" si="16"/>
        <v>-3.7989200222418057E-2</v>
      </c>
    </row>
    <row r="50" spans="1:26" s="23" customFormat="1" hidden="1" outlineLevel="1" x14ac:dyDescent="0.25">
      <c r="A50" s="44"/>
      <c r="B50" s="10" t="str">
        <f>CONCATENATE("          ", "5500", " - ", "FREIGHT-IN")</f>
        <v xml:space="preserve">          5500 - FREIGHT-IN</v>
      </c>
      <c r="C50" s="10"/>
      <c r="D50" s="2"/>
      <c r="E50" s="2"/>
      <c r="F50" s="19">
        <f t="shared" si="9"/>
        <v>0</v>
      </c>
      <c r="G50" s="2"/>
      <c r="H50" s="2"/>
      <c r="I50" s="2"/>
      <c r="J50" s="19">
        <f t="shared" si="10"/>
        <v>0</v>
      </c>
      <c r="K50" s="2"/>
      <c r="L50" s="2">
        <f t="shared" si="11"/>
        <v>0</v>
      </c>
      <c r="M50" s="2"/>
      <c r="N50" s="19">
        <f t="shared" si="12"/>
        <v>0</v>
      </c>
      <c r="O50" s="10"/>
      <c r="P50" s="2">
        <v>0</v>
      </c>
      <c r="Q50" s="2"/>
      <c r="R50" s="19">
        <f t="shared" si="13"/>
        <v>0</v>
      </c>
      <c r="S50" s="2"/>
      <c r="T50" s="2">
        <v>0</v>
      </c>
      <c r="U50" s="2"/>
      <c r="V50" s="19">
        <f t="shared" si="14"/>
        <v>0</v>
      </c>
      <c r="W50" s="2"/>
      <c r="X50" s="2">
        <f t="shared" si="15"/>
        <v>0</v>
      </c>
      <c r="Y50" s="2"/>
      <c r="Z50" s="19">
        <f t="shared" si="16"/>
        <v>0</v>
      </c>
    </row>
    <row r="51" spans="1:26" s="23" customFormat="1" hidden="1" outlineLevel="1" x14ac:dyDescent="0.25">
      <c r="A51" s="44"/>
      <c r="B51" s="10" t="str">
        <f>CONCATENATE("          ", "5581", " - ", "FREIGHT-IN-ELECTRONICS")</f>
        <v xml:space="preserve">          5581 - FREIGHT-IN-ELECTRONICS</v>
      </c>
      <c r="C51" s="10"/>
      <c r="D51" s="2">
        <v>0</v>
      </c>
      <c r="E51" s="2"/>
      <c r="F51" s="19">
        <f t="shared" si="9"/>
        <v>0</v>
      </c>
      <c r="G51" s="2"/>
      <c r="H51" s="2"/>
      <c r="I51" s="2"/>
      <c r="J51" s="19">
        <f t="shared" si="10"/>
        <v>0</v>
      </c>
      <c r="K51" s="2"/>
      <c r="L51" s="2">
        <f t="shared" si="11"/>
        <v>0</v>
      </c>
      <c r="M51" s="2"/>
      <c r="N51" s="19">
        <f t="shared" si="12"/>
        <v>0</v>
      </c>
      <c r="O51" s="10"/>
      <c r="P51" s="2">
        <v>31</v>
      </c>
      <c r="Q51" s="2"/>
      <c r="R51" s="19">
        <f t="shared" si="13"/>
        <v>1.17546846902334E-5</v>
      </c>
      <c r="S51" s="2"/>
      <c r="T51" s="2">
        <v>137</v>
      </c>
      <c r="U51" s="2"/>
      <c r="V51" s="19">
        <f t="shared" si="14"/>
        <v>4.7485514457162448E-5</v>
      </c>
      <c r="W51" s="2"/>
      <c r="X51" s="2">
        <f t="shared" si="15"/>
        <v>-106</v>
      </c>
      <c r="Y51" s="2"/>
      <c r="Z51" s="19">
        <f t="shared" si="16"/>
        <v>-0.77372262773722633</v>
      </c>
    </row>
    <row r="52" spans="1:26" s="23" customFormat="1" hidden="1" outlineLevel="1" x14ac:dyDescent="0.25">
      <c r="A52" s="44"/>
      <c r="B52" s="10" t="str">
        <f>CONCATENATE("          ", "5582", " - ", "FREIGHT-IN-COMPUTER HARDWARE")</f>
        <v xml:space="preserve">          5582 - FREIGHT-IN-COMPUTER HARDWARE</v>
      </c>
      <c r="C52" s="10"/>
      <c r="D52" s="2"/>
      <c r="E52" s="2"/>
      <c r="F52" s="19">
        <f t="shared" si="9"/>
        <v>0</v>
      </c>
      <c r="G52" s="2"/>
      <c r="H52" s="2"/>
      <c r="I52" s="2"/>
      <c r="J52" s="19">
        <f t="shared" si="10"/>
        <v>0</v>
      </c>
      <c r="K52" s="2"/>
      <c r="L52" s="2">
        <f t="shared" si="11"/>
        <v>0</v>
      </c>
      <c r="M52" s="2"/>
      <c r="N52" s="19">
        <f t="shared" si="12"/>
        <v>0</v>
      </c>
      <c r="O52" s="10"/>
      <c r="P52" s="2">
        <v>145</v>
      </c>
      <c r="Q52" s="2"/>
      <c r="R52" s="19">
        <f t="shared" si="13"/>
        <v>5.4981589680123972E-5</v>
      </c>
      <c r="S52" s="2"/>
      <c r="T52" s="2">
        <v>154.30000000000001</v>
      </c>
      <c r="U52" s="2"/>
      <c r="V52" s="19">
        <f t="shared" si="14"/>
        <v>5.3481860443358875E-5</v>
      </c>
      <c r="W52" s="2"/>
      <c r="X52" s="2">
        <f t="shared" si="15"/>
        <v>-9.3000000000000114</v>
      </c>
      <c r="Y52" s="2"/>
      <c r="Z52" s="19">
        <f t="shared" si="16"/>
        <v>-6.0272197018794625E-2</v>
      </c>
    </row>
    <row r="53" spans="1:26" s="23" customFormat="1" hidden="1" outlineLevel="1" x14ac:dyDescent="0.25">
      <c r="A53" s="44"/>
      <c r="B53" s="10" t="str">
        <f>CONCATENATE("          ", "5583", " - ", "FREIGHT-IN-COMPUTER EQUIPMENT")</f>
        <v xml:space="preserve">          5583 - FREIGHT-IN-COMPUTER EQUIPMENT</v>
      </c>
      <c r="C53" s="10"/>
      <c r="D53" s="2"/>
      <c r="E53" s="2"/>
      <c r="F53" s="19">
        <f t="shared" si="9"/>
        <v>0</v>
      </c>
      <c r="G53" s="2"/>
      <c r="H53" s="2"/>
      <c r="I53" s="2"/>
      <c r="J53" s="19">
        <f t="shared" si="10"/>
        <v>0</v>
      </c>
      <c r="K53" s="2"/>
      <c r="L53" s="2">
        <f t="shared" si="11"/>
        <v>0</v>
      </c>
      <c r="M53" s="2"/>
      <c r="N53" s="19">
        <f t="shared" si="12"/>
        <v>0</v>
      </c>
      <c r="O53" s="10"/>
      <c r="P53" s="2">
        <v>242.46</v>
      </c>
      <c r="Q53" s="2"/>
      <c r="R53" s="19">
        <f t="shared" si="13"/>
        <v>9.1936801612709366E-5</v>
      </c>
      <c r="S53" s="2"/>
      <c r="T53" s="2">
        <v>96.55</v>
      </c>
      <c r="U53" s="2"/>
      <c r="V53" s="19">
        <f t="shared" si="14"/>
        <v>3.3465156356489299E-5</v>
      </c>
      <c r="W53" s="2"/>
      <c r="X53" s="2">
        <f t="shared" si="15"/>
        <v>145.91000000000003</v>
      </c>
      <c r="Y53" s="2"/>
      <c r="Z53" s="19">
        <f t="shared" si="16"/>
        <v>1.5112377006732267</v>
      </c>
    </row>
    <row r="54" spans="1:26" s="23" customFormat="1" hidden="1" outlineLevel="1" x14ac:dyDescent="0.25">
      <c r="A54" s="44"/>
      <c r="B54" s="10" t="str">
        <f>CONCATENATE("          ", "5585", " - ", "FREIGHT-IN-SOFTWARE")</f>
        <v xml:space="preserve">          5585 - FREIGHT-IN-SOFTWARE</v>
      </c>
      <c r="C54" s="10"/>
      <c r="D54" s="2"/>
      <c r="E54" s="2"/>
      <c r="F54" s="19">
        <f t="shared" si="9"/>
        <v>0</v>
      </c>
      <c r="G54" s="2"/>
      <c r="H54" s="2"/>
      <c r="I54" s="2"/>
      <c r="J54" s="19">
        <f t="shared" si="10"/>
        <v>0</v>
      </c>
      <c r="K54" s="2"/>
      <c r="L54" s="2">
        <f t="shared" si="11"/>
        <v>0</v>
      </c>
      <c r="M54" s="2"/>
      <c r="N54" s="19">
        <f t="shared" si="12"/>
        <v>0</v>
      </c>
      <c r="O54" s="10"/>
      <c r="P54" s="2">
        <v>9.41</v>
      </c>
      <c r="Q54" s="2"/>
      <c r="R54" s="19">
        <f t="shared" si="13"/>
        <v>3.5681155785514936E-6</v>
      </c>
      <c r="S54" s="2"/>
      <c r="T54" s="2">
        <v>10</v>
      </c>
      <c r="U54" s="2"/>
      <c r="V54" s="19">
        <f t="shared" si="14"/>
        <v>3.4660959457782807E-6</v>
      </c>
      <c r="W54" s="2"/>
      <c r="X54" s="2">
        <f t="shared" si="15"/>
        <v>-0.58999999999999986</v>
      </c>
      <c r="Y54" s="2"/>
      <c r="Z54" s="19">
        <f t="shared" si="16"/>
        <v>-5.8999999999999983E-2</v>
      </c>
    </row>
    <row r="55" spans="1:26" s="23" customFormat="1" hidden="1" outlineLevel="1" x14ac:dyDescent="0.25">
      <c r="A55" s="44"/>
      <c r="B55" s="10" t="str">
        <f>CONCATENATE("          ", "5586", " - ", "FREIGHT-IN-COMPUTER SUPPLIES")</f>
        <v xml:space="preserve">          5586 - FREIGHT-IN-COMPUTER SUPPLIES</v>
      </c>
      <c r="C55" s="10"/>
      <c r="D55" s="2"/>
      <c r="E55" s="2"/>
      <c r="F55" s="19">
        <f t="shared" si="9"/>
        <v>0</v>
      </c>
      <c r="G55" s="2"/>
      <c r="H55" s="2"/>
      <c r="I55" s="2"/>
      <c r="J55" s="19">
        <f t="shared" si="10"/>
        <v>0</v>
      </c>
      <c r="K55" s="2"/>
      <c r="L55" s="2">
        <f t="shared" si="11"/>
        <v>0</v>
      </c>
      <c r="M55" s="2"/>
      <c r="N55" s="19">
        <f t="shared" si="12"/>
        <v>0</v>
      </c>
      <c r="O55" s="10"/>
      <c r="P55" s="2">
        <v>24.12</v>
      </c>
      <c r="Q55" s="2"/>
      <c r="R55" s="19">
        <f t="shared" si="13"/>
        <v>9.1459030557557945E-6</v>
      </c>
      <c r="S55" s="2"/>
      <c r="T55" s="2">
        <v>301.27</v>
      </c>
      <c r="U55" s="2"/>
      <c r="V55" s="19">
        <f t="shared" si="14"/>
        <v>1.0442307255846226E-4</v>
      </c>
      <c r="W55" s="2"/>
      <c r="X55" s="2">
        <f t="shared" si="15"/>
        <v>-277.14999999999998</v>
      </c>
      <c r="Y55" s="2"/>
      <c r="Z55" s="19">
        <f t="shared" si="16"/>
        <v>-0.91993892521658316</v>
      </c>
    </row>
    <row r="56" spans="1:26" x14ac:dyDescent="0.25">
      <c r="A56" s="9"/>
      <c r="B56" s="11"/>
      <c r="C56" s="11"/>
      <c r="D56" s="3"/>
      <c r="E56" s="3"/>
      <c r="F56" s="8"/>
      <c r="G56" s="3"/>
      <c r="H56" s="3"/>
      <c r="I56" s="3"/>
      <c r="J56" s="8"/>
      <c r="K56" s="3"/>
      <c r="L56" s="3"/>
      <c r="M56" s="3"/>
      <c r="N56" s="8"/>
      <c r="O56" s="11"/>
      <c r="P56" s="3"/>
      <c r="Q56" s="3"/>
      <c r="R56" s="8"/>
      <c r="S56" s="3"/>
      <c r="T56" s="3"/>
      <c r="U56" s="3"/>
      <c r="V56" s="8"/>
      <c r="W56" s="3"/>
      <c r="X56" s="3"/>
      <c r="Y56" s="3"/>
      <c r="Z56" s="8"/>
    </row>
    <row r="57" spans="1:26" s="24" customFormat="1" x14ac:dyDescent="0.25">
      <c r="A57" s="11"/>
      <c r="B57" s="28" t="s">
        <v>107</v>
      </c>
      <c r="C57" s="28"/>
      <c r="D57" s="21">
        <f>D12-D39</f>
        <v>39391.399999999994</v>
      </c>
      <c r="E57" s="14"/>
      <c r="F57" s="22">
        <f>IF(D$12=0,0,D57/D$12)</f>
        <v>0.60900180591451292</v>
      </c>
      <c r="G57" s="14"/>
      <c r="H57" s="21">
        <f>H12-H39</f>
        <v>121722.01999999996</v>
      </c>
      <c r="I57" s="14"/>
      <c r="J57" s="22">
        <f>IF(H$12=0,0,H57/H$12)</f>
        <v>0.2719370978734344</v>
      </c>
      <c r="K57" s="15"/>
      <c r="L57" s="21">
        <f>+D57-H57</f>
        <v>-82330.619999999966</v>
      </c>
      <c r="M57" s="15"/>
      <c r="N57" s="22">
        <f>IF(H57=0,0,L57/H57)</f>
        <v>-0.67638230124672594</v>
      </c>
      <c r="O57" s="29"/>
      <c r="P57" s="21">
        <f>P12-P39</f>
        <v>321466.05999999959</v>
      </c>
      <c r="Q57" s="14"/>
      <c r="R57" s="22">
        <f>IF(P$12=0,0,P57/P$12)</f>
        <v>0.12189458625521442</v>
      </c>
      <c r="S57" s="14"/>
      <c r="T57" s="21">
        <f>T12-T39</f>
        <v>437444.84000000032</v>
      </c>
      <c r="U57" s="14"/>
      <c r="V57" s="22">
        <f>IF(T$12=0,0,T57/T$12)</f>
        <v>0.15162257864256298</v>
      </c>
      <c r="W57" s="15"/>
      <c r="X57" s="21">
        <f>+P57-T57</f>
        <v>-115978.78000000073</v>
      </c>
      <c r="Y57" s="15"/>
      <c r="Z57" s="22">
        <f>IF(T57=0,0,X57/T57)</f>
        <v>-0.26512778159641942</v>
      </c>
    </row>
    <row r="58" spans="1:26" x14ac:dyDescent="0.25">
      <c r="A58" s="9"/>
      <c r="B58" s="11"/>
      <c r="C58" s="9"/>
      <c r="D58" s="1"/>
      <c r="E58" s="1"/>
      <c r="F58" s="5"/>
      <c r="G58" s="1"/>
      <c r="H58" s="1"/>
      <c r="I58" s="1"/>
      <c r="J58" s="5"/>
      <c r="K58" s="1"/>
      <c r="L58" s="1"/>
      <c r="M58" s="1"/>
      <c r="N58" s="5"/>
      <c r="O58" s="37"/>
      <c r="P58" s="1"/>
      <c r="Q58" s="1"/>
      <c r="R58" s="5"/>
      <c r="S58" s="1"/>
      <c r="T58" s="1"/>
      <c r="U58" s="1"/>
      <c r="V58" s="5"/>
      <c r="W58" s="1"/>
      <c r="X58" s="1"/>
      <c r="Y58" s="1"/>
      <c r="Z58" s="5"/>
    </row>
    <row r="59" spans="1:26" s="24" customFormat="1" x14ac:dyDescent="0.25">
      <c r="A59" s="11"/>
      <c r="B59" s="29" t="s">
        <v>294</v>
      </c>
      <c r="C59" s="11"/>
      <c r="D59" s="20">
        <f>SUM(OSRRefD22x_0)</f>
        <v>-995.91999999999894</v>
      </c>
      <c r="E59" s="20"/>
      <c r="F59" s="32">
        <f t="shared" ref="F59:F69" si="17">IF(D$12=0,0,D59/D$12)</f>
        <v>-1.5397195289996831E-2</v>
      </c>
      <c r="G59" s="20"/>
      <c r="H59" s="20">
        <f>SUM(OSRRefH22x_0)</f>
        <v>-32410.319999999996</v>
      </c>
      <c r="I59" s="20"/>
      <c r="J59" s="32">
        <f t="shared" ref="J59:J69" si="18">IF(H$12=0,0,H59/H$12)</f>
        <v>-7.240734553985656E-2</v>
      </c>
      <c r="K59" s="4"/>
      <c r="L59" s="20">
        <f t="shared" ref="L59:L69" si="19">+D59-H59</f>
        <v>31414.399999999998</v>
      </c>
      <c r="M59" s="4"/>
      <c r="N59" s="32">
        <f t="shared" ref="N59:N69" si="20">IF(H59=0,0,L59/H59)</f>
        <v>-0.96927151598626615</v>
      </c>
      <c r="O59" s="11"/>
      <c r="P59" s="20">
        <f>SUM(OSRRefP22x_0)</f>
        <v>150448.5</v>
      </c>
      <c r="Q59" s="20"/>
      <c r="R59" s="32">
        <f t="shared" ref="R59:R69" si="21">IF(P$12=0,0,P59/P$12)</f>
        <v>5.7047570310276768E-2</v>
      </c>
      <c r="S59" s="20"/>
      <c r="T59" s="20">
        <f>SUM(OSRRefT22x_0)</f>
        <v>177712.97000000006</v>
      </c>
      <c r="U59" s="20"/>
      <c r="V59" s="32">
        <f t="shared" ref="V59:V69" si="22">IF(T$12=0,0,T59/T$12)</f>
        <v>6.1597020482921747E-2</v>
      </c>
      <c r="W59" s="4"/>
      <c r="X59" s="20">
        <f t="shared" ref="X59:X69" si="23">+P59-T59</f>
        <v>-27264.470000000059</v>
      </c>
      <c r="Y59" s="4"/>
      <c r="Z59" s="32">
        <f t="shared" ref="Z59:Z69" si="24">IF(T59=0,0,X59/T59)</f>
        <v>-0.15341857153138597</v>
      </c>
    </row>
    <row r="60" spans="1:26" s="27" customFormat="1" outlineLevel="1" collapsed="1" x14ac:dyDescent="0.25">
      <c r="A60" s="26"/>
      <c r="B60" s="12" t="str">
        <f>CONCATENATE("     ","*Benefits                                         ")</f>
        <v xml:space="preserve">     *Benefits                                         </v>
      </c>
      <c r="C60" s="12"/>
      <c r="D60" s="1">
        <f>SUM(OSRRefD22_0x_0)</f>
        <v>3035.8100000000004</v>
      </c>
      <c r="E60" s="1"/>
      <c r="F60" s="5">
        <f t="shared" si="17"/>
        <v>4.6934451997475035E-2</v>
      </c>
      <c r="G60" s="1"/>
      <c r="H60" s="1">
        <f>SUM(OSRRefH22_0x_0)</f>
        <v>2225.61</v>
      </c>
      <c r="I60" s="1"/>
      <c r="J60" s="5">
        <f t="shared" si="18"/>
        <v>4.9721975070582507E-3</v>
      </c>
      <c r="K60" s="1"/>
      <c r="L60" s="1">
        <f t="shared" si="19"/>
        <v>810.20000000000027</v>
      </c>
      <c r="M60" s="1"/>
      <c r="N60" s="5">
        <f t="shared" si="20"/>
        <v>0.36403502859890108</v>
      </c>
      <c r="O60" s="12"/>
      <c r="P60" s="1">
        <f>SUM(OSRRefP22_0x_0)</f>
        <v>35524.879999999997</v>
      </c>
      <c r="Q60" s="1"/>
      <c r="R60" s="5">
        <f t="shared" si="21"/>
        <v>1.347044396962512E-2</v>
      </c>
      <c r="S60" s="1"/>
      <c r="T60" s="1">
        <f>SUM(OSRRefT22_0x_0)</f>
        <v>29115.980000000003</v>
      </c>
      <c r="U60" s="1"/>
      <c r="V60" s="5">
        <f t="shared" si="22"/>
        <v>1.0091878023536153E-2</v>
      </c>
      <c r="W60" s="1"/>
      <c r="X60" s="1">
        <f t="shared" si="23"/>
        <v>6408.8999999999942</v>
      </c>
      <c r="Y60" s="1"/>
      <c r="Z60" s="5">
        <f t="shared" si="24"/>
        <v>0.22011623857414359</v>
      </c>
    </row>
    <row r="61" spans="1:26" s="23" customFormat="1" hidden="1" outlineLevel="2" x14ac:dyDescent="0.25">
      <c r="A61" s="25"/>
      <c r="B61" s="10" t="str">
        <f>CONCATENATE("          ", "6111", " - ", "F.I.C.A.")</f>
        <v xml:space="preserve">          6111 - F.I.C.A.</v>
      </c>
      <c r="C61" s="10"/>
      <c r="D61" s="6">
        <v>622.99</v>
      </c>
      <c r="E61" s="2"/>
      <c r="F61" s="7">
        <f t="shared" si="17"/>
        <v>9.6315956037785529E-3</v>
      </c>
      <c r="G61" s="2"/>
      <c r="H61" s="6">
        <v>424.75</v>
      </c>
      <c r="I61" s="2"/>
      <c r="J61" s="7">
        <f t="shared" si="18"/>
        <v>9.4892676215643887E-4</v>
      </c>
      <c r="K61" s="2"/>
      <c r="L61" s="6">
        <f t="shared" si="19"/>
        <v>198.24</v>
      </c>
      <c r="M61" s="2"/>
      <c r="N61" s="7">
        <f t="shared" si="20"/>
        <v>0.46672160094173043</v>
      </c>
      <c r="O61" s="10"/>
      <c r="P61" s="6">
        <v>6560.19</v>
      </c>
      <c r="Q61" s="2"/>
      <c r="R61" s="7">
        <f t="shared" si="21"/>
        <v>2.4875149986458788E-3</v>
      </c>
      <c r="S61" s="2"/>
      <c r="T61" s="6">
        <v>8039.26</v>
      </c>
      <c r="U61" s="2"/>
      <c r="V61" s="7">
        <f t="shared" si="22"/>
        <v>2.7864846493057503E-3</v>
      </c>
      <c r="W61" s="2"/>
      <c r="X61" s="6">
        <f t="shared" si="23"/>
        <v>-1479.0700000000006</v>
      </c>
      <c r="Y61" s="2"/>
      <c r="Z61" s="7">
        <f t="shared" si="24"/>
        <v>-0.18398086391035998</v>
      </c>
    </row>
    <row r="62" spans="1:26" s="23" customFormat="1" hidden="1" outlineLevel="2" x14ac:dyDescent="0.25">
      <c r="A62" s="25"/>
      <c r="B62" s="10" t="str">
        <f>CONCATENATE("          ", "6112", " - ", "COMPENSATION INSURANCE")</f>
        <v xml:space="preserve">          6112 - COMPENSATION INSURANCE</v>
      </c>
      <c r="C62" s="10"/>
      <c r="D62" s="6">
        <v>132.6</v>
      </c>
      <c r="E62" s="2"/>
      <c r="F62" s="7">
        <f t="shared" si="17"/>
        <v>2.0500322269394948E-3</v>
      </c>
      <c r="G62" s="2"/>
      <c r="H62" s="6">
        <v>54.45</v>
      </c>
      <c r="I62" s="2"/>
      <c r="J62" s="7">
        <f t="shared" si="18"/>
        <v>1.2164582036355056E-4</v>
      </c>
      <c r="K62" s="2"/>
      <c r="L62" s="6">
        <f t="shared" si="19"/>
        <v>78.149999999999991</v>
      </c>
      <c r="M62" s="2"/>
      <c r="N62" s="7">
        <f t="shared" si="20"/>
        <v>1.4352617079889805</v>
      </c>
      <c r="O62" s="10"/>
      <c r="P62" s="6">
        <v>1867.88</v>
      </c>
      <c r="Q62" s="2"/>
      <c r="R62" s="7">
        <f t="shared" si="21"/>
        <v>7.0826904642558601E-4</v>
      </c>
      <c r="S62" s="2"/>
      <c r="T62" s="6">
        <v>2050.15</v>
      </c>
      <c r="U62" s="2"/>
      <c r="V62" s="7">
        <f t="shared" si="22"/>
        <v>7.1060166032373422E-4</v>
      </c>
      <c r="W62" s="2"/>
      <c r="X62" s="6">
        <f t="shared" si="23"/>
        <v>-182.26999999999998</v>
      </c>
      <c r="Y62" s="2"/>
      <c r="Z62" s="7">
        <f t="shared" si="24"/>
        <v>-8.8905689827573575E-2</v>
      </c>
    </row>
    <row r="63" spans="1:26" s="23" customFormat="1" hidden="1" outlineLevel="2" x14ac:dyDescent="0.25">
      <c r="A63" s="25"/>
      <c r="B63" s="10" t="str">
        <f>CONCATENATE("          ", "6113", " - ", "GROUP INSURANCE")</f>
        <v xml:space="preserve">          6113 - GROUP INSURANCE</v>
      </c>
      <c r="C63" s="10"/>
      <c r="D63" s="6">
        <v>1053.8499999999999</v>
      </c>
      <c r="E63" s="2"/>
      <c r="F63" s="7">
        <f t="shared" si="17"/>
        <v>1.6292808916743489E-2</v>
      </c>
      <c r="G63" s="2"/>
      <c r="H63" s="6">
        <v>1035.69</v>
      </c>
      <c r="I63" s="2"/>
      <c r="J63" s="7">
        <f t="shared" si="18"/>
        <v>2.313817441548681E-3</v>
      </c>
      <c r="K63" s="2"/>
      <c r="L63" s="6">
        <f t="shared" si="19"/>
        <v>18.159999999999854</v>
      </c>
      <c r="M63" s="2"/>
      <c r="N63" s="7">
        <f t="shared" si="20"/>
        <v>1.7534204250306419E-2</v>
      </c>
      <c r="O63" s="10"/>
      <c r="P63" s="6">
        <v>12537.88</v>
      </c>
      <c r="Q63" s="2"/>
      <c r="R63" s="7">
        <f t="shared" si="21"/>
        <v>4.7541556801285016E-3</v>
      </c>
      <c r="S63" s="2"/>
      <c r="T63" s="6">
        <v>13627.38</v>
      </c>
      <c r="U63" s="2"/>
      <c r="V63" s="7">
        <f t="shared" si="22"/>
        <v>4.7233806569580029E-3</v>
      </c>
      <c r="W63" s="2"/>
      <c r="X63" s="6">
        <f t="shared" si="23"/>
        <v>-1089.5</v>
      </c>
      <c r="Y63" s="2"/>
      <c r="Z63" s="7">
        <f t="shared" si="24"/>
        <v>-7.9949337290073377E-2</v>
      </c>
    </row>
    <row r="64" spans="1:26" s="23" customFormat="1" hidden="1" outlineLevel="2" x14ac:dyDescent="0.25">
      <c r="A64" s="25"/>
      <c r="B64" s="10" t="str">
        <f>CONCATENATE("          ", "6114", " - ", "STATE UNEMPLOYMENT INSURANCE")</f>
        <v xml:space="preserve">          6114 - STATE UNEMPLOYMENT INSURANCE</v>
      </c>
      <c r="C64" s="10"/>
      <c r="D64" s="6">
        <v>18.63</v>
      </c>
      <c r="E64" s="2"/>
      <c r="F64" s="7">
        <f t="shared" si="17"/>
        <v>2.8802488980303763E-4</v>
      </c>
      <c r="G64" s="2"/>
      <c r="H64" s="6">
        <v>-322.33</v>
      </c>
      <c r="I64" s="2"/>
      <c r="J64" s="7">
        <f t="shared" si="18"/>
        <v>-7.2011197938995862E-4</v>
      </c>
      <c r="K64" s="2"/>
      <c r="L64" s="6">
        <f t="shared" si="19"/>
        <v>340.96</v>
      </c>
      <c r="M64" s="2"/>
      <c r="N64" s="7">
        <f t="shared" si="20"/>
        <v>-1.0577979089752738</v>
      </c>
      <c r="O64" s="10"/>
      <c r="P64" s="6">
        <v>277.20999999999998</v>
      </c>
      <c r="Q64" s="2"/>
      <c r="R64" s="7">
        <f t="shared" si="21"/>
        <v>1.051134239670839E-4</v>
      </c>
      <c r="S64" s="2"/>
      <c r="T64" s="6">
        <v>0</v>
      </c>
      <c r="U64" s="2"/>
      <c r="V64" s="7">
        <f t="shared" si="22"/>
        <v>0</v>
      </c>
      <c r="W64" s="2"/>
      <c r="X64" s="6">
        <f t="shared" si="23"/>
        <v>277.20999999999998</v>
      </c>
      <c r="Y64" s="2"/>
      <c r="Z64" s="7">
        <f t="shared" si="24"/>
        <v>0</v>
      </c>
    </row>
    <row r="65" spans="1:26" s="23" customFormat="1" hidden="1" outlineLevel="2" x14ac:dyDescent="0.25">
      <c r="A65" s="25"/>
      <c r="B65" s="10" t="str">
        <f>CONCATENATE("          ", "6115", " - ", "P.E.R.S.")</f>
        <v xml:space="preserve">          6115 - P.E.R.S.</v>
      </c>
      <c r="C65" s="10"/>
      <c r="D65" s="6">
        <v>287.82</v>
      </c>
      <c r="E65" s="2"/>
      <c r="F65" s="7">
        <f t="shared" si="17"/>
        <v>4.4497758337686683E-3</v>
      </c>
      <c r="G65" s="2"/>
      <c r="H65" s="6">
        <v>159.41999999999999</v>
      </c>
      <c r="I65" s="2"/>
      <c r="J65" s="7">
        <f t="shared" si="18"/>
        <v>3.5615751482749732E-4</v>
      </c>
      <c r="K65" s="2"/>
      <c r="L65" s="6">
        <f t="shared" si="19"/>
        <v>128.4</v>
      </c>
      <c r="M65" s="2"/>
      <c r="N65" s="7">
        <f t="shared" si="20"/>
        <v>0.8054196462175387</v>
      </c>
      <c r="O65" s="10"/>
      <c r="P65" s="6">
        <v>2404.86</v>
      </c>
      <c r="Q65" s="2"/>
      <c r="R65" s="7">
        <f t="shared" si="21"/>
        <v>9.1188293626305475E-4</v>
      </c>
      <c r="S65" s="2"/>
      <c r="T65" s="6">
        <v>2807.7</v>
      </c>
      <c r="U65" s="2"/>
      <c r="V65" s="7">
        <f t="shared" si="22"/>
        <v>9.731757586961678E-4</v>
      </c>
      <c r="W65" s="2"/>
      <c r="X65" s="6">
        <f t="shared" si="23"/>
        <v>-402.83999999999969</v>
      </c>
      <c r="Y65" s="2"/>
      <c r="Z65" s="7">
        <f t="shared" si="24"/>
        <v>-0.14347686718666514</v>
      </c>
    </row>
    <row r="66" spans="1:26" s="23" customFormat="1" hidden="1" outlineLevel="2" x14ac:dyDescent="0.25">
      <c r="A66" s="25"/>
      <c r="B66" s="10" t="str">
        <f>CONCATENATE("          ", "6117", " - ", "RETIREMENT STAFF HOURLY")</f>
        <v xml:space="preserve">          6117 - RETIREMENT STAFF HOURLY</v>
      </c>
      <c r="C66" s="10"/>
      <c r="D66" s="6">
        <v>169.75</v>
      </c>
      <c r="E66" s="2"/>
      <c r="F66" s="7">
        <f t="shared" si="17"/>
        <v>2.6243813764930566E-3</v>
      </c>
      <c r="G66" s="2"/>
      <c r="H66" s="6">
        <v>154.78</v>
      </c>
      <c r="I66" s="2"/>
      <c r="J66" s="7">
        <f t="shared" si="18"/>
        <v>3.4579136962112681E-4</v>
      </c>
      <c r="K66" s="2"/>
      <c r="L66" s="6">
        <f t="shared" si="19"/>
        <v>14.969999999999999</v>
      </c>
      <c r="M66" s="2"/>
      <c r="N66" s="7">
        <f t="shared" si="20"/>
        <v>9.6717922212172111E-2</v>
      </c>
      <c r="O66" s="10"/>
      <c r="P66" s="6">
        <v>2242.48</v>
      </c>
      <c r="Q66" s="2"/>
      <c r="R66" s="7">
        <f t="shared" si="21"/>
        <v>8.5031113948885793E-4</v>
      </c>
      <c r="S66" s="2"/>
      <c r="T66" s="6">
        <v>2058.8200000000002</v>
      </c>
      <c r="U66" s="2"/>
      <c r="V66" s="7">
        <f t="shared" si="22"/>
        <v>7.136067655087241E-4</v>
      </c>
      <c r="W66" s="2"/>
      <c r="X66" s="6">
        <f t="shared" si="23"/>
        <v>183.65999999999985</v>
      </c>
      <c r="Y66" s="2"/>
      <c r="Z66" s="7">
        <f t="shared" si="24"/>
        <v>8.9206438639609018E-2</v>
      </c>
    </row>
    <row r="67" spans="1:26" s="23" customFormat="1" hidden="1" outlineLevel="2" x14ac:dyDescent="0.25">
      <c r="A67" s="25"/>
      <c r="B67" s="10" t="str">
        <f>CONCATENATE("          ", "6118", " - ", "VACATION")</f>
        <v xml:space="preserve">          6118 - VACATION</v>
      </c>
      <c r="C67" s="10"/>
      <c r="D67" s="6">
        <v>267.04000000000002</v>
      </c>
      <c r="E67" s="2"/>
      <c r="F67" s="7">
        <f t="shared" si="17"/>
        <v>4.1285113565755864E-3</v>
      </c>
      <c r="G67" s="2"/>
      <c r="H67" s="6">
        <v>257.8</v>
      </c>
      <c r="I67" s="2"/>
      <c r="J67" s="7">
        <f t="shared" si="18"/>
        <v>5.7594660219877569E-4</v>
      </c>
      <c r="K67" s="2"/>
      <c r="L67" s="6">
        <f t="shared" si="19"/>
        <v>9.2400000000000091</v>
      </c>
      <c r="M67" s="2"/>
      <c r="N67" s="7">
        <f t="shared" si="20"/>
        <v>3.5841737781225791E-2</v>
      </c>
      <c r="O67" s="10"/>
      <c r="P67" s="6">
        <v>3425.3</v>
      </c>
      <c r="Q67" s="2"/>
      <c r="R67" s="7">
        <f t="shared" si="21"/>
        <v>1.29881682159537E-3</v>
      </c>
      <c r="S67" s="2"/>
      <c r="T67" s="6">
        <v>3303.15</v>
      </c>
      <c r="U67" s="2"/>
      <c r="V67" s="7">
        <f t="shared" si="22"/>
        <v>1.1449034823297528E-3</v>
      </c>
      <c r="W67" s="2"/>
      <c r="X67" s="6">
        <f t="shared" si="23"/>
        <v>122.15000000000009</v>
      </c>
      <c r="Y67" s="2"/>
      <c r="Z67" s="7">
        <f t="shared" si="24"/>
        <v>3.6979852564975886E-2</v>
      </c>
    </row>
    <row r="68" spans="1:26" s="23" customFormat="1" hidden="1" outlineLevel="2" x14ac:dyDescent="0.25">
      <c r="A68" s="25"/>
      <c r="B68" s="10" t="str">
        <f>CONCATENATE("          ", "6119", " - ", "SICK LEAVE")</f>
        <v xml:space="preserve">          6119 - SICK LEAVE</v>
      </c>
      <c r="C68" s="10"/>
      <c r="D68" s="6">
        <v>267.63</v>
      </c>
      <c r="E68" s="2"/>
      <c r="F68" s="7">
        <f t="shared" si="17"/>
        <v>4.1376329177663426E-3</v>
      </c>
      <c r="G68" s="2"/>
      <c r="H68" s="6">
        <v>256.57</v>
      </c>
      <c r="I68" s="2"/>
      <c r="J68" s="7">
        <f t="shared" si="18"/>
        <v>5.7319868008588E-4</v>
      </c>
      <c r="K68" s="2"/>
      <c r="L68" s="6">
        <f t="shared" si="19"/>
        <v>11.060000000000002</v>
      </c>
      <c r="M68" s="2"/>
      <c r="N68" s="7">
        <f t="shared" si="20"/>
        <v>4.3107144249132798E-2</v>
      </c>
      <c r="O68" s="10"/>
      <c r="P68" s="6">
        <v>3423.89</v>
      </c>
      <c r="Q68" s="2"/>
      <c r="R68" s="7">
        <f t="shared" si="21"/>
        <v>1.2982821730336527E-3</v>
      </c>
      <c r="S68" s="2"/>
      <c r="T68" s="6">
        <v>-4833.5600000000004</v>
      </c>
      <c r="U68" s="2"/>
      <c r="V68" s="7">
        <f t="shared" si="22"/>
        <v>-1.6753582719676069E-3</v>
      </c>
      <c r="W68" s="2"/>
      <c r="X68" s="6">
        <f t="shared" si="23"/>
        <v>8257.4500000000007</v>
      </c>
      <c r="Y68" s="2"/>
      <c r="Z68" s="7">
        <f t="shared" si="24"/>
        <v>-1.708357814943851</v>
      </c>
    </row>
    <row r="69" spans="1:26" s="23" customFormat="1" hidden="1" outlineLevel="2" x14ac:dyDescent="0.25">
      <c r="A69" s="25"/>
      <c r="B69" s="10" t="str">
        <f>CONCATENATE("          ", "6156", " - ", "EMPLOYEE MEALS")</f>
        <v xml:space="preserve">          6156 - EMPLOYEE MEALS</v>
      </c>
      <c r="C69" s="10"/>
      <c r="D69" s="6">
        <v>215.5</v>
      </c>
      <c r="E69" s="2"/>
      <c r="F69" s="7">
        <f t="shared" si="17"/>
        <v>3.331688875606796E-3</v>
      </c>
      <c r="G69" s="2"/>
      <c r="H69" s="6">
        <v>204.48</v>
      </c>
      <c r="I69" s="2"/>
      <c r="J69" s="7">
        <f t="shared" si="18"/>
        <v>4.5682529564625927E-4</v>
      </c>
      <c r="K69" s="2"/>
      <c r="L69" s="6">
        <f t="shared" si="19"/>
        <v>11.02000000000001</v>
      </c>
      <c r="M69" s="2"/>
      <c r="N69" s="7">
        <f t="shared" si="20"/>
        <v>5.3892801251956238E-2</v>
      </c>
      <c r="O69" s="10"/>
      <c r="P69" s="6">
        <v>2785.19</v>
      </c>
      <c r="Q69" s="2"/>
      <c r="R69" s="7">
        <f t="shared" si="21"/>
        <v>1.0560977500771343E-3</v>
      </c>
      <c r="S69" s="2"/>
      <c r="T69" s="6">
        <v>2063.08</v>
      </c>
      <c r="U69" s="2"/>
      <c r="V69" s="7">
        <f t="shared" si="22"/>
        <v>7.1508332238162556E-4</v>
      </c>
      <c r="W69" s="2"/>
      <c r="X69" s="6">
        <f t="shared" si="23"/>
        <v>722.11000000000013</v>
      </c>
      <c r="Y69" s="2"/>
      <c r="Z69" s="7">
        <f t="shared" si="24"/>
        <v>0.35001551078969317</v>
      </c>
    </row>
    <row r="70" spans="1:26" s="27" customFormat="1" outlineLevel="1" collapsed="1" x14ac:dyDescent="0.25">
      <c r="A70" s="26"/>
      <c r="B70" s="12" t="str">
        <f>CONCATENATE("     ","*Payroll                                          ")</f>
        <v xml:space="preserve">     *Payroll                                          </v>
      </c>
      <c r="C70" s="12"/>
      <c r="D70" s="1">
        <f>SUM(OSRRefD22_1x_0)</f>
        <v>7568.11</v>
      </c>
      <c r="E70" s="1"/>
      <c r="F70" s="5">
        <f t="shared" ref="F70:F75" si="25">IF(D$12=0,0,D70/D$12)</f>
        <v>0.11700504824300952</v>
      </c>
      <c r="G70" s="1"/>
      <c r="H70" s="1">
        <f>SUM(OSRRefH22_1x_0)</f>
        <v>5490.55</v>
      </c>
      <c r="I70" s="1"/>
      <c r="J70" s="5">
        <f t="shared" ref="J70:J75" si="26">IF(H$12=0,0,H70/H$12)</f>
        <v>1.226634451785294E-2</v>
      </c>
      <c r="K70" s="1"/>
      <c r="L70" s="1">
        <f t="shared" ref="L70:L75" si="27">+D70-H70</f>
        <v>2077.5599999999995</v>
      </c>
      <c r="M70" s="1"/>
      <c r="N70" s="5">
        <f t="shared" ref="N70:N75" si="28">IF(H70=0,0,L70/H70)</f>
        <v>0.37838832175282977</v>
      </c>
      <c r="O70" s="12"/>
      <c r="P70" s="1">
        <f>SUM(OSRRefP22_1x_0)</f>
        <v>96957.290000000008</v>
      </c>
      <c r="Q70" s="1"/>
      <c r="R70" s="5">
        <f t="shared" ref="R70:R75" si="29">IF(P$12=0,0,P70/P$12)</f>
        <v>3.6764592657081291E-2</v>
      </c>
      <c r="S70" s="1"/>
      <c r="T70" s="1">
        <f>SUM(OSRRefT22_1x_0)</f>
        <v>106281.83000000002</v>
      </c>
      <c r="U70" s="1"/>
      <c r="V70" s="5">
        <f t="shared" ref="V70:V75" si="30">IF(T$12=0,0,T70/T$12)</f>
        <v>3.6838302007289651E-2</v>
      </c>
      <c r="W70" s="1"/>
      <c r="X70" s="1">
        <f t="shared" ref="X70:X75" si="31">+P70-T70</f>
        <v>-9324.5400000000081</v>
      </c>
      <c r="Y70" s="1"/>
      <c r="Z70" s="5">
        <f t="shared" ref="Z70:Z75" si="32">IF(T70=0,0,X70/T70)</f>
        <v>-8.7734093400537103E-2</v>
      </c>
    </row>
    <row r="71" spans="1:26" s="23" customFormat="1" hidden="1" outlineLevel="2" x14ac:dyDescent="0.25">
      <c r="A71" s="25"/>
      <c r="B71" s="10" t="str">
        <f>CONCATENATE("          ", "6002", " - ", "STAFF SALARIES")</f>
        <v xml:space="preserve">          6002 - STAFF SALARIES</v>
      </c>
      <c r="C71" s="10"/>
      <c r="D71" s="6">
        <v>2354.0700000000002</v>
      </c>
      <c r="E71" s="2"/>
      <c r="F71" s="7">
        <f t="shared" si="25"/>
        <v>3.6394565342922E-2</v>
      </c>
      <c r="G71" s="2"/>
      <c r="H71" s="6">
        <v>2282.3000000000002</v>
      </c>
      <c r="I71" s="2"/>
      <c r="J71" s="7">
        <f t="shared" si="26"/>
        <v>5.0988476733834975E-3</v>
      </c>
      <c r="K71" s="2"/>
      <c r="L71" s="6">
        <f t="shared" si="27"/>
        <v>71.769999999999982</v>
      </c>
      <c r="M71" s="2"/>
      <c r="N71" s="7">
        <f t="shared" si="28"/>
        <v>3.1446347982298548E-2</v>
      </c>
      <c r="O71" s="10"/>
      <c r="P71" s="6">
        <v>27912.61</v>
      </c>
      <c r="Q71" s="2"/>
      <c r="R71" s="7">
        <f t="shared" si="29"/>
        <v>1.0583997723595346E-2</v>
      </c>
      <c r="S71" s="2"/>
      <c r="T71" s="6">
        <v>36505.870000000003</v>
      </c>
      <c r="U71" s="2"/>
      <c r="V71" s="7">
        <f t="shared" si="30"/>
        <v>1.2653284800410898E-2</v>
      </c>
      <c r="W71" s="2"/>
      <c r="X71" s="6">
        <f t="shared" si="31"/>
        <v>-8593.260000000002</v>
      </c>
      <c r="Y71" s="2"/>
      <c r="Z71" s="7">
        <f t="shared" si="32"/>
        <v>-0.23539392431956838</v>
      </c>
    </row>
    <row r="72" spans="1:26" s="23" customFormat="1" hidden="1" outlineLevel="2" x14ac:dyDescent="0.25">
      <c r="A72" s="25"/>
      <c r="B72" s="10" t="str">
        <f>CONCATENATE("          ", "6004", " - ", "STAFF HOURLY")</f>
        <v xml:space="preserve">          6004 - STAFF HOURLY</v>
      </c>
      <c r="C72" s="10"/>
      <c r="D72" s="6">
        <v>3168.99</v>
      </c>
      <c r="E72" s="2"/>
      <c r="F72" s="7">
        <f t="shared" si="25"/>
        <v>4.8993451182873224E-2</v>
      </c>
      <c r="G72" s="2"/>
      <c r="H72" s="6">
        <v>3208.25</v>
      </c>
      <c r="I72" s="2"/>
      <c r="J72" s="7">
        <f t="shared" si="26"/>
        <v>7.1674968444694412E-3</v>
      </c>
      <c r="K72" s="2"/>
      <c r="L72" s="6">
        <f t="shared" si="27"/>
        <v>-39.260000000000218</v>
      </c>
      <c r="M72" s="2"/>
      <c r="N72" s="7">
        <f t="shared" si="28"/>
        <v>-1.2237200966258932E-2</v>
      </c>
      <c r="O72" s="10"/>
      <c r="P72" s="6">
        <v>42904.19</v>
      </c>
      <c r="Q72" s="2"/>
      <c r="R72" s="7">
        <f t="shared" si="29"/>
        <v>1.6268555656124676E-2</v>
      </c>
      <c r="S72" s="2"/>
      <c r="T72" s="6">
        <v>11783.41</v>
      </c>
      <c r="U72" s="2"/>
      <c r="V72" s="7">
        <f t="shared" si="30"/>
        <v>4.0842429628443252E-3</v>
      </c>
      <c r="W72" s="2"/>
      <c r="X72" s="6">
        <f t="shared" si="31"/>
        <v>31120.780000000002</v>
      </c>
      <c r="Y72" s="2"/>
      <c r="Z72" s="7">
        <f t="shared" si="32"/>
        <v>2.6410673989957067</v>
      </c>
    </row>
    <row r="73" spans="1:26" s="23" customFormat="1" hidden="1" outlineLevel="2" x14ac:dyDescent="0.25">
      <c r="A73" s="25"/>
      <c r="B73" s="10" t="str">
        <f>CONCATENATE("          ", "6005", " - ", "TEMPORARY WAGES-HOURLY")</f>
        <v xml:space="preserve">          6005 - TEMPORARY WAGES-HOURLY</v>
      </c>
      <c r="C73" s="10"/>
      <c r="D73" s="6"/>
      <c r="E73" s="2"/>
      <c r="F73" s="7">
        <f t="shared" si="25"/>
        <v>0</v>
      </c>
      <c r="G73" s="2"/>
      <c r="H73" s="6"/>
      <c r="I73" s="2"/>
      <c r="J73" s="7">
        <f t="shared" si="26"/>
        <v>0</v>
      </c>
      <c r="K73" s="2"/>
      <c r="L73" s="6">
        <f t="shared" si="27"/>
        <v>0</v>
      </c>
      <c r="M73" s="2"/>
      <c r="N73" s="7">
        <f t="shared" si="28"/>
        <v>0</v>
      </c>
      <c r="O73" s="10"/>
      <c r="P73" s="6"/>
      <c r="Q73" s="2"/>
      <c r="R73" s="7">
        <f t="shared" si="29"/>
        <v>0</v>
      </c>
      <c r="S73" s="2"/>
      <c r="T73" s="6">
        <v>29960.57</v>
      </c>
      <c r="U73" s="2"/>
      <c r="V73" s="7">
        <f t="shared" si="30"/>
        <v>1.0384621021020638E-2</v>
      </c>
      <c r="W73" s="2"/>
      <c r="X73" s="6">
        <f t="shared" si="31"/>
        <v>-29960.57</v>
      </c>
      <c r="Y73" s="2"/>
      <c r="Z73" s="7">
        <f t="shared" si="32"/>
        <v>-1</v>
      </c>
    </row>
    <row r="74" spans="1:26" s="23" customFormat="1" hidden="1" outlineLevel="2" x14ac:dyDescent="0.25">
      <c r="A74" s="25"/>
      <c r="B74" s="10" t="str">
        <f>CONCATENATE("          ", "6006", " - ", "TEMPORARY PART TIME")</f>
        <v xml:space="preserve">          6006 - TEMPORARY PART TIME</v>
      </c>
      <c r="C74" s="10"/>
      <c r="D74" s="6"/>
      <c r="E74" s="2"/>
      <c r="F74" s="7">
        <f t="shared" si="25"/>
        <v>0</v>
      </c>
      <c r="G74" s="2"/>
      <c r="H74" s="6"/>
      <c r="I74" s="2"/>
      <c r="J74" s="7">
        <f t="shared" si="26"/>
        <v>0</v>
      </c>
      <c r="K74" s="2"/>
      <c r="L74" s="6">
        <f t="shared" si="27"/>
        <v>0</v>
      </c>
      <c r="M74" s="2"/>
      <c r="N74" s="7">
        <f t="shared" si="28"/>
        <v>0</v>
      </c>
      <c r="O74" s="10"/>
      <c r="P74" s="6"/>
      <c r="Q74" s="2"/>
      <c r="R74" s="7">
        <f t="shared" si="29"/>
        <v>0</v>
      </c>
      <c r="S74" s="2"/>
      <c r="T74" s="6">
        <v>9008.99</v>
      </c>
      <c r="U74" s="2"/>
      <c r="V74" s="7">
        <f t="shared" si="30"/>
        <v>3.1226023714557073E-3</v>
      </c>
      <c r="W74" s="2"/>
      <c r="X74" s="6">
        <f t="shared" si="31"/>
        <v>-9008.99</v>
      </c>
      <c r="Y74" s="2"/>
      <c r="Z74" s="7">
        <f t="shared" si="32"/>
        <v>-1</v>
      </c>
    </row>
    <row r="75" spans="1:26" s="23" customFormat="1" hidden="1" outlineLevel="2" x14ac:dyDescent="0.25">
      <c r="A75" s="25"/>
      <c r="B75" s="10" t="str">
        <f>CONCATENATE("          ", "6007", " - ", "STUDENT HOURLY")</f>
        <v xml:space="preserve">          6007 - STUDENT HOURLY</v>
      </c>
      <c r="C75" s="10"/>
      <c r="D75" s="6">
        <v>2045.05</v>
      </c>
      <c r="E75" s="2"/>
      <c r="F75" s="7">
        <f t="shared" si="25"/>
        <v>3.1617031717214285E-2</v>
      </c>
      <c r="G75" s="2"/>
      <c r="H75" s="6"/>
      <c r="I75" s="2"/>
      <c r="J75" s="7">
        <f t="shared" si="26"/>
        <v>0</v>
      </c>
      <c r="K75" s="2"/>
      <c r="L75" s="6">
        <f t="shared" si="27"/>
        <v>2045.05</v>
      </c>
      <c r="M75" s="2"/>
      <c r="N75" s="7">
        <f t="shared" si="28"/>
        <v>0</v>
      </c>
      <c r="O75" s="10"/>
      <c r="P75" s="6">
        <v>26140.49</v>
      </c>
      <c r="Q75" s="2"/>
      <c r="R75" s="7">
        <f t="shared" si="29"/>
        <v>9.9120392773612686E-3</v>
      </c>
      <c r="S75" s="2"/>
      <c r="T75" s="6">
        <v>19022.990000000002</v>
      </c>
      <c r="U75" s="2"/>
      <c r="V75" s="7">
        <f t="shared" si="30"/>
        <v>6.5935508515580785E-3</v>
      </c>
      <c r="W75" s="2"/>
      <c r="X75" s="6">
        <f t="shared" si="31"/>
        <v>7117.5</v>
      </c>
      <c r="Y75" s="2"/>
      <c r="Z75" s="7">
        <f t="shared" si="32"/>
        <v>0.3741525385862054</v>
      </c>
    </row>
    <row r="76" spans="1:26" s="27" customFormat="1" outlineLevel="1" collapsed="1" x14ac:dyDescent="0.25">
      <c r="A76" s="26"/>
      <c r="B76" s="12" t="str">
        <f>CONCATENATE("     ","Advertising/Promo                                 ")</f>
        <v xml:space="preserve">     Advertising/Promo                                 </v>
      </c>
      <c r="C76" s="12"/>
      <c r="D76" s="1">
        <f>SUM(OSRRefD22_2x_0)</f>
        <v>0</v>
      </c>
      <c r="E76" s="1"/>
      <c r="F76" s="5">
        <f t="shared" ref="F76:F84" si="33">IF(D$12=0,0,D76/D$12)</f>
        <v>0</v>
      </c>
      <c r="G76" s="1"/>
      <c r="H76" s="1">
        <f>SUM(OSRRefH22_2x_0)</f>
        <v>34.450000000000003</v>
      </c>
      <c r="I76" s="1"/>
      <c r="J76" s="5">
        <f t="shared" ref="J76:J84" si="34">IF(H$12=0,0,H76/H$12)</f>
        <v>7.6964159991263853E-5</v>
      </c>
      <c r="K76" s="1"/>
      <c r="L76" s="1">
        <f t="shared" ref="L76:L84" si="35">+D76-H76</f>
        <v>-34.450000000000003</v>
      </c>
      <c r="M76" s="1"/>
      <c r="N76" s="5">
        <f t="shared" ref="N76:N84" si="36">IF(H76=0,0,L76/H76)</f>
        <v>-1</v>
      </c>
      <c r="O76" s="12"/>
      <c r="P76" s="1">
        <f>SUM(OSRRefP22_2x_0)</f>
        <v>692.63</v>
      </c>
      <c r="Q76" s="1"/>
      <c r="R76" s="5">
        <f t="shared" ref="R76:R84" si="37">IF(P$12=0,0,P76/P$12)</f>
        <v>2.6263378248375354E-4</v>
      </c>
      <c r="S76" s="1"/>
      <c r="T76" s="1">
        <f>SUM(OSRRefT22_2x_0)</f>
        <v>1780.37</v>
      </c>
      <c r="U76" s="1"/>
      <c r="V76" s="5">
        <f t="shared" ref="V76:V84" si="38">IF(T$12=0,0,T76/T$12)</f>
        <v>6.1709332389852777E-4</v>
      </c>
      <c r="W76" s="1"/>
      <c r="X76" s="1">
        <f t="shared" ref="X76:X84" si="39">+P76-T76</f>
        <v>-1087.7399999999998</v>
      </c>
      <c r="Y76" s="1"/>
      <c r="Z76" s="5">
        <f t="shared" ref="Z76:Z84" si="40">IF(T76=0,0,X76/T76)</f>
        <v>-0.610962889736403</v>
      </c>
    </row>
    <row r="77" spans="1:26" s="23" customFormat="1" hidden="1" outlineLevel="2" x14ac:dyDescent="0.25">
      <c r="A77" s="25"/>
      <c r="B77" s="10" t="str">
        <f>CONCATENATE("          ", "6362", " - ", "ADVERTISING EXPENSE")</f>
        <v xml:space="preserve">          6362 - ADVERTISING EXPENSE</v>
      </c>
      <c r="C77" s="10"/>
      <c r="D77" s="6"/>
      <c r="E77" s="2"/>
      <c r="F77" s="7">
        <f t="shared" si="33"/>
        <v>0</v>
      </c>
      <c r="G77" s="2"/>
      <c r="H77" s="6">
        <v>34.450000000000003</v>
      </c>
      <c r="I77" s="2"/>
      <c r="J77" s="7">
        <f t="shared" si="34"/>
        <v>7.6964159991263853E-5</v>
      </c>
      <c r="K77" s="2"/>
      <c r="L77" s="6">
        <f t="shared" si="35"/>
        <v>-34.450000000000003</v>
      </c>
      <c r="M77" s="2"/>
      <c r="N77" s="7">
        <f t="shared" si="36"/>
        <v>-1</v>
      </c>
      <c r="O77" s="10"/>
      <c r="P77" s="6">
        <v>692.63</v>
      </c>
      <c r="Q77" s="2"/>
      <c r="R77" s="7">
        <f t="shared" si="37"/>
        <v>2.6263378248375354E-4</v>
      </c>
      <c r="S77" s="2"/>
      <c r="T77" s="6">
        <v>1780.37</v>
      </c>
      <c r="U77" s="2"/>
      <c r="V77" s="7">
        <f t="shared" si="38"/>
        <v>6.1709332389852777E-4</v>
      </c>
      <c r="W77" s="2"/>
      <c r="X77" s="6">
        <f t="shared" si="39"/>
        <v>-1087.7399999999998</v>
      </c>
      <c r="Y77" s="2"/>
      <c r="Z77" s="7">
        <f t="shared" si="40"/>
        <v>-0.610962889736403</v>
      </c>
    </row>
    <row r="78" spans="1:26" s="27" customFormat="1" outlineLevel="1" collapsed="1" x14ac:dyDescent="0.25">
      <c r="A78" s="26"/>
      <c r="B78" s="12" t="str">
        <f>CONCATENATE("     ","Depreciation                                      ")</f>
        <v xml:space="preserve">     Depreciation                                      </v>
      </c>
      <c r="C78" s="12"/>
      <c r="D78" s="1">
        <f>SUM(OSRRefD22_3x_0)</f>
        <v>280.45</v>
      </c>
      <c r="E78" s="1"/>
      <c r="F78" s="5">
        <f t="shared" si="33"/>
        <v>4.3358336202502365E-3</v>
      </c>
      <c r="G78" s="1"/>
      <c r="H78" s="1">
        <f>SUM(OSRRefH22_3x_0)</f>
        <v>280.45</v>
      </c>
      <c r="I78" s="1"/>
      <c r="J78" s="5">
        <f t="shared" si="34"/>
        <v>6.2654858257039036E-4</v>
      </c>
      <c r="K78" s="1"/>
      <c r="L78" s="1">
        <f t="shared" si="35"/>
        <v>0</v>
      </c>
      <c r="M78" s="1"/>
      <c r="N78" s="5">
        <f t="shared" si="36"/>
        <v>0</v>
      </c>
      <c r="O78" s="12"/>
      <c r="P78" s="1">
        <f>SUM(OSRRefP22_3x_0)</f>
        <v>3365.29</v>
      </c>
      <c r="Q78" s="1"/>
      <c r="R78" s="5">
        <f t="shared" si="37"/>
        <v>1.2760620271353407E-3</v>
      </c>
      <c r="S78" s="1"/>
      <c r="T78" s="1">
        <f>SUM(OSRRefT22_3x_0)</f>
        <v>3365.29</v>
      </c>
      <c r="U78" s="1"/>
      <c r="V78" s="5">
        <f t="shared" si="38"/>
        <v>1.166441802536819E-3</v>
      </c>
      <c r="W78" s="1"/>
      <c r="X78" s="1">
        <f t="shared" si="39"/>
        <v>0</v>
      </c>
      <c r="Y78" s="1"/>
      <c r="Z78" s="5">
        <f t="shared" si="40"/>
        <v>0</v>
      </c>
    </row>
    <row r="79" spans="1:26" s="23" customFormat="1" hidden="1" outlineLevel="2" x14ac:dyDescent="0.25">
      <c r="A79" s="25"/>
      <c r="B79" s="10" t="str">
        <f>CONCATENATE("          ", "6322", " - ", "EQUIPMENT DEPRECIATION EXPENSE")</f>
        <v xml:space="preserve">          6322 - EQUIPMENT DEPRECIATION EXPENSE</v>
      </c>
      <c r="C79" s="10"/>
      <c r="D79" s="6">
        <v>280.45</v>
      </c>
      <c r="E79" s="2"/>
      <c r="F79" s="7">
        <f t="shared" si="33"/>
        <v>4.3358336202502365E-3</v>
      </c>
      <c r="G79" s="2"/>
      <c r="H79" s="6">
        <v>280.45</v>
      </c>
      <c r="I79" s="2"/>
      <c r="J79" s="7">
        <f t="shared" si="34"/>
        <v>6.2654858257039036E-4</v>
      </c>
      <c r="K79" s="2"/>
      <c r="L79" s="6">
        <f t="shared" si="35"/>
        <v>0</v>
      </c>
      <c r="M79" s="2"/>
      <c r="N79" s="7">
        <f t="shared" si="36"/>
        <v>0</v>
      </c>
      <c r="O79" s="10"/>
      <c r="P79" s="6">
        <v>3365.29</v>
      </c>
      <c r="Q79" s="2"/>
      <c r="R79" s="7">
        <f t="shared" si="37"/>
        <v>1.2760620271353407E-3</v>
      </c>
      <c r="S79" s="2"/>
      <c r="T79" s="6">
        <v>3365.29</v>
      </c>
      <c r="U79" s="2"/>
      <c r="V79" s="7">
        <f t="shared" si="38"/>
        <v>1.166441802536819E-3</v>
      </c>
      <c r="W79" s="2"/>
      <c r="X79" s="6">
        <f t="shared" si="39"/>
        <v>0</v>
      </c>
      <c r="Y79" s="2"/>
      <c r="Z79" s="7">
        <f t="shared" si="40"/>
        <v>0</v>
      </c>
    </row>
    <row r="80" spans="1:26" s="27" customFormat="1" outlineLevel="1" collapsed="1" x14ac:dyDescent="0.25">
      <c r="A80" s="26"/>
      <c r="B80" s="12" t="str">
        <f>CONCATENATE("     ","Discounts and Markdowns                           ")</f>
        <v xml:space="preserve">     Discounts and Markdowns                           </v>
      </c>
      <c r="C80" s="12"/>
      <c r="D80" s="1">
        <f>SUM(OSRRefD22_4x_0)</f>
        <v>0</v>
      </c>
      <c r="E80" s="1"/>
      <c r="F80" s="5">
        <f t="shared" si="33"/>
        <v>0</v>
      </c>
      <c r="G80" s="1"/>
      <c r="H80" s="1">
        <f>SUM(OSRRefH22_4x_0)</f>
        <v>2379.19</v>
      </c>
      <c r="I80" s="1"/>
      <c r="J80" s="5">
        <f t="shared" si="34"/>
        <v>5.3153079770570403E-3</v>
      </c>
      <c r="K80" s="1"/>
      <c r="L80" s="1">
        <f t="shared" si="35"/>
        <v>-2379.19</v>
      </c>
      <c r="M80" s="1"/>
      <c r="N80" s="5">
        <f t="shared" si="36"/>
        <v>-1</v>
      </c>
      <c r="O80" s="12"/>
      <c r="P80" s="1">
        <f>SUM(OSRRefP22_4x_0)</f>
        <v>0</v>
      </c>
      <c r="Q80" s="1"/>
      <c r="R80" s="5">
        <f t="shared" si="37"/>
        <v>0</v>
      </c>
      <c r="S80" s="1"/>
      <c r="T80" s="1">
        <f>SUM(OSRRefT22_4x_0)</f>
        <v>76736.39</v>
      </c>
      <c r="U80" s="1"/>
      <c r="V80" s="5">
        <f t="shared" si="38"/>
        <v>2.6597569027266101E-2</v>
      </c>
      <c r="W80" s="1"/>
      <c r="X80" s="1">
        <f t="shared" si="39"/>
        <v>-76736.39</v>
      </c>
      <c r="Y80" s="1"/>
      <c r="Z80" s="5">
        <f t="shared" si="40"/>
        <v>-1</v>
      </c>
    </row>
    <row r="81" spans="1:26" s="23" customFormat="1" hidden="1" outlineLevel="2" x14ac:dyDescent="0.25">
      <c r="A81" s="25"/>
      <c r="B81" s="10" t="str">
        <f>CONCATENATE("          ", "6382", " - ", "DISCOUNTS/MARK DOWNS")</f>
        <v xml:space="preserve">          6382 - DISCOUNTS/MARK DOWNS</v>
      </c>
      <c r="C81" s="10"/>
      <c r="D81" s="6">
        <v>0</v>
      </c>
      <c r="E81" s="2"/>
      <c r="F81" s="7">
        <f t="shared" si="33"/>
        <v>0</v>
      </c>
      <c r="G81" s="2"/>
      <c r="H81" s="6">
        <v>2379.19</v>
      </c>
      <c r="I81" s="2"/>
      <c r="J81" s="7">
        <f t="shared" si="34"/>
        <v>5.3153079770570403E-3</v>
      </c>
      <c r="K81" s="2"/>
      <c r="L81" s="6">
        <f t="shared" si="35"/>
        <v>-2379.19</v>
      </c>
      <c r="M81" s="2"/>
      <c r="N81" s="7">
        <f t="shared" si="36"/>
        <v>-1</v>
      </c>
      <c r="O81" s="10"/>
      <c r="P81" s="6">
        <v>0</v>
      </c>
      <c r="Q81" s="2"/>
      <c r="R81" s="7">
        <f t="shared" si="37"/>
        <v>0</v>
      </c>
      <c r="S81" s="2"/>
      <c r="T81" s="6">
        <v>76736.39</v>
      </c>
      <c r="U81" s="2"/>
      <c r="V81" s="7">
        <f t="shared" si="38"/>
        <v>2.6597569027266101E-2</v>
      </c>
      <c r="W81" s="2"/>
      <c r="X81" s="6">
        <f t="shared" si="39"/>
        <v>-76736.39</v>
      </c>
      <c r="Y81" s="2"/>
      <c r="Z81" s="7">
        <f t="shared" si="40"/>
        <v>-1</v>
      </c>
    </row>
    <row r="82" spans="1:26" s="27" customFormat="1" outlineLevel="1" collapsed="1" x14ac:dyDescent="0.25">
      <c r="A82" s="26"/>
      <c r="B82" s="12" t="str">
        <f>CONCATENATE("     ","Freight out/Postage                               ")</f>
        <v xml:space="preserve">     Freight out/Postage                               </v>
      </c>
      <c r="C82" s="12"/>
      <c r="D82" s="1">
        <f>SUM(OSRRefD22_5x_0)</f>
        <v>0</v>
      </c>
      <c r="E82" s="1"/>
      <c r="F82" s="5">
        <f t="shared" si="33"/>
        <v>0</v>
      </c>
      <c r="G82" s="1"/>
      <c r="H82" s="1">
        <f>SUM(OSRRefH22_5x_0)</f>
        <v>142.69</v>
      </c>
      <c r="I82" s="1"/>
      <c r="J82" s="5">
        <f t="shared" si="34"/>
        <v>3.1878130592607952E-4</v>
      </c>
      <c r="K82" s="1"/>
      <c r="L82" s="1">
        <f t="shared" si="35"/>
        <v>-142.69</v>
      </c>
      <c r="M82" s="1"/>
      <c r="N82" s="5">
        <f t="shared" si="36"/>
        <v>-1</v>
      </c>
      <c r="O82" s="12"/>
      <c r="P82" s="1">
        <f>SUM(OSRRefP22_5x_0)</f>
        <v>2698.56</v>
      </c>
      <c r="Q82" s="1"/>
      <c r="R82" s="5">
        <f t="shared" si="37"/>
        <v>1.0232490941185885E-3</v>
      </c>
      <c r="S82" s="1"/>
      <c r="T82" s="1">
        <f>SUM(OSRRefT22_5x_0)</f>
        <v>263.27999999999997</v>
      </c>
      <c r="U82" s="1"/>
      <c r="V82" s="5">
        <f t="shared" si="38"/>
        <v>9.1255374060450562E-5</v>
      </c>
      <c r="W82" s="1"/>
      <c r="X82" s="1">
        <f t="shared" si="39"/>
        <v>2435.2799999999997</v>
      </c>
      <c r="Y82" s="1"/>
      <c r="Z82" s="5">
        <f t="shared" si="40"/>
        <v>9.2497721057429345</v>
      </c>
    </row>
    <row r="83" spans="1:26" s="23" customFormat="1" hidden="1" outlineLevel="2" x14ac:dyDescent="0.25">
      <c r="A83" s="25"/>
      <c r="B83" s="10" t="str">
        <f>CONCATENATE("          ", "6305", " - ", "FREIGHT OUT")</f>
        <v xml:space="preserve">          6305 - FREIGHT OUT</v>
      </c>
      <c r="C83" s="10"/>
      <c r="D83" s="6"/>
      <c r="E83" s="2"/>
      <c r="F83" s="7">
        <f t="shared" si="33"/>
        <v>0</v>
      </c>
      <c r="G83" s="2"/>
      <c r="H83" s="6">
        <v>142.69</v>
      </c>
      <c r="I83" s="2"/>
      <c r="J83" s="7">
        <f t="shared" si="34"/>
        <v>3.1878130592607952E-4</v>
      </c>
      <c r="K83" s="2"/>
      <c r="L83" s="6">
        <f t="shared" si="35"/>
        <v>-142.69</v>
      </c>
      <c r="M83" s="2"/>
      <c r="N83" s="7">
        <f t="shared" si="36"/>
        <v>-1</v>
      </c>
      <c r="O83" s="10"/>
      <c r="P83" s="6">
        <v>2685.96</v>
      </c>
      <c r="Q83" s="2"/>
      <c r="R83" s="7">
        <f t="shared" si="37"/>
        <v>1.0184713835670743E-3</v>
      </c>
      <c r="S83" s="2"/>
      <c r="T83" s="6">
        <v>263.27999999999997</v>
      </c>
      <c r="U83" s="2"/>
      <c r="V83" s="7">
        <f t="shared" si="38"/>
        <v>9.1255374060450562E-5</v>
      </c>
      <c r="W83" s="2"/>
      <c r="X83" s="6">
        <f t="shared" si="39"/>
        <v>2422.6800000000003</v>
      </c>
      <c r="Y83" s="2"/>
      <c r="Z83" s="7">
        <f t="shared" si="40"/>
        <v>9.2019143117593458</v>
      </c>
    </row>
    <row r="84" spans="1:26" s="23" customFormat="1" hidden="1" outlineLevel="2" x14ac:dyDescent="0.25">
      <c r="A84" s="25"/>
      <c r="B84" s="10" t="str">
        <f>CONCATENATE("          ", "6307", " - ", "POSTAGE")</f>
        <v xml:space="preserve">          6307 - POSTAGE</v>
      </c>
      <c r="C84" s="10"/>
      <c r="D84" s="6"/>
      <c r="E84" s="2"/>
      <c r="F84" s="7">
        <f t="shared" si="33"/>
        <v>0</v>
      </c>
      <c r="G84" s="2"/>
      <c r="H84" s="6"/>
      <c r="I84" s="2"/>
      <c r="J84" s="7">
        <f t="shared" si="34"/>
        <v>0</v>
      </c>
      <c r="K84" s="2"/>
      <c r="L84" s="6">
        <f t="shared" si="35"/>
        <v>0</v>
      </c>
      <c r="M84" s="2"/>
      <c r="N84" s="7">
        <f t="shared" si="36"/>
        <v>0</v>
      </c>
      <c r="O84" s="10"/>
      <c r="P84" s="6">
        <v>12.6</v>
      </c>
      <c r="Q84" s="2"/>
      <c r="R84" s="7">
        <f t="shared" si="37"/>
        <v>4.7777105515142208E-6</v>
      </c>
      <c r="S84" s="2"/>
      <c r="T84" s="6"/>
      <c r="U84" s="2"/>
      <c r="V84" s="7">
        <f t="shared" si="38"/>
        <v>0</v>
      </c>
      <c r="W84" s="2"/>
      <c r="X84" s="6">
        <f t="shared" si="39"/>
        <v>12.6</v>
      </c>
      <c r="Y84" s="2"/>
      <c r="Z84" s="7">
        <f t="shared" si="40"/>
        <v>0</v>
      </c>
    </row>
    <row r="85" spans="1:26" s="27" customFormat="1" outlineLevel="1" collapsed="1" x14ac:dyDescent="0.25">
      <c r="A85" s="26"/>
      <c r="B85" s="12" t="str">
        <f>CONCATENATE("     ","General                                           ")</f>
        <v xml:space="preserve">     General                                           </v>
      </c>
      <c r="C85" s="12"/>
      <c r="D85" s="1">
        <f>SUM(OSRRefD22_6x_0)</f>
        <v>0</v>
      </c>
      <c r="E85" s="1"/>
      <c r="F85" s="5">
        <f t="shared" ref="F85:F95" si="41">IF(D$12=0,0,D85/D$12)</f>
        <v>0</v>
      </c>
      <c r="G85" s="1"/>
      <c r="H85" s="1">
        <f>SUM(OSRRefH22_6x_0)</f>
        <v>0</v>
      </c>
      <c r="I85" s="1"/>
      <c r="J85" s="5">
        <f t="shared" ref="J85:J95" si="42">IF(H$12=0,0,H85/H$12)</f>
        <v>0</v>
      </c>
      <c r="K85" s="1"/>
      <c r="L85" s="1">
        <f t="shared" ref="L85:L95" si="43">+D85-H85</f>
        <v>0</v>
      </c>
      <c r="M85" s="1"/>
      <c r="N85" s="5">
        <f t="shared" ref="N85:N95" si="44">IF(H85=0,0,L85/H85)</f>
        <v>0</v>
      </c>
      <c r="O85" s="12"/>
      <c r="P85" s="1">
        <f>SUM(OSRRefP22_6x_0)</f>
        <v>254.85</v>
      </c>
      <c r="Q85" s="1"/>
      <c r="R85" s="5">
        <f t="shared" ref="R85:R95" si="45">IF(P$12=0,0,P85/P$12)</f>
        <v>9.6634883655031685E-5</v>
      </c>
      <c r="S85" s="1"/>
      <c r="T85" s="1">
        <f>SUM(OSRRefT22_6x_0)</f>
        <v>205</v>
      </c>
      <c r="U85" s="1"/>
      <c r="V85" s="5">
        <f t="shared" ref="V85:V95" si="46">IF(T$12=0,0,T85/T$12)</f>
        <v>7.1054966888454759E-5</v>
      </c>
      <c r="W85" s="1"/>
      <c r="X85" s="1">
        <f t="shared" ref="X85:X95" si="47">+P85-T85</f>
        <v>49.849999999999994</v>
      </c>
      <c r="Y85" s="1"/>
      <c r="Z85" s="5">
        <f t="shared" ref="Z85:Z95" si="48">IF(T85=0,0,X85/T85)</f>
        <v>0.24317073170731704</v>
      </c>
    </row>
    <row r="86" spans="1:26" s="23" customFormat="1" hidden="1" outlineLevel="2" x14ac:dyDescent="0.25">
      <c r="A86" s="25"/>
      <c r="B86" s="10" t="str">
        <f>CONCATENATE("          ", "6279", " - ", "GENERAL EXPENSE")</f>
        <v xml:space="preserve">          6279 - GENERAL EXPENSE</v>
      </c>
      <c r="C86" s="10"/>
      <c r="D86" s="6"/>
      <c r="E86" s="2"/>
      <c r="F86" s="7">
        <f t="shared" si="41"/>
        <v>0</v>
      </c>
      <c r="G86" s="2"/>
      <c r="H86" s="6"/>
      <c r="I86" s="2"/>
      <c r="J86" s="7">
        <f t="shared" si="42"/>
        <v>0</v>
      </c>
      <c r="K86" s="2"/>
      <c r="L86" s="6">
        <f t="shared" si="43"/>
        <v>0</v>
      </c>
      <c r="M86" s="2"/>
      <c r="N86" s="7">
        <f t="shared" si="44"/>
        <v>0</v>
      </c>
      <c r="O86" s="10"/>
      <c r="P86" s="6">
        <v>254.85</v>
      </c>
      <c r="Q86" s="2"/>
      <c r="R86" s="7">
        <f t="shared" si="45"/>
        <v>9.6634883655031685E-5</v>
      </c>
      <c r="S86" s="2"/>
      <c r="T86" s="6">
        <v>205</v>
      </c>
      <c r="U86" s="2"/>
      <c r="V86" s="7">
        <f t="shared" si="46"/>
        <v>7.1054966888454759E-5</v>
      </c>
      <c r="W86" s="2"/>
      <c r="X86" s="6">
        <f t="shared" si="47"/>
        <v>49.849999999999994</v>
      </c>
      <c r="Y86" s="2"/>
      <c r="Z86" s="7">
        <f t="shared" si="48"/>
        <v>0.24317073170731704</v>
      </c>
    </row>
    <row r="87" spans="1:26" s="27" customFormat="1" outlineLevel="1" collapsed="1" x14ac:dyDescent="0.25">
      <c r="A87" s="26"/>
      <c r="B87" s="12" t="str">
        <f>CONCATENATE("     ","Inventory Adjustment                              ")</f>
        <v xml:space="preserve">     Inventory Adjustment                              </v>
      </c>
      <c r="C87" s="12"/>
      <c r="D87" s="1">
        <f>SUM(OSRRefD22_7x_0)</f>
        <v>-13750</v>
      </c>
      <c r="E87" s="1"/>
      <c r="F87" s="5">
        <f t="shared" si="41"/>
        <v>-0.21257875656423875</v>
      </c>
      <c r="G87" s="1"/>
      <c r="H87" s="1">
        <f>SUM(OSRRefH22_7x_0)</f>
        <v>-43236</v>
      </c>
      <c r="I87" s="1"/>
      <c r="J87" s="5">
        <f t="shared" si="42"/>
        <v>-9.6592813392809396E-2</v>
      </c>
      <c r="K87" s="1"/>
      <c r="L87" s="1">
        <f t="shared" si="43"/>
        <v>29486</v>
      </c>
      <c r="M87" s="1"/>
      <c r="N87" s="5">
        <f t="shared" si="44"/>
        <v>-0.68197798131186971</v>
      </c>
      <c r="O87" s="12"/>
      <c r="P87" s="1">
        <f>SUM(OSRRefP22_7x_0)</f>
        <v>0</v>
      </c>
      <c r="Q87" s="1"/>
      <c r="R87" s="5">
        <f t="shared" si="45"/>
        <v>0</v>
      </c>
      <c r="S87" s="1"/>
      <c r="T87" s="1">
        <f>SUM(OSRRefT22_7x_0)</f>
        <v>-43236</v>
      </c>
      <c r="U87" s="1"/>
      <c r="V87" s="5">
        <f t="shared" si="46"/>
        <v>-1.4986012431166975E-2</v>
      </c>
      <c r="W87" s="1"/>
      <c r="X87" s="1">
        <f t="shared" si="47"/>
        <v>43236</v>
      </c>
      <c r="Y87" s="1"/>
      <c r="Z87" s="5">
        <f t="shared" si="48"/>
        <v>-1</v>
      </c>
    </row>
    <row r="88" spans="1:26" s="23" customFormat="1" hidden="1" outlineLevel="2" x14ac:dyDescent="0.25">
      <c r="A88" s="25"/>
      <c r="B88" s="10" t="str">
        <f>CONCATENATE("          ", "6408", " - ", "INVENTORY ADJUSTMENT")</f>
        <v xml:space="preserve">          6408 - INVENTORY ADJUSTMENT</v>
      </c>
      <c r="C88" s="10"/>
      <c r="D88" s="6">
        <v>-13750</v>
      </c>
      <c r="E88" s="2"/>
      <c r="F88" s="7">
        <f t="shared" si="41"/>
        <v>-0.21257875656423875</v>
      </c>
      <c r="G88" s="2"/>
      <c r="H88" s="6"/>
      <c r="I88" s="2"/>
      <c r="J88" s="7">
        <f t="shared" si="42"/>
        <v>0</v>
      </c>
      <c r="K88" s="2"/>
      <c r="L88" s="6">
        <f t="shared" si="43"/>
        <v>-13750</v>
      </c>
      <c r="M88" s="2"/>
      <c r="N88" s="7">
        <f t="shared" si="44"/>
        <v>0</v>
      </c>
      <c r="O88" s="10"/>
      <c r="P88" s="6">
        <v>0</v>
      </c>
      <c r="Q88" s="2"/>
      <c r="R88" s="7">
        <f t="shared" si="45"/>
        <v>0</v>
      </c>
      <c r="S88" s="2"/>
      <c r="T88" s="6"/>
      <c r="U88" s="2"/>
      <c r="V88" s="7">
        <f t="shared" si="46"/>
        <v>0</v>
      </c>
      <c r="W88" s="2"/>
      <c r="X88" s="6">
        <f t="shared" si="47"/>
        <v>0</v>
      </c>
      <c r="Y88" s="2"/>
      <c r="Z88" s="7">
        <f t="shared" si="48"/>
        <v>0</v>
      </c>
    </row>
    <row r="89" spans="1:26" s="23" customFormat="1" hidden="1" outlineLevel="2" x14ac:dyDescent="0.25">
      <c r="A89" s="25"/>
      <c r="B89" s="10" t="str">
        <f>CONCATENATE("          ", "7781", " - ", "INV. SHRINKAGE-ELECTRONICS")</f>
        <v xml:space="preserve">          7781 - INV. SHRINKAGE-ELECTRONICS</v>
      </c>
      <c r="C89" s="10"/>
      <c r="D89" s="6"/>
      <c r="E89" s="2"/>
      <c r="F89" s="7">
        <f t="shared" si="41"/>
        <v>0</v>
      </c>
      <c r="G89" s="2"/>
      <c r="H89" s="6">
        <v>-18505</v>
      </c>
      <c r="I89" s="2"/>
      <c r="J89" s="7">
        <f t="shared" si="42"/>
        <v>-4.1341706259458273E-2</v>
      </c>
      <c r="K89" s="2"/>
      <c r="L89" s="6">
        <f t="shared" si="43"/>
        <v>18505</v>
      </c>
      <c r="M89" s="2"/>
      <c r="N89" s="7">
        <f t="shared" si="44"/>
        <v>-1</v>
      </c>
      <c r="O89" s="10"/>
      <c r="P89" s="6"/>
      <c r="Q89" s="2"/>
      <c r="R89" s="7">
        <f t="shared" si="45"/>
        <v>0</v>
      </c>
      <c r="S89" s="2"/>
      <c r="T89" s="6">
        <v>-18505</v>
      </c>
      <c r="U89" s="2"/>
      <c r="V89" s="7">
        <f t="shared" si="46"/>
        <v>-6.4140105476627081E-3</v>
      </c>
      <c r="W89" s="2"/>
      <c r="X89" s="6">
        <f t="shared" si="47"/>
        <v>18505</v>
      </c>
      <c r="Y89" s="2"/>
      <c r="Z89" s="7">
        <f t="shared" si="48"/>
        <v>-1</v>
      </c>
    </row>
    <row r="90" spans="1:26" s="23" customFormat="1" hidden="1" outlineLevel="2" x14ac:dyDescent="0.25">
      <c r="A90" s="25"/>
      <c r="B90" s="10" t="str">
        <f>CONCATENATE("          ", "7782", " - ", "INV. SHRINKAGE-COMPUTER HARDWA")</f>
        <v xml:space="preserve">          7782 - INV. SHRINKAGE-COMPUTER HARDWA</v>
      </c>
      <c r="C90" s="10"/>
      <c r="D90" s="6"/>
      <c r="E90" s="2"/>
      <c r="F90" s="7">
        <f t="shared" si="41"/>
        <v>0</v>
      </c>
      <c r="G90" s="2"/>
      <c r="H90" s="6">
        <v>-30263</v>
      </c>
      <c r="I90" s="2"/>
      <c r="J90" s="7">
        <f t="shared" si="42"/>
        <v>-6.7610054392325633E-2</v>
      </c>
      <c r="K90" s="2"/>
      <c r="L90" s="6">
        <f t="shared" si="43"/>
        <v>30263</v>
      </c>
      <c r="M90" s="2"/>
      <c r="N90" s="7">
        <f t="shared" si="44"/>
        <v>-1</v>
      </c>
      <c r="O90" s="10"/>
      <c r="P90" s="6"/>
      <c r="Q90" s="2"/>
      <c r="R90" s="7">
        <f t="shared" si="45"/>
        <v>0</v>
      </c>
      <c r="S90" s="2"/>
      <c r="T90" s="6">
        <v>-30263</v>
      </c>
      <c r="U90" s="2"/>
      <c r="V90" s="7">
        <f t="shared" si="46"/>
        <v>-1.048944616070881E-2</v>
      </c>
      <c r="W90" s="2"/>
      <c r="X90" s="6">
        <f t="shared" si="47"/>
        <v>30263</v>
      </c>
      <c r="Y90" s="2"/>
      <c r="Z90" s="7">
        <f t="shared" si="48"/>
        <v>-1</v>
      </c>
    </row>
    <row r="91" spans="1:26" s="23" customFormat="1" hidden="1" outlineLevel="2" x14ac:dyDescent="0.25">
      <c r="A91" s="25"/>
      <c r="B91" s="10" t="str">
        <f>CONCATENATE("          ", "7783", " - ", "INV. SHRINKAGE-COMPUTER EQUIPM")</f>
        <v xml:space="preserve">          7783 - INV. SHRINKAGE-COMPUTER EQUIPM</v>
      </c>
      <c r="C91" s="10"/>
      <c r="D91" s="6"/>
      <c r="E91" s="2"/>
      <c r="F91" s="7">
        <f t="shared" si="41"/>
        <v>0</v>
      </c>
      <c r="G91" s="2"/>
      <c r="H91" s="6">
        <v>2729</v>
      </c>
      <c r="I91" s="2"/>
      <c r="J91" s="7">
        <f t="shared" si="42"/>
        <v>6.096812557798521E-3</v>
      </c>
      <c r="K91" s="2"/>
      <c r="L91" s="6">
        <f t="shared" si="43"/>
        <v>-2729</v>
      </c>
      <c r="M91" s="2"/>
      <c r="N91" s="7">
        <f t="shared" si="44"/>
        <v>-1</v>
      </c>
      <c r="O91" s="10"/>
      <c r="P91" s="6"/>
      <c r="Q91" s="2"/>
      <c r="R91" s="7">
        <f t="shared" si="45"/>
        <v>0</v>
      </c>
      <c r="S91" s="2"/>
      <c r="T91" s="6">
        <v>2729</v>
      </c>
      <c r="U91" s="2"/>
      <c r="V91" s="7">
        <f t="shared" si="46"/>
        <v>9.4589758360289281E-4</v>
      </c>
      <c r="W91" s="2"/>
      <c r="X91" s="6">
        <f t="shared" si="47"/>
        <v>-2729</v>
      </c>
      <c r="Y91" s="2"/>
      <c r="Z91" s="7">
        <f t="shared" si="48"/>
        <v>-1</v>
      </c>
    </row>
    <row r="92" spans="1:26" s="23" customFormat="1" hidden="1" outlineLevel="2" x14ac:dyDescent="0.25">
      <c r="A92" s="25"/>
      <c r="B92" s="10" t="str">
        <f>CONCATENATE("          ", "7784", " - ", "INV. SHRINKAGE-SOFTWARE LICENS")</f>
        <v xml:space="preserve">          7784 - INV. SHRINKAGE-SOFTWARE LICENS</v>
      </c>
      <c r="C92" s="10"/>
      <c r="D92" s="6"/>
      <c r="E92" s="2"/>
      <c r="F92" s="7">
        <f t="shared" si="41"/>
        <v>0</v>
      </c>
      <c r="G92" s="2"/>
      <c r="H92" s="6">
        <v>1394</v>
      </c>
      <c r="I92" s="2"/>
      <c r="J92" s="7">
        <f t="shared" si="42"/>
        <v>3.1143117279483832E-3</v>
      </c>
      <c r="K92" s="2"/>
      <c r="L92" s="6">
        <f t="shared" si="43"/>
        <v>-1394</v>
      </c>
      <c r="M92" s="2"/>
      <c r="N92" s="7">
        <f t="shared" si="44"/>
        <v>-1</v>
      </c>
      <c r="O92" s="10"/>
      <c r="P92" s="6"/>
      <c r="Q92" s="2"/>
      <c r="R92" s="7">
        <f t="shared" si="45"/>
        <v>0</v>
      </c>
      <c r="S92" s="2"/>
      <c r="T92" s="6">
        <v>1394</v>
      </c>
      <c r="U92" s="2"/>
      <c r="V92" s="7">
        <f t="shared" si="46"/>
        <v>4.8317377484149234E-4</v>
      </c>
      <c r="W92" s="2"/>
      <c r="X92" s="6">
        <f t="shared" si="47"/>
        <v>-1394</v>
      </c>
      <c r="Y92" s="2"/>
      <c r="Z92" s="7">
        <f t="shared" si="48"/>
        <v>-1</v>
      </c>
    </row>
    <row r="93" spans="1:26" s="23" customFormat="1" hidden="1" outlineLevel="2" x14ac:dyDescent="0.25">
      <c r="A93" s="25"/>
      <c r="B93" s="10" t="str">
        <f>CONCATENATE("          ", "7785", " - ", "INV. SHRINKAGE-SOFTWARE")</f>
        <v xml:space="preserve">          7785 - INV. SHRINKAGE-SOFTWARE</v>
      </c>
      <c r="C93" s="10"/>
      <c r="D93" s="6"/>
      <c r="E93" s="2"/>
      <c r="F93" s="7">
        <f t="shared" si="41"/>
        <v>0</v>
      </c>
      <c r="G93" s="2"/>
      <c r="H93" s="6">
        <v>-3743</v>
      </c>
      <c r="I93" s="2"/>
      <c r="J93" s="7">
        <f t="shared" si="42"/>
        <v>-8.3621727386734568E-3</v>
      </c>
      <c r="K93" s="2"/>
      <c r="L93" s="6">
        <f t="shared" si="43"/>
        <v>3743</v>
      </c>
      <c r="M93" s="2"/>
      <c r="N93" s="7">
        <f t="shared" si="44"/>
        <v>-1</v>
      </c>
      <c r="O93" s="10"/>
      <c r="P93" s="6"/>
      <c r="Q93" s="2"/>
      <c r="R93" s="7">
        <f t="shared" si="45"/>
        <v>0</v>
      </c>
      <c r="S93" s="2"/>
      <c r="T93" s="6">
        <v>-3743</v>
      </c>
      <c r="U93" s="2"/>
      <c r="V93" s="7">
        <f t="shared" si="46"/>
        <v>-1.2973597125048105E-3</v>
      </c>
      <c r="W93" s="2"/>
      <c r="X93" s="6">
        <f t="shared" si="47"/>
        <v>3743</v>
      </c>
      <c r="Y93" s="2"/>
      <c r="Z93" s="7">
        <f t="shared" si="48"/>
        <v>-1</v>
      </c>
    </row>
    <row r="94" spans="1:26" s="23" customFormat="1" hidden="1" outlineLevel="2" x14ac:dyDescent="0.25">
      <c r="A94" s="25"/>
      <c r="B94" s="10" t="str">
        <f>CONCATENATE("          ", "7786", " - ", "INV. SHRINKAGE-COMPUTER SUPPLI")</f>
        <v xml:space="preserve">          7786 - INV. SHRINKAGE-COMPUTER SUPPLI</v>
      </c>
      <c r="C94" s="10"/>
      <c r="D94" s="6"/>
      <c r="E94" s="2"/>
      <c r="F94" s="7">
        <f t="shared" si="41"/>
        <v>0</v>
      </c>
      <c r="G94" s="2"/>
      <c r="H94" s="6">
        <v>5000</v>
      </c>
      <c r="I94" s="2"/>
      <c r="J94" s="7">
        <f t="shared" si="42"/>
        <v>1.1170415093071677E-2</v>
      </c>
      <c r="K94" s="2"/>
      <c r="L94" s="6">
        <f t="shared" si="43"/>
        <v>-5000</v>
      </c>
      <c r="M94" s="2"/>
      <c r="N94" s="7">
        <f t="shared" si="44"/>
        <v>-1</v>
      </c>
      <c r="O94" s="10"/>
      <c r="P94" s="6"/>
      <c r="Q94" s="2"/>
      <c r="R94" s="7">
        <f t="shared" si="45"/>
        <v>0</v>
      </c>
      <c r="S94" s="2"/>
      <c r="T94" s="6">
        <v>5000</v>
      </c>
      <c r="U94" s="2"/>
      <c r="V94" s="7">
        <f t="shared" si="46"/>
        <v>1.7330479728891403E-3</v>
      </c>
      <c r="W94" s="2"/>
      <c r="X94" s="6">
        <f t="shared" si="47"/>
        <v>-5000</v>
      </c>
      <c r="Y94" s="2"/>
      <c r="Z94" s="7">
        <f t="shared" si="48"/>
        <v>-1</v>
      </c>
    </row>
    <row r="95" spans="1:26" s="23" customFormat="1" hidden="1" outlineLevel="2" x14ac:dyDescent="0.25">
      <c r="A95" s="25"/>
      <c r="B95" s="10" t="str">
        <f>CONCATENATE("          ", "7788", " - ", "INV. SHRINKAGE-MUSIC")</f>
        <v xml:space="preserve">          7788 - INV. SHRINKAGE-MUSIC</v>
      </c>
      <c r="C95" s="10"/>
      <c r="D95" s="6"/>
      <c r="E95" s="2"/>
      <c r="F95" s="7">
        <f t="shared" si="41"/>
        <v>0</v>
      </c>
      <c r="G95" s="2"/>
      <c r="H95" s="6">
        <v>152</v>
      </c>
      <c r="I95" s="2"/>
      <c r="J95" s="7">
        <f t="shared" si="42"/>
        <v>3.3958061882937899E-4</v>
      </c>
      <c r="K95" s="2"/>
      <c r="L95" s="6">
        <f t="shared" si="43"/>
        <v>-152</v>
      </c>
      <c r="M95" s="2"/>
      <c r="N95" s="7">
        <f t="shared" si="44"/>
        <v>-1</v>
      </c>
      <c r="O95" s="10"/>
      <c r="P95" s="6"/>
      <c r="Q95" s="2"/>
      <c r="R95" s="7">
        <f t="shared" si="45"/>
        <v>0</v>
      </c>
      <c r="S95" s="2"/>
      <c r="T95" s="6">
        <v>152</v>
      </c>
      <c r="U95" s="2"/>
      <c r="V95" s="7">
        <f t="shared" si="46"/>
        <v>5.2684658375829866E-5</v>
      </c>
      <c r="W95" s="2"/>
      <c r="X95" s="6">
        <f t="shared" si="47"/>
        <v>-152</v>
      </c>
      <c r="Y95" s="2"/>
      <c r="Z95" s="7">
        <f t="shared" si="48"/>
        <v>-1</v>
      </c>
    </row>
    <row r="96" spans="1:26" s="27" customFormat="1" outlineLevel="1" collapsed="1" x14ac:dyDescent="0.25">
      <c r="A96" s="26"/>
      <c r="B96" s="12" t="str">
        <f>CONCATENATE("     ","Repair and Maintenance                            ")</f>
        <v xml:space="preserve">     Repair and Maintenance                            </v>
      </c>
      <c r="C96" s="12"/>
      <c r="D96" s="1">
        <f>SUM(OSRRefD22_8x_0)</f>
        <v>-190</v>
      </c>
      <c r="E96" s="1"/>
      <c r="F96" s="5">
        <f t="shared" ref="F96:F98" si="49">IF(D$12=0,0,D96/D$12)</f>
        <v>-2.9374519088876624E-3</v>
      </c>
      <c r="G96" s="1"/>
      <c r="H96" s="1">
        <f>SUM(OSRRefH22_8x_0)</f>
        <v>0</v>
      </c>
      <c r="I96" s="1"/>
      <c r="J96" s="5">
        <f t="shared" ref="J96:J98" si="50">IF(H$12=0,0,H96/H$12)</f>
        <v>0</v>
      </c>
      <c r="K96" s="1"/>
      <c r="L96" s="1">
        <f t="shared" ref="L96:L98" si="51">+D96-H96</f>
        <v>-190</v>
      </c>
      <c r="M96" s="1"/>
      <c r="N96" s="5">
        <f t="shared" ref="N96:N98" si="52">IF(H96=0,0,L96/H96)</f>
        <v>0</v>
      </c>
      <c r="O96" s="12"/>
      <c r="P96" s="1">
        <f>SUM(OSRRefP22_8x_0)</f>
        <v>1360</v>
      </c>
      <c r="Q96" s="1"/>
      <c r="R96" s="5">
        <f t="shared" ref="R96:R98" si="53">IF(P$12=0,0,P96/P$12)</f>
        <v>5.1568939286185237E-4</v>
      </c>
      <c r="S96" s="1"/>
      <c r="T96" s="1">
        <f>SUM(OSRRefT22_8x_0)</f>
        <v>197.18</v>
      </c>
      <c r="U96" s="1"/>
      <c r="V96" s="5">
        <f t="shared" ref="V96:V98" si="54">IF(T$12=0,0,T96/T$12)</f>
        <v>6.8344479858856137E-5</v>
      </c>
      <c r="W96" s="1"/>
      <c r="X96" s="1">
        <f t="shared" ref="X96:X98" si="55">+P96-T96</f>
        <v>1162.82</v>
      </c>
      <c r="Y96" s="1"/>
      <c r="Z96" s="5">
        <f t="shared" ref="Z96:Z98" si="56">IF(T96=0,0,X96/T96)</f>
        <v>5.8972512425195251</v>
      </c>
    </row>
    <row r="97" spans="1:26" s="23" customFormat="1" hidden="1" outlineLevel="2" x14ac:dyDescent="0.25">
      <c r="A97" s="25"/>
      <c r="B97" s="10" t="str">
        <f>CONCATENATE("          ", "6371", " - ", "COMPUTER SOFTWARE MAINTENANCE")</f>
        <v xml:space="preserve">          6371 - COMPUTER SOFTWARE MAINTENANCE</v>
      </c>
      <c r="C97" s="10"/>
      <c r="D97" s="6"/>
      <c r="E97" s="2"/>
      <c r="F97" s="7">
        <f t="shared" si="49"/>
        <v>0</v>
      </c>
      <c r="G97" s="2"/>
      <c r="H97" s="6"/>
      <c r="I97" s="2"/>
      <c r="J97" s="7">
        <f t="shared" si="50"/>
        <v>0</v>
      </c>
      <c r="K97" s="2"/>
      <c r="L97" s="6">
        <f t="shared" si="51"/>
        <v>0</v>
      </c>
      <c r="M97" s="2"/>
      <c r="N97" s="7">
        <f t="shared" si="52"/>
        <v>0</v>
      </c>
      <c r="O97" s="10"/>
      <c r="P97" s="6">
        <v>1550</v>
      </c>
      <c r="Q97" s="2"/>
      <c r="R97" s="7">
        <f t="shared" si="53"/>
        <v>5.8773423451167009E-4</v>
      </c>
      <c r="S97" s="2"/>
      <c r="T97" s="6"/>
      <c r="U97" s="2"/>
      <c r="V97" s="7">
        <f t="shared" si="54"/>
        <v>0</v>
      </c>
      <c r="W97" s="2"/>
      <c r="X97" s="6">
        <f t="shared" si="55"/>
        <v>1550</v>
      </c>
      <c r="Y97" s="2"/>
      <c r="Z97" s="7">
        <f t="shared" si="56"/>
        <v>0</v>
      </c>
    </row>
    <row r="98" spans="1:26" s="23" customFormat="1" hidden="1" outlineLevel="2" x14ac:dyDescent="0.25">
      <c r="A98" s="25"/>
      <c r="B98" s="10" t="str">
        <f>CONCATENATE("          ", "6375", " - ", "OUTSIDE REPAIRS &amp; MAINTENANCE")</f>
        <v xml:space="preserve">          6375 - OUTSIDE REPAIRS &amp; MAINTENANCE</v>
      </c>
      <c r="C98" s="10"/>
      <c r="D98" s="6">
        <v>-190</v>
      </c>
      <c r="E98" s="2"/>
      <c r="F98" s="7">
        <f t="shared" si="49"/>
        <v>-2.9374519088876624E-3</v>
      </c>
      <c r="G98" s="2"/>
      <c r="H98" s="6"/>
      <c r="I98" s="2"/>
      <c r="J98" s="7">
        <f t="shared" si="50"/>
        <v>0</v>
      </c>
      <c r="K98" s="2"/>
      <c r="L98" s="6">
        <f t="shared" si="51"/>
        <v>-190</v>
      </c>
      <c r="M98" s="2"/>
      <c r="N98" s="7">
        <f t="shared" si="52"/>
        <v>0</v>
      </c>
      <c r="O98" s="10"/>
      <c r="P98" s="6">
        <v>-190</v>
      </c>
      <c r="Q98" s="2"/>
      <c r="R98" s="7">
        <f t="shared" si="53"/>
        <v>-7.204484164981762E-5</v>
      </c>
      <c r="S98" s="2"/>
      <c r="T98" s="6">
        <v>197.18</v>
      </c>
      <c r="U98" s="2"/>
      <c r="V98" s="7">
        <f t="shared" si="54"/>
        <v>6.8344479858856137E-5</v>
      </c>
      <c r="W98" s="2"/>
      <c r="X98" s="6">
        <f t="shared" si="55"/>
        <v>-387.18</v>
      </c>
      <c r="Y98" s="2"/>
      <c r="Z98" s="7">
        <f t="shared" si="56"/>
        <v>-1.9635865706461102</v>
      </c>
    </row>
    <row r="99" spans="1:26" s="27" customFormat="1" outlineLevel="1" collapsed="1" x14ac:dyDescent="0.25">
      <c r="A99" s="26"/>
      <c r="B99" s="12" t="str">
        <f>CONCATENATE("     ","Subscriptions &amp; Dues                              ")</f>
        <v xml:space="preserve">     Subscriptions &amp; Dues                              </v>
      </c>
      <c r="C99" s="12"/>
      <c r="D99" s="1">
        <f>SUM(OSRRefD22_9x_0)</f>
        <v>0</v>
      </c>
      <c r="E99" s="1"/>
      <c r="F99" s="5">
        <f t="shared" ref="F99:F101" si="57">IF(D$12=0,0,D99/D$12)</f>
        <v>0</v>
      </c>
      <c r="G99" s="1"/>
      <c r="H99" s="1">
        <f>SUM(OSRRefH22_9x_0)</f>
        <v>0</v>
      </c>
      <c r="I99" s="1"/>
      <c r="J99" s="5">
        <f t="shared" ref="J99:J101" si="58">IF(H$12=0,0,H99/H$12)</f>
        <v>0</v>
      </c>
      <c r="K99" s="1"/>
      <c r="L99" s="1">
        <f t="shared" ref="L99:L101" si="59">+D99-H99</f>
        <v>0</v>
      </c>
      <c r="M99" s="1"/>
      <c r="N99" s="5">
        <f t="shared" ref="N99:N101" si="60">IF(H99=0,0,L99/H99)</f>
        <v>0</v>
      </c>
      <c r="O99" s="12"/>
      <c r="P99" s="1">
        <f>SUM(OSRRefP22_9x_0)</f>
        <v>142.22</v>
      </c>
      <c r="Q99" s="1"/>
      <c r="R99" s="5">
        <f t="shared" ref="R99:R101" si="61">IF(P$12=0,0,P99/P$12)</f>
        <v>5.392745989177401E-5</v>
      </c>
      <c r="S99" s="1"/>
      <c r="T99" s="1">
        <f>SUM(OSRRefT22_9x_0)</f>
        <v>-4886.5</v>
      </c>
      <c r="U99" s="1"/>
      <c r="V99" s="5">
        <f t="shared" ref="V99:V101" si="62">IF(T$12=0,0,T99/T$12)</f>
        <v>-1.693707783904557E-3</v>
      </c>
      <c r="W99" s="1"/>
      <c r="X99" s="1">
        <f t="shared" ref="X99:X101" si="63">+P99-T99</f>
        <v>5028.72</v>
      </c>
      <c r="Y99" s="1"/>
      <c r="Z99" s="5">
        <f t="shared" ref="Z99:Z101" si="64">IF(T99=0,0,X99/T99)</f>
        <v>-1.0291046761485727</v>
      </c>
    </row>
    <row r="100" spans="1:26" s="23" customFormat="1" hidden="1" outlineLevel="2" x14ac:dyDescent="0.25">
      <c r="A100" s="25"/>
      <c r="B100" s="10" t="str">
        <f>CONCATENATE("          ", "6258", " - ", "MEMBERSHIP DUES")</f>
        <v xml:space="preserve">          6258 - MEMBERSHIP DUES</v>
      </c>
      <c r="C100" s="10"/>
      <c r="D100" s="6"/>
      <c r="E100" s="2"/>
      <c r="F100" s="7">
        <f t="shared" si="57"/>
        <v>0</v>
      </c>
      <c r="G100" s="2"/>
      <c r="H100" s="6"/>
      <c r="I100" s="2"/>
      <c r="J100" s="7">
        <f t="shared" si="58"/>
        <v>0</v>
      </c>
      <c r="K100" s="2"/>
      <c r="L100" s="6">
        <f t="shared" si="59"/>
        <v>0</v>
      </c>
      <c r="M100" s="2"/>
      <c r="N100" s="7">
        <f t="shared" si="60"/>
        <v>0</v>
      </c>
      <c r="O100" s="10"/>
      <c r="P100" s="6"/>
      <c r="Q100" s="2"/>
      <c r="R100" s="7">
        <f t="shared" si="61"/>
        <v>0</v>
      </c>
      <c r="S100" s="2"/>
      <c r="T100" s="6">
        <v>-4886.5</v>
      </c>
      <c r="U100" s="2"/>
      <c r="V100" s="7">
        <f t="shared" si="62"/>
        <v>-1.693707783904557E-3</v>
      </c>
      <c r="W100" s="2"/>
      <c r="X100" s="6">
        <f t="shared" si="63"/>
        <v>4886.5</v>
      </c>
      <c r="Y100" s="2"/>
      <c r="Z100" s="7">
        <f t="shared" si="64"/>
        <v>-1</v>
      </c>
    </row>
    <row r="101" spans="1:26" s="23" customFormat="1" hidden="1" outlineLevel="2" x14ac:dyDescent="0.25">
      <c r="A101" s="25"/>
      <c r="B101" s="10" t="str">
        <f>CONCATENATE("          ", "6275", " - ", "SUBSCRIPTIONS")</f>
        <v xml:space="preserve">          6275 - SUBSCRIPTIONS</v>
      </c>
      <c r="C101" s="10"/>
      <c r="D101" s="6"/>
      <c r="E101" s="2"/>
      <c r="F101" s="7">
        <f t="shared" si="57"/>
        <v>0</v>
      </c>
      <c r="G101" s="2"/>
      <c r="H101" s="6"/>
      <c r="I101" s="2"/>
      <c r="J101" s="7">
        <f t="shared" si="58"/>
        <v>0</v>
      </c>
      <c r="K101" s="2"/>
      <c r="L101" s="6">
        <f t="shared" si="59"/>
        <v>0</v>
      </c>
      <c r="M101" s="2"/>
      <c r="N101" s="7">
        <f t="shared" si="60"/>
        <v>0</v>
      </c>
      <c r="O101" s="10"/>
      <c r="P101" s="6">
        <v>142.22</v>
      </c>
      <c r="Q101" s="2"/>
      <c r="R101" s="7">
        <f t="shared" si="61"/>
        <v>5.392745989177401E-5</v>
      </c>
      <c r="S101" s="2"/>
      <c r="T101" s="6"/>
      <c r="U101" s="2"/>
      <c r="V101" s="7">
        <f t="shared" si="62"/>
        <v>0</v>
      </c>
      <c r="W101" s="2"/>
      <c r="X101" s="6">
        <f t="shared" si="63"/>
        <v>142.22</v>
      </c>
      <c r="Y101" s="2"/>
      <c r="Z101" s="7">
        <f t="shared" si="64"/>
        <v>0</v>
      </c>
    </row>
    <row r="102" spans="1:26" s="27" customFormat="1" outlineLevel="1" collapsed="1" x14ac:dyDescent="0.25">
      <c r="A102" s="26"/>
      <c r="B102" s="12" t="str">
        <f>CONCATENATE("     ","Supplies                                          ")</f>
        <v xml:space="preserve">     Supplies                                          </v>
      </c>
      <c r="C102" s="12"/>
      <c r="D102" s="1">
        <f>SUM(OSRRefD22_10x_0)</f>
        <v>1644.01</v>
      </c>
      <c r="E102" s="1"/>
      <c r="F102" s="5">
        <f t="shared" ref="F102:F107" si="65">IF(D$12=0,0,D102/D$12)</f>
        <v>2.5416843751212663E-2</v>
      </c>
      <c r="G102" s="1"/>
      <c r="H102" s="1">
        <f>SUM(OSRRefH22_10x_0)</f>
        <v>65.59</v>
      </c>
      <c r="I102" s="1"/>
      <c r="J102" s="5">
        <f t="shared" ref="J102:J107" si="66">IF(H$12=0,0,H102/H$12)</f>
        <v>1.4653350519091426E-4</v>
      </c>
      <c r="K102" s="1"/>
      <c r="L102" s="1">
        <f t="shared" ref="L102:L107" si="67">+D102-H102</f>
        <v>1578.42</v>
      </c>
      <c r="M102" s="1"/>
      <c r="N102" s="5">
        <f t="shared" ref="N102:N107" si="68">IF(H102=0,0,L102/H102)</f>
        <v>24.064948925141028</v>
      </c>
      <c r="O102" s="12"/>
      <c r="P102" s="1">
        <f>SUM(OSRRefP22_10x_0)</f>
        <v>5676.33</v>
      </c>
      <c r="Q102" s="1"/>
      <c r="R102" s="5">
        <f t="shared" ref="R102:R107" si="69">IF(P$12=0,0,P102/P$12)</f>
        <v>2.1523699789584697E-3</v>
      </c>
      <c r="S102" s="1"/>
      <c r="T102" s="1">
        <f>SUM(OSRRefT22_10x_0)</f>
        <v>3260.11</v>
      </c>
      <c r="U102" s="1"/>
      <c r="V102" s="5">
        <f t="shared" ref="V102:V107" si="70">IF(T$12=0,0,T102/T$12)</f>
        <v>1.1299854053791231E-3</v>
      </c>
      <c r="W102" s="1"/>
      <c r="X102" s="1">
        <f t="shared" ref="X102:X107" si="71">+P102-T102</f>
        <v>2416.2199999999998</v>
      </c>
      <c r="Y102" s="1"/>
      <c r="Z102" s="5">
        <f t="shared" ref="Z102:Z107" si="72">IF(T102=0,0,X102/T102)</f>
        <v>0.74114677112121974</v>
      </c>
    </row>
    <row r="103" spans="1:26" s="23" customFormat="1" hidden="1" outlineLevel="2" x14ac:dyDescent="0.25">
      <c r="A103" s="25"/>
      <c r="B103" s="10" t="str">
        <f>CONCATENATE("          ", "6234", " - ", "EXPENDABLE SUPPLIES &amp; EQUIPMEN")</f>
        <v xml:space="preserve">          6234 - EXPENDABLE SUPPLIES &amp; EQUIPMEN</v>
      </c>
      <c r="C103" s="10"/>
      <c r="D103" s="6"/>
      <c r="E103" s="2"/>
      <c r="F103" s="7">
        <f t="shared" si="65"/>
        <v>0</v>
      </c>
      <c r="G103" s="2"/>
      <c r="H103" s="6"/>
      <c r="I103" s="2"/>
      <c r="J103" s="7">
        <f t="shared" si="66"/>
        <v>0</v>
      </c>
      <c r="K103" s="2"/>
      <c r="L103" s="6">
        <f t="shared" si="67"/>
        <v>0</v>
      </c>
      <c r="M103" s="2"/>
      <c r="N103" s="7">
        <f t="shared" si="68"/>
        <v>0</v>
      </c>
      <c r="O103" s="10"/>
      <c r="P103" s="6">
        <v>1733.49</v>
      </c>
      <c r="Q103" s="2"/>
      <c r="R103" s="7">
        <f t="shared" si="69"/>
        <v>6.573105923765387E-4</v>
      </c>
      <c r="S103" s="2"/>
      <c r="T103" s="6"/>
      <c r="U103" s="2"/>
      <c r="V103" s="7">
        <f t="shared" si="70"/>
        <v>0</v>
      </c>
      <c r="W103" s="2"/>
      <c r="X103" s="6">
        <f t="shared" si="71"/>
        <v>1733.49</v>
      </c>
      <c r="Y103" s="2"/>
      <c r="Z103" s="7">
        <f t="shared" si="72"/>
        <v>0</v>
      </c>
    </row>
    <row r="104" spans="1:26" s="23" customFormat="1" hidden="1" outlineLevel="2" x14ac:dyDescent="0.25">
      <c r="A104" s="25"/>
      <c r="B104" s="10" t="str">
        <f>CONCATENATE("          ", "6235", " - ", "COVID-19 EXPENSES")</f>
        <v xml:space="preserve">          6235 - COVID-19 EXPENSES</v>
      </c>
      <c r="C104" s="10"/>
      <c r="D104" s="6"/>
      <c r="E104" s="2"/>
      <c r="F104" s="7">
        <f t="shared" si="65"/>
        <v>0</v>
      </c>
      <c r="G104" s="2"/>
      <c r="H104" s="6"/>
      <c r="I104" s="2"/>
      <c r="J104" s="7">
        <f t="shared" si="66"/>
        <v>0</v>
      </c>
      <c r="K104" s="2"/>
      <c r="L104" s="6">
        <f t="shared" si="67"/>
        <v>0</v>
      </c>
      <c r="M104" s="2"/>
      <c r="N104" s="7">
        <f t="shared" si="68"/>
        <v>0</v>
      </c>
      <c r="O104" s="10"/>
      <c r="P104" s="6">
        <v>668.12</v>
      </c>
      <c r="Q104" s="2"/>
      <c r="R104" s="7">
        <f t="shared" si="69"/>
        <v>2.5333999791092706E-4</v>
      </c>
      <c r="S104" s="2"/>
      <c r="T104" s="6"/>
      <c r="U104" s="2"/>
      <c r="V104" s="7">
        <f t="shared" si="70"/>
        <v>0</v>
      </c>
      <c r="W104" s="2"/>
      <c r="X104" s="6">
        <f t="shared" si="71"/>
        <v>668.12</v>
      </c>
      <c r="Y104" s="2"/>
      <c r="Z104" s="7">
        <f t="shared" si="72"/>
        <v>0</v>
      </c>
    </row>
    <row r="105" spans="1:26" s="23" customFormat="1" hidden="1" outlineLevel="2" x14ac:dyDescent="0.25">
      <c r="A105" s="25"/>
      <c r="B105" s="10" t="str">
        <f>CONCATENATE("          ", "6241", " - ", "OFFICE EXPENSE")</f>
        <v xml:space="preserve">          6241 - OFFICE EXPENSE</v>
      </c>
      <c r="C105" s="10"/>
      <c r="D105" s="6">
        <v>122.01</v>
      </c>
      <c r="E105" s="2"/>
      <c r="F105" s="7">
        <f t="shared" si="65"/>
        <v>1.8863079337020196E-3</v>
      </c>
      <c r="G105" s="2"/>
      <c r="H105" s="6">
        <v>65.59</v>
      </c>
      <c r="I105" s="2"/>
      <c r="J105" s="7">
        <f t="shared" si="66"/>
        <v>1.4653350519091426E-4</v>
      </c>
      <c r="K105" s="2"/>
      <c r="L105" s="6">
        <f t="shared" si="67"/>
        <v>56.42</v>
      </c>
      <c r="M105" s="2"/>
      <c r="N105" s="7">
        <f t="shared" si="68"/>
        <v>0.8601921024546425</v>
      </c>
      <c r="O105" s="10"/>
      <c r="P105" s="6">
        <v>1752.72</v>
      </c>
      <c r="Q105" s="2"/>
      <c r="R105" s="7">
        <f t="shared" si="69"/>
        <v>6.6460228871825441E-4</v>
      </c>
      <c r="S105" s="2"/>
      <c r="T105" s="6">
        <v>1250.73</v>
      </c>
      <c r="U105" s="2"/>
      <c r="V105" s="7">
        <f t="shared" si="70"/>
        <v>4.335150182263269E-4</v>
      </c>
      <c r="W105" s="2"/>
      <c r="X105" s="6">
        <f t="shared" si="71"/>
        <v>501.99</v>
      </c>
      <c r="Y105" s="2"/>
      <c r="Z105" s="7">
        <f t="shared" si="72"/>
        <v>0.40135760715742008</v>
      </c>
    </row>
    <row r="106" spans="1:26" s="23" customFormat="1" hidden="1" outlineLevel="2" x14ac:dyDescent="0.25">
      <c r="A106" s="25"/>
      <c r="B106" s="10" t="str">
        <f>CONCATENATE("          ", "6245", " - ", "PRINTING")</f>
        <v xml:space="preserve">          6245 - PRINTING</v>
      </c>
      <c r="C106" s="10"/>
      <c r="D106" s="6"/>
      <c r="E106" s="2"/>
      <c r="F106" s="7">
        <f t="shared" si="65"/>
        <v>0</v>
      </c>
      <c r="G106" s="2"/>
      <c r="H106" s="6"/>
      <c r="I106" s="2"/>
      <c r="J106" s="7">
        <f t="shared" si="66"/>
        <v>0</v>
      </c>
      <c r="K106" s="2"/>
      <c r="L106" s="6">
        <f t="shared" si="67"/>
        <v>0</v>
      </c>
      <c r="M106" s="2"/>
      <c r="N106" s="7">
        <f t="shared" si="68"/>
        <v>0</v>
      </c>
      <c r="O106" s="10"/>
      <c r="P106" s="6"/>
      <c r="Q106" s="2"/>
      <c r="R106" s="7">
        <f t="shared" si="69"/>
        <v>0</v>
      </c>
      <c r="S106" s="2"/>
      <c r="T106" s="6">
        <v>0</v>
      </c>
      <c r="U106" s="2"/>
      <c r="V106" s="7">
        <f t="shared" si="70"/>
        <v>0</v>
      </c>
      <c r="W106" s="2"/>
      <c r="X106" s="6">
        <f t="shared" si="71"/>
        <v>0</v>
      </c>
      <c r="Y106" s="2"/>
      <c r="Z106" s="7">
        <f t="shared" si="72"/>
        <v>0</v>
      </c>
    </row>
    <row r="107" spans="1:26" s="23" customFormat="1" hidden="1" outlineLevel="2" x14ac:dyDescent="0.25">
      <c r="A107" s="25"/>
      <c r="B107" s="10" t="str">
        <f>CONCATENATE("          ", "6247", " - ", "STORE SUPPLIES")</f>
        <v xml:space="preserve">          6247 - STORE SUPPLIES</v>
      </c>
      <c r="C107" s="10"/>
      <c r="D107" s="6">
        <v>1522</v>
      </c>
      <c r="E107" s="2"/>
      <c r="F107" s="7">
        <f t="shared" si="65"/>
        <v>2.3530535817510644E-2</v>
      </c>
      <c r="G107" s="2"/>
      <c r="H107" s="6"/>
      <c r="I107" s="2"/>
      <c r="J107" s="7">
        <f t="shared" si="66"/>
        <v>0</v>
      </c>
      <c r="K107" s="2"/>
      <c r="L107" s="6">
        <f t="shared" si="67"/>
        <v>1522</v>
      </c>
      <c r="M107" s="2"/>
      <c r="N107" s="7">
        <f t="shared" si="68"/>
        <v>0</v>
      </c>
      <c r="O107" s="10"/>
      <c r="P107" s="6">
        <v>1522</v>
      </c>
      <c r="Q107" s="2"/>
      <c r="R107" s="7">
        <f t="shared" si="69"/>
        <v>5.7711709995274957E-4</v>
      </c>
      <c r="S107" s="2"/>
      <c r="T107" s="6">
        <v>2009.38</v>
      </c>
      <c r="U107" s="2"/>
      <c r="V107" s="7">
        <f t="shared" si="70"/>
        <v>6.9647038715279618E-4</v>
      </c>
      <c r="W107" s="2"/>
      <c r="X107" s="6">
        <f t="shared" si="71"/>
        <v>-487.38000000000011</v>
      </c>
      <c r="Y107" s="2"/>
      <c r="Z107" s="7">
        <f t="shared" si="72"/>
        <v>-0.24255242910748592</v>
      </c>
    </row>
    <row r="108" spans="1:26" s="27" customFormat="1" outlineLevel="1" collapsed="1" x14ac:dyDescent="0.25">
      <c r="A108" s="26"/>
      <c r="B108" s="12" t="str">
        <f>CONCATENATE("     ","Telephone/Data Lines                              ")</f>
        <v xml:space="preserve">     Telephone/Data Lines                              </v>
      </c>
      <c r="C108" s="12"/>
      <c r="D108" s="1">
        <f>SUM(OSRRefD22_11x_0)</f>
        <v>415.7</v>
      </c>
      <c r="E108" s="1"/>
      <c r="F108" s="5">
        <f t="shared" ref="F108:F113" si="73">IF(D$12=0,0,D108/D$12)</f>
        <v>6.4268355711821117E-3</v>
      </c>
      <c r="G108" s="1"/>
      <c r="H108" s="1">
        <f>SUM(OSRRefH22_11x_0)</f>
        <v>207.15</v>
      </c>
      <c r="I108" s="1"/>
      <c r="J108" s="5">
        <f t="shared" ref="J108:J113" si="74">IF(H$12=0,0,H108/H$12)</f>
        <v>4.6279029730595956E-4</v>
      </c>
      <c r="K108" s="1"/>
      <c r="L108" s="1">
        <f t="shared" ref="L108:L113" si="75">+D108-H108</f>
        <v>208.54999999999998</v>
      </c>
      <c r="M108" s="1"/>
      <c r="N108" s="5">
        <f t="shared" ref="N108:N113" si="76">IF(H108=0,0,L108/H108)</f>
        <v>1.0067583876418054</v>
      </c>
      <c r="O108" s="12"/>
      <c r="P108" s="1">
        <f>SUM(OSRRefP22_11x_0)</f>
        <v>3676.45</v>
      </c>
      <c r="Q108" s="1"/>
      <c r="R108" s="5">
        <f t="shared" ref="R108:R113" si="77">IF(P$12=0,0,P108/P$12)</f>
        <v>1.3940487267551157E-3</v>
      </c>
      <c r="S108" s="1"/>
      <c r="T108" s="1">
        <f>SUM(OSRRefT22_11x_0)</f>
        <v>2932.35</v>
      </c>
      <c r="U108" s="1"/>
      <c r="V108" s="5">
        <f t="shared" ref="V108:V113" si="78">IF(T$12=0,0,T108/T$12)</f>
        <v>1.0163806446602942E-3</v>
      </c>
      <c r="W108" s="1"/>
      <c r="X108" s="1">
        <f t="shared" ref="X108:X113" si="79">+P108-T108</f>
        <v>744.09999999999991</v>
      </c>
      <c r="Y108" s="1"/>
      <c r="Z108" s="5">
        <f t="shared" ref="Z108:Z113" si="80">IF(T108=0,0,X108/T108)</f>
        <v>0.2537555203164697</v>
      </c>
    </row>
    <row r="109" spans="1:26" s="23" customFormat="1" hidden="1" outlineLevel="2" x14ac:dyDescent="0.25">
      <c r="A109" s="25"/>
      <c r="B109" s="10" t="str">
        <f>CONCATENATE("          ", "6309", " - ", "TELEPHONE")</f>
        <v xml:space="preserve">          6309 - TELEPHONE</v>
      </c>
      <c r="C109" s="10"/>
      <c r="D109" s="6">
        <v>415.7</v>
      </c>
      <c r="E109" s="2"/>
      <c r="F109" s="7">
        <f t="shared" si="73"/>
        <v>6.4268355711821117E-3</v>
      </c>
      <c r="G109" s="2"/>
      <c r="H109" s="6">
        <v>207.15</v>
      </c>
      <c r="I109" s="2"/>
      <c r="J109" s="7">
        <f t="shared" si="74"/>
        <v>4.6279029730595956E-4</v>
      </c>
      <c r="K109" s="2"/>
      <c r="L109" s="6">
        <f t="shared" si="75"/>
        <v>208.54999999999998</v>
      </c>
      <c r="M109" s="2"/>
      <c r="N109" s="7">
        <f t="shared" si="76"/>
        <v>1.0067583876418054</v>
      </c>
      <c r="O109" s="10"/>
      <c r="P109" s="6">
        <v>3676.45</v>
      </c>
      <c r="Q109" s="2"/>
      <c r="R109" s="7">
        <f t="shared" si="77"/>
        <v>1.3940487267551157E-3</v>
      </c>
      <c r="S109" s="2"/>
      <c r="T109" s="6">
        <v>2932.35</v>
      </c>
      <c r="U109" s="2"/>
      <c r="V109" s="7">
        <f t="shared" si="78"/>
        <v>1.0163806446602942E-3</v>
      </c>
      <c r="W109" s="2"/>
      <c r="X109" s="6">
        <f t="shared" si="79"/>
        <v>744.09999999999991</v>
      </c>
      <c r="Y109" s="2"/>
      <c r="Z109" s="7">
        <f t="shared" si="80"/>
        <v>0.2537555203164697</v>
      </c>
    </row>
    <row r="110" spans="1:26" s="27" customFormat="1" outlineLevel="1" collapsed="1" x14ac:dyDescent="0.25">
      <c r="A110" s="26"/>
      <c r="B110" s="12" t="str">
        <f>CONCATENATE("     ","Training                                          ")</f>
        <v xml:space="preserve">     Training                                          </v>
      </c>
      <c r="C110" s="12"/>
      <c r="D110" s="1">
        <f>SUM(OSRRefD22_12x_0)</f>
        <v>0</v>
      </c>
      <c r="E110" s="1"/>
      <c r="F110" s="5">
        <f t="shared" si="73"/>
        <v>0</v>
      </c>
      <c r="G110" s="1"/>
      <c r="H110" s="1">
        <f>SUM(OSRRefH22_12x_0)</f>
        <v>0</v>
      </c>
      <c r="I110" s="1"/>
      <c r="J110" s="5">
        <f t="shared" si="74"/>
        <v>0</v>
      </c>
      <c r="K110" s="1"/>
      <c r="L110" s="1">
        <f t="shared" si="75"/>
        <v>0</v>
      </c>
      <c r="M110" s="1"/>
      <c r="N110" s="5">
        <f t="shared" si="76"/>
        <v>0</v>
      </c>
      <c r="O110" s="12"/>
      <c r="P110" s="1">
        <f>SUM(OSRRefP22_12x_0)</f>
        <v>100</v>
      </c>
      <c r="Q110" s="1"/>
      <c r="R110" s="5">
        <f t="shared" si="77"/>
        <v>3.7918337710430325E-5</v>
      </c>
      <c r="S110" s="1"/>
      <c r="T110" s="1">
        <f>SUM(OSRRefT22_12x_0)</f>
        <v>1875.75</v>
      </c>
      <c r="U110" s="1"/>
      <c r="V110" s="5">
        <f t="shared" si="78"/>
        <v>6.5015294702936105E-4</v>
      </c>
      <c r="W110" s="1"/>
      <c r="X110" s="1">
        <f t="shared" si="79"/>
        <v>-1775.75</v>
      </c>
      <c r="Y110" s="1"/>
      <c r="Z110" s="5">
        <f t="shared" si="80"/>
        <v>-0.94668799147007865</v>
      </c>
    </row>
    <row r="111" spans="1:26" s="23" customFormat="1" hidden="1" outlineLevel="2" x14ac:dyDescent="0.25">
      <c r="A111" s="25"/>
      <c r="B111" s="10" t="str">
        <f>CONCATENATE("          ", "6376", " - ", "TRAINING")</f>
        <v xml:space="preserve">          6376 - TRAINING</v>
      </c>
      <c r="C111" s="10"/>
      <c r="D111" s="6"/>
      <c r="E111" s="2"/>
      <c r="F111" s="7">
        <f t="shared" si="73"/>
        <v>0</v>
      </c>
      <c r="G111" s="2"/>
      <c r="H111" s="6"/>
      <c r="I111" s="2"/>
      <c r="J111" s="7">
        <f t="shared" si="74"/>
        <v>0</v>
      </c>
      <c r="K111" s="2"/>
      <c r="L111" s="6">
        <f t="shared" si="75"/>
        <v>0</v>
      </c>
      <c r="M111" s="2"/>
      <c r="N111" s="7">
        <f t="shared" si="76"/>
        <v>0</v>
      </c>
      <c r="O111" s="10"/>
      <c r="P111" s="6">
        <v>100</v>
      </c>
      <c r="Q111" s="2"/>
      <c r="R111" s="7">
        <f t="shared" si="77"/>
        <v>3.7918337710430325E-5</v>
      </c>
      <c r="S111" s="2"/>
      <c r="T111" s="6">
        <v>1875.75</v>
      </c>
      <c r="U111" s="2"/>
      <c r="V111" s="7">
        <f t="shared" si="78"/>
        <v>6.5015294702936105E-4</v>
      </c>
      <c r="W111" s="2"/>
      <c r="X111" s="6">
        <f t="shared" si="79"/>
        <v>-1775.75</v>
      </c>
      <c r="Y111" s="2"/>
      <c r="Z111" s="7">
        <f t="shared" si="80"/>
        <v>-0.94668799147007865</v>
      </c>
    </row>
    <row r="112" spans="1:26" s="27" customFormat="1" outlineLevel="1" collapsed="1" x14ac:dyDescent="0.25">
      <c r="A112" s="26"/>
      <c r="B112" s="12" t="str">
        <f>CONCATENATE("     ","Travel                                            ")</f>
        <v xml:space="preserve">     Travel                                            </v>
      </c>
      <c r="C112" s="12"/>
      <c r="D112" s="1">
        <f>SUM(OSRRefD22_13x_0)</f>
        <v>0</v>
      </c>
      <c r="E112" s="1"/>
      <c r="F112" s="5">
        <f t="shared" si="73"/>
        <v>0</v>
      </c>
      <c r="G112" s="1"/>
      <c r="H112" s="1">
        <f>SUM(OSRRefH22_13x_0)</f>
        <v>0</v>
      </c>
      <c r="I112" s="1"/>
      <c r="J112" s="5">
        <f t="shared" si="74"/>
        <v>0</v>
      </c>
      <c r="K112" s="1"/>
      <c r="L112" s="1">
        <f t="shared" si="75"/>
        <v>0</v>
      </c>
      <c r="M112" s="1"/>
      <c r="N112" s="5">
        <f t="shared" si="76"/>
        <v>0</v>
      </c>
      <c r="O112" s="12"/>
      <c r="P112" s="1">
        <f>SUM(OSRRefP22_13x_0)</f>
        <v>0</v>
      </c>
      <c r="Q112" s="1"/>
      <c r="R112" s="5">
        <f t="shared" si="77"/>
        <v>0</v>
      </c>
      <c r="S112" s="1"/>
      <c r="T112" s="1">
        <f>SUM(OSRRefT22_13x_0)</f>
        <v>-178.06</v>
      </c>
      <c r="U112" s="1"/>
      <c r="V112" s="5">
        <f t="shared" si="78"/>
        <v>-6.1717304410528067E-5</v>
      </c>
      <c r="W112" s="1"/>
      <c r="X112" s="1">
        <f t="shared" si="79"/>
        <v>178.06</v>
      </c>
      <c r="Y112" s="1"/>
      <c r="Z112" s="5">
        <f t="shared" si="80"/>
        <v>-1</v>
      </c>
    </row>
    <row r="113" spans="1:26" s="23" customFormat="1" hidden="1" outlineLevel="2" x14ac:dyDescent="0.25">
      <c r="A113" s="25"/>
      <c r="B113" s="10" t="str">
        <f>CONCATENATE("          ", "6292", " - ", "TRAVEL/CONFERENCE")</f>
        <v xml:space="preserve">          6292 - TRAVEL/CONFERENCE</v>
      </c>
      <c r="C113" s="10"/>
      <c r="D113" s="6"/>
      <c r="E113" s="2"/>
      <c r="F113" s="7">
        <f t="shared" si="73"/>
        <v>0</v>
      </c>
      <c r="G113" s="2"/>
      <c r="H113" s="6"/>
      <c r="I113" s="2"/>
      <c r="J113" s="7">
        <f t="shared" si="74"/>
        <v>0</v>
      </c>
      <c r="K113" s="2"/>
      <c r="L113" s="6">
        <f t="shared" si="75"/>
        <v>0</v>
      </c>
      <c r="M113" s="2"/>
      <c r="N113" s="7">
        <f t="shared" si="76"/>
        <v>0</v>
      </c>
      <c r="O113" s="10"/>
      <c r="P113" s="6"/>
      <c r="Q113" s="2"/>
      <c r="R113" s="7">
        <f t="shared" si="77"/>
        <v>0</v>
      </c>
      <c r="S113" s="2"/>
      <c r="T113" s="6">
        <v>-178.06</v>
      </c>
      <c r="U113" s="2"/>
      <c r="V113" s="7">
        <f t="shared" si="78"/>
        <v>-6.1717304410528067E-5</v>
      </c>
      <c r="W113" s="2"/>
      <c r="X113" s="6">
        <f t="shared" si="79"/>
        <v>178.06</v>
      </c>
      <c r="Y113" s="2"/>
      <c r="Z113" s="7">
        <f t="shared" si="80"/>
        <v>-1</v>
      </c>
    </row>
    <row r="114" spans="1:26" s="52" customFormat="1" x14ac:dyDescent="0.25">
      <c r="A114" s="37"/>
      <c r="B114" s="37"/>
      <c r="C114" s="37"/>
      <c r="D114" s="1"/>
      <c r="E114" s="1"/>
      <c r="F114" s="5"/>
      <c r="G114" s="1"/>
      <c r="H114" s="1"/>
      <c r="I114" s="1"/>
      <c r="J114" s="5"/>
      <c r="K114" s="1"/>
      <c r="L114" s="1"/>
      <c r="M114" s="1"/>
      <c r="N114" s="5"/>
      <c r="O114" s="37"/>
      <c r="P114" s="1"/>
      <c r="Q114" s="1"/>
      <c r="R114" s="5"/>
      <c r="S114" s="1"/>
      <c r="T114" s="1"/>
      <c r="U114" s="1"/>
      <c r="V114" s="5"/>
      <c r="W114" s="1"/>
      <c r="X114" s="1"/>
      <c r="Y114" s="1"/>
      <c r="Z114" s="5"/>
    </row>
    <row r="115" spans="1:26" s="24" customFormat="1" collapsed="1" x14ac:dyDescent="0.25">
      <c r="A115" s="11"/>
      <c r="B115" s="29" t="s">
        <v>292</v>
      </c>
      <c r="C115" s="11"/>
      <c r="D115" s="4">
        <f>SUM(OSRRefD25x_0)</f>
        <v>-2.1800000000000068</v>
      </c>
      <c r="E115" s="4"/>
      <c r="F115" s="13">
        <f t="shared" ref="F115:F119" si="81">IF(D$12=0,0,D115/D$12)</f>
        <v>-3.3703395586184868E-5</v>
      </c>
      <c r="G115" s="4"/>
      <c r="H115" s="4">
        <f>SUM(OSRRefH25x_0)</f>
        <v>557.77</v>
      </c>
      <c r="I115" s="4"/>
      <c r="J115" s="13">
        <f t="shared" ref="J115:J119" si="82">IF(H$12=0,0,H115/H$12)</f>
        <v>1.2461044852925178E-3</v>
      </c>
      <c r="K115" s="4"/>
      <c r="L115" s="4">
        <f t="shared" ref="L115:L119" si="83">+D115-H115</f>
        <v>-559.95000000000005</v>
      </c>
      <c r="M115" s="4"/>
      <c r="N115" s="13">
        <f t="shared" ref="N115:N119" si="84">IF(H115=0,0,L115/H115)</f>
        <v>-1.0039084210337597</v>
      </c>
      <c r="O115" s="11"/>
      <c r="P115" s="4">
        <f>SUM(OSRRefP25x_0)</f>
        <v>4030.6</v>
      </c>
      <c r="Q115" s="4"/>
      <c r="R115" s="13">
        <f t="shared" ref="R115:R119" si="85">IF(P$12=0,0,P115/P$12)</f>
        <v>1.5283365197566047E-3</v>
      </c>
      <c r="S115" s="4"/>
      <c r="T115" s="4">
        <f>SUM(OSRRefT25x_0)</f>
        <v>13920.349999999999</v>
      </c>
      <c r="U115" s="4"/>
      <c r="V115" s="13">
        <f t="shared" ref="V115:V119" si="86">IF(T$12=0,0,T115/T$12)</f>
        <v>4.8249268698814683E-3</v>
      </c>
      <c r="W115" s="4"/>
      <c r="X115" s="4">
        <f t="shared" ref="X115:X119" si="87">+P115-T115</f>
        <v>-9889.7499999999982</v>
      </c>
      <c r="Y115" s="4"/>
      <c r="Z115" s="13">
        <f t="shared" ref="Z115:Z119" si="88">IF(T115=0,0,X115/T115)</f>
        <v>-0.71045268258341199</v>
      </c>
    </row>
    <row r="116" spans="1:26" s="23" customFormat="1" hidden="1" outlineLevel="1" x14ac:dyDescent="0.25">
      <c r="A116" s="44"/>
      <c r="B116" s="10" t="str">
        <f>CONCATENATE("          ", "4187", " - ", "NON-TAXABLE SALES-COMPUTER REP")</f>
        <v xml:space="preserve">          4187 - NON-TAXABLE SALES-COMPUTER REP</v>
      </c>
      <c r="C116" s="10"/>
      <c r="D116" s="2">
        <f>--189.31</f>
        <v>189.31</v>
      </c>
      <c r="E116" s="2"/>
      <c r="F116" s="19">
        <f t="shared" si="81"/>
        <v>2.9267843203764389E-3</v>
      </c>
      <c r="G116" s="2"/>
      <c r="H116" s="2">
        <f>--166.52</f>
        <v>166.52</v>
      </c>
      <c r="I116" s="2"/>
      <c r="J116" s="19">
        <f t="shared" si="82"/>
        <v>3.7201950425965917E-4</v>
      </c>
      <c r="K116" s="2"/>
      <c r="L116" s="2">
        <f t="shared" si="83"/>
        <v>22.789999999999992</v>
      </c>
      <c r="M116" s="2"/>
      <c r="N116" s="19">
        <f t="shared" si="84"/>
        <v>0.13686043718472249</v>
      </c>
      <c r="O116" s="10"/>
      <c r="P116" s="2">
        <f>--3769.75</f>
        <v>3769.75</v>
      </c>
      <c r="Q116" s="2"/>
      <c r="R116" s="19">
        <f t="shared" si="85"/>
        <v>1.4294265358389471E-3</v>
      </c>
      <c r="S116" s="2"/>
      <c r="T116" s="2">
        <f>--16449.71</f>
        <v>16449.71</v>
      </c>
      <c r="U116" s="2"/>
      <c r="V116" s="19">
        <f t="shared" si="86"/>
        <v>5.7016273140228441E-3</v>
      </c>
      <c r="W116" s="2"/>
      <c r="X116" s="2">
        <f t="shared" si="87"/>
        <v>-12679.96</v>
      </c>
      <c r="Y116" s="2"/>
      <c r="Z116" s="19">
        <f t="shared" si="88"/>
        <v>-0.77083182621456547</v>
      </c>
    </row>
    <row r="117" spans="1:26" s="23" customFormat="1" hidden="1" outlineLevel="1" x14ac:dyDescent="0.25">
      <c r="A117" s="44"/>
      <c r="B117" s="10" t="str">
        <f>CONCATENATE("          ", "4387", " - ", "SALES RETURN NON TAXABLE-COMPU")</f>
        <v xml:space="preserve">          4387 - SALES RETURN NON TAXABLE-COMPU</v>
      </c>
      <c r="C117" s="10"/>
      <c r="D117" s="2">
        <f t="shared" ref="D117:D118" si="89">0</f>
        <v>0</v>
      </c>
      <c r="E117" s="2"/>
      <c r="F117" s="19">
        <f t="shared" si="81"/>
        <v>0</v>
      </c>
      <c r="G117" s="2"/>
      <c r="H117" s="2">
        <f t="shared" ref="H117:H118" si="90">0</f>
        <v>0</v>
      </c>
      <c r="I117" s="2"/>
      <c r="J117" s="19">
        <f t="shared" si="82"/>
        <v>0</v>
      </c>
      <c r="K117" s="2"/>
      <c r="L117" s="2">
        <f t="shared" si="83"/>
        <v>0</v>
      </c>
      <c r="M117" s="2"/>
      <c r="N117" s="19">
        <f t="shared" si="84"/>
        <v>0</v>
      </c>
      <c r="O117" s="10"/>
      <c r="P117" s="2">
        <f t="shared" ref="P117:P118" si="91">0</f>
        <v>0</v>
      </c>
      <c r="Q117" s="2"/>
      <c r="R117" s="19">
        <f t="shared" si="85"/>
        <v>0</v>
      </c>
      <c r="S117" s="2"/>
      <c r="T117" s="2">
        <f>-7889</f>
        <v>-7889</v>
      </c>
      <c r="U117" s="2"/>
      <c r="V117" s="19">
        <f t="shared" si="86"/>
        <v>-2.7344030916244856E-3</v>
      </c>
      <c r="W117" s="2"/>
      <c r="X117" s="2">
        <f t="shared" si="87"/>
        <v>7889</v>
      </c>
      <c r="Y117" s="2"/>
      <c r="Z117" s="19">
        <f t="shared" si="88"/>
        <v>-1</v>
      </c>
    </row>
    <row r="118" spans="1:26" s="23" customFormat="1" hidden="1" outlineLevel="1" x14ac:dyDescent="0.25">
      <c r="A118" s="44"/>
      <c r="B118" s="10" t="str">
        <f>CONCATENATE("          ", "5087", " - ", "PURCHASES @ COST-COMPUTER REPA")</f>
        <v xml:space="preserve">          5087 - PURCHASES @ COST-COMPUTER REPA</v>
      </c>
      <c r="C118" s="10"/>
      <c r="D118" s="2">
        <f t="shared" si="89"/>
        <v>0</v>
      </c>
      <c r="E118" s="2"/>
      <c r="F118" s="19">
        <f t="shared" si="81"/>
        <v>0</v>
      </c>
      <c r="G118" s="2"/>
      <c r="H118" s="2">
        <f t="shared" si="90"/>
        <v>0</v>
      </c>
      <c r="I118" s="2"/>
      <c r="J118" s="19">
        <f t="shared" si="82"/>
        <v>0</v>
      </c>
      <c r="K118" s="2"/>
      <c r="L118" s="2">
        <f t="shared" si="83"/>
        <v>0</v>
      </c>
      <c r="M118" s="2"/>
      <c r="N118" s="19">
        <f t="shared" si="84"/>
        <v>0</v>
      </c>
      <c r="O118" s="10"/>
      <c r="P118" s="2">
        <f t="shared" si="91"/>
        <v>0</v>
      </c>
      <c r="Q118" s="2"/>
      <c r="R118" s="19">
        <f t="shared" si="85"/>
        <v>0</v>
      </c>
      <c r="S118" s="2"/>
      <c r="T118" s="2">
        <f>-72.06</f>
        <v>-72.06</v>
      </c>
      <c r="U118" s="2"/>
      <c r="V118" s="19">
        <f t="shared" si="86"/>
        <v>-2.4976687385278291E-5</v>
      </c>
      <c r="W118" s="2"/>
      <c r="X118" s="2">
        <f t="shared" si="87"/>
        <v>72.06</v>
      </c>
      <c r="Y118" s="2"/>
      <c r="Z118" s="19">
        <f t="shared" si="88"/>
        <v>-1</v>
      </c>
    </row>
    <row r="119" spans="1:26" s="23" customFormat="1" hidden="1" outlineLevel="1" x14ac:dyDescent="0.25">
      <c r="A119" s="44"/>
      <c r="B119" s="10" t="str">
        <f>CONCATENATE("          ", "9150", " - ", "MISC. INCOME")</f>
        <v xml:space="preserve">          9150 - MISC. INCOME</v>
      </c>
      <c r="C119" s="10"/>
      <c r="D119" s="2">
        <f>-191.49</f>
        <v>-191.49</v>
      </c>
      <c r="E119" s="2"/>
      <c r="F119" s="19">
        <f t="shared" si="81"/>
        <v>-2.9604877159626238E-3</v>
      </c>
      <c r="G119" s="2"/>
      <c r="H119" s="2">
        <f>--391.25</f>
        <v>391.25</v>
      </c>
      <c r="I119" s="2"/>
      <c r="J119" s="19">
        <f t="shared" si="82"/>
        <v>8.740849810328587E-4</v>
      </c>
      <c r="K119" s="2"/>
      <c r="L119" s="2">
        <f t="shared" si="83"/>
        <v>-582.74</v>
      </c>
      <c r="M119" s="2"/>
      <c r="N119" s="19">
        <f t="shared" si="84"/>
        <v>-1.4894313099041534</v>
      </c>
      <c r="O119" s="10"/>
      <c r="P119" s="2">
        <f>--260.85</f>
        <v>260.85000000000002</v>
      </c>
      <c r="Q119" s="2"/>
      <c r="R119" s="19">
        <f t="shared" si="85"/>
        <v>9.8909983917657511E-5</v>
      </c>
      <c r="S119" s="2"/>
      <c r="T119" s="2">
        <f>--5431.7</f>
        <v>5431.7</v>
      </c>
      <c r="U119" s="2"/>
      <c r="V119" s="19">
        <f t="shared" si="86"/>
        <v>1.8826793348683886E-3</v>
      </c>
      <c r="W119" s="2"/>
      <c r="X119" s="2">
        <f t="shared" si="87"/>
        <v>-5170.8499999999995</v>
      </c>
      <c r="Y119" s="2"/>
      <c r="Z119" s="19">
        <f t="shared" si="88"/>
        <v>-0.9519763609919546</v>
      </c>
    </row>
    <row r="120" spans="1:26" x14ac:dyDescent="0.25">
      <c r="A120" s="9"/>
      <c r="B120" s="11"/>
      <c r="C120" s="11"/>
      <c r="D120" s="3"/>
      <c r="E120" s="3"/>
      <c r="F120" s="8"/>
      <c r="G120" s="3"/>
      <c r="H120" s="3"/>
      <c r="I120" s="3"/>
      <c r="J120" s="8"/>
      <c r="K120" s="3"/>
      <c r="L120" s="3"/>
      <c r="M120" s="3"/>
      <c r="N120" s="8"/>
      <c r="O120" s="11"/>
      <c r="P120" s="3"/>
      <c r="Q120" s="3"/>
      <c r="R120" s="8"/>
      <c r="S120" s="3"/>
      <c r="T120" s="3"/>
      <c r="U120" s="3"/>
      <c r="V120" s="8"/>
      <c r="W120" s="3"/>
      <c r="X120" s="3"/>
      <c r="Y120" s="3"/>
      <c r="Z120" s="8"/>
    </row>
    <row r="121" spans="1:26" s="24" customFormat="1" x14ac:dyDescent="0.25">
      <c r="A121" s="11"/>
      <c r="B121" s="28" t="s">
        <v>276</v>
      </c>
      <c r="C121" s="28"/>
      <c r="D121" s="21">
        <f>+D57-D59+D115</f>
        <v>40385.139999999992</v>
      </c>
      <c r="E121" s="14"/>
      <c r="F121" s="22">
        <f>IF(D$12=0,0,D121/D$12)</f>
        <v>0.62436529780892358</v>
      </c>
      <c r="G121" s="14"/>
      <c r="H121" s="21">
        <f>+H57-H59+H115</f>
        <v>154690.10999999996</v>
      </c>
      <c r="I121" s="14"/>
      <c r="J121" s="22">
        <f>IF(H$12=0,0,H121/H$12)</f>
        <v>0.34559054789858346</v>
      </c>
      <c r="K121" s="15"/>
      <c r="L121" s="21">
        <f>+D121-H121</f>
        <v>-114304.96999999997</v>
      </c>
      <c r="M121" s="15"/>
      <c r="N121" s="22">
        <f>IF(H121=0,0,L121/H121)</f>
        <v>-0.73892875245870604</v>
      </c>
      <c r="O121" s="29"/>
      <c r="P121" s="21">
        <f>+P57-P59+P115</f>
        <v>175048.1599999996</v>
      </c>
      <c r="Q121" s="14"/>
      <c r="R121" s="22">
        <f>IF(P$12=0,0,P121/P$12)</f>
        <v>6.6375352464694254E-2</v>
      </c>
      <c r="S121" s="14"/>
      <c r="T121" s="21">
        <f>+T57-T59+T115</f>
        <v>273652.22000000026</v>
      </c>
      <c r="U121" s="14"/>
      <c r="V121" s="22">
        <f>IF(T$12=0,0,T121/T$12)</f>
        <v>9.4850485029522702E-2</v>
      </c>
      <c r="W121" s="15"/>
      <c r="X121" s="21">
        <f>+P121-T121</f>
        <v>-98604.060000000667</v>
      </c>
      <c r="Y121" s="15"/>
      <c r="Z121" s="22">
        <f>IF(T121=0,0,X121/T121)</f>
        <v>-0.36032618335784222</v>
      </c>
    </row>
    <row r="122" spans="1:26" x14ac:dyDescent="0.25">
      <c r="A122" s="9"/>
      <c r="B122" s="11"/>
      <c r="C122" s="9"/>
      <c r="D122" s="3"/>
      <c r="E122" s="3"/>
      <c r="F122" s="8"/>
      <c r="G122" s="3"/>
      <c r="H122" s="3"/>
      <c r="I122" s="3"/>
      <c r="J122" s="8"/>
      <c r="K122" s="3"/>
      <c r="L122" s="3"/>
      <c r="M122" s="3"/>
      <c r="N122" s="8"/>
      <c r="P122" s="3"/>
      <c r="Q122" s="3"/>
      <c r="R122" s="8"/>
      <c r="S122" s="3"/>
      <c r="T122" s="3"/>
      <c r="U122" s="3"/>
      <c r="V122" s="8"/>
      <c r="W122" s="3"/>
      <c r="X122" s="3"/>
      <c r="Y122" s="3"/>
      <c r="Z122" s="8"/>
    </row>
    <row r="123" spans="1:26" s="24" customFormat="1" x14ac:dyDescent="0.25">
      <c r="A123" s="51"/>
      <c r="B123" s="11" t="s">
        <v>127</v>
      </c>
      <c r="C123" s="11"/>
      <c r="D123" s="4">
        <v>180243.05</v>
      </c>
      <c r="E123" s="4"/>
      <c r="F123" s="13">
        <f>IF(D$12=0,0,D123/D$12)</f>
        <v>2.7866067962433387</v>
      </c>
      <c r="G123" s="4"/>
      <c r="H123" s="4">
        <v>148220.24</v>
      </c>
      <c r="I123" s="4"/>
      <c r="J123" s="13">
        <f>IF(H$12=0,0,H123/H$12)</f>
        <v>0.33113632119894121</v>
      </c>
      <c r="K123" s="4"/>
      <c r="L123" s="4">
        <f>+D123-H123</f>
        <v>32022.809999999998</v>
      </c>
      <c r="M123" s="4"/>
      <c r="N123" s="13">
        <f>IF(H123=0,0,L123/H123)</f>
        <v>0.21604883381648821</v>
      </c>
      <c r="O123" s="11"/>
      <c r="P123" s="4">
        <v>729975.69</v>
      </c>
      <c r="Q123" s="4"/>
      <c r="R123" s="13">
        <f>IF(P$12=0,0,P123/P$12)</f>
        <v>0.27679464733824394</v>
      </c>
      <c r="S123" s="4"/>
      <c r="T123" s="4">
        <v>436867.95</v>
      </c>
      <c r="U123" s="4"/>
      <c r="V123" s="13">
        <f>IF(T$12=0,0,T123/T$12)</f>
        <v>0.15142262303354687</v>
      </c>
      <c r="W123" s="4"/>
      <c r="X123" s="4">
        <f>+P123-T123</f>
        <v>293107.73999999993</v>
      </c>
      <c r="Y123" s="4"/>
      <c r="Z123" s="13">
        <f>IF(T123=0,0,X123/T123)</f>
        <v>0.67092983131401585</v>
      </c>
    </row>
    <row r="124" spans="1:26" x14ac:dyDescent="0.25">
      <c r="A124" s="9"/>
      <c r="B124" s="11"/>
      <c r="C124" s="11"/>
      <c r="D124" s="3"/>
      <c r="E124" s="3"/>
      <c r="F124" s="8"/>
      <c r="G124" s="3"/>
      <c r="H124" s="3"/>
      <c r="I124" s="3"/>
      <c r="J124" s="8"/>
      <c r="K124" s="3"/>
      <c r="L124" s="3"/>
      <c r="M124" s="3"/>
      <c r="N124" s="8"/>
      <c r="O124" s="11"/>
      <c r="P124" s="3"/>
      <c r="Q124" s="3"/>
      <c r="R124" s="8"/>
      <c r="S124" s="3"/>
      <c r="T124" s="3"/>
      <c r="U124" s="3"/>
      <c r="V124" s="8"/>
      <c r="W124" s="3"/>
      <c r="X124" s="3"/>
      <c r="Y124" s="3"/>
      <c r="Z124" s="8"/>
    </row>
    <row r="125" spans="1:26" s="24" customFormat="1" ht="15.75" thickBot="1" x14ac:dyDescent="0.3">
      <c r="A125" s="11"/>
      <c r="B125" s="28" t="s">
        <v>125</v>
      </c>
      <c r="C125" s="28"/>
      <c r="D125" s="34">
        <f>+D121-D123</f>
        <v>-139857.91</v>
      </c>
      <c r="E125" s="14"/>
      <c r="F125" s="31">
        <f>IF(D$12=0,0,D125/D$12)</f>
        <v>-2.1622414984344154</v>
      </c>
      <c r="G125" s="14"/>
      <c r="H125" s="34">
        <f>+H121-H123</f>
        <v>6469.8699999999662</v>
      </c>
      <c r="I125" s="14"/>
      <c r="J125" s="31">
        <f>IF(H$12=0,0,H125/H$12)</f>
        <v>1.4454226699642254E-2</v>
      </c>
      <c r="K125" s="15"/>
      <c r="L125" s="34">
        <f>D125-H125</f>
        <v>-146327.77999999997</v>
      </c>
      <c r="M125" s="15"/>
      <c r="N125" s="31">
        <f>IF(H125=0,0,L125/H125)</f>
        <v>-22.616803737942298</v>
      </c>
      <c r="O125" s="29"/>
      <c r="P125" s="34">
        <f>+P121-P123</f>
        <v>-554927.53000000038</v>
      </c>
      <c r="Q125" s="14"/>
      <c r="R125" s="31">
        <f>IF(P$12=0,0,P125/P$12)</f>
        <v>-0.21041929487354971</v>
      </c>
      <c r="S125" s="14"/>
      <c r="T125" s="34">
        <f>+T121-T123</f>
        <v>-163215.72999999975</v>
      </c>
      <c r="U125" s="14"/>
      <c r="V125" s="31">
        <f>IF(T$12=0,0,T125/T$12)</f>
        <v>-5.6572138004024164E-2</v>
      </c>
      <c r="W125" s="15"/>
      <c r="X125" s="34">
        <f>P125-T125</f>
        <v>-391711.80000000063</v>
      </c>
      <c r="Y125" s="15"/>
      <c r="Z125" s="31">
        <f>IF(T125=0,0,X125/T125)</f>
        <v>2.3999635329266438</v>
      </c>
    </row>
    <row r="126" spans="1:26" ht="15.75" thickTop="1" x14ac:dyDescent="0.25">
      <c r="A126" s="9"/>
      <c r="B126" s="9"/>
      <c r="C126" s="9"/>
      <c r="D126" s="3"/>
      <c r="E126" s="3"/>
      <c r="F126" s="8"/>
      <c r="G126" s="3"/>
      <c r="H126" s="3"/>
      <c r="I126" s="3"/>
      <c r="J126" s="8"/>
      <c r="K126" s="3"/>
      <c r="L126" s="3"/>
      <c r="M126" s="3"/>
      <c r="N126" s="8"/>
      <c r="P126" s="3"/>
      <c r="Q126" s="3"/>
      <c r="R126" s="8"/>
      <c r="S126" s="3"/>
      <c r="T126" s="3"/>
      <c r="U126" s="3"/>
      <c r="V126" s="8"/>
      <c r="W126" s="3"/>
      <c r="X126" s="3"/>
      <c r="Y126" s="3"/>
      <c r="Z126" s="8"/>
    </row>
    <row r="127" spans="1:26" x14ac:dyDescent="0.25">
      <c r="A127" s="9"/>
      <c r="B127" s="9"/>
      <c r="C127" s="9"/>
      <c r="D127" s="3"/>
      <c r="E127" s="3"/>
      <c r="F127" s="8"/>
      <c r="G127" s="3"/>
      <c r="H127" s="3"/>
      <c r="I127" s="3"/>
      <c r="J127" s="8"/>
      <c r="K127" s="3"/>
      <c r="L127" s="3"/>
      <c r="M127" s="3"/>
      <c r="N127" s="8"/>
      <c r="P127" s="3"/>
      <c r="Q127" s="3"/>
      <c r="R127" s="8"/>
      <c r="S127" s="3"/>
      <c r="T127" s="3"/>
      <c r="U127" s="3"/>
      <c r="V127" s="8"/>
      <c r="W127" s="3"/>
      <c r="X127" s="3"/>
      <c r="Y127" s="3"/>
      <c r="Z127" s="8"/>
    </row>
    <row r="128" spans="1:26" s="24" customFormat="1" ht="15.75" thickBot="1" x14ac:dyDescent="0.3">
      <c r="A128" s="11"/>
      <c r="B128" s="28" t="s">
        <v>293</v>
      </c>
      <c r="C128" s="28"/>
      <c r="D128" s="33">
        <f>SUM(D125:D127)</f>
        <v>-139857.91</v>
      </c>
      <c r="E128" s="14"/>
      <c r="F128" s="35">
        <f>IF(D$12=0,0,D128/D$12)</f>
        <v>-2.1622414984344154</v>
      </c>
      <c r="G128" s="14"/>
      <c r="H128" s="33">
        <f>SUM(H125:H127)</f>
        <v>6469.8699999999662</v>
      </c>
      <c r="I128" s="14"/>
      <c r="J128" s="35">
        <f>IF(H$12=0,0,H128/H$12)</f>
        <v>1.4454226699642254E-2</v>
      </c>
      <c r="K128" s="15"/>
      <c r="L128" s="33">
        <f>+D128-H128</f>
        <v>-146327.77999999997</v>
      </c>
      <c r="M128" s="15"/>
      <c r="N128" s="35">
        <f>IF(H128=0,0,L128/H128)</f>
        <v>-22.616803737942298</v>
      </c>
      <c r="O128" s="29"/>
      <c r="P128" s="33">
        <f>SUM(P125:P127)</f>
        <v>-554927.53000000038</v>
      </c>
      <c r="Q128" s="14"/>
      <c r="R128" s="35">
        <f>IF(P$12=0,0,P128/P$12)</f>
        <v>-0.21041929487354971</v>
      </c>
      <c r="S128" s="14"/>
      <c r="T128" s="33">
        <f>SUM(T125:T127)</f>
        <v>-163215.72999999975</v>
      </c>
      <c r="U128" s="14"/>
      <c r="V128" s="35">
        <f>IF(T$12=0,0,T128/T$12)</f>
        <v>-5.6572138004024164E-2</v>
      </c>
      <c r="W128" s="15"/>
      <c r="X128" s="33">
        <f>+P128-T128</f>
        <v>-391711.80000000063</v>
      </c>
      <c r="Y128" s="15"/>
      <c r="Z128" s="35">
        <f>IF(T128=0,0,X128/T128)</f>
        <v>2.3999635329266438</v>
      </c>
    </row>
    <row r="129" spans="1:24" ht="15.75" thickTop="1" x14ac:dyDescent="0.25">
      <c r="A129" s="9"/>
      <c r="C129" s="9"/>
      <c r="D129" s="18"/>
      <c r="E129" s="18"/>
      <c r="G129" s="18"/>
      <c r="H129" s="18"/>
      <c r="I129" s="18"/>
      <c r="J129" s="43"/>
      <c r="K129" s="18"/>
      <c r="L129" s="18"/>
      <c r="M129" s="18"/>
      <c r="P129" s="18"/>
      <c r="Q129" s="18"/>
      <c r="R129" s="43"/>
      <c r="S129" s="18"/>
      <c r="T129" s="18"/>
      <c r="U129" s="18"/>
      <c r="V129" s="43"/>
      <c r="W129" s="18"/>
      <c r="X129" s="18"/>
    </row>
    <row r="130" spans="1:24" x14ac:dyDescent="0.25">
      <c r="A130" s="9"/>
      <c r="B130" s="56">
        <v>44454.698585613427</v>
      </c>
      <c r="D130" s="18"/>
      <c r="E130" s="18"/>
      <c r="G130" s="18"/>
      <c r="H130" s="18"/>
      <c r="I130" s="18"/>
      <c r="J130" s="43"/>
      <c r="K130" s="18"/>
      <c r="L130" s="18"/>
      <c r="M130" s="18"/>
      <c r="P130" s="18"/>
      <c r="Q130" s="18"/>
      <c r="R130" s="43"/>
      <c r="S130" s="18"/>
      <c r="T130" s="18"/>
      <c r="U130" s="18"/>
      <c r="V130" s="43"/>
      <c r="W130" s="18"/>
      <c r="X130" s="18"/>
    </row>
    <row r="131" spans="1:24" x14ac:dyDescent="0.25">
      <c r="A131" s="9"/>
      <c r="B131" s="55" t="s">
        <v>56</v>
      </c>
      <c r="D131" s="18"/>
      <c r="E131" s="18"/>
      <c r="G131" s="18"/>
      <c r="H131" s="18"/>
      <c r="I131" s="18"/>
      <c r="J131" s="43"/>
      <c r="K131" s="18"/>
      <c r="L131" s="18"/>
      <c r="M131" s="18"/>
      <c r="P131" s="18"/>
      <c r="Q131" s="18"/>
      <c r="R131" s="43"/>
      <c r="S131" s="18"/>
      <c r="T131" s="18"/>
      <c r="U131" s="18"/>
      <c r="V131" s="43"/>
      <c r="W131" s="18"/>
      <c r="X131" s="18"/>
    </row>
    <row r="132" spans="1:24" x14ac:dyDescent="0.25">
      <c r="A132" s="9"/>
      <c r="B132" s="60"/>
      <c r="D132" s="18"/>
      <c r="E132" s="18"/>
      <c r="G132" s="18"/>
      <c r="H132" s="18"/>
      <c r="I132" s="18"/>
      <c r="J132" s="43"/>
      <c r="K132" s="18"/>
      <c r="L132" s="18"/>
      <c r="M132" s="18"/>
      <c r="P132" s="18"/>
      <c r="Q132" s="18"/>
      <c r="R132" s="43"/>
      <c r="S132" s="18"/>
      <c r="T132" s="18"/>
      <c r="U132" s="18"/>
      <c r="V132" s="43"/>
      <c r="W132" s="18"/>
      <c r="X132" s="18"/>
    </row>
    <row r="133" spans="1:24" x14ac:dyDescent="0.25">
      <c r="D133" s="18"/>
      <c r="E133" s="18"/>
      <c r="G133" s="18"/>
      <c r="H133" s="18"/>
      <c r="I133" s="18"/>
      <c r="J133" s="43"/>
      <c r="K133" s="18"/>
      <c r="L133" s="18"/>
      <c r="M133" s="18"/>
      <c r="P133" s="18"/>
      <c r="Q133" s="18"/>
      <c r="R133" s="43"/>
      <c r="S133" s="18"/>
      <c r="T133" s="18"/>
      <c r="U133" s="18"/>
      <c r="V133" s="43"/>
      <c r="W133" s="18"/>
      <c r="X133" s="18"/>
    </row>
  </sheetData>
  <pageMargins left="0.25" right="0.25" top="0.75" bottom="0.75" header="0.3" footer="0.3"/>
  <pageSetup scale="55" fitToWidth="2" orientation="landscape"/>
  <drawing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FFFF00"/>
    <outlinePr summaryBelow="0" summaryRight="0"/>
  </sheetPr>
  <dimension ref="A2:Z118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62" t="s">
        <v>23</v>
      </c>
    </row>
    <row r="3" spans="1:26" x14ac:dyDescent="0.25">
      <c r="D3" s="62" t="s">
        <v>236</v>
      </c>
      <c r="E3" s="17"/>
      <c r="F3" s="46"/>
      <c r="G3" s="17"/>
      <c r="H3" s="17"/>
      <c r="I3" s="17"/>
      <c r="J3" s="38"/>
      <c r="K3" s="17"/>
      <c r="L3" s="17"/>
      <c r="M3" s="17"/>
      <c r="N3" s="46"/>
      <c r="O3" s="53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2" t="str">
        <f>CONCATENATE("Period ",RIGHT(202112,2),", ",2021)</f>
        <v>Period 12, 2021</v>
      </c>
      <c r="E4" s="17"/>
      <c r="F4" s="46"/>
      <c r="G4" s="17"/>
      <c r="H4" s="17"/>
      <c r="I4" s="17"/>
      <c r="J4" s="38"/>
      <c r="K4" s="17"/>
      <c r="L4" s="17"/>
      <c r="M4" s="17"/>
      <c r="N4" s="46"/>
      <c r="O4" s="53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4"/>
      <c r="D5" s="63">
        <v>44377</v>
      </c>
      <c r="E5" s="17"/>
      <c r="F5" s="46"/>
      <c r="G5" s="17"/>
      <c r="H5" s="17"/>
      <c r="I5" s="17"/>
      <c r="J5" s="38"/>
      <c r="K5" s="17"/>
      <c r="L5" s="17"/>
      <c r="M5" s="17"/>
      <c r="N5" s="46"/>
      <c r="O5" s="53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4"/>
      <c r="B6" s="48"/>
      <c r="C6" s="48"/>
      <c r="D6" s="24" t="s">
        <v>198</v>
      </c>
      <c r="E6" s="17"/>
      <c r="F6" s="46"/>
      <c r="G6" s="17"/>
      <c r="H6" s="17"/>
      <c r="I6" s="17"/>
      <c r="J6" s="38"/>
      <c r="K6" s="17"/>
      <c r="L6" s="17"/>
      <c r="M6" s="17"/>
      <c r="N6" s="46"/>
      <c r="O6" s="54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9"/>
    </row>
    <row r="8" spans="1:26" x14ac:dyDescent="0.25">
      <c r="B8" s="59"/>
    </row>
    <row r="9" spans="1:26" x14ac:dyDescent="0.25">
      <c r="B9" s="9"/>
      <c r="C9" s="9"/>
      <c r="D9" s="16" t="s">
        <v>291</v>
      </c>
      <c r="E9" s="16"/>
      <c r="F9" s="39"/>
      <c r="G9" s="16"/>
      <c r="H9" s="16"/>
      <c r="I9" s="16"/>
      <c r="J9" s="49"/>
      <c r="K9" s="16"/>
      <c r="L9" s="16"/>
      <c r="M9" s="16"/>
      <c r="N9" s="39"/>
      <c r="P9" s="16" t="s">
        <v>39</v>
      </c>
      <c r="Q9" s="16"/>
      <c r="R9" s="39"/>
      <c r="S9" s="16"/>
      <c r="T9" s="16"/>
      <c r="U9" s="16"/>
      <c r="V9" s="49"/>
      <c r="W9" s="16"/>
      <c r="X9" s="16"/>
      <c r="Y9" s="16"/>
      <c r="Z9" s="39"/>
    </row>
    <row r="10" spans="1:26" x14ac:dyDescent="0.25">
      <c r="A10" s="11"/>
      <c r="B10" s="58"/>
      <c r="C10" s="11"/>
      <c r="D10" s="42" t="s">
        <v>57</v>
      </c>
      <c r="E10" s="36"/>
      <c r="F10" s="30" t="s">
        <v>40</v>
      </c>
      <c r="G10" s="36"/>
      <c r="H10" s="50" t="s">
        <v>237</v>
      </c>
      <c r="I10" s="36"/>
      <c r="J10" s="30" t="s">
        <v>40</v>
      </c>
      <c r="K10" s="11"/>
      <c r="L10" s="42" t="s">
        <v>126</v>
      </c>
      <c r="M10" s="11"/>
      <c r="N10" s="30" t="s">
        <v>257</v>
      </c>
      <c r="O10" s="11"/>
      <c r="P10" s="61" t="s">
        <v>57</v>
      </c>
      <c r="Q10" s="36"/>
      <c r="R10" s="30" t="s">
        <v>40</v>
      </c>
      <c r="S10" s="36"/>
      <c r="T10" s="50" t="s">
        <v>237</v>
      </c>
      <c r="U10" s="36"/>
      <c r="V10" s="30" t="s">
        <v>40</v>
      </c>
      <c r="W10" s="11"/>
      <c r="X10" s="42" t="s">
        <v>126</v>
      </c>
      <c r="Y10" s="11"/>
      <c r="Z10" s="30" t="s">
        <v>257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4" customFormat="1" collapsed="1" x14ac:dyDescent="0.25">
      <c r="A12" s="11"/>
      <c r="B12" s="29" t="s">
        <v>139</v>
      </c>
      <c r="C12" s="11"/>
      <c r="D12" s="4">
        <f>SUM(OSRRefD13x_0)</f>
        <v>34.049999999999997</v>
      </c>
      <c r="E12" s="4"/>
      <c r="F12" s="13"/>
      <c r="G12" s="4"/>
      <c r="H12" s="4">
        <f>SUM(OSRRefH13x_0)</f>
        <v>119.47</v>
      </c>
      <c r="I12" s="4"/>
      <c r="J12" s="13"/>
      <c r="K12" s="4"/>
      <c r="L12" s="4">
        <f t="shared" ref="L12:L22" si="0">+D12-H12</f>
        <v>-85.42</v>
      </c>
      <c r="M12" s="4"/>
      <c r="N12" s="13">
        <f t="shared" ref="N12:N22" si="1">IF(H12=0,0,L12/H12)</f>
        <v>-0.71499121118272368</v>
      </c>
      <c r="O12" s="11"/>
      <c r="P12" s="4">
        <f>SUM(OSRRefP13x_0)</f>
        <v>2910.9700000000003</v>
      </c>
      <c r="Q12" s="4"/>
      <c r="R12" s="13"/>
      <c r="S12" s="4"/>
      <c r="T12" s="4">
        <f>SUM(OSRRefT13x_0)</f>
        <v>2364728.7199999997</v>
      </c>
      <c r="U12" s="4"/>
      <c r="V12" s="13"/>
      <c r="W12" s="4"/>
      <c r="X12" s="4">
        <f t="shared" ref="X12:X22" si="2">+P12-T12</f>
        <v>-2361817.7499999995</v>
      </c>
      <c r="Y12" s="4"/>
      <c r="Z12" s="13">
        <f t="shared" ref="Z12:Z22" si="3">IF(T12=0,0,X12/T12)</f>
        <v>-0.99876900467466723</v>
      </c>
    </row>
    <row r="13" spans="1:26" s="23" customFormat="1" hidden="1" outlineLevel="1" x14ac:dyDescent="0.25">
      <c r="A13" s="44"/>
      <c r="B13" s="10" t="str">
        <f>CONCATENATE("          ", "4032", " - ", "TAXABLE SALES-JUICE")</f>
        <v xml:space="preserve">          4032 - TAXABLE SALES-JUICE</v>
      </c>
      <c r="C13" s="10"/>
      <c r="D13" s="2">
        <f t="shared" ref="D13:D21" si="4">0</f>
        <v>0</v>
      </c>
      <c r="E13" s="2"/>
      <c r="F13" s="19"/>
      <c r="G13" s="2"/>
      <c r="H13" s="2">
        <f t="shared" ref="H13:H16" si="5">0</f>
        <v>0</v>
      </c>
      <c r="I13" s="2"/>
      <c r="J13" s="19"/>
      <c r="K13" s="2"/>
      <c r="L13" s="2">
        <f t="shared" si="0"/>
        <v>0</v>
      </c>
      <c r="M13" s="2"/>
      <c r="N13" s="19">
        <f t="shared" si="1"/>
        <v>0</v>
      </c>
      <c r="O13" s="10"/>
      <c r="P13" s="2">
        <f>--444.59</f>
        <v>444.59</v>
      </c>
      <c r="Q13" s="2"/>
      <c r="R13" s="19"/>
      <c r="S13" s="2"/>
      <c r="T13" s="2">
        <f>--275749.46</f>
        <v>275749.46000000002</v>
      </c>
      <c r="U13" s="2"/>
      <c r="V13" s="19"/>
      <c r="W13" s="2"/>
      <c r="X13" s="2">
        <f t="shared" si="2"/>
        <v>-275304.87</v>
      </c>
      <c r="Y13" s="2"/>
      <c r="Z13" s="19">
        <f t="shared" si="3"/>
        <v>-0.99838770309831237</v>
      </c>
    </row>
    <row r="14" spans="1:26" s="23" customFormat="1" hidden="1" outlineLevel="1" x14ac:dyDescent="0.25">
      <c r="A14" s="44"/>
      <c r="B14" s="10" t="str">
        <f>CONCATENATE("          ", "4034", " - ", "TAXABLE SALES-SODA")</f>
        <v xml:space="preserve">          4034 - TAXABLE SALES-SODA</v>
      </c>
      <c r="C14" s="10"/>
      <c r="D14" s="2">
        <f t="shared" si="4"/>
        <v>0</v>
      </c>
      <c r="E14" s="2"/>
      <c r="F14" s="19"/>
      <c r="G14" s="2"/>
      <c r="H14" s="2">
        <f t="shared" si="5"/>
        <v>0</v>
      </c>
      <c r="I14" s="2"/>
      <c r="J14" s="19"/>
      <c r="K14" s="2"/>
      <c r="L14" s="2">
        <f t="shared" si="0"/>
        <v>0</v>
      </c>
      <c r="M14" s="2"/>
      <c r="N14" s="19">
        <f t="shared" si="1"/>
        <v>0</v>
      </c>
      <c r="O14" s="10"/>
      <c r="P14" s="2">
        <f t="shared" ref="P14:P16" si="6">0</f>
        <v>0</v>
      </c>
      <c r="Q14" s="2"/>
      <c r="R14" s="19"/>
      <c r="S14" s="2"/>
      <c r="T14" s="2">
        <f>--3121.95</f>
        <v>3121.95</v>
      </c>
      <c r="U14" s="2"/>
      <c r="V14" s="19"/>
      <c r="W14" s="2"/>
      <c r="X14" s="2">
        <f t="shared" si="2"/>
        <v>-3121.95</v>
      </c>
      <c r="Y14" s="2"/>
      <c r="Z14" s="19">
        <f t="shared" si="3"/>
        <v>-1</v>
      </c>
    </row>
    <row r="15" spans="1:26" s="23" customFormat="1" hidden="1" outlineLevel="1" x14ac:dyDescent="0.25">
      <c r="A15" s="44"/>
      <c r="B15" s="10" t="str">
        <f>CONCATENATE("          ", "4051", " - ", "TAXABLE SALES-FOOD")</f>
        <v xml:space="preserve">          4051 - TAXABLE SALES-FOOD</v>
      </c>
      <c r="C15" s="10"/>
      <c r="D15" s="2">
        <f t="shared" si="4"/>
        <v>0</v>
      </c>
      <c r="E15" s="2"/>
      <c r="F15" s="19"/>
      <c r="G15" s="2"/>
      <c r="H15" s="2">
        <f t="shared" si="5"/>
        <v>0</v>
      </c>
      <c r="I15" s="2"/>
      <c r="J15" s="19"/>
      <c r="K15" s="2"/>
      <c r="L15" s="2">
        <f t="shared" si="0"/>
        <v>0</v>
      </c>
      <c r="M15" s="2"/>
      <c r="N15" s="19">
        <f t="shared" si="1"/>
        <v>0</v>
      </c>
      <c r="O15" s="10"/>
      <c r="P15" s="2">
        <f t="shared" si="6"/>
        <v>0</v>
      </c>
      <c r="Q15" s="2"/>
      <c r="R15" s="19"/>
      <c r="S15" s="2"/>
      <c r="T15" s="2">
        <f>--149404.53</f>
        <v>149404.53</v>
      </c>
      <c r="U15" s="2"/>
      <c r="V15" s="19"/>
      <c r="W15" s="2"/>
      <c r="X15" s="2">
        <f t="shared" si="2"/>
        <v>-149404.53</v>
      </c>
      <c r="Y15" s="2"/>
      <c r="Z15" s="19">
        <f t="shared" si="3"/>
        <v>-1</v>
      </c>
    </row>
    <row r="16" spans="1:26" s="23" customFormat="1" hidden="1" outlineLevel="1" x14ac:dyDescent="0.25">
      <c r="A16" s="44"/>
      <c r="B16" s="10" t="str">
        <f>CONCATENATE("          ", "4131", " - ", "NON-TAXABLE SALES-FOOD")</f>
        <v xml:space="preserve">          4131 - NON-TAXABLE SALES-FOOD</v>
      </c>
      <c r="C16" s="10"/>
      <c r="D16" s="2">
        <f t="shared" si="4"/>
        <v>0</v>
      </c>
      <c r="E16" s="2"/>
      <c r="F16" s="19"/>
      <c r="G16" s="2"/>
      <c r="H16" s="2">
        <f t="shared" si="5"/>
        <v>0</v>
      </c>
      <c r="I16" s="2"/>
      <c r="J16" s="19"/>
      <c r="K16" s="2"/>
      <c r="L16" s="2">
        <f t="shared" si="0"/>
        <v>0</v>
      </c>
      <c r="M16" s="2"/>
      <c r="N16" s="19">
        <f t="shared" si="1"/>
        <v>0</v>
      </c>
      <c r="O16" s="10"/>
      <c r="P16" s="2">
        <f t="shared" si="6"/>
        <v>0</v>
      </c>
      <c r="Q16" s="2"/>
      <c r="R16" s="19"/>
      <c r="S16" s="2"/>
      <c r="T16" s="2">
        <f>--2.48</f>
        <v>2.48</v>
      </c>
      <c r="U16" s="2"/>
      <c r="V16" s="19"/>
      <c r="W16" s="2"/>
      <c r="X16" s="2">
        <f t="shared" si="2"/>
        <v>-2.48</v>
      </c>
      <c r="Y16" s="2"/>
      <c r="Z16" s="19">
        <f t="shared" si="3"/>
        <v>-1</v>
      </c>
    </row>
    <row r="17" spans="1:26" s="23" customFormat="1" hidden="1" outlineLevel="1" x14ac:dyDescent="0.25">
      <c r="A17" s="44"/>
      <c r="B17" s="10" t="str">
        <f>CONCATENATE("          ", "4132", " - ", "NON-TAXABLE SALES-JUICE")</f>
        <v xml:space="preserve">          4132 - NON-TAXABLE SALES-JUICE</v>
      </c>
      <c r="C17" s="10"/>
      <c r="D17" s="2">
        <f t="shared" si="4"/>
        <v>0</v>
      </c>
      <c r="E17" s="2"/>
      <c r="F17" s="19"/>
      <c r="G17" s="2"/>
      <c r="H17" s="2">
        <f>--114.48</f>
        <v>114.48</v>
      </c>
      <c r="I17" s="2"/>
      <c r="J17" s="19"/>
      <c r="K17" s="2"/>
      <c r="L17" s="2">
        <f t="shared" si="0"/>
        <v>-114.48</v>
      </c>
      <c r="M17" s="2"/>
      <c r="N17" s="19">
        <f t="shared" si="1"/>
        <v>-1</v>
      </c>
      <c r="O17" s="10"/>
      <c r="P17" s="2">
        <f>--2031.88</f>
        <v>2031.88</v>
      </c>
      <c r="Q17" s="2"/>
      <c r="R17" s="19"/>
      <c r="S17" s="2"/>
      <c r="T17" s="2">
        <f>--1093892.63</f>
        <v>1093892.6299999999</v>
      </c>
      <c r="U17" s="2"/>
      <c r="V17" s="19"/>
      <c r="W17" s="2"/>
      <c r="X17" s="2">
        <f t="shared" si="2"/>
        <v>-1091860.75</v>
      </c>
      <c r="Y17" s="2"/>
      <c r="Z17" s="19">
        <f t="shared" si="3"/>
        <v>-0.9981425233663016</v>
      </c>
    </row>
    <row r="18" spans="1:26" s="23" customFormat="1" hidden="1" outlineLevel="1" x14ac:dyDescent="0.25">
      <c r="A18" s="44"/>
      <c r="B18" s="10" t="str">
        <f>CONCATENATE("          ", "4133", " - ", "NON-TAXABLE SALES-CANDY")</f>
        <v xml:space="preserve">          4133 - NON-TAXABLE SALES-CANDY</v>
      </c>
      <c r="C18" s="10"/>
      <c r="D18" s="2">
        <f t="shared" si="4"/>
        <v>0</v>
      </c>
      <c r="E18" s="2"/>
      <c r="F18" s="19"/>
      <c r="G18" s="2"/>
      <c r="H18" s="2">
        <f>0</f>
        <v>0</v>
      </c>
      <c r="I18" s="2"/>
      <c r="J18" s="19"/>
      <c r="K18" s="2"/>
      <c r="L18" s="2">
        <f t="shared" si="0"/>
        <v>0</v>
      </c>
      <c r="M18" s="2"/>
      <c r="N18" s="19">
        <f t="shared" si="1"/>
        <v>0</v>
      </c>
      <c r="O18" s="10"/>
      <c r="P18" s="2">
        <f t="shared" ref="P18:P21" si="7">0</f>
        <v>0</v>
      </c>
      <c r="Q18" s="2"/>
      <c r="R18" s="19"/>
      <c r="S18" s="2"/>
      <c r="T18" s="2">
        <f>--1.59</f>
        <v>1.59</v>
      </c>
      <c r="U18" s="2"/>
      <c r="V18" s="19"/>
      <c r="W18" s="2"/>
      <c r="X18" s="2">
        <f t="shared" si="2"/>
        <v>-1.59</v>
      </c>
      <c r="Y18" s="2"/>
      <c r="Z18" s="19">
        <f t="shared" si="3"/>
        <v>-1</v>
      </c>
    </row>
    <row r="19" spans="1:26" s="23" customFormat="1" hidden="1" outlineLevel="1" x14ac:dyDescent="0.25">
      <c r="A19" s="44"/>
      <c r="B19" s="10" t="str">
        <f>CONCATENATE("          ", "4134", " - ", "NON-TAXABLE SALES-SODA")</f>
        <v xml:space="preserve">          4134 - NON-TAXABLE SALES-SODA</v>
      </c>
      <c r="C19" s="10"/>
      <c r="D19" s="2">
        <f t="shared" si="4"/>
        <v>0</v>
      </c>
      <c r="E19" s="2"/>
      <c r="F19" s="19"/>
      <c r="G19" s="2"/>
      <c r="H19" s="2">
        <f>--4.99</f>
        <v>4.99</v>
      </c>
      <c r="I19" s="2"/>
      <c r="J19" s="19"/>
      <c r="K19" s="2"/>
      <c r="L19" s="2">
        <f t="shared" si="0"/>
        <v>-4.99</v>
      </c>
      <c r="M19" s="2"/>
      <c r="N19" s="19">
        <f t="shared" si="1"/>
        <v>-1</v>
      </c>
      <c r="O19" s="10"/>
      <c r="P19" s="2">
        <f t="shared" si="7"/>
        <v>0</v>
      </c>
      <c r="Q19" s="2"/>
      <c r="R19" s="19"/>
      <c r="S19" s="2"/>
      <c r="T19" s="2">
        <f>--99.83</f>
        <v>99.83</v>
      </c>
      <c r="U19" s="2"/>
      <c r="V19" s="19"/>
      <c r="W19" s="2"/>
      <c r="X19" s="2">
        <f t="shared" si="2"/>
        <v>-99.83</v>
      </c>
      <c r="Y19" s="2"/>
      <c r="Z19" s="19">
        <f t="shared" si="3"/>
        <v>-1</v>
      </c>
    </row>
    <row r="20" spans="1:26" s="23" customFormat="1" hidden="1" outlineLevel="1" x14ac:dyDescent="0.25">
      <c r="A20" s="44"/>
      <c r="B20" s="10" t="str">
        <f>CONCATENATE("          ", "4137", " - ", "NON-TAXABLE SALES-WATER")</f>
        <v xml:space="preserve">          4137 - NON-TAXABLE SALES-WATER</v>
      </c>
      <c r="C20" s="10"/>
      <c r="D20" s="2">
        <f t="shared" si="4"/>
        <v>0</v>
      </c>
      <c r="E20" s="2"/>
      <c r="F20" s="19"/>
      <c r="G20" s="2"/>
      <c r="H20" s="2">
        <f t="shared" ref="H20:H22" si="8">0</f>
        <v>0</v>
      </c>
      <c r="I20" s="2"/>
      <c r="J20" s="19"/>
      <c r="K20" s="2"/>
      <c r="L20" s="2">
        <f t="shared" si="0"/>
        <v>0</v>
      </c>
      <c r="M20" s="2"/>
      <c r="N20" s="19">
        <f t="shared" si="1"/>
        <v>0</v>
      </c>
      <c r="O20" s="10"/>
      <c r="P20" s="2">
        <f t="shared" si="7"/>
        <v>0</v>
      </c>
      <c r="Q20" s="2"/>
      <c r="R20" s="19"/>
      <c r="S20" s="2"/>
      <c r="T20" s="2">
        <f>--1575.68</f>
        <v>1575.68</v>
      </c>
      <c r="U20" s="2"/>
      <c r="V20" s="19"/>
      <c r="W20" s="2"/>
      <c r="X20" s="2">
        <f t="shared" si="2"/>
        <v>-1575.68</v>
      </c>
      <c r="Y20" s="2"/>
      <c r="Z20" s="19">
        <f t="shared" si="3"/>
        <v>-1</v>
      </c>
    </row>
    <row r="21" spans="1:26" s="23" customFormat="1" hidden="1" outlineLevel="1" x14ac:dyDescent="0.25">
      <c r="A21" s="44"/>
      <c r="B21" s="10" t="str">
        <f>CONCATENATE("          ", "4151", " - ", "NON-TAXABLE SALES-FOOD")</f>
        <v xml:space="preserve">          4151 - NON-TAXABLE SALES-FOOD</v>
      </c>
      <c r="C21" s="10"/>
      <c r="D21" s="2">
        <f t="shared" si="4"/>
        <v>0</v>
      </c>
      <c r="E21" s="2"/>
      <c r="F21" s="19"/>
      <c r="G21" s="2"/>
      <c r="H21" s="2">
        <f t="shared" si="8"/>
        <v>0</v>
      </c>
      <c r="I21" s="2"/>
      <c r="J21" s="19"/>
      <c r="K21" s="2"/>
      <c r="L21" s="2">
        <f t="shared" si="0"/>
        <v>0</v>
      </c>
      <c r="M21" s="2"/>
      <c r="N21" s="19">
        <f t="shared" si="1"/>
        <v>0</v>
      </c>
      <c r="O21" s="10"/>
      <c r="P21" s="2">
        <f t="shared" si="7"/>
        <v>0</v>
      </c>
      <c r="Q21" s="2"/>
      <c r="R21" s="19"/>
      <c r="S21" s="2"/>
      <c r="T21" s="2">
        <f>--828068.07</f>
        <v>828068.07</v>
      </c>
      <c r="U21" s="2"/>
      <c r="V21" s="19"/>
      <c r="W21" s="2"/>
      <c r="X21" s="2">
        <f t="shared" si="2"/>
        <v>-828068.07</v>
      </c>
      <c r="Y21" s="2"/>
      <c r="Z21" s="19">
        <f t="shared" si="3"/>
        <v>-1</v>
      </c>
    </row>
    <row r="22" spans="1:26" s="23" customFormat="1" hidden="1" outlineLevel="1" x14ac:dyDescent="0.25">
      <c r="A22" s="44"/>
      <c r="B22" s="10" t="str">
        <f>CONCATENATE("          ", "4153", " - ", "NON-TAXABLE SALES-FOOD")</f>
        <v xml:space="preserve">          4153 - NON-TAXABLE SALES-FOOD</v>
      </c>
      <c r="C22" s="10"/>
      <c r="D22" s="2">
        <f>--34.05</f>
        <v>34.049999999999997</v>
      </c>
      <c r="E22" s="2"/>
      <c r="F22" s="19"/>
      <c r="G22" s="2"/>
      <c r="H22" s="2">
        <f t="shared" si="8"/>
        <v>0</v>
      </c>
      <c r="I22" s="2"/>
      <c r="J22" s="19"/>
      <c r="K22" s="2"/>
      <c r="L22" s="2">
        <f t="shared" si="0"/>
        <v>34.049999999999997</v>
      </c>
      <c r="M22" s="2"/>
      <c r="N22" s="19">
        <f t="shared" si="1"/>
        <v>0</v>
      </c>
      <c r="O22" s="10"/>
      <c r="P22" s="2">
        <f>--434.5</f>
        <v>434.5</v>
      </c>
      <c r="Q22" s="2"/>
      <c r="R22" s="19"/>
      <c r="S22" s="2"/>
      <c r="T22" s="2">
        <f>--12812.5</f>
        <v>12812.5</v>
      </c>
      <c r="U22" s="2"/>
      <c r="V22" s="19"/>
      <c r="W22" s="2"/>
      <c r="X22" s="2">
        <f t="shared" si="2"/>
        <v>-12378</v>
      </c>
      <c r="Y22" s="2"/>
      <c r="Z22" s="19">
        <f t="shared" si="3"/>
        <v>-0.96608780487804879</v>
      </c>
    </row>
    <row r="23" spans="1:26" x14ac:dyDescent="0.25">
      <c r="A23" s="9"/>
      <c r="B23" s="11"/>
      <c r="C23" s="9"/>
      <c r="D23" s="3"/>
      <c r="E23" s="3"/>
      <c r="F23" s="8"/>
      <c r="G23" s="3"/>
      <c r="H23" s="3"/>
      <c r="I23" s="3"/>
      <c r="J23" s="8"/>
      <c r="K23" s="3"/>
      <c r="L23" s="3"/>
      <c r="M23" s="3"/>
      <c r="N23" s="8"/>
      <c r="P23" s="3"/>
      <c r="Q23" s="3"/>
      <c r="R23" s="8"/>
      <c r="S23" s="3"/>
      <c r="T23" s="3"/>
      <c r="U23" s="3"/>
      <c r="V23" s="8"/>
      <c r="W23" s="3"/>
      <c r="X23" s="3"/>
      <c r="Y23" s="3"/>
      <c r="Z23" s="8"/>
    </row>
    <row r="24" spans="1:26" s="24" customFormat="1" collapsed="1" x14ac:dyDescent="0.25">
      <c r="A24" s="11"/>
      <c r="B24" s="29" t="s">
        <v>256</v>
      </c>
      <c r="C24" s="11"/>
      <c r="D24" s="4">
        <f>SUM(OSRRefD16x_0)</f>
        <v>3949.52</v>
      </c>
      <c r="E24" s="4"/>
      <c r="F24" s="13">
        <f t="shared" ref="F24:F26" si="9">IF(D$12=0,0,D24/D$12)</f>
        <v>115.99177679882527</v>
      </c>
      <c r="G24" s="4"/>
      <c r="H24" s="4">
        <f>SUM(OSRRefH16x_0)</f>
        <v>3589.06</v>
      </c>
      <c r="I24" s="4"/>
      <c r="J24" s="13">
        <f t="shared" ref="J24:J26" si="10">IF(H$12=0,0,H24/H$12)</f>
        <v>30.041516698752826</v>
      </c>
      <c r="K24" s="4"/>
      <c r="L24" s="4">
        <f t="shared" ref="L24:L26" si="11">+D24-H24</f>
        <v>360.46000000000004</v>
      </c>
      <c r="M24" s="4"/>
      <c r="N24" s="13">
        <f t="shared" ref="N24:N26" si="12">IF(H24=0,0,L24/H24)</f>
        <v>0.10043298245222984</v>
      </c>
      <c r="O24" s="11"/>
      <c r="P24" s="4">
        <f>SUM(OSRRefP16x_0)</f>
        <v>32340.359999999997</v>
      </c>
      <c r="Q24" s="4"/>
      <c r="R24" s="13">
        <f t="shared" ref="R24:R26" si="13">IF(P$12=0,0,P24/P$12)</f>
        <v>11.109822499029532</v>
      </c>
      <c r="S24" s="4"/>
      <c r="T24" s="4">
        <f>SUM(OSRRefT16x_0)</f>
        <v>1235919.9000000001</v>
      </c>
      <c r="U24" s="4"/>
      <c r="V24" s="13">
        <f t="shared" ref="V24:V26" si="14">IF(T$12=0,0,T24/T$12)</f>
        <v>0.52264764644969519</v>
      </c>
      <c r="W24" s="4"/>
      <c r="X24" s="4">
        <f t="shared" ref="X24:X26" si="15">+P24-T24</f>
        <v>-1203579.54</v>
      </c>
      <c r="Y24" s="4"/>
      <c r="Z24" s="13">
        <f t="shared" ref="Z24:Z26" si="16">IF(T24=0,0,X24/T24)</f>
        <v>-0.97383296441783962</v>
      </c>
    </row>
    <row r="25" spans="1:26" s="23" customFormat="1" hidden="1" outlineLevel="1" x14ac:dyDescent="0.25">
      <c r="A25" s="44"/>
      <c r="B25" s="10" t="str">
        <f>CONCATENATE("          ", "5053", " - ", "PURCHASES @ COST-FOOD")</f>
        <v xml:space="preserve">          5053 - PURCHASES @ COST-FOOD</v>
      </c>
      <c r="C25" s="10"/>
      <c r="D25" s="2">
        <v>1487.52</v>
      </c>
      <c r="E25" s="2"/>
      <c r="F25" s="19">
        <f t="shared" si="9"/>
        <v>43.686343612334802</v>
      </c>
      <c r="G25" s="2"/>
      <c r="H25" s="2">
        <v>-2889.94</v>
      </c>
      <c r="I25" s="2"/>
      <c r="J25" s="19">
        <f t="shared" si="10"/>
        <v>-24.189671047124801</v>
      </c>
      <c r="K25" s="2"/>
      <c r="L25" s="2">
        <f t="shared" si="11"/>
        <v>4377.46</v>
      </c>
      <c r="M25" s="2"/>
      <c r="N25" s="19">
        <f t="shared" si="12"/>
        <v>-1.5147234890689771</v>
      </c>
      <c r="O25" s="10"/>
      <c r="P25" s="2">
        <v>-1011.63</v>
      </c>
      <c r="Q25" s="2"/>
      <c r="R25" s="19">
        <f t="shared" si="13"/>
        <v>-0.34752333414634978</v>
      </c>
      <c r="S25" s="2"/>
      <c r="T25" s="2">
        <v>1155614.1000000001</v>
      </c>
      <c r="U25" s="2"/>
      <c r="V25" s="19">
        <f t="shared" si="14"/>
        <v>0.48868781024488939</v>
      </c>
      <c r="W25" s="2"/>
      <c r="X25" s="2">
        <f t="shared" si="15"/>
        <v>-1156625.73</v>
      </c>
      <c r="Y25" s="2"/>
      <c r="Z25" s="19">
        <f t="shared" si="16"/>
        <v>-1.0008754046874297</v>
      </c>
    </row>
    <row r="26" spans="1:26" s="23" customFormat="1" hidden="1" outlineLevel="1" x14ac:dyDescent="0.25">
      <c r="A26" s="44"/>
      <c r="B26" s="10" t="str">
        <f>CONCATENATE("          ", "5059", " - ", "PURCHASES @ COST-FOOD")</f>
        <v xml:space="preserve">          5059 - PURCHASES @ COST-FOOD</v>
      </c>
      <c r="C26" s="10"/>
      <c r="D26" s="2">
        <v>2462</v>
      </c>
      <c r="E26" s="2"/>
      <c r="F26" s="19">
        <f t="shared" si="9"/>
        <v>72.305433186490461</v>
      </c>
      <c r="G26" s="2"/>
      <c r="H26" s="2">
        <v>6479</v>
      </c>
      <c r="I26" s="2"/>
      <c r="J26" s="19">
        <f t="shared" si="10"/>
        <v>54.231187745877627</v>
      </c>
      <c r="K26" s="2"/>
      <c r="L26" s="2">
        <f t="shared" si="11"/>
        <v>-4017</v>
      </c>
      <c r="M26" s="2"/>
      <c r="N26" s="19">
        <f t="shared" si="12"/>
        <v>-0.62000308689612593</v>
      </c>
      <c r="O26" s="10"/>
      <c r="P26" s="2">
        <v>33351.99</v>
      </c>
      <c r="Q26" s="2"/>
      <c r="R26" s="19">
        <f t="shared" si="13"/>
        <v>11.45734583317588</v>
      </c>
      <c r="S26" s="2"/>
      <c r="T26" s="2">
        <v>80305.8</v>
      </c>
      <c r="U26" s="2"/>
      <c r="V26" s="19">
        <f t="shared" si="14"/>
        <v>3.395983620480577E-2</v>
      </c>
      <c r="W26" s="2"/>
      <c r="X26" s="2">
        <f t="shared" si="15"/>
        <v>-46953.810000000005</v>
      </c>
      <c r="Y26" s="2"/>
      <c r="Z26" s="19">
        <f t="shared" si="16"/>
        <v>-0.5846876564332838</v>
      </c>
    </row>
    <row r="27" spans="1:26" x14ac:dyDescent="0.25">
      <c r="A27" s="9"/>
      <c r="B27" s="11"/>
      <c r="C27" s="11"/>
      <c r="D27" s="3"/>
      <c r="E27" s="3"/>
      <c r="F27" s="8"/>
      <c r="G27" s="3"/>
      <c r="H27" s="3"/>
      <c r="I27" s="3"/>
      <c r="J27" s="8"/>
      <c r="K27" s="3"/>
      <c r="L27" s="3"/>
      <c r="M27" s="3"/>
      <c r="N27" s="8"/>
      <c r="O27" s="11"/>
      <c r="P27" s="3"/>
      <c r="Q27" s="3"/>
      <c r="R27" s="8"/>
      <c r="S27" s="3"/>
      <c r="T27" s="3"/>
      <c r="U27" s="3"/>
      <c r="V27" s="8"/>
      <c r="W27" s="3"/>
      <c r="X27" s="3"/>
      <c r="Y27" s="3"/>
      <c r="Z27" s="8"/>
    </row>
    <row r="28" spans="1:26" s="24" customFormat="1" x14ac:dyDescent="0.25">
      <c r="A28" s="11"/>
      <c r="B28" s="28" t="s">
        <v>107</v>
      </c>
      <c r="C28" s="28"/>
      <c r="D28" s="21">
        <f>D12-D24</f>
        <v>-3915.47</v>
      </c>
      <c r="E28" s="14"/>
      <c r="F28" s="22">
        <f>IF(D$12=0,0,D28/D$12)</f>
        <v>-114.99177679882526</v>
      </c>
      <c r="G28" s="14"/>
      <c r="H28" s="21">
        <f>H12-H24</f>
        <v>-3469.59</v>
      </c>
      <c r="I28" s="14"/>
      <c r="J28" s="22">
        <f>IF(H$12=0,0,H28/H$12)</f>
        <v>-29.041516698752826</v>
      </c>
      <c r="K28" s="15"/>
      <c r="L28" s="21">
        <f>+D28-H28</f>
        <v>-445.87999999999965</v>
      </c>
      <c r="M28" s="15"/>
      <c r="N28" s="22">
        <f>IF(H28=0,0,L28/H28)</f>
        <v>0.12851086151389635</v>
      </c>
      <c r="O28" s="29"/>
      <c r="P28" s="21">
        <f>P12-P24</f>
        <v>-29429.389999999996</v>
      </c>
      <c r="Q28" s="14"/>
      <c r="R28" s="22">
        <f>IF(P$12=0,0,P28/P$12)</f>
        <v>-10.10982249902953</v>
      </c>
      <c r="S28" s="14"/>
      <c r="T28" s="21">
        <f>T12-T24</f>
        <v>1128808.8199999996</v>
      </c>
      <c r="U28" s="14"/>
      <c r="V28" s="22">
        <f>IF(T$12=0,0,T28/T$12)</f>
        <v>0.47735235355030481</v>
      </c>
      <c r="W28" s="15"/>
      <c r="X28" s="21">
        <f>+P28-T28</f>
        <v>-1158238.2099999995</v>
      </c>
      <c r="Y28" s="15"/>
      <c r="Z28" s="22">
        <f>IF(T28=0,0,X28/T28)</f>
        <v>-1.0260711906910862</v>
      </c>
    </row>
    <row r="29" spans="1:26" x14ac:dyDescent="0.25">
      <c r="A29" s="9"/>
      <c r="B29" s="11"/>
      <c r="C29" s="9"/>
      <c r="D29" s="1"/>
      <c r="E29" s="1"/>
      <c r="F29" s="5"/>
      <c r="G29" s="1"/>
      <c r="H29" s="1"/>
      <c r="I29" s="1"/>
      <c r="J29" s="5"/>
      <c r="K29" s="1"/>
      <c r="L29" s="1"/>
      <c r="M29" s="1"/>
      <c r="N29" s="5"/>
      <c r="O29" s="37"/>
      <c r="P29" s="1"/>
      <c r="Q29" s="1"/>
      <c r="R29" s="5"/>
      <c r="S29" s="1"/>
      <c r="T29" s="1"/>
      <c r="U29" s="1"/>
      <c r="V29" s="5"/>
      <c r="W29" s="1"/>
      <c r="X29" s="1"/>
      <c r="Y29" s="1"/>
      <c r="Z29" s="5"/>
    </row>
    <row r="30" spans="1:26" s="24" customFormat="1" x14ac:dyDescent="0.25">
      <c r="A30" s="11"/>
      <c r="B30" s="29" t="s">
        <v>294</v>
      </c>
      <c r="C30" s="11"/>
      <c r="D30" s="20">
        <f>SUM(OSRRefD22x_0)</f>
        <v>7493.9600000000009</v>
      </c>
      <c r="E30" s="20"/>
      <c r="F30" s="32">
        <f t="shared" ref="F30:F39" si="17">IF(D$12=0,0,D30/D$12)</f>
        <v>220.08693098384734</v>
      </c>
      <c r="G30" s="20"/>
      <c r="H30" s="20">
        <f>SUM(OSRRefH22x_0)</f>
        <v>41980.850000000006</v>
      </c>
      <c r="I30" s="20"/>
      <c r="J30" s="32">
        <f t="shared" ref="J30:J39" si="18">IF(H$12=0,0,H30/H$12)</f>
        <v>351.39239976563158</v>
      </c>
      <c r="K30" s="4"/>
      <c r="L30" s="20">
        <f t="shared" ref="L30:L39" si="19">+D30-H30</f>
        <v>-34486.890000000007</v>
      </c>
      <c r="M30" s="4"/>
      <c r="N30" s="32">
        <f t="shared" ref="N30:N39" si="20">IF(H30=0,0,L30/H30)</f>
        <v>-0.82149098934395093</v>
      </c>
      <c r="O30" s="11"/>
      <c r="P30" s="20">
        <f>SUM(OSRRefP22x_0)</f>
        <v>255522.39000000004</v>
      </c>
      <c r="Q30" s="20"/>
      <c r="R30" s="32">
        <f t="shared" ref="R30:R39" si="21">IF(P$12=0,0,P30/P$12)</f>
        <v>87.779121736053625</v>
      </c>
      <c r="S30" s="20"/>
      <c r="T30" s="20">
        <f>SUM(OSRRefT22x_0)</f>
        <v>1073659.1599999999</v>
      </c>
      <c r="U30" s="20"/>
      <c r="V30" s="32">
        <f t="shared" ref="V30:V39" si="22">IF(T$12=0,0,T30/T$12)</f>
        <v>0.45403058326284462</v>
      </c>
      <c r="W30" s="4"/>
      <c r="X30" s="20">
        <f t="shared" ref="X30:X39" si="23">+P30-T30</f>
        <v>-818136.7699999999</v>
      </c>
      <c r="Y30" s="4"/>
      <c r="Z30" s="32">
        <f t="shared" ref="Z30:Z39" si="24">IF(T30=0,0,X30/T30)</f>
        <v>-0.76200790761194637</v>
      </c>
    </row>
    <row r="31" spans="1:26" s="27" customFormat="1" outlineLevel="1" collapsed="1" x14ac:dyDescent="0.25">
      <c r="A31" s="26"/>
      <c r="B31" s="12" t="str">
        <f>CONCATENATE("     ","*Benefits                                         ")</f>
        <v xml:space="preserve">     *Benefits                                         </v>
      </c>
      <c r="C31" s="12"/>
      <c r="D31" s="1">
        <f>SUM(OSRRefD22_0x_0)</f>
        <v>0</v>
      </c>
      <c r="E31" s="1"/>
      <c r="F31" s="5">
        <f t="shared" si="17"/>
        <v>0</v>
      </c>
      <c r="G31" s="1"/>
      <c r="H31" s="1">
        <f>SUM(OSRRefH22_0x_0)</f>
        <v>7380.7699999999995</v>
      </c>
      <c r="I31" s="1"/>
      <c r="J31" s="5">
        <f t="shared" si="18"/>
        <v>61.779275131832257</v>
      </c>
      <c r="K31" s="1"/>
      <c r="L31" s="1">
        <f t="shared" si="19"/>
        <v>-7380.7699999999995</v>
      </c>
      <c r="M31" s="1"/>
      <c r="N31" s="5">
        <f t="shared" si="20"/>
        <v>-1</v>
      </c>
      <c r="O31" s="12"/>
      <c r="P31" s="1">
        <f>SUM(OSRRefP22_0x_0)</f>
        <v>35025.26</v>
      </c>
      <c r="Q31" s="1"/>
      <c r="R31" s="5">
        <f t="shared" si="21"/>
        <v>12.032161100938861</v>
      </c>
      <c r="S31" s="1"/>
      <c r="T31" s="1">
        <f>SUM(OSRRefT22_0x_0)</f>
        <v>144729.35999999999</v>
      </c>
      <c r="U31" s="1"/>
      <c r="V31" s="5">
        <f t="shared" si="22"/>
        <v>6.1203367124496207E-2</v>
      </c>
      <c r="W31" s="1"/>
      <c r="X31" s="1">
        <f t="shared" si="23"/>
        <v>-109704.09999999998</v>
      </c>
      <c r="Y31" s="1"/>
      <c r="Z31" s="5">
        <f t="shared" si="24"/>
        <v>-0.75799478419582578</v>
      </c>
    </row>
    <row r="32" spans="1:26" s="23" customFormat="1" hidden="1" outlineLevel="2" x14ac:dyDescent="0.25">
      <c r="A32" s="25"/>
      <c r="B32" s="10" t="str">
        <f>CONCATENATE("          ", "6111", " - ", "F.I.C.A.")</f>
        <v xml:space="preserve">          6111 - F.I.C.A.</v>
      </c>
      <c r="C32" s="10"/>
      <c r="D32" s="6"/>
      <c r="E32" s="2"/>
      <c r="F32" s="7">
        <f t="shared" si="17"/>
        <v>0</v>
      </c>
      <c r="G32" s="2"/>
      <c r="H32" s="6">
        <v>994.16</v>
      </c>
      <c r="I32" s="2"/>
      <c r="J32" s="7">
        <f t="shared" si="18"/>
        <v>8.3214196032476764</v>
      </c>
      <c r="K32" s="2"/>
      <c r="L32" s="6">
        <f t="shared" si="19"/>
        <v>-994.16</v>
      </c>
      <c r="M32" s="2"/>
      <c r="N32" s="7">
        <f t="shared" si="20"/>
        <v>-1</v>
      </c>
      <c r="O32" s="10"/>
      <c r="P32" s="6">
        <v>3909.68</v>
      </c>
      <c r="Q32" s="2"/>
      <c r="R32" s="7">
        <f t="shared" si="21"/>
        <v>1.3430849510644216</v>
      </c>
      <c r="S32" s="2"/>
      <c r="T32" s="6">
        <v>24045.040000000001</v>
      </c>
      <c r="U32" s="2"/>
      <c r="V32" s="7">
        <f t="shared" si="22"/>
        <v>1.0168202295948774E-2</v>
      </c>
      <c r="W32" s="2"/>
      <c r="X32" s="6">
        <f t="shared" si="23"/>
        <v>-20135.36</v>
      </c>
      <c r="Y32" s="2"/>
      <c r="Z32" s="7">
        <f t="shared" si="24"/>
        <v>-0.83740180927126762</v>
      </c>
    </row>
    <row r="33" spans="1:26" s="23" customFormat="1" hidden="1" outlineLevel="2" x14ac:dyDescent="0.25">
      <c r="A33" s="25"/>
      <c r="B33" s="10" t="str">
        <f>CONCATENATE("          ", "6112", " - ", "COMPENSATION INSURANCE")</f>
        <v xml:space="preserve">          6112 - COMPENSATION INSURANCE</v>
      </c>
      <c r="C33" s="10"/>
      <c r="D33" s="6"/>
      <c r="E33" s="2"/>
      <c r="F33" s="7">
        <f t="shared" si="17"/>
        <v>0</v>
      </c>
      <c r="G33" s="2"/>
      <c r="H33" s="6">
        <v>246.92</v>
      </c>
      <c r="I33" s="2"/>
      <c r="J33" s="7">
        <f t="shared" si="18"/>
        <v>2.0667950112999081</v>
      </c>
      <c r="K33" s="2"/>
      <c r="L33" s="6">
        <f t="shared" si="19"/>
        <v>-246.92</v>
      </c>
      <c r="M33" s="2"/>
      <c r="N33" s="7">
        <f t="shared" si="20"/>
        <v>-1</v>
      </c>
      <c r="O33" s="10"/>
      <c r="P33" s="6">
        <v>830.67</v>
      </c>
      <c r="Q33" s="2"/>
      <c r="R33" s="7">
        <f t="shared" si="21"/>
        <v>0.28535848875117226</v>
      </c>
      <c r="S33" s="2"/>
      <c r="T33" s="6">
        <v>9516.2099999999991</v>
      </c>
      <c r="U33" s="2"/>
      <c r="V33" s="7">
        <f t="shared" si="22"/>
        <v>4.0242290456048591E-3</v>
      </c>
      <c r="W33" s="2"/>
      <c r="X33" s="6">
        <f t="shared" si="23"/>
        <v>-8685.5399999999991</v>
      </c>
      <c r="Y33" s="2"/>
      <c r="Z33" s="7">
        <f t="shared" si="24"/>
        <v>-0.9127099969420599</v>
      </c>
    </row>
    <row r="34" spans="1:26" s="23" customFormat="1" hidden="1" outlineLevel="2" x14ac:dyDescent="0.25">
      <c r="A34" s="25"/>
      <c r="B34" s="10" t="str">
        <f>CONCATENATE("          ", "6113", " - ", "GROUP INSURANCE")</f>
        <v xml:space="preserve">          6113 - GROUP INSURANCE</v>
      </c>
      <c r="C34" s="10"/>
      <c r="D34" s="6"/>
      <c r="E34" s="2"/>
      <c r="F34" s="7">
        <f t="shared" si="17"/>
        <v>0</v>
      </c>
      <c r="G34" s="2"/>
      <c r="H34" s="6">
        <v>4620.57</v>
      </c>
      <c r="I34" s="2"/>
      <c r="J34" s="7">
        <f t="shared" si="18"/>
        <v>38.675567087971871</v>
      </c>
      <c r="K34" s="2"/>
      <c r="L34" s="6">
        <f t="shared" si="19"/>
        <v>-4620.57</v>
      </c>
      <c r="M34" s="2"/>
      <c r="N34" s="7">
        <f t="shared" si="20"/>
        <v>-1</v>
      </c>
      <c r="O34" s="10"/>
      <c r="P34" s="6">
        <v>18067.72</v>
      </c>
      <c r="Q34" s="2"/>
      <c r="R34" s="7">
        <f t="shared" si="21"/>
        <v>6.2067695647842474</v>
      </c>
      <c r="S34" s="2"/>
      <c r="T34" s="6">
        <v>64558.85</v>
      </c>
      <c r="U34" s="2"/>
      <c r="V34" s="7">
        <f t="shared" si="22"/>
        <v>2.7300742556211694E-2</v>
      </c>
      <c r="W34" s="2"/>
      <c r="X34" s="6">
        <f t="shared" si="23"/>
        <v>-46491.13</v>
      </c>
      <c r="Y34" s="2"/>
      <c r="Z34" s="7">
        <f t="shared" si="24"/>
        <v>-0.7201356591698892</v>
      </c>
    </row>
    <row r="35" spans="1:26" s="23" customFormat="1" hidden="1" outlineLevel="2" x14ac:dyDescent="0.25">
      <c r="A35" s="25"/>
      <c r="B35" s="10" t="str">
        <f>CONCATENATE("          ", "6114", " - ", "STATE UNEMPLOYMENT INSURANCE")</f>
        <v xml:space="preserve">          6114 - STATE UNEMPLOYMENT INSURANCE</v>
      </c>
      <c r="C35" s="10"/>
      <c r="D35" s="6"/>
      <c r="E35" s="2"/>
      <c r="F35" s="7">
        <f t="shared" si="17"/>
        <v>0</v>
      </c>
      <c r="G35" s="2"/>
      <c r="H35" s="6">
        <v>-1401.68</v>
      </c>
      <c r="I35" s="2"/>
      <c r="J35" s="7">
        <f t="shared" si="18"/>
        <v>-11.732485142713653</v>
      </c>
      <c r="K35" s="2"/>
      <c r="L35" s="6">
        <f t="shared" si="19"/>
        <v>1401.68</v>
      </c>
      <c r="M35" s="2"/>
      <c r="N35" s="7">
        <f t="shared" si="20"/>
        <v>-1</v>
      </c>
      <c r="O35" s="10"/>
      <c r="P35" s="6">
        <v>132.15</v>
      </c>
      <c r="Q35" s="2"/>
      <c r="R35" s="7">
        <f t="shared" si="21"/>
        <v>4.5397238721113578E-2</v>
      </c>
      <c r="S35" s="2"/>
      <c r="T35" s="6">
        <v>0</v>
      </c>
      <c r="U35" s="2"/>
      <c r="V35" s="7">
        <f t="shared" si="22"/>
        <v>0</v>
      </c>
      <c r="W35" s="2"/>
      <c r="X35" s="6">
        <f t="shared" si="23"/>
        <v>132.15</v>
      </c>
      <c r="Y35" s="2"/>
      <c r="Z35" s="7">
        <f t="shared" si="24"/>
        <v>0</v>
      </c>
    </row>
    <row r="36" spans="1:26" s="23" customFormat="1" hidden="1" outlineLevel="2" x14ac:dyDescent="0.25">
      <c r="A36" s="25"/>
      <c r="B36" s="10" t="str">
        <f>CONCATENATE("          ", "6115", " - ", "P.E.R.S.")</f>
        <v xml:space="preserve">          6115 - P.E.R.S.</v>
      </c>
      <c r="C36" s="10"/>
      <c r="D36" s="6"/>
      <c r="E36" s="2"/>
      <c r="F36" s="7">
        <f t="shared" si="17"/>
        <v>0</v>
      </c>
      <c r="G36" s="2"/>
      <c r="H36" s="6">
        <v>1284.74</v>
      </c>
      <c r="I36" s="2"/>
      <c r="J36" s="7">
        <f t="shared" si="18"/>
        <v>10.753662007198461</v>
      </c>
      <c r="K36" s="2"/>
      <c r="L36" s="6">
        <f t="shared" si="19"/>
        <v>-1284.74</v>
      </c>
      <c r="M36" s="2"/>
      <c r="N36" s="7">
        <f t="shared" si="20"/>
        <v>-1</v>
      </c>
      <c r="O36" s="10"/>
      <c r="P36" s="6">
        <v>5525.49</v>
      </c>
      <c r="Q36" s="2"/>
      <c r="R36" s="7">
        <f t="shared" si="21"/>
        <v>1.8981610940683</v>
      </c>
      <c r="S36" s="2"/>
      <c r="T36" s="6">
        <v>17974.95</v>
      </c>
      <c r="U36" s="2"/>
      <c r="V36" s="7">
        <f t="shared" si="22"/>
        <v>7.6012736040183089E-3</v>
      </c>
      <c r="W36" s="2"/>
      <c r="X36" s="6">
        <f t="shared" si="23"/>
        <v>-12449.460000000001</v>
      </c>
      <c r="Y36" s="2"/>
      <c r="Z36" s="7">
        <f t="shared" si="24"/>
        <v>-0.69260053574557934</v>
      </c>
    </row>
    <row r="37" spans="1:26" s="23" customFormat="1" hidden="1" outlineLevel="2" x14ac:dyDescent="0.25">
      <c r="A37" s="25"/>
      <c r="B37" s="10" t="str">
        <f>CONCATENATE("          ", "6118", " - ", "VACATION")</f>
        <v xml:space="preserve">          6118 - VACATION</v>
      </c>
      <c r="C37" s="10"/>
      <c r="D37" s="6"/>
      <c r="E37" s="2"/>
      <c r="F37" s="7">
        <f t="shared" si="17"/>
        <v>0</v>
      </c>
      <c r="G37" s="2"/>
      <c r="H37" s="6">
        <v>950.98</v>
      </c>
      <c r="I37" s="2"/>
      <c r="J37" s="7">
        <f t="shared" si="18"/>
        <v>7.9599899556373988</v>
      </c>
      <c r="K37" s="2"/>
      <c r="L37" s="6">
        <f t="shared" si="19"/>
        <v>-950.98</v>
      </c>
      <c r="M37" s="2"/>
      <c r="N37" s="7">
        <f t="shared" si="20"/>
        <v>-1</v>
      </c>
      <c r="O37" s="10"/>
      <c r="P37" s="6">
        <v>3386</v>
      </c>
      <c r="Q37" s="2"/>
      <c r="R37" s="7">
        <f t="shared" si="21"/>
        <v>1.1631861544433642</v>
      </c>
      <c r="S37" s="2"/>
      <c r="T37" s="6">
        <v>13978.95</v>
      </c>
      <c r="U37" s="2"/>
      <c r="V37" s="7">
        <f t="shared" si="22"/>
        <v>5.9114391776829275E-3</v>
      </c>
      <c r="W37" s="2"/>
      <c r="X37" s="6">
        <f t="shared" si="23"/>
        <v>-10592.95</v>
      </c>
      <c r="Y37" s="2"/>
      <c r="Z37" s="7">
        <f t="shared" si="24"/>
        <v>-0.75777866005672812</v>
      </c>
    </row>
    <row r="38" spans="1:26" s="23" customFormat="1" hidden="1" outlineLevel="2" x14ac:dyDescent="0.25">
      <c r="A38" s="25"/>
      <c r="B38" s="10" t="str">
        <f>CONCATENATE("          ", "6119", " - ", "SICK LEAVE")</f>
        <v xml:space="preserve">          6119 - SICK LEAVE</v>
      </c>
      <c r="C38" s="10"/>
      <c r="D38" s="6"/>
      <c r="E38" s="2"/>
      <c r="F38" s="7">
        <f t="shared" si="17"/>
        <v>0</v>
      </c>
      <c r="G38" s="2"/>
      <c r="H38" s="6">
        <v>640.52</v>
      </c>
      <c r="I38" s="2"/>
      <c r="J38" s="7">
        <f t="shared" si="18"/>
        <v>5.3613459445885994</v>
      </c>
      <c r="K38" s="2"/>
      <c r="L38" s="6">
        <f t="shared" si="19"/>
        <v>-640.52</v>
      </c>
      <c r="M38" s="2"/>
      <c r="N38" s="7">
        <f t="shared" si="20"/>
        <v>-1</v>
      </c>
      <c r="O38" s="10"/>
      <c r="P38" s="6">
        <v>2447.1799999999998</v>
      </c>
      <c r="Q38" s="2"/>
      <c r="R38" s="7">
        <f t="shared" si="21"/>
        <v>0.84067510142667212</v>
      </c>
      <c r="S38" s="2"/>
      <c r="T38" s="6">
        <v>9513.4599999999991</v>
      </c>
      <c r="U38" s="2"/>
      <c r="V38" s="7">
        <f t="shared" si="22"/>
        <v>4.0230661215126615E-3</v>
      </c>
      <c r="W38" s="2"/>
      <c r="X38" s="6">
        <f t="shared" si="23"/>
        <v>-7066.2799999999988</v>
      </c>
      <c r="Y38" s="2"/>
      <c r="Z38" s="7">
        <f t="shared" si="24"/>
        <v>-0.74276656442556122</v>
      </c>
    </row>
    <row r="39" spans="1:26" s="23" customFormat="1" hidden="1" outlineLevel="2" x14ac:dyDescent="0.25">
      <c r="A39" s="25"/>
      <c r="B39" s="10" t="str">
        <f>CONCATENATE("          ", "6156", " - ", "EMPLOYEE MEALS")</f>
        <v xml:space="preserve">          6156 - EMPLOYEE MEALS</v>
      </c>
      <c r="C39" s="10"/>
      <c r="D39" s="6"/>
      <c r="E39" s="2"/>
      <c r="F39" s="7">
        <f t="shared" si="17"/>
        <v>0</v>
      </c>
      <c r="G39" s="2"/>
      <c r="H39" s="6">
        <v>44.56</v>
      </c>
      <c r="I39" s="2"/>
      <c r="J39" s="7">
        <f t="shared" si="18"/>
        <v>0.37298066460199214</v>
      </c>
      <c r="K39" s="2"/>
      <c r="L39" s="6">
        <f t="shared" si="19"/>
        <v>-44.56</v>
      </c>
      <c r="M39" s="2"/>
      <c r="N39" s="7">
        <f t="shared" si="20"/>
        <v>-1</v>
      </c>
      <c r="O39" s="10"/>
      <c r="P39" s="6">
        <v>726.37</v>
      </c>
      <c r="Q39" s="2"/>
      <c r="R39" s="7">
        <f t="shared" si="21"/>
        <v>0.24952850767957072</v>
      </c>
      <c r="S39" s="2"/>
      <c r="T39" s="6">
        <v>5141.8999999999996</v>
      </c>
      <c r="U39" s="2"/>
      <c r="V39" s="7">
        <f t="shared" si="22"/>
        <v>2.1744143235169909E-3</v>
      </c>
      <c r="W39" s="2"/>
      <c r="X39" s="6">
        <f t="shared" si="23"/>
        <v>-4415.53</v>
      </c>
      <c r="Y39" s="2"/>
      <c r="Z39" s="7">
        <f t="shared" si="24"/>
        <v>-0.858735097921002</v>
      </c>
    </row>
    <row r="40" spans="1:26" s="27" customFormat="1" outlineLevel="1" collapsed="1" x14ac:dyDescent="0.25">
      <c r="A40" s="26"/>
      <c r="B40" s="12" t="str">
        <f>CONCATENATE("     ","*Payroll                                          ")</f>
        <v xml:space="preserve">     *Payroll                                          </v>
      </c>
      <c r="C40" s="12"/>
      <c r="D40" s="1">
        <f>SUM(OSRRefD22_1x_0)</f>
        <v>0</v>
      </c>
      <c r="E40" s="1"/>
      <c r="F40" s="5">
        <f t="shared" ref="F40:F46" si="25">IF(D$12=0,0,D40/D$12)</f>
        <v>0</v>
      </c>
      <c r="G40" s="1"/>
      <c r="H40" s="1">
        <f>SUM(OSRRefH22_1x_0)</f>
        <v>9732.81</v>
      </c>
      <c r="I40" s="1"/>
      <c r="J40" s="5">
        <f t="shared" ref="J40:J46" si="26">IF(H$12=0,0,H40/H$12)</f>
        <v>81.466560642839198</v>
      </c>
      <c r="K40" s="1"/>
      <c r="L40" s="1">
        <f t="shared" ref="L40:L46" si="27">+D40-H40</f>
        <v>-9732.81</v>
      </c>
      <c r="M40" s="1"/>
      <c r="N40" s="5">
        <f t="shared" ref="N40:N46" si="28">IF(H40=0,0,L40/H40)</f>
        <v>-1</v>
      </c>
      <c r="O40" s="12"/>
      <c r="P40" s="1">
        <f>SUM(OSRRefP22_1x_0)</f>
        <v>41960.38</v>
      </c>
      <c r="Q40" s="1"/>
      <c r="R40" s="5">
        <f t="shared" ref="R40:R46" si="29">IF(P$12=0,0,P40/P$12)</f>
        <v>14.414569713875441</v>
      </c>
      <c r="S40" s="1"/>
      <c r="T40" s="1">
        <f>SUM(OSRRefT22_1x_0)</f>
        <v>517542.45</v>
      </c>
      <c r="U40" s="1"/>
      <c r="V40" s="5">
        <f t="shared" ref="V40:V46" si="30">IF(T$12=0,0,T40/T$12)</f>
        <v>0.21885912139638583</v>
      </c>
      <c r="W40" s="1"/>
      <c r="X40" s="1">
        <f t="shared" ref="X40:X46" si="31">+P40-T40</f>
        <v>-475582.07</v>
      </c>
      <c r="Y40" s="1"/>
      <c r="Z40" s="5">
        <f t="shared" ref="Z40:Z46" si="32">IF(T40=0,0,X40/T40)</f>
        <v>-0.91892379069581631</v>
      </c>
    </row>
    <row r="41" spans="1:26" s="23" customFormat="1" hidden="1" outlineLevel="2" x14ac:dyDescent="0.25">
      <c r="A41" s="25"/>
      <c r="B41" s="10" t="str">
        <f>CONCATENATE("          ", "6002", " - ", "STAFF SALARIES")</f>
        <v xml:space="preserve">          6002 - STAFF SALARIES</v>
      </c>
      <c r="C41" s="10"/>
      <c r="D41" s="6"/>
      <c r="E41" s="2"/>
      <c r="F41" s="7">
        <f t="shared" si="25"/>
        <v>0</v>
      </c>
      <c r="G41" s="2"/>
      <c r="H41" s="6">
        <v>9732.81</v>
      </c>
      <c r="I41" s="2"/>
      <c r="J41" s="7">
        <f t="shared" si="26"/>
        <v>81.466560642839198</v>
      </c>
      <c r="K41" s="2"/>
      <c r="L41" s="6">
        <f t="shared" si="27"/>
        <v>-9732.81</v>
      </c>
      <c r="M41" s="2"/>
      <c r="N41" s="7">
        <f t="shared" si="28"/>
        <v>-1</v>
      </c>
      <c r="O41" s="10"/>
      <c r="P41" s="6">
        <v>39828.42</v>
      </c>
      <c r="Q41" s="2"/>
      <c r="R41" s="7">
        <f t="shared" si="29"/>
        <v>13.682181540860949</v>
      </c>
      <c r="S41" s="2"/>
      <c r="T41" s="6">
        <v>170946.37</v>
      </c>
      <c r="U41" s="2"/>
      <c r="V41" s="7">
        <f t="shared" si="30"/>
        <v>7.2290055326092548E-2</v>
      </c>
      <c r="W41" s="2"/>
      <c r="X41" s="6">
        <f t="shared" si="31"/>
        <v>-131117.95000000001</v>
      </c>
      <c r="Y41" s="2"/>
      <c r="Z41" s="7">
        <f t="shared" si="32"/>
        <v>-0.76701219218635652</v>
      </c>
    </row>
    <row r="42" spans="1:26" s="23" customFormat="1" hidden="1" outlineLevel="2" x14ac:dyDescent="0.25">
      <c r="A42" s="25"/>
      <c r="B42" s="10" t="str">
        <f>CONCATENATE("          ", "6004", " - ", "STAFF HOURLY")</f>
        <v xml:space="preserve">          6004 - STAFF HOURLY</v>
      </c>
      <c r="C42" s="10"/>
      <c r="D42" s="6"/>
      <c r="E42" s="2"/>
      <c r="F42" s="7">
        <f t="shared" si="25"/>
        <v>0</v>
      </c>
      <c r="G42" s="2"/>
      <c r="H42" s="6"/>
      <c r="I42" s="2"/>
      <c r="J42" s="7">
        <f t="shared" si="26"/>
        <v>0</v>
      </c>
      <c r="K42" s="2"/>
      <c r="L42" s="6">
        <f t="shared" si="27"/>
        <v>0</v>
      </c>
      <c r="M42" s="2"/>
      <c r="N42" s="7">
        <f t="shared" si="28"/>
        <v>0</v>
      </c>
      <c r="O42" s="10"/>
      <c r="P42" s="6"/>
      <c r="Q42" s="2"/>
      <c r="R42" s="7">
        <f t="shared" si="29"/>
        <v>0</v>
      </c>
      <c r="S42" s="2"/>
      <c r="T42" s="6">
        <v>-3363.69</v>
      </c>
      <c r="U42" s="2"/>
      <c r="V42" s="7">
        <f t="shared" si="30"/>
        <v>-1.4224422326126274E-3</v>
      </c>
      <c r="W42" s="2"/>
      <c r="X42" s="6">
        <f t="shared" si="31"/>
        <v>3363.69</v>
      </c>
      <c r="Y42" s="2"/>
      <c r="Z42" s="7">
        <f t="shared" si="32"/>
        <v>-1</v>
      </c>
    </row>
    <row r="43" spans="1:26" s="23" customFormat="1" hidden="1" outlineLevel="2" x14ac:dyDescent="0.25">
      <c r="A43" s="25"/>
      <c r="B43" s="10" t="str">
        <f>CONCATENATE("          ", "6005", " - ", "TEMPORARY WAGES-HOURLY")</f>
        <v xml:space="preserve">          6005 - TEMPORARY WAGES-HOURLY</v>
      </c>
      <c r="C43" s="10"/>
      <c r="D43" s="6"/>
      <c r="E43" s="2"/>
      <c r="F43" s="7">
        <f t="shared" si="25"/>
        <v>0</v>
      </c>
      <c r="G43" s="2"/>
      <c r="H43" s="6"/>
      <c r="I43" s="2"/>
      <c r="J43" s="7">
        <f t="shared" si="26"/>
        <v>0</v>
      </c>
      <c r="K43" s="2"/>
      <c r="L43" s="6">
        <f t="shared" si="27"/>
        <v>0</v>
      </c>
      <c r="M43" s="2"/>
      <c r="N43" s="7">
        <f t="shared" si="28"/>
        <v>0</v>
      </c>
      <c r="O43" s="10"/>
      <c r="P43" s="6">
        <v>2131.96</v>
      </c>
      <c r="Q43" s="2"/>
      <c r="R43" s="7">
        <f t="shared" si="29"/>
        <v>0.73238817301449344</v>
      </c>
      <c r="S43" s="2"/>
      <c r="T43" s="6">
        <v>67287.22</v>
      </c>
      <c r="U43" s="2"/>
      <c r="V43" s="7">
        <f t="shared" si="30"/>
        <v>2.8454519721822471E-2</v>
      </c>
      <c r="W43" s="2"/>
      <c r="X43" s="6">
        <f t="shared" si="31"/>
        <v>-65155.26</v>
      </c>
      <c r="Y43" s="2"/>
      <c r="Z43" s="7">
        <f t="shared" si="32"/>
        <v>-0.96831552856545422</v>
      </c>
    </row>
    <row r="44" spans="1:26" s="23" customFormat="1" hidden="1" outlineLevel="2" x14ac:dyDescent="0.25">
      <c r="A44" s="25"/>
      <c r="B44" s="10" t="str">
        <f>CONCATENATE("          ", "6006", " - ", "TEMPORARY PART TIME")</f>
        <v xml:space="preserve">          6006 - TEMPORARY PART TIME</v>
      </c>
      <c r="C44" s="10"/>
      <c r="D44" s="6"/>
      <c r="E44" s="2"/>
      <c r="F44" s="7">
        <f t="shared" si="25"/>
        <v>0</v>
      </c>
      <c r="G44" s="2"/>
      <c r="H44" s="6"/>
      <c r="I44" s="2"/>
      <c r="J44" s="7">
        <f t="shared" si="26"/>
        <v>0</v>
      </c>
      <c r="K44" s="2"/>
      <c r="L44" s="6">
        <f t="shared" si="27"/>
        <v>0</v>
      </c>
      <c r="M44" s="2"/>
      <c r="N44" s="7">
        <f t="shared" si="28"/>
        <v>0</v>
      </c>
      <c r="O44" s="10"/>
      <c r="P44" s="6"/>
      <c r="Q44" s="2"/>
      <c r="R44" s="7">
        <f t="shared" si="29"/>
        <v>0</v>
      </c>
      <c r="S44" s="2"/>
      <c r="T44" s="6">
        <v>21785.59</v>
      </c>
      <c r="U44" s="2"/>
      <c r="V44" s="7">
        <f t="shared" si="30"/>
        <v>9.2127227177246796E-3</v>
      </c>
      <c r="W44" s="2"/>
      <c r="X44" s="6">
        <f t="shared" si="31"/>
        <v>-21785.59</v>
      </c>
      <c r="Y44" s="2"/>
      <c r="Z44" s="7">
        <f t="shared" si="32"/>
        <v>-1</v>
      </c>
    </row>
    <row r="45" spans="1:26" s="23" customFormat="1" hidden="1" outlineLevel="2" x14ac:dyDescent="0.25">
      <c r="A45" s="25"/>
      <c r="B45" s="10" t="str">
        <f>CONCATENATE("          ", "6007", " - ", "STUDENT HOURLY")</f>
        <v xml:space="preserve">          6007 - STUDENT HOURLY</v>
      </c>
      <c r="C45" s="10"/>
      <c r="D45" s="6"/>
      <c r="E45" s="2"/>
      <c r="F45" s="7">
        <f t="shared" si="25"/>
        <v>0</v>
      </c>
      <c r="G45" s="2"/>
      <c r="H45" s="6"/>
      <c r="I45" s="2"/>
      <c r="J45" s="7">
        <f t="shared" si="26"/>
        <v>0</v>
      </c>
      <c r="K45" s="2"/>
      <c r="L45" s="6">
        <f t="shared" si="27"/>
        <v>0</v>
      </c>
      <c r="M45" s="2"/>
      <c r="N45" s="7">
        <f t="shared" si="28"/>
        <v>0</v>
      </c>
      <c r="O45" s="10"/>
      <c r="P45" s="6">
        <v>0</v>
      </c>
      <c r="Q45" s="2"/>
      <c r="R45" s="7">
        <f t="shared" si="29"/>
        <v>0</v>
      </c>
      <c r="S45" s="2"/>
      <c r="T45" s="6">
        <v>250050.07</v>
      </c>
      <c r="U45" s="2"/>
      <c r="V45" s="7">
        <f t="shared" si="30"/>
        <v>0.10574154569408707</v>
      </c>
      <c r="W45" s="2"/>
      <c r="X45" s="6">
        <f t="shared" si="31"/>
        <v>-250050.07</v>
      </c>
      <c r="Y45" s="2"/>
      <c r="Z45" s="7">
        <f t="shared" si="32"/>
        <v>-1</v>
      </c>
    </row>
    <row r="46" spans="1:26" s="23" customFormat="1" hidden="1" outlineLevel="2" x14ac:dyDescent="0.25">
      <c r="A46" s="25"/>
      <c r="B46" s="10" t="str">
        <f>CONCATENATE("          ", "6008", " - ", "STUDENT HOURLY-FICA EXEMPT")</f>
        <v xml:space="preserve">          6008 - STUDENT HOURLY-FICA EXEMPT</v>
      </c>
      <c r="C46" s="10"/>
      <c r="D46" s="6"/>
      <c r="E46" s="2"/>
      <c r="F46" s="7">
        <f t="shared" si="25"/>
        <v>0</v>
      </c>
      <c r="G46" s="2"/>
      <c r="H46" s="6"/>
      <c r="I46" s="2"/>
      <c r="J46" s="7">
        <f t="shared" si="26"/>
        <v>0</v>
      </c>
      <c r="K46" s="2"/>
      <c r="L46" s="6">
        <f t="shared" si="27"/>
        <v>0</v>
      </c>
      <c r="M46" s="2"/>
      <c r="N46" s="7">
        <f t="shared" si="28"/>
        <v>0</v>
      </c>
      <c r="O46" s="10"/>
      <c r="P46" s="6"/>
      <c r="Q46" s="2"/>
      <c r="R46" s="7">
        <f t="shared" si="29"/>
        <v>0</v>
      </c>
      <c r="S46" s="2"/>
      <c r="T46" s="6">
        <v>10836.89</v>
      </c>
      <c r="U46" s="2"/>
      <c r="V46" s="7">
        <f t="shared" si="30"/>
        <v>4.5827201692716793E-3</v>
      </c>
      <c r="W46" s="2"/>
      <c r="X46" s="6">
        <f t="shared" si="31"/>
        <v>-10836.89</v>
      </c>
      <c r="Y46" s="2"/>
      <c r="Z46" s="7">
        <f t="shared" si="32"/>
        <v>-1</v>
      </c>
    </row>
    <row r="47" spans="1:26" s="27" customFormat="1" outlineLevel="1" collapsed="1" x14ac:dyDescent="0.25">
      <c r="A47" s="26"/>
      <c r="B47" s="12" t="str">
        <f>CONCATENATE("     ","Advertising/Promo                                 ")</f>
        <v xml:space="preserve">     Advertising/Promo                                 </v>
      </c>
      <c r="C47" s="12"/>
      <c r="D47" s="1">
        <f>SUM(OSRRefD22_2x_0)</f>
        <v>0</v>
      </c>
      <c r="E47" s="1"/>
      <c r="F47" s="5">
        <f t="shared" ref="F47:F55" si="33">IF(D$12=0,0,D47/D$12)</f>
        <v>0</v>
      </c>
      <c r="G47" s="1"/>
      <c r="H47" s="1">
        <f>SUM(OSRRefH22_2x_0)</f>
        <v>0</v>
      </c>
      <c r="I47" s="1"/>
      <c r="J47" s="5">
        <f t="shared" ref="J47:J55" si="34">IF(H$12=0,0,H47/H$12)</f>
        <v>0</v>
      </c>
      <c r="K47" s="1"/>
      <c r="L47" s="1">
        <f t="shared" ref="L47:L55" si="35">+D47-H47</f>
        <v>0</v>
      </c>
      <c r="M47" s="1"/>
      <c r="N47" s="5">
        <f t="shared" ref="N47:N55" si="36">IF(H47=0,0,L47/H47)</f>
        <v>0</v>
      </c>
      <c r="O47" s="12"/>
      <c r="P47" s="1">
        <f>SUM(OSRRefP22_2x_0)</f>
        <v>0</v>
      </c>
      <c r="Q47" s="1"/>
      <c r="R47" s="5">
        <f t="shared" ref="R47:R55" si="37">IF(P$12=0,0,P47/P$12)</f>
        <v>0</v>
      </c>
      <c r="S47" s="1"/>
      <c r="T47" s="1">
        <f>SUM(OSRRefT22_2x_0)</f>
        <v>3607.19</v>
      </c>
      <c r="U47" s="1"/>
      <c r="V47" s="5">
        <f t="shared" ref="V47:V55" si="38">IF(T$12=0,0,T47/T$12)</f>
        <v>1.5254138749581391E-3</v>
      </c>
      <c r="W47" s="1"/>
      <c r="X47" s="1">
        <f t="shared" ref="X47:X55" si="39">+P47-T47</f>
        <v>-3607.19</v>
      </c>
      <c r="Y47" s="1"/>
      <c r="Z47" s="5">
        <f t="shared" ref="Z47:Z55" si="40">IF(T47=0,0,X47/T47)</f>
        <v>-1</v>
      </c>
    </row>
    <row r="48" spans="1:26" s="23" customFormat="1" hidden="1" outlineLevel="2" x14ac:dyDescent="0.25">
      <c r="A48" s="25"/>
      <c r="B48" s="10" t="str">
        <f>CONCATENATE("          ", "6362", " - ", "ADVERTISING EXPENSE")</f>
        <v xml:space="preserve">          6362 - ADVERTISING EXPENSE</v>
      </c>
      <c r="C48" s="10"/>
      <c r="D48" s="6"/>
      <c r="E48" s="2"/>
      <c r="F48" s="7">
        <f t="shared" si="33"/>
        <v>0</v>
      </c>
      <c r="G48" s="2"/>
      <c r="H48" s="6"/>
      <c r="I48" s="2"/>
      <c r="J48" s="7">
        <f t="shared" si="34"/>
        <v>0</v>
      </c>
      <c r="K48" s="2"/>
      <c r="L48" s="6">
        <f t="shared" si="35"/>
        <v>0</v>
      </c>
      <c r="M48" s="2"/>
      <c r="N48" s="7">
        <f t="shared" si="36"/>
        <v>0</v>
      </c>
      <c r="O48" s="10"/>
      <c r="P48" s="6"/>
      <c r="Q48" s="2"/>
      <c r="R48" s="7">
        <f t="shared" si="37"/>
        <v>0</v>
      </c>
      <c r="S48" s="2"/>
      <c r="T48" s="6">
        <v>3607.19</v>
      </c>
      <c r="U48" s="2"/>
      <c r="V48" s="7">
        <f t="shared" si="38"/>
        <v>1.5254138749581391E-3</v>
      </c>
      <c r="W48" s="2"/>
      <c r="X48" s="6">
        <f t="shared" si="39"/>
        <v>-3607.19</v>
      </c>
      <c r="Y48" s="2"/>
      <c r="Z48" s="7">
        <f t="shared" si="40"/>
        <v>-1</v>
      </c>
    </row>
    <row r="49" spans="1:26" s="27" customFormat="1" outlineLevel="1" collapsed="1" x14ac:dyDescent="0.25">
      <c r="A49" s="26"/>
      <c r="B49" s="12" t="str">
        <f>CONCATENATE("     ","Bad Debts/Over/Short                              ")</f>
        <v xml:space="preserve">     Bad Debts/Over/Short                              </v>
      </c>
      <c r="C49" s="12"/>
      <c r="D49" s="1">
        <f>SUM(OSRRefD22_3x_0)</f>
        <v>0</v>
      </c>
      <c r="E49" s="1"/>
      <c r="F49" s="5">
        <f t="shared" si="33"/>
        <v>0</v>
      </c>
      <c r="G49" s="1"/>
      <c r="H49" s="1">
        <f>SUM(OSRRefH22_3x_0)</f>
        <v>0</v>
      </c>
      <c r="I49" s="1"/>
      <c r="J49" s="5">
        <f t="shared" si="34"/>
        <v>0</v>
      </c>
      <c r="K49" s="1"/>
      <c r="L49" s="1">
        <f t="shared" si="35"/>
        <v>0</v>
      </c>
      <c r="M49" s="1"/>
      <c r="N49" s="5">
        <f t="shared" si="36"/>
        <v>0</v>
      </c>
      <c r="O49" s="12"/>
      <c r="P49" s="1">
        <f>SUM(OSRRefP22_3x_0)</f>
        <v>3.31</v>
      </c>
      <c r="Q49" s="1"/>
      <c r="R49" s="5">
        <f t="shared" si="37"/>
        <v>1.137078018667317E-3</v>
      </c>
      <c r="S49" s="1"/>
      <c r="T49" s="1">
        <f>SUM(OSRRefT22_3x_0)</f>
        <v>-428.92</v>
      </c>
      <c r="U49" s="1"/>
      <c r="V49" s="5">
        <f t="shared" si="38"/>
        <v>-1.8138232786380675E-4</v>
      </c>
      <c r="W49" s="1"/>
      <c r="X49" s="1">
        <f t="shared" si="39"/>
        <v>432.23</v>
      </c>
      <c r="Y49" s="1"/>
      <c r="Z49" s="5">
        <f t="shared" si="40"/>
        <v>-1.0077170567938076</v>
      </c>
    </row>
    <row r="50" spans="1:26" s="23" customFormat="1" hidden="1" outlineLevel="2" x14ac:dyDescent="0.25">
      <c r="A50" s="25"/>
      <c r="B50" s="10" t="str">
        <f>CONCATENATE("          ", "6272", " - ", "CASH (OVER/SHORT)")</f>
        <v xml:space="preserve">          6272 - CASH (OVER/SHORT)</v>
      </c>
      <c r="C50" s="10"/>
      <c r="D50" s="6"/>
      <c r="E50" s="2"/>
      <c r="F50" s="7">
        <f t="shared" si="33"/>
        <v>0</v>
      </c>
      <c r="G50" s="2"/>
      <c r="H50" s="6"/>
      <c r="I50" s="2"/>
      <c r="J50" s="7">
        <f t="shared" si="34"/>
        <v>0</v>
      </c>
      <c r="K50" s="2"/>
      <c r="L50" s="6">
        <f t="shared" si="35"/>
        <v>0</v>
      </c>
      <c r="M50" s="2"/>
      <c r="N50" s="7">
        <f t="shared" si="36"/>
        <v>0</v>
      </c>
      <c r="O50" s="10"/>
      <c r="P50" s="6">
        <v>3.31</v>
      </c>
      <c r="Q50" s="2"/>
      <c r="R50" s="7">
        <f t="shared" si="37"/>
        <v>1.137078018667317E-3</v>
      </c>
      <c r="S50" s="2"/>
      <c r="T50" s="6">
        <v>-428.92</v>
      </c>
      <c r="U50" s="2"/>
      <c r="V50" s="7">
        <f t="shared" si="38"/>
        <v>-1.8138232786380675E-4</v>
      </c>
      <c r="W50" s="2"/>
      <c r="X50" s="6">
        <f t="shared" si="39"/>
        <v>432.23</v>
      </c>
      <c r="Y50" s="2"/>
      <c r="Z50" s="7">
        <f t="shared" si="40"/>
        <v>-1.0077170567938076</v>
      </c>
    </row>
    <row r="51" spans="1:26" s="27" customFormat="1" outlineLevel="1" collapsed="1" x14ac:dyDescent="0.25">
      <c r="A51" s="26"/>
      <c r="B51" s="12" t="str">
        <f>CONCATENATE("     ","Bank/card Fees                                    ")</f>
        <v xml:space="preserve">     Bank/card Fees                                    </v>
      </c>
      <c r="C51" s="12"/>
      <c r="D51" s="1">
        <f>SUM(OSRRefD22_4x_0)</f>
        <v>100.01</v>
      </c>
      <c r="E51" s="1"/>
      <c r="F51" s="5">
        <f t="shared" si="33"/>
        <v>2.9371512481644646</v>
      </c>
      <c r="G51" s="1"/>
      <c r="H51" s="1">
        <f>SUM(OSRRefH22_4x_0)</f>
        <v>60</v>
      </c>
      <c r="I51" s="1"/>
      <c r="J51" s="5">
        <f t="shared" si="34"/>
        <v>0.50221813007449567</v>
      </c>
      <c r="K51" s="1"/>
      <c r="L51" s="1">
        <f t="shared" si="35"/>
        <v>40.010000000000005</v>
      </c>
      <c r="M51" s="1"/>
      <c r="N51" s="5">
        <f t="shared" si="36"/>
        <v>0.66683333333333339</v>
      </c>
      <c r="O51" s="12"/>
      <c r="P51" s="1">
        <f>SUM(OSRRefP22_4x_0)</f>
        <v>2567.7199999999998</v>
      </c>
      <c r="Q51" s="1"/>
      <c r="R51" s="5">
        <f t="shared" si="37"/>
        <v>0.88208397887989209</v>
      </c>
      <c r="S51" s="1"/>
      <c r="T51" s="1">
        <f>SUM(OSRRefT22_4x_0)</f>
        <v>89280.63</v>
      </c>
      <c r="U51" s="1"/>
      <c r="V51" s="5">
        <f t="shared" si="38"/>
        <v>3.7755125670398258E-2</v>
      </c>
      <c r="W51" s="1"/>
      <c r="X51" s="1">
        <f t="shared" si="39"/>
        <v>-86712.91</v>
      </c>
      <c r="Y51" s="1"/>
      <c r="Z51" s="5">
        <f t="shared" si="40"/>
        <v>-0.97123989828476787</v>
      </c>
    </row>
    <row r="52" spans="1:26" s="23" customFormat="1" hidden="1" outlineLevel="2" x14ac:dyDescent="0.25">
      <c r="A52" s="25"/>
      <c r="B52" s="10" t="str">
        <f>CONCATENATE("          ", "6381", " - ", "BANK/CREDIT CARD FEES")</f>
        <v xml:space="preserve">          6381 - BANK/CREDIT CARD FEES</v>
      </c>
      <c r="C52" s="10"/>
      <c r="D52" s="6">
        <v>100.01</v>
      </c>
      <c r="E52" s="2"/>
      <c r="F52" s="7">
        <f t="shared" si="33"/>
        <v>2.9371512481644646</v>
      </c>
      <c r="G52" s="2"/>
      <c r="H52" s="6">
        <v>60</v>
      </c>
      <c r="I52" s="2"/>
      <c r="J52" s="7">
        <f t="shared" si="34"/>
        <v>0.50221813007449567</v>
      </c>
      <c r="K52" s="2"/>
      <c r="L52" s="6">
        <f t="shared" si="35"/>
        <v>40.010000000000005</v>
      </c>
      <c r="M52" s="2"/>
      <c r="N52" s="7">
        <f t="shared" si="36"/>
        <v>0.66683333333333339</v>
      </c>
      <c r="O52" s="10"/>
      <c r="P52" s="6">
        <v>2567.7199999999998</v>
      </c>
      <c r="Q52" s="2"/>
      <c r="R52" s="7">
        <f t="shared" si="37"/>
        <v>0.88208397887989209</v>
      </c>
      <c r="S52" s="2"/>
      <c r="T52" s="6">
        <v>89280.63</v>
      </c>
      <c r="U52" s="2"/>
      <c r="V52" s="7">
        <f t="shared" si="38"/>
        <v>3.7755125670398258E-2</v>
      </c>
      <c r="W52" s="2"/>
      <c r="X52" s="6">
        <f t="shared" si="39"/>
        <v>-86712.91</v>
      </c>
      <c r="Y52" s="2"/>
      <c r="Z52" s="7">
        <f t="shared" si="40"/>
        <v>-0.97123989828476787</v>
      </c>
    </row>
    <row r="53" spans="1:26" s="27" customFormat="1" outlineLevel="1" collapsed="1" x14ac:dyDescent="0.25">
      <c r="A53" s="26"/>
      <c r="B53" s="12" t="str">
        <f>CONCATENATE("     ","Depreciation                                      ")</f>
        <v xml:space="preserve">     Depreciation                                      </v>
      </c>
      <c r="C53" s="12"/>
      <c r="D53" s="1">
        <f>SUM(OSRRefD22_5x_0)</f>
        <v>7260.7899999999991</v>
      </c>
      <c r="E53" s="1"/>
      <c r="F53" s="5">
        <f t="shared" si="33"/>
        <v>213.23906020558002</v>
      </c>
      <c r="G53" s="1"/>
      <c r="H53" s="1">
        <f>SUM(OSRRefH22_5x_0)</f>
        <v>8990.6999999999989</v>
      </c>
      <c r="I53" s="1"/>
      <c r="J53" s="5">
        <f t="shared" si="34"/>
        <v>75.254875701012793</v>
      </c>
      <c r="K53" s="1"/>
      <c r="L53" s="1">
        <f t="shared" si="35"/>
        <v>-1729.9099999999999</v>
      </c>
      <c r="M53" s="1"/>
      <c r="N53" s="5">
        <f t="shared" si="36"/>
        <v>-0.19241104697075867</v>
      </c>
      <c r="O53" s="12"/>
      <c r="P53" s="1">
        <f>SUM(OSRRefP22_5x_0)</f>
        <v>108115.06</v>
      </c>
      <c r="Q53" s="1"/>
      <c r="R53" s="5">
        <f t="shared" si="37"/>
        <v>37.1405613936248</v>
      </c>
      <c r="S53" s="1"/>
      <c r="T53" s="1">
        <f>SUM(OSRRefT22_5x_0)</f>
        <v>103709.66</v>
      </c>
      <c r="U53" s="1"/>
      <c r="V53" s="5">
        <f t="shared" si="38"/>
        <v>4.3856895348232595E-2</v>
      </c>
      <c r="W53" s="1"/>
      <c r="X53" s="1">
        <f t="shared" si="39"/>
        <v>4405.3999999999942</v>
      </c>
      <c r="Y53" s="1"/>
      <c r="Z53" s="5">
        <f t="shared" si="40"/>
        <v>4.247820309120668E-2</v>
      </c>
    </row>
    <row r="54" spans="1:26" s="23" customFormat="1" hidden="1" outlineLevel="2" x14ac:dyDescent="0.25">
      <c r="A54" s="25"/>
      <c r="B54" s="10" t="str">
        <f>CONCATENATE("          ", "6321", " - ", "BUILDING DEPRECIATION")</f>
        <v xml:space="preserve">          6321 - BUILDING DEPRECIATION</v>
      </c>
      <c r="C54" s="10"/>
      <c r="D54" s="6">
        <v>5080.4799999999996</v>
      </c>
      <c r="E54" s="2"/>
      <c r="F54" s="7">
        <f t="shared" si="33"/>
        <v>149.20646108663729</v>
      </c>
      <c r="G54" s="2"/>
      <c r="H54" s="6">
        <v>5080.4799999999996</v>
      </c>
      <c r="I54" s="2"/>
      <c r="J54" s="7">
        <f t="shared" si="34"/>
        <v>42.525152758014563</v>
      </c>
      <c r="K54" s="2"/>
      <c r="L54" s="6">
        <f t="shared" si="35"/>
        <v>0</v>
      </c>
      <c r="M54" s="2"/>
      <c r="N54" s="7">
        <f t="shared" si="36"/>
        <v>0</v>
      </c>
      <c r="O54" s="10"/>
      <c r="P54" s="6">
        <v>60966.09</v>
      </c>
      <c r="Q54" s="2"/>
      <c r="R54" s="7">
        <f t="shared" si="37"/>
        <v>20.943565203351458</v>
      </c>
      <c r="S54" s="2"/>
      <c r="T54" s="6">
        <v>60966.09</v>
      </c>
      <c r="U54" s="2"/>
      <c r="V54" s="7">
        <f t="shared" si="38"/>
        <v>2.5781430861126432E-2</v>
      </c>
      <c r="W54" s="2"/>
      <c r="X54" s="6">
        <f t="shared" si="39"/>
        <v>0</v>
      </c>
      <c r="Y54" s="2"/>
      <c r="Z54" s="7">
        <f t="shared" si="40"/>
        <v>0</v>
      </c>
    </row>
    <row r="55" spans="1:26" s="23" customFormat="1" hidden="1" outlineLevel="2" x14ac:dyDescent="0.25">
      <c r="A55" s="25"/>
      <c r="B55" s="10" t="str">
        <f>CONCATENATE("          ", "6322", " - ", "EQUIPMENT DEPRECIATION EXPENSE")</f>
        <v xml:space="preserve">          6322 - EQUIPMENT DEPRECIATION EXPENSE</v>
      </c>
      <c r="C55" s="10"/>
      <c r="D55" s="6">
        <v>2180.31</v>
      </c>
      <c r="E55" s="2"/>
      <c r="F55" s="7">
        <f t="shared" si="33"/>
        <v>64.032599118942741</v>
      </c>
      <c r="G55" s="2"/>
      <c r="H55" s="6">
        <v>3910.22</v>
      </c>
      <c r="I55" s="2"/>
      <c r="J55" s="7">
        <f t="shared" si="34"/>
        <v>32.729722942998244</v>
      </c>
      <c r="K55" s="2"/>
      <c r="L55" s="6">
        <f t="shared" si="35"/>
        <v>-1729.9099999999999</v>
      </c>
      <c r="M55" s="2"/>
      <c r="N55" s="7">
        <f t="shared" si="36"/>
        <v>-0.44240733257975251</v>
      </c>
      <c r="O55" s="10"/>
      <c r="P55" s="6">
        <v>47148.97</v>
      </c>
      <c r="Q55" s="2"/>
      <c r="R55" s="7">
        <f t="shared" si="37"/>
        <v>16.196996190273346</v>
      </c>
      <c r="S55" s="2"/>
      <c r="T55" s="6">
        <v>42743.57</v>
      </c>
      <c r="U55" s="2"/>
      <c r="V55" s="7">
        <f t="shared" si="38"/>
        <v>1.807546448710616E-2</v>
      </c>
      <c r="W55" s="2"/>
      <c r="X55" s="6">
        <f t="shared" si="39"/>
        <v>4405.4000000000015</v>
      </c>
      <c r="Y55" s="2"/>
      <c r="Z55" s="7">
        <f t="shared" si="40"/>
        <v>0.10306579445750558</v>
      </c>
    </row>
    <row r="56" spans="1:26" s="27" customFormat="1" outlineLevel="1" collapsed="1" x14ac:dyDescent="0.25">
      <c r="A56" s="26"/>
      <c r="B56" s="12" t="str">
        <f>CONCATENATE("     ","Discounts and Markdowns                           ")</f>
        <v xml:space="preserve">     Discounts and Markdowns                           </v>
      </c>
      <c r="C56" s="12"/>
      <c r="D56" s="1">
        <f>SUM(OSRRefD22_6x_0)</f>
        <v>0</v>
      </c>
      <c r="E56" s="1"/>
      <c r="F56" s="5">
        <f t="shared" ref="F56:F75" si="41">IF(D$12=0,0,D56/D$12)</f>
        <v>0</v>
      </c>
      <c r="G56" s="1"/>
      <c r="H56" s="1">
        <f>SUM(OSRRefH22_6x_0)</f>
        <v>0</v>
      </c>
      <c r="I56" s="1"/>
      <c r="J56" s="5">
        <f t="shared" ref="J56:J75" si="42">IF(H$12=0,0,H56/H$12)</f>
        <v>0</v>
      </c>
      <c r="K56" s="1"/>
      <c r="L56" s="1">
        <f t="shared" ref="L56:L75" si="43">+D56-H56</f>
        <v>0</v>
      </c>
      <c r="M56" s="1"/>
      <c r="N56" s="5">
        <f t="shared" ref="N56:N75" si="44">IF(H56=0,0,L56/H56)</f>
        <v>0</v>
      </c>
      <c r="O56" s="12"/>
      <c r="P56" s="1">
        <f>SUM(OSRRefP22_6x_0)</f>
        <v>0</v>
      </c>
      <c r="Q56" s="1"/>
      <c r="R56" s="5">
        <f t="shared" ref="R56:R75" si="45">IF(P$12=0,0,P56/P$12)</f>
        <v>0</v>
      </c>
      <c r="S56" s="1"/>
      <c r="T56" s="1">
        <f>SUM(OSRRefT22_6x_0)</f>
        <v>125.87</v>
      </c>
      <c r="U56" s="1"/>
      <c r="V56" s="5">
        <f t="shared" ref="V56:V75" si="46">IF(T$12=0,0,T56/T$12)</f>
        <v>5.3228092903612225E-5</v>
      </c>
      <c r="W56" s="1"/>
      <c r="X56" s="1">
        <f t="shared" ref="X56:X75" si="47">+P56-T56</f>
        <v>-125.87</v>
      </c>
      <c r="Y56" s="1"/>
      <c r="Z56" s="5">
        <f t="shared" ref="Z56:Z75" si="48">IF(T56=0,0,X56/T56)</f>
        <v>-1</v>
      </c>
    </row>
    <row r="57" spans="1:26" s="23" customFormat="1" hidden="1" outlineLevel="2" x14ac:dyDescent="0.25">
      <c r="A57" s="25"/>
      <c r="B57" s="10" t="str">
        <f>CONCATENATE("          ", "6382", " - ", "DISCOUNTS/MARK DOWNS")</f>
        <v xml:space="preserve">          6382 - DISCOUNTS/MARK DOWNS</v>
      </c>
      <c r="C57" s="10"/>
      <c r="D57" s="6"/>
      <c r="E57" s="2"/>
      <c r="F57" s="7">
        <f t="shared" si="41"/>
        <v>0</v>
      </c>
      <c r="G57" s="2"/>
      <c r="H57" s="6"/>
      <c r="I57" s="2"/>
      <c r="J57" s="7">
        <f t="shared" si="42"/>
        <v>0</v>
      </c>
      <c r="K57" s="2"/>
      <c r="L57" s="6">
        <f t="shared" si="43"/>
        <v>0</v>
      </c>
      <c r="M57" s="2"/>
      <c r="N57" s="7">
        <f t="shared" si="44"/>
        <v>0</v>
      </c>
      <c r="O57" s="10"/>
      <c r="P57" s="6"/>
      <c r="Q57" s="2"/>
      <c r="R57" s="7">
        <f t="shared" si="45"/>
        <v>0</v>
      </c>
      <c r="S57" s="2"/>
      <c r="T57" s="6">
        <v>125.87</v>
      </c>
      <c r="U57" s="2"/>
      <c r="V57" s="7">
        <f t="shared" si="46"/>
        <v>5.3228092903612225E-5</v>
      </c>
      <c r="W57" s="2"/>
      <c r="X57" s="6">
        <f t="shared" si="47"/>
        <v>-125.87</v>
      </c>
      <c r="Y57" s="2"/>
      <c r="Z57" s="7">
        <f t="shared" si="48"/>
        <v>-1</v>
      </c>
    </row>
    <row r="58" spans="1:26" s="27" customFormat="1" outlineLevel="1" collapsed="1" x14ac:dyDescent="0.25">
      <c r="A58" s="26"/>
      <c r="B58" s="12" t="str">
        <f>CONCATENATE("     ","Employees' Appreciation                           ")</f>
        <v xml:space="preserve">     Employees' Appreciation                           </v>
      </c>
      <c r="C58" s="12"/>
      <c r="D58" s="1">
        <f>SUM(OSRRefD22_7x_0)</f>
        <v>0</v>
      </c>
      <c r="E58" s="1"/>
      <c r="F58" s="5">
        <f t="shared" si="41"/>
        <v>0</v>
      </c>
      <c r="G58" s="1"/>
      <c r="H58" s="1">
        <f>SUM(OSRRefH22_7x_0)</f>
        <v>0</v>
      </c>
      <c r="I58" s="1"/>
      <c r="J58" s="5">
        <f t="shared" si="42"/>
        <v>0</v>
      </c>
      <c r="K58" s="1"/>
      <c r="L58" s="1">
        <f t="shared" si="43"/>
        <v>0</v>
      </c>
      <c r="M58" s="1"/>
      <c r="N58" s="5">
        <f t="shared" si="44"/>
        <v>0</v>
      </c>
      <c r="O58" s="12"/>
      <c r="P58" s="1">
        <f>SUM(OSRRefP22_7x_0)</f>
        <v>0</v>
      </c>
      <c r="Q58" s="1"/>
      <c r="R58" s="5">
        <f t="shared" si="45"/>
        <v>0</v>
      </c>
      <c r="S58" s="1"/>
      <c r="T58" s="1">
        <f>SUM(OSRRefT22_7x_0)</f>
        <v>163.84</v>
      </c>
      <c r="U58" s="1"/>
      <c r="V58" s="5">
        <f t="shared" si="46"/>
        <v>6.9284903005702923E-5</v>
      </c>
      <c r="W58" s="1"/>
      <c r="X58" s="1">
        <f t="shared" si="47"/>
        <v>-163.84</v>
      </c>
      <c r="Y58" s="1"/>
      <c r="Z58" s="5">
        <f t="shared" si="48"/>
        <v>-1</v>
      </c>
    </row>
    <row r="59" spans="1:26" s="23" customFormat="1" hidden="1" outlineLevel="2" x14ac:dyDescent="0.25">
      <c r="A59" s="25"/>
      <c r="B59" s="10" t="str">
        <f>CONCATENATE("          ", "6277", " - ", "EMPLOYEE APPRECIATION")</f>
        <v xml:space="preserve">          6277 - EMPLOYEE APPRECIATION</v>
      </c>
      <c r="C59" s="10"/>
      <c r="D59" s="6"/>
      <c r="E59" s="2"/>
      <c r="F59" s="7">
        <f t="shared" si="41"/>
        <v>0</v>
      </c>
      <c r="G59" s="2"/>
      <c r="H59" s="6"/>
      <c r="I59" s="2"/>
      <c r="J59" s="7">
        <f t="shared" si="42"/>
        <v>0</v>
      </c>
      <c r="K59" s="2"/>
      <c r="L59" s="6">
        <f t="shared" si="43"/>
        <v>0</v>
      </c>
      <c r="M59" s="2"/>
      <c r="N59" s="7">
        <f t="shared" si="44"/>
        <v>0</v>
      </c>
      <c r="O59" s="10"/>
      <c r="P59" s="6"/>
      <c r="Q59" s="2"/>
      <c r="R59" s="7">
        <f t="shared" si="45"/>
        <v>0</v>
      </c>
      <c r="S59" s="2"/>
      <c r="T59" s="6">
        <v>163.84</v>
      </c>
      <c r="U59" s="2"/>
      <c r="V59" s="7">
        <f t="shared" si="46"/>
        <v>6.9284903005702923E-5</v>
      </c>
      <c r="W59" s="2"/>
      <c r="X59" s="6">
        <f t="shared" si="47"/>
        <v>-163.84</v>
      </c>
      <c r="Y59" s="2"/>
      <c r="Z59" s="7">
        <f t="shared" si="48"/>
        <v>-1</v>
      </c>
    </row>
    <row r="60" spans="1:26" s="27" customFormat="1" outlineLevel="1" collapsed="1" x14ac:dyDescent="0.25">
      <c r="A60" s="26"/>
      <c r="B60" s="12" t="str">
        <f>CONCATENATE("     ","Equipment Rental                                  ")</f>
        <v xml:space="preserve">     Equipment Rental                                  </v>
      </c>
      <c r="C60" s="12"/>
      <c r="D60" s="1">
        <f>SUM(OSRRefD22_8x_0)</f>
        <v>0</v>
      </c>
      <c r="E60" s="1"/>
      <c r="F60" s="5">
        <f t="shared" si="41"/>
        <v>0</v>
      </c>
      <c r="G60" s="1"/>
      <c r="H60" s="1">
        <f>SUM(OSRRefH22_8x_0)</f>
        <v>36.270000000000003</v>
      </c>
      <c r="I60" s="1"/>
      <c r="J60" s="5">
        <f t="shared" si="42"/>
        <v>0.30359085963003268</v>
      </c>
      <c r="K60" s="1"/>
      <c r="L60" s="1">
        <f t="shared" si="43"/>
        <v>-36.270000000000003</v>
      </c>
      <c r="M60" s="1"/>
      <c r="N60" s="5">
        <f t="shared" si="44"/>
        <v>-1</v>
      </c>
      <c r="O60" s="12"/>
      <c r="P60" s="1">
        <f>SUM(OSRRefP22_8x_0)</f>
        <v>617.35</v>
      </c>
      <c r="Q60" s="1"/>
      <c r="R60" s="5">
        <f t="shared" si="45"/>
        <v>0.2120770739650357</v>
      </c>
      <c r="S60" s="1"/>
      <c r="T60" s="1">
        <f>SUM(OSRRefT22_8x_0)</f>
        <v>1022.39</v>
      </c>
      <c r="U60" s="1"/>
      <c r="V60" s="5">
        <f t="shared" si="46"/>
        <v>4.3234980458984744E-4</v>
      </c>
      <c r="W60" s="1"/>
      <c r="X60" s="1">
        <f t="shared" si="47"/>
        <v>-405.03999999999996</v>
      </c>
      <c r="Y60" s="1"/>
      <c r="Z60" s="5">
        <f t="shared" si="48"/>
        <v>-0.3961697590938878</v>
      </c>
    </row>
    <row r="61" spans="1:26" s="23" customFormat="1" hidden="1" outlineLevel="2" x14ac:dyDescent="0.25">
      <c r="A61" s="25"/>
      <c r="B61" s="10" t="str">
        <f>CONCATENATE("          ", "6351", " - ", "EQUIPMENT RENTAL")</f>
        <v xml:space="preserve">          6351 - EQUIPMENT RENTAL</v>
      </c>
      <c r="C61" s="10"/>
      <c r="D61" s="6"/>
      <c r="E61" s="2"/>
      <c r="F61" s="7">
        <f t="shared" si="41"/>
        <v>0</v>
      </c>
      <c r="G61" s="2"/>
      <c r="H61" s="6">
        <v>36.270000000000003</v>
      </c>
      <c r="I61" s="2"/>
      <c r="J61" s="7">
        <f t="shared" si="42"/>
        <v>0.30359085963003268</v>
      </c>
      <c r="K61" s="2"/>
      <c r="L61" s="6">
        <f t="shared" si="43"/>
        <v>-36.270000000000003</v>
      </c>
      <c r="M61" s="2"/>
      <c r="N61" s="7">
        <f t="shared" si="44"/>
        <v>-1</v>
      </c>
      <c r="O61" s="10"/>
      <c r="P61" s="6">
        <v>617.35</v>
      </c>
      <c r="Q61" s="2"/>
      <c r="R61" s="7">
        <f t="shared" si="45"/>
        <v>0.2120770739650357</v>
      </c>
      <c r="S61" s="2"/>
      <c r="T61" s="6">
        <v>1022.39</v>
      </c>
      <c r="U61" s="2"/>
      <c r="V61" s="7">
        <f t="shared" si="46"/>
        <v>4.3234980458984744E-4</v>
      </c>
      <c r="W61" s="2"/>
      <c r="X61" s="6">
        <f t="shared" si="47"/>
        <v>-405.03999999999996</v>
      </c>
      <c r="Y61" s="2"/>
      <c r="Z61" s="7">
        <f t="shared" si="48"/>
        <v>-0.3961697590938878</v>
      </c>
    </row>
    <row r="62" spans="1:26" s="27" customFormat="1" outlineLevel="1" collapsed="1" x14ac:dyDescent="0.25">
      <c r="A62" s="26"/>
      <c r="B62" s="12" t="str">
        <f>CONCATENATE("     ","Freight out/Postage                               ")</f>
        <v xml:space="preserve">     Freight out/Postage                               </v>
      </c>
      <c r="C62" s="12"/>
      <c r="D62" s="1">
        <f>SUM(OSRRefD22_9x_0)</f>
        <v>0</v>
      </c>
      <c r="E62" s="1"/>
      <c r="F62" s="5">
        <f t="shared" si="41"/>
        <v>0</v>
      </c>
      <c r="G62" s="1"/>
      <c r="H62" s="1">
        <f>SUM(OSRRefH22_9x_0)</f>
        <v>0</v>
      </c>
      <c r="I62" s="1"/>
      <c r="J62" s="5">
        <f t="shared" si="42"/>
        <v>0</v>
      </c>
      <c r="K62" s="1"/>
      <c r="L62" s="1">
        <f t="shared" si="43"/>
        <v>0</v>
      </c>
      <c r="M62" s="1"/>
      <c r="N62" s="5">
        <f t="shared" si="44"/>
        <v>0</v>
      </c>
      <c r="O62" s="12"/>
      <c r="P62" s="1">
        <f>SUM(OSRRefP22_9x_0)</f>
        <v>280.10000000000002</v>
      </c>
      <c r="Q62" s="1"/>
      <c r="R62" s="5">
        <f t="shared" si="45"/>
        <v>9.6222221458826432E-2</v>
      </c>
      <c r="S62" s="1"/>
      <c r="T62" s="1">
        <f>SUM(OSRRefT22_9x_0)</f>
        <v>331.18</v>
      </c>
      <c r="U62" s="1"/>
      <c r="V62" s="5">
        <f t="shared" si="46"/>
        <v>1.4004989121965756E-4</v>
      </c>
      <c r="W62" s="1"/>
      <c r="X62" s="1">
        <f t="shared" si="47"/>
        <v>-51.079999999999984</v>
      </c>
      <c r="Y62" s="1"/>
      <c r="Z62" s="5">
        <f t="shared" si="48"/>
        <v>-0.15423636693037013</v>
      </c>
    </row>
    <row r="63" spans="1:26" s="23" customFormat="1" hidden="1" outlineLevel="2" x14ac:dyDescent="0.25">
      <c r="A63" s="25"/>
      <c r="B63" s="10" t="str">
        <f>CONCATENATE("          ", "6305", " - ", "FREIGHT OUT")</f>
        <v xml:space="preserve">          6305 - FREIGHT OUT</v>
      </c>
      <c r="C63" s="10"/>
      <c r="D63" s="6"/>
      <c r="E63" s="2"/>
      <c r="F63" s="7">
        <f t="shared" si="41"/>
        <v>0</v>
      </c>
      <c r="G63" s="2"/>
      <c r="H63" s="6"/>
      <c r="I63" s="2"/>
      <c r="J63" s="7">
        <f t="shared" si="42"/>
        <v>0</v>
      </c>
      <c r="K63" s="2"/>
      <c r="L63" s="6">
        <f t="shared" si="43"/>
        <v>0</v>
      </c>
      <c r="M63" s="2"/>
      <c r="N63" s="7">
        <f t="shared" si="44"/>
        <v>0</v>
      </c>
      <c r="O63" s="10"/>
      <c r="P63" s="6">
        <v>280.10000000000002</v>
      </c>
      <c r="Q63" s="2"/>
      <c r="R63" s="7">
        <f t="shared" si="45"/>
        <v>9.6222221458826432E-2</v>
      </c>
      <c r="S63" s="2"/>
      <c r="T63" s="6">
        <v>331.18</v>
      </c>
      <c r="U63" s="2"/>
      <c r="V63" s="7">
        <f t="shared" si="46"/>
        <v>1.4004989121965756E-4</v>
      </c>
      <c r="W63" s="2"/>
      <c r="X63" s="6">
        <f t="shared" si="47"/>
        <v>-51.079999999999984</v>
      </c>
      <c r="Y63" s="2"/>
      <c r="Z63" s="7">
        <f t="shared" si="48"/>
        <v>-0.15423636693037013</v>
      </c>
    </row>
    <row r="64" spans="1:26" s="27" customFormat="1" outlineLevel="1" collapsed="1" x14ac:dyDescent="0.25">
      <c r="A64" s="26"/>
      <c r="B64" s="12" t="str">
        <f>CONCATENATE("     ","General                                           ")</f>
        <v xml:space="preserve">     General                                           </v>
      </c>
      <c r="C64" s="12"/>
      <c r="D64" s="1">
        <f>SUM(OSRRefD22_10x_0)</f>
        <v>0</v>
      </c>
      <c r="E64" s="1"/>
      <c r="F64" s="5">
        <f t="shared" si="41"/>
        <v>0</v>
      </c>
      <c r="G64" s="1"/>
      <c r="H64" s="1">
        <f>SUM(OSRRefH22_10x_0)</f>
        <v>0</v>
      </c>
      <c r="I64" s="1"/>
      <c r="J64" s="5">
        <f t="shared" si="42"/>
        <v>0</v>
      </c>
      <c r="K64" s="1"/>
      <c r="L64" s="1">
        <f t="shared" si="43"/>
        <v>0</v>
      </c>
      <c r="M64" s="1"/>
      <c r="N64" s="5">
        <f t="shared" si="44"/>
        <v>0</v>
      </c>
      <c r="O64" s="12"/>
      <c r="P64" s="1">
        <f>SUM(OSRRefP22_10x_0)</f>
        <v>2908.49</v>
      </c>
      <c r="Q64" s="1"/>
      <c r="R64" s="5">
        <f t="shared" si="45"/>
        <v>0.99914805030625509</v>
      </c>
      <c r="S64" s="1"/>
      <c r="T64" s="1">
        <f>SUM(OSRRefT22_10x_0)</f>
        <v>10781.14</v>
      </c>
      <c r="U64" s="1"/>
      <c r="V64" s="5">
        <f t="shared" si="46"/>
        <v>4.5591445263116698E-3</v>
      </c>
      <c r="W64" s="1"/>
      <c r="X64" s="1">
        <f t="shared" si="47"/>
        <v>-7872.65</v>
      </c>
      <c r="Y64" s="1"/>
      <c r="Z64" s="5">
        <f t="shared" si="48"/>
        <v>-0.7302242619982674</v>
      </c>
    </row>
    <row r="65" spans="1:26" s="23" customFormat="1" hidden="1" outlineLevel="2" x14ac:dyDescent="0.25">
      <c r="A65" s="25"/>
      <c r="B65" s="10" t="str">
        <f>CONCATENATE("          ", "6279", " - ", "GENERAL EXPENSE")</f>
        <v xml:space="preserve">          6279 - GENERAL EXPENSE</v>
      </c>
      <c r="C65" s="10"/>
      <c r="D65" s="6"/>
      <c r="E65" s="2"/>
      <c r="F65" s="7">
        <f t="shared" si="41"/>
        <v>0</v>
      </c>
      <c r="G65" s="2"/>
      <c r="H65" s="6"/>
      <c r="I65" s="2"/>
      <c r="J65" s="7">
        <f t="shared" si="42"/>
        <v>0</v>
      </c>
      <c r="K65" s="2"/>
      <c r="L65" s="6">
        <f t="shared" si="43"/>
        <v>0</v>
      </c>
      <c r="M65" s="2"/>
      <c r="N65" s="7">
        <f t="shared" si="44"/>
        <v>0</v>
      </c>
      <c r="O65" s="10"/>
      <c r="P65" s="6">
        <v>2908.49</v>
      </c>
      <c r="Q65" s="2"/>
      <c r="R65" s="7">
        <f t="shared" si="45"/>
        <v>0.99914805030625509</v>
      </c>
      <c r="S65" s="2"/>
      <c r="T65" s="6">
        <v>10781.14</v>
      </c>
      <c r="U65" s="2"/>
      <c r="V65" s="7">
        <f t="shared" si="46"/>
        <v>4.5591445263116698E-3</v>
      </c>
      <c r="W65" s="2"/>
      <c r="X65" s="6">
        <f t="shared" si="47"/>
        <v>-7872.65</v>
      </c>
      <c r="Y65" s="2"/>
      <c r="Z65" s="7">
        <f t="shared" si="48"/>
        <v>-0.7302242619982674</v>
      </c>
    </row>
    <row r="66" spans="1:26" s="27" customFormat="1" outlineLevel="1" collapsed="1" x14ac:dyDescent="0.25">
      <c r="A66" s="26"/>
      <c r="B66" s="12" t="str">
        <f>CONCATENATE("     ","Insurance                                         ")</f>
        <v xml:space="preserve">     Insurance                                         </v>
      </c>
      <c r="C66" s="12"/>
      <c r="D66" s="1">
        <f>SUM(OSRRefD22_11x_0)</f>
        <v>522.85</v>
      </c>
      <c r="E66" s="1"/>
      <c r="F66" s="5">
        <f t="shared" si="41"/>
        <v>15.355359765051396</v>
      </c>
      <c r="G66" s="1"/>
      <c r="H66" s="1">
        <f>SUM(OSRRefH22_11x_0)</f>
        <v>243.54</v>
      </c>
      <c r="I66" s="1"/>
      <c r="J66" s="5">
        <f t="shared" si="42"/>
        <v>2.0385033899723779</v>
      </c>
      <c r="K66" s="1"/>
      <c r="L66" s="1">
        <f t="shared" si="43"/>
        <v>279.31000000000006</v>
      </c>
      <c r="M66" s="1"/>
      <c r="N66" s="5">
        <f t="shared" si="44"/>
        <v>1.1468752566313545</v>
      </c>
      <c r="O66" s="12"/>
      <c r="P66" s="1">
        <f>SUM(OSRRefP22_11x_0)</f>
        <v>3201.79</v>
      </c>
      <c r="Q66" s="1"/>
      <c r="R66" s="5">
        <f t="shared" si="45"/>
        <v>1.0999048427156581</v>
      </c>
      <c r="S66" s="1"/>
      <c r="T66" s="1">
        <f>SUM(OSRRefT22_11x_0)</f>
        <v>2922.48</v>
      </c>
      <c r="U66" s="1"/>
      <c r="V66" s="5">
        <f t="shared" si="46"/>
        <v>1.2358626912604166E-3</v>
      </c>
      <c r="W66" s="1"/>
      <c r="X66" s="1">
        <f t="shared" si="47"/>
        <v>279.30999999999995</v>
      </c>
      <c r="Y66" s="1"/>
      <c r="Z66" s="5">
        <f t="shared" si="48"/>
        <v>9.5572938052612827E-2</v>
      </c>
    </row>
    <row r="67" spans="1:26" s="23" customFormat="1" hidden="1" outlineLevel="2" x14ac:dyDescent="0.25">
      <c r="A67" s="25"/>
      <c r="B67" s="10" t="str">
        <f>CONCATENATE("          ", "6314", " - ", "LIABILITY INSURANCE")</f>
        <v xml:space="preserve">          6314 - LIABILITY INSURANCE</v>
      </c>
      <c r="C67" s="10"/>
      <c r="D67" s="6">
        <v>522.85</v>
      </c>
      <c r="E67" s="2"/>
      <c r="F67" s="7">
        <f t="shared" si="41"/>
        <v>15.355359765051396</v>
      </c>
      <c r="G67" s="2"/>
      <c r="H67" s="6">
        <v>243.54</v>
      </c>
      <c r="I67" s="2"/>
      <c r="J67" s="7">
        <f t="shared" si="42"/>
        <v>2.0385033899723779</v>
      </c>
      <c r="K67" s="2"/>
      <c r="L67" s="6">
        <f t="shared" si="43"/>
        <v>279.31000000000006</v>
      </c>
      <c r="M67" s="2"/>
      <c r="N67" s="7">
        <f t="shared" si="44"/>
        <v>1.1468752566313545</v>
      </c>
      <c r="O67" s="10"/>
      <c r="P67" s="6">
        <v>3201.79</v>
      </c>
      <c r="Q67" s="2"/>
      <c r="R67" s="7">
        <f t="shared" si="45"/>
        <v>1.0999048427156581</v>
      </c>
      <c r="S67" s="2"/>
      <c r="T67" s="6">
        <v>2922.48</v>
      </c>
      <c r="U67" s="2"/>
      <c r="V67" s="7">
        <f t="shared" si="46"/>
        <v>1.2358626912604166E-3</v>
      </c>
      <c r="W67" s="2"/>
      <c r="X67" s="6">
        <f t="shared" si="47"/>
        <v>279.30999999999995</v>
      </c>
      <c r="Y67" s="2"/>
      <c r="Z67" s="7">
        <f t="shared" si="48"/>
        <v>9.5572938052612827E-2</v>
      </c>
    </row>
    <row r="68" spans="1:26" s="27" customFormat="1" outlineLevel="1" collapsed="1" x14ac:dyDescent="0.25">
      <c r="A68" s="26"/>
      <c r="B68" s="12" t="str">
        <f>CONCATENATE("     ","Interest                                          ")</f>
        <v xml:space="preserve">     Interest                                          </v>
      </c>
      <c r="C68" s="12"/>
      <c r="D68" s="1">
        <f>SUM(OSRRefD22_12x_0)</f>
        <v>-439.07</v>
      </c>
      <c r="E68" s="1"/>
      <c r="F68" s="5">
        <f t="shared" si="41"/>
        <v>-12.894860499265787</v>
      </c>
      <c r="G68" s="1"/>
      <c r="H68" s="1">
        <f>SUM(OSRRefH22_12x_0)</f>
        <v>-308.07</v>
      </c>
      <c r="I68" s="1"/>
      <c r="J68" s="5">
        <f t="shared" si="42"/>
        <v>-2.5786389888674979</v>
      </c>
      <c r="K68" s="1"/>
      <c r="L68" s="1">
        <f t="shared" si="43"/>
        <v>-131</v>
      </c>
      <c r="M68" s="1"/>
      <c r="N68" s="5">
        <f t="shared" si="44"/>
        <v>0.42522803258999581</v>
      </c>
      <c r="O68" s="12"/>
      <c r="P68" s="1">
        <f>SUM(OSRRefP22_12x_0)</f>
        <v>42951.78</v>
      </c>
      <c r="Q68" s="1"/>
      <c r="R68" s="5">
        <f t="shared" si="45"/>
        <v>14.755143474511931</v>
      </c>
      <c r="S68" s="1"/>
      <c r="T68" s="1">
        <f>SUM(OSRRefT22_12x_0)</f>
        <v>44360.7</v>
      </c>
      <c r="U68" s="1"/>
      <c r="V68" s="5">
        <f t="shared" si="46"/>
        <v>1.8759318827911899E-2</v>
      </c>
      <c r="W68" s="1"/>
      <c r="X68" s="1">
        <f t="shared" si="47"/>
        <v>-1408.9199999999983</v>
      </c>
      <c r="Y68" s="1"/>
      <c r="Z68" s="5">
        <f t="shared" si="48"/>
        <v>-3.1760544806551709E-2</v>
      </c>
    </row>
    <row r="69" spans="1:26" s="23" customFormat="1" hidden="1" outlineLevel="2" x14ac:dyDescent="0.25">
      <c r="A69" s="25"/>
      <c r="B69" s="10" t="str">
        <f>CONCATENATE("          ", "6401", " - ", "INTEREST EXPENSE")</f>
        <v xml:space="preserve">          6401 - INTEREST EXPENSE</v>
      </c>
      <c r="C69" s="10"/>
      <c r="D69" s="6">
        <v>-439.07</v>
      </c>
      <c r="E69" s="2"/>
      <c r="F69" s="7">
        <f t="shared" si="41"/>
        <v>-12.894860499265787</v>
      </c>
      <c r="G69" s="2"/>
      <c r="H69" s="6">
        <v>-308.07</v>
      </c>
      <c r="I69" s="2"/>
      <c r="J69" s="7">
        <f t="shared" si="42"/>
        <v>-2.5786389888674979</v>
      </c>
      <c r="K69" s="2"/>
      <c r="L69" s="6">
        <f t="shared" si="43"/>
        <v>-131</v>
      </c>
      <c r="M69" s="2"/>
      <c r="N69" s="7">
        <f t="shared" si="44"/>
        <v>0.42522803258999581</v>
      </c>
      <c r="O69" s="10"/>
      <c r="P69" s="6">
        <v>42951.78</v>
      </c>
      <c r="Q69" s="2"/>
      <c r="R69" s="7">
        <f t="shared" si="45"/>
        <v>14.755143474511931</v>
      </c>
      <c r="S69" s="2"/>
      <c r="T69" s="6">
        <v>44360.7</v>
      </c>
      <c r="U69" s="2"/>
      <c r="V69" s="7">
        <f t="shared" si="46"/>
        <v>1.8759318827911899E-2</v>
      </c>
      <c r="W69" s="2"/>
      <c r="X69" s="6">
        <f t="shared" si="47"/>
        <v>-1408.9199999999983</v>
      </c>
      <c r="Y69" s="2"/>
      <c r="Z69" s="7">
        <f t="shared" si="48"/>
        <v>-3.1760544806551709E-2</v>
      </c>
    </row>
    <row r="70" spans="1:26" s="27" customFormat="1" outlineLevel="1" collapsed="1" x14ac:dyDescent="0.25">
      <c r="A70" s="26"/>
      <c r="B70" s="12" t="str">
        <f>CONCATENATE("     ","Rent                                              ")</f>
        <v xml:space="preserve">     Rent                                              </v>
      </c>
      <c r="C70" s="12"/>
      <c r="D70" s="1">
        <f>SUM(OSRRefD22_13x_0)</f>
        <v>0</v>
      </c>
      <c r="E70" s="1"/>
      <c r="F70" s="5">
        <f t="shared" si="41"/>
        <v>0</v>
      </c>
      <c r="G70" s="1"/>
      <c r="H70" s="1">
        <f>SUM(OSRRefH22_13x_0)</f>
        <v>1150</v>
      </c>
      <c r="I70" s="1"/>
      <c r="J70" s="5">
        <f t="shared" si="42"/>
        <v>9.6258474930945006</v>
      </c>
      <c r="K70" s="1"/>
      <c r="L70" s="1">
        <f t="shared" si="43"/>
        <v>-1150</v>
      </c>
      <c r="M70" s="1"/>
      <c r="N70" s="5">
        <f t="shared" si="44"/>
        <v>-1</v>
      </c>
      <c r="O70" s="12"/>
      <c r="P70" s="1">
        <f>SUM(OSRRefP22_13x_0)</f>
        <v>0</v>
      </c>
      <c r="Q70" s="1"/>
      <c r="R70" s="5">
        <f t="shared" si="45"/>
        <v>0</v>
      </c>
      <c r="S70" s="1"/>
      <c r="T70" s="1">
        <f>SUM(OSRRefT22_13x_0)</f>
        <v>13800</v>
      </c>
      <c r="U70" s="1"/>
      <c r="V70" s="5">
        <f t="shared" si="46"/>
        <v>5.835764535392458E-3</v>
      </c>
      <c r="W70" s="1"/>
      <c r="X70" s="1">
        <f t="shared" si="47"/>
        <v>-13800</v>
      </c>
      <c r="Y70" s="1"/>
      <c r="Z70" s="5">
        <f t="shared" si="48"/>
        <v>-1</v>
      </c>
    </row>
    <row r="71" spans="1:26" s="23" customFormat="1" hidden="1" outlineLevel="2" x14ac:dyDescent="0.25">
      <c r="A71" s="25"/>
      <c r="B71" s="10" t="str">
        <f>CONCATENATE("          ", "6273", " - ", "RENT")</f>
        <v xml:space="preserve">          6273 - RENT</v>
      </c>
      <c r="C71" s="10"/>
      <c r="D71" s="6"/>
      <c r="E71" s="2"/>
      <c r="F71" s="7">
        <f t="shared" si="41"/>
        <v>0</v>
      </c>
      <c r="G71" s="2"/>
      <c r="H71" s="6">
        <v>1150</v>
      </c>
      <c r="I71" s="2"/>
      <c r="J71" s="7">
        <f t="shared" si="42"/>
        <v>9.6258474930945006</v>
      </c>
      <c r="K71" s="2"/>
      <c r="L71" s="6">
        <f t="shared" si="43"/>
        <v>-1150</v>
      </c>
      <c r="M71" s="2"/>
      <c r="N71" s="7">
        <f t="shared" si="44"/>
        <v>-1</v>
      </c>
      <c r="O71" s="10"/>
      <c r="P71" s="6"/>
      <c r="Q71" s="2"/>
      <c r="R71" s="7">
        <f t="shared" si="45"/>
        <v>0</v>
      </c>
      <c r="S71" s="2"/>
      <c r="T71" s="6">
        <v>13800</v>
      </c>
      <c r="U71" s="2"/>
      <c r="V71" s="7">
        <f t="shared" si="46"/>
        <v>5.835764535392458E-3</v>
      </c>
      <c r="W71" s="2"/>
      <c r="X71" s="6">
        <f t="shared" si="47"/>
        <v>-13800</v>
      </c>
      <c r="Y71" s="2"/>
      <c r="Z71" s="7">
        <f t="shared" si="48"/>
        <v>-1</v>
      </c>
    </row>
    <row r="72" spans="1:26" s="27" customFormat="1" outlineLevel="1" collapsed="1" x14ac:dyDescent="0.25">
      <c r="A72" s="26"/>
      <c r="B72" s="12" t="str">
        <f>CONCATENATE("     ","Repair and Maintenance                            ")</f>
        <v xml:space="preserve">     Repair and Maintenance                            </v>
      </c>
      <c r="C72" s="12"/>
      <c r="D72" s="1">
        <f>SUM(OSRRefD22_14x_0)</f>
        <v>384.39</v>
      </c>
      <c r="E72" s="1"/>
      <c r="F72" s="5">
        <f t="shared" si="41"/>
        <v>11.28898678414097</v>
      </c>
      <c r="G72" s="1"/>
      <c r="H72" s="1">
        <f>SUM(OSRRefH22_14x_0)</f>
        <v>301.45</v>
      </c>
      <c r="I72" s="1"/>
      <c r="J72" s="5">
        <f t="shared" si="42"/>
        <v>2.5232275885159452</v>
      </c>
      <c r="K72" s="1"/>
      <c r="L72" s="1">
        <f t="shared" si="43"/>
        <v>82.94</v>
      </c>
      <c r="M72" s="1"/>
      <c r="N72" s="5">
        <f t="shared" si="44"/>
        <v>0.27513683861336874</v>
      </c>
      <c r="O72" s="12"/>
      <c r="P72" s="1">
        <f>SUM(OSRRefP22_14x_0)</f>
        <v>3415.82</v>
      </c>
      <c r="Q72" s="1"/>
      <c r="R72" s="5">
        <f t="shared" si="45"/>
        <v>1.1734301624544394</v>
      </c>
      <c r="S72" s="1"/>
      <c r="T72" s="1">
        <f>SUM(OSRRefT22_14x_0)</f>
        <v>17916.86</v>
      </c>
      <c r="U72" s="1"/>
      <c r="V72" s="5">
        <f t="shared" si="46"/>
        <v>7.576708418376211E-3</v>
      </c>
      <c r="W72" s="1"/>
      <c r="X72" s="1">
        <f t="shared" si="47"/>
        <v>-14501.04</v>
      </c>
      <c r="Y72" s="1"/>
      <c r="Z72" s="5">
        <f t="shared" si="48"/>
        <v>-0.80935163862417858</v>
      </c>
    </row>
    <row r="73" spans="1:26" s="23" customFormat="1" hidden="1" outlineLevel="2" x14ac:dyDescent="0.25">
      <c r="A73" s="25"/>
      <c r="B73" s="10" t="str">
        <f>CONCATENATE("          ", "6371", " - ", "COMPUTER SOFTWARE MAINTENANCE")</f>
        <v xml:space="preserve">          6371 - COMPUTER SOFTWARE MAINTENANCE</v>
      </c>
      <c r="C73" s="10"/>
      <c r="D73" s="6"/>
      <c r="E73" s="2"/>
      <c r="F73" s="7">
        <f t="shared" si="41"/>
        <v>0</v>
      </c>
      <c r="G73" s="2"/>
      <c r="H73" s="6"/>
      <c r="I73" s="2"/>
      <c r="J73" s="7">
        <f t="shared" si="42"/>
        <v>0</v>
      </c>
      <c r="K73" s="2"/>
      <c r="L73" s="6">
        <f t="shared" si="43"/>
        <v>0</v>
      </c>
      <c r="M73" s="2"/>
      <c r="N73" s="7">
        <f t="shared" si="44"/>
        <v>0</v>
      </c>
      <c r="O73" s="10"/>
      <c r="P73" s="6"/>
      <c r="Q73" s="2"/>
      <c r="R73" s="7">
        <f t="shared" si="45"/>
        <v>0</v>
      </c>
      <c r="S73" s="2"/>
      <c r="T73" s="6">
        <v>1311.93</v>
      </c>
      <c r="U73" s="2"/>
      <c r="V73" s="7">
        <f t="shared" si="46"/>
        <v>5.5479091064619039E-4</v>
      </c>
      <c r="W73" s="2"/>
      <c r="X73" s="6">
        <f t="shared" si="47"/>
        <v>-1311.93</v>
      </c>
      <c r="Y73" s="2"/>
      <c r="Z73" s="7">
        <f t="shared" si="48"/>
        <v>-1</v>
      </c>
    </row>
    <row r="74" spans="1:26" s="23" customFormat="1" hidden="1" outlineLevel="2" x14ac:dyDescent="0.25">
      <c r="A74" s="25"/>
      <c r="B74" s="10" t="str">
        <f>CONCATENATE("          ", "6373", " - ", "MAINTENANCE CONTRACTS")</f>
        <v xml:space="preserve">          6373 - MAINTENANCE CONTRACTS</v>
      </c>
      <c r="C74" s="10"/>
      <c r="D74" s="6">
        <v>299.39</v>
      </c>
      <c r="E74" s="2"/>
      <c r="F74" s="7">
        <f t="shared" si="41"/>
        <v>8.7926578560939799</v>
      </c>
      <c r="G74" s="2"/>
      <c r="H74" s="6">
        <v>301.45</v>
      </c>
      <c r="I74" s="2"/>
      <c r="J74" s="7">
        <f t="shared" si="42"/>
        <v>2.5232275885159452</v>
      </c>
      <c r="K74" s="2"/>
      <c r="L74" s="6">
        <f t="shared" si="43"/>
        <v>-2.0600000000000023</v>
      </c>
      <c r="M74" s="2"/>
      <c r="N74" s="7">
        <f t="shared" si="44"/>
        <v>-6.8336374191408271E-3</v>
      </c>
      <c r="O74" s="10"/>
      <c r="P74" s="6">
        <v>1557.44</v>
      </c>
      <c r="Q74" s="2"/>
      <c r="R74" s="7">
        <f t="shared" si="45"/>
        <v>0.53502440767166959</v>
      </c>
      <c r="S74" s="2"/>
      <c r="T74" s="6">
        <v>1185.52</v>
      </c>
      <c r="U74" s="2"/>
      <c r="V74" s="7">
        <f t="shared" si="46"/>
        <v>5.0133446173901929E-4</v>
      </c>
      <c r="W74" s="2"/>
      <c r="X74" s="6">
        <f t="shared" si="47"/>
        <v>371.92000000000007</v>
      </c>
      <c r="Y74" s="2"/>
      <c r="Z74" s="7">
        <f t="shared" si="48"/>
        <v>0.31371887441797697</v>
      </c>
    </row>
    <row r="75" spans="1:26" s="23" customFormat="1" hidden="1" outlineLevel="2" x14ac:dyDescent="0.25">
      <c r="A75" s="25"/>
      <c r="B75" s="10" t="str">
        <f>CONCATENATE("          ", "6375", " - ", "OUTSIDE REPAIRS &amp; MAINTENANCE")</f>
        <v xml:space="preserve">          6375 - OUTSIDE REPAIRS &amp; MAINTENANCE</v>
      </c>
      <c r="C75" s="10"/>
      <c r="D75" s="6">
        <v>85</v>
      </c>
      <c r="E75" s="2"/>
      <c r="F75" s="7">
        <f t="shared" si="41"/>
        <v>2.49632892804699</v>
      </c>
      <c r="G75" s="2"/>
      <c r="H75" s="6"/>
      <c r="I75" s="2"/>
      <c r="J75" s="7">
        <f t="shared" si="42"/>
        <v>0</v>
      </c>
      <c r="K75" s="2"/>
      <c r="L75" s="6">
        <f t="shared" si="43"/>
        <v>85</v>
      </c>
      <c r="M75" s="2"/>
      <c r="N75" s="7">
        <f t="shared" si="44"/>
        <v>0</v>
      </c>
      <c r="O75" s="10"/>
      <c r="P75" s="6">
        <v>1858.38</v>
      </c>
      <c r="Q75" s="2"/>
      <c r="R75" s="7">
        <f t="shared" si="45"/>
        <v>0.63840575478276995</v>
      </c>
      <c r="S75" s="2"/>
      <c r="T75" s="6">
        <v>15419.41</v>
      </c>
      <c r="U75" s="2"/>
      <c r="V75" s="7">
        <f t="shared" si="46"/>
        <v>6.5205830459910009E-3</v>
      </c>
      <c r="W75" s="2"/>
      <c r="X75" s="6">
        <f t="shared" si="47"/>
        <v>-13561.029999999999</v>
      </c>
      <c r="Y75" s="2"/>
      <c r="Z75" s="7">
        <f t="shared" si="48"/>
        <v>-0.87947787885528683</v>
      </c>
    </row>
    <row r="76" spans="1:26" s="27" customFormat="1" outlineLevel="1" collapsed="1" x14ac:dyDescent="0.25">
      <c r="A76" s="26"/>
      <c r="B76" s="12" t="str">
        <f>CONCATENATE("     ","Royalty &amp; Commissions                             ")</f>
        <v xml:space="preserve">     Royalty &amp; Commissions                             </v>
      </c>
      <c r="C76" s="12"/>
      <c r="D76" s="1">
        <f>SUM(OSRRefD22_15x_0)</f>
        <v>0</v>
      </c>
      <c r="E76" s="1"/>
      <c r="F76" s="5">
        <f t="shared" ref="F76:F82" si="49">IF(D$12=0,0,D76/D$12)</f>
        <v>0</v>
      </c>
      <c r="G76" s="1"/>
      <c r="H76" s="1">
        <f>SUM(OSRRefH22_15x_0)</f>
        <v>0</v>
      </c>
      <c r="I76" s="1"/>
      <c r="J76" s="5">
        <f t="shared" ref="J76:J82" si="50">IF(H$12=0,0,H76/H$12)</f>
        <v>0</v>
      </c>
      <c r="K76" s="1"/>
      <c r="L76" s="1">
        <f t="shared" ref="L76:L82" si="51">+D76-H76</f>
        <v>0</v>
      </c>
      <c r="M76" s="1"/>
      <c r="N76" s="5">
        <f t="shared" ref="N76:N82" si="52">IF(H76=0,0,L76/H76)</f>
        <v>0</v>
      </c>
      <c r="O76" s="12"/>
      <c r="P76" s="1">
        <f>SUM(OSRRefP22_15x_0)</f>
        <v>185.7</v>
      </c>
      <c r="Q76" s="1"/>
      <c r="R76" s="5">
        <f t="shared" ref="R76:R82" si="53">IF(P$12=0,0,P76/P$12)</f>
        <v>6.3793168600157324E-2</v>
      </c>
      <c r="S76" s="1"/>
      <c r="T76" s="1">
        <f>SUM(OSRRefT22_15x_0)</f>
        <v>24556.14</v>
      </c>
      <c r="U76" s="1"/>
      <c r="V76" s="5">
        <f t="shared" ref="V76:V82" si="54">IF(T$12=0,0,T76/T$12)</f>
        <v>1.0384337024502329E-2</v>
      </c>
      <c r="W76" s="1"/>
      <c r="X76" s="1">
        <f t="shared" ref="X76:X82" si="55">+P76-T76</f>
        <v>-24370.44</v>
      </c>
      <c r="Y76" s="1"/>
      <c r="Z76" s="5">
        <f t="shared" ref="Z76:Z82" si="56">IF(T76=0,0,X76/T76)</f>
        <v>-0.99243773654979972</v>
      </c>
    </row>
    <row r="77" spans="1:26" s="23" customFormat="1" hidden="1" outlineLevel="2" x14ac:dyDescent="0.25">
      <c r="A77" s="25"/>
      <c r="B77" s="10" t="str">
        <f>CONCATENATE("          ", "6254", " - ", "ROYALTY &amp; COMMISSIONS")</f>
        <v xml:space="preserve">          6254 - ROYALTY &amp; COMMISSIONS</v>
      </c>
      <c r="C77" s="10"/>
      <c r="D77" s="6"/>
      <c r="E77" s="2"/>
      <c r="F77" s="7">
        <f t="shared" si="49"/>
        <v>0</v>
      </c>
      <c r="G77" s="2"/>
      <c r="H77" s="6"/>
      <c r="I77" s="2"/>
      <c r="J77" s="7">
        <f t="shared" si="50"/>
        <v>0</v>
      </c>
      <c r="K77" s="2"/>
      <c r="L77" s="6">
        <f t="shared" si="51"/>
        <v>0</v>
      </c>
      <c r="M77" s="2"/>
      <c r="N77" s="7">
        <f t="shared" si="52"/>
        <v>0</v>
      </c>
      <c r="O77" s="10"/>
      <c r="P77" s="6">
        <v>185.7</v>
      </c>
      <c r="Q77" s="2"/>
      <c r="R77" s="7">
        <f t="shared" si="53"/>
        <v>6.3793168600157324E-2</v>
      </c>
      <c r="S77" s="2"/>
      <c r="T77" s="6">
        <v>24556.14</v>
      </c>
      <c r="U77" s="2"/>
      <c r="V77" s="7">
        <f t="shared" si="54"/>
        <v>1.0384337024502329E-2</v>
      </c>
      <c r="W77" s="2"/>
      <c r="X77" s="6">
        <f t="shared" si="55"/>
        <v>-24370.44</v>
      </c>
      <c r="Y77" s="2"/>
      <c r="Z77" s="7">
        <f t="shared" si="56"/>
        <v>-0.99243773654979972</v>
      </c>
    </row>
    <row r="78" spans="1:26" s="27" customFormat="1" outlineLevel="1" collapsed="1" x14ac:dyDescent="0.25">
      <c r="A78" s="26"/>
      <c r="B78" s="12" t="str">
        <f>CONCATENATE("     ","Services                                          ")</f>
        <v xml:space="preserve">     Services                                          </v>
      </c>
      <c r="C78" s="12"/>
      <c r="D78" s="1">
        <f>SUM(OSRRefD22_16x_0)</f>
        <v>297.64999999999998</v>
      </c>
      <c r="E78" s="1"/>
      <c r="F78" s="5">
        <f t="shared" si="49"/>
        <v>8.7415565345080761</v>
      </c>
      <c r="G78" s="1"/>
      <c r="H78" s="1">
        <f>SUM(OSRRefH22_16x_0)</f>
        <v>11364.869999999999</v>
      </c>
      <c r="I78" s="1"/>
      <c r="J78" s="5">
        <f t="shared" si="50"/>
        <v>95.127395998995553</v>
      </c>
      <c r="K78" s="1"/>
      <c r="L78" s="1">
        <f t="shared" si="51"/>
        <v>-11067.22</v>
      </c>
      <c r="M78" s="1"/>
      <c r="N78" s="5">
        <f t="shared" si="52"/>
        <v>-0.97380964322513153</v>
      </c>
      <c r="O78" s="12"/>
      <c r="P78" s="1">
        <f>SUM(OSRRefP22_16x_0)</f>
        <v>3353.11</v>
      </c>
      <c r="Q78" s="1"/>
      <c r="R78" s="5">
        <f t="shared" si="53"/>
        <v>1.1518875151581776</v>
      </c>
      <c r="S78" s="1"/>
      <c r="T78" s="1">
        <f>SUM(OSRRefT22_16x_0)</f>
        <v>28470.010000000002</v>
      </c>
      <c r="U78" s="1"/>
      <c r="V78" s="5">
        <f t="shared" si="54"/>
        <v>1.2039440194222366E-2</v>
      </c>
      <c r="W78" s="1"/>
      <c r="X78" s="1">
        <f t="shared" si="55"/>
        <v>-25116.9</v>
      </c>
      <c r="Y78" s="1"/>
      <c r="Z78" s="5">
        <f t="shared" si="56"/>
        <v>-0.88222308316716436</v>
      </c>
    </row>
    <row r="79" spans="1:26" s="23" customFormat="1" hidden="1" outlineLevel="2" x14ac:dyDescent="0.25">
      <c r="A79" s="25"/>
      <c r="B79" s="10" t="str">
        <f>CONCATENATE("          ", "6282", " - ", "JANITORIAL/EXTERMINATOR EXPENS")</f>
        <v xml:space="preserve">          6282 - JANITORIAL/EXTERMINATOR EXPENS</v>
      </c>
      <c r="C79" s="10"/>
      <c r="D79" s="6">
        <v>488.65</v>
      </c>
      <c r="E79" s="2"/>
      <c r="F79" s="7">
        <f t="shared" si="49"/>
        <v>14.350954478707783</v>
      </c>
      <c r="G79" s="2"/>
      <c r="H79" s="6">
        <v>582.70000000000005</v>
      </c>
      <c r="I79" s="2"/>
      <c r="J79" s="7">
        <f t="shared" si="50"/>
        <v>4.8773750732401444</v>
      </c>
      <c r="K79" s="2"/>
      <c r="L79" s="6">
        <f t="shared" si="51"/>
        <v>-94.050000000000068</v>
      </c>
      <c r="M79" s="2"/>
      <c r="N79" s="7">
        <f t="shared" si="52"/>
        <v>-0.16140380985069513</v>
      </c>
      <c r="O79" s="10"/>
      <c r="P79" s="6">
        <v>2895.71</v>
      </c>
      <c r="Q79" s="2"/>
      <c r="R79" s="7">
        <f t="shared" si="53"/>
        <v>0.99475776115865155</v>
      </c>
      <c r="S79" s="2"/>
      <c r="T79" s="6">
        <v>7000.79</v>
      </c>
      <c r="U79" s="2"/>
      <c r="V79" s="7">
        <f t="shared" si="54"/>
        <v>2.9605044928789973E-3</v>
      </c>
      <c r="W79" s="2"/>
      <c r="X79" s="6">
        <f t="shared" si="55"/>
        <v>-4105.08</v>
      </c>
      <c r="Y79" s="2"/>
      <c r="Z79" s="7">
        <f t="shared" si="56"/>
        <v>-0.58637382352563072</v>
      </c>
    </row>
    <row r="80" spans="1:26" s="23" customFormat="1" hidden="1" outlineLevel="2" x14ac:dyDescent="0.25">
      <c r="A80" s="25"/>
      <c r="B80" s="10" t="str">
        <f>CONCATENATE("          ", "6284", " - ", "TRASH REMOVAL EXPENSE")</f>
        <v xml:space="preserve">          6284 - TRASH REMOVAL EXPENSE</v>
      </c>
      <c r="C80" s="10"/>
      <c r="D80" s="6">
        <v>-191</v>
      </c>
      <c r="E80" s="2"/>
      <c r="F80" s="7">
        <f t="shared" si="49"/>
        <v>-5.6093979441997064</v>
      </c>
      <c r="G80" s="2"/>
      <c r="H80" s="6">
        <v>2738</v>
      </c>
      <c r="I80" s="2"/>
      <c r="J80" s="7">
        <f t="shared" si="50"/>
        <v>22.917887335732821</v>
      </c>
      <c r="K80" s="2"/>
      <c r="L80" s="6">
        <f t="shared" si="51"/>
        <v>-2929</v>
      </c>
      <c r="M80" s="2"/>
      <c r="N80" s="7">
        <f t="shared" si="52"/>
        <v>-1.0697589481373264</v>
      </c>
      <c r="O80" s="10"/>
      <c r="P80" s="6">
        <v>1262</v>
      </c>
      <c r="Q80" s="2"/>
      <c r="R80" s="7">
        <f t="shared" si="53"/>
        <v>0.4335324651233094</v>
      </c>
      <c r="S80" s="2"/>
      <c r="T80" s="6">
        <v>5916</v>
      </c>
      <c r="U80" s="2"/>
      <c r="V80" s="7">
        <f t="shared" si="54"/>
        <v>2.5017668834334626E-3</v>
      </c>
      <c r="W80" s="2"/>
      <c r="X80" s="6">
        <f t="shared" si="55"/>
        <v>-4654</v>
      </c>
      <c r="Y80" s="2"/>
      <c r="Z80" s="7">
        <f t="shared" si="56"/>
        <v>-0.78668018931710615</v>
      </c>
    </row>
    <row r="81" spans="1:26" s="23" customFormat="1" hidden="1" outlineLevel="2" x14ac:dyDescent="0.25">
      <c r="A81" s="25"/>
      <c r="B81" s="10" t="str">
        <f>CONCATENATE("          ", "6285", " - ", "JANITORIAL SERVICES")</f>
        <v xml:space="preserve">          6285 - JANITORIAL SERVICES</v>
      </c>
      <c r="C81" s="10"/>
      <c r="D81" s="6"/>
      <c r="E81" s="2"/>
      <c r="F81" s="7">
        <f t="shared" si="49"/>
        <v>0</v>
      </c>
      <c r="G81" s="2"/>
      <c r="H81" s="6">
        <v>8044.17</v>
      </c>
      <c r="I81" s="2"/>
      <c r="J81" s="7">
        <f t="shared" si="50"/>
        <v>67.332133590022607</v>
      </c>
      <c r="K81" s="2"/>
      <c r="L81" s="6">
        <f t="shared" si="51"/>
        <v>-8044.17</v>
      </c>
      <c r="M81" s="2"/>
      <c r="N81" s="7">
        <f t="shared" si="52"/>
        <v>-1</v>
      </c>
      <c r="O81" s="10"/>
      <c r="P81" s="6">
        <v>-804.6</v>
      </c>
      <c r="Q81" s="2"/>
      <c r="R81" s="7">
        <f t="shared" si="53"/>
        <v>-0.27640271112378345</v>
      </c>
      <c r="S81" s="2"/>
      <c r="T81" s="6">
        <v>9366.0499999999993</v>
      </c>
      <c r="U81" s="2"/>
      <c r="V81" s="7">
        <f t="shared" si="54"/>
        <v>3.9607291613559803E-3</v>
      </c>
      <c r="W81" s="2"/>
      <c r="X81" s="6">
        <f t="shared" si="55"/>
        <v>-10170.65</v>
      </c>
      <c r="Y81" s="2"/>
      <c r="Z81" s="7">
        <f t="shared" si="56"/>
        <v>-1.0859060116057464</v>
      </c>
    </row>
    <row r="82" spans="1:26" s="23" customFormat="1" hidden="1" outlineLevel="2" x14ac:dyDescent="0.25">
      <c r="A82" s="25"/>
      <c r="B82" s="10" t="str">
        <f>CONCATENATE("          ", "6286", " - ", "LAUNDRY EXPENSE")</f>
        <v xml:space="preserve">          6286 - LAUNDRY EXPENSE</v>
      </c>
      <c r="C82" s="10"/>
      <c r="D82" s="6"/>
      <c r="E82" s="2"/>
      <c r="F82" s="7">
        <f t="shared" si="49"/>
        <v>0</v>
      </c>
      <c r="G82" s="2"/>
      <c r="H82" s="6"/>
      <c r="I82" s="2"/>
      <c r="J82" s="7">
        <f t="shared" si="50"/>
        <v>0</v>
      </c>
      <c r="K82" s="2"/>
      <c r="L82" s="6">
        <f t="shared" si="51"/>
        <v>0</v>
      </c>
      <c r="M82" s="2"/>
      <c r="N82" s="7">
        <f t="shared" si="52"/>
        <v>0</v>
      </c>
      <c r="O82" s="10"/>
      <c r="P82" s="6"/>
      <c r="Q82" s="2"/>
      <c r="R82" s="7">
        <f t="shared" si="53"/>
        <v>0</v>
      </c>
      <c r="S82" s="2"/>
      <c r="T82" s="6">
        <v>6187.17</v>
      </c>
      <c r="U82" s="2"/>
      <c r="V82" s="7">
        <f t="shared" si="54"/>
        <v>2.616439656553924E-3</v>
      </c>
      <c r="W82" s="2"/>
      <c r="X82" s="6">
        <f t="shared" si="55"/>
        <v>-6187.17</v>
      </c>
      <c r="Y82" s="2"/>
      <c r="Z82" s="7">
        <f t="shared" si="56"/>
        <v>-1</v>
      </c>
    </row>
    <row r="83" spans="1:26" s="27" customFormat="1" outlineLevel="1" collapsed="1" x14ac:dyDescent="0.25">
      <c r="A83" s="26"/>
      <c r="B83" s="12" t="str">
        <f>CONCATENATE("     ","Subscriptions &amp; Dues                              ")</f>
        <v xml:space="preserve">     Subscriptions &amp; Dues                              </v>
      </c>
      <c r="C83" s="12"/>
      <c r="D83" s="1">
        <f>SUM(OSRRefD22_17x_0)</f>
        <v>0</v>
      </c>
      <c r="E83" s="1"/>
      <c r="F83" s="5">
        <f t="shared" ref="F83:F94" si="57">IF(D$12=0,0,D83/D$12)</f>
        <v>0</v>
      </c>
      <c r="G83" s="1"/>
      <c r="H83" s="1">
        <f>SUM(OSRRefH22_17x_0)</f>
        <v>0</v>
      </c>
      <c r="I83" s="1"/>
      <c r="J83" s="5">
        <f t="shared" ref="J83:J94" si="58">IF(H$12=0,0,H83/H$12)</f>
        <v>0</v>
      </c>
      <c r="K83" s="1"/>
      <c r="L83" s="1">
        <f t="shared" ref="L83:L94" si="59">+D83-H83</f>
        <v>0</v>
      </c>
      <c r="M83" s="1"/>
      <c r="N83" s="5">
        <f t="shared" ref="N83:N94" si="60">IF(H83=0,0,L83/H83)</f>
        <v>0</v>
      </c>
      <c r="O83" s="12"/>
      <c r="P83" s="1">
        <f>SUM(OSRRefP22_17x_0)</f>
        <v>0</v>
      </c>
      <c r="Q83" s="1"/>
      <c r="R83" s="5">
        <f t="shared" ref="R83:R94" si="61">IF(P$12=0,0,P83/P$12)</f>
        <v>0</v>
      </c>
      <c r="S83" s="1"/>
      <c r="T83" s="1">
        <f>SUM(OSRRefT22_17x_0)</f>
        <v>1411.2</v>
      </c>
      <c r="U83" s="1"/>
      <c r="V83" s="5">
        <f t="shared" ref="V83:V94" si="62">IF(T$12=0,0,T83/T$12)</f>
        <v>5.9677035596708962E-4</v>
      </c>
      <c r="W83" s="1"/>
      <c r="X83" s="1">
        <f t="shared" ref="X83:X94" si="63">+P83-T83</f>
        <v>-1411.2</v>
      </c>
      <c r="Y83" s="1"/>
      <c r="Z83" s="5">
        <f t="shared" ref="Z83:Z94" si="64">IF(T83=0,0,X83/T83)</f>
        <v>-1</v>
      </c>
    </row>
    <row r="84" spans="1:26" s="23" customFormat="1" hidden="1" outlineLevel="2" x14ac:dyDescent="0.25">
      <c r="A84" s="25"/>
      <c r="B84" s="10" t="str">
        <f>CONCATENATE("          ", "6275", " - ", "SUBSCRIPTIONS")</f>
        <v xml:space="preserve">          6275 - SUBSCRIPTIONS</v>
      </c>
      <c r="C84" s="10"/>
      <c r="D84" s="6"/>
      <c r="E84" s="2"/>
      <c r="F84" s="7">
        <f t="shared" si="57"/>
        <v>0</v>
      </c>
      <c r="G84" s="2"/>
      <c r="H84" s="6"/>
      <c r="I84" s="2"/>
      <c r="J84" s="7">
        <f t="shared" si="58"/>
        <v>0</v>
      </c>
      <c r="K84" s="2"/>
      <c r="L84" s="6">
        <f t="shared" si="59"/>
        <v>0</v>
      </c>
      <c r="M84" s="2"/>
      <c r="N84" s="7">
        <f t="shared" si="60"/>
        <v>0</v>
      </c>
      <c r="O84" s="10"/>
      <c r="P84" s="6"/>
      <c r="Q84" s="2"/>
      <c r="R84" s="7">
        <f t="shared" si="61"/>
        <v>0</v>
      </c>
      <c r="S84" s="2"/>
      <c r="T84" s="6">
        <v>1411.2</v>
      </c>
      <c r="U84" s="2"/>
      <c r="V84" s="7">
        <f t="shared" si="62"/>
        <v>5.9677035596708962E-4</v>
      </c>
      <c r="W84" s="2"/>
      <c r="X84" s="6">
        <f t="shared" si="63"/>
        <v>-1411.2</v>
      </c>
      <c r="Y84" s="2"/>
      <c r="Z84" s="7">
        <f t="shared" si="64"/>
        <v>-1</v>
      </c>
    </row>
    <row r="85" spans="1:26" s="27" customFormat="1" outlineLevel="1" collapsed="1" x14ac:dyDescent="0.25">
      <c r="A85" s="26"/>
      <c r="B85" s="12" t="str">
        <f>CONCATENATE("     ","Supplies                                          ")</f>
        <v xml:space="preserve">     Supplies                                          </v>
      </c>
      <c r="C85" s="12"/>
      <c r="D85" s="1">
        <f>SUM(OSRRefD22_18x_0)</f>
        <v>6.79</v>
      </c>
      <c r="E85" s="1"/>
      <c r="F85" s="5">
        <f t="shared" si="57"/>
        <v>0.19941262848751837</v>
      </c>
      <c r="G85" s="1"/>
      <c r="H85" s="1">
        <f>SUM(OSRRefH22_18x_0)</f>
        <v>-29.9</v>
      </c>
      <c r="I85" s="1"/>
      <c r="J85" s="5">
        <f t="shared" si="58"/>
        <v>-0.25027203482045701</v>
      </c>
      <c r="K85" s="1"/>
      <c r="L85" s="1">
        <f t="shared" si="59"/>
        <v>36.69</v>
      </c>
      <c r="M85" s="1"/>
      <c r="N85" s="5">
        <f t="shared" si="60"/>
        <v>-1.2270903010033445</v>
      </c>
      <c r="O85" s="12"/>
      <c r="P85" s="1">
        <f>SUM(OSRRefP22_18x_0)</f>
        <v>1100.8800000000001</v>
      </c>
      <c r="Q85" s="1"/>
      <c r="R85" s="5">
        <f t="shared" si="61"/>
        <v>0.37818321727808946</v>
      </c>
      <c r="S85" s="1"/>
      <c r="T85" s="1">
        <f>SUM(OSRRefT22_18x_0)</f>
        <v>50142.16</v>
      </c>
      <c r="U85" s="1"/>
      <c r="V85" s="5">
        <f t="shared" si="62"/>
        <v>2.1204191235940167E-2</v>
      </c>
      <c r="W85" s="1"/>
      <c r="X85" s="1">
        <f t="shared" si="63"/>
        <v>-49041.280000000006</v>
      </c>
      <c r="Y85" s="1"/>
      <c r="Z85" s="5">
        <f t="shared" si="64"/>
        <v>-0.97804482295936201</v>
      </c>
    </row>
    <row r="86" spans="1:26" s="23" customFormat="1" hidden="1" outlineLevel="2" x14ac:dyDescent="0.25">
      <c r="A86" s="25"/>
      <c r="B86" s="10" t="str">
        <f>CONCATENATE("          ", "6234", " - ", "EXPENDABLE SUPPLIES &amp; EQUIPMEN")</f>
        <v xml:space="preserve">          6234 - EXPENDABLE SUPPLIES &amp; EQUIPMEN</v>
      </c>
      <c r="C86" s="10"/>
      <c r="D86" s="6"/>
      <c r="E86" s="2"/>
      <c r="F86" s="7">
        <f t="shared" si="57"/>
        <v>0</v>
      </c>
      <c r="G86" s="2"/>
      <c r="H86" s="6"/>
      <c r="I86" s="2"/>
      <c r="J86" s="7">
        <f t="shared" si="58"/>
        <v>0</v>
      </c>
      <c r="K86" s="2"/>
      <c r="L86" s="6">
        <f t="shared" si="59"/>
        <v>0</v>
      </c>
      <c r="M86" s="2"/>
      <c r="N86" s="7">
        <f t="shared" si="60"/>
        <v>0</v>
      </c>
      <c r="O86" s="10"/>
      <c r="P86" s="6">
        <v>316.67</v>
      </c>
      <c r="Q86" s="2"/>
      <c r="R86" s="7">
        <f t="shared" si="61"/>
        <v>0.10878504416053755</v>
      </c>
      <c r="S86" s="2"/>
      <c r="T86" s="6">
        <v>1092.46</v>
      </c>
      <c r="U86" s="2"/>
      <c r="V86" s="7">
        <f t="shared" si="62"/>
        <v>4.6198111045904673E-4</v>
      </c>
      <c r="W86" s="2"/>
      <c r="X86" s="6">
        <f t="shared" si="63"/>
        <v>-775.79</v>
      </c>
      <c r="Y86" s="2"/>
      <c r="Z86" s="7">
        <f t="shared" si="64"/>
        <v>-0.71013126338721777</v>
      </c>
    </row>
    <row r="87" spans="1:26" s="23" customFormat="1" hidden="1" outlineLevel="2" x14ac:dyDescent="0.25">
      <c r="A87" s="25"/>
      <c r="B87" s="10" t="str">
        <f>CONCATENATE("          ", "6235", " - ", "COVID-19 EXPENSES")</f>
        <v xml:space="preserve">          6235 - COVID-19 EXPENSES</v>
      </c>
      <c r="C87" s="10"/>
      <c r="D87" s="6"/>
      <c r="E87" s="2"/>
      <c r="F87" s="7">
        <f t="shared" si="57"/>
        <v>0</v>
      </c>
      <c r="G87" s="2"/>
      <c r="H87" s="6"/>
      <c r="I87" s="2"/>
      <c r="J87" s="7">
        <f t="shared" si="58"/>
        <v>0</v>
      </c>
      <c r="K87" s="2"/>
      <c r="L87" s="6">
        <f t="shared" si="59"/>
        <v>0</v>
      </c>
      <c r="M87" s="2"/>
      <c r="N87" s="7">
        <f t="shared" si="60"/>
        <v>0</v>
      </c>
      <c r="O87" s="10"/>
      <c r="P87" s="6">
        <v>207.27</v>
      </c>
      <c r="Q87" s="2"/>
      <c r="R87" s="7">
        <f t="shared" si="61"/>
        <v>7.120306976712229E-2</v>
      </c>
      <c r="S87" s="2"/>
      <c r="T87" s="6"/>
      <c r="U87" s="2"/>
      <c r="V87" s="7">
        <f t="shared" si="62"/>
        <v>0</v>
      </c>
      <c r="W87" s="2"/>
      <c r="X87" s="6">
        <f t="shared" si="63"/>
        <v>207.27</v>
      </c>
      <c r="Y87" s="2"/>
      <c r="Z87" s="7">
        <f t="shared" si="64"/>
        <v>0</v>
      </c>
    </row>
    <row r="88" spans="1:26" s="23" customFormat="1" hidden="1" outlineLevel="2" x14ac:dyDescent="0.25">
      <c r="A88" s="25"/>
      <c r="B88" s="10" t="str">
        <f>CONCATENATE("          ", "6237", " - ", "JANITORIAL SUPPLIES")</f>
        <v xml:space="preserve">          6237 - JANITORIAL SUPPLIES</v>
      </c>
      <c r="C88" s="10"/>
      <c r="D88" s="6"/>
      <c r="E88" s="2"/>
      <c r="F88" s="7">
        <f t="shared" si="57"/>
        <v>0</v>
      </c>
      <c r="G88" s="2"/>
      <c r="H88" s="6"/>
      <c r="I88" s="2"/>
      <c r="J88" s="7">
        <f t="shared" si="58"/>
        <v>0</v>
      </c>
      <c r="K88" s="2"/>
      <c r="L88" s="6">
        <f t="shared" si="59"/>
        <v>0</v>
      </c>
      <c r="M88" s="2"/>
      <c r="N88" s="7">
        <f t="shared" si="60"/>
        <v>0</v>
      </c>
      <c r="O88" s="10"/>
      <c r="P88" s="6">
        <v>317.57</v>
      </c>
      <c r="Q88" s="2"/>
      <c r="R88" s="7">
        <f t="shared" si="61"/>
        <v>0.10909421945262231</v>
      </c>
      <c r="S88" s="2"/>
      <c r="T88" s="6">
        <v>4418.97</v>
      </c>
      <c r="U88" s="2"/>
      <c r="V88" s="7">
        <f t="shared" si="62"/>
        <v>1.8687006093451603E-3</v>
      </c>
      <c r="W88" s="2"/>
      <c r="X88" s="6">
        <f t="shared" si="63"/>
        <v>-4101.4000000000005</v>
      </c>
      <c r="Y88" s="2"/>
      <c r="Z88" s="7">
        <f t="shared" si="64"/>
        <v>-0.92813483685112153</v>
      </c>
    </row>
    <row r="89" spans="1:26" s="23" customFormat="1" hidden="1" outlineLevel="2" x14ac:dyDescent="0.25">
      <c r="A89" s="25"/>
      <c r="B89" s="10" t="str">
        <f>CONCATENATE("          ", "6239", " - ", "KITCHEN SUPPLIES")</f>
        <v xml:space="preserve">          6239 - KITCHEN SUPPLIES</v>
      </c>
      <c r="C89" s="10"/>
      <c r="D89" s="6"/>
      <c r="E89" s="2"/>
      <c r="F89" s="7">
        <f t="shared" si="57"/>
        <v>0</v>
      </c>
      <c r="G89" s="2"/>
      <c r="H89" s="6"/>
      <c r="I89" s="2"/>
      <c r="J89" s="7">
        <f t="shared" si="58"/>
        <v>0</v>
      </c>
      <c r="K89" s="2"/>
      <c r="L89" s="6">
        <f t="shared" si="59"/>
        <v>0</v>
      </c>
      <c r="M89" s="2"/>
      <c r="N89" s="7">
        <f t="shared" si="60"/>
        <v>0</v>
      </c>
      <c r="O89" s="10"/>
      <c r="P89" s="6"/>
      <c r="Q89" s="2"/>
      <c r="R89" s="7">
        <f t="shared" si="61"/>
        <v>0</v>
      </c>
      <c r="S89" s="2"/>
      <c r="T89" s="6">
        <v>441.2</v>
      </c>
      <c r="U89" s="2"/>
      <c r="V89" s="7">
        <f t="shared" si="62"/>
        <v>1.8657531253732989E-4</v>
      </c>
      <c r="W89" s="2"/>
      <c r="X89" s="6">
        <f t="shared" si="63"/>
        <v>-441.2</v>
      </c>
      <c r="Y89" s="2"/>
      <c r="Z89" s="7">
        <f t="shared" si="64"/>
        <v>-1</v>
      </c>
    </row>
    <row r="90" spans="1:26" s="23" customFormat="1" hidden="1" outlineLevel="2" x14ac:dyDescent="0.25">
      <c r="A90" s="25"/>
      <c r="B90" s="10" t="str">
        <f>CONCATENATE("          ", "6241", " - ", "OFFICE EXPENSE")</f>
        <v xml:space="preserve">          6241 - OFFICE EXPENSE</v>
      </c>
      <c r="C90" s="10"/>
      <c r="D90" s="6">
        <v>6.79</v>
      </c>
      <c r="E90" s="2"/>
      <c r="F90" s="7">
        <f t="shared" si="57"/>
        <v>0.19941262848751837</v>
      </c>
      <c r="G90" s="2"/>
      <c r="H90" s="6"/>
      <c r="I90" s="2"/>
      <c r="J90" s="7">
        <f t="shared" si="58"/>
        <v>0</v>
      </c>
      <c r="K90" s="2"/>
      <c r="L90" s="6">
        <f t="shared" si="59"/>
        <v>6.79</v>
      </c>
      <c r="M90" s="2"/>
      <c r="N90" s="7">
        <f t="shared" si="60"/>
        <v>0</v>
      </c>
      <c r="O90" s="10"/>
      <c r="P90" s="6">
        <v>138.09</v>
      </c>
      <c r="Q90" s="2"/>
      <c r="R90" s="7">
        <f t="shared" si="61"/>
        <v>4.743779564887305E-2</v>
      </c>
      <c r="S90" s="2"/>
      <c r="T90" s="6">
        <v>2377.21</v>
      </c>
      <c r="U90" s="2"/>
      <c r="V90" s="7">
        <f t="shared" si="62"/>
        <v>1.0052781022594423E-3</v>
      </c>
      <c r="W90" s="2"/>
      <c r="X90" s="6">
        <f t="shared" si="63"/>
        <v>-2239.12</v>
      </c>
      <c r="Y90" s="2"/>
      <c r="Z90" s="7">
        <f t="shared" si="64"/>
        <v>-0.94191089554561858</v>
      </c>
    </row>
    <row r="91" spans="1:26" s="23" customFormat="1" hidden="1" outlineLevel="2" x14ac:dyDescent="0.25">
      <c r="A91" s="25"/>
      <c r="B91" s="10" t="str">
        <f>CONCATENATE("          ", "6243", " - ", "PAPER SUPPLIES")</f>
        <v xml:space="preserve">          6243 - PAPER SUPPLIES</v>
      </c>
      <c r="C91" s="10"/>
      <c r="D91" s="6"/>
      <c r="E91" s="2"/>
      <c r="F91" s="7">
        <f t="shared" si="57"/>
        <v>0</v>
      </c>
      <c r="G91" s="2"/>
      <c r="H91" s="6"/>
      <c r="I91" s="2"/>
      <c r="J91" s="7">
        <f t="shared" si="58"/>
        <v>0</v>
      </c>
      <c r="K91" s="2"/>
      <c r="L91" s="6">
        <f t="shared" si="59"/>
        <v>0</v>
      </c>
      <c r="M91" s="2"/>
      <c r="N91" s="7">
        <f t="shared" si="60"/>
        <v>0</v>
      </c>
      <c r="O91" s="10"/>
      <c r="P91" s="6"/>
      <c r="Q91" s="2"/>
      <c r="R91" s="7">
        <f t="shared" si="61"/>
        <v>0</v>
      </c>
      <c r="S91" s="2"/>
      <c r="T91" s="6">
        <v>4964.92</v>
      </c>
      <c r="U91" s="2"/>
      <c r="V91" s="7">
        <f t="shared" si="62"/>
        <v>2.0995727577580235E-3</v>
      </c>
      <c r="W91" s="2"/>
      <c r="X91" s="6">
        <f t="shared" si="63"/>
        <v>-4964.92</v>
      </c>
      <c r="Y91" s="2"/>
      <c r="Z91" s="7">
        <f t="shared" si="64"/>
        <v>-1</v>
      </c>
    </row>
    <row r="92" spans="1:26" s="23" customFormat="1" hidden="1" outlineLevel="2" x14ac:dyDescent="0.25">
      <c r="A92" s="25"/>
      <c r="B92" s="10" t="str">
        <f>CONCATENATE("          ", "6245", " - ", "PRINTING")</f>
        <v xml:space="preserve">          6245 - PRINTING</v>
      </c>
      <c r="C92" s="10"/>
      <c r="D92" s="6"/>
      <c r="E92" s="2"/>
      <c r="F92" s="7">
        <f t="shared" si="57"/>
        <v>0</v>
      </c>
      <c r="G92" s="2"/>
      <c r="H92" s="6"/>
      <c r="I92" s="2"/>
      <c r="J92" s="7">
        <f t="shared" si="58"/>
        <v>0</v>
      </c>
      <c r="K92" s="2"/>
      <c r="L92" s="6">
        <f t="shared" si="59"/>
        <v>0</v>
      </c>
      <c r="M92" s="2"/>
      <c r="N92" s="7">
        <f t="shared" si="60"/>
        <v>0</v>
      </c>
      <c r="O92" s="10"/>
      <c r="P92" s="6"/>
      <c r="Q92" s="2"/>
      <c r="R92" s="7">
        <f t="shared" si="61"/>
        <v>0</v>
      </c>
      <c r="S92" s="2"/>
      <c r="T92" s="6">
        <v>81.739999999999995</v>
      </c>
      <c r="U92" s="2"/>
      <c r="V92" s="7">
        <f t="shared" si="62"/>
        <v>3.4566332834998515E-5</v>
      </c>
      <c r="W92" s="2"/>
      <c r="X92" s="6">
        <f t="shared" si="63"/>
        <v>-81.739999999999995</v>
      </c>
      <c r="Y92" s="2"/>
      <c r="Z92" s="7">
        <f t="shared" si="64"/>
        <v>-1</v>
      </c>
    </row>
    <row r="93" spans="1:26" s="23" customFormat="1" hidden="1" outlineLevel="2" x14ac:dyDescent="0.25">
      <c r="A93" s="25"/>
      <c r="B93" s="10" t="str">
        <f>CONCATENATE("          ", "6247", " - ", "STORE SUPPLIES")</f>
        <v xml:space="preserve">          6247 - STORE SUPPLIES</v>
      </c>
      <c r="C93" s="10"/>
      <c r="D93" s="6"/>
      <c r="E93" s="2"/>
      <c r="F93" s="7">
        <f t="shared" si="57"/>
        <v>0</v>
      </c>
      <c r="G93" s="2"/>
      <c r="H93" s="6">
        <v>-29.9</v>
      </c>
      <c r="I93" s="2"/>
      <c r="J93" s="7">
        <f t="shared" si="58"/>
        <v>-0.25027203482045701</v>
      </c>
      <c r="K93" s="2"/>
      <c r="L93" s="6">
        <f t="shared" si="59"/>
        <v>29.9</v>
      </c>
      <c r="M93" s="2"/>
      <c r="N93" s="7">
        <f t="shared" si="60"/>
        <v>-1</v>
      </c>
      <c r="O93" s="10"/>
      <c r="P93" s="6">
        <v>121.28</v>
      </c>
      <c r="Q93" s="2"/>
      <c r="R93" s="7">
        <f t="shared" si="61"/>
        <v>4.1663088248934201E-2</v>
      </c>
      <c r="S93" s="2"/>
      <c r="T93" s="6">
        <v>36571.480000000003</v>
      </c>
      <c r="U93" s="2"/>
      <c r="V93" s="7">
        <f t="shared" si="62"/>
        <v>1.5465401883392361E-2</v>
      </c>
      <c r="W93" s="2"/>
      <c r="X93" s="6">
        <f t="shared" si="63"/>
        <v>-36450.200000000004</v>
      </c>
      <c r="Y93" s="2"/>
      <c r="Z93" s="7">
        <f t="shared" si="64"/>
        <v>-0.99668375466347003</v>
      </c>
    </row>
    <row r="94" spans="1:26" s="23" customFormat="1" hidden="1" outlineLevel="2" x14ac:dyDescent="0.25">
      <c r="A94" s="25"/>
      <c r="B94" s="10" t="str">
        <f>CONCATENATE("          ", "6248", " - ", "UNIFORMS")</f>
        <v xml:space="preserve">          6248 - UNIFORMS</v>
      </c>
      <c r="C94" s="10"/>
      <c r="D94" s="6"/>
      <c r="E94" s="2"/>
      <c r="F94" s="7">
        <f t="shared" si="57"/>
        <v>0</v>
      </c>
      <c r="G94" s="2"/>
      <c r="H94" s="6"/>
      <c r="I94" s="2"/>
      <c r="J94" s="7">
        <f t="shared" si="58"/>
        <v>0</v>
      </c>
      <c r="K94" s="2"/>
      <c r="L94" s="6">
        <f t="shared" si="59"/>
        <v>0</v>
      </c>
      <c r="M94" s="2"/>
      <c r="N94" s="7">
        <f t="shared" si="60"/>
        <v>0</v>
      </c>
      <c r="O94" s="10"/>
      <c r="P94" s="6"/>
      <c r="Q94" s="2"/>
      <c r="R94" s="7">
        <f t="shared" si="61"/>
        <v>0</v>
      </c>
      <c r="S94" s="2"/>
      <c r="T94" s="6">
        <v>194.18</v>
      </c>
      <c r="U94" s="2"/>
      <c r="V94" s="7">
        <f t="shared" si="62"/>
        <v>8.2115127353804893E-5</v>
      </c>
      <c r="W94" s="2"/>
      <c r="X94" s="6">
        <f t="shared" si="63"/>
        <v>-194.18</v>
      </c>
      <c r="Y94" s="2"/>
      <c r="Z94" s="7">
        <f t="shared" si="64"/>
        <v>-1</v>
      </c>
    </row>
    <row r="95" spans="1:26" s="27" customFormat="1" outlineLevel="1" collapsed="1" x14ac:dyDescent="0.25">
      <c r="A95" s="26"/>
      <c r="B95" s="12" t="str">
        <f>CONCATENATE("     ","Telephone/Data Lines                              ")</f>
        <v xml:space="preserve">     Telephone/Data Lines                              </v>
      </c>
      <c r="C95" s="12"/>
      <c r="D95" s="1">
        <f>SUM(OSRRefD22_19x_0)</f>
        <v>175.55</v>
      </c>
      <c r="E95" s="1"/>
      <c r="F95" s="5">
        <f t="shared" ref="F95:F102" si="65">IF(D$12=0,0,D95/D$12)</f>
        <v>5.1556534508076366</v>
      </c>
      <c r="G95" s="1"/>
      <c r="H95" s="1">
        <f>SUM(OSRRefH22_19x_0)</f>
        <v>350.41</v>
      </c>
      <c r="I95" s="1"/>
      <c r="J95" s="5">
        <f t="shared" ref="J95:J102" si="66">IF(H$12=0,0,H95/H$12)</f>
        <v>2.9330375826567341</v>
      </c>
      <c r="K95" s="1"/>
      <c r="L95" s="1">
        <f t="shared" ref="L95:L102" si="67">+D95-H95</f>
        <v>-174.86</v>
      </c>
      <c r="M95" s="1"/>
      <c r="N95" s="5">
        <f t="shared" ref="N95:N102" si="68">IF(H95=0,0,L95/H95)</f>
        <v>-0.49901543905710455</v>
      </c>
      <c r="O95" s="12"/>
      <c r="P95" s="1">
        <f>SUM(OSRRefP22_19x_0)</f>
        <v>3730.64</v>
      </c>
      <c r="Q95" s="1"/>
      <c r="R95" s="5">
        <f t="shared" ref="R95:R102" si="69">IF(P$12=0,0,P95/P$12)</f>
        <v>1.2815796796256915</v>
      </c>
      <c r="S95" s="1"/>
      <c r="T95" s="1">
        <f>SUM(OSRRefT22_19x_0)</f>
        <v>4727.08</v>
      </c>
      <c r="U95" s="1"/>
      <c r="V95" s="5">
        <f t="shared" ref="V95:V102" si="70">IF(T$12=0,0,T95/T$12)</f>
        <v>1.9989946246349987E-3</v>
      </c>
      <c r="W95" s="1"/>
      <c r="X95" s="1">
        <f t="shared" ref="X95:X102" si="71">+P95-T95</f>
        <v>-996.44</v>
      </c>
      <c r="Y95" s="1"/>
      <c r="Z95" s="5">
        <f t="shared" ref="Z95:Z102" si="72">IF(T95=0,0,X95/T95)</f>
        <v>-0.21079397852373982</v>
      </c>
    </row>
    <row r="96" spans="1:26" s="23" customFormat="1" hidden="1" outlineLevel="2" x14ac:dyDescent="0.25">
      <c r="A96" s="25"/>
      <c r="B96" s="10" t="str">
        <f>CONCATENATE("          ", "6309", " - ", "TELEPHONE")</f>
        <v xml:space="preserve">          6309 - TELEPHONE</v>
      </c>
      <c r="C96" s="10"/>
      <c r="D96" s="6">
        <v>175.55</v>
      </c>
      <c r="E96" s="2"/>
      <c r="F96" s="7">
        <f t="shared" si="65"/>
        <v>5.1556534508076366</v>
      </c>
      <c r="G96" s="2"/>
      <c r="H96" s="6">
        <v>350.41</v>
      </c>
      <c r="I96" s="2"/>
      <c r="J96" s="7">
        <f t="shared" si="66"/>
        <v>2.9330375826567341</v>
      </c>
      <c r="K96" s="2"/>
      <c r="L96" s="6">
        <f t="shared" si="67"/>
        <v>-174.86</v>
      </c>
      <c r="M96" s="2"/>
      <c r="N96" s="7">
        <f t="shared" si="68"/>
        <v>-0.49901543905710455</v>
      </c>
      <c r="O96" s="10"/>
      <c r="P96" s="6">
        <v>3730.64</v>
      </c>
      <c r="Q96" s="2"/>
      <c r="R96" s="7">
        <f t="shared" si="69"/>
        <v>1.2815796796256915</v>
      </c>
      <c r="S96" s="2"/>
      <c r="T96" s="6">
        <v>4727.08</v>
      </c>
      <c r="U96" s="2"/>
      <c r="V96" s="7">
        <f t="shared" si="70"/>
        <v>1.9989946246349987E-3</v>
      </c>
      <c r="W96" s="2"/>
      <c r="X96" s="6">
        <f t="shared" si="71"/>
        <v>-996.44</v>
      </c>
      <c r="Y96" s="2"/>
      <c r="Z96" s="7">
        <f t="shared" si="72"/>
        <v>-0.21079397852373982</v>
      </c>
    </row>
    <row r="97" spans="1:26" s="27" customFormat="1" outlineLevel="1" collapsed="1" x14ac:dyDescent="0.25">
      <c r="A97" s="26"/>
      <c r="B97" s="12" t="str">
        <f>CONCATENATE("     ","Training                                          ")</f>
        <v xml:space="preserve">     Training                                          </v>
      </c>
      <c r="C97" s="12"/>
      <c r="D97" s="1">
        <f>SUM(OSRRefD22_20x_0)</f>
        <v>0</v>
      </c>
      <c r="E97" s="1"/>
      <c r="F97" s="5">
        <f t="shared" si="65"/>
        <v>0</v>
      </c>
      <c r="G97" s="1"/>
      <c r="H97" s="1">
        <f>SUM(OSRRefH22_20x_0)</f>
        <v>0</v>
      </c>
      <c r="I97" s="1"/>
      <c r="J97" s="5">
        <f t="shared" si="66"/>
        <v>0</v>
      </c>
      <c r="K97" s="1"/>
      <c r="L97" s="1">
        <f t="shared" si="67"/>
        <v>0</v>
      </c>
      <c r="M97" s="1"/>
      <c r="N97" s="5">
        <f t="shared" si="68"/>
        <v>0</v>
      </c>
      <c r="O97" s="12"/>
      <c r="P97" s="1">
        <f>SUM(OSRRefP22_20x_0)</f>
        <v>0</v>
      </c>
      <c r="Q97" s="1"/>
      <c r="R97" s="5">
        <f t="shared" si="69"/>
        <v>0</v>
      </c>
      <c r="S97" s="1"/>
      <c r="T97" s="1">
        <f>SUM(OSRRefT22_20x_0)</f>
        <v>110</v>
      </c>
      <c r="U97" s="1"/>
      <c r="V97" s="5">
        <f t="shared" si="70"/>
        <v>4.6516963687910897E-5</v>
      </c>
      <c r="W97" s="1"/>
      <c r="X97" s="1">
        <f t="shared" si="71"/>
        <v>-110</v>
      </c>
      <c r="Y97" s="1"/>
      <c r="Z97" s="5">
        <f t="shared" si="72"/>
        <v>-1</v>
      </c>
    </row>
    <row r="98" spans="1:26" s="23" customFormat="1" hidden="1" outlineLevel="2" x14ac:dyDescent="0.25">
      <c r="A98" s="25"/>
      <c r="B98" s="10" t="str">
        <f>CONCATENATE("          ", "6376", " - ", "TRAINING")</f>
        <v xml:space="preserve">          6376 - TRAINING</v>
      </c>
      <c r="C98" s="10"/>
      <c r="D98" s="6"/>
      <c r="E98" s="2"/>
      <c r="F98" s="7">
        <f t="shared" si="65"/>
        <v>0</v>
      </c>
      <c r="G98" s="2"/>
      <c r="H98" s="6"/>
      <c r="I98" s="2"/>
      <c r="J98" s="7">
        <f t="shared" si="66"/>
        <v>0</v>
      </c>
      <c r="K98" s="2"/>
      <c r="L98" s="6">
        <f t="shared" si="67"/>
        <v>0</v>
      </c>
      <c r="M98" s="2"/>
      <c r="N98" s="7">
        <f t="shared" si="68"/>
        <v>0</v>
      </c>
      <c r="O98" s="10"/>
      <c r="P98" s="6"/>
      <c r="Q98" s="2"/>
      <c r="R98" s="7">
        <f t="shared" si="69"/>
        <v>0</v>
      </c>
      <c r="S98" s="2"/>
      <c r="T98" s="6">
        <v>110</v>
      </c>
      <c r="U98" s="2"/>
      <c r="V98" s="7">
        <f t="shared" si="70"/>
        <v>4.6516963687910897E-5</v>
      </c>
      <c r="W98" s="2"/>
      <c r="X98" s="6">
        <f t="shared" si="71"/>
        <v>-110</v>
      </c>
      <c r="Y98" s="2"/>
      <c r="Z98" s="7">
        <f t="shared" si="72"/>
        <v>-1</v>
      </c>
    </row>
    <row r="99" spans="1:26" s="27" customFormat="1" outlineLevel="1" collapsed="1" x14ac:dyDescent="0.25">
      <c r="A99" s="26"/>
      <c r="B99" s="12" t="str">
        <f>CONCATENATE("     ","Travel                                            ")</f>
        <v xml:space="preserve">     Travel                                            </v>
      </c>
      <c r="C99" s="12"/>
      <c r="D99" s="1">
        <f>SUM(OSRRefD22_21x_0)</f>
        <v>0</v>
      </c>
      <c r="E99" s="1"/>
      <c r="F99" s="5">
        <f t="shared" si="65"/>
        <v>0</v>
      </c>
      <c r="G99" s="1"/>
      <c r="H99" s="1">
        <f>SUM(OSRRefH22_21x_0)</f>
        <v>0</v>
      </c>
      <c r="I99" s="1"/>
      <c r="J99" s="5">
        <f t="shared" si="66"/>
        <v>0</v>
      </c>
      <c r="K99" s="1"/>
      <c r="L99" s="1">
        <f t="shared" si="67"/>
        <v>0</v>
      </c>
      <c r="M99" s="1"/>
      <c r="N99" s="5">
        <f t="shared" si="68"/>
        <v>0</v>
      </c>
      <c r="O99" s="12"/>
      <c r="P99" s="1">
        <f>SUM(OSRRefP22_21x_0)</f>
        <v>0</v>
      </c>
      <c r="Q99" s="1"/>
      <c r="R99" s="5">
        <f t="shared" si="69"/>
        <v>0</v>
      </c>
      <c r="S99" s="1"/>
      <c r="T99" s="1">
        <f>SUM(OSRRefT22_21x_0)</f>
        <v>66</v>
      </c>
      <c r="U99" s="1"/>
      <c r="V99" s="5">
        <f t="shared" si="70"/>
        <v>2.7910178212746537E-5</v>
      </c>
      <c r="W99" s="1"/>
      <c r="X99" s="1">
        <f t="shared" si="71"/>
        <v>-66</v>
      </c>
      <c r="Y99" s="1"/>
      <c r="Z99" s="5">
        <f t="shared" si="72"/>
        <v>-1</v>
      </c>
    </row>
    <row r="100" spans="1:26" s="23" customFormat="1" hidden="1" outlineLevel="2" x14ac:dyDescent="0.25">
      <c r="A100" s="25"/>
      <c r="B100" s="10" t="str">
        <f>CONCATENATE("          ", "6298", " - ", "VEHICLE MILEAGE")</f>
        <v xml:space="preserve">          6298 - VEHICLE MILEAGE</v>
      </c>
      <c r="C100" s="10"/>
      <c r="D100" s="6"/>
      <c r="E100" s="2"/>
      <c r="F100" s="7">
        <f t="shared" si="65"/>
        <v>0</v>
      </c>
      <c r="G100" s="2"/>
      <c r="H100" s="6"/>
      <c r="I100" s="2"/>
      <c r="J100" s="7">
        <f t="shared" si="66"/>
        <v>0</v>
      </c>
      <c r="K100" s="2"/>
      <c r="L100" s="6">
        <f t="shared" si="67"/>
        <v>0</v>
      </c>
      <c r="M100" s="2"/>
      <c r="N100" s="7">
        <f t="shared" si="68"/>
        <v>0</v>
      </c>
      <c r="O100" s="10"/>
      <c r="P100" s="6"/>
      <c r="Q100" s="2"/>
      <c r="R100" s="7">
        <f t="shared" si="69"/>
        <v>0</v>
      </c>
      <c r="S100" s="2"/>
      <c r="T100" s="6">
        <v>66</v>
      </c>
      <c r="U100" s="2"/>
      <c r="V100" s="7">
        <f t="shared" si="70"/>
        <v>2.7910178212746537E-5</v>
      </c>
      <c r="W100" s="2"/>
      <c r="X100" s="6">
        <f t="shared" si="71"/>
        <v>-66</v>
      </c>
      <c r="Y100" s="2"/>
      <c r="Z100" s="7">
        <f t="shared" si="72"/>
        <v>-1</v>
      </c>
    </row>
    <row r="101" spans="1:26" s="27" customFormat="1" outlineLevel="1" collapsed="1" x14ac:dyDescent="0.25">
      <c r="A101" s="26"/>
      <c r="B101" s="12" t="str">
        <f>CONCATENATE("     ","Utilities                                         ")</f>
        <v xml:space="preserve">     Utilities                                         </v>
      </c>
      <c r="C101" s="12"/>
      <c r="D101" s="1">
        <f>SUM(OSRRefD22_22x_0)</f>
        <v>-815</v>
      </c>
      <c r="E101" s="1"/>
      <c r="F101" s="5">
        <f t="shared" si="65"/>
        <v>-23.935389133627019</v>
      </c>
      <c r="G101" s="1"/>
      <c r="H101" s="1">
        <f>SUM(OSRRefH22_22x_0)</f>
        <v>2708</v>
      </c>
      <c r="I101" s="1"/>
      <c r="J101" s="5">
        <f t="shared" si="66"/>
        <v>22.666778270695573</v>
      </c>
      <c r="K101" s="1"/>
      <c r="L101" s="1">
        <f t="shared" si="67"/>
        <v>-3523</v>
      </c>
      <c r="M101" s="1"/>
      <c r="N101" s="5">
        <f t="shared" si="68"/>
        <v>-1.3009601181683899</v>
      </c>
      <c r="O101" s="12"/>
      <c r="P101" s="1">
        <f>SUM(OSRRefP22_22x_0)</f>
        <v>6105</v>
      </c>
      <c r="Q101" s="1"/>
      <c r="R101" s="5">
        <f t="shared" si="69"/>
        <v>2.0972390646416827</v>
      </c>
      <c r="S101" s="1"/>
      <c r="T101" s="1">
        <f>SUM(OSRRefT22_22x_0)</f>
        <v>14311.74</v>
      </c>
      <c r="U101" s="1"/>
      <c r="V101" s="5">
        <f t="shared" si="70"/>
        <v>6.0521699080983808E-3</v>
      </c>
      <c r="W101" s="1"/>
      <c r="X101" s="1">
        <f t="shared" si="71"/>
        <v>-8206.74</v>
      </c>
      <c r="Y101" s="1"/>
      <c r="Z101" s="5">
        <f t="shared" si="72"/>
        <v>-0.57342713045373939</v>
      </c>
    </row>
    <row r="102" spans="1:26" s="23" customFormat="1" hidden="1" outlineLevel="2" x14ac:dyDescent="0.25">
      <c r="A102" s="25"/>
      <c r="B102" s="10" t="str">
        <f>CONCATENATE("          ", "6274", " - ", "UTILITIES")</f>
        <v xml:space="preserve">          6274 - UTILITIES</v>
      </c>
      <c r="C102" s="10"/>
      <c r="D102" s="6">
        <v>-815</v>
      </c>
      <c r="E102" s="2"/>
      <c r="F102" s="7">
        <f t="shared" si="65"/>
        <v>-23.935389133627019</v>
      </c>
      <c r="G102" s="2"/>
      <c r="H102" s="6">
        <v>2708</v>
      </c>
      <c r="I102" s="2"/>
      <c r="J102" s="7">
        <f t="shared" si="66"/>
        <v>22.666778270695573</v>
      </c>
      <c r="K102" s="2"/>
      <c r="L102" s="6">
        <f t="shared" si="67"/>
        <v>-3523</v>
      </c>
      <c r="M102" s="2"/>
      <c r="N102" s="7">
        <f t="shared" si="68"/>
        <v>-1.3009601181683899</v>
      </c>
      <c r="O102" s="10"/>
      <c r="P102" s="6">
        <v>6105</v>
      </c>
      <c r="Q102" s="2"/>
      <c r="R102" s="7">
        <f t="shared" si="69"/>
        <v>2.0972390646416827</v>
      </c>
      <c r="S102" s="2"/>
      <c r="T102" s="6">
        <v>14311.74</v>
      </c>
      <c r="U102" s="2"/>
      <c r="V102" s="7">
        <f t="shared" si="70"/>
        <v>6.0521699080983808E-3</v>
      </c>
      <c r="W102" s="2"/>
      <c r="X102" s="6">
        <f t="shared" si="71"/>
        <v>-8206.74</v>
      </c>
      <c r="Y102" s="2"/>
      <c r="Z102" s="7">
        <f t="shared" si="72"/>
        <v>-0.57342713045373939</v>
      </c>
    </row>
    <row r="103" spans="1:26" s="52" customFormat="1" x14ac:dyDescent="0.25">
      <c r="A103" s="37"/>
      <c r="B103" s="37"/>
      <c r="C103" s="37"/>
      <c r="D103" s="1"/>
      <c r="E103" s="1"/>
      <c r="F103" s="5"/>
      <c r="G103" s="1"/>
      <c r="H103" s="1"/>
      <c r="I103" s="1"/>
      <c r="J103" s="5"/>
      <c r="K103" s="1"/>
      <c r="L103" s="1"/>
      <c r="M103" s="1"/>
      <c r="N103" s="5"/>
      <c r="O103" s="37"/>
      <c r="P103" s="1"/>
      <c r="Q103" s="1"/>
      <c r="R103" s="5"/>
      <c r="S103" s="1"/>
      <c r="T103" s="1"/>
      <c r="U103" s="1"/>
      <c r="V103" s="5"/>
      <c r="W103" s="1"/>
      <c r="X103" s="1"/>
      <c r="Y103" s="1"/>
      <c r="Z103" s="5"/>
    </row>
    <row r="104" spans="1:26" s="24" customFormat="1" x14ac:dyDescent="0.25">
      <c r="A104" s="11"/>
      <c r="B104" s="29" t="s">
        <v>292</v>
      </c>
      <c r="C104" s="11"/>
      <c r="D104" s="4">
        <f>SUM(0)</f>
        <v>0</v>
      </c>
      <c r="E104" s="4"/>
      <c r="F104" s="13">
        <f>IF(D$12=0,0,D104/D$12)</f>
        <v>0</v>
      </c>
      <c r="G104" s="4"/>
      <c r="H104" s="4">
        <f>SUM(0)</f>
        <v>0</v>
      </c>
      <c r="I104" s="4"/>
      <c r="J104" s="13">
        <f>IF(H$12=0,0,H104/H$12)</f>
        <v>0</v>
      </c>
      <c r="K104" s="4"/>
      <c r="L104" s="4">
        <f>+D104-H104</f>
        <v>0</v>
      </c>
      <c r="M104" s="4"/>
      <c r="N104" s="13">
        <f>IF(H104=0,0,L104/H104)</f>
        <v>0</v>
      </c>
      <c r="O104" s="11"/>
      <c r="P104" s="4">
        <f>SUM(0)</f>
        <v>0</v>
      </c>
      <c r="Q104" s="4"/>
      <c r="R104" s="13">
        <f>IF(P$12=0,0,P104/P$12)</f>
        <v>0</v>
      </c>
      <c r="S104" s="4"/>
      <c r="T104" s="4">
        <f>SUM(0)</f>
        <v>0</v>
      </c>
      <c r="U104" s="4"/>
      <c r="V104" s="13">
        <f>IF(T$12=0,0,T104/T$12)</f>
        <v>0</v>
      </c>
      <c r="W104" s="4"/>
      <c r="X104" s="4">
        <f>+P104-T104</f>
        <v>0</v>
      </c>
      <c r="Y104" s="4"/>
      <c r="Z104" s="13">
        <f>IF(T104=0,0,X104/T104)</f>
        <v>0</v>
      </c>
    </row>
    <row r="105" spans="1:26" x14ac:dyDescent="0.25">
      <c r="A105" s="9"/>
      <c r="B105" s="11"/>
      <c r="C105" s="11"/>
      <c r="D105" s="3"/>
      <c r="E105" s="3"/>
      <c r="F105" s="8"/>
      <c r="G105" s="3"/>
      <c r="H105" s="3"/>
      <c r="I105" s="3"/>
      <c r="J105" s="8"/>
      <c r="K105" s="3"/>
      <c r="L105" s="3"/>
      <c r="M105" s="3"/>
      <c r="N105" s="8"/>
      <c r="O105" s="11"/>
      <c r="P105" s="3"/>
      <c r="Q105" s="3"/>
      <c r="R105" s="8"/>
      <c r="S105" s="3"/>
      <c r="T105" s="3"/>
      <c r="U105" s="3"/>
      <c r="V105" s="8"/>
      <c r="W105" s="3"/>
      <c r="X105" s="3"/>
      <c r="Y105" s="3"/>
      <c r="Z105" s="8"/>
    </row>
    <row r="106" spans="1:26" s="24" customFormat="1" x14ac:dyDescent="0.25">
      <c r="A106" s="11"/>
      <c r="B106" s="28" t="s">
        <v>276</v>
      </c>
      <c r="C106" s="28"/>
      <c r="D106" s="21">
        <f>+D28-D30+D104</f>
        <v>-11409.43</v>
      </c>
      <c r="E106" s="14"/>
      <c r="F106" s="22">
        <f>IF(D$12=0,0,D106/D$12)</f>
        <v>-335.07870778267255</v>
      </c>
      <c r="G106" s="14"/>
      <c r="H106" s="21">
        <f>+H28-H30+H104</f>
        <v>-45450.44</v>
      </c>
      <c r="I106" s="14"/>
      <c r="J106" s="22">
        <f>IF(H$12=0,0,H106/H$12)</f>
        <v>-380.43391646438437</v>
      </c>
      <c r="K106" s="15"/>
      <c r="L106" s="21">
        <f>+D106-H106</f>
        <v>34041.01</v>
      </c>
      <c r="M106" s="15"/>
      <c r="N106" s="22">
        <f>IF(H106=0,0,L106/H106)</f>
        <v>-0.74896986695838363</v>
      </c>
      <c r="O106" s="29"/>
      <c r="P106" s="21">
        <f>+P28-P30+P104</f>
        <v>-284951.78000000003</v>
      </c>
      <c r="Q106" s="14"/>
      <c r="R106" s="22">
        <f>IF(P$12=0,0,P106/P$12)</f>
        <v>-97.888944235083159</v>
      </c>
      <c r="S106" s="14"/>
      <c r="T106" s="21">
        <f>+T28-T30+T104</f>
        <v>55149.659999999683</v>
      </c>
      <c r="U106" s="14"/>
      <c r="V106" s="22">
        <f>IF(T$12=0,0,T106/T$12)</f>
        <v>2.3321770287460158E-2</v>
      </c>
      <c r="W106" s="15"/>
      <c r="X106" s="21">
        <f>+P106-T106</f>
        <v>-340101.43999999971</v>
      </c>
      <c r="Y106" s="15"/>
      <c r="Z106" s="22">
        <f>IF(T106=0,0,X106/T106)</f>
        <v>-6.1668818991812762</v>
      </c>
    </row>
    <row r="107" spans="1:26" x14ac:dyDescent="0.25">
      <c r="A107" s="9"/>
      <c r="B107" s="11"/>
      <c r="C107" s="9"/>
      <c r="D107" s="3"/>
      <c r="E107" s="3"/>
      <c r="F107" s="8"/>
      <c r="G107" s="3"/>
      <c r="H107" s="3"/>
      <c r="I107" s="3"/>
      <c r="J107" s="8"/>
      <c r="K107" s="3"/>
      <c r="L107" s="3"/>
      <c r="M107" s="3"/>
      <c r="N107" s="8"/>
      <c r="P107" s="3"/>
      <c r="Q107" s="3"/>
      <c r="R107" s="8"/>
      <c r="S107" s="3"/>
      <c r="T107" s="3"/>
      <c r="U107" s="3"/>
      <c r="V107" s="8"/>
      <c r="W107" s="3"/>
      <c r="X107" s="3"/>
      <c r="Y107" s="3"/>
      <c r="Z107" s="8"/>
    </row>
    <row r="108" spans="1:26" s="24" customFormat="1" x14ac:dyDescent="0.25">
      <c r="A108" s="51"/>
      <c r="B108" s="11" t="s">
        <v>127</v>
      </c>
      <c r="C108" s="11"/>
      <c r="D108" s="4">
        <v>190.97</v>
      </c>
      <c r="E108" s="4"/>
      <c r="F108" s="13">
        <f>IF(D$12=0,0,D108/D$12)</f>
        <v>5.6085168869309845</v>
      </c>
      <c r="G108" s="4"/>
      <c r="H108" s="4">
        <v>78055.03</v>
      </c>
      <c r="I108" s="4"/>
      <c r="J108" s="13">
        <f>IF(H$12=0,0,H108/H$12)</f>
        <v>653.34418682514433</v>
      </c>
      <c r="K108" s="4"/>
      <c r="L108" s="4">
        <f>+D108-H108</f>
        <v>-77864.06</v>
      </c>
      <c r="M108" s="4"/>
      <c r="N108" s="13">
        <f>IF(H108=0,0,L108/H108)</f>
        <v>-0.99755339277942756</v>
      </c>
      <c r="O108" s="11"/>
      <c r="P108" s="4">
        <v>805.74</v>
      </c>
      <c r="Q108" s="4"/>
      <c r="R108" s="13">
        <f>IF(P$12=0,0,P108/P$12)</f>
        <v>0.27679433316042418</v>
      </c>
      <c r="S108" s="4"/>
      <c r="T108" s="4">
        <v>358073.41</v>
      </c>
      <c r="U108" s="4"/>
      <c r="V108" s="13">
        <f>IF(T$12=0,0,T108/T$12)</f>
        <v>0.15142261645978572</v>
      </c>
      <c r="W108" s="4"/>
      <c r="X108" s="4">
        <f>+P108-T108</f>
        <v>-357267.67</v>
      </c>
      <c r="Y108" s="4"/>
      <c r="Z108" s="13">
        <f>IF(T108=0,0,X108/T108)</f>
        <v>-0.99774979102748795</v>
      </c>
    </row>
    <row r="109" spans="1:26" x14ac:dyDescent="0.25">
      <c r="A109" s="9"/>
      <c r="B109" s="11"/>
      <c r="C109" s="11"/>
      <c r="D109" s="3"/>
      <c r="E109" s="3"/>
      <c r="F109" s="8"/>
      <c r="G109" s="3"/>
      <c r="H109" s="3"/>
      <c r="I109" s="3"/>
      <c r="J109" s="8"/>
      <c r="K109" s="3"/>
      <c r="L109" s="3"/>
      <c r="M109" s="3"/>
      <c r="N109" s="8"/>
      <c r="O109" s="11"/>
      <c r="P109" s="3"/>
      <c r="Q109" s="3"/>
      <c r="R109" s="8"/>
      <c r="S109" s="3"/>
      <c r="T109" s="3"/>
      <c r="U109" s="3"/>
      <c r="V109" s="8"/>
      <c r="W109" s="3"/>
      <c r="X109" s="3"/>
      <c r="Y109" s="3"/>
      <c r="Z109" s="8"/>
    </row>
    <row r="110" spans="1:26" s="24" customFormat="1" ht="15.75" thickBot="1" x14ac:dyDescent="0.3">
      <c r="A110" s="11"/>
      <c r="B110" s="28" t="s">
        <v>125</v>
      </c>
      <c r="C110" s="28"/>
      <c r="D110" s="34">
        <f>+D106-D108</f>
        <v>-11600.4</v>
      </c>
      <c r="E110" s="14"/>
      <c r="F110" s="31">
        <f>IF(D$12=0,0,D110/D$12)</f>
        <v>-340.68722466960355</v>
      </c>
      <c r="G110" s="14"/>
      <c r="H110" s="34">
        <f>+H106-H108</f>
        <v>-123505.47</v>
      </c>
      <c r="I110" s="14"/>
      <c r="J110" s="31">
        <f>IF(H$12=0,0,H110/H$12)</f>
        <v>-1033.7781032895289</v>
      </c>
      <c r="K110" s="15"/>
      <c r="L110" s="34">
        <f>D110-H110</f>
        <v>111905.07</v>
      </c>
      <c r="M110" s="15"/>
      <c r="N110" s="31">
        <f>IF(H110=0,0,L110/H110)</f>
        <v>-0.90607379575981539</v>
      </c>
      <c r="O110" s="29"/>
      <c r="P110" s="34">
        <f>+P106-P108</f>
        <v>-285757.52</v>
      </c>
      <c r="Q110" s="14"/>
      <c r="R110" s="31">
        <f>IF(P$12=0,0,P110/P$12)</f>
        <v>-98.165738568243569</v>
      </c>
      <c r="S110" s="14"/>
      <c r="T110" s="34">
        <f>+T106-T108</f>
        <v>-302923.75000000029</v>
      </c>
      <c r="U110" s="14"/>
      <c r="V110" s="31">
        <f>IF(T$12=0,0,T110/T$12)</f>
        <v>-0.12810084617232556</v>
      </c>
      <c r="W110" s="15"/>
      <c r="X110" s="34">
        <f>P110-T110</f>
        <v>17166.230000000272</v>
      </c>
      <c r="Y110" s="15"/>
      <c r="Z110" s="31">
        <f>IF(T110=0,0,X110/T110)</f>
        <v>-5.6668485056058683E-2</v>
      </c>
    </row>
    <row r="111" spans="1:26" ht="15.75" thickTop="1" x14ac:dyDescent="0.25">
      <c r="A111" s="9"/>
      <c r="B111" s="9"/>
      <c r="C111" s="9"/>
      <c r="D111" s="3"/>
      <c r="E111" s="3"/>
      <c r="F111" s="8"/>
      <c r="G111" s="3"/>
      <c r="H111" s="3"/>
      <c r="I111" s="3"/>
      <c r="J111" s="8"/>
      <c r="K111" s="3"/>
      <c r="L111" s="3"/>
      <c r="M111" s="3"/>
      <c r="N111" s="8"/>
      <c r="P111" s="3"/>
      <c r="Q111" s="3"/>
      <c r="R111" s="8"/>
      <c r="S111" s="3"/>
      <c r="T111" s="3"/>
      <c r="U111" s="3"/>
      <c r="V111" s="8"/>
      <c r="W111" s="3"/>
      <c r="X111" s="3"/>
      <c r="Y111" s="3"/>
      <c r="Z111" s="8"/>
    </row>
    <row r="112" spans="1:26" x14ac:dyDescent="0.25">
      <c r="A112" s="9"/>
      <c r="B112" s="9"/>
      <c r="C112" s="9"/>
      <c r="D112" s="3"/>
      <c r="E112" s="3"/>
      <c r="F112" s="8"/>
      <c r="G112" s="3"/>
      <c r="H112" s="3"/>
      <c r="I112" s="3"/>
      <c r="J112" s="8"/>
      <c r="K112" s="3"/>
      <c r="L112" s="3"/>
      <c r="M112" s="3"/>
      <c r="N112" s="8"/>
      <c r="P112" s="3"/>
      <c r="Q112" s="3"/>
      <c r="R112" s="8"/>
      <c r="S112" s="3"/>
      <c r="T112" s="3"/>
      <c r="U112" s="3"/>
      <c r="V112" s="8"/>
      <c r="W112" s="3"/>
      <c r="X112" s="3"/>
      <c r="Y112" s="3"/>
      <c r="Z112" s="8"/>
    </row>
    <row r="113" spans="1:26" s="24" customFormat="1" ht="15.75" thickBot="1" x14ac:dyDescent="0.3">
      <c r="A113" s="11"/>
      <c r="B113" s="28" t="s">
        <v>293</v>
      </c>
      <c r="C113" s="28"/>
      <c r="D113" s="33">
        <f>SUM(D110:D112)</f>
        <v>-11600.4</v>
      </c>
      <c r="E113" s="14"/>
      <c r="F113" s="35">
        <f>IF(D$12=0,0,D113/D$12)</f>
        <v>-340.68722466960355</v>
      </c>
      <c r="G113" s="14"/>
      <c r="H113" s="33">
        <f>SUM(H110:H112)</f>
        <v>-123505.47</v>
      </c>
      <c r="I113" s="14"/>
      <c r="J113" s="35">
        <f>IF(H$12=0,0,H113/H$12)</f>
        <v>-1033.7781032895289</v>
      </c>
      <c r="K113" s="15"/>
      <c r="L113" s="33">
        <f>+D113-H113</f>
        <v>111905.07</v>
      </c>
      <c r="M113" s="15"/>
      <c r="N113" s="35">
        <f>IF(H113=0,0,L113/H113)</f>
        <v>-0.90607379575981539</v>
      </c>
      <c r="O113" s="29"/>
      <c r="P113" s="33">
        <f>SUM(P110:P112)</f>
        <v>-285757.52</v>
      </c>
      <c r="Q113" s="14"/>
      <c r="R113" s="35">
        <f>IF(P$12=0,0,P113/P$12)</f>
        <v>-98.165738568243569</v>
      </c>
      <c r="S113" s="14"/>
      <c r="T113" s="33">
        <f>SUM(T110:T112)</f>
        <v>-302923.75000000029</v>
      </c>
      <c r="U113" s="14"/>
      <c r="V113" s="35">
        <f>IF(T$12=0,0,T113/T$12)</f>
        <v>-0.12810084617232556</v>
      </c>
      <c r="W113" s="15"/>
      <c r="X113" s="33">
        <f>+P113-T113</f>
        <v>17166.230000000272</v>
      </c>
      <c r="Y113" s="15"/>
      <c r="Z113" s="35">
        <f>IF(T113=0,0,X113/T113)</f>
        <v>-5.6668485056058683E-2</v>
      </c>
    </row>
    <row r="114" spans="1:26" ht="15.75" thickTop="1" x14ac:dyDescent="0.25">
      <c r="A114" s="9"/>
      <c r="C114" s="9"/>
      <c r="D114" s="18"/>
      <c r="E114" s="18"/>
      <c r="G114" s="18"/>
      <c r="H114" s="18"/>
      <c r="I114" s="18"/>
      <c r="J114" s="43"/>
      <c r="K114" s="18"/>
      <c r="L114" s="18"/>
      <c r="M114" s="18"/>
      <c r="P114" s="18"/>
      <c r="Q114" s="18"/>
      <c r="R114" s="43"/>
      <c r="S114" s="18"/>
      <c r="T114" s="18"/>
      <c r="U114" s="18"/>
      <c r="V114" s="43"/>
      <c r="W114" s="18"/>
      <c r="X114" s="18"/>
    </row>
    <row r="115" spans="1:26" x14ac:dyDescent="0.25">
      <c r="A115" s="9"/>
      <c r="B115" s="56">
        <v>44454.698476157406</v>
      </c>
      <c r="D115" s="18"/>
      <c r="E115" s="18"/>
      <c r="G115" s="18"/>
      <c r="H115" s="18"/>
      <c r="I115" s="18"/>
      <c r="J115" s="43"/>
      <c r="K115" s="18"/>
      <c r="L115" s="18"/>
      <c r="M115" s="18"/>
      <c r="P115" s="18"/>
      <c r="Q115" s="18"/>
      <c r="R115" s="43"/>
      <c r="S115" s="18"/>
      <c r="T115" s="18"/>
      <c r="U115" s="18"/>
      <c r="V115" s="43"/>
      <c r="W115" s="18"/>
      <c r="X115" s="18"/>
    </row>
    <row r="116" spans="1:26" x14ac:dyDescent="0.25">
      <c r="A116" s="9"/>
      <c r="B116" s="55" t="s">
        <v>56</v>
      </c>
      <c r="D116" s="18"/>
      <c r="E116" s="18"/>
      <c r="G116" s="18"/>
      <c r="H116" s="18"/>
      <c r="I116" s="18"/>
      <c r="J116" s="43"/>
      <c r="K116" s="18"/>
      <c r="L116" s="18"/>
      <c r="M116" s="18"/>
      <c r="P116" s="18"/>
      <c r="Q116" s="18"/>
      <c r="R116" s="43"/>
      <c r="S116" s="18"/>
      <c r="T116" s="18"/>
      <c r="U116" s="18"/>
      <c r="V116" s="43"/>
      <c r="W116" s="18"/>
      <c r="X116" s="18"/>
    </row>
    <row r="117" spans="1:26" x14ac:dyDescent="0.25">
      <c r="A117" s="9"/>
      <c r="B117" s="60"/>
      <c r="D117" s="18"/>
      <c r="E117" s="18"/>
      <c r="G117" s="18"/>
      <c r="H117" s="18"/>
      <c r="I117" s="18"/>
      <c r="J117" s="43"/>
      <c r="K117" s="18"/>
      <c r="L117" s="18"/>
      <c r="M117" s="18"/>
      <c r="P117" s="18"/>
      <c r="Q117" s="18"/>
      <c r="R117" s="43"/>
      <c r="S117" s="18"/>
      <c r="T117" s="18"/>
      <c r="U117" s="18"/>
      <c r="V117" s="43"/>
      <c r="W117" s="18"/>
      <c r="X117" s="18"/>
    </row>
    <row r="118" spans="1:26" x14ac:dyDescent="0.25">
      <c r="D118" s="18"/>
      <c r="E118" s="18"/>
      <c r="G118" s="18"/>
      <c r="H118" s="18"/>
      <c r="I118" s="18"/>
      <c r="J118" s="43"/>
      <c r="K118" s="18"/>
      <c r="L118" s="18"/>
      <c r="M118" s="18"/>
      <c r="P118" s="18"/>
      <c r="Q118" s="18"/>
      <c r="R118" s="43"/>
      <c r="S118" s="18"/>
      <c r="T118" s="18"/>
      <c r="U118" s="18"/>
      <c r="V118" s="43"/>
      <c r="W118" s="18"/>
      <c r="X118" s="18"/>
    </row>
  </sheetData>
  <pageMargins left="0.25" right="0.25" top="0.75" bottom="0.75" header="0.3" footer="0.3"/>
  <pageSetup scale="55" fitToWidth="2" orientation="landscape"/>
  <drawing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>
    <tabColor rgb="FF92D050"/>
    <outlinePr summaryBelow="0" summaryRight="0"/>
  </sheetPr>
  <dimension ref="A2:Z80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62" t="s">
        <v>23</v>
      </c>
    </row>
    <row r="3" spans="1:26" x14ac:dyDescent="0.25">
      <c r="D3" s="62" t="s">
        <v>236</v>
      </c>
      <c r="E3" s="17"/>
      <c r="F3" s="46"/>
      <c r="G3" s="17"/>
      <c r="H3" s="17"/>
      <c r="I3" s="17"/>
      <c r="J3" s="38"/>
      <c r="K3" s="17"/>
      <c r="L3" s="17"/>
      <c r="M3" s="17"/>
      <c r="N3" s="46"/>
      <c r="O3" s="53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2" t="str">
        <f>CONCATENATE("Period ",RIGHT(202112,2),", ",2021)</f>
        <v>Period 12, 2021</v>
      </c>
      <c r="E4" s="17"/>
      <c r="F4" s="46"/>
      <c r="G4" s="17"/>
      <c r="H4" s="17"/>
      <c r="I4" s="17"/>
      <c r="J4" s="38"/>
      <c r="K4" s="17"/>
      <c r="L4" s="17"/>
      <c r="M4" s="17"/>
      <c r="N4" s="46"/>
      <c r="O4" s="53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4"/>
      <c r="D5" s="63">
        <v>44377</v>
      </c>
      <c r="E5" s="17"/>
      <c r="F5" s="46"/>
      <c r="G5" s="17"/>
      <c r="H5" s="17"/>
      <c r="I5" s="17"/>
      <c r="J5" s="38"/>
      <c r="K5" s="17"/>
      <c r="L5" s="17"/>
      <c r="M5" s="17"/>
      <c r="N5" s="46"/>
      <c r="O5" s="53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4"/>
      <c r="B6" s="48"/>
      <c r="C6" s="48"/>
      <c r="D6" s="24" t="str">
        <f>CONCATENATE("Department ","309", " - ", "Carts")</f>
        <v>Department 309 - Carts</v>
      </c>
      <c r="E6" s="17"/>
      <c r="F6" s="46"/>
      <c r="G6" s="17"/>
      <c r="H6" s="17"/>
      <c r="I6" s="17"/>
      <c r="J6" s="38"/>
      <c r="K6" s="17"/>
      <c r="L6" s="17"/>
      <c r="M6" s="17"/>
      <c r="N6" s="46"/>
      <c r="O6" s="54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9"/>
    </row>
    <row r="8" spans="1:26" x14ac:dyDescent="0.25">
      <c r="B8" s="59"/>
    </row>
    <row r="9" spans="1:26" x14ac:dyDescent="0.25">
      <c r="B9" s="9"/>
      <c r="C9" s="9"/>
      <c r="D9" s="16" t="s">
        <v>291</v>
      </c>
      <c r="E9" s="16"/>
      <c r="F9" s="39"/>
      <c r="G9" s="16"/>
      <c r="H9" s="16"/>
      <c r="I9" s="16"/>
      <c r="J9" s="49"/>
      <c r="K9" s="16"/>
      <c r="L9" s="16"/>
      <c r="M9" s="16"/>
      <c r="N9" s="39"/>
      <c r="P9" s="16" t="s">
        <v>39</v>
      </c>
      <c r="Q9" s="16"/>
      <c r="R9" s="39"/>
      <c r="S9" s="16"/>
      <c r="T9" s="16"/>
      <c r="U9" s="16"/>
      <c r="V9" s="49"/>
      <c r="W9" s="16"/>
      <c r="X9" s="16"/>
      <c r="Y9" s="16"/>
      <c r="Z9" s="39"/>
    </row>
    <row r="10" spans="1:26" x14ac:dyDescent="0.25">
      <c r="A10" s="11"/>
      <c r="B10" s="58"/>
      <c r="C10" s="11"/>
      <c r="D10" s="42" t="s">
        <v>57</v>
      </c>
      <c r="E10" s="36"/>
      <c r="F10" s="30" t="s">
        <v>40</v>
      </c>
      <c r="G10" s="36"/>
      <c r="H10" s="50" t="s">
        <v>237</v>
      </c>
      <c r="I10" s="36"/>
      <c r="J10" s="30" t="s">
        <v>40</v>
      </c>
      <c r="K10" s="11"/>
      <c r="L10" s="42" t="s">
        <v>126</v>
      </c>
      <c r="M10" s="11"/>
      <c r="N10" s="30" t="s">
        <v>257</v>
      </c>
      <c r="O10" s="11"/>
      <c r="P10" s="61" t="s">
        <v>57</v>
      </c>
      <c r="Q10" s="36"/>
      <c r="R10" s="30" t="s">
        <v>40</v>
      </c>
      <c r="S10" s="36"/>
      <c r="T10" s="50" t="s">
        <v>237</v>
      </c>
      <c r="U10" s="36"/>
      <c r="V10" s="30" t="s">
        <v>40</v>
      </c>
      <c r="W10" s="11"/>
      <c r="X10" s="42" t="s">
        <v>126</v>
      </c>
      <c r="Y10" s="11"/>
      <c r="Z10" s="30" t="s">
        <v>257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4" customFormat="1" collapsed="1" x14ac:dyDescent="0.25">
      <c r="A12" s="11"/>
      <c r="B12" s="29" t="s">
        <v>139</v>
      </c>
      <c r="C12" s="11"/>
      <c r="D12" s="4">
        <f>SUM(OSRRefD13x_0)</f>
        <v>0</v>
      </c>
      <c r="E12" s="4"/>
      <c r="F12" s="13"/>
      <c r="G12" s="4"/>
      <c r="H12" s="4">
        <f>SUM(OSRRefH13x_0)</f>
        <v>0</v>
      </c>
      <c r="I12" s="4"/>
      <c r="J12" s="13"/>
      <c r="K12" s="4"/>
      <c r="L12" s="4">
        <f t="shared" ref="L12:L14" si="0">+D12-H12</f>
        <v>0</v>
      </c>
      <c r="M12" s="4"/>
      <c r="N12" s="13">
        <f t="shared" ref="N12:N14" si="1">IF(H12=0,0,L12/H12)</f>
        <v>0</v>
      </c>
      <c r="O12" s="11"/>
      <c r="P12" s="4">
        <f>SUM(OSRRefP13x_0)</f>
        <v>0</v>
      </c>
      <c r="Q12" s="4"/>
      <c r="R12" s="13"/>
      <c r="S12" s="4"/>
      <c r="T12" s="4">
        <f>SUM(OSRRefT13x_0)</f>
        <v>287556.77999999997</v>
      </c>
      <c r="U12" s="4"/>
      <c r="V12" s="13"/>
      <c r="W12" s="4"/>
      <c r="X12" s="4">
        <f t="shared" ref="X12:X14" si="2">+P12-T12</f>
        <v>-287556.77999999997</v>
      </c>
      <c r="Y12" s="4"/>
      <c r="Z12" s="13">
        <f t="shared" ref="Z12:Z14" si="3">IF(T12=0,0,X12/T12)</f>
        <v>-1</v>
      </c>
    </row>
    <row r="13" spans="1:26" s="23" customFormat="1" hidden="1" outlineLevel="1" x14ac:dyDescent="0.25">
      <c r="A13" s="44"/>
      <c r="B13" s="10" t="str">
        <f>CONCATENATE("          ", "4051", " - ", "TAXABLE SALES-FOOD")</f>
        <v xml:space="preserve">          4051 - TAXABLE SALES-FOOD</v>
      </c>
      <c r="C13" s="10"/>
      <c r="D13" s="2">
        <f t="shared" ref="D13:D14" si="4">0</f>
        <v>0</v>
      </c>
      <c r="E13" s="2"/>
      <c r="F13" s="19"/>
      <c r="G13" s="2"/>
      <c r="H13" s="2">
        <f t="shared" ref="H13:H14" si="5">0</f>
        <v>0</v>
      </c>
      <c r="I13" s="2"/>
      <c r="J13" s="19"/>
      <c r="K13" s="2"/>
      <c r="L13" s="2">
        <f t="shared" si="0"/>
        <v>0</v>
      </c>
      <c r="M13" s="2"/>
      <c r="N13" s="19">
        <f t="shared" si="1"/>
        <v>0</v>
      </c>
      <c r="O13" s="10"/>
      <c r="P13" s="2">
        <f t="shared" ref="P13:P14" si="6">0</f>
        <v>0</v>
      </c>
      <c r="Q13" s="2"/>
      <c r="R13" s="19"/>
      <c r="S13" s="2"/>
      <c r="T13" s="2">
        <f>--64154.32</f>
        <v>64154.32</v>
      </c>
      <c r="U13" s="2"/>
      <c r="V13" s="19"/>
      <c r="W13" s="2"/>
      <c r="X13" s="2">
        <f t="shared" si="2"/>
        <v>-64154.32</v>
      </c>
      <c r="Y13" s="2"/>
      <c r="Z13" s="19">
        <f t="shared" si="3"/>
        <v>-1</v>
      </c>
    </row>
    <row r="14" spans="1:26" s="23" customFormat="1" hidden="1" outlineLevel="1" x14ac:dyDescent="0.25">
      <c r="A14" s="44"/>
      <c r="B14" s="10" t="str">
        <f>CONCATENATE("          ", "4151", " - ", "NON-TAXABLE SALES-FOOD")</f>
        <v xml:space="preserve">          4151 - NON-TAXABLE SALES-FOOD</v>
      </c>
      <c r="C14" s="10"/>
      <c r="D14" s="2">
        <f t="shared" si="4"/>
        <v>0</v>
      </c>
      <c r="E14" s="2"/>
      <c r="F14" s="19"/>
      <c r="G14" s="2"/>
      <c r="H14" s="2">
        <f t="shared" si="5"/>
        <v>0</v>
      </c>
      <c r="I14" s="2"/>
      <c r="J14" s="19"/>
      <c r="K14" s="2"/>
      <c r="L14" s="2">
        <f t="shared" si="0"/>
        <v>0</v>
      </c>
      <c r="M14" s="2"/>
      <c r="N14" s="19">
        <f t="shared" si="1"/>
        <v>0</v>
      </c>
      <c r="O14" s="10"/>
      <c r="P14" s="2">
        <f t="shared" si="6"/>
        <v>0</v>
      </c>
      <c r="Q14" s="2"/>
      <c r="R14" s="19"/>
      <c r="S14" s="2"/>
      <c r="T14" s="2">
        <f>--223402.46</f>
        <v>223402.46</v>
      </c>
      <c r="U14" s="2"/>
      <c r="V14" s="19"/>
      <c r="W14" s="2"/>
      <c r="X14" s="2">
        <f t="shared" si="2"/>
        <v>-223402.46</v>
      </c>
      <c r="Y14" s="2"/>
      <c r="Z14" s="19">
        <f t="shared" si="3"/>
        <v>-1</v>
      </c>
    </row>
    <row r="15" spans="1:26" x14ac:dyDescent="0.25">
      <c r="A15" s="9"/>
      <c r="B15" s="11"/>
      <c r="C15" s="9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4" customFormat="1" collapsed="1" x14ac:dyDescent="0.25">
      <c r="A16" s="11"/>
      <c r="B16" s="29" t="s">
        <v>256</v>
      </c>
      <c r="C16" s="11"/>
      <c r="D16" s="4">
        <f>SUM(OSRRefD16x_0)</f>
        <v>-179.4</v>
      </c>
      <c r="E16" s="4"/>
      <c r="F16" s="13">
        <f t="shared" ref="F16:F18" si="7">IF(D$12=0,0,D16/D$12)</f>
        <v>0</v>
      </c>
      <c r="G16" s="4"/>
      <c r="H16" s="4">
        <f>SUM(OSRRefH16x_0)</f>
        <v>1030.8600000000001</v>
      </c>
      <c r="I16" s="4"/>
      <c r="J16" s="13">
        <f t="shared" ref="J16:J18" si="8">IF(H$12=0,0,H16/H$12)</f>
        <v>0</v>
      </c>
      <c r="K16" s="4"/>
      <c r="L16" s="4">
        <f t="shared" ref="L16:L18" si="9">+D16-H16</f>
        <v>-1210.2600000000002</v>
      </c>
      <c r="M16" s="4"/>
      <c r="N16" s="13">
        <f t="shared" ref="N16:N18" si="10">IF(H16=0,0,L16/H16)</f>
        <v>-1.174029451137885</v>
      </c>
      <c r="O16" s="11"/>
      <c r="P16" s="4">
        <f>SUM(OSRRefP16x_0)</f>
        <v>-179.4</v>
      </c>
      <c r="Q16" s="4"/>
      <c r="R16" s="13">
        <f t="shared" ref="R16:R18" si="11">IF(P$12=0,0,P16/P$12)</f>
        <v>0</v>
      </c>
      <c r="S16" s="4"/>
      <c r="T16" s="4">
        <f>SUM(OSRRefT16x_0)</f>
        <v>156243.79999999999</v>
      </c>
      <c r="U16" s="4"/>
      <c r="V16" s="13">
        <f t="shared" ref="V16:V18" si="12">IF(T$12=0,0,T16/T$12)</f>
        <v>0.54334938651072673</v>
      </c>
      <c r="W16" s="4"/>
      <c r="X16" s="4">
        <f t="shared" ref="X16:X18" si="13">+P16-T16</f>
        <v>-156423.19999999998</v>
      </c>
      <c r="Y16" s="4"/>
      <c r="Z16" s="13">
        <f t="shared" ref="Z16:Z18" si="14">IF(T16=0,0,X16/T16)</f>
        <v>-1.0011482055607965</v>
      </c>
    </row>
    <row r="17" spans="1:26" s="23" customFormat="1" hidden="1" outlineLevel="1" x14ac:dyDescent="0.25">
      <c r="A17" s="44"/>
      <c r="B17" s="10" t="str">
        <f>CONCATENATE("          ", "5053", " - ", "PURCHASES @ COST-FOOD")</f>
        <v xml:space="preserve">          5053 - PURCHASES @ COST-FOOD</v>
      </c>
      <c r="C17" s="10"/>
      <c r="D17" s="2">
        <v>-179.4</v>
      </c>
      <c r="E17" s="2"/>
      <c r="F17" s="19">
        <f t="shared" si="7"/>
        <v>0</v>
      </c>
      <c r="G17" s="2"/>
      <c r="H17" s="2">
        <v>-474.14</v>
      </c>
      <c r="I17" s="2"/>
      <c r="J17" s="19">
        <f t="shared" si="8"/>
        <v>0</v>
      </c>
      <c r="K17" s="2"/>
      <c r="L17" s="2">
        <f t="shared" si="9"/>
        <v>294.74</v>
      </c>
      <c r="M17" s="2"/>
      <c r="N17" s="19">
        <f t="shared" si="10"/>
        <v>-0.62163074197494417</v>
      </c>
      <c r="O17" s="10"/>
      <c r="P17" s="2">
        <v>-179.4</v>
      </c>
      <c r="Q17" s="2"/>
      <c r="R17" s="19">
        <f t="shared" si="11"/>
        <v>0</v>
      </c>
      <c r="S17" s="2"/>
      <c r="T17" s="2">
        <v>138437.47</v>
      </c>
      <c r="U17" s="2"/>
      <c r="V17" s="19">
        <f t="shared" si="12"/>
        <v>0.48142655513112931</v>
      </c>
      <c r="W17" s="2"/>
      <c r="X17" s="2">
        <f t="shared" si="13"/>
        <v>-138616.87</v>
      </c>
      <c r="Y17" s="2"/>
      <c r="Z17" s="19">
        <f t="shared" si="14"/>
        <v>-1.0012958919286807</v>
      </c>
    </row>
    <row r="18" spans="1:26" s="23" customFormat="1" hidden="1" outlineLevel="1" x14ac:dyDescent="0.25">
      <c r="A18" s="44"/>
      <c r="B18" s="10" t="str">
        <f>CONCATENATE("          ", "5059", " - ", "PURCHASES @ COST-FOOD")</f>
        <v xml:space="preserve">          5059 - PURCHASES @ COST-FOOD</v>
      </c>
      <c r="C18" s="10"/>
      <c r="D18" s="2"/>
      <c r="E18" s="2"/>
      <c r="F18" s="19">
        <f t="shared" si="7"/>
        <v>0</v>
      </c>
      <c r="G18" s="2"/>
      <c r="H18" s="2">
        <v>1505</v>
      </c>
      <c r="I18" s="2"/>
      <c r="J18" s="19">
        <f t="shared" si="8"/>
        <v>0</v>
      </c>
      <c r="K18" s="2"/>
      <c r="L18" s="2">
        <f t="shared" si="9"/>
        <v>-1505</v>
      </c>
      <c r="M18" s="2"/>
      <c r="N18" s="19">
        <f t="shared" si="10"/>
        <v>-1</v>
      </c>
      <c r="O18" s="10"/>
      <c r="P18" s="2"/>
      <c r="Q18" s="2"/>
      <c r="R18" s="19">
        <f t="shared" si="11"/>
        <v>0</v>
      </c>
      <c r="S18" s="2"/>
      <c r="T18" s="2">
        <v>17806.330000000002</v>
      </c>
      <c r="U18" s="2"/>
      <c r="V18" s="19">
        <f t="shared" si="12"/>
        <v>6.1922831379597462E-2</v>
      </c>
      <c r="W18" s="2"/>
      <c r="X18" s="2">
        <f t="shared" si="13"/>
        <v>-17806.330000000002</v>
      </c>
      <c r="Y18" s="2"/>
      <c r="Z18" s="19">
        <f t="shared" si="14"/>
        <v>-1</v>
      </c>
    </row>
    <row r="19" spans="1:26" x14ac:dyDescent="0.25">
      <c r="A19" s="9"/>
      <c r="B19" s="11"/>
      <c r="C19" s="11"/>
      <c r="D19" s="3"/>
      <c r="E19" s="3"/>
      <c r="F19" s="8"/>
      <c r="G19" s="3"/>
      <c r="H19" s="3"/>
      <c r="I19" s="3"/>
      <c r="J19" s="8"/>
      <c r="K19" s="3"/>
      <c r="L19" s="3"/>
      <c r="M19" s="3"/>
      <c r="N19" s="8"/>
      <c r="O19" s="11"/>
      <c r="P19" s="3"/>
      <c r="Q19" s="3"/>
      <c r="R19" s="8"/>
      <c r="S19" s="3"/>
      <c r="T19" s="3"/>
      <c r="U19" s="3"/>
      <c r="V19" s="8"/>
      <c r="W19" s="3"/>
      <c r="X19" s="3"/>
      <c r="Y19" s="3"/>
      <c r="Z19" s="8"/>
    </row>
    <row r="20" spans="1:26" s="24" customFormat="1" x14ac:dyDescent="0.25">
      <c r="A20" s="11"/>
      <c r="B20" s="28" t="s">
        <v>107</v>
      </c>
      <c r="C20" s="28"/>
      <c r="D20" s="21">
        <f>D12-D16</f>
        <v>179.4</v>
      </c>
      <c r="E20" s="14"/>
      <c r="F20" s="22">
        <f>IF(D$12=0,0,D20/D$12)</f>
        <v>0</v>
      </c>
      <c r="G20" s="14"/>
      <c r="H20" s="21">
        <f>H12-H16</f>
        <v>-1030.8600000000001</v>
      </c>
      <c r="I20" s="14"/>
      <c r="J20" s="22">
        <f>IF(H$12=0,0,H20/H$12)</f>
        <v>0</v>
      </c>
      <c r="K20" s="15"/>
      <c r="L20" s="21">
        <f>+D20-H20</f>
        <v>1210.2600000000002</v>
      </c>
      <c r="M20" s="15"/>
      <c r="N20" s="22">
        <f>IF(H20=0,0,L20/H20)</f>
        <v>-1.174029451137885</v>
      </c>
      <c r="O20" s="29"/>
      <c r="P20" s="21">
        <f>P12-P16</f>
        <v>179.4</v>
      </c>
      <c r="Q20" s="14"/>
      <c r="R20" s="22">
        <f>IF(P$12=0,0,P20/P$12)</f>
        <v>0</v>
      </c>
      <c r="S20" s="14"/>
      <c r="T20" s="21">
        <f>T12-T16</f>
        <v>131312.97999999998</v>
      </c>
      <c r="U20" s="14"/>
      <c r="V20" s="22">
        <f>IF(T$12=0,0,T20/T$12)</f>
        <v>0.45665061348927333</v>
      </c>
      <c r="W20" s="15"/>
      <c r="X20" s="21">
        <f>+P20-T20</f>
        <v>-131133.57999999999</v>
      </c>
      <c r="Y20" s="15"/>
      <c r="Z20" s="22">
        <f>IF(T20=0,0,X20/T20)</f>
        <v>-0.99863379842571542</v>
      </c>
    </row>
    <row r="21" spans="1:26" x14ac:dyDescent="0.25">
      <c r="A21" s="9"/>
      <c r="B21" s="11"/>
      <c r="C21" s="9"/>
      <c r="D21" s="1"/>
      <c r="E21" s="1"/>
      <c r="F21" s="5"/>
      <c r="G21" s="1"/>
      <c r="H21" s="1"/>
      <c r="I21" s="1"/>
      <c r="J21" s="5"/>
      <c r="K21" s="1"/>
      <c r="L21" s="1"/>
      <c r="M21" s="1"/>
      <c r="N21" s="5"/>
      <c r="O21" s="37"/>
      <c r="P21" s="1"/>
      <c r="Q21" s="1"/>
      <c r="R21" s="5"/>
      <c r="S21" s="1"/>
      <c r="T21" s="1"/>
      <c r="U21" s="1"/>
      <c r="V21" s="5"/>
      <c r="W21" s="1"/>
      <c r="X21" s="1"/>
      <c r="Y21" s="1"/>
      <c r="Z21" s="5"/>
    </row>
    <row r="22" spans="1:26" s="24" customFormat="1" x14ac:dyDescent="0.25">
      <c r="A22" s="11"/>
      <c r="B22" s="29" t="s">
        <v>294</v>
      </c>
      <c r="C22" s="11"/>
      <c r="D22" s="20">
        <f>SUM(OSRRefD22x_0)</f>
        <v>1071.29</v>
      </c>
      <c r="E22" s="20"/>
      <c r="F22" s="32">
        <f t="shared" ref="F22:F31" si="15">IF(D$12=0,0,D22/D$12)</f>
        <v>0</v>
      </c>
      <c r="G22" s="20"/>
      <c r="H22" s="20">
        <f>SUM(OSRRefH22x_0)</f>
        <v>1830.8899999999999</v>
      </c>
      <c r="I22" s="20"/>
      <c r="J22" s="32">
        <f t="shared" ref="J22:J31" si="16">IF(H$12=0,0,H22/H$12)</f>
        <v>0</v>
      </c>
      <c r="K22" s="4"/>
      <c r="L22" s="20">
        <f t="shared" ref="L22:L31" si="17">+D22-H22</f>
        <v>-759.59999999999991</v>
      </c>
      <c r="M22" s="4"/>
      <c r="N22" s="32">
        <f t="shared" ref="N22:N31" si="18">IF(H22=0,0,L22/H22)</f>
        <v>-0.4148801948779009</v>
      </c>
      <c r="O22" s="11"/>
      <c r="P22" s="20">
        <f>SUM(OSRRefP22x_0)</f>
        <v>11332.689999999999</v>
      </c>
      <c r="Q22" s="20"/>
      <c r="R22" s="32">
        <f t="shared" ref="R22:R31" si="19">IF(P$12=0,0,P22/P$12)</f>
        <v>0</v>
      </c>
      <c r="S22" s="20"/>
      <c r="T22" s="20">
        <f>SUM(OSRRefT22x_0)</f>
        <v>131548.17000000001</v>
      </c>
      <c r="U22" s="20"/>
      <c r="V22" s="32">
        <f t="shared" ref="V22:V31" si="20">IF(T$12=0,0,T22/T$12)</f>
        <v>0.45746850413334028</v>
      </c>
      <c r="W22" s="4"/>
      <c r="X22" s="20">
        <f t="shared" ref="X22:X31" si="21">+P22-T22</f>
        <v>-120215.48000000001</v>
      </c>
      <c r="Y22" s="4"/>
      <c r="Z22" s="32">
        <f t="shared" ref="Z22:Z31" si="22">IF(T22=0,0,X22/T22)</f>
        <v>-0.91385140515447683</v>
      </c>
    </row>
    <row r="23" spans="1:26" s="27" customFormat="1" outlineLevel="1" collapsed="1" x14ac:dyDescent="0.25">
      <c r="A23" s="26"/>
      <c r="B23" s="12" t="str">
        <f>CONCATENATE("     ","*Benefits                                         ")</f>
        <v xml:space="preserve">     *Benefits                                         </v>
      </c>
      <c r="C23" s="12"/>
      <c r="D23" s="1">
        <f>SUM(OSRRefD22_0x_0)</f>
        <v>0</v>
      </c>
      <c r="E23" s="1"/>
      <c r="F23" s="5">
        <f t="shared" si="15"/>
        <v>0</v>
      </c>
      <c r="G23" s="1"/>
      <c r="H23" s="1">
        <f>SUM(OSRRefH22_0x_0)</f>
        <v>-196.77</v>
      </c>
      <c r="I23" s="1"/>
      <c r="J23" s="5">
        <f t="shared" si="16"/>
        <v>0</v>
      </c>
      <c r="K23" s="1"/>
      <c r="L23" s="1">
        <f t="shared" si="17"/>
        <v>196.77</v>
      </c>
      <c r="M23" s="1"/>
      <c r="N23" s="5">
        <f t="shared" si="18"/>
        <v>-1</v>
      </c>
      <c r="O23" s="12"/>
      <c r="P23" s="1">
        <f>SUM(OSRRefP22_0x_0)</f>
        <v>0</v>
      </c>
      <c r="Q23" s="1"/>
      <c r="R23" s="5">
        <f t="shared" si="19"/>
        <v>0</v>
      </c>
      <c r="S23" s="1"/>
      <c r="T23" s="1">
        <f>SUM(OSRRefT22_0x_0)</f>
        <v>12752.91</v>
      </c>
      <c r="U23" s="1"/>
      <c r="V23" s="5">
        <f t="shared" si="20"/>
        <v>4.4349189054071342E-2</v>
      </c>
      <c r="W23" s="1"/>
      <c r="X23" s="1">
        <f t="shared" si="21"/>
        <v>-12752.91</v>
      </c>
      <c r="Y23" s="1"/>
      <c r="Z23" s="5">
        <f t="shared" si="22"/>
        <v>-1</v>
      </c>
    </row>
    <row r="24" spans="1:26" s="23" customFormat="1" hidden="1" outlineLevel="2" x14ac:dyDescent="0.25">
      <c r="A24" s="25"/>
      <c r="B24" s="10" t="str">
        <f>CONCATENATE("          ", "6111", " - ", "F.I.C.A.")</f>
        <v xml:space="preserve">          6111 - F.I.C.A.</v>
      </c>
      <c r="C24" s="10"/>
      <c r="D24" s="6"/>
      <c r="E24" s="2"/>
      <c r="F24" s="7">
        <f t="shared" si="15"/>
        <v>0</v>
      </c>
      <c r="G24" s="2"/>
      <c r="H24" s="6"/>
      <c r="I24" s="2"/>
      <c r="J24" s="7">
        <f t="shared" si="16"/>
        <v>0</v>
      </c>
      <c r="K24" s="2"/>
      <c r="L24" s="6">
        <f t="shared" si="17"/>
        <v>0</v>
      </c>
      <c r="M24" s="2"/>
      <c r="N24" s="7">
        <f t="shared" si="18"/>
        <v>0</v>
      </c>
      <c r="O24" s="10"/>
      <c r="P24" s="6"/>
      <c r="Q24" s="2"/>
      <c r="R24" s="7">
        <f t="shared" si="19"/>
        <v>0</v>
      </c>
      <c r="S24" s="2"/>
      <c r="T24" s="6">
        <v>3698.79</v>
      </c>
      <c r="U24" s="2"/>
      <c r="V24" s="7">
        <f t="shared" si="20"/>
        <v>1.2862816171470554E-2</v>
      </c>
      <c r="W24" s="2"/>
      <c r="X24" s="6">
        <f t="shared" si="21"/>
        <v>-3698.79</v>
      </c>
      <c r="Y24" s="2"/>
      <c r="Z24" s="7">
        <f t="shared" si="22"/>
        <v>-1</v>
      </c>
    </row>
    <row r="25" spans="1:26" s="23" customFormat="1" hidden="1" outlineLevel="2" x14ac:dyDescent="0.25">
      <c r="A25" s="25"/>
      <c r="B25" s="10" t="str">
        <f>CONCATENATE("          ", "6112", " - ", "COMPENSATION INSURANCE")</f>
        <v xml:space="preserve">          6112 - COMPENSATION INSURANCE</v>
      </c>
      <c r="C25" s="10"/>
      <c r="D25" s="6"/>
      <c r="E25" s="2"/>
      <c r="F25" s="7">
        <f t="shared" si="15"/>
        <v>0</v>
      </c>
      <c r="G25" s="2"/>
      <c r="H25" s="6"/>
      <c r="I25" s="2"/>
      <c r="J25" s="7">
        <f t="shared" si="16"/>
        <v>0</v>
      </c>
      <c r="K25" s="2"/>
      <c r="L25" s="6">
        <f t="shared" si="17"/>
        <v>0</v>
      </c>
      <c r="M25" s="2"/>
      <c r="N25" s="7">
        <f t="shared" si="18"/>
        <v>0</v>
      </c>
      <c r="O25" s="10"/>
      <c r="P25" s="6"/>
      <c r="Q25" s="2"/>
      <c r="R25" s="7">
        <f t="shared" si="19"/>
        <v>0</v>
      </c>
      <c r="S25" s="2"/>
      <c r="T25" s="6">
        <v>1342.55</v>
      </c>
      <c r="U25" s="2"/>
      <c r="V25" s="7">
        <f t="shared" si="20"/>
        <v>4.6688170593647627E-3</v>
      </c>
      <c r="W25" s="2"/>
      <c r="X25" s="6">
        <f t="shared" si="21"/>
        <v>-1342.55</v>
      </c>
      <c r="Y25" s="2"/>
      <c r="Z25" s="7">
        <f t="shared" si="22"/>
        <v>-1</v>
      </c>
    </row>
    <row r="26" spans="1:26" s="23" customFormat="1" hidden="1" outlineLevel="2" x14ac:dyDescent="0.25">
      <c r="A26" s="25"/>
      <c r="B26" s="10" t="str">
        <f>CONCATENATE("          ", "6113", " - ", "GROUP INSURANCE")</f>
        <v xml:space="preserve">          6113 - GROUP INSURANCE</v>
      </c>
      <c r="C26" s="10"/>
      <c r="D26" s="6"/>
      <c r="E26" s="2"/>
      <c r="F26" s="7">
        <f t="shared" si="15"/>
        <v>0</v>
      </c>
      <c r="G26" s="2"/>
      <c r="H26" s="6"/>
      <c r="I26" s="2"/>
      <c r="J26" s="7">
        <f t="shared" si="16"/>
        <v>0</v>
      </c>
      <c r="K26" s="2"/>
      <c r="L26" s="6">
        <f t="shared" si="17"/>
        <v>0</v>
      </c>
      <c r="M26" s="2"/>
      <c r="N26" s="7">
        <f t="shared" si="18"/>
        <v>0</v>
      </c>
      <c r="O26" s="10"/>
      <c r="P26" s="6"/>
      <c r="Q26" s="2"/>
      <c r="R26" s="7">
        <f t="shared" si="19"/>
        <v>0</v>
      </c>
      <c r="S26" s="2"/>
      <c r="T26" s="6">
        <v>4829.7</v>
      </c>
      <c r="U26" s="2"/>
      <c r="V26" s="7">
        <f t="shared" si="20"/>
        <v>1.6795639455971095E-2</v>
      </c>
      <c r="W26" s="2"/>
      <c r="X26" s="6">
        <f t="shared" si="21"/>
        <v>-4829.7</v>
      </c>
      <c r="Y26" s="2"/>
      <c r="Z26" s="7">
        <f t="shared" si="22"/>
        <v>-1</v>
      </c>
    </row>
    <row r="27" spans="1:26" s="23" customFormat="1" hidden="1" outlineLevel="2" x14ac:dyDescent="0.25">
      <c r="A27" s="25"/>
      <c r="B27" s="10" t="str">
        <f>CONCATENATE("          ", "6114", " - ", "STATE UNEMPLOYMENT INSURANCE")</f>
        <v xml:space="preserve">          6114 - STATE UNEMPLOYMENT INSURANCE</v>
      </c>
      <c r="C27" s="10"/>
      <c r="D27" s="6"/>
      <c r="E27" s="2"/>
      <c r="F27" s="7">
        <f t="shared" si="15"/>
        <v>0</v>
      </c>
      <c r="G27" s="2"/>
      <c r="H27" s="6">
        <v>-196.77</v>
      </c>
      <c r="I27" s="2"/>
      <c r="J27" s="7">
        <f t="shared" si="16"/>
        <v>0</v>
      </c>
      <c r="K27" s="2"/>
      <c r="L27" s="6">
        <f t="shared" si="17"/>
        <v>196.77</v>
      </c>
      <c r="M27" s="2"/>
      <c r="N27" s="7">
        <f t="shared" si="18"/>
        <v>-1</v>
      </c>
      <c r="O27" s="10"/>
      <c r="P27" s="6"/>
      <c r="Q27" s="2"/>
      <c r="R27" s="7">
        <f t="shared" si="19"/>
        <v>0</v>
      </c>
      <c r="S27" s="2"/>
      <c r="T27" s="6">
        <v>0</v>
      </c>
      <c r="U27" s="2"/>
      <c r="V27" s="7">
        <f t="shared" si="20"/>
        <v>0</v>
      </c>
      <c r="W27" s="2"/>
      <c r="X27" s="6">
        <f t="shared" si="21"/>
        <v>0</v>
      </c>
      <c r="Y27" s="2"/>
      <c r="Z27" s="7">
        <f t="shared" si="22"/>
        <v>0</v>
      </c>
    </row>
    <row r="28" spans="1:26" s="23" customFormat="1" hidden="1" outlineLevel="2" x14ac:dyDescent="0.25">
      <c r="A28" s="25"/>
      <c r="B28" s="10" t="str">
        <f>CONCATENATE("          ", "6115", " - ", "P.E.R.S.")</f>
        <v xml:space="preserve">          6115 - P.E.R.S.</v>
      </c>
      <c r="C28" s="10"/>
      <c r="D28" s="6"/>
      <c r="E28" s="2"/>
      <c r="F28" s="7">
        <f t="shared" si="15"/>
        <v>0</v>
      </c>
      <c r="G28" s="2"/>
      <c r="H28" s="6"/>
      <c r="I28" s="2"/>
      <c r="J28" s="7">
        <f t="shared" si="16"/>
        <v>0</v>
      </c>
      <c r="K28" s="2"/>
      <c r="L28" s="6">
        <f t="shared" si="17"/>
        <v>0</v>
      </c>
      <c r="M28" s="2"/>
      <c r="N28" s="7">
        <f t="shared" si="18"/>
        <v>0</v>
      </c>
      <c r="O28" s="10"/>
      <c r="P28" s="6"/>
      <c r="Q28" s="2"/>
      <c r="R28" s="7">
        <f t="shared" si="19"/>
        <v>0</v>
      </c>
      <c r="S28" s="2"/>
      <c r="T28" s="6">
        <v>938.77</v>
      </c>
      <c r="U28" s="2"/>
      <c r="V28" s="7">
        <f t="shared" si="20"/>
        <v>3.2646422038805694E-3</v>
      </c>
      <c r="W28" s="2"/>
      <c r="X28" s="6">
        <f t="shared" si="21"/>
        <v>-938.77</v>
      </c>
      <c r="Y28" s="2"/>
      <c r="Z28" s="7">
        <f t="shared" si="22"/>
        <v>-1</v>
      </c>
    </row>
    <row r="29" spans="1:26" s="23" customFormat="1" hidden="1" outlineLevel="2" x14ac:dyDescent="0.25">
      <c r="A29" s="25"/>
      <c r="B29" s="10" t="str">
        <f>CONCATENATE("          ", "6118", " - ", "VACATION")</f>
        <v xml:space="preserve">          6118 - VACATION</v>
      </c>
      <c r="C29" s="10"/>
      <c r="D29" s="6"/>
      <c r="E29" s="2"/>
      <c r="F29" s="7">
        <f t="shared" si="15"/>
        <v>0</v>
      </c>
      <c r="G29" s="2"/>
      <c r="H29" s="6"/>
      <c r="I29" s="2"/>
      <c r="J29" s="7">
        <f t="shared" si="16"/>
        <v>0</v>
      </c>
      <c r="K29" s="2"/>
      <c r="L29" s="6">
        <f t="shared" si="17"/>
        <v>0</v>
      </c>
      <c r="M29" s="2"/>
      <c r="N29" s="7">
        <f t="shared" si="18"/>
        <v>0</v>
      </c>
      <c r="O29" s="10"/>
      <c r="P29" s="6"/>
      <c r="Q29" s="2"/>
      <c r="R29" s="7">
        <f t="shared" si="19"/>
        <v>0</v>
      </c>
      <c r="S29" s="2"/>
      <c r="T29" s="6">
        <v>480.48</v>
      </c>
      <c r="U29" s="2"/>
      <c r="V29" s="7">
        <f t="shared" si="20"/>
        <v>1.670904786178229E-3</v>
      </c>
      <c r="W29" s="2"/>
      <c r="X29" s="6">
        <f t="shared" si="21"/>
        <v>-480.48</v>
      </c>
      <c r="Y29" s="2"/>
      <c r="Z29" s="7">
        <f t="shared" si="22"/>
        <v>-1</v>
      </c>
    </row>
    <row r="30" spans="1:26" s="23" customFormat="1" hidden="1" outlineLevel="2" x14ac:dyDescent="0.25">
      <c r="A30" s="25"/>
      <c r="B30" s="10" t="str">
        <f>CONCATENATE("          ", "6119", " - ", "SICK LEAVE")</f>
        <v xml:space="preserve">          6119 - SICK LEAVE</v>
      </c>
      <c r="C30" s="10"/>
      <c r="D30" s="6"/>
      <c r="E30" s="2"/>
      <c r="F30" s="7">
        <f t="shared" si="15"/>
        <v>0</v>
      </c>
      <c r="G30" s="2"/>
      <c r="H30" s="6"/>
      <c r="I30" s="2"/>
      <c r="J30" s="7">
        <f t="shared" si="16"/>
        <v>0</v>
      </c>
      <c r="K30" s="2"/>
      <c r="L30" s="6">
        <f t="shared" si="17"/>
        <v>0</v>
      </c>
      <c r="M30" s="2"/>
      <c r="N30" s="7">
        <f t="shared" si="18"/>
        <v>0</v>
      </c>
      <c r="O30" s="10"/>
      <c r="P30" s="6"/>
      <c r="Q30" s="2"/>
      <c r="R30" s="7">
        <f t="shared" si="19"/>
        <v>0</v>
      </c>
      <c r="S30" s="2"/>
      <c r="T30" s="6">
        <v>575.64</v>
      </c>
      <c r="U30" s="2"/>
      <c r="V30" s="7">
        <f t="shared" si="20"/>
        <v>2.0018307340901511E-3</v>
      </c>
      <c r="W30" s="2"/>
      <c r="X30" s="6">
        <f t="shared" si="21"/>
        <v>-575.64</v>
      </c>
      <c r="Y30" s="2"/>
      <c r="Z30" s="7">
        <f t="shared" si="22"/>
        <v>-1</v>
      </c>
    </row>
    <row r="31" spans="1:26" s="23" customFormat="1" hidden="1" outlineLevel="2" x14ac:dyDescent="0.25">
      <c r="A31" s="25"/>
      <c r="B31" s="10" t="str">
        <f>CONCATENATE("          ", "6156", " - ", "EMPLOYEE MEALS")</f>
        <v xml:space="preserve">          6156 - EMPLOYEE MEALS</v>
      </c>
      <c r="C31" s="10"/>
      <c r="D31" s="6"/>
      <c r="E31" s="2"/>
      <c r="F31" s="7">
        <f t="shared" si="15"/>
        <v>0</v>
      </c>
      <c r="G31" s="2"/>
      <c r="H31" s="6"/>
      <c r="I31" s="2"/>
      <c r="J31" s="7">
        <f t="shared" si="16"/>
        <v>0</v>
      </c>
      <c r="K31" s="2"/>
      <c r="L31" s="6">
        <f t="shared" si="17"/>
        <v>0</v>
      </c>
      <c r="M31" s="2"/>
      <c r="N31" s="7">
        <f t="shared" si="18"/>
        <v>0</v>
      </c>
      <c r="O31" s="10"/>
      <c r="P31" s="6"/>
      <c r="Q31" s="2"/>
      <c r="R31" s="7">
        <f t="shared" si="19"/>
        <v>0</v>
      </c>
      <c r="S31" s="2"/>
      <c r="T31" s="6">
        <v>886.98</v>
      </c>
      <c r="U31" s="2"/>
      <c r="V31" s="7">
        <f t="shared" si="20"/>
        <v>3.0845386431159793E-3</v>
      </c>
      <c r="W31" s="2"/>
      <c r="X31" s="6">
        <f t="shared" si="21"/>
        <v>-886.98</v>
      </c>
      <c r="Y31" s="2"/>
      <c r="Z31" s="7">
        <f t="shared" si="22"/>
        <v>-1</v>
      </c>
    </row>
    <row r="32" spans="1:26" s="27" customFormat="1" outlineLevel="1" collapsed="1" x14ac:dyDescent="0.25">
      <c r="A32" s="26"/>
      <c r="B32" s="12" t="str">
        <f>CONCATENATE("     ","*Payroll                                          ")</f>
        <v xml:space="preserve">     *Payroll                                          </v>
      </c>
      <c r="C32" s="12"/>
      <c r="D32" s="1">
        <f>SUM(OSRRefD22_1x_0)</f>
        <v>0</v>
      </c>
      <c r="E32" s="1"/>
      <c r="F32" s="5">
        <f t="shared" ref="F32:F37" si="23">IF(D$12=0,0,D32/D$12)</f>
        <v>0</v>
      </c>
      <c r="G32" s="1"/>
      <c r="H32" s="1">
        <f>SUM(OSRRefH22_1x_0)</f>
        <v>0</v>
      </c>
      <c r="I32" s="1"/>
      <c r="J32" s="5">
        <f t="shared" ref="J32:J37" si="24">IF(H$12=0,0,H32/H$12)</f>
        <v>0</v>
      </c>
      <c r="K32" s="1"/>
      <c r="L32" s="1">
        <f t="shared" ref="L32:L37" si="25">+D32-H32</f>
        <v>0</v>
      </c>
      <c r="M32" s="1"/>
      <c r="N32" s="5">
        <f t="shared" ref="N32:N37" si="26">IF(H32=0,0,L32/H32)</f>
        <v>0</v>
      </c>
      <c r="O32" s="12"/>
      <c r="P32" s="1">
        <f>SUM(OSRRefP22_1x_0)</f>
        <v>0</v>
      </c>
      <c r="Q32" s="1"/>
      <c r="R32" s="5">
        <f t="shared" ref="R32:R37" si="27">IF(P$12=0,0,P32/P$12)</f>
        <v>0</v>
      </c>
      <c r="S32" s="1"/>
      <c r="T32" s="1">
        <f>SUM(OSRRefT22_1x_0)</f>
        <v>74718.25</v>
      </c>
      <c r="U32" s="1"/>
      <c r="V32" s="5">
        <f t="shared" ref="V32:V37" si="28">IF(T$12=0,0,T32/T$12)</f>
        <v>0.25983824829308494</v>
      </c>
      <c r="W32" s="1"/>
      <c r="X32" s="1">
        <f t="shared" ref="X32:X37" si="29">+P32-T32</f>
        <v>-74718.25</v>
      </c>
      <c r="Y32" s="1"/>
      <c r="Z32" s="5">
        <f t="shared" ref="Z32:Z37" si="30">IF(T32=0,0,X32/T32)</f>
        <v>-1</v>
      </c>
    </row>
    <row r="33" spans="1:26" s="23" customFormat="1" hidden="1" outlineLevel="2" x14ac:dyDescent="0.25">
      <c r="A33" s="25"/>
      <c r="B33" s="10" t="str">
        <f>CONCATENATE("          ", "6002", " - ", "STAFF SALARIES")</f>
        <v xml:space="preserve">          6002 - STAFF SALARIES</v>
      </c>
      <c r="C33" s="10"/>
      <c r="D33" s="6"/>
      <c r="E33" s="2"/>
      <c r="F33" s="7">
        <f t="shared" si="23"/>
        <v>0</v>
      </c>
      <c r="G33" s="2"/>
      <c r="H33" s="6"/>
      <c r="I33" s="2"/>
      <c r="J33" s="7">
        <f t="shared" si="24"/>
        <v>0</v>
      </c>
      <c r="K33" s="2"/>
      <c r="L33" s="6">
        <f t="shared" si="25"/>
        <v>0</v>
      </c>
      <c r="M33" s="2"/>
      <c r="N33" s="7">
        <f t="shared" si="26"/>
        <v>0</v>
      </c>
      <c r="O33" s="10"/>
      <c r="P33" s="6"/>
      <c r="Q33" s="2"/>
      <c r="R33" s="7">
        <f t="shared" si="27"/>
        <v>0</v>
      </c>
      <c r="S33" s="2"/>
      <c r="T33" s="6">
        <v>9840</v>
      </c>
      <c r="U33" s="2"/>
      <c r="V33" s="7">
        <f t="shared" si="28"/>
        <v>3.4219328787865828E-2</v>
      </c>
      <c r="W33" s="2"/>
      <c r="X33" s="6">
        <f t="shared" si="29"/>
        <v>-9840</v>
      </c>
      <c r="Y33" s="2"/>
      <c r="Z33" s="7">
        <f t="shared" si="30"/>
        <v>-1</v>
      </c>
    </row>
    <row r="34" spans="1:26" s="23" customFormat="1" hidden="1" outlineLevel="2" x14ac:dyDescent="0.25">
      <c r="A34" s="25"/>
      <c r="B34" s="10" t="str">
        <f>CONCATENATE("          ", "6005", " - ", "TEMPORARY WAGES-HOURLY")</f>
        <v xml:space="preserve">          6005 - TEMPORARY WAGES-HOURLY</v>
      </c>
      <c r="C34" s="10"/>
      <c r="D34" s="6"/>
      <c r="E34" s="2"/>
      <c r="F34" s="7">
        <f t="shared" si="23"/>
        <v>0</v>
      </c>
      <c r="G34" s="2"/>
      <c r="H34" s="6"/>
      <c r="I34" s="2"/>
      <c r="J34" s="7">
        <f t="shared" si="24"/>
        <v>0</v>
      </c>
      <c r="K34" s="2"/>
      <c r="L34" s="6">
        <f t="shared" si="25"/>
        <v>0</v>
      </c>
      <c r="M34" s="2"/>
      <c r="N34" s="7">
        <f t="shared" si="26"/>
        <v>0</v>
      </c>
      <c r="O34" s="10"/>
      <c r="P34" s="6"/>
      <c r="Q34" s="2"/>
      <c r="R34" s="7">
        <f t="shared" si="27"/>
        <v>0</v>
      </c>
      <c r="S34" s="2"/>
      <c r="T34" s="6">
        <v>29326.09</v>
      </c>
      <c r="U34" s="2"/>
      <c r="V34" s="7">
        <f t="shared" si="28"/>
        <v>0.10198364997688458</v>
      </c>
      <c r="W34" s="2"/>
      <c r="X34" s="6">
        <f t="shared" si="29"/>
        <v>-29326.09</v>
      </c>
      <c r="Y34" s="2"/>
      <c r="Z34" s="7">
        <f t="shared" si="30"/>
        <v>-1</v>
      </c>
    </row>
    <row r="35" spans="1:26" s="23" customFormat="1" hidden="1" outlineLevel="2" x14ac:dyDescent="0.25">
      <c r="A35" s="25"/>
      <c r="B35" s="10" t="str">
        <f>CONCATENATE("          ", "6006", " - ", "TEMPORARY PART TIME")</f>
        <v xml:space="preserve">          6006 - TEMPORARY PART TIME</v>
      </c>
      <c r="C35" s="10"/>
      <c r="D35" s="6"/>
      <c r="E35" s="2"/>
      <c r="F35" s="7">
        <f t="shared" si="23"/>
        <v>0</v>
      </c>
      <c r="G35" s="2"/>
      <c r="H35" s="6"/>
      <c r="I35" s="2"/>
      <c r="J35" s="7">
        <f t="shared" si="24"/>
        <v>0</v>
      </c>
      <c r="K35" s="2"/>
      <c r="L35" s="6">
        <f t="shared" si="25"/>
        <v>0</v>
      </c>
      <c r="M35" s="2"/>
      <c r="N35" s="7">
        <f t="shared" si="26"/>
        <v>0</v>
      </c>
      <c r="O35" s="10"/>
      <c r="P35" s="6"/>
      <c r="Q35" s="2"/>
      <c r="R35" s="7">
        <f t="shared" si="27"/>
        <v>0</v>
      </c>
      <c r="S35" s="2"/>
      <c r="T35" s="6">
        <v>2587.42</v>
      </c>
      <c r="U35" s="2"/>
      <c r="V35" s="7">
        <f t="shared" si="28"/>
        <v>8.9979446841768097E-3</v>
      </c>
      <c r="W35" s="2"/>
      <c r="X35" s="6">
        <f t="shared" si="29"/>
        <v>-2587.42</v>
      </c>
      <c r="Y35" s="2"/>
      <c r="Z35" s="7">
        <f t="shared" si="30"/>
        <v>-1</v>
      </c>
    </row>
    <row r="36" spans="1:26" s="23" customFormat="1" hidden="1" outlineLevel="2" x14ac:dyDescent="0.25">
      <c r="A36" s="25"/>
      <c r="B36" s="10" t="str">
        <f>CONCATENATE("          ", "6007", " - ", "STUDENT HOURLY")</f>
        <v xml:space="preserve">          6007 - STUDENT HOURLY</v>
      </c>
      <c r="C36" s="10"/>
      <c r="D36" s="6"/>
      <c r="E36" s="2"/>
      <c r="F36" s="7">
        <f t="shared" si="23"/>
        <v>0</v>
      </c>
      <c r="G36" s="2"/>
      <c r="H36" s="6"/>
      <c r="I36" s="2"/>
      <c r="J36" s="7">
        <f t="shared" si="24"/>
        <v>0</v>
      </c>
      <c r="K36" s="2"/>
      <c r="L36" s="6">
        <f t="shared" si="25"/>
        <v>0</v>
      </c>
      <c r="M36" s="2"/>
      <c r="N36" s="7">
        <f t="shared" si="26"/>
        <v>0</v>
      </c>
      <c r="O36" s="10"/>
      <c r="P36" s="6"/>
      <c r="Q36" s="2"/>
      <c r="R36" s="7">
        <f t="shared" si="27"/>
        <v>0</v>
      </c>
      <c r="S36" s="2"/>
      <c r="T36" s="6">
        <v>32907.74</v>
      </c>
      <c r="U36" s="2"/>
      <c r="V36" s="7">
        <f t="shared" si="28"/>
        <v>0.11443910312252072</v>
      </c>
      <c r="W36" s="2"/>
      <c r="X36" s="6">
        <f t="shared" si="29"/>
        <v>-32907.74</v>
      </c>
      <c r="Y36" s="2"/>
      <c r="Z36" s="7">
        <f t="shared" si="30"/>
        <v>-1</v>
      </c>
    </row>
    <row r="37" spans="1:26" s="23" customFormat="1" hidden="1" outlineLevel="2" x14ac:dyDescent="0.25">
      <c r="A37" s="25"/>
      <c r="B37" s="10" t="str">
        <f>CONCATENATE("          ", "6008", " - ", "STUDENT HOURLY-FICA EXEMPT")</f>
        <v xml:space="preserve">          6008 - STUDENT HOURLY-FICA EXEMPT</v>
      </c>
      <c r="C37" s="10"/>
      <c r="D37" s="6"/>
      <c r="E37" s="2"/>
      <c r="F37" s="7">
        <f t="shared" si="23"/>
        <v>0</v>
      </c>
      <c r="G37" s="2"/>
      <c r="H37" s="6"/>
      <c r="I37" s="2"/>
      <c r="J37" s="7">
        <f t="shared" si="24"/>
        <v>0</v>
      </c>
      <c r="K37" s="2"/>
      <c r="L37" s="6">
        <f t="shared" si="25"/>
        <v>0</v>
      </c>
      <c r="M37" s="2"/>
      <c r="N37" s="7">
        <f t="shared" si="26"/>
        <v>0</v>
      </c>
      <c r="O37" s="10"/>
      <c r="P37" s="6"/>
      <c r="Q37" s="2"/>
      <c r="R37" s="7">
        <f t="shared" si="27"/>
        <v>0</v>
      </c>
      <c r="S37" s="2"/>
      <c r="T37" s="6">
        <v>57</v>
      </c>
      <c r="U37" s="2"/>
      <c r="V37" s="7">
        <f t="shared" si="28"/>
        <v>1.9822172163702767E-4</v>
      </c>
      <c r="W37" s="2"/>
      <c r="X37" s="6">
        <f t="shared" si="29"/>
        <v>-57</v>
      </c>
      <c r="Y37" s="2"/>
      <c r="Z37" s="7">
        <f t="shared" si="30"/>
        <v>-1</v>
      </c>
    </row>
    <row r="38" spans="1:26" s="27" customFormat="1" outlineLevel="1" collapsed="1" x14ac:dyDescent="0.25">
      <c r="A38" s="26"/>
      <c r="B38" s="12" t="str">
        <f>CONCATENATE("     ","Advertising/Promo                                 ")</f>
        <v xml:space="preserve">     Advertising/Promo                                 </v>
      </c>
      <c r="C38" s="12"/>
      <c r="D38" s="1">
        <f>SUM(OSRRefD22_2x_0)</f>
        <v>0</v>
      </c>
      <c r="E38" s="1"/>
      <c r="F38" s="5">
        <f t="shared" ref="F38:F54" si="31">IF(D$12=0,0,D38/D$12)</f>
        <v>0</v>
      </c>
      <c r="G38" s="1"/>
      <c r="H38" s="1">
        <f>SUM(OSRRefH22_2x_0)</f>
        <v>0</v>
      </c>
      <c r="I38" s="1"/>
      <c r="J38" s="5">
        <f t="shared" ref="J38:J54" si="32">IF(H$12=0,0,H38/H$12)</f>
        <v>0</v>
      </c>
      <c r="K38" s="1"/>
      <c r="L38" s="1">
        <f t="shared" ref="L38:L54" si="33">+D38-H38</f>
        <v>0</v>
      </c>
      <c r="M38" s="1"/>
      <c r="N38" s="5">
        <f t="shared" ref="N38:N54" si="34">IF(H38=0,0,L38/H38)</f>
        <v>0</v>
      </c>
      <c r="O38" s="12"/>
      <c r="P38" s="1">
        <f>SUM(OSRRefP22_2x_0)</f>
        <v>0</v>
      </c>
      <c r="Q38" s="1"/>
      <c r="R38" s="5">
        <f t="shared" ref="R38:R54" si="35">IF(P$12=0,0,P38/P$12)</f>
        <v>0</v>
      </c>
      <c r="S38" s="1"/>
      <c r="T38" s="1">
        <f>SUM(OSRRefT22_2x_0)</f>
        <v>910.02</v>
      </c>
      <c r="U38" s="1"/>
      <c r="V38" s="5">
        <f t="shared" ref="V38:V54" si="36">IF(T$12=0,0,T38/T$12)</f>
        <v>3.1646619495461037E-3</v>
      </c>
      <c r="W38" s="1"/>
      <c r="X38" s="1">
        <f t="shared" ref="X38:X54" si="37">+P38-T38</f>
        <v>-910.02</v>
      </c>
      <c r="Y38" s="1"/>
      <c r="Z38" s="5">
        <f t="shared" ref="Z38:Z54" si="38">IF(T38=0,0,X38/T38)</f>
        <v>-1</v>
      </c>
    </row>
    <row r="39" spans="1:26" s="23" customFormat="1" hidden="1" outlineLevel="2" x14ac:dyDescent="0.25">
      <c r="A39" s="25"/>
      <c r="B39" s="10" t="str">
        <f>CONCATENATE("          ", "6362", " - ", "ADVERTISING EXPENSE")</f>
        <v xml:space="preserve">          6362 - ADVERTISING EXPENSE</v>
      </c>
      <c r="C39" s="10"/>
      <c r="D39" s="6"/>
      <c r="E39" s="2"/>
      <c r="F39" s="7">
        <f t="shared" si="31"/>
        <v>0</v>
      </c>
      <c r="G39" s="2"/>
      <c r="H39" s="6"/>
      <c r="I39" s="2"/>
      <c r="J39" s="7">
        <f t="shared" si="32"/>
        <v>0</v>
      </c>
      <c r="K39" s="2"/>
      <c r="L39" s="6">
        <f t="shared" si="33"/>
        <v>0</v>
      </c>
      <c r="M39" s="2"/>
      <c r="N39" s="7">
        <f t="shared" si="34"/>
        <v>0</v>
      </c>
      <c r="O39" s="10"/>
      <c r="P39" s="6"/>
      <c r="Q39" s="2"/>
      <c r="R39" s="7">
        <f t="shared" si="35"/>
        <v>0</v>
      </c>
      <c r="S39" s="2"/>
      <c r="T39" s="6">
        <v>910.02</v>
      </c>
      <c r="U39" s="2"/>
      <c r="V39" s="7">
        <f t="shared" si="36"/>
        <v>3.1646619495461037E-3</v>
      </c>
      <c r="W39" s="2"/>
      <c r="X39" s="6">
        <f t="shared" si="37"/>
        <v>-910.02</v>
      </c>
      <c r="Y39" s="2"/>
      <c r="Z39" s="7">
        <f t="shared" si="38"/>
        <v>-1</v>
      </c>
    </row>
    <row r="40" spans="1:26" s="27" customFormat="1" outlineLevel="1" collapsed="1" x14ac:dyDescent="0.25">
      <c r="A40" s="26"/>
      <c r="B40" s="12" t="str">
        <f>CONCATENATE("     ","Bad Debts/Over/Short                              ")</f>
        <v xml:space="preserve">     Bad Debts/Over/Short                              </v>
      </c>
      <c r="C40" s="12"/>
      <c r="D40" s="1">
        <f>SUM(OSRRefD22_3x_0)</f>
        <v>0</v>
      </c>
      <c r="E40" s="1"/>
      <c r="F40" s="5">
        <f t="shared" si="31"/>
        <v>0</v>
      </c>
      <c r="G40" s="1"/>
      <c r="H40" s="1">
        <f>SUM(OSRRefH22_3x_0)</f>
        <v>0</v>
      </c>
      <c r="I40" s="1"/>
      <c r="J40" s="5">
        <f t="shared" si="32"/>
        <v>0</v>
      </c>
      <c r="K40" s="1"/>
      <c r="L40" s="1">
        <f t="shared" si="33"/>
        <v>0</v>
      </c>
      <c r="M40" s="1"/>
      <c r="N40" s="5">
        <f t="shared" si="34"/>
        <v>0</v>
      </c>
      <c r="O40" s="12"/>
      <c r="P40" s="1">
        <f>SUM(OSRRefP22_3x_0)</f>
        <v>0</v>
      </c>
      <c r="Q40" s="1"/>
      <c r="R40" s="5">
        <f t="shared" si="35"/>
        <v>0</v>
      </c>
      <c r="S40" s="1"/>
      <c r="T40" s="1">
        <f>SUM(OSRRefT22_3x_0)</f>
        <v>-18.989999999999998</v>
      </c>
      <c r="U40" s="1"/>
      <c r="V40" s="5">
        <f t="shared" si="36"/>
        <v>-6.6039131471704477E-5</v>
      </c>
      <c r="W40" s="1"/>
      <c r="X40" s="1">
        <f t="shared" si="37"/>
        <v>18.989999999999998</v>
      </c>
      <c r="Y40" s="1"/>
      <c r="Z40" s="5">
        <f t="shared" si="38"/>
        <v>-1</v>
      </c>
    </row>
    <row r="41" spans="1:26" s="23" customFormat="1" hidden="1" outlineLevel="2" x14ac:dyDescent="0.25">
      <c r="A41" s="25"/>
      <c r="B41" s="10" t="str">
        <f>CONCATENATE("          ", "6272", " - ", "CASH (OVER/SHORT)")</f>
        <v xml:space="preserve">          6272 - CASH (OVER/SHORT)</v>
      </c>
      <c r="C41" s="10"/>
      <c r="D41" s="6"/>
      <c r="E41" s="2"/>
      <c r="F41" s="7">
        <f t="shared" si="31"/>
        <v>0</v>
      </c>
      <c r="G41" s="2"/>
      <c r="H41" s="6"/>
      <c r="I41" s="2"/>
      <c r="J41" s="7">
        <f t="shared" si="32"/>
        <v>0</v>
      </c>
      <c r="K41" s="2"/>
      <c r="L41" s="6">
        <f t="shared" si="33"/>
        <v>0</v>
      </c>
      <c r="M41" s="2"/>
      <c r="N41" s="7">
        <f t="shared" si="34"/>
        <v>0</v>
      </c>
      <c r="O41" s="10"/>
      <c r="P41" s="6"/>
      <c r="Q41" s="2"/>
      <c r="R41" s="7">
        <f t="shared" si="35"/>
        <v>0</v>
      </c>
      <c r="S41" s="2"/>
      <c r="T41" s="6">
        <v>-18.989999999999998</v>
      </c>
      <c r="U41" s="2"/>
      <c r="V41" s="7">
        <f t="shared" si="36"/>
        <v>-6.6039131471704477E-5</v>
      </c>
      <c r="W41" s="2"/>
      <c r="X41" s="6">
        <f t="shared" si="37"/>
        <v>18.989999999999998</v>
      </c>
      <c r="Y41" s="2"/>
      <c r="Z41" s="7">
        <f t="shared" si="38"/>
        <v>-1</v>
      </c>
    </row>
    <row r="42" spans="1:26" s="27" customFormat="1" outlineLevel="1" collapsed="1" x14ac:dyDescent="0.25">
      <c r="A42" s="26"/>
      <c r="B42" s="12" t="str">
        <f>CONCATENATE("     ","Bank/card Fees                                    ")</f>
        <v xml:space="preserve">     Bank/card Fees                                    </v>
      </c>
      <c r="C42" s="12"/>
      <c r="D42" s="1">
        <f>SUM(OSRRefD22_4x_0)</f>
        <v>0</v>
      </c>
      <c r="E42" s="1"/>
      <c r="F42" s="5">
        <f t="shared" si="31"/>
        <v>0</v>
      </c>
      <c r="G42" s="1"/>
      <c r="H42" s="1">
        <f>SUM(OSRRefH22_4x_0)</f>
        <v>0</v>
      </c>
      <c r="I42" s="1"/>
      <c r="J42" s="5">
        <f t="shared" si="32"/>
        <v>0</v>
      </c>
      <c r="K42" s="1"/>
      <c r="L42" s="1">
        <f t="shared" si="33"/>
        <v>0</v>
      </c>
      <c r="M42" s="1"/>
      <c r="N42" s="5">
        <f t="shared" si="34"/>
        <v>0</v>
      </c>
      <c r="O42" s="12"/>
      <c r="P42" s="1">
        <f>SUM(OSRRefP22_4x_0)</f>
        <v>0</v>
      </c>
      <c r="Q42" s="1"/>
      <c r="R42" s="5">
        <f t="shared" si="35"/>
        <v>0</v>
      </c>
      <c r="S42" s="1"/>
      <c r="T42" s="1">
        <f>SUM(OSRRefT22_4x_0)</f>
        <v>10541.38</v>
      </c>
      <c r="U42" s="1"/>
      <c r="V42" s="5">
        <f t="shared" si="36"/>
        <v>3.6658429684739133E-2</v>
      </c>
      <c r="W42" s="1"/>
      <c r="X42" s="1">
        <f t="shared" si="37"/>
        <v>-10541.38</v>
      </c>
      <c r="Y42" s="1"/>
      <c r="Z42" s="5">
        <f t="shared" si="38"/>
        <v>-1</v>
      </c>
    </row>
    <row r="43" spans="1:26" s="23" customFormat="1" hidden="1" outlineLevel="2" x14ac:dyDescent="0.25">
      <c r="A43" s="25"/>
      <c r="B43" s="10" t="str">
        <f>CONCATENATE("          ", "6381", " - ", "BANK/CREDIT CARD FEES")</f>
        <v xml:space="preserve">          6381 - BANK/CREDIT CARD FEES</v>
      </c>
      <c r="C43" s="10"/>
      <c r="D43" s="6"/>
      <c r="E43" s="2"/>
      <c r="F43" s="7">
        <f t="shared" si="31"/>
        <v>0</v>
      </c>
      <c r="G43" s="2"/>
      <c r="H43" s="6"/>
      <c r="I43" s="2"/>
      <c r="J43" s="7">
        <f t="shared" si="32"/>
        <v>0</v>
      </c>
      <c r="K43" s="2"/>
      <c r="L43" s="6">
        <f t="shared" si="33"/>
        <v>0</v>
      </c>
      <c r="M43" s="2"/>
      <c r="N43" s="7">
        <f t="shared" si="34"/>
        <v>0</v>
      </c>
      <c r="O43" s="10"/>
      <c r="P43" s="6"/>
      <c r="Q43" s="2"/>
      <c r="R43" s="7">
        <f t="shared" si="35"/>
        <v>0</v>
      </c>
      <c r="S43" s="2"/>
      <c r="T43" s="6">
        <v>10541.38</v>
      </c>
      <c r="U43" s="2"/>
      <c r="V43" s="7">
        <f t="shared" si="36"/>
        <v>3.6658429684739133E-2</v>
      </c>
      <c r="W43" s="2"/>
      <c r="X43" s="6">
        <f t="shared" si="37"/>
        <v>-10541.38</v>
      </c>
      <c r="Y43" s="2"/>
      <c r="Z43" s="7">
        <f t="shared" si="38"/>
        <v>-1</v>
      </c>
    </row>
    <row r="44" spans="1:26" s="27" customFormat="1" outlineLevel="1" collapsed="1" x14ac:dyDescent="0.25">
      <c r="A44" s="26"/>
      <c r="B44" s="12" t="str">
        <f>CONCATENATE("     ","Depreciation                                      ")</f>
        <v xml:space="preserve">     Depreciation                                      </v>
      </c>
      <c r="C44" s="12"/>
      <c r="D44" s="1">
        <f>SUM(OSRRefD22_5x_0)</f>
        <v>588.14</v>
      </c>
      <c r="E44" s="1"/>
      <c r="F44" s="5">
        <f t="shared" si="31"/>
        <v>0</v>
      </c>
      <c r="G44" s="1"/>
      <c r="H44" s="1">
        <f>SUM(OSRRefH22_5x_0)</f>
        <v>315.39999999999998</v>
      </c>
      <c r="I44" s="1"/>
      <c r="J44" s="5">
        <f t="shared" si="32"/>
        <v>0</v>
      </c>
      <c r="K44" s="1"/>
      <c r="L44" s="1">
        <f t="shared" si="33"/>
        <v>272.74</v>
      </c>
      <c r="M44" s="1"/>
      <c r="N44" s="5">
        <f t="shared" si="34"/>
        <v>0.86474318325935329</v>
      </c>
      <c r="O44" s="12"/>
      <c r="P44" s="1">
        <f>SUM(OSRRefP22_5x_0)</f>
        <v>6793.79</v>
      </c>
      <c r="Q44" s="1"/>
      <c r="R44" s="5">
        <f t="shared" si="35"/>
        <v>0</v>
      </c>
      <c r="S44" s="1"/>
      <c r="T44" s="1">
        <f>SUM(OSRRefT22_5x_0)</f>
        <v>2507.0500000000002</v>
      </c>
      <c r="U44" s="1"/>
      <c r="V44" s="5">
        <f t="shared" si="36"/>
        <v>8.7184520566686019E-3</v>
      </c>
      <c r="W44" s="1"/>
      <c r="X44" s="1">
        <f t="shared" si="37"/>
        <v>4286.74</v>
      </c>
      <c r="Y44" s="1"/>
      <c r="Z44" s="5">
        <f t="shared" si="38"/>
        <v>1.709874154883229</v>
      </c>
    </row>
    <row r="45" spans="1:26" s="23" customFormat="1" hidden="1" outlineLevel="2" x14ac:dyDescent="0.25">
      <c r="A45" s="25"/>
      <c r="B45" s="10" t="str">
        <f>CONCATENATE("          ", "6322", " - ", "EQUIPMENT DEPRECIATION EXPENSE")</f>
        <v xml:space="preserve">          6322 - EQUIPMENT DEPRECIATION EXPENSE</v>
      </c>
      <c r="C45" s="10"/>
      <c r="D45" s="6">
        <v>588.14</v>
      </c>
      <c r="E45" s="2"/>
      <c r="F45" s="7">
        <f t="shared" si="31"/>
        <v>0</v>
      </c>
      <c r="G45" s="2"/>
      <c r="H45" s="6">
        <v>315.39999999999998</v>
      </c>
      <c r="I45" s="2"/>
      <c r="J45" s="7">
        <f t="shared" si="32"/>
        <v>0</v>
      </c>
      <c r="K45" s="2"/>
      <c r="L45" s="6">
        <f t="shared" si="33"/>
        <v>272.74</v>
      </c>
      <c r="M45" s="2"/>
      <c r="N45" s="7">
        <f t="shared" si="34"/>
        <v>0.86474318325935329</v>
      </c>
      <c r="O45" s="10"/>
      <c r="P45" s="6">
        <v>6793.79</v>
      </c>
      <c r="Q45" s="2"/>
      <c r="R45" s="7">
        <f t="shared" si="35"/>
        <v>0</v>
      </c>
      <c r="S45" s="2"/>
      <c r="T45" s="6">
        <v>2507.0500000000002</v>
      </c>
      <c r="U45" s="2"/>
      <c r="V45" s="7">
        <f t="shared" si="36"/>
        <v>8.7184520566686019E-3</v>
      </c>
      <c r="W45" s="2"/>
      <c r="X45" s="6">
        <f t="shared" si="37"/>
        <v>4286.74</v>
      </c>
      <c r="Y45" s="2"/>
      <c r="Z45" s="7">
        <f t="shared" si="38"/>
        <v>1.709874154883229</v>
      </c>
    </row>
    <row r="46" spans="1:26" s="27" customFormat="1" outlineLevel="1" collapsed="1" x14ac:dyDescent="0.25">
      <c r="A46" s="26"/>
      <c r="B46" s="12" t="str">
        <f>CONCATENATE("     ","Employees' Appreciation                           ")</f>
        <v xml:space="preserve">     Employees' Appreciation                           </v>
      </c>
      <c r="C46" s="12"/>
      <c r="D46" s="1">
        <f>SUM(OSRRefD22_6x_0)</f>
        <v>0</v>
      </c>
      <c r="E46" s="1"/>
      <c r="F46" s="5">
        <f t="shared" si="31"/>
        <v>0</v>
      </c>
      <c r="G46" s="1"/>
      <c r="H46" s="1">
        <f>SUM(OSRRefH22_6x_0)</f>
        <v>0</v>
      </c>
      <c r="I46" s="1"/>
      <c r="J46" s="5">
        <f t="shared" si="32"/>
        <v>0</v>
      </c>
      <c r="K46" s="1"/>
      <c r="L46" s="1">
        <f t="shared" si="33"/>
        <v>0</v>
      </c>
      <c r="M46" s="1"/>
      <c r="N46" s="5">
        <f t="shared" si="34"/>
        <v>0</v>
      </c>
      <c r="O46" s="12"/>
      <c r="P46" s="1">
        <f>SUM(OSRRefP22_6x_0)</f>
        <v>0</v>
      </c>
      <c r="Q46" s="1"/>
      <c r="R46" s="5">
        <f t="shared" si="35"/>
        <v>0</v>
      </c>
      <c r="S46" s="1"/>
      <c r="T46" s="1">
        <f>SUM(OSRRefT22_6x_0)</f>
        <v>62.26</v>
      </c>
      <c r="U46" s="1"/>
      <c r="V46" s="5">
        <f t="shared" si="36"/>
        <v>2.1651376121265513E-4</v>
      </c>
      <c r="W46" s="1"/>
      <c r="X46" s="1">
        <f t="shared" si="37"/>
        <v>-62.26</v>
      </c>
      <c r="Y46" s="1"/>
      <c r="Z46" s="5">
        <f t="shared" si="38"/>
        <v>-1</v>
      </c>
    </row>
    <row r="47" spans="1:26" s="23" customFormat="1" hidden="1" outlineLevel="2" x14ac:dyDescent="0.25">
      <c r="A47" s="25"/>
      <c r="B47" s="10" t="str">
        <f>CONCATENATE("          ", "6277", " - ", "EMPLOYEE APPRECIATION")</f>
        <v xml:space="preserve">          6277 - EMPLOYEE APPRECIATION</v>
      </c>
      <c r="C47" s="10"/>
      <c r="D47" s="6"/>
      <c r="E47" s="2"/>
      <c r="F47" s="7">
        <f t="shared" si="31"/>
        <v>0</v>
      </c>
      <c r="G47" s="2"/>
      <c r="H47" s="6"/>
      <c r="I47" s="2"/>
      <c r="J47" s="7">
        <f t="shared" si="32"/>
        <v>0</v>
      </c>
      <c r="K47" s="2"/>
      <c r="L47" s="6">
        <f t="shared" si="33"/>
        <v>0</v>
      </c>
      <c r="M47" s="2"/>
      <c r="N47" s="7">
        <f t="shared" si="34"/>
        <v>0</v>
      </c>
      <c r="O47" s="10"/>
      <c r="P47" s="6"/>
      <c r="Q47" s="2"/>
      <c r="R47" s="7">
        <f t="shared" si="35"/>
        <v>0</v>
      </c>
      <c r="S47" s="2"/>
      <c r="T47" s="6">
        <v>62.26</v>
      </c>
      <c r="U47" s="2"/>
      <c r="V47" s="7">
        <f t="shared" si="36"/>
        <v>2.1651376121265513E-4</v>
      </c>
      <c r="W47" s="2"/>
      <c r="X47" s="6">
        <f t="shared" si="37"/>
        <v>-62.26</v>
      </c>
      <c r="Y47" s="2"/>
      <c r="Z47" s="7">
        <f t="shared" si="38"/>
        <v>-1</v>
      </c>
    </row>
    <row r="48" spans="1:26" s="27" customFormat="1" outlineLevel="1" collapsed="1" x14ac:dyDescent="0.25">
      <c r="A48" s="26"/>
      <c r="B48" s="12" t="str">
        <f>CONCATENATE("     ","Equipment Rental                                  ")</f>
        <v xml:space="preserve">     Equipment Rental                                  </v>
      </c>
      <c r="C48" s="12"/>
      <c r="D48" s="1">
        <f>SUM(OSRRefD22_7x_0)</f>
        <v>0</v>
      </c>
      <c r="E48" s="1"/>
      <c r="F48" s="5">
        <f t="shared" si="31"/>
        <v>0</v>
      </c>
      <c r="G48" s="1"/>
      <c r="H48" s="1">
        <f>SUM(OSRRefH22_7x_0)</f>
        <v>0</v>
      </c>
      <c r="I48" s="1"/>
      <c r="J48" s="5">
        <f t="shared" si="32"/>
        <v>0</v>
      </c>
      <c r="K48" s="1"/>
      <c r="L48" s="1">
        <f t="shared" si="33"/>
        <v>0</v>
      </c>
      <c r="M48" s="1"/>
      <c r="N48" s="5">
        <f t="shared" si="34"/>
        <v>0</v>
      </c>
      <c r="O48" s="12"/>
      <c r="P48" s="1">
        <f>SUM(OSRRefP22_7x_0)</f>
        <v>12</v>
      </c>
      <c r="Q48" s="1"/>
      <c r="R48" s="5">
        <f t="shared" si="35"/>
        <v>0</v>
      </c>
      <c r="S48" s="1"/>
      <c r="T48" s="1">
        <f>SUM(OSRRefT22_7x_0)</f>
        <v>12</v>
      </c>
      <c r="U48" s="1"/>
      <c r="V48" s="5">
        <f t="shared" si="36"/>
        <v>4.1730888765690033E-5</v>
      </c>
      <c r="W48" s="1"/>
      <c r="X48" s="1">
        <f t="shared" si="37"/>
        <v>0</v>
      </c>
      <c r="Y48" s="1"/>
      <c r="Z48" s="5">
        <f t="shared" si="38"/>
        <v>0</v>
      </c>
    </row>
    <row r="49" spans="1:26" s="23" customFormat="1" hidden="1" outlineLevel="2" x14ac:dyDescent="0.25">
      <c r="A49" s="25"/>
      <c r="B49" s="10" t="str">
        <f>CONCATENATE("          ", "6351", " - ", "EQUIPMENT RENTAL")</f>
        <v xml:space="preserve">          6351 - EQUIPMENT RENTAL</v>
      </c>
      <c r="C49" s="10"/>
      <c r="D49" s="6"/>
      <c r="E49" s="2"/>
      <c r="F49" s="7">
        <f t="shared" si="31"/>
        <v>0</v>
      </c>
      <c r="G49" s="2"/>
      <c r="H49" s="6"/>
      <c r="I49" s="2"/>
      <c r="J49" s="7">
        <f t="shared" si="32"/>
        <v>0</v>
      </c>
      <c r="K49" s="2"/>
      <c r="L49" s="6">
        <f t="shared" si="33"/>
        <v>0</v>
      </c>
      <c r="M49" s="2"/>
      <c r="N49" s="7">
        <f t="shared" si="34"/>
        <v>0</v>
      </c>
      <c r="O49" s="10"/>
      <c r="P49" s="6">
        <v>12</v>
      </c>
      <c r="Q49" s="2"/>
      <c r="R49" s="7">
        <f t="shared" si="35"/>
        <v>0</v>
      </c>
      <c r="S49" s="2"/>
      <c r="T49" s="6">
        <v>12</v>
      </c>
      <c r="U49" s="2"/>
      <c r="V49" s="7">
        <f t="shared" si="36"/>
        <v>4.1730888765690033E-5</v>
      </c>
      <c r="W49" s="2"/>
      <c r="X49" s="6">
        <f t="shared" si="37"/>
        <v>0</v>
      </c>
      <c r="Y49" s="2"/>
      <c r="Z49" s="7">
        <f t="shared" si="38"/>
        <v>0</v>
      </c>
    </row>
    <row r="50" spans="1:26" s="27" customFormat="1" outlineLevel="1" collapsed="1" x14ac:dyDescent="0.25">
      <c r="A50" s="26"/>
      <c r="B50" s="12" t="str">
        <f>CONCATENATE("     ","General                                           ")</f>
        <v xml:space="preserve">     General                                           </v>
      </c>
      <c r="C50" s="12"/>
      <c r="D50" s="1">
        <f>SUM(OSRRefD22_8x_0)</f>
        <v>0</v>
      </c>
      <c r="E50" s="1"/>
      <c r="F50" s="5">
        <f t="shared" si="31"/>
        <v>0</v>
      </c>
      <c r="G50" s="1"/>
      <c r="H50" s="1">
        <f>SUM(OSRRefH22_8x_0)</f>
        <v>0</v>
      </c>
      <c r="I50" s="1"/>
      <c r="J50" s="5">
        <f t="shared" si="32"/>
        <v>0</v>
      </c>
      <c r="K50" s="1"/>
      <c r="L50" s="1">
        <f t="shared" si="33"/>
        <v>0</v>
      </c>
      <c r="M50" s="1"/>
      <c r="N50" s="5">
        <f t="shared" si="34"/>
        <v>0</v>
      </c>
      <c r="O50" s="12"/>
      <c r="P50" s="1">
        <f>SUM(OSRRefP22_8x_0)</f>
        <v>575</v>
      </c>
      <c r="Q50" s="1"/>
      <c r="R50" s="5">
        <f t="shared" si="35"/>
        <v>0</v>
      </c>
      <c r="S50" s="1"/>
      <c r="T50" s="1">
        <f>SUM(OSRRefT22_8x_0)</f>
        <v>5632.39</v>
      </c>
      <c r="U50" s="1"/>
      <c r="V50" s="5">
        <f t="shared" si="36"/>
        <v>1.9587053381248744E-2</v>
      </c>
      <c r="W50" s="1"/>
      <c r="X50" s="1">
        <f t="shared" si="37"/>
        <v>-5057.3900000000003</v>
      </c>
      <c r="Y50" s="1"/>
      <c r="Z50" s="5">
        <f t="shared" si="38"/>
        <v>-0.89791189885643574</v>
      </c>
    </row>
    <row r="51" spans="1:26" s="23" customFormat="1" hidden="1" outlineLevel="2" x14ac:dyDescent="0.25">
      <c r="A51" s="25"/>
      <c r="B51" s="10" t="str">
        <f>CONCATENATE("          ", "6279", " - ", "GENERAL EXPENSE")</f>
        <v xml:space="preserve">          6279 - GENERAL EXPENSE</v>
      </c>
      <c r="C51" s="10"/>
      <c r="D51" s="6"/>
      <c r="E51" s="2"/>
      <c r="F51" s="7">
        <f t="shared" si="31"/>
        <v>0</v>
      </c>
      <c r="G51" s="2"/>
      <c r="H51" s="6"/>
      <c r="I51" s="2"/>
      <c r="J51" s="7">
        <f t="shared" si="32"/>
        <v>0</v>
      </c>
      <c r="K51" s="2"/>
      <c r="L51" s="6">
        <f t="shared" si="33"/>
        <v>0</v>
      </c>
      <c r="M51" s="2"/>
      <c r="N51" s="7">
        <f t="shared" si="34"/>
        <v>0</v>
      </c>
      <c r="O51" s="10"/>
      <c r="P51" s="6">
        <v>575</v>
      </c>
      <c r="Q51" s="2"/>
      <c r="R51" s="7">
        <f t="shared" si="35"/>
        <v>0</v>
      </c>
      <c r="S51" s="2"/>
      <c r="T51" s="6">
        <v>5632.39</v>
      </c>
      <c r="U51" s="2"/>
      <c r="V51" s="7">
        <f t="shared" si="36"/>
        <v>1.9587053381248744E-2</v>
      </c>
      <c r="W51" s="2"/>
      <c r="X51" s="6">
        <f t="shared" si="37"/>
        <v>-5057.3900000000003</v>
      </c>
      <c r="Y51" s="2"/>
      <c r="Z51" s="7">
        <f t="shared" si="38"/>
        <v>-0.89791189885643574</v>
      </c>
    </row>
    <row r="52" spans="1:26" s="27" customFormat="1" outlineLevel="1" collapsed="1" x14ac:dyDescent="0.25">
      <c r="A52" s="26"/>
      <c r="B52" s="12" t="str">
        <f>CONCATENATE("     ","Repair and Maintenance                            ")</f>
        <v xml:space="preserve">     Repair and Maintenance                            </v>
      </c>
      <c r="C52" s="12"/>
      <c r="D52" s="1">
        <f>SUM(OSRRefD22_9x_0)</f>
        <v>132.9</v>
      </c>
      <c r="E52" s="1"/>
      <c r="F52" s="5">
        <f t="shared" si="31"/>
        <v>0</v>
      </c>
      <c r="G52" s="1"/>
      <c r="H52" s="1">
        <f>SUM(OSRRefH22_9x_0)</f>
        <v>48.23</v>
      </c>
      <c r="I52" s="1"/>
      <c r="J52" s="5">
        <f t="shared" si="32"/>
        <v>0</v>
      </c>
      <c r="K52" s="1"/>
      <c r="L52" s="1">
        <f t="shared" si="33"/>
        <v>84.670000000000016</v>
      </c>
      <c r="M52" s="1"/>
      <c r="N52" s="5">
        <f t="shared" si="34"/>
        <v>1.7555463404520013</v>
      </c>
      <c r="O52" s="12"/>
      <c r="P52" s="1">
        <f>SUM(OSRRefP22_9x_0)</f>
        <v>1413.18</v>
      </c>
      <c r="Q52" s="1"/>
      <c r="R52" s="5">
        <f t="shared" si="35"/>
        <v>0</v>
      </c>
      <c r="S52" s="1"/>
      <c r="T52" s="1">
        <f>SUM(OSRRefT22_9x_0)</f>
        <v>7367.17</v>
      </c>
      <c r="U52" s="1"/>
      <c r="V52" s="5">
        <f t="shared" si="36"/>
        <v>2.5619879315660721E-2</v>
      </c>
      <c r="W52" s="1"/>
      <c r="X52" s="1">
        <f t="shared" si="37"/>
        <v>-5953.99</v>
      </c>
      <c r="Y52" s="1"/>
      <c r="Z52" s="5">
        <f t="shared" si="38"/>
        <v>-0.80817871720077039</v>
      </c>
    </row>
    <row r="53" spans="1:26" s="23" customFormat="1" hidden="1" outlineLevel="2" x14ac:dyDescent="0.25">
      <c r="A53" s="25"/>
      <c r="B53" s="10" t="str">
        <f>CONCATENATE("          ", "6373", " - ", "MAINTENANCE CONTRACTS")</f>
        <v xml:space="preserve">          6373 - MAINTENANCE CONTRACTS</v>
      </c>
      <c r="C53" s="10"/>
      <c r="D53" s="6">
        <v>47.9</v>
      </c>
      <c r="E53" s="2"/>
      <c r="F53" s="7">
        <f t="shared" si="31"/>
        <v>0</v>
      </c>
      <c r="G53" s="2"/>
      <c r="H53" s="6">
        <v>48.23</v>
      </c>
      <c r="I53" s="2"/>
      <c r="J53" s="7">
        <f t="shared" si="32"/>
        <v>0</v>
      </c>
      <c r="K53" s="2"/>
      <c r="L53" s="6">
        <f t="shared" si="33"/>
        <v>-0.32999999999999829</v>
      </c>
      <c r="M53" s="2"/>
      <c r="N53" s="7">
        <f t="shared" si="34"/>
        <v>-6.8422143893841656E-3</v>
      </c>
      <c r="O53" s="10"/>
      <c r="P53" s="6">
        <v>310.49</v>
      </c>
      <c r="Q53" s="2"/>
      <c r="R53" s="7">
        <f t="shared" si="35"/>
        <v>0</v>
      </c>
      <c r="S53" s="2"/>
      <c r="T53" s="6">
        <v>189.68</v>
      </c>
      <c r="U53" s="2"/>
      <c r="V53" s="7">
        <f t="shared" si="36"/>
        <v>6.5962624842300717E-4</v>
      </c>
      <c r="W53" s="2"/>
      <c r="X53" s="6">
        <f t="shared" si="37"/>
        <v>120.81</v>
      </c>
      <c r="Y53" s="2"/>
      <c r="Z53" s="7">
        <f t="shared" si="38"/>
        <v>0.63691480388021926</v>
      </c>
    </row>
    <row r="54" spans="1:26" s="23" customFormat="1" hidden="1" outlineLevel="2" x14ac:dyDescent="0.25">
      <c r="A54" s="25"/>
      <c r="B54" s="10" t="str">
        <f>CONCATENATE("          ", "6375", " - ", "OUTSIDE REPAIRS &amp; MAINTENANCE")</f>
        <v xml:space="preserve">          6375 - OUTSIDE REPAIRS &amp; MAINTENANCE</v>
      </c>
      <c r="C54" s="10"/>
      <c r="D54" s="6">
        <v>85</v>
      </c>
      <c r="E54" s="2"/>
      <c r="F54" s="7">
        <f t="shared" si="31"/>
        <v>0</v>
      </c>
      <c r="G54" s="2"/>
      <c r="H54" s="6"/>
      <c r="I54" s="2"/>
      <c r="J54" s="7">
        <f t="shared" si="32"/>
        <v>0</v>
      </c>
      <c r="K54" s="2"/>
      <c r="L54" s="6">
        <f t="shared" si="33"/>
        <v>85</v>
      </c>
      <c r="M54" s="2"/>
      <c r="N54" s="7">
        <f t="shared" si="34"/>
        <v>0</v>
      </c>
      <c r="O54" s="10"/>
      <c r="P54" s="6">
        <v>1102.69</v>
      </c>
      <c r="Q54" s="2"/>
      <c r="R54" s="7">
        <f t="shared" si="35"/>
        <v>0</v>
      </c>
      <c r="S54" s="2"/>
      <c r="T54" s="6">
        <v>7177.49</v>
      </c>
      <c r="U54" s="2"/>
      <c r="V54" s="7">
        <f t="shared" si="36"/>
        <v>2.4960253067237714E-2</v>
      </c>
      <c r="W54" s="2"/>
      <c r="X54" s="6">
        <f t="shared" si="37"/>
        <v>-6074.7999999999993</v>
      </c>
      <c r="Y54" s="2"/>
      <c r="Z54" s="7">
        <f t="shared" si="38"/>
        <v>-0.84636829866708274</v>
      </c>
    </row>
    <row r="55" spans="1:26" s="27" customFormat="1" outlineLevel="1" collapsed="1" x14ac:dyDescent="0.25">
      <c r="A55" s="26"/>
      <c r="B55" s="12" t="str">
        <f>CONCATENATE("     ","Services                                          ")</f>
        <v xml:space="preserve">     Services                                          </v>
      </c>
      <c r="C55" s="12"/>
      <c r="D55" s="1">
        <f>SUM(OSRRefD22_10x_0)</f>
        <v>320.25</v>
      </c>
      <c r="E55" s="1"/>
      <c r="F55" s="5">
        <f t="shared" ref="F55:F58" si="39">IF(D$12=0,0,D55/D$12)</f>
        <v>0</v>
      </c>
      <c r="G55" s="1"/>
      <c r="H55" s="1">
        <f>SUM(OSRRefH22_10x_0)</f>
        <v>1595.02</v>
      </c>
      <c r="I55" s="1"/>
      <c r="J55" s="5">
        <f t="shared" ref="J55:J58" si="40">IF(H$12=0,0,H55/H$12)</f>
        <v>0</v>
      </c>
      <c r="K55" s="1"/>
      <c r="L55" s="1">
        <f t="shared" ref="L55:L58" si="41">+D55-H55</f>
        <v>-1274.77</v>
      </c>
      <c r="M55" s="1"/>
      <c r="N55" s="5">
        <f t="shared" ref="N55:N58" si="42">IF(H55=0,0,L55/H55)</f>
        <v>-0.79921881857280785</v>
      </c>
      <c r="O55" s="12"/>
      <c r="P55" s="1">
        <f>SUM(OSRRefP22_10x_0)</f>
        <v>2084.4</v>
      </c>
      <c r="Q55" s="1"/>
      <c r="R55" s="5">
        <f t="shared" ref="R55:R58" si="43">IF(P$12=0,0,P55/P$12)</f>
        <v>0</v>
      </c>
      <c r="S55" s="1"/>
      <c r="T55" s="1">
        <f>SUM(OSRRefT22_10x_0)</f>
        <v>5552.1</v>
      </c>
      <c r="U55" s="1"/>
      <c r="V55" s="5">
        <f t="shared" ref="V55:V58" si="44">IF(T$12=0,0,T55/T$12)</f>
        <v>1.9307838959665639E-2</v>
      </c>
      <c r="W55" s="1"/>
      <c r="X55" s="1">
        <f t="shared" ref="X55:X58" si="45">+P55-T55</f>
        <v>-3467.7000000000003</v>
      </c>
      <c r="Y55" s="1"/>
      <c r="Z55" s="5">
        <f t="shared" ref="Z55:Z58" si="46">IF(T55=0,0,X55/T55)</f>
        <v>-0.62457448532987514</v>
      </c>
    </row>
    <row r="56" spans="1:26" s="23" customFormat="1" hidden="1" outlineLevel="2" x14ac:dyDescent="0.25">
      <c r="A56" s="25"/>
      <c r="B56" s="10" t="str">
        <f>CONCATENATE("          ", "6282", " - ", "JANITORIAL/EXTERMINATOR EXPENS")</f>
        <v xml:space="preserve">          6282 - JANITORIAL/EXTERMINATOR EXPENS</v>
      </c>
      <c r="C56" s="10"/>
      <c r="D56" s="6">
        <v>320.25</v>
      </c>
      <c r="E56" s="2"/>
      <c r="F56" s="7">
        <f t="shared" si="39"/>
        <v>0</v>
      </c>
      <c r="G56" s="2"/>
      <c r="H56" s="6">
        <v>186</v>
      </c>
      <c r="I56" s="2"/>
      <c r="J56" s="7">
        <f t="shared" si="40"/>
        <v>0</v>
      </c>
      <c r="K56" s="2"/>
      <c r="L56" s="6">
        <f t="shared" si="41"/>
        <v>134.25</v>
      </c>
      <c r="M56" s="2"/>
      <c r="N56" s="7">
        <f t="shared" si="42"/>
        <v>0.72177419354838712</v>
      </c>
      <c r="O56" s="10"/>
      <c r="P56" s="6">
        <v>2257.44</v>
      </c>
      <c r="Q56" s="2"/>
      <c r="R56" s="7">
        <f t="shared" si="43"/>
        <v>0</v>
      </c>
      <c r="S56" s="2"/>
      <c r="T56" s="6">
        <v>3651.3</v>
      </c>
      <c r="U56" s="2"/>
      <c r="V56" s="7">
        <f t="shared" si="44"/>
        <v>1.2697666179180337E-2</v>
      </c>
      <c r="W56" s="2"/>
      <c r="X56" s="6">
        <f t="shared" si="45"/>
        <v>-1393.8600000000001</v>
      </c>
      <c r="Y56" s="2"/>
      <c r="Z56" s="7">
        <f t="shared" si="46"/>
        <v>-0.38174348862049134</v>
      </c>
    </row>
    <row r="57" spans="1:26" s="23" customFormat="1" hidden="1" outlineLevel="2" x14ac:dyDescent="0.25">
      <c r="A57" s="25"/>
      <c r="B57" s="10" t="str">
        <f>CONCATENATE("          ", "6285", " - ", "JANITORIAL SERVICES")</f>
        <v xml:space="preserve">          6285 - JANITORIAL SERVICES</v>
      </c>
      <c r="C57" s="10"/>
      <c r="D57" s="6"/>
      <c r="E57" s="2"/>
      <c r="F57" s="7">
        <f t="shared" si="39"/>
        <v>0</v>
      </c>
      <c r="G57" s="2"/>
      <c r="H57" s="6">
        <v>1409.02</v>
      </c>
      <c r="I57" s="2"/>
      <c r="J57" s="7">
        <f t="shared" si="40"/>
        <v>0</v>
      </c>
      <c r="K57" s="2"/>
      <c r="L57" s="6">
        <f t="shared" si="41"/>
        <v>-1409.02</v>
      </c>
      <c r="M57" s="2"/>
      <c r="N57" s="7">
        <f t="shared" si="42"/>
        <v>-1</v>
      </c>
      <c r="O57" s="10"/>
      <c r="P57" s="6">
        <v>-173.04</v>
      </c>
      <c r="Q57" s="2"/>
      <c r="R57" s="7">
        <f t="shared" si="43"/>
        <v>0</v>
      </c>
      <c r="S57" s="2"/>
      <c r="T57" s="6">
        <v>1714.8</v>
      </c>
      <c r="U57" s="2"/>
      <c r="V57" s="7">
        <f t="shared" si="44"/>
        <v>5.9633440046171059E-3</v>
      </c>
      <c r="W57" s="2"/>
      <c r="X57" s="6">
        <f t="shared" si="45"/>
        <v>-1887.84</v>
      </c>
      <c r="Y57" s="2"/>
      <c r="Z57" s="7">
        <f t="shared" si="46"/>
        <v>-1.1009097270818755</v>
      </c>
    </row>
    <row r="58" spans="1:26" s="23" customFormat="1" hidden="1" outlineLevel="2" x14ac:dyDescent="0.25">
      <c r="A58" s="25"/>
      <c r="B58" s="10" t="str">
        <f>CONCATENATE("          ", "6286", " - ", "LAUNDRY EXPENSE")</f>
        <v xml:space="preserve">          6286 - LAUNDRY EXPENSE</v>
      </c>
      <c r="C58" s="10"/>
      <c r="D58" s="6"/>
      <c r="E58" s="2"/>
      <c r="F58" s="7">
        <f t="shared" si="39"/>
        <v>0</v>
      </c>
      <c r="G58" s="2"/>
      <c r="H58" s="6"/>
      <c r="I58" s="2"/>
      <c r="J58" s="7">
        <f t="shared" si="40"/>
        <v>0</v>
      </c>
      <c r="K58" s="2"/>
      <c r="L58" s="6">
        <f t="shared" si="41"/>
        <v>0</v>
      </c>
      <c r="M58" s="2"/>
      <c r="N58" s="7">
        <f t="shared" si="42"/>
        <v>0</v>
      </c>
      <c r="O58" s="10"/>
      <c r="P58" s="6"/>
      <c r="Q58" s="2"/>
      <c r="R58" s="7">
        <f t="shared" si="43"/>
        <v>0</v>
      </c>
      <c r="S58" s="2"/>
      <c r="T58" s="6">
        <v>186</v>
      </c>
      <c r="U58" s="2"/>
      <c r="V58" s="7">
        <f t="shared" si="44"/>
        <v>6.4682877586819554E-4</v>
      </c>
      <c r="W58" s="2"/>
      <c r="X58" s="6">
        <f t="shared" si="45"/>
        <v>-186</v>
      </c>
      <c r="Y58" s="2"/>
      <c r="Z58" s="7">
        <f t="shared" si="46"/>
        <v>-1</v>
      </c>
    </row>
    <row r="59" spans="1:26" s="27" customFormat="1" outlineLevel="1" collapsed="1" x14ac:dyDescent="0.25">
      <c r="A59" s="26"/>
      <c r="B59" s="12" t="str">
        <f>CONCATENATE("     ","Supplies                                          ")</f>
        <v xml:space="preserve">     Supplies                                          </v>
      </c>
      <c r="C59" s="12"/>
      <c r="D59" s="1">
        <f>SUM(OSRRefD22_11x_0)</f>
        <v>0</v>
      </c>
      <c r="E59" s="1"/>
      <c r="F59" s="5">
        <f t="shared" ref="F59:F62" si="47">IF(D$12=0,0,D59/D$12)</f>
        <v>0</v>
      </c>
      <c r="G59" s="1"/>
      <c r="H59" s="1">
        <f>SUM(OSRRefH22_11x_0)</f>
        <v>0</v>
      </c>
      <c r="I59" s="1"/>
      <c r="J59" s="5">
        <f t="shared" ref="J59:J62" si="48">IF(H$12=0,0,H59/H$12)</f>
        <v>0</v>
      </c>
      <c r="K59" s="1"/>
      <c r="L59" s="1">
        <f t="shared" ref="L59:L62" si="49">+D59-H59</f>
        <v>0</v>
      </c>
      <c r="M59" s="1"/>
      <c r="N59" s="5">
        <f t="shared" ref="N59:N62" si="50">IF(H59=0,0,L59/H59)</f>
        <v>0</v>
      </c>
      <c r="O59" s="12"/>
      <c r="P59" s="1">
        <f>SUM(OSRRefP22_11x_0)</f>
        <v>0</v>
      </c>
      <c r="Q59" s="1"/>
      <c r="R59" s="5">
        <f t="shared" ref="R59:R62" si="51">IF(P$12=0,0,P59/P$12)</f>
        <v>0</v>
      </c>
      <c r="S59" s="1"/>
      <c r="T59" s="1">
        <f>SUM(OSRRefT22_11x_0)</f>
        <v>10479.52</v>
      </c>
      <c r="U59" s="1"/>
      <c r="V59" s="5">
        <f t="shared" ref="V59:V62" si="52">IF(T$12=0,0,T59/T$12)</f>
        <v>3.6443306953152003E-2</v>
      </c>
      <c r="W59" s="1"/>
      <c r="X59" s="1">
        <f t="shared" ref="X59:X62" si="53">+P59-T59</f>
        <v>-10479.52</v>
      </c>
      <c r="Y59" s="1"/>
      <c r="Z59" s="5">
        <f t="shared" ref="Z59:Z62" si="54">IF(T59=0,0,X59/T59)</f>
        <v>-1</v>
      </c>
    </row>
    <row r="60" spans="1:26" s="23" customFormat="1" hidden="1" outlineLevel="2" x14ac:dyDescent="0.25">
      <c r="A60" s="25"/>
      <c r="B60" s="10" t="str">
        <f>CONCATENATE("          ", "6237", " - ", "JANITORIAL SUPPLIES")</f>
        <v xml:space="preserve">          6237 - JANITORIAL SUPPLIES</v>
      </c>
      <c r="C60" s="10"/>
      <c r="D60" s="6"/>
      <c r="E60" s="2"/>
      <c r="F60" s="7">
        <f t="shared" si="47"/>
        <v>0</v>
      </c>
      <c r="G60" s="2"/>
      <c r="H60" s="6"/>
      <c r="I60" s="2"/>
      <c r="J60" s="7">
        <f t="shared" si="48"/>
        <v>0</v>
      </c>
      <c r="K60" s="2"/>
      <c r="L60" s="6">
        <f t="shared" si="49"/>
        <v>0</v>
      </c>
      <c r="M60" s="2"/>
      <c r="N60" s="7">
        <f t="shared" si="50"/>
        <v>0</v>
      </c>
      <c r="O60" s="10"/>
      <c r="P60" s="6"/>
      <c r="Q60" s="2"/>
      <c r="R60" s="7">
        <f t="shared" si="51"/>
        <v>0</v>
      </c>
      <c r="S60" s="2"/>
      <c r="T60" s="6">
        <v>1096.97</v>
      </c>
      <c r="U60" s="2"/>
      <c r="V60" s="7">
        <f t="shared" si="52"/>
        <v>3.8147944207749165E-3</v>
      </c>
      <c r="W60" s="2"/>
      <c r="X60" s="6">
        <f t="shared" si="53"/>
        <v>-1096.97</v>
      </c>
      <c r="Y60" s="2"/>
      <c r="Z60" s="7">
        <f t="shared" si="54"/>
        <v>-1</v>
      </c>
    </row>
    <row r="61" spans="1:26" s="23" customFormat="1" hidden="1" outlineLevel="2" x14ac:dyDescent="0.25">
      <c r="A61" s="25"/>
      <c r="B61" s="10" t="str">
        <f>CONCATENATE("          ", "6243", " - ", "PAPER SUPPLIES")</f>
        <v xml:space="preserve">          6243 - PAPER SUPPLIES</v>
      </c>
      <c r="C61" s="10"/>
      <c r="D61" s="6"/>
      <c r="E61" s="2"/>
      <c r="F61" s="7">
        <f t="shared" si="47"/>
        <v>0</v>
      </c>
      <c r="G61" s="2"/>
      <c r="H61" s="6"/>
      <c r="I61" s="2"/>
      <c r="J61" s="7">
        <f t="shared" si="48"/>
        <v>0</v>
      </c>
      <c r="K61" s="2"/>
      <c r="L61" s="6">
        <f t="shared" si="49"/>
        <v>0</v>
      </c>
      <c r="M61" s="2"/>
      <c r="N61" s="7">
        <f t="shared" si="50"/>
        <v>0</v>
      </c>
      <c r="O61" s="10"/>
      <c r="P61" s="6"/>
      <c r="Q61" s="2"/>
      <c r="R61" s="7">
        <f t="shared" si="51"/>
        <v>0</v>
      </c>
      <c r="S61" s="2"/>
      <c r="T61" s="6">
        <v>741.91</v>
      </c>
      <c r="U61" s="2"/>
      <c r="V61" s="7">
        <f t="shared" si="52"/>
        <v>2.5800469736794243E-3</v>
      </c>
      <c r="W61" s="2"/>
      <c r="X61" s="6">
        <f t="shared" si="53"/>
        <v>-741.91</v>
      </c>
      <c r="Y61" s="2"/>
      <c r="Z61" s="7">
        <f t="shared" si="54"/>
        <v>-1</v>
      </c>
    </row>
    <row r="62" spans="1:26" s="23" customFormat="1" hidden="1" outlineLevel="2" x14ac:dyDescent="0.25">
      <c r="A62" s="25"/>
      <c r="B62" s="10" t="str">
        <f>CONCATENATE("          ", "6247", " - ", "STORE SUPPLIES")</f>
        <v xml:space="preserve">          6247 - STORE SUPPLIES</v>
      </c>
      <c r="C62" s="10"/>
      <c r="D62" s="6"/>
      <c r="E62" s="2"/>
      <c r="F62" s="7">
        <f t="shared" si="47"/>
        <v>0</v>
      </c>
      <c r="G62" s="2"/>
      <c r="H62" s="6"/>
      <c r="I62" s="2"/>
      <c r="J62" s="7">
        <f t="shared" si="48"/>
        <v>0</v>
      </c>
      <c r="K62" s="2"/>
      <c r="L62" s="6">
        <f t="shared" si="49"/>
        <v>0</v>
      </c>
      <c r="M62" s="2"/>
      <c r="N62" s="7">
        <f t="shared" si="50"/>
        <v>0</v>
      </c>
      <c r="O62" s="10"/>
      <c r="P62" s="6"/>
      <c r="Q62" s="2"/>
      <c r="R62" s="7">
        <f t="shared" si="51"/>
        <v>0</v>
      </c>
      <c r="S62" s="2"/>
      <c r="T62" s="6">
        <v>8640.64</v>
      </c>
      <c r="U62" s="2"/>
      <c r="V62" s="7">
        <f t="shared" si="52"/>
        <v>3.0048465558697661E-2</v>
      </c>
      <c r="W62" s="2"/>
      <c r="X62" s="6">
        <f t="shared" si="53"/>
        <v>-8640.64</v>
      </c>
      <c r="Y62" s="2"/>
      <c r="Z62" s="7">
        <f t="shared" si="54"/>
        <v>-1</v>
      </c>
    </row>
    <row r="63" spans="1:26" s="27" customFormat="1" outlineLevel="1" collapsed="1" x14ac:dyDescent="0.25">
      <c r="A63" s="26"/>
      <c r="B63" s="12" t="str">
        <f>CONCATENATE("     ","Telephone/Data Lines                              ")</f>
        <v xml:space="preserve">     Telephone/Data Lines                              </v>
      </c>
      <c r="C63" s="12"/>
      <c r="D63" s="1">
        <f>SUM(OSRRefD22_12x_0)</f>
        <v>30</v>
      </c>
      <c r="E63" s="1"/>
      <c r="F63" s="5">
        <f t="shared" ref="F63:F64" si="55">IF(D$12=0,0,D63/D$12)</f>
        <v>0</v>
      </c>
      <c r="G63" s="1"/>
      <c r="H63" s="1">
        <f>SUM(OSRRefH22_12x_0)</f>
        <v>69.010000000000005</v>
      </c>
      <c r="I63" s="1"/>
      <c r="J63" s="5">
        <f t="shared" ref="J63:J64" si="56">IF(H$12=0,0,H63/H$12)</f>
        <v>0</v>
      </c>
      <c r="K63" s="1"/>
      <c r="L63" s="1">
        <f t="shared" ref="L63:L64" si="57">+D63-H63</f>
        <v>-39.010000000000005</v>
      </c>
      <c r="M63" s="1"/>
      <c r="N63" s="5">
        <f t="shared" ref="N63:N64" si="58">IF(H63=0,0,L63/H63)</f>
        <v>-0.56528039414577602</v>
      </c>
      <c r="O63" s="12"/>
      <c r="P63" s="1">
        <f>SUM(OSRRefP22_12x_0)</f>
        <v>454.32</v>
      </c>
      <c r="Q63" s="1"/>
      <c r="R63" s="5">
        <f t="shared" ref="R63:R64" si="59">IF(P$12=0,0,P63/P$12)</f>
        <v>0</v>
      </c>
      <c r="S63" s="1"/>
      <c r="T63" s="1">
        <f>SUM(OSRRefT22_12x_0)</f>
        <v>1032.1099999999999</v>
      </c>
      <c r="U63" s="1"/>
      <c r="V63" s="5">
        <f t="shared" ref="V63:V64" si="60">IF(T$12=0,0,T63/T$12)</f>
        <v>3.5892389669963617E-3</v>
      </c>
      <c r="W63" s="1"/>
      <c r="X63" s="1">
        <f t="shared" ref="X63:X64" si="61">+P63-T63</f>
        <v>-577.79</v>
      </c>
      <c r="Y63" s="1"/>
      <c r="Z63" s="5">
        <f t="shared" ref="Z63:Z64" si="62">IF(T63=0,0,X63/T63)</f>
        <v>-0.55981436087238767</v>
      </c>
    </row>
    <row r="64" spans="1:26" s="23" customFormat="1" hidden="1" outlineLevel="2" x14ac:dyDescent="0.25">
      <c r="A64" s="25"/>
      <c r="B64" s="10" t="str">
        <f>CONCATENATE("          ", "6309", " - ", "TELEPHONE")</f>
        <v xml:space="preserve">          6309 - TELEPHONE</v>
      </c>
      <c r="C64" s="10"/>
      <c r="D64" s="6">
        <v>30</v>
      </c>
      <c r="E64" s="2"/>
      <c r="F64" s="7">
        <f t="shared" si="55"/>
        <v>0</v>
      </c>
      <c r="G64" s="2"/>
      <c r="H64" s="6">
        <v>69.010000000000005</v>
      </c>
      <c r="I64" s="2"/>
      <c r="J64" s="7">
        <f t="shared" si="56"/>
        <v>0</v>
      </c>
      <c r="K64" s="2"/>
      <c r="L64" s="6">
        <f t="shared" si="57"/>
        <v>-39.010000000000005</v>
      </c>
      <c r="M64" s="2"/>
      <c r="N64" s="7">
        <f t="shared" si="58"/>
        <v>-0.56528039414577602</v>
      </c>
      <c r="O64" s="10"/>
      <c r="P64" s="6">
        <v>454.32</v>
      </c>
      <c r="Q64" s="2"/>
      <c r="R64" s="7">
        <f t="shared" si="59"/>
        <v>0</v>
      </c>
      <c r="S64" s="2"/>
      <c r="T64" s="6">
        <v>1032.1099999999999</v>
      </c>
      <c r="U64" s="2"/>
      <c r="V64" s="7">
        <f t="shared" si="60"/>
        <v>3.5892389669963617E-3</v>
      </c>
      <c r="W64" s="2"/>
      <c r="X64" s="6">
        <f t="shared" si="61"/>
        <v>-577.79</v>
      </c>
      <c r="Y64" s="2"/>
      <c r="Z64" s="7">
        <f t="shared" si="62"/>
        <v>-0.55981436087238767</v>
      </c>
    </row>
    <row r="65" spans="1:26" s="52" customFormat="1" x14ac:dyDescent="0.25">
      <c r="A65" s="37"/>
      <c r="B65" s="37"/>
      <c r="C65" s="37"/>
      <c r="D65" s="1"/>
      <c r="E65" s="1"/>
      <c r="F65" s="5"/>
      <c r="G65" s="1"/>
      <c r="H65" s="1"/>
      <c r="I65" s="1"/>
      <c r="J65" s="5"/>
      <c r="K65" s="1"/>
      <c r="L65" s="1"/>
      <c r="M65" s="1"/>
      <c r="N65" s="5"/>
      <c r="O65" s="37"/>
      <c r="P65" s="1"/>
      <c r="Q65" s="1"/>
      <c r="R65" s="5"/>
      <c r="S65" s="1"/>
      <c r="T65" s="1"/>
      <c r="U65" s="1"/>
      <c r="V65" s="5"/>
      <c r="W65" s="1"/>
      <c r="X65" s="1"/>
      <c r="Y65" s="1"/>
      <c r="Z65" s="5"/>
    </row>
    <row r="66" spans="1:26" s="24" customFormat="1" x14ac:dyDescent="0.25">
      <c r="A66" s="11"/>
      <c r="B66" s="29" t="s">
        <v>292</v>
      </c>
      <c r="C66" s="11"/>
      <c r="D66" s="4">
        <f>SUM(0)</f>
        <v>0</v>
      </c>
      <c r="E66" s="4"/>
      <c r="F66" s="13">
        <f>IF(D$12=0,0,D66/D$12)</f>
        <v>0</v>
      </c>
      <c r="G66" s="4"/>
      <c r="H66" s="4">
        <f>SUM(0)</f>
        <v>0</v>
      </c>
      <c r="I66" s="4"/>
      <c r="J66" s="13">
        <f>IF(H$12=0,0,H66/H$12)</f>
        <v>0</v>
      </c>
      <c r="K66" s="4"/>
      <c r="L66" s="4">
        <f>+D66-H66</f>
        <v>0</v>
      </c>
      <c r="M66" s="4"/>
      <c r="N66" s="13">
        <f>IF(H66=0,0,L66/H66)</f>
        <v>0</v>
      </c>
      <c r="O66" s="11"/>
      <c r="P66" s="4">
        <f>SUM(0)</f>
        <v>0</v>
      </c>
      <c r="Q66" s="4"/>
      <c r="R66" s="13">
        <f>IF(P$12=0,0,P66/P$12)</f>
        <v>0</v>
      </c>
      <c r="S66" s="4"/>
      <c r="T66" s="4">
        <f>SUM(0)</f>
        <v>0</v>
      </c>
      <c r="U66" s="4"/>
      <c r="V66" s="13">
        <f>IF(T$12=0,0,T66/T$12)</f>
        <v>0</v>
      </c>
      <c r="W66" s="4"/>
      <c r="X66" s="4">
        <f>+P66-T66</f>
        <v>0</v>
      </c>
      <c r="Y66" s="4"/>
      <c r="Z66" s="13">
        <f>IF(T66=0,0,X66/T66)</f>
        <v>0</v>
      </c>
    </row>
    <row r="67" spans="1:26" x14ac:dyDescent="0.25">
      <c r="A67" s="9"/>
      <c r="B67" s="11"/>
      <c r="C67" s="11"/>
      <c r="D67" s="3"/>
      <c r="E67" s="3"/>
      <c r="F67" s="8"/>
      <c r="G67" s="3"/>
      <c r="H67" s="3"/>
      <c r="I67" s="3"/>
      <c r="J67" s="8"/>
      <c r="K67" s="3"/>
      <c r="L67" s="3"/>
      <c r="M67" s="3"/>
      <c r="N67" s="8"/>
      <c r="O67" s="11"/>
      <c r="P67" s="3"/>
      <c r="Q67" s="3"/>
      <c r="R67" s="8"/>
      <c r="S67" s="3"/>
      <c r="T67" s="3"/>
      <c r="U67" s="3"/>
      <c r="V67" s="8"/>
      <c r="W67" s="3"/>
      <c r="X67" s="3"/>
      <c r="Y67" s="3"/>
      <c r="Z67" s="8"/>
    </row>
    <row r="68" spans="1:26" s="24" customFormat="1" x14ac:dyDescent="0.25">
      <c r="A68" s="11"/>
      <c r="B68" s="28" t="s">
        <v>276</v>
      </c>
      <c r="C68" s="28"/>
      <c r="D68" s="21">
        <f>+D20-D22+D66</f>
        <v>-891.89</v>
      </c>
      <c r="E68" s="14"/>
      <c r="F68" s="22">
        <f>IF(D$12=0,0,D68/D$12)</f>
        <v>0</v>
      </c>
      <c r="G68" s="14"/>
      <c r="H68" s="21">
        <f>+H20-H22+H66</f>
        <v>-2861.75</v>
      </c>
      <c r="I68" s="14"/>
      <c r="J68" s="22">
        <f>IF(H$12=0,0,H68/H$12)</f>
        <v>0</v>
      </c>
      <c r="K68" s="15"/>
      <c r="L68" s="21">
        <f>+D68-H68</f>
        <v>1969.8600000000001</v>
      </c>
      <c r="M68" s="15"/>
      <c r="N68" s="22">
        <f>IF(H68=0,0,L68/H68)</f>
        <v>-0.68834105005678348</v>
      </c>
      <c r="O68" s="29"/>
      <c r="P68" s="21">
        <f>+P20-P22+P66</f>
        <v>-11153.289999999999</v>
      </c>
      <c r="Q68" s="14"/>
      <c r="R68" s="22">
        <f>IF(P$12=0,0,P68/P$12)</f>
        <v>0</v>
      </c>
      <c r="S68" s="14"/>
      <c r="T68" s="21">
        <f>+T20-T22+T66</f>
        <v>-235.19000000003143</v>
      </c>
      <c r="U68" s="14"/>
      <c r="V68" s="22">
        <f>IF(T$12=0,0,T68/T$12)</f>
        <v>-8.1789064406699596E-4</v>
      </c>
      <c r="W68" s="15"/>
      <c r="X68" s="21">
        <f>+P68-T68</f>
        <v>-10918.099999999968</v>
      </c>
      <c r="Y68" s="15"/>
      <c r="Z68" s="22">
        <f>IF(T68=0,0,X68/T68)</f>
        <v>46.422466941615326</v>
      </c>
    </row>
    <row r="69" spans="1:26" x14ac:dyDescent="0.25">
      <c r="A69" s="9"/>
      <c r="B69" s="11"/>
      <c r="C69" s="9"/>
      <c r="D69" s="3"/>
      <c r="E69" s="3"/>
      <c r="F69" s="8"/>
      <c r="G69" s="3"/>
      <c r="H69" s="3"/>
      <c r="I69" s="3"/>
      <c r="J69" s="8"/>
      <c r="K69" s="3"/>
      <c r="L69" s="3"/>
      <c r="M69" s="3"/>
      <c r="N69" s="8"/>
      <c r="P69" s="3"/>
      <c r="Q69" s="3"/>
      <c r="R69" s="8"/>
      <c r="S69" s="3"/>
      <c r="T69" s="3"/>
      <c r="U69" s="3"/>
      <c r="V69" s="8"/>
      <c r="W69" s="3"/>
      <c r="X69" s="3"/>
      <c r="Y69" s="3"/>
      <c r="Z69" s="8"/>
    </row>
    <row r="70" spans="1:26" s="24" customFormat="1" x14ac:dyDescent="0.25">
      <c r="A70" s="51"/>
      <c r="B70" s="11" t="s">
        <v>127</v>
      </c>
      <c r="C70" s="11"/>
      <c r="D70" s="4"/>
      <c r="E70" s="4"/>
      <c r="F70" s="13">
        <f>IF(D$12=0,0,D70/D$12)</f>
        <v>0</v>
      </c>
      <c r="G70" s="4"/>
      <c r="H70" s="4">
        <v>9489.9599999999991</v>
      </c>
      <c r="I70" s="4"/>
      <c r="J70" s="13">
        <f>IF(H$12=0,0,H70/H$12)</f>
        <v>0</v>
      </c>
      <c r="K70" s="4"/>
      <c r="L70" s="4">
        <f>+D70-H70</f>
        <v>-9489.9599999999991</v>
      </c>
      <c r="M70" s="4"/>
      <c r="N70" s="13">
        <f>IF(H70=0,0,L70/H70)</f>
        <v>-1</v>
      </c>
      <c r="O70" s="11"/>
      <c r="P70" s="4"/>
      <c r="Q70" s="4"/>
      <c r="R70" s="13">
        <f>IF(P$12=0,0,P70/P$12)</f>
        <v>0</v>
      </c>
      <c r="S70" s="4"/>
      <c r="T70" s="4">
        <v>43542.6</v>
      </c>
      <c r="U70" s="4"/>
      <c r="V70" s="13">
        <f>IF(T$12=0,0,T70/T$12)</f>
        <v>0.15142261643074459</v>
      </c>
      <c r="W70" s="4"/>
      <c r="X70" s="4">
        <f>+P70-T70</f>
        <v>-43542.6</v>
      </c>
      <c r="Y70" s="4"/>
      <c r="Z70" s="13">
        <f>IF(T70=0,0,X70/T70)</f>
        <v>-1</v>
      </c>
    </row>
    <row r="71" spans="1:26" x14ac:dyDescent="0.25">
      <c r="A71" s="9"/>
      <c r="B71" s="11"/>
      <c r="C71" s="11"/>
      <c r="D71" s="3"/>
      <c r="E71" s="3"/>
      <c r="F71" s="8"/>
      <c r="G71" s="3"/>
      <c r="H71" s="3"/>
      <c r="I71" s="3"/>
      <c r="J71" s="8"/>
      <c r="K71" s="3"/>
      <c r="L71" s="3"/>
      <c r="M71" s="3"/>
      <c r="N71" s="8"/>
      <c r="O71" s="11"/>
      <c r="P71" s="3"/>
      <c r="Q71" s="3"/>
      <c r="R71" s="8"/>
      <c r="S71" s="3"/>
      <c r="T71" s="3"/>
      <c r="U71" s="3"/>
      <c r="V71" s="8"/>
      <c r="W71" s="3"/>
      <c r="X71" s="3"/>
      <c r="Y71" s="3"/>
      <c r="Z71" s="8"/>
    </row>
    <row r="72" spans="1:26" s="24" customFormat="1" ht="15.75" thickBot="1" x14ac:dyDescent="0.3">
      <c r="A72" s="11"/>
      <c r="B72" s="28" t="s">
        <v>125</v>
      </c>
      <c r="C72" s="28"/>
      <c r="D72" s="34">
        <f>+D68-D70</f>
        <v>-891.89</v>
      </c>
      <c r="E72" s="14"/>
      <c r="F72" s="31">
        <f>IF(D$12=0,0,D72/D$12)</f>
        <v>0</v>
      </c>
      <c r="G72" s="14"/>
      <c r="H72" s="34">
        <f>+H68-H70</f>
        <v>-12351.71</v>
      </c>
      <c r="I72" s="14"/>
      <c r="J72" s="31">
        <f>IF(H$12=0,0,H72/H$12)</f>
        <v>0</v>
      </c>
      <c r="K72" s="15"/>
      <c r="L72" s="34">
        <f>D72-H72</f>
        <v>11459.82</v>
      </c>
      <c r="M72" s="15"/>
      <c r="N72" s="31">
        <f>IF(H72=0,0,L72/H72)</f>
        <v>-0.92779218424007692</v>
      </c>
      <c r="O72" s="29"/>
      <c r="P72" s="34">
        <f>+P68-P70</f>
        <v>-11153.289999999999</v>
      </c>
      <c r="Q72" s="14"/>
      <c r="R72" s="31">
        <f>IF(P$12=0,0,P72/P$12)</f>
        <v>0</v>
      </c>
      <c r="S72" s="14"/>
      <c r="T72" s="34">
        <f>+T68-T70</f>
        <v>-43777.79000000003</v>
      </c>
      <c r="U72" s="14"/>
      <c r="V72" s="31">
        <f>IF(T$12=0,0,T72/T$12)</f>
        <v>-0.15224050707481157</v>
      </c>
      <c r="W72" s="15"/>
      <c r="X72" s="34">
        <f>P72-T72</f>
        <v>32624.500000000029</v>
      </c>
      <c r="Y72" s="15"/>
      <c r="Z72" s="31">
        <f>IF(T72=0,0,X72/T72)</f>
        <v>-0.74522948737247829</v>
      </c>
    </row>
    <row r="73" spans="1:26" ht="15.75" thickTop="1" x14ac:dyDescent="0.25">
      <c r="A73" s="9"/>
      <c r="B73" s="9"/>
      <c r="C73" s="9"/>
      <c r="D73" s="3"/>
      <c r="E73" s="3"/>
      <c r="F73" s="8"/>
      <c r="G73" s="3"/>
      <c r="H73" s="3"/>
      <c r="I73" s="3"/>
      <c r="J73" s="8"/>
      <c r="K73" s="3"/>
      <c r="L73" s="3"/>
      <c r="M73" s="3"/>
      <c r="N73" s="8"/>
      <c r="P73" s="3"/>
      <c r="Q73" s="3"/>
      <c r="R73" s="8"/>
      <c r="S73" s="3"/>
      <c r="T73" s="3"/>
      <c r="U73" s="3"/>
      <c r="V73" s="8"/>
      <c r="W73" s="3"/>
      <c r="X73" s="3"/>
      <c r="Y73" s="3"/>
      <c r="Z73" s="8"/>
    </row>
    <row r="74" spans="1:26" x14ac:dyDescent="0.25">
      <c r="A74" s="9"/>
      <c r="B74" s="9"/>
      <c r="C74" s="9"/>
      <c r="D74" s="3"/>
      <c r="E74" s="3"/>
      <c r="F74" s="8"/>
      <c r="G74" s="3"/>
      <c r="H74" s="3"/>
      <c r="I74" s="3"/>
      <c r="J74" s="8"/>
      <c r="K74" s="3"/>
      <c r="L74" s="3"/>
      <c r="M74" s="3"/>
      <c r="N74" s="8"/>
      <c r="P74" s="3"/>
      <c r="Q74" s="3"/>
      <c r="R74" s="8"/>
      <c r="S74" s="3"/>
      <c r="T74" s="3"/>
      <c r="U74" s="3"/>
      <c r="V74" s="8"/>
      <c r="W74" s="3"/>
      <c r="X74" s="3"/>
      <c r="Y74" s="3"/>
      <c r="Z74" s="8"/>
    </row>
    <row r="75" spans="1:26" s="24" customFormat="1" ht="15.75" thickBot="1" x14ac:dyDescent="0.3">
      <c r="A75" s="11"/>
      <c r="B75" s="28" t="s">
        <v>293</v>
      </c>
      <c r="C75" s="28"/>
      <c r="D75" s="33">
        <f>SUM(D72:D74)</f>
        <v>-891.89</v>
      </c>
      <c r="E75" s="14"/>
      <c r="F75" s="35">
        <f>IF(D$12=0,0,D75/D$12)</f>
        <v>0</v>
      </c>
      <c r="G75" s="14"/>
      <c r="H75" s="33">
        <f>SUM(H72:H74)</f>
        <v>-12351.71</v>
      </c>
      <c r="I75" s="14"/>
      <c r="J75" s="35">
        <f>IF(H$12=0,0,H75/H$12)</f>
        <v>0</v>
      </c>
      <c r="K75" s="15"/>
      <c r="L75" s="33">
        <f>+D75-H75</f>
        <v>11459.82</v>
      </c>
      <c r="M75" s="15"/>
      <c r="N75" s="35">
        <f>IF(H75=0,0,L75/H75)</f>
        <v>-0.92779218424007692</v>
      </c>
      <c r="O75" s="29"/>
      <c r="P75" s="33">
        <f>SUM(P72:P74)</f>
        <v>-11153.289999999999</v>
      </c>
      <c r="Q75" s="14"/>
      <c r="R75" s="35">
        <f>IF(P$12=0,0,P75/P$12)</f>
        <v>0</v>
      </c>
      <c r="S75" s="14"/>
      <c r="T75" s="33">
        <f>SUM(T72:T74)</f>
        <v>-43777.79000000003</v>
      </c>
      <c r="U75" s="14"/>
      <c r="V75" s="35">
        <f>IF(T$12=0,0,T75/T$12)</f>
        <v>-0.15224050707481157</v>
      </c>
      <c r="W75" s="15"/>
      <c r="X75" s="33">
        <f>+P75-T75</f>
        <v>32624.500000000029</v>
      </c>
      <c r="Y75" s="15"/>
      <c r="Z75" s="35">
        <f>IF(T75=0,0,X75/T75)</f>
        <v>-0.74522948737247829</v>
      </c>
    </row>
    <row r="76" spans="1:26" ht="15.75" thickTop="1" x14ac:dyDescent="0.25">
      <c r="A76" s="9"/>
      <c r="C76" s="9"/>
      <c r="D76" s="18"/>
      <c r="E76" s="18"/>
      <c r="G76" s="18"/>
      <c r="H76" s="18"/>
      <c r="I76" s="18"/>
      <c r="J76" s="43"/>
      <c r="K76" s="18"/>
      <c r="L76" s="18"/>
      <c r="M76" s="18"/>
      <c r="P76" s="18"/>
      <c r="Q76" s="18"/>
      <c r="R76" s="43"/>
      <c r="S76" s="18"/>
      <c r="T76" s="18"/>
      <c r="U76" s="18"/>
      <c r="V76" s="43"/>
      <c r="W76" s="18"/>
      <c r="X76" s="18"/>
    </row>
    <row r="77" spans="1:26" x14ac:dyDescent="0.25">
      <c r="A77" s="9"/>
      <c r="B77" s="56">
        <v>44454.698585613427</v>
      </c>
      <c r="D77" s="18"/>
      <c r="E77" s="18"/>
      <c r="G77" s="18"/>
      <c r="H77" s="18"/>
      <c r="I77" s="18"/>
      <c r="J77" s="43"/>
      <c r="K77" s="18"/>
      <c r="L77" s="18"/>
      <c r="M77" s="18"/>
      <c r="P77" s="18"/>
      <c r="Q77" s="18"/>
      <c r="R77" s="43"/>
      <c r="S77" s="18"/>
      <c r="T77" s="18"/>
      <c r="U77" s="18"/>
      <c r="V77" s="43"/>
      <c r="W77" s="18"/>
      <c r="X77" s="18"/>
    </row>
    <row r="78" spans="1:26" x14ac:dyDescent="0.25">
      <c r="A78" s="9"/>
      <c r="B78" s="55" t="s">
        <v>56</v>
      </c>
      <c r="D78" s="18"/>
      <c r="E78" s="18"/>
      <c r="G78" s="18"/>
      <c r="H78" s="18"/>
      <c r="I78" s="18"/>
      <c r="J78" s="43"/>
      <c r="K78" s="18"/>
      <c r="L78" s="18"/>
      <c r="M78" s="18"/>
      <c r="P78" s="18"/>
      <c r="Q78" s="18"/>
      <c r="R78" s="43"/>
      <c r="S78" s="18"/>
      <c r="T78" s="18"/>
      <c r="U78" s="18"/>
      <c r="V78" s="43"/>
      <c r="W78" s="18"/>
      <c r="X78" s="18"/>
    </row>
    <row r="79" spans="1:26" x14ac:dyDescent="0.25">
      <c r="A79" s="9"/>
      <c r="B79" s="60"/>
      <c r="D79" s="18"/>
      <c r="E79" s="18"/>
      <c r="G79" s="18"/>
      <c r="H79" s="18"/>
      <c r="I79" s="18"/>
      <c r="J79" s="43"/>
      <c r="K79" s="18"/>
      <c r="L79" s="18"/>
      <c r="M79" s="18"/>
      <c r="P79" s="18"/>
      <c r="Q79" s="18"/>
      <c r="R79" s="43"/>
      <c r="S79" s="18"/>
      <c r="T79" s="18"/>
      <c r="U79" s="18"/>
      <c r="V79" s="43"/>
      <c r="W79" s="18"/>
      <c r="X79" s="18"/>
    </row>
    <row r="80" spans="1:26" x14ac:dyDescent="0.25">
      <c r="D80" s="18"/>
      <c r="E80" s="18"/>
      <c r="G80" s="18"/>
      <c r="H80" s="18"/>
      <c r="I80" s="18"/>
      <c r="J80" s="43"/>
      <c r="K80" s="18"/>
      <c r="L80" s="18"/>
      <c r="M80" s="18"/>
      <c r="P80" s="18"/>
      <c r="Q80" s="18"/>
      <c r="R80" s="43"/>
      <c r="S80" s="18"/>
      <c r="T80" s="18"/>
      <c r="U80" s="18"/>
      <c r="V80" s="43"/>
      <c r="W80" s="18"/>
      <c r="X80" s="18"/>
    </row>
  </sheetData>
  <pageMargins left="0.25" right="0.25" top="0.75" bottom="0.75" header="0.3" footer="0.3"/>
  <pageSetup scale="55" fitToWidth="2" orientation="landscape"/>
  <drawing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>
    <tabColor rgb="FF92D050"/>
    <outlinePr summaryBelow="0" summaryRight="0"/>
  </sheetPr>
  <dimension ref="A2:Z88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62" t="s">
        <v>23</v>
      </c>
    </row>
    <row r="3" spans="1:26" x14ac:dyDescent="0.25">
      <c r="D3" s="62" t="s">
        <v>236</v>
      </c>
      <c r="E3" s="17"/>
      <c r="F3" s="46"/>
      <c r="G3" s="17"/>
      <c r="H3" s="17"/>
      <c r="I3" s="17"/>
      <c r="J3" s="38"/>
      <c r="K3" s="17"/>
      <c r="L3" s="17"/>
      <c r="M3" s="17"/>
      <c r="N3" s="46"/>
      <c r="O3" s="53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2" t="str">
        <f>CONCATENATE("Period ",RIGHT(202112,2),", ",2021)</f>
        <v>Period 12, 2021</v>
      </c>
      <c r="E4" s="17"/>
      <c r="F4" s="46"/>
      <c r="G4" s="17"/>
      <c r="H4" s="17"/>
      <c r="I4" s="17"/>
      <c r="J4" s="38"/>
      <c r="K4" s="17"/>
      <c r="L4" s="17"/>
      <c r="M4" s="17"/>
      <c r="N4" s="46"/>
      <c r="O4" s="53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4"/>
      <c r="D5" s="63">
        <v>44377</v>
      </c>
      <c r="E5" s="17"/>
      <c r="F5" s="46"/>
      <c r="G5" s="17"/>
      <c r="H5" s="17"/>
      <c r="I5" s="17"/>
      <c r="J5" s="38"/>
      <c r="K5" s="17"/>
      <c r="L5" s="17"/>
      <c r="M5" s="17"/>
      <c r="N5" s="46"/>
      <c r="O5" s="53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4"/>
      <c r="B6" s="48"/>
      <c r="C6" s="48"/>
      <c r="D6" s="24" t="str">
        <f>CONCATENATE("Department ","313", " - ", "Convenience Store")</f>
        <v>Department 313 - Convenience Store</v>
      </c>
      <c r="E6" s="17"/>
      <c r="F6" s="46"/>
      <c r="G6" s="17"/>
      <c r="H6" s="17"/>
      <c r="I6" s="17"/>
      <c r="J6" s="38"/>
      <c r="K6" s="17"/>
      <c r="L6" s="17"/>
      <c r="M6" s="17"/>
      <c r="N6" s="46"/>
      <c r="O6" s="54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9"/>
    </row>
    <row r="8" spans="1:26" x14ac:dyDescent="0.25">
      <c r="B8" s="59"/>
    </row>
    <row r="9" spans="1:26" x14ac:dyDescent="0.25">
      <c r="B9" s="9"/>
      <c r="C9" s="9"/>
      <c r="D9" s="16" t="s">
        <v>291</v>
      </c>
      <c r="E9" s="16"/>
      <c r="F9" s="39"/>
      <c r="G9" s="16"/>
      <c r="H9" s="16"/>
      <c r="I9" s="16"/>
      <c r="J9" s="49"/>
      <c r="K9" s="16"/>
      <c r="L9" s="16"/>
      <c r="M9" s="16"/>
      <c r="N9" s="39"/>
      <c r="P9" s="16" t="s">
        <v>39</v>
      </c>
      <c r="Q9" s="16"/>
      <c r="R9" s="39"/>
      <c r="S9" s="16"/>
      <c r="T9" s="16"/>
      <c r="U9" s="16"/>
      <c r="V9" s="49"/>
      <c r="W9" s="16"/>
      <c r="X9" s="16"/>
      <c r="Y9" s="16"/>
      <c r="Z9" s="39"/>
    </row>
    <row r="10" spans="1:26" x14ac:dyDescent="0.25">
      <c r="A10" s="11"/>
      <c r="B10" s="58"/>
      <c r="C10" s="11"/>
      <c r="D10" s="42" t="s">
        <v>57</v>
      </c>
      <c r="E10" s="36"/>
      <c r="F10" s="30" t="s">
        <v>40</v>
      </c>
      <c r="G10" s="36"/>
      <c r="H10" s="50" t="s">
        <v>237</v>
      </c>
      <c r="I10" s="36"/>
      <c r="J10" s="30" t="s">
        <v>40</v>
      </c>
      <c r="K10" s="11"/>
      <c r="L10" s="42" t="s">
        <v>126</v>
      </c>
      <c r="M10" s="11"/>
      <c r="N10" s="30" t="s">
        <v>257</v>
      </c>
      <c r="O10" s="11"/>
      <c r="P10" s="61" t="s">
        <v>57</v>
      </c>
      <c r="Q10" s="36"/>
      <c r="R10" s="30" t="s">
        <v>40</v>
      </c>
      <c r="S10" s="36"/>
      <c r="T10" s="50" t="s">
        <v>237</v>
      </c>
      <c r="U10" s="36"/>
      <c r="V10" s="30" t="s">
        <v>40</v>
      </c>
      <c r="W10" s="11"/>
      <c r="X10" s="42" t="s">
        <v>126</v>
      </c>
      <c r="Y10" s="11"/>
      <c r="Z10" s="30" t="s">
        <v>257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4" customFormat="1" collapsed="1" x14ac:dyDescent="0.25">
      <c r="A12" s="11"/>
      <c r="B12" s="29" t="s">
        <v>139</v>
      </c>
      <c r="C12" s="11"/>
      <c r="D12" s="4">
        <f>SUM(OSRRefD13x_0)</f>
        <v>0</v>
      </c>
      <c r="E12" s="4"/>
      <c r="F12" s="13"/>
      <c r="G12" s="4"/>
      <c r="H12" s="4">
        <f>SUM(OSRRefH13x_0)</f>
        <v>119.47</v>
      </c>
      <c r="I12" s="4"/>
      <c r="J12" s="13"/>
      <c r="K12" s="4"/>
      <c r="L12" s="4">
        <f t="shared" ref="L12:L19" si="0">+D12-H12</f>
        <v>-119.47</v>
      </c>
      <c r="M12" s="4"/>
      <c r="N12" s="13">
        <f t="shared" ref="N12:N19" si="1">IF(H12=0,0,L12/H12)</f>
        <v>-1</v>
      </c>
      <c r="O12" s="11"/>
      <c r="P12" s="4">
        <f>SUM(OSRRefP13x_0)</f>
        <v>0</v>
      </c>
      <c r="Q12" s="4"/>
      <c r="R12" s="13"/>
      <c r="S12" s="4"/>
      <c r="T12" s="4">
        <f>SUM(OSRRefT13x_0)</f>
        <v>496002.20000000007</v>
      </c>
      <c r="U12" s="4"/>
      <c r="V12" s="13"/>
      <c r="W12" s="4"/>
      <c r="X12" s="4">
        <f t="shared" ref="X12:X19" si="2">+P12-T12</f>
        <v>-496002.20000000007</v>
      </c>
      <c r="Y12" s="4"/>
      <c r="Z12" s="13">
        <f t="shared" ref="Z12:Z19" si="3">IF(T12=0,0,X12/T12)</f>
        <v>-1</v>
      </c>
    </row>
    <row r="13" spans="1:26" s="23" customFormat="1" hidden="1" outlineLevel="1" x14ac:dyDescent="0.25">
      <c r="A13" s="44"/>
      <c r="B13" s="10" t="str">
        <f>CONCATENATE("          ", "4032", " - ", "TAXABLE SALES-JUICE")</f>
        <v xml:space="preserve">          4032 - TAXABLE SALES-JUICE</v>
      </c>
      <c r="C13" s="10"/>
      <c r="D13" s="2">
        <f t="shared" ref="D13:D19" si="4">0</f>
        <v>0</v>
      </c>
      <c r="E13" s="2"/>
      <c r="F13" s="19"/>
      <c r="G13" s="2"/>
      <c r="H13" s="2">
        <f t="shared" ref="H13:H15" si="5">0</f>
        <v>0</v>
      </c>
      <c r="I13" s="2"/>
      <c r="J13" s="19"/>
      <c r="K13" s="2"/>
      <c r="L13" s="2">
        <f t="shared" si="0"/>
        <v>0</v>
      </c>
      <c r="M13" s="2"/>
      <c r="N13" s="19">
        <f t="shared" si="1"/>
        <v>0</v>
      </c>
      <c r="O13" s="10"/>
      <c r="P13" s="2">
        <f t="shared" ref="P13:P19" si="6">0</f>
        <v>0</v>
      </c>
      <c r="Q13" s="2"/>
      <c r="R13" s="19"/>
      <c r="S13" s="2"/>
      <c r="T13" s="2">
        <f>--104992.39</f>
        <v>104992.39</v>
      </c>
      <c r="U13" s="2"/>
      <c r="V13" s="19"/>
      <c r="W13" s="2"/>
      <c r="X13" s="2">
        <f t="shared" si="2"/>
        <v>-104992.39</v>
      </c>
      <c r="Y13" s="2"/>
      <c r="Z13" s="19">
        <f t="shared" si="3"/>
        <v>-1</v>
      </c>
    </row>
    <row r="14" spans="1:26" s="23" customFormat="1" hidden="1" outlineLevel="1" x14ac:dyDescent="0.25">
      <c r="A14" s="44"/>
      <c r="B14" s="10" t="str">
        <f>CONCATENATE("          ", "4034", " - ", "TAXABLE SALES-SODA")</f>
        <v xml:space="preserve">          4034 - TAXABLE SALES-SODA</v>
      </c>
      <c r="C14" s="10"/>
      <c r="D14" s="2">
        <f t="shared" si="4"/>
        <v>0</v>
      </c>
      <c r="E14" s="2"/>
      <c r="F14" s="19"/>
      <c r="G14" s="2"/>
      <c r="H14" s="2">
        <f t="shared" si="5"/>
        <v>0</v>
      </c>
      <c r="I14" s="2"/>
      <c r="J14" s="19"/>
      <c r="K14" s="2"/>
      <c r="L14" s="2">
        <f t="shared" si="0"/>
        <v>0</v>
      </c>
      <c r="M14" s="2"/>
      <c r="N14" s="19">
        <f t="shared" si="1"/>
        <v>0</v>
      </c>
      <c r="O14" s="10"/>
      <c r="P14" s="2">
        <f t="shared" si="6"/>
        <v>0</v>
      </c>
      <c r="Q14" s="2"/>
      <c r="R14" s="19"/>
      <c r="S14" s="2"/>
      <c r="T14" s="2">
        <f>--3121.95</f>
        <v>3121.95</v>
      </c>
      <c r="U14" s="2"/>
      <c r="V14" s="19"/>
      <c r="W14" s="2"/>
      <c r="X14" s="2">
        <f t="shared" si="2"/>
        <v>-3121.95</v>
      </c>
      <c r="Y14" s="2"/>
      <c r="Z14" s="19">
        <f t="shared" si="3"/>
        <v>-1</v>
      </c>
    </row>
    <row r="15" spans="1:26" s="23" customFormat="1" hidden="1" outlineLevel="1" x14ac:dyDescent="0.25">
      <c r="A15" s="44"/>
      <c r="B15" s="10" t="str">
        <f>CONCATENATE("          ", "4131", " - ", "NON-TAXABLE SALES-FOOD")</f>
        <v xml:space="preserve">          4131 - NON-TAXABLE SALES-FOOD</v>
      </c>
      <c r="C15" s="10"/>
      <c r="D15" s="2">
        <f t="shared" si="4"/>
        <v>0</v>
      </c>
      <c r="E15" s="2"/>
      <c r="F15" s="19"/>
      <c r="G15" s="2"/>
      <c r="H15" s="2">
        <f t="shared" si="5"/>
        <v>0</v>
      </c>
      <c r="I15" s="2"/>
      <c r="J15" s="19"/>
      <c r="K15" s="2"/>
      <c r="L15" s="2">
        <f t="shared" si="0"/>
        <v>0</v>
      </c>
      <c r="M15" s="2"/>
      <c r="N15" s="19">
        <f t="shared" si="1"/>
        <v>0</v>
      </c>
      <c r="O15" s="10"/>
      <c r="P15" s="2">
        <f t="shared" si="6"/>
        <v>0</v>
      </c>
      <c r="Q15" s="2"/>
      <c r="R15" s="19"/>
      <c r="S15" s="2"/>
      <c r="T15" s="2">
        <f>--2.48</f>
        <v>2.48</v>
      </c>
      <c r="U15" s="2"/>
      <c r="V15" s="19"/>
      <c r="W15" s="2"/>
      <c r="X15" s="2">
        <f t="shared" si="2"/>
        <v>-2.48</v>
      </c>
      <c r="Y15" s="2"/>
      <c r="Z15" s="19">
        <f t="shared" si="3"/>
        <v>-1</v>
      </c>
    </row>
    <row r="16" spans="1:26" s="23" customFormat="1" hidden="1" outlineLevel="1" x14ac:dyDescent="0.25">
      <c r="A16" s="44"/>
      <c r="B16" s="10" t="str">
        <f>CONCATENATE("          ", "4132", " - ", "NON-TAXABLE SALES-JUICE")</f>
        <v xml:space="preserve">          4132 - NON-TAXABLE SALES-JUICE</v>
      </c>
      <c r="C16" s="10"/>
      <c r="D16" s="2">
        <f t="shared" si="4"/>
        <v>0</v>
      </c>
      <c r="E16" s="2"/>
      <c r="F16" s="19"/>
      <c r="G16" s="2"/>
      <c r="H16" s="2">
        <f>--114.48</f>
        <v>114.48</v>
      </c>
      <c r="I16" s="2"/>
      <c r="J16" s="19"/>
      <c r="K16" s="2"/>
      <c r="L16" s="2">
        <f t="shared" si="0"/>
        <v>-114.48</v>
      </c>
      <c r="M16" s="2"/>
      <c r="N16" s="19">
        <f t="shared" si="1"/>
        <v>-1</v>
      </c>
      <c r="O16" s="10"/>
      <c r="P16" s="2">
        <f t="shared" si="6"/>
        <v>0</v>
      </c>
      <c r="Q16" s="2"/>
      <c r="R16" s="19"/>
      <c r="S16" s="2"/>
      <c r="T16" s="2">
        <f>--386208.28</f>
        <v>386208.28</v>
      </c>
      <c r="U16" s="2"/>
      <c r="V16" s="19"/>
      <c r="W16" s="2"/>
      <c r="X16" s="2">
        <f t="shared" si="2"/>
        <v>-386208.28</v>
      </c>
      <c r="Y16" s="2"/>
      <c r="Z16" s="19">
        <f t="shared" si="3"/>
        <v>-1</v>
      </c>
    </row>
    <row r="17" spans="1:26" s="23" customFormat="1" hidden="1" outlineLevel="1" x14ac:dyDescent="0.25">
      <c r="A17" s="44"/>
      <c r="B17" s="10" t="str">
        <f>CONCATENATE("          ", "4133", " - ", "NON-TAXABLE SALES-CANDY")</f>
        <v xml:space="preserve">          4133 - NON-TAXABLE SALES-CANDY</v>
      </c>
      <c r="C17" s="10"/>
      <c r="D17" s="2">
        <f t="shared" si="4"/>
        <v>0</v>
      </c>
      <c r="E17" s="2"/>
      <c r="F17" s="19"/>
      <c r="G17" s="2"/>
      <c r="H17" s="2">
        <f>0</f>
        <v>0</v>
      </c>
      <c r="I17" s="2"/>
      <c r="J17" s="19"/>
      <c r="K17" s="2"/>
      <c r="L17" s="2">
        <f t="shared" si="0"/>
        <v>0</v>
      </c>
      <c r="M17" s="2"/>
      <c r="N17" s="19">
        <f t="shared" si="1"/>
        <v>0</v>
      </c>
      <c r="O17" s="10"/>
      <c r="P17" s="2">
        <f t="shared" si="6"/>
        <v>0</v>
      </c>
      <c r="Q17" s="2"/>
      <c r="R17" s="19"/>
      <c r="S17" s="2"/>
      <c r="T17" s="2">
        <f>--1.59</f>
        <v>1.59</v>
      </c>
      <c r="U17" s="2"/>
      <c r="V17" s="19"/>
      <c r="W17" s="2"/>
      <c r="X17" s="2">
        <f t="shared" si="2"/>
        <v>-1.59</v>
      </c>
      <c r="Y17" s="2"/>
      <c r="Z17" s="19">
        <f t="shared" si="3"/>
        <v>-1</v>
      </c>
    </row>
    <row r="18" spans="1:26" s="23" customFormat="1" hidden="1" outlineLevel="1" x14ac:dyDescent="0.25">
      <c r="A18" s="44"/>
      <c r="B18" s="10" t="str">
        <f>CONCATENATE("          ", "4134", " - ", "NON-TAXABLE SALES-SODA")</f>
        <v xml:space="preserve">          4134 - NON-TAXABLE SALES-SODA</v>
      </c>
      <c r="C18" s="10"/>
      <c r="D18" s="2">
        <f t="shared" si="4"/>
        <v>0</v>
      </c>
      <c r="E18" s="2"/>
      <c r="F18" s="19"/>
      <c r="G18" s="2"/>
      <c r="H18" s="2">
        <f>--4.99</f>
        <v>4.99</v>
      </c>
      <c r="I18" s="2"/>
      <c r="J18" s="19"/>
      <c r="K18" s="2"/>
      <c r="L18" s="2">
        <f t="shared" si="0"/>
        <v>-4.99</v>
      </c>
      <c r="M18" s="2"/>
      <c r="N18" s="19">
        <f t="shared" si="1"/>
        <v>-1</v>
      </c>
      <c r="O18" s="10"/>
      <c r="P18" s="2">
        <f t="shared" si="6"/>
        <v>0</v>
      </c>
      <c r="Q18" s="2"/>
      <c r="R18" s="19"/>
      <c r="S18" s="2"/>
      <c r="T18" s="2">
        <f>--99.83</f>
        <v>99.83</v>
      </c>
      <c r="U18" s="2"/>
      <c r="V18" s="19"/>
      <c r="W18" s="2"/>
      <c r="X18" s="2">
        <f t="shared" si="2"/>
        <v>-99.83</v>
      </c>
      <c r="Y18" s="2"/>
      <c r="Z18" s="19">
        <f t="shared" si="3"/>
        <v>-1</v>
      </c>
    </row>
    <row r="19" spans="1:26" s="23" customFormat="1" hidden="1" outlineLevel="1" x14ac:dyDescent="0.25">
      <c r="A19" s="44"/>
      <c r="B19" s="10" t="str">
        <f>CONCATENATE("          ", "4137", " - ", "NON-TAXABLE SALES-WATER")</f>
        <v xml:space="preserve">          4137 - NON-TAXABLE SALES-WATER</v>
      </c>
      <c r="C19" s="10"/>
      <c r="D19" s="2">
        <f t="shared" si="4"/>
        <v>0</v>
      </c>
      <c r="E19" s="2"/>
      <c r="F19" s="19"/>
      <c r="G19" s="2"/>
      <c r="H19" s="2">
        <f>0</f>
        <v>0</v>
      </c>
      <c r="I19" s="2"/>
      <c r="J19" s="19"/>
      <c r="K19" s="2"/>
      <c r="L19" s="2">
        <f t="shared" si="0"/>
        <v>0</v>
      </c>
      <c r="M19" s="2"/>
      <c r="N19" s="19">
        <f t="shared" si="1"/>
        <v>0</v>
      </c>
      <c r="O19" s="10"/>
      <c r="P19" s="2">
        <f t="shared" si="6"/>
        <v>0</v>
      </c>
      <c r="Q19" s="2"/>
      <c r="R19" s="19"/>
      <c r="S19" s="2"/>
      <c r="T19" s="2">
        <f>--1575.68</f>
        <v>1575.68</v>
      </c>
      <c r="U19" s="2"/>
      <c r="V19" s="19"/>
      <c r="W19" s="2"/>
      <c r="X19" s="2">
        <f t="shared" si="2"/>
        <v>-1575.68</v>
      </c>
      <c r="Y19" s="2"/>
      <c r="Z19" s="19">
        <f t="shared" si="3"/>
        <v>-1</v>
      </c>
    </row>
    <row r="20" spans="1:26" x14ac:dyDescent="0.25">
      <c r="A20" s="9"/>
      <c r="B20" s="11"/>
      <c r="C20" s="9"/>
      <c r="D20" s="3"/>
      <c r="E20" s="3"/>
      <c r="F20" s="8"/>
      <c r="G20" s="3"/>
      <c r="H20" s="3"/>
      <c r="I20" s="3"/>
      <c r="J20" s="8"/>
      <c r="K20" s="3"/>
      <c r="L20" s="3"/>
      <c r="M20" s="3"/>
      <c r="N20" s="8"/>
      <c r="P20" s="3"/>
      <c r="Q20" s="3"/>
      <c r="R20" s="8"/>
      <c r="S20" s="3"/>
      <c r="T20" s="3"/>
      <c r="U20" s="3"/>
      <c r="V20" s="8"/>
      <c r="W20" s="3"/>
      <c r="X20" s="3"/>
      <c r="Y20" s="3"/>
      <c r="Z20" s="8"/>
    </row>
    <row r="21" spans="1:26" s="24" customFormat="1" collapsed="1" x14ac:dyDescent="0.25">
      <c r="A21" s="11"/>
      <c r="B21" s="29" t="s">
        <v>256</v>
      </c>
      <c r="C21" s="11"/>
      <c r="D21" s="4">
        <f>SUM(OSRRefD16x_0)</f>
        <v>108</v>
      </c>
      <c r="E21" s="4"/>
      <c r="F21" s="13">
        <f t="shared" ref="F21:F23" si="7">IF(D$12=0,0,D21/D$12)</f>
        <v>0</v>
      </c>
      <c r="G21" s="4"/>
      <c r="H21" s="4">
        <f>SUM(OSRRefH16x_0)</f>
        <v>1892</v>
      </c>
      <c r="I21" s="4"/>
      <c r="J21" s="13">
        <f t="shared" ref="J21:J23" si="8">IF(H$12=0,0,H21/H$12)</f>
        <v>15.836611701682431</v>
      </c>
      <c r="K21" s="4"/>
      <c r="L21" s="4">
        <f t="shared" ref="L21:L23" si="9">+D21-H21</f>
        <v>-1784</v>
      </c>
      <c r="M21" s="4"/>
      <c r="N21" s="13">
        <f t="shared" ref="N21:N23" si="10">IF(H21=0,0,L21/H21)</f>
        <v>-0.94291754756871038</v>
      </c>
      <c r="O21" s="11"/>
      <c r="P21" s="4">
        <f>SUM(OSRRefP16x_0)</f>
        <v>-505.59</v>
      </c>
      <c r="Q21" s="4"/>
      <c r="R21" s="13">
        <f t="shared" ref="R21:R23" si="11">IF(P$12=0,0,P21/P$12)</f>
        <v>0</v>
      </c>
      <c r="S21" s="4"/>
      <c r="T21" s="4">
        <f>SUM(OSRRefT16x_0)</f>
        <v>243050.99</v>
      </c>
      <c r="U21" s="4"/>
      <c r="V21" s="13">
        <f t="shared" ref="V21:V23" si="12">IF(T$12=0,0,T21/T$12)</f>
        <v>0.49001998378232992</v>
      </c>
      <c r="W21" s="4"/>
      <c r="X21" s="4">
        <f t="shared" ref="X21:X23" si="13">+P21-T21</f>
        <v>-243556.58</v>
      </c>
      <c r="Y21" s="4"/>
      <c r="Z21" s="13">
        <f t="shared" ref="Z21:Z23" si="14">IF(T21=0,0,X21/T21)</f>
        <v>-1.0020801807884017</v>
      </c>
    </row>
    <row r="22" spans="1:26" s="23" customFormat="1" hidden="1" outlineLevel="1" x14ac:dyDescent="0.25">
      <c r="A22" s="44"/>
      <c r="B22" s="10" t="str">
        <f>CONCATENATE("          ", "5053", " - ", "PURCHASES @ COST-FOOD")</f>
        <v xml:space="preserve">          5053 - PURCHASES @ COST-FOOD</v>
      </c>
      <c r="C22" s="10"/>
      <c r="D22" s="2">
        <v>108</v>
      </c>
      <c r="E22" s="2"/>
      <c r="F22" s="19">
        <f t="shared" si="7"/>
        <v>0</v>
      </c>
      <c r="G22" s="2"/>
      <c r="H22" s="2">
        <v>-72</v>
      </c>
      <c r="I22" s="2"/>
      <c r="J22" s="19">
        <f t="shared" si="8"/>
        <v>-0.60266175608939487</v>
      </c>
      <c r="K22" s="2"/>
      <c r="L22" s="2">
        <f t="shared" si="9"/>
        <v>180</v>
      </c>
      <c r="M22" s="2"/>
      <c r="N22" s="19">
        <f t="shared" si="10"/>
        <v>-2.5</v>
      </c>
      <c r="O22" s="10"/>
      <c r="P22" s="2">
        <v>-505.59</v>
      </c>
      <c r="Q22" s="2"/>
      <c r="R22" s="19">
        <f t="shared" si="11"/>
        <v>0</v>
      </c>
      <c r="S22" s="2"/>
      <c r="T22" s="2">
        <v>236675</v>
      </c>
      <c r="U22" s="2"/>
      <c r="V22" s="19">
        <f t="shared" si="12"/>
        <v>0.47716522225103025</v>
      </c>
      <c r="W22" s="2"/>
      <c r="X22" s="2">
        <f t="shared" si="13"/>
        <v>-237180.59</v>
      </c>
      <c r="Y22" s="2"/>
      <c r="Z22" s="19">
        <f t="shared" si="14"/>
        <v>-1.0021362205556141</v>
      </c>
    </row>
    <row r="23" spans="1:26" s="23" customFormat="1" hidden="1" outlineLevel="1" x14ac:dyDescent="0.25">
      <c r="A23" s="44"/>
      <c r="B23" s="10" t="str">
        <f>CONCATENATE("          ", "5059", " - ", "PURCHASES @ COST-FOOD")</f>
        <v xml:space="preserve">          5059 - PURCHASES @ COST-FOOD</v>
      </c>
      <c r="C23" s="10"/>
      <c r="D23" s="2"/>
      <c r="E23" s="2"/>
      <c r="F23" s="19">
        <f t="shared" si="7"/>
        <v>0</v>
      </c>
      <c r="G23" s="2"/>
      <c r="H23" s="2">
        <v>1964</v>
      </c>
      <c r="I23" s="2"/>
      <c r="J23" s="19">
        <f t="shared" si="8"/>
        <v>16.439273457771826</v>
      </c>
      <c r="K23" s="2"/>
      <c r="L23" s="2">
        <f t="shared" si="9"/>
        <v>-1964</v>
      </c>
      <c r="M23" s="2"/>
      <c r="N23" s="19">
        <f t="shared" si="10"/>
        <v>-1</v>
      </c>
      <c r="O23" s="10"/>
      <c r="P23" s="2"/>
      <c r="Q23" s="2"/>
      <c r="R23" s="19">
        <f t="shared" si="11"/>
        <v>0</v>
      </c>
      <c r="S23" s="2"/>
      <c r="T23" s="2">
        <v>6375.99</v>
      </c>
      <c r="U23" s="2"/>
      <c r="V23" s="19">
        <f t="shared" si="12"/>
        <v>1.2854761531299658E-2</v>
      </c>
      <c r="W23" s="2"/>
      <c r="X23" s="2">
        <f t="shared" si="13"/>
        <v>-6375.99</v>
      </c>
      <c r="Y23" s="2"/>
      <c r="Z23" s="19">
        <f t="shared" si="14"/>
        <v>-1</v>
      </c>
    </row>
    <row r="24" spans="1:26" x14ac:dyDescent="0.25">
      <c r="A24" s="9"/>
      <c r="B24" s="11"/>
      <c r="C24" s="11"/>
      <c r="D24" s="3"/>
      <c r="E24" s="3"/>
      <c r="F24" s="8"/>
      <c r="G24" s="3"/>
      <c r="H24" s="3"/>
      <c r="I24" s="3"/>
      <c r="J24" s="8"/>
      <c r="K24" s="3"/>
      <c r="L24" s="3"/>
      <c r="M24" s="3"/>
      <c r="N24" s="8"/>
      <c r="O24" s="11"/>
      <c r="P24" s="3"/>
      <c r="Q24" s="3"/>
      <c r="R24" s="8"/>
      <c r="S24" s="3"/>
      <c r="T24" s="3"/>
      <c r="U24" s="3"/>
      <c r="V24" s="8"/>
      <c r="W24" s="3"/>
      <c r="X24" s="3"/>
      <c r="Y24" s="3"/>
      <c r="Z24" s="8"/>
    </row>
    <row r="25" spans="1:26" s="24" customFormat="1" x14ac:dyDescent="0.25">
      <c r="A25" s="11"/>
      <c r="B25" s="28" t="s">
        <v>107</v>
      </c>
      <c r="C25" s="28"/>
      <c r="D25" s="21">
        <f>D12-D21</f>
        <v>-108</v>
      </c>
      <c r="E25" s="14"/>
      <c r="F25" s="22">
        <f>IF(D$12=0,0,D25/D$12)</f>
        <v>0</v>
      </c>
      <c r="G25" s="14"/>
      <c r="H25" s="21">
        <f>H12-H21</f>
        <v>-1772.53</v>
      </c>
      <c r="I25" s="14"/>
      <c r="J25" s="22">
        <f>IF(H$12=0,0,H25/H$12)</f>
        <v>-14.836611701682431</v>
      </c>
      <c r="K25" s="15"/>
      <c r="L25" s="21">
        <f>+D25-H25</f>
        <v>1664.53</v>
      </c>
      <c r="M25" s="15"/>
      <c r="N25" s="22">
        <f>IF(H25=0,0,L25/H25)</f>
        <v>-0.93907014267741584</v>
      </c>
      <c r="O25" s="29"/>
      <c r="P25" s="21">
        <f>P12-P21</f>
        <v>505.59</v>
      </c>
      <c r="Q25" s="14"/>
      <c r="R25" s="22">
        <f>IF(P$12=0,0,P25/P$12)</f>
        <v>0</v>
      </c>
      <c r="S25" s="14"/>
      <c r="T25" s="21">
        <f>T12-T21</f>
        <v>252951.21000000008</v>
      </c>
      <c r="U25" s="14"/>
      <c r="V25" s="22">
        <f>IF(T$12=0,0,T25/T$12)</f>
        <v>0.50998001621767008</v>
      </c>
      <c r="W25" s="15"/>
      <c r="X25" s="21">
        <f>+P25-T25</f>
        <v>-252445.62000000008</v>
      </c>
      <c r="Y25" s="15"/>
      <c r="Z25" s="22">
        <f>IF(T25=0,0,X25/T25)</f>
        <v>-0.99800123509984395</v>
      </c>
    </row>
    <row r="26" spans="1:26" x14ac:dyDescent="0.25">
      <c r="A26" s="9"/>
      <c r="B26" s="11"/>
      <c r="C26" s="9"/>
      <c r="D26" s="1"/>
      <c r="E26" s="1"/>
      <c r="F26" s="5"/>
      <c r="G26" s="1"/>
      <c r="H26" s="1"/>
      <c r="I26" s="1"/>
      <c r="J26" s="5"/>
      <c r="K26" s="1"/>
      <c r="L26" s="1"/>
      <c r="M26" s="1"/>
      <c r="N26" s="5"/>
      <c r="O26" s="37"/>
      <c r="P26" s="1"/>
      <c r="Q26" s="1"/>
      <c r="R26" s="5"/>
      <c r="S26" s="1"/>
      <c r="T26" s="1"/>
      <c r="U26" s="1"/>
      <c r="V26" s="5"/>
      <c r="W26" s="1"/>
      <c r="X26" s="1"/>
      <c r="Y26" s="1"/>
      <c r="Z26" s="5"/>
    </row>
    <row r="27" spans="1:26" s="24" customFormat="1" x14ac:dyDescent="0.25">
      <c r="A27" s="11"/>
      <c r="B27" s="29" t="s">
        <v>294</v>
      </c>
      <c r="C27" s="11"/>
      <c r="D27" s="20">
        <f>SUM(OSRRefD22x_0)</f>
        <v>96</v>
      </c>
      <c r="E27" s="20"/>
      <c r="F27" s="32">
        <f t="shared" ref="F27:F36" si="15">IF(D$12=0,0,D27/D$12)</f>
        <v>0</v>
      </c>
      <c r="G27" s="20"/>
      <c r="H27" s="20">
        <f>SUM(OSRRefH22x_0)</f>
        <v>6060.329999999999</v>
      </c>
      <c r="I27" s="20"/>
      <c r="J27" s="32">
        <f t="shared" ref="J27:J36" si="16">IF(H$12=0,0,H27/H$12)</f>
        <v>50.726793337239464</v>
      </c>
      <c r="K27" s="4"/>
      <c r="L27" s="20">
        <f t="shared" ref="L27:L36" si="17">+D27-H27</f>
        <v>-5964.329999999999</v>
      </c>
      <c r="M27" s="4"/>
      <c r="N27" s="32">
        <f t="shared" ref="N27:N36" si="18">IF(H27=0,0,L27/H27)</f>
        <v>-0.98415927845513362</v>
      </c>
      <c r="O27" s="11"/>
      <c r="P27" s="20">
        <f>SUM(OSRRefP22x_0)</f>
        <v>46930.159999999996</v>
      </c>
      <c r="Q27" s="20"/>
      <c r="R27" s="32">
        <f t="shared" ref="R27:R36" si="19">IF(P$12=0,0,P27/P$12)</f>
        <v>0</v>
      </c>
      <c r="S27" s="20"/>
      <c r="T27" s="20">
        <f>SUM(OSRRefT22x_0)</f>
        <v>196130.65</v>
      </c>
      <c r="U27" s="20"/>
      <c r="V27" s="32">
        <f t="shared" ref="V27:V36" si="20">IF(T$12=0,0,T27/T$12)</f>
        <v>0.39542294368855613</v>
      </c>
      <c r="W27" s="4"/>
      <c r="X27" s="20">
        <f t="shared" ref="X27:X36" si="21">+P27-T27</f>
        <v>-149200.49</v>
      </c>
      <c r="Y27" s="4"/>
      <c r="Z27" s="32">
        <f t="shared" ref="Z27:Z36" si="22">IF(T27=0,0,X27/T27)</f>
        <v>-0.76071990787773347</v>
      </c>
    </row>
    <row r="28" spans="1:26" s="27" customFormat="1" outlineLevel="1" collapsed="1" x14ac:dyDescent="0.25">
      <c r="A28" s="26"/>
      <c r="B28" s="12" t="str">
        <f>CONCATENATE("     ","*Benefits                                         ")</f>
        <v xml:space="preserve">     *Benefits                                         </v>
      </c>
      <c r="C28" s="12"/>
      <c r="D28" s="1">
        <f>SUM(OSRRefD22_0x_0)</f>
        <v>0</v>
      </c>
      <c r="E28" s="1"/>
      <c r="F28" s="5">
        <f t="shared" si="15"/>
        <v>0</v>
      </c>
      <c r="G28" s="1"/>
      <c r="H28" s="1">
        <f>SUM(OSRRefH22_0x_0)</f>
        <v>3402.9999999999995</v>
      </c>
      <c r="I28" s="1"/>
      <c r="J28" s="5">
        <f t="shared" si="16"/>
        <v>28.484138277391811</v>
      </c>
      <c r="K28" s="1"/>
      <c r="L28" s="1">
        <f t="shared" si="17"/>
        <v>-3402.9999999999995</v>
      </c>
      <c r="M28" s="1"/>
      <c r="N28" s="5">
        <f t="shared" si="18"/>
        <v>-1</v>
      </c>
      <c r="O28" s="12"/>
      <c r="P28" s="1">
        <f>SUM(OSRRefP22_0x_0)</f>
        <v>21787.579999999998</v>
      </c>
      <c r="Q28" s="1"/>
      <c r="R28" s="5">
        <f t="shared" si="19"/>
        <v>0</v>
      </c>
      <c r="S28" s="1"/>
      <c r="T28" s="1">
        <f>SUM(OSRRefT22_0x_0)</f>
        <v>50448.2</v>
      </c>
      <c r="U28" s="1"/>
      <c r="V28" s="5">
        <f t="shared" si="20"/>
        <v>0.10170962951374005</v>
      </c>
      <c r="W28" s="1"/>
      <c r="X28" s="1">
        <f t="shared" si="21"/>
        <v>-28660.62</v>
      </c>
      <c r="Y28" s="1"/>
      <c r="Z28" s="5">
        <f t="shared" si="22"/>
        <v>-0.56811977434279126</v>
      </c>
    </row>
    <row r="29" spans="1:26" s="23" customFormat="1" hidden="1" outlineLevel="2" x14ac:dyDescent="0.25">
      <c r="A29" s="25"/>
      <c r="B29" s="10" t="str">
        <f>CONCATENATE("          ", "6111", " - ", "F.I.C.A.")</f>
        <v xml:space="preserve">          6111 - F.I.C.A.</v>
      </c>
      <c r="C29" s="10"/>
      <c r="D29" s="6"/>
      <c r="E29" s="2"/>
      <c r="F29" s="7">
        <f t="shared" si="15"/>
        <v>0</v>
      </c>
      <c r="G29" s="2"/>
      <c r="H29" s="6">
        <v>357.68</v>
      </c>
      <c r="I29" s="2"/>
      <c r="J29" s="7">
        <f t="shared" si="16"/>
        <v>2.993889679417427</v>
      </c>
      <c r="K29" s="2"/>
      <c r="L29" s="6">
        <f t="shared" si="17"/>
        <v>-357.68</v>
      </c>
      <c r="M29" s="2"/>
      <c r="N29" s="7">
        <f t="shared" si="18"/>
        <v>-1</v>
      </c>
      <c r="O29" s="10"/>
      <c r="P29" s="6">
        <v>1924.35</v>
      </c>
      <c r="Q29" s="2"/>
      <c r="R29" s="7">
        <f t="shared" si="19"/>
        <v>0</v>
      </c>
      <c r="S29" s="2"/>
      <c r="T29" s="6">
        <v>5769.82</v>
      </c>
      <c r="U29" s="2"/>
      <c r="V29" s="7">
        <f t="shared" si="20"/>
        <v>1.1632650016471699E-2</v>
      </c>
      <c r="W29" s="2"/>
      <c r="X29" s="6">
        <f t="shared" si="21"/>
        <v>-3845.47</v>
      </c>
      <c r="Y29" s="2"/>
      <c r="Z29" s="7">
        <f t="shared" si="22"/>
        <v>-0.66648006350284761</v>
      </c>
    </row>
    <row r="30" spans="1:26" s="23" customFormat="1" hidden="1" outlineLevel="2" x14ac:dyDescent="0.25">
      <c r="A30" s="25"/>
      <c r="B30" s="10" t="str">
        <f>CONCATENATE("          ", "6112", " - ", "COMPENSATION INSURANCE")</f>
        <v xml:space="preserve">          6112 - COMPENSATION INSURANCE</v>
      </c>
      <c r="C30" s="10"/>
      <c r="D30" s="6"/>
      <c r="E30" s="2"/>
      <c r="F30" s="7">
        <f t="shared" si="15"/>
        <v>0</v>
      </c>
      <c r="G30" s="2"/>
      <c r="H30" s="6">
        <v>88.84</v>
      </c>
      <c r="I30" s="2"/>
      <c r="J30" s="7">
        <f t="shared" si="16"/>
        <v>0.74361764459697</v>
      </c>
      <c r="K30" s="2"/>
      <c r="L30" s="6">
        <f t="shared" si="17"/>
        <v>-88.84</v>
      </c>
      <c r="M30" s="2"/>
      <c r="N30" s="7">
        <f t="shared" si="18"/>
        <v>-1</v>
      </c>
      <c r="O30" s="10"/>
      <c r="P30" s="6">
        <v>499.06</v>
      </c>
      <c r="Q30" s="2"/>
      <c r="R30" s="7">
        <f t="shared" si="19"/>
        <v>0</v>
      </c>
      <c r="S30" s="2"/>
      <c r="T30" s="6">
        <v>2033.9</v>
      </c>
      <c r="U30" s="2"/>
      <c r="V30" s="7">
        <f t="shared" si="20"/>
        <v>4.1005866506237266E-3</v>
      </c>
      <c r="W30" s="2"/>
      <c r="X30" s="6">
        <f t="shared" si="21"/>
        <v>-1534.8400000000001</v>
      </c>
      <c r="Y30" s="2"/>
      <c r="Z30" s="7">
        <f t="shared" si="22"/>
        <v>-0.75462903780913515</v>
      </c>
    </row>
    <row r="31" spans="1:26" s="23" customFormat="1" hidden="1" outlineLevel="2" x14ac:dyDescent="0.25">
      <c r="A31" s="25"/>
      <c r="B31" s="10" t="str">
        <f>CONCATENATE("          ", "6113", " - ", "GROUP INSURANCE")</f>
        <v xml:space="preserve">          6113 - GROUP INSURANCE</v>
      </c>
      <c r="C31" s="10"/>
      <c r="D31" s="6"/>
      <c r="E31" s="2"/>
      <c r="F31" s="7">
        <f t="shared" si="15"/>
        <v>0</v>
      </c>
      <c r="G31" s="2"/>
      <c r="H31" s="6">
        <v>2021.26</v>
      </c>
      <c r="I31" s="2"/>
      <c r="J31" s="7">
        <f t="shared" si="16"/>
        <v>16.918556959906251</v>
      </c>
      <c r="K31" s="2"/>
      <c r="L31" s="6">
        <f t="shared" si="17"/>
        <v>-2021.26</v>
      </c>
      <c r="M31" s="2"/>
      <c r="N31" s="7">
        <f t="shared" si="18"/>
        <v>-1</v>
      </c>
      <c r="O31" s="10"/>
      <c r="P31" s="6">
        <v>12083.19</v>
      </c>
      <c r="Q31" s="2"/>
      <c r="R31" s="7">
        <f t="shared" si="19"/>
        <v>0</v>
      </c>
      <c r="S31" s="2"/>
      <c r="T31" s="6">
        <v>24247.38</v>
      </c>
      <c r="U31" s="2"/>
      <c r="V31" s="7">
        <f t="shared" si="20"/>
        <v>4.888562994277041E-2</v>
      </c>
      <c r="W31" s="2"/>
      <c r="X31" s="6">
        <f t="shared" si="21"/>
        <v>-12164.19</v>
      </c>
      <c r="Y31" s="2"/>
      <c r="Z31" s="7">
        <f t="shared" si="22"/>
        <v>-0.50167028355228482</v>
      </c>
    </row>
    <row r="32" spans="1:26" s="23" customFormat="1" hidden="1" outlineLevel="2" x14ac:dyDescent="0.25">
      <c r="A32" s="25"/>
      <c r="B32" s="10" t="str">
        <f>CONCATENATE("          ", "6114", " - ", "STATE UNEMPLOYMENT INSURANCE")</f>
        <v xml:space="preserve">          6114 - STATE UNEMPLOYMENT INSURANCE</v>
      </c>
      <c r="C32" s="10"/>
      <c r="D32" s="6"/>
      <c r="E32" s="2"/>
      <c r="F32" s="7">
        <f t="shared" si="15"/>
        <v>0</v>
      </c>
      <c r="G32" s="2"/>
      <c r="H32" s="6">
        <v>-299.05</v>
      </c>
      <c r="I32" s="2"/>
      <c r="J32" s="7">
        <f t="shared" si="16"/>
        <v>-2.5031388633129659</v>
      </c>
      <c r="K32" s="2"/>
      <c r="L32" s="6">
        <f t="shared" si="17"/>
        <v>299.05</v>
      </c>
      <c r="M32" s="2"/>
      <c r="N32" s="7">
        <f t="shared" si="18"/>
        <v>-1</v>
      </c>
      <c r="O32" s="10"/>
      <c r="P32" s="6">
        <v>70.14</v>
      </c>
      <c r="Q32" s="2"/>
      <c r="R32" s="7">
        <f t="shared" si="19"/>
        <v>0</v>
      </c>
      <c r="S32" s="2"/>
      <c r="T32" s="6">
        <v>0</v>
      </c>
      <c r="U32" s="2"/>
      <c r="V32" s="7">
        <f t="shared" si="20"/>
        <v>0</v>
      </c>
      <c r="W32" s="2"/>
      <c r="X32" s="6">
        <f t="shared" si="21"/>
        <v>70.14</v>
      </c>
      <c r="Y32" s="2"/>
      <c r="Z32" s="7">
        <f t="shared" si="22"/>
        <v>0</v>
      </c>
    </row>
    <row r="33" spans="1:26" s="23" customFormat="1" hidden="1" outlineLevel="2" x14ac:dyDescent="0.25">
      <c r="A33" s="25"/>
      <c r="B33" s="10" t="str">
        <f>CONCATENATE("          ", "6115", " - ", "P.E.R.S.")</f>
        <v xml:space="preserve">          6115 - P.E.R.S.</v>
      </c>
      <c r="C33" s="10"/>
      <c r="D33" s="6"/>
      <c r="E33" s="2"/>
      <c r="F33" s="7">
        <f t="shared" si="15"/>
        <v>0</v>
      </c>
      <c r="G33" s="2"/>
      <c r="H33" s="6">
        <v>568.97</v>
      </c>
      <c r="I33" s="2"/>
      <c r="J33" s="7">
        <f t="shared" si="16"/>
        <v>4.7624508244747634</v>
      </c>
      <c r="K33" s="2"/>
      <c r="L33" s="6">
        <f t="shared" si="17"/>
        <v>-568.97</v>
      </c>
      <c r="M33" s="2"/>
      <c r="N33" s="7">
        <f t="shared" si="18"/>
        <v>-1</v>
      </c>
      <c r="O33" s="10"/>
      <c r="P33" s="6">
        <v>3490.92</v>
      </c>
      <c r="Q33" s="2"/>
      <c r="R33" s="7">
        <f t="shared" si="19"/>
        <v>0</v>
      </c>
      <c r="S33" s="2"/>
      <c r="T33" s="6">
        <v>7629.88</v>
      </c>
      <c r="U33" s="2"/>
      <c r="V33" s="7">
        <f t="shared" si="20"/>
        <v>1.5382754350686347E-2</v>
      </c>
      <c r="W33" s="2"/>
      <c r="X33" s="6">
        <f t="shared" si="21"/>
        <v>-4138.96</v>
      </c>
      <c r="Y33" s="2"/>
      <c r="Z33" s="7">
        <f t="shared" si="22"/>
        <v>-0.54246724719130579</v>
      </c>
    </row>
    <row r="34" spans="1:26" s="23" customFormat="1" hidden="1" outlineLevel="2" x14ac:dyDescent="0.25">
      <c r="A34" s="25"/>
      <c r="B34" s="10" t="str">
        <f>CONCATENATE("          ", "6118", " - ", "VACATION")</f>
        <v xml:space="preserve">          6118 - VACATION</v>
      </c>
      <c r="C34" s="10"/>
      <c r="D34" s="6"/>
      <c r="E34" s="2"/>
      <c r="F34" s="7">
        <f t="shared" si="15"/>
        <v>0</v>
      </c>
      <c r="G34" s="2"/>
      <c r="H34" s="6">
        <v>407.06</v>
      </c>
      <c r="I34" s="2"/>
      <c r="J34" s="7">
        <f t="shared" si="16"/>
        <v>3.407215200468737</v>
      </c>
      <c r="K34" s="2"/>
      <c r="L34" s="6">
        <f t="shared" si="17"/>
        <v>-407.06</v>
      </c>
      <c r="M34" s="2"/>
      <c r="N34" s="7">
        <f t="shared" si="18"/>
        <v>-1</v>
      </c>
      <c r="O34" s="10"/>
      <c r="P34" s="6">
        <v>2035.3</v>
      </c>
      <c r="Q34" s="2"/>
      <c r="R34" s="7">
        <f t="shared" si="19"/>
        <v>0</v>
      </c>
      <c r="S34" s="2"/>
      <c r="T34" s="6">
        <v>5600.67</v>
      </c>
      <c r="U34" s="2"/>
      <c r="V34" s="7">
        <f t="shared" si="20"/>
        <v>1.1291623303283734E-2</v>
      </c>
      <c r="W34" s="2"/>
      <c r="X34" s="6">
        <f t="shared" si="21"/>
        <v>-3565.37</v>
      </c>
      <c r="Y34" s="2"/>
      <c r="Z34" s="7">
        <f t="shared" si="22"/>
        <v>-0.63659704999580402</v>
      </c>
    </row>
    <row r="35" spans="1:26" s="23" customFormat="1" hidden="1" outlineLevel="2" x14ac:dyDescent="0.25">
      <c r="A35" s="25"/>
      <c r="B35" s="10" t="str">
        <f>CONCATENATE("          ", "6119", " - ", "SICK LEAVE")</f>
        <v xml:space="preserve">          6119 - SICK LEAVE</v>
      </c>
      <c r="C35" s="10"/>
      <c r="D35" s="6"/>
      <c r="E35" s="2"/>
      <c r="F35" s="7">
        <f t="shared" si="15"/>
        <v>0</v>
      </c>
      <c r="G35" s="2"/>
      <c r="H35" s="6">
        <v>256.76</v>
      </c>
      <c r="I35" s="2"/>
      <c r="J35" s="7">
        <f t="shared" si="16"/>
        <v>2.149158784632125</v>
      </c>
      <c r="K35" s="2"/>
      <c r="L35" s="6">
        <f t="shared" si="17"/>
        <v>-256.76</v>
      </c>
      <c r="M35" s="2"/>
      <c r="N35" s="7">
        <f t="shared" si="18"/>
        <v>-1</v>
      </c>
      <c r="O35" s="10"/>
      <c r="P35" s="6">
        <v>1283.8</v>
      </c>
      <c r="Q35" s="2"/>
      <c r="R35" s="7">
        <f t="shared" si="19"/>
        <v>0</v>
      </c>
      <c r="S35" s="2"/>
      <c r="T35" s="6">
        <v>3742.3</v>
      </c>
      <c r="U35" s="2"/>
      <c r="V35" s="7">
        <f t="shared" si="20"/>
        <v>7.5449262120208327E-3</v>
      </c>
      <c r="W35" s="2"/>
      <c r="X35" s="6">
        <f t="shared" si="21"/>
        <v>-2458.5</v>
      </c>
      <c r="Y35" s="2"/>
      <c r="Z35" s="7">
        <f t="shared" si="22"/>
        <v>-0.65694893514683483</v>
      </c>
    </row>
    <row r="36" spans="1:26" s="23" customFormat="1" hidden="1" outlineLevel="2" x14ac:dyDescent="0.25">
      <c r="A36" s="25"/>
      <c r="B36" s="10" t="str">
        <f>CONCATENATE("          ", "6156", " - ", "EMPLOYEE MEALS")</f>
        <v xml:space="preserve">          6156 - EMPLOYEE MEALS</v>
      </c>
      <c r="C36" s="10"/>
      <c r="D36" s="6"/>
      <c r="E36" s="2"/>
      <c r="F36" s="7">
        <f t="shared" si="15"/>
        <v>0</v>
      </c>
      <c r="G36" s="2"/>
      <c r="H36" s="6">
        <v>1.48</v>
      </c>
      <c r="I36" s="2"/>
      <c r="J36" s="7">
        <f t="shared" si="16"/>
        <v>1.2388047208504227E-2</v>
      </c>
      <c r="K36" s="2"/>
      <c r="L36" s="6">
        <f t="shared" si="17"/>
        <v>-1.48</v>
      </c>
      <c r="M36" s="2"/>
      <c r="N36" s="7">
        <f t="shared" si="18"/>
        <v>-1</v>
      </c>
      <c r="O36" s="10"/>
      <c r="P36" s="6">
        <v>400.82</v>
      </c>
      <c r="Q36" s="2"/>
      <c r="R36" s="7">
        <f t="shared" si="19"/>
        <v>0</v>
      </c>
      <c r="S36" s="2"/>
      <c r="T36" s="6">
        <v>1424.25</v>
      </c>
      <c r="U36" s="2"/>
      <c r="V36" s="7">
        <f t="shared" si="20"/>
        <v>2.8714590378832992E-3</v>
      </c>
      <c r="W36" s="2"/>
      <c r="X36" s="6">
        <f t="shared" si="21"/>
        <v>-1023.4300000000001</v>
      </c>
      <c r="Y36" s="2"/>
      <c r="Z36" s="7">
        <f t="shared" si="22"/>
        <v>-0.71857468843250838</v>
      </c>
    </row>
    <row r="37" spans="1:26" s="27" customFormat="1" outlineLevel="1" collapsed="1" x14ac:dyDescent="0.25">
      <c r="A37" s="26"/>
      <c r="B37" s="12" t="str">
        <f>CONCATENATE("     ","*Payroll                                          ")</f>
        <v xml:space="preserve">     *Payroll                                          </v>
      </c>
      <c r="C37" s="12"/>
      <c r="D37" s="1">
        <f>SUM(OSRRefD22_1x_0)</f>
        <v>0</v>
      </c>
      <c r="E37" s="1"/>
      <c r="F37" s="5">
        <f t="shared" ref="F37:F43" si="23">IF(D$12=0,0,D37/D$12)</f>
        <v>0</v>
      </c>
      <c r="G37" s="1"/>
      <c r="H37" s="1">
        <f>SUM(OSRRefH22_1x_0)</f>
        <v>2452.81</v>
      </c>
      <c r="I37" s="1"/>
      <c r="J37" s="5">
        <f t="shared" ref="J37:J43" si="24">IF(H$12=0,0,H37/H$12)</f>
        <v>20.530760860467062</v>
      </c>
      <c r="K37" s="1"/>
      <c r="L37" s="1">
        <f t="shared" ref="L37:L43" si="25">+D37-H37</f>
        <v>-2452.81</v>
      </c>
      <c r="M37" s="1"/>
      <c r="N37" s="5">
        <f t="shared" ref="N37:N43" si="26">IF(H37=0,0,L37/H37)</f>
        <v>-1</v>
      </c>
      <c r="O37" s="12"/>
      <c r="P37" s="1">
        <f>SUM(OSRRefP22_1x_0)</f>
        <v>23136.42</v>
      </c>
      <c r="Q37" s="1"/>
      <c r="R37" s="5">
        <f t="shared" ref="R37:R43" si="27">IF(P$12=0,0,P37/P$12)</f>
        <v>0</v>
      </c>
      <c r="S37" s="1"/>
      <c r="T37" s="1">
        <f>SUM(OSRRefT22_1x_0)</f>
        <v>114162.33</v>
      </c>
      <c r="U37" s="1"/>
      <c r="V37" s="5">
        <f t="shared" ref="V37:V43" si="28">IF(T$12=0,0,T37/T$12)</f>
        <v>0.23016496701022693</v>
      </c>
      <c r="W37" s="1"/>
      <c r="X37" s="1">
        <f t="shared" ref="X37:X43" si="29">+P37-T37</f>
        <v>-91025.91</v>
      </c>
      <c r="Y37" s="1"/>
      <c r="Z37" s="5">
        <f t="shared" ref="Z37:Z43" si="30">IF(T37=0,0,X37/T37)</f>
        <v>-0.79733752806201486</v>
      </c>
    </row>
    <row r="38" spans="1:26" s="23" customFormat="1" hidden="1" outlineLevel="2" x14ac:dyDescent="0.25">
      <c r="A38" s="25"/>
      <c r="B38" s="10" t="str">
        <f>CONCATENATE("          ", "6002", " - ", "STAFF SALARIES")</f>
        <v xml:space="preserve">          6002 - STAFF SALARIES</v>
      </c>
      <c r="C38" s="10"/>
      <c r="D38" s="6"/>
      <c r="E38" s="2"/>
      <c r="F38" s="7">
        <f t="shared" si="23"/>
        <v>0</v>
      </c>
      <c r="G38" s="2"/>
      <c r="H38" s="6">
        <v>2452.81</v>
      </c>
      <c r="I38" s="2"/>
      <c r="J38" s="7">
        <f t="shared" si="24"/>
        <v>20.530760860467062</v>
      </c>
      <c r="K38" s="2"/>
      <c r="L38" s="6">
        <f t="shared" si="25"/>
        <v>-2452.81</v>
      </c>
      <c r="M38" s="2"/>
      <c r="N38" s="7">
        <f t="shared" si="26"/>
        <v>-1</v>
      </c>
      <c r="O38" s="10"/>
      <c r="P38" s="6">
        <v>23136.42</v>
      </c>
      <c r="Q38" s="2"/>
      <c r="R38" s="7">
        <f t="shared" si="27"/>
        <v>0</v>
      </c>
      <c r="S38" s="2"/>
      <c r="T38" s="6">
        <v>64138.37</v>
      </c>
      <c r="U38" s="2"/>
      <c r="V38" s="7">
        <f t="shared" si="28"/>
        <v>0.12931065628337937</v>
      </c>
      <c r="W38" s="2"/>
      <c r="X38" s="6">
        <f t="shared" si="29"/>
        <v>-41001.950000000004</v>
      </c>
      <c r="Y38" s="2"/>
      <c r="Z38" s="7">
        <f t="shared" si="30"/>
        <v>-0.6392733398120346</v>
      </c>
    </row>
    <row r="39" spans="1:26" s="23" customFormat="1" hidden="1" outlineLevel="2" x14ac:dyDescent="0.25">
      <c r="A39" s="25"/>
      <c r="B39" s="10" t="str">
        <f>CONCATENATE("          ", "6004", " - ", "STAFF HOURLY")</f>
        <v xml:space="preserve">          6004 - STAFF HOURLY</v>
      </c>
      <c r="C39" s="10"/>
      <c r="D39" s="6"/>
      <c r="E39" s="2"/>
      <c r="F39" s="7">
        <f t="shared" si="23"/>
        <v>0</v>
      </c>
      <c r="G39" s="2"/>
      <c r="H39" s="6"/>
      <c r="I39" s="2"/>
      <c r="J39" s="7">
        <f t="shared" si="24"/>
        <v>0</v>
      </c>
      <c r="K39" s="2"/>
      <c r="L39" s="6">
        <f t="shared" si="25"/>
        <v>0</v>
      </c>
      <c r="M39" s="2"/>
      <c r="N39" s="7">
        <f t="shared" si="26"/>
        <v>0</v>
      </c>
      <c r="O39" s="10"/>
      <c r="P39" s="6"/>
      <c r="Q39" s="2"/>
      <c r="R39" s="7">
        <f t="shared" si="27"/>
        <v>0</v>
      </c>
      <c r="S39" s="2"/>
      <c r="T39" s="6">
        <v>-3618.33</v>
      </c>
      <c r="U39" s="2"/>
      <c r="V39" s="7">
        <f t="shared" si="28"/>
        <v>-7.2949878044895758E-3</v>
      </c>
      <c r="W39" s="2"/>
      <c r="X39" s="6">
        <f t="shared" si="29"/>
        <v>3618.33</v>
      </c>
      <c r="Y39" s="2"/>
      <c r="Z39" s="7">
        <f t="shared" si="30"/>
        <v>-1</v>
      </c>
    </row>
    <row r="40" spans="1:26" s="23" customFormat="1" hidden="1" outlineLevel="2" x14ac:dyDescent="0.25">
      <c r="A40" s="25"/>
      <c r="B40" s="10" t="str">
        <f>CONCATENATE("          ", "6005", " - ", "TEMPORARY WAGES-HOURLY")</f>
        <v xml:space="preserve">          6005 - TEMPORARY WAGES-HOURLY</v>
      </c>
      <c r="C40" s="10"/>
      <c r="D40" s="6"/>
      <c r="E40" s="2"/>
      <c r="F40" s="7">
        <f t="shared" si="23"/>
        <v>0</v>
      </c>
      <c r="G40" s="2"/>
      <c r="H40" s="6"/>
      <c r="I40" s="2"/>
      <c r="J40" s="7">
        <f t="shared" si="24"/>
        <v>0</v>
      </c>
      <c r="K40" s="2"/>
      <c r="L40" s="6">
        <f t="shared" si="25"/>
        <v>0</v>
      </c>
      <c r="M40" s="2"/>
      <c r="N40" s="7">
        <f t="shared" si="26"/>
        <v>0</v>
      </c>
      <c r="O40" s="10"/>
      <c r="P40" s="6"/>
      <c r="Q40" s="2"/>
      <c r="R40" s="7">
        <f t="shared" si="27"/>
        <v>0</v>
      </c>
      <c r="S40" s="2"/>
      <c r="T40" s="6">
        <v>1174.26</v>
      </c>
      <c r="U40" s="2"/>
      <c r="V40" s="7">
        <f t="shared" si="28"/>
        <v>2.3674491766367163E-3</v>
      </c>
      <c r="W40" s="2"/>
      <c r="X40" s="6">
        <f t="shared" si="29"/>
        <v>-1174.26</v>
      </c>
      <c r="Y40" s="2"/>
      <c r="Z40" s="7">
        <f t="shared" si="30"/>
        <v>-1</v>
      </c>
    </row>
    <row r="41" spans="1:26" s="23" customFormat="1" hidden="1" outlineLevel="2" x14ac:dyDescent="0.25">
      <c r="A41" s="25"/>
      <c r="B41" s="10" t="str">
        <f>CONCATENATE("          ", "6006", " - ", "TEMPORARY PART TIME")</f>
        <v xml:space="preserve">          6006 - TEMPORARY PART TIME</v>
      </c>
      <c r="C41" s="10"/>
      <c r="D41" s="6"/>
      <c r="E41" s="2"/>
      <c r="F41" s="7">
        <f t="shared" si="23"/>
        <v>0</v>
      </c>
      <c r="G41" s="2"/>
      <c r="H41" s="6"/>
      <c r="I41" s="2"/>
      <c r="J41" s="7">
        <f t="shared" si="24"/>
        <v>0</v>
      </c>
      <c r="K41" s="2"/>
      <c r="L41" s="6">
        <f t="shared" si="25"/>
        <v>0</v>
      </c>
      <c r="M41" s="2"/>
      <c r="N41" s="7">
        <f t="shared" si="26"/>
        <v>0</v>
      </c>
      <c r="O41" s="10"/>
      <c r="P41" s="6"/>
      <c r="Q41" s="2"/>
      <c r="R41" s="7">
        <f t="shared" si="27"/>
        <v>0</v>
      </c>
      <c r="S41" s="2"/>
      <c r="T41" s="6">
        <v>4878.2700000000004</v>
      </c>
      <c r="U41" s="2"/>
      <c r="V41" s="7">
        <f t="shared" si="28"/>
        <v>9.8351781504194928E-3</v>
      </c>
      <c r="W41" s="2"/>
      <c r="X41" s="6">
        <f t="shared" si="29"/>
        <v>-4878.2700000000004</v>
      </c>
      <c r="Y41" s="2"/>
      <c r="Z41" s="7">
        <f t="shared" si="30"/>
        <v>-1</v>
      </c>
    </row>
    <row r="42" spans="1:26" s="23" customFormat="1" hidden="1" outlineLevel="2" x14ac:dyDescent="0.25">
      <c r="A42" s="25"/>
      <c r="B42" s="10" t="str">
        <f>CONCATENATE("          ", "6007", " - ", "STUDENT HOURLY")</f>
        <v xml:space="preserve">          6007 - STUDENT HOURLY</v>
      </c>
      <c r="C42" s="10"/>
      <c r="D42" s="6"/>
      <c r="E42" s="2"/>
      <c r="F42" s="7">
        <f t="shared" si="23"/>
        <v>0</v>
      </c>
      <c r="G42" s="2"/>
      <c r="H42" s="6"/>
      <c r="I42" s="2"/>
      <c r="J42" s="7">
        <f t="shared" si="24"/>
        <v>0</v>
      </c>
      <c r="K42" s="2"/>
      <c r="L42" s="6">
        <f t="shared" si="25"/>
        <v>0</v>
      </c>
      <c r="M42" s="2"/>
      <c r="N42" s="7">
        <f t="shared" si="26"/>
        <v>0</v>
      </c>
      <c r="O42" s="10"/>
      <c r="P42" s="6"/>
      <c r="Q42" s="2"/>
      <c r="R42" s="7">
        <f t="shared" si="27"/>
        <v>0</v>
      </c>
      <c r="S42" s="2"/>
      <c r="T42" s="6">
        <v>44034.28</v>
      </c>
      <c r="U42" s="2"/>
      <c r="V42" s="7">
        <f t="shared" si="28"/>
        <v>8.8778396547434649E-2</v>
      </c>
      <c r="W42" s="2"/>
      <c r="X42" s="6">
        <f t="shared" si="29"/>
        <v>-44034.28</v>
      </c>
      <c r="Y42" s="2"/>
      <c r="Z42" s="7">
        <f t="shared" si="30"/>
        <v>-1</v>
      </c>
    </row>
    <row r="43" spans="1:26" s="23" customFormat="1" hidden="1" outlineLevel="2" x14ac:dyDescent="0.25">
      <c r="A43" s="25"/>
      <c r="B43" s="10" t="str">
        <f>CONCATENATE("          ", "6008", " - ", "STUDENT HOURLY-FICA EXEMPT")</f>
        <v xml:space="preserve">          6008 - STUDENT HOURLY-FICA EXEMPT</v>
      </c>
      <c r="C43" s="10"/>
      <c r="D43" s="6"/>
      <c r="E43" s="2"/>
      <c r="F43" s="7">
        <f t="shared" si="23"/>
        <v>0</v>
      </c>
      <c r="G43" s="2"/>
      <c r="H43" s="6"/>
      <c r="I43" s="2"/>
      <c r="J43" s="7">
        <f t="shared" si="24"/>
        <v>0</v>
      </c>
      <c r="K43" s="2"/>
      <c r="L43" s="6">
        <f t="shared" si="25"/>
        <v>0</v>
      </c>
      <c r="M43" s="2"/>
      <c r="N43" s="7">
        <f t="shared" si="26"/>
        <v>0</v>
      </c>
      <c r="O43" s="10"/>
      <c r="P43" s="6"/>
      <c r="Q43" s="2"/>
      <c r="R43" s="7">
        <f t="shared" si="27"/>
        <v>0</v>
      </c>
      <c r="S43" s="2"/>
      <c r="T43" s="6">
        <v>3555.48</v>
      </c>
      <c r="U43" s="2"/>
      <c r="V43" s="7">
        <f t="shared" si="28"/>
        <v>7.1682746568462793E-3</v>
      </c>
      <c r="W43" s="2"/>
      <c r="X43" s="6">
        <f t="shared" si="29"/>
        <v>-3555.48</v>
      </c>
      <c r="Y43" s="2"/>
      <c r="Z43" s="7">
        <f t="shared" si="30"/>
        <v>-1</v>
      </c>
    </row>
    <row r="44" spans="1:26" s="27" customFormat="1" outlineLevel="1" collapsed="1" x14ac:dyDescent="0.25">
      <c r="A44" s="26"/>
      <c r="B44" s="12" t="str">
        <f>CONCATENATE("     ","Advertising/Promo                                 ")</f>
        <v xml:space="preserve">     Advertising/Promo                                 </v>
      </c>
      <c r="C44" s="12"/>
      <c r="D44" s="1">
        <f>SUM(OSRRefD22_2x_0)</f>
        <v>0</v>
      </c>
      <c r="E44" s="1"/>
      <c r="F44" s="5">
        <f t="shared" ref="F44:F59" si="31">IF(D$12=0,0,D44/D$12)</f>
        <v>0</v>
      </c>
      <c r="G44" s="1"/>
      <c r="H44" s="1">
        <f>SUM(OSRRefH22_2x_0)</f>
        <v>0</v>
      </c>
      <c r="I44" s="1"/>
      <c r="J44" s="5">
        <f t="shared" ref="J44:J59" si="32">IF(H$12=0,0,H44/H$12)</f>
        <v>0</v>
      </c>
      <c r="K44" s="1"/>
      <c r="L44" s="1">
        <f t="shared" ref="L44:L59" si="33">+D44-H44</f>
        <v>0</v>
      </c>
      <c r="M44" s="1"/>
      <c r="N44" s="5">
        <f t="shared" ref="N44:N59" si="34">IF(H44=0,0,L44/H44)</f>
        <v>0</v>
      </c>
      <c r="O44" s="12"/>
      <c r="P44" s="1">
        <f>SUM(OSRRefP22_2x_0)</f>
        <v>0</v>
      </c>
      <c r="Q44" s="1"/>
      <c r="R44" s="5">
        <f t="shared" ref="R44:R59" si="35">IF(P$12=0,0,P44/P$12)</f>
        <v>0</v>
      </c>
      <c r="S44" s="1"/>
      <c r="T44" s="1">
        <f>SUM(OSRRefT22_2x_0)</f>
        <v>1464.31</v>
      </c>
      <c r="U44" s="1"/>
      <c r="V44" s="5">
        <f t="shared" ref="V44:V59" si="36">IF(T$12=0,0,T44/T$12)</f>
        <v>2.9522248086802836E-3</v>
      </c>
      <c r="W44" s="1"/>
      <c r="X44" s="1">
        <f t="shared" ref="X44:X59" si="37">+P44-T44</f>
        <v>-1464.31</v>
      </c>
      <c r="Y44" s="1"/>
      <c r="Z44" s="5">
        <f t="shared" ref="Z44:Z59" si="38">IF(T44=0,0,X44/T44)</f>
        <v>-1</v>
      </c>
    </row>
    <row r="45" spans="1:26" s="23" customFormat="1" hidden="1" outlineLevel="2" x14ac:dyDescent="0.25">
      <c r="A45" s="25"/>
      <c r="B45" s="10" t="str">
        <f>CONCATENATE("          ", "6362", " - ", "ADVERTISING EXPENSE")</f>
        <v xml:space="preserve">          6362 - ADVERTISING EXPENSE</v>
      </c>
      <c r="C45" s="10"/>
      <c r="D45" s="6"/>
      <c r="E45" s="2"/>
      <c r="F45" s="7">
        <f t="shared" si="31"/>
        <v>0</v>
      </c>
      <c r="G45" s="2"/>
      <c r="H45" s="6"/>
      <c r="I45" s="2"/>
      <c r="J45" s="7">
        <f t="shared" si="32"/>
        <v>0</v>
      </c>
      <c r="K45" s="2"/>
      <c r="L45" s="6">
        <f t="shared" si="33"/>
        <v>0</v>
      </c>
      <c r="M45" s="2"/>
      <c r="N45" s="7">
        <f t="shared" si="34"/>
        <v>0</v>
      </c>
      <c r="O45" s="10"/>
      <c r="P45" s="6"/>
      <c r="Q45" s="2"/>
      <c r="R45" s="7">
        <f t="shared" si="35"/>
        <v>0</v>
      </c>
      <c r="S45" s="2"/>
      <c r="T45" s="6">
        <v>1464.31</v>
      </c>
      <c r="U45" s="2"/>
      <c r="V45" s="7">
        <f t="shared" si="36"/>
        <v>2.9522248086802836E-3</v>
      </c>
      <c r="W45" s="2"/>
      <c r="X45" s="6">
        <f t="shared" si="37"/>
        <v>-1464.31</v>
      </c>
      <c r="Y45" s="2"/>
      <c r="Z45" s="7">
        <f t="shared" si="38"/>
        <v>-1</v>
      </c>
    </row>
    <row r="46" spans="1:26" s="27" customFormat="1" outlineLevel="1" collapsed="1" x14ac:dyDescent="0.25">
      <c r="A46" s="26"/>
      <c r="B46" s="12" t="str">
        <f>CONCATENATE("     ","Bad Debts/Over/Short                              ")</f>
        <v xml:space="preserve">     Bad Debts/Over/Short                              </v>
      </c>
      <c r="C46" s="12"/>
      <c r="D46" s="1">
        <f>SUM(OSRRefD22_3x_0)</f>
        <v>0</v>
      </c>
      <c r="E46" s="1"/>
      <c r="F46" s="5">
        <f t="shared" si="31"/>
        <v>0</v>
      </c>
      <c r="G46" s="1"/>
      <c r="H46" s="1">
        <f>SUM(OSRRefH22_3x_0)</f>
        <v>0</v>
      </c>
      <c r="I46" s="1"/>
      <c r="J46" s="5">
        <f t="shared" si="32"/>
        <v>0</v>
      </c>
      <c r="K46" s="1"/>
      <c r="L46" s="1">
        <f t="shared" si="33"/>
        <v>0</v>
      </c>
      <c r="M46" s="1"/>
      <c r="N46" s="5">
        <f t="shared" si="34"/>
        <v>0</v>
      </c>
      <c r="O46" s="12"/>
      <c r="P46" s="1">
        <f>SUM(OSRRefP22_3x_0)</f>
        <v>0</v>
      </c>
      <c r="Q46" s="1"/>
      <c r="R46" s="5">
        <f t="shared" si="35"/>
        <v>0</v>
      </c>
      <c r="S46" s="1"/>
      <c r="T46" s="1">
        <f>SUM(OSRRefT22_3x_0)</f>
        <v>-198.56</v>
      </c>
      <c r="U46" s="1"/>
      <c r="V46" s="5">
        <f t="shared" si="36"/>
        <v>-4.0032080502868734E-4</v>
      </c>
      <c r="W46" s="1"/>
      <c r="X46" s="1">
        <f t="shared" si="37"/>
        <v>198.56</v>
      </c>
      <c r="Y46" s="1"/>
      <c r="Z46" s="5">
        <f t="shared" si="38"/>
        <v>-1</v>
      </c>
    </row>
    <row r="47" spans="1:26" s="23" customFormat="1" hidden="1" outlineLevel="2" x14ac:dyDescent="0.25">
      <c r="A47" s="25"/>
      <c r="B47" s="10" t="str">
        <f>CONCATENATE("          ", "6272", " - ", "CASH (OVER/SHORT)")</f>
        <v xml:space="preserve">          6272 - CASH (OVER/SHORT)</v>
      </c>
      <c r="C47" s="10"/>
      <c r="D47" s="6"/>
      <c r="E47" s="2"/>
      <c r="F47" s="7">
        <f t="shared" si="31"/>
        <v>0</v>
      </c>
      <c r="G47" s="2"/>
      <c r="H47" s="6"/>
      <c r="I47" s="2"/>
      <c r="J47" s="7">
        <f t="shared" si="32"/>
        <v>0</v>
      </c>
      <c r="K47" s="2"/>
      <c r="L47" s="6">
        <f t="shared" si="33"/>
        <v>0</v>
      </c>
      <c r="M47" s="2"/>
      <c r="N47" s="7">
        <f t="shared" si="34"/>
        <v>0</v>
      </c>
      <c r="O47" s="10"/>
      <c r="P47" s="6"/>
      <c r="Q47" s="2"/>
      <c r="R47" s="7">
        <f t="shared" si="35"/>
        <v>0</v>
      </c>
      <c r="S47" s="2"/>
      <c r="T47" s="6">
        <v>-198.56</v>
      </c>
      <c r="U47" s="2"/>
      <c r="V47" s="7">
        <f t="shared" si="36"/>
        <v>-4.0032080502868734E-4</v>
      </c>
      <c r="W47" s="2"/>
      <c r="X47" s="6">
        <f t="shared" si="37"/>
        <v>198.56</v>
      </c>
      <c r="Y47" s="2"/>
      <c r="Z47" s="7">
        <f t="shared" si="38"/>
        <v>-1</v>
      </c>
    </row>
    <row r="48" spans="1:26" s="27" customFormat="1" outlineLevel="1" collapsed="1" x14ac:dyDescent="0.25">
      <c r="A48" s="26"/>
      <c r="B48" s="12" t="str">
        <f>CONCATENATE("     ","Bank/card Fees                                    ")</f>
        <v xml:space="preserve">     Bank/card Fees                                    </v>
      </c>
      <c r="C48" s="12"/>
      <c r="D48" s="1">
        <f>SUM(OSRRefD22_4x_0)</f>
        <v>0</v>
      </c>
      <c r="E48" s="1"/>
      <c r="F48" s="5">
        <f t="shared" si="31"/>
        <v>0</v>
      </c>
      <c r="G48" s="1"/>
      <c r="H48" s="1">
        <f>SUM(OSRRefH22_4x_0)</f>
        <v>60</v>
      </c>
      <c r="I48" s="1"/>
      <c r="J48" s="5">
        <f t="shared" si="32"/>
        <v>0.50221813007449567</v>
      </c>
      <c r="K48" s="1"/>
      <c r="L48" s="1">
        <f t="shared" si="33"/>
        <v>-60</v>
      </c>
      <c r="M48" s="1"/>
      <c r="N48" s="5">
        <f t="shared" si="34"/>
        <v>-1</v>
      </c>
      <c r="O48" s="12"/>
      <c r="P48" s="1">
        <f>SUM(OSRRefP22_4x_0)</f>
        <v>240</v>
      </c>
      <c r="Q48" s="1"/>
      <c r="R48" s="5">
        <f t="shared" si="35"/>
        <v>0</v>
      </c>
      <c r="S48" s="1"/>
      <c r="T48" s="1">
        <f>SUM(OSRRefT22_4x_0)</f>
        <v>18253.439999999999</v>
      </c>
      <c r="U48" s="1"/>
      <c r="V48" s="5">
        <f t="shared" si="36"/>
        <v>3.6801127091774986E-2</v>
      </c>
      <c r="W48" s="1"/>
      <c r="X48" s="1">
        <f t="shared" si="37"/>
        <v>-18013.439999999999</v>
      </c>
      <c r="Y48" s="1"/>
      <c r="Z48" s="5">
        <f t="shared" si="38"/>
        <v>-0.9868517934153781</v>
      </c>
    </row>
    <row r="49" spans="1:26" s="23" customFormat="1" hidden="1" outlineLevel="2" x14ac:dyDescent="0.25">
      <c r="A49" s="25"/>
      <c r="B49" s="10" t="str">
        <f>CONCATENATE("          ", "6381", " - ", "BANK/CREDIT CARD FEES")</f>
        <v xml:space="preserve">          6381 - BANK/CREDIT CARD FEES</v>
      </c>
      <c r="C49" s="10"/>
      <c r="D49" s="6"/>
      <c r="E49" s="2"/>
      <c r="F49" s="7">
        <f t="shared" si="31"/>
        <v>0</v>
      </c>
      <c r="G49" s="2"/>
      <c r="H49" s="6">
        <v>60</v>
      </c>
      <c r="I49" s="2"/>
      <c r="J49" s="7">
        <f t="shared" si="32"/>
        <v>0.50221813007449567</v>
      </c>
      <c r="K49" s="2"/>
      <c r="L49" s="6">
        <f t="shared" si="33"/>
        <v>-60</v>
      </c>
      <c r="M49" s="2"/>
      <c r="N49" s="7">
        <f t="shared" si="34"/>
        <v>-1</v>
      </c>
      <c r="O49" s="10"/>
      <c r="P49" s="6">
        <v>240</v>
      </c>
      <c r="Q49" s="2"/>
      <c r="R49" s="7">
        <f t="shared" si="35"/>
        <v>0</v>
      </c>
      <c r="S49" s="2"/>
      <c r="T49" s="6">
        <v>18253.439999999999</v>
      </c>
      <c r="U49" s="2"/>
      <c r="V49" s="7">
        <f t="shared" si="36"/>
        <v>3.6801127091774986E-2</v>
      </c>
      <c r="W49" s="2"/>
      <c r="X49" s="6">
        <f t="shared" si="37"/>
        <v>-18013.439999999999</v>
      </c>
      <c r="Y49" s="2"/>
      <c r="Z49" s="7">
        <f t="shared" si="38"/>
        <v>-0.9868517934153781</v>
      </c>
    </row>
    <row r="50" spans="1:26" s="27" customFormat="1" outlineLevel="1" collapsed="1" x14ac:dyDescent="0.25">
      <c r="A50" s="26"/>
      <c r="B50" s="12" t="str">
        <f>CONCATENATE("     ","Discounts and Markdowns                           ")</f>
        <v xml:space="preserve">     Discounts and Markdowns                           </v>
      </c>
      <c r="C50" s="12"/>
      <c r="D50" s="1">
        <f>SUM(OSRRefD22_5x_0)</f>
        <v>0</v>
      </c>
      <c r="E50" s="1"/>
      <c r="F50" s="5">
        <f t="shared" si="31"/>
        <v>0</v>
      </c>
      <c r="G50" s="1"/>
      <c r="H50" s="1">
        <f>SUM(OSRRefH22_5x_0)</f>
        <v>0</v>
      </c>
      <c r="I50" s="1"/>
      <c r="J50" s="5">
        <f t="shared" si="32"/>
        <v>0</v>
      </c>
      <c r="K50" s="1"/>
      <c r="L50" s="1">
        <f t="shared" si="33"/>
        <v>0</v>
      </c>
      <c r="M50" s="1"/>
      <c r="N50" s="5">
        <f t="shared" si="34"/>
        <v>0</v>
      </c>
      <c r="O50" s="12"/>
      <c r="P50" s="1">
        <f>SUM(OSRRefP22_5x_0)</f>
        <v>0</v>
      </c>
      <c r="Q50" s="1"/>
      <c r="R50" s="5">
        <f t="shared" si="35"/>
        <v>0</v>
      </c>
      <c r="S50" s="1"/>
      <c r="T50" s="1">
        <f>SUM(OSRRefT22_5x_0)</f>
        <v>125.87</v>
      </c>
      <c r="U50" s="1"/>
      <c r="V50" s="5">
        <f t="shared" si="36"/>
        <v>2.5376903570185775E-4</v>
      </c>
      <c r="W50" s="1"/>
      <c r="X50" s="1">
        <f t="shared" si="37"/>
        <v>-125.87</v>
      </c>
      <c r="Y50" s="1"/>
      <c r="Z50" s="5">
        <f t="shared" si="38"/>
        <v>-1</v>
      </c>
    </row>
    <row r="51" spans="1:26" s="23" customFormat="1" hidden="1" outlineLevel="2" x14ac:dyDescent="0.25">
      <c r="A51" s="25"/>
      <c r="B51" s="10" t="str">
        <f>CONCATENATE("          ", "6382", " - ", "DISCOUNTS/MARK DOWNS")</f>
        <v xml:space="preserve">          6382 - DISCOUNTS/MARK DOWNS</v>
      </c>
      <c r="C51" s="10"/>
      <c r="D51" s="6"/>
      <c r="E51" s="2"/>
      <c r="F51" s="7">
        <f t="shared" si="31"/>
        <v>0</v>
      </c>
      <c r="G51" s="2"/>
      <c r="H51" s="6"/>
      <c r="I51" s="2"/>
      <c r="J51" s="7">
        <f t="shared" si="32"/>
        <v>0</v>
      </c>
      <c r="K51" s="2"/>
      <c r="L51" s="6">
        <f t="shared" si="33"/>
        <v>0</v>
      </c>
      <c r="M51" s="2"/>
      <c r="N51" s="7">
        <f t="shared" si="34"/>
        <v>0</v>
      </c>
      <c r="O51" s="10"/>
      <c r="P51" s="6"/>
      <c r="Q51" s="2"/>
      <c r="R51" s="7">
        <f t="shared" si="35"/>
        <v>0</v>
      </c>
      <c r="S51" s="2"/>
      <c r="T51" s="6">
        <v>125.87</v>
      </c>
      <c r="U51" s="2"/>
      <c r="V51" s="7">
        <f t="shared" si="36"/>
        <v>2.5376903570185775E-4</v>
      </c>
      <c r="W51" s="2"/>
      <c r="X51" s="6">
        <f t="shared" si="37"/>
        <v>-125.87</v>
      </c>
      <c r="Y51" s="2"/>
      <c r="Z51" s="7">
        <f t="shared" si="38"/>
        <v>-1</v>
      </c>
    </row>
    <row r="52" spans="1:26" s="27" customFormat="1" outlineLevel="1" collapsed="1" x14ac:dyDescent="0.25">
      <c r="A52" s="26"/>
      <c r="B52" s="12" t="str">
        <f>CONCATENATE("     ","Freight out/Postage                               ")</f>
        <v xml:space="preserve">     Freight out/Postage                               </v>
      </c>
      <c r="C52" s="12"/>
      <c r="D52" s="1">
        <f>SUM(OSRRefD22_6x_0)</f>
        <v>0</v>
      </c>
      <c r="E52" s="1"/>
      <c r="F52" s="5">
        <f t="shared" si="31"/>
        <v>0</v>
      </c>
      <c r="G52" s="1"/>
      <c r="H52" s="1">
        <f>SUM(OSRRefH22_6x_0)</f>
        <v>0</v>
      </c>
      <c r="I52" s="1"/>
      <c r="J52" s="5">
        <f t="shared" si="32"/>
        <v>0</v>
      </c>
      <c r="K52" s="1"/>
      <c r="L52" s="1">
        <f t="shared" si="33"/>
        <v>0</v>
      </c>
      <c r="M52" s="1"/>
      <c r="N52" s="5">
        <f t="shared" si="34"/>
        <v>0</v>
      </c>
      <c r="O52" s="12"/>
      <c r="P52" s="1">
        <f>SUM(OSRRefP22_6x_0)</f>
        <v>280.10000000000002</v>
      </c>
      <c r="Q52" s="1"/>
      <c r="R52" s="5">
        <f t="shared" si="35"/>
        <v>0</v>
      </c>
      <c r="S52" s="1"/>
      <c r="T52" s="1">
        <f>SUM(OSRRefT22_6x_0)</f>
        <v>331.18</v>
      </c>
      <c r="U52" s="1"/>
      <c r="V52" s="5">
        <f t="shared" si="36"/>
        <v>6.6769865133662709E-4</v>
      </c>
      <c r="W52" s="1"/>
      <c r="X52" s="1">
        <f t="shared" si="37"/>
        <v>-51.079999999999984</v>
      </c>
      <c r="Y52" s="1"/>
      <c r="Z52" s="5">
        <f t="shared" si="38"/>
        <v>-0.15423636693037013</v>
      </c>
    </row>
    <row r="53" spans="1:26" s="23" customFormat="1" hidden="1" outlineLevel="2" x14ac:dyDescent="0.25">
      <c r="A53" s="25"/>
      <c r="B53" s="10" t="str">
        <f>CONCATENATE("          ", "6305", " - ", "FREIGHT OUT")</f>
        <v xml:space="preserve">          6305 - FREIGHT OUT</v>
      </c>
      <c r="C53" s="10"/>
      <c r="D53" s="6"/>
      <c r="E53" s="2"/>
      <c r="F53" s="7">
        <f t="shared" si="31"/>
        <v>0</v>
      </c>
      <c r="G53" s="2"/>
      <c r="H53" s="6"/>
      <c r="I53" s="2"/>
      <c r="J53" s="7">
        <f t="shared" si="32"/>
        <v>0</v>
      </c>
      <c r="K53" s="2"/>
      <c r="L53" s="6">
        <f t="shared" si="33"/>
        <v>0</v>
      </c>
      <c r="M53" s="2"/>
      <c r="N53" s="7">
        <f t="shared" si="34"/>
        <v>0</v>
      </c>
      <c r="O53" s="10"/>
      <c r="P53" s="6">
        <v>280.10000000000002</v>
      </c>
      <c r="Q53" s="2"/>
      <c r="R53" s="7">
        <f t="shared" si="35"/>
        <v>0</v>
      </c>
      <c r="S53" s="2"/>
      <c r="T53" s="6">
        <v>331.18</v>
      </c>
      <c r="U53" s="2"/>
      <c r="V53" s="7">
        <f t="shared" si="36"/>
        <v>6.6769865133662709E-4</v>
      </c>
      <c r="W53" s="2"/>
      <c r="X53" s="6">
        <f t="shared" si="37"/>
        <v>-51.079999999999984</v>
      </c>
      <c r="Y53" s="2"/>
      <c r="Z53" s="7">
        <f t="shared" si="38"/>
        <v>-0.15423636693037013</v>
      </c>
    </row>
    <row r="54" spans="1:26" s="27" customFormat="1" outlineLevel="1" collapsed="1" x14ac:dyDescent="0.25">
      <c r="A54" s="26"/>
      <c r="B54" s="12" t="str">
        <f>CONCATENATE("     ","General                                           ")</f>
        <v xml:space="preserve">     General                                           </v>
      </c>
      <c r="C54" s="12"/>
      <c r="D54" s="1">
        <f>SUM(OSRRefD22_7x_0)</f>
        <v>0</v>
      </c>
      <c r="E54" s="1"/>
      <c r="F54" s="5">
        <f t="shared" si="31"/>
        <v>0</v>
      </c>
      <c r="G54" s="1"/>
      <c r="H54" s="1">
        <f>SUM(OSRRefH22_7x_0)</f>
        <v>0</v>
      </c>
      <c r="I54" s="1"/>
      <c r="J54" s="5">
        <f t="shared" si="32"/>
        <v>0</v>
      </c>
      <c r="K54" s="1"/>
      <c r="L54" s="1">
        <f t="shared" si="33"/>
        <v>0</v>
      </c>
      <c r="M54" s="1"/>
      <c r="N54" s="5">
        <f t="shared" si="34"/>
        <v>0</v>
      </c>
      <c r="O54" s="12"/>
      <c r="P54" s="1">
        <f>SUM(OSRRefP22_7x_0)</f>
        <v>160</v>
      </c>
      <c r="Q54" s="1"/>
      <c r="R54" s="5">
        <f t="shared" si="35"/>
        <v>0</v>
      </c>
      <c r="S54" s="1"/>
      <c r="T54" s="1">
        <f>SUM(OSRRefT22_7x_0)</f>
        <v>1192.3499999999999</v>
      </c>
      <c r="U54" s="1"/>
      <c r="V54" s="5">
        <f t="shared" si="36"/>
        <v>2.4039207890610157E-3</v>
      </c>
      <c r="W54" s="1"/>
      <c r="X54" s="1">
        <f t="shared" si="37"/>
        <v>-1032.3499999999999</v>
      </c>
      <c r="Y54" s="1"/>
      <c r="Z54" s="5">
        <f t="shared" si="38"/>
        <v>-0.86581121315050114</v>
      </c>
    </row>
    <row r="55" spans="1:26" s="23" customFormat="1" hidden="1" outlineLevel="2" x14ac:dyDescent="0.25">
      <c r="A55" s="25"/>
      <c r="B55" s="10" t="str">
        <f>CONCATENATE("          ", "6279", " - ", "GENERAL EXPENSE")</f>
        <v xml:space="preserve">          6279 - GENERAL EXPENSE</v>
      </c>
      <c r="C55" s="10"/>
      <c r="D55" s="6"/>
      <c r="E55" s="2"/>
      <c r="F55" s="7">
        <f t="shared" si="31"/>
        <v>0</v>
      </c>
      <c r="G55" s="2"/>
      <c r="H55" s="6"/>
      <c r="I55" s="2"/>
      <c r="J55" s="7">
        <f t="shared" si="32"/>
        <v>0</v>
      </c>
      <c r="K55" s="2"/>
      <c r="L55" s="6">
        <f t="shared" si="33"/>
        <v>0</v>
      </c>
      <c r="M55" s="2"/>
      <c r="N55" s="7">
        <f t="shared" si="34"/>
        <v>0</v>
      </c>
      <c r="O55" s="10"/>
      <c r="P55" s="6">
        <v>160</v>
      </c>
      <c r="Q55" s="2"/>
      <c r="R55" s="7">
        <f t="shared" si="35"/>
        <v>0</v>
      </c>
      <c r="S55" s="2"/>
      <c r="T55" s="6">
        <v>1192.3499999999999</v>
      </c>
      <c r="U55" s="2"/>
      <c r="V55" s="7">
        <f t="shared" si="36"/>
        <v>2.4039207890610157E-3</v>
      </c>
      <c r="W55" s="2"/>
      <c r="X55" s="6">
        <f t="shared" si="37"/>
        <v>-1032.3499999999999</v>
      </c>
      <c r="Y55" s="2"/>
      <c r="Z55" s="7">
        <f t="shared" si="38"/>
        <v>-0.86581121315050114</v>
      </c>
    </row>
    <row r="56" spans="1:26" s="27" customFormat="1" outlineLevel="1" collapsed="1" x14ac:dyDescent="0.25">
      <c r="A56" s="26"/>
      <c r="B56" s="12" t="str">
        <f>CONCATENATE("     ","Repair and Maintenance                            ")</f>
        <v xml:space="preserve">     Repair and Maintenance                            </v>
      </c>
      <c r="C56" s="12"/>
      <c r="D56" s="1">
        <f>SUM(OSRRefD22_8x_0)</f>
        <v>23.95</v>
      </c>
      <c r="E56" s="1"/>
      <c r="F56" s="5">
        <f t="shared" si="31"/>
        <v>0</v>
      </c>
      <c r="G56" s="1"/>
      <c r="H56" s="1">
        <f>SUM(OSRRefH22_8x_0)</f>
        <v>24.12</v>
      </c>
      <c r="I56" s="1"/>
      <c r="J56" s="5">
        <f t="shared" si="32"/>
        <v>0.20189168828994727</v>
      </c>
      <c r="K56" s="1"/>
      <c r="L56" s="1">
        <f t="shared" si="33"/>
        <v>-0.17000000000000171</v>
      </c>
      <c r="M56" s="1"/>
      <c r="N56" s="5">
        <f t="shared" si="34"/>
        <v>-7.0480928689884616E-3</v>
      </c>
      <c r="O56" s="12"/>
      <c r="P56" s="1">
        <f>SUM(OSRRefP22_8x_0)</f>
        <v>96.31</v>
      </c>
      <c r="Q56" s="1"/>
      <c r="R56" s="5">
        <f t="shared" si="35"/>
        <v>0</v>
      </c>
      <c r="S56" s="1"/>
      <c r="T56" s="1">
        <f>SUM(OSRRefT22_8x_0)</f>
        <v>1112.74</v>
      </c>
      <c r="U56" s="1"/>
      <c r="V56" s="5">
        <f t="shared" si="36"/>
        <v>2.24341746871284E-3</v>
      </c>
      <c r="W56" s="1"/>
      <c r="X56" s="1">
        <f t="shared" si="37"/>
        <v>-1016.4300000000001</v>
      </c>
      <c r="Y56" s="1"/>
      <c r="Z56" s="5">
        <f t="shared" si="38"/>
        <v>-0.91344788540000366</v>
      </c>
    </row>
    <row r="57" spans="1:26" s="23" customFormat="1" hidden="1" outlineLevel="2" x14ac:dyDescent="0.25">
      <c r="A57" s="25"/>
      <c r="B57" s="10" t="str">
        <f>CONCATENATE("          ", "6371", " - ", "COMPUTER SOFTWARE MAINTENANCE")</f>
        <v xml:space="preserve">          6371 - COMPUTER SOFTWARE MAINTENANCE</v>
      </c>
      <c r="C57" s="10"/>
      <c r="D57" s="6"/>
      <c r="E57" s="2"/>
      <c r="F57" s="7">
        <f t="shared" si="31"/>
        <v>0</v>
      </c>
      <c r="G57" s="2"/>
      <c r="H57" s="6"/>
      <c r="I57" s="2"/>
      <c r="J57" s="7">
        <f t="shared" si="32"/>
        <v>0</v>
      </c>
      <c r="K57" s="2"/>
      <c r="L57" s="6">
        <f t="shared" si="33"/>
        <v>0</v>
      </c>
      <c r="M57" s="2"/>
      <c r="N57" s="7">
        <f t="shared" si="34"/>
        <v>0</v>
      </c>
      <c r="O57" s="10"/>
      <c r="P57" s="6"/>
      <c r="Q57" s="2"/>
      <c r="R57" s="7">
        <f t="shared" si="35"/>
        <v>0</v>
      </c>
      <c r="S57" s="2"/>
      <c r="T57" s="6">
        <v>437.31</v>
      </c>
      <c r="U57" s="2"/>
      <c r="V57" s="7">
        <f t="shared" si="36"/>
        <v>8.8166947646603163E-4</v>
      </c>
      <c r="W57" s="2"/>
      <c r="X57" s="6">
        <f t="shared" si="37"/>
        <v>-437.31</v>
      </c>
      <c r="Y57" s="2"/>
      <c r="Z57" s="7">
        <f t="shared" si="38"/>
        <v>-1</v>
      </c>
    </row>
    <row r="58" spans="1:26" s="23" customFormat="1" hidden="1" outlineLevel="2" x14ac:dyDescent="0.25">
      <c r="A58" s="25"/>
      <c r="B58" s="10" t="str">
        <f>CONCATENATE("          ", "6373", " - ", "MAINTENANCE CONTRACTS")</f>
        <v xml:space="preserve">          6373 - MAINTENANCE CONTRACTS</v>
      </c>
      <c r="C58" s="10"/>
      <c r="D58" s="6">
        <v>23.95</v>
      </c>
      <c r="E58" s="2"/>
      <c r="F58" s="7">
        <f t="shared" si="31"/>
        <v>0</v>
      </c>
      <c r="G58" s="2"/>
      <c r="H58" s="6">
        <v>24.12</v>
      </c>
      <c r="I58" s="2"/>
      <c r="J58" s="7">
        <f t="shared" si="32"/>
        <v>0.20189168828994727</v>
      </c>
      <c r="K58" s="2"/>
      <c r="L58" s="6">
        <f t="shared" si="33"/>
        <v>-0.17000000000000171</v>
      </c>
      <c r="M58" s="2"/>
      <c r="N58" s="7">
        <f t="shared" si="34"/>
        <v>-7.0480928689884616E-3</v>
      </c>
      <c r="O58" s="10"/>
      <c r="P58" s="6">
        <v>96.31</v>
      </c>
      <c r="Q58" s="2"/>
      <c r="R58" s="7">
        <f t="shared" si="35"/>
        <v>0</v>
      </c>
      <c r="S58" s="2"/>
      <c r="T58" s="6">
        <v>94.85</v>
      </c>
      <c r="U58" s="2"/>
      <c r="V58" s="7">
        <f t="shared" si="36"/>
        <v>1.9122899051657427E-4</v>
      </c>
      <c r="W58" s="2"/>
      <c r="X58" s="6">
        <f t="shared" si="37"/>
        <v>1.460000000000008</v>
      </c>
      <c r="Y58" s="2"/>
      <c r="Z58" s="7">
        <f t="shared" si="38"/>
        <v>1.5392725355825072E-2</v>
      </c>
    </row>
    <row r="59" spans="1:26" s="23" customFormat="1" hidden="1" outlineLevel="2" x14ac:dyDescent="0.25">
      <c r="A59" s="25"/>
      <c r="B59" s="10" t="str">
        <f>CONCATENATE("          ", "6375", " - ", "OUTSIDE REPAIRS &amp; MAINTENANCE")</f>
        <v xml:space="preserve">          6375 - OUTSIDE REPAIRS &amp; MAINTENANCE</v>
      </c>
      <c r="C59" s="10"/>
      <c r="D59" s="6"/>
      <c r="E59" s="2"/>
      <c r="F59" s="7">
        <f t="shared" si="31"/>
        <v>0</v>
      </c>
      <c r="G59" s="2"/>
      <c r="H59" s="6"/>
      <c r="I59" s="2"/>
      <c r="J59" s="7">
        <f t="shared" si="32"/>
        <v>0</v>
      </c>
      <c r="K59" s="2"/>
      <c r="L59" s="6">
        <f t="shared" si="33"/>
        <v>0</v>
      </c>
      <c r="M59" s="2"/>
      <c r="N59" s="7">
        <f t="shared" si="34"/>
        <v>0</v>
      </c>
      <c r="O59" s="10"/>
      <c r="P59" s="6"/>
      <c r="Q59" s="2"/>
      <c r="R59" s="7">
        <f t="shared" si="35"/>
        <v>0</v>
      </c>
      <c r="S59" s="2"/>
      <c r="T59" s="6">
        <v>580.58000000000004</v>
      </c>
      <c r="U59" s="2"/>
      <c r="V59" s="7">
        <f t="shared" si="36"/>
        <v>1.1705190017302341E-3</v>
      </c>
      <c r="W59" s="2"/>
      <c r="X59" s="6">
        <f t="shared" si="37"/>
        <v>-580.58000000000004</v>
      </c>
      <c r="Y59" s="2"/>
      <c r="Z59" s="7">
        <f t="shared" si="38"/>
        <v>-1</v>
      </c>
    </row>
    <row r="60" spans="1:26" s="27" customFormat="1" outlineLevel="1" collapsed="1" x14ac:dyDescent="0.25">
      <c r="A60" s="26"/>
      <c r="B60" s="12" t="str">
        <f>CONCATENATE("     ","Services                                          ")</f>
        <v xml:space="preserve">     Services                                          </v>
      </c>
      <c r="C60" s="12"/>
      <c r="D60" s="1">
        <f>SUM(OSRRefD22_9x_0)</f>
        <v>0</v>
      </c>
      <c r="E60" s="1"/>
      <c r="F60" s="5">
        <f t="shared" ref="F60:F68" si="39">IF(D$12=0,0,D60/D$12)</f>
        <v>0</v>
      </c>
      <c r="G60" s="1"/>
      <c r="H60" s="1">
        <f>SUM(OSRRefH22_9x_0)</f>
        <v>0</v>
      </c>
      <c r="I60" s="1"/>
      <c r="J60" s="5">
        <f t="shared" ref="J60:J68" si="40">IF(H$12=0,0,H60/H$12)</f>
        <v>0</v>
      </c>
      <c r="K60" s="1"/>
      <c r="L60" s="1">
        <f t="shared" ref="L60:L68" si="41">+D60-H60</f>
        <v>0</v>
      </c>
      <c r="M60" s="1"/>
      <c r="N60" s="5">
        <f t="shared" ref="N60:N68" si="42">IF(H60=0,0,L60/H60)</f>
        <v>0</v>
      </c>
      <c r="O60" s="12"/>
      <c r="P60" s="1">
        <f>SUM(OSRRefP22_9x_0)</f>
        <v>0</v>
      </c>
      <c r="Q60" s="1"/>
      <c r="R60" s="5">
        <f t="shared" ref="R60:R68" si="43">IF(P$12=0,0,P60/P$12)</f>
        <v>0</v>
      </c>
      <c r="S60" s="1"/>
      <c r="T60" s="1">
        <f>SUM(OSRRefT22_9x_0)</f>
        <v>1180.31</v>
      </c>
      <c r="U60" s="1"/>
      <c r="V60" s="5">
        <f t="shared" ref="V60:V68" si="44">IF(T$12=0,0,T60/T$12)</f>
        <v>2.3796467031799453E-3</v>
      </c>
      <c r="W60" s="1"/>
      <c r="X60" s="1">
        <f t="shared" ref="X60:X68" si="45">+P60-T60</f>
        <v>-1180.31</v>
      </c>
      <c r="Y60" s="1"/>
      <c r="Z60" s="5">
        <f t="shared" ref="Z60:Z68" si="46">IF(T60=0,0,X60/T60)</f>
        <v>-1</v>
      </c>
    </row>
    <row r="61" spans="1:26" s="23" customFormat="1" hidden="1" outlineLevel="2" x14ac:dyDescent="0.25">
      <c r="A61" s="25"/>
      <c r="B61" s="10" t="str">
        <f>CONCATENATE("          ", "6286", " - ", "LAUNDRY EXPENSE")</f>
        <v xml:space="preserve">          6286 - LAUNDRY EXPENSE</v>
      </c>
      <c r="C61" s="10"/>
      <c r="D61" s="6"/>
      <c r="E61" s="2"/>
      <c r="F61" s="7">
        <f t="shared" si="39"/>
        <v>0</v>
      </c>
      <c r="G61" s="2"/>
      <c r="H61" s="6"/>
      <c r="I61" s="2"/>
      <c r="J61" s="7">
        <f t="shared" si="40"/>
        <v>0</v>
      </c>
      <c r="K61" s="2"/>
      <c r="L61" s="6">
        <f t="shared" si="41"/>
        <v>0</v>
      </c>
      <c r="M61" s="2"/>
      <c r="N61" s="7">
        <f t="shared" si="42"/>
        <v>0</v>
      </c>
      <c r="O61" s="10"/>
      <c r="P61" s="6"/>
      <c r="Q61" s="2"/>
      <c r="R61" s="7">
        <f t="shared" si="43"/>
        <v>0</v>
      </c>
      <c r="S61" s="2"/>
      <c r="T61" s="6">
        <v>1180.31</v>
      </c>
      <c r="U61" s="2"/>
      <c r="V61" s="7">
        <f t="shared" si="44"/>
        <v>2.3796467031799453E-3</v>
      </c>
      <c r="W61" s="2"/>
      <c r="X61" s="6">
        <f t="shared" si="45"/>
        <v>-1180.31</v>
      </c>
      <c r="Y61" s="2"/>
      <c r="Z61" s="7">
        <f t="shared" si="46"/>
        <v>-1</v>
      </c>
    </row>
    <row r="62" spans="1:26" s="27" customFormat="1" outlineLevel="1" collapsed="1" x14ac:dyDescent="0.25">
      <c r="A62" s="26"/>
      <c r="B62" s="12" t="str">
        <f>CONCATENATE("     ","Supplies                                          ")</f>
        <v xml:space="preserve">     Supplies                                          </v>
      </c>
      <c r="C62" s="12"/>
      <c r="D62" s="1">
        <f>SUM(OSRRefD22_10x_0)</f>
        <v>0</v>
      </c>
      <c r="E62" s="1"/>
      <c r="F62" s="5">
        <f t="shared" si="39"/>
        <v>0</v>
      </c>
      <c r="G62" s="1"/>
      <c r="H62" s="1">
        <f>SUM(OSRRefH22_10x_0)</f>
        <v>0</v>
      </c>
      <c r="I62" s="1"/>
      <c r="J62" s="5">
        <f t="shared" si="40"/>
        <v>0</v>
      </c>
      <c r="K62" s="1"/>
      <c r="L62" s="1">
        <f t="shared" si="41"/>
        <v>0</v>
      </c>
      <c r="M62" s="1"/>
      <c r="N62" s="5">
        <f t="shared" si="42"/>
        <v>0</v>
      </c>
      <c r="O62" s="12"/>
      <c r="P62" s="1">
        <f>SUM(OSRRefP22_10x_0)</f>
        <v>0</v>
      </c>
      <c r="Q62" s="1"/>
      <c r="R62" s="5">
        <f t="shared" si="43"/>
        <v>0</v>
      </c>
      <c r="S62" s="1"/>
      <c r="T62" s="1">
        <f>SUM(OSRRefT22_10x_0)</f>
        <v>6469.25</v>
      </c>
      <c r="U62" s="1"/>
      <c r="V62" s="5">
        <f t="shared" si="44"/>
        <v>1.3042784890873465E-2</v>
      </c>
      <c r="W62" s="1"/>
      <c r="X62" s="1">
        <f t="shared" si="45"/>
        <v>-6469.25</v>
      </c>
      <c r="Y62" s="1"/>
      <c r="Z62" s="5">
        <f t="shared" si="46"/>
        <v>-1</v>
      </c>
    </row>
    <row r="63" spans="1:26" s="23" customFormat="1" hidden="1" outlineLevel="2" x14ac:dyDescent="0.25">
      <c r="A63" s="25"/>
      <c r="B63" s="10" t="str">
        <f>CONCATENATE("          ", "6234", " - ", "EXPENDABLE SUPPLIES &amp; EQUIPMEN")</f>
        <v xml:space="preserve">          6234 - EXPENDABLE SUPPLIES &amp; EQUIPMEN</v>
      </c>
      <c r="C63" s="10"/>
      <c r="D63" s="6"/>
      <c r="E63" s="2"/>
      <c r="F63" s="7">
        <f t="shared" si="39"/>
        <v>0</v>
      </c>
      <c r="G63" s="2"/>
      <c r="H63" s="6"/>
      <c r="I63" s="2"/>
      <c r="J63" s="7">
        <f t="shared" si="40"/>
        <v>0</v>
      </c>
      <c r="K63" s="2"/>
      <c r="L63" s="6">
        <f t="shared" si="41"/>
        <v>0</v>
      </c>
      <c r="M63" s="2"/>
      <c r="N63" s="7">
        <f t="shared" si="42"/>
        <v>0</v>
      </c>
      <c r="O63" s="10"/>
      <c r="P63" s="6"/>
      <c r="Q63" s="2"/>
      <c r="R63" s="7">
        <f t="shared" si="43"/>
        <v>0</v>
      </c>
      <c r="S63" s="2"/>
      <c r="T63" s="6">
        <v>354.82</v>
      </c>
      <c r="U63" s="2"/>
      <c r="V63" s="7">
        <f t="shared" si="44"/>
        <v>7.1535973025926088E-4</v>
      </c>
      <c r="W63" s="2"/>
      <c r="X63" s="6">
        <f t="shared" si="45"/>
        <v>-354.82</v>
      </c>
      <c r="Y63" s="2"/>
      <c r="Z63" s="7">
        <f t="shared" si="46"/>
        <v>-1</v>
      </c>
    </row>
    <row r="64" spans="1:26" s="23" customFormat="1" hidden="1" outlineLevel="2" x14ac:dyDescent="0.25">
      <c r="A64" s="25"/>
      <c r="B64" s="10" t="str">
        <f>CONCATENATE("          ", "6237", " - ", "JANITORIAL SUPPLIES")</f>
        <v xml:space="preserve">          6237 - JANITORIAL SUPPLIES</v>
      </c>
      <c r="C64" s="10"/>
      <c r="D64" s="6"/>
      <c r="E64" s="2"/>
      <c r="F64" s="7">
        <f t="shared" si="39"/>
        <v>0</v>
      </c>
      <c r="G64" s="2"/>
      <c r="H64" s="6"/>
      <c r="I64" s="2"/>
      <c r="J64" s="7">
        <f t="shared" si="40"/>
        <v>0</v>
      </c>
      <c r="K64" s="2"/>
      <c r="L64" s="6">
        <f t="shared" si="41"/>
        <v>0</v>
      </c>
      <c r="M64" s="2"/>
      <c r="N64" s="7">
        <f t="shared" si="42"/>
        <v>0</v>
      </c>
      <c r="O64" s="10"/>
      <c r="P64" s="6"/>
      <c r="Q64" s="2"/>
      <c r="R64" s="7">
        <f t="shared" si="43"/>
        <v>0</v>
      </c>
      <c r="S64" s="2"/>
      <c r="T64" s="6">
        <v>151.25</v>
      </c>
      <c r="U64" s="2"/>
      <c r="V64" s="7">
        <f t="shared" si="44"/>
        <v>3.0493816358072599E-4</v>
      </c>
      <c r="W64" s="2"/>
      <c r="X64" s="6">
        <f t="shared" si="45"/>
        <v>-151.25</v>
      </c>
      <c r="Y64" s="2"/>
      <c r="Z64" s="7">
        <f t="shared" si="46"/>
        <v>-1</v>
      </c>
    </row>
    <row r="65" spans="1:26" s="23" customFormat="1" hidden="1" outlineLevel="2" x14ac:dyDescent="0.25">
      <c r="A65" s="25"/>
      <c r="B65" s="10" t="str">
        <f>CONCATENATE("          ", "6241", " - ", "OFFICE EXPENSE")</f>
        <v xml:space="preserve">          6241 - OFFICE EXPENSE</v>
      </c>
      <c r="C65" s="10"/>
      <c r="D65" s="6"/>
      <c r="E65" s="2"/>
      <c r="F65" s="7">
        <f t="shared" si="39"/>
        <v>0</v>
      </c>
      <c r="G65" s="2"/>
      <c r="H65" s="6"/>
      <c r="I65" s="2"/>
      <c r="J65" s="7">
        <f t="shared" si="40"/>
        <v>0</v>
      </c>
      <c r="K65" s="2"/>
      <c r="L65" s="6">
        <f t="shared" si="41"/>
        <v>0</v>
      </c>
      <c r="M65" s="2"/>
      <c r="N65" s="7">
        <f t="shared" si="42"/>
        <v>0</v>
      </c>
      <c r="O65" s="10"/>
      <c r="P65" s="6"/>
      <c r="Q65" s="2"/>
      <c r="R65" s="7">
        <f t="shared" si="43"/>
        <v>0</v>
      </c>
      <c r="S65" s="2"/>
      <c r="T65" s="6">
        <v>328.56</v>
      </c>
      <c r="U65" s="2"/>
      <c r="V65" s="7">
        <f t="shared" si="44"/>
        <v>6.6241641670137749E-4</v>
      </c>
      <c r="W65" s="2"/>
      <c r="X65" s="6">
        <f t="shared" si="45"/>
        <v>-328.56</v>
      </c>
      <c r="Y65" s="2"/>
      <c r="Z65" s="7">
        <f t="shared" si="46"/>
        <v>-1</v>
      </c>
    </row>
    <row r="66" spans="1:26" s="23" customFormat="1" hidden="1" outlineLevel="2" x14ac:dyDescent="0.25">
      <c r="A66" s="25"/>
      <c r="B66" s="10" t="str">
        <f>CONCATENATE("          ", "6245", " - ", "PRINTING")</f>
        <v xml:space="preserve">          6245 - PRINTING</v>
      </c>
      <c r="C66" s="10"/>
      <c r="D66" s="6"/>
      <c r="E66" s="2"/>
      <c r="F66" s="7">
        <f t="shared" si="39"/>
        <v>0</v>
      </c>
      <c r="G66" s="2"/>
      <c r="H66" s="6"/>
      <c r="I66" s="2"/>
      <c r="J66" s="7">
        <f t="shared" si="40"/>
        <v>0</v>
      </c>
      <c r="K66" s="2"/>
      <c r="L66" s="6">
        <f t="shared" si="41"/>
        <v>0</v>
      </c>
      <c r="M66" s="2"/>
      <c r="N66" s="7">
        <f t="shared" si="42"/>
        <v>0</v>
      </c>
      <c r="O66" s="10"/>
      <c r="P66" s="6"/>
      <c r="Q66" s="2"/>
      <c r="R66" s="7">
        <f t="shared" si="43"/>
        <v>0</v>
      </c>
      <c r="S66" s="2"/>
      <c r="T66" s="6">
        <v>81.739999999999995</v>
      </c>
      <c r="U66" s="2"/>
      <c r="V66" s="7">
        <f t="shared" si="44"/>
        <v>1.6479765613942838E-4</v>
      </c>
      <c r="W66" s="2"/>
      <c r="X66" s="6">
        <f t="shared" si="45"/>
        <v>-81.739999999999995</v>
      </c>
      <c r="Y66" s="2"/>
      <c r="Z66" s="7">
        <f t="shared" si="46"/>
        <v>-1</v>
      </c>
    </row>
    <row r="67" spans="1:26" s="23" customFormat="1" hidden="1" outlineLevel="2" x14ac:dyDescent="0.25">
      <c r="A67" s="25"/>
      <c r="B67" s="10" t="str">
        <f>CONCATENATE("          ", "6247", " - ", "STORE SUPPLIES")</f>
        <v xml:space="preserve">          6247 - STORE SUPPLIES</v>
      </c>
      <c r="C67" s="10"/>
      <c r="D67" s="6"/>
      <c r="E67" s="2"/>
      <c r="F67" s="7">
        <f t="shared" si="39"/>
        <v>0</v>
      </c>
      <c r="G67" s="2"/>
      <c r="H67" s="6"/>
      <c r="I67" s="2"/>
      <c r="J67" s="7">
        <f t="shared" si="40"/>
        <v>0</v>
      </c>
      <c r="K67" s="2"/>
      <c r="L67" s="6">
        <f t="shared" si="41"/>
        <v>0</v>
      </c>
      <c r="M67" s="2"/>
      <c r="N67" s="7">
        <f t="shared" si="42"/>
        <v>0</v>
      </c>
      <c r="O67" s="10"/>
      <c r="P67" s="6"/>
      <c r="Q67" s="2"/>
      <c r="R67" s="7">
        <f t="shared" si="43"/>
        <v>0</v>
      </c>
      <c r="S67" s="2"/>
      <c r="T67" s="6">
        <v>5518.43</v>
      </c>
      <c r="U67" s="2"/>
      <c r="V67" s="7">
        <f t="shared" si="44"/>
        <v>1.112581758709941E-2</v>
      </c>
      <c r="W67" s="2"/>
      <c r="X67" s="6">
        <f t="shared" si="45"/>
        <v>-5518.43</v>
      </c>
      <c r="Y67" s="2"/>
      <c r="Z67" s="7">
        <f t="shared" si="46"/>
        <v>-1</v>
      </c>
    </row>
    <row r="68" spans="1:26" s="23" customFormat="1" hidden="1" outlineLevel="2" x14ac:dyDescent="0.25">
      <c r="A68" s="25"/>
      <c r="B68" s="10" t="str">
        <f>CONCATENATE("          ", "6248", " - ", "UNIFORMS")</f>
        <v xml:space="preserve">          6248 - UNIFORMS</v>
      </c>
      <c r="C68" s="10"/>
      <c r="D68" s="6"/>
      <c r="E68" s="2"/>
      <c r="F68" s="7">
        <f t="shared" si="39"/>
        <v>0</v>
      </c>
      <c r="G68" s="2"/>
      <c r="H68" s="6"/>
      <c r="I68" s="2"/>
      <c r="J68" s="7">
        <f t="shared" si="40"/>
        <v>0</v>
      </c>
      <c r="K68" s="2"/>
      <c r="L68" s="6">
        <f t="shared" si="41"/>
        <v>0</v>
      </c>
      <c r="M68" s="2"/>
      <c r="N68" s="7">
        <f t="shared" si="42"/>
        <v>0</v>
      </c>
      <c r="O68" s="10"/>
      <c r="P68" s="6"/>
      <c r="Q68" s="2"/>
      <c r="R68" s="7">
        <f t="shared" si="43"/>
        <v>0</v>
      </c>
      <c r="S68" s="2"/>
      <c r="T68" s="6">
        <v>34.450000000000003</v>
      </c>
      <c r="U68" s="2"/>
      <c r="V68" s="7">
        <f t="shared" si="44"/>
        <v>6.9455337093262895E-5</v>
      </c>
      <c r="W68" s="2"/>
      <c r="X68" s="6">
        <f t="shared" si="45"/>
        <v>-34.450000000000003</v>
      </c>
      <c r="Y68" s="2"/>
      <c r="Z68" s="7">
        <f t="shared" si="46"/>
        <v>-1</v>
      </c>
    </row>
    <row r="69" spans="1:26" s="27" customFormat="1" outlineLevel="1" collapsed="1" x14ac:dyDescent="0.25">
      <c r="A69" s="26"/>
      <c r="B69" s="12" t="str">
        <f>CONCATENATE("     ","Telephone/Data Lines                              ")</f>
        <v xml:space="preserve">     Telephone/Data Lines                              </v>
      </c>
      <c r="C69" s="12"/>
      <c r="D69" s="1">
        <f>SUM(OSRRefD22_11x_0)</f>
        <v>72.05</v>
      </c>
      <c r="E69" s="1"/>
      <c r="F69" s="5">
        <f t="shared" ref="F69:F72" si="47">IF(D$12=0,0,D69/D$12)</f>
        <v>0</v>
      </c>
      <c r="G69" s="1"/>
      <c r="H69" s="1">
        <f>SUM(OSRRefH22_11x_0)</f>
        <v>120.4</v>
      </c>
      <c r="I69" s="1"/>
      <c r="J69" s="5">
        <f t="shared" ref="J69:J72" si="48">IF(H$12=0,0,H69/H$12)</f>
        <v>1.0077843810161546</v>
      </c>
      <c r="K69" s="1"/>
      <c r="L69" s="1">
        <f t="shared" ref="L69:L72" si="49">+D69-H69</f>
        <v>-48.350000000000009</v>
      </c>
      <c r="M69" s="1"/>
      <c r="N69" s="5">
        <f t="shared" ref="N69:N72" si="50">IF(H69=0,0,L69/H69)</f>
        <v>-0.40157807308970106</v>
      </c>
      <c r="O69" s="12"/>
      <c r="P69" s="1">
        <f>SUM(OSRRefP22_11x_0)</f>
        <v>1229.75</v>
      </c>
      <c r="Q69" s="1"/>
      <c r="R69" s="5">
        <f t="shared" ref="R69:R72" si="51">IF(P$12=0,0,P69/P$12)</f>
        <v>0</v>
      </c>
      <c r="S69" s="1"/>
      <c r="T69" s="1">
        <f>SUM(OSRRefT22_11x_0)</f>
        <v>1493.23</v>
      </c>
      <c r="U69" s="1"/>
      <c r="V69" s="5">
        <f t="shared" ref="V69:V72" si="52">IF(T$12=0,0,T69/T$12)</f>
        <v>3.0105310016770082E-3</v>
      </c>
      <c r="W69" s="1"/>
      <c r="X69" s="1">
        <f t="shared" ref="X69:X72" si="53">+P69-T69</f>
        <v>-263.48</v>
      </c>
      <c r="Y69" s="1"/>
      <c r="Z69" s="5">
        <f t="shared" ref="Z69:Z72" si="54">IF(T69=0,0,X69/T69)</f>
        <v>-0.176449709689733</v>
      </c>
    </row>
    <row r="70" spans="1:26" s="23" customFormat="1" hidden="1" outlineLevel="2" x14ac:dyDescent="0.25">
      <c r="A70" s="25"/>
      <c r="B70" s="10" t="str">
        <f>CONCATENATE("          ", "6309", " - ", "TELEPHONE")</f>
        <v xml:space="preserve">          6309 - TELEPHONE</v>
      </c>
      <c r="C70" s="10"/>
      <c r="D70" s="6">
        <v>72.05</v>
      </c>
      <c r="E70" s="2"/>
      <c r="F70" s="7">
        <f t="shared" si="47"/>
        <v>0</v>
      </c>
      <c r="G70" s="2"/>
      <c r="H70" s="6">
        <v>120.4</v>
      </c>
      <c r="I70" s="2"/>
      <c r="J70" s="7">
        <f t="shared" si="48"/>
        <v>1.0077843810161546</v>
      </c>
      <c r="K70" s="2"/>
      <c r="L70" s="6">
        <f t="shared" si="49"/>
        <v>-48.350000000000009</v>
      </c>
      <c r="M70" s="2"/>
      <c r="N70" s="7">
        <f t="shared" si="50"/>
        <v>-0.40157807308970106</v>
      </c>
      <c r="O70" s="10"/>
      <c r="P70" s="6">
        <v>1229.75</v>
      </c>
      <c r="Q70" s="2"/>
      <c r="R70" s="7">
        <f t="shared" si="51"/>
        <v>0</v>
      </c>
      <c r="S70" s="2"/>
      <c r="T70" s="6">
        <v>1493.23</v>
      </c>
      <c r="U70" s="2"/>
      <c r="V70" s="7">
        <f t="shared" si="52"/>
        <v>3.0105310016770082E-3</v>
      </c>
      <c r="W70" s="2"/>
      <c r="X70" s="6">
        <f t="shared" si="53"/>
        <v>-263.48</v>
      </c>
      <c r="Y70" s="2"/>
      <c r="Z70" s="7">
        <f t="shared" si="54"/>
        <v>-0.176449709689733</v>
      </c>
    </row>
    <row r="71" spans="1:26" s="27" customFormat="1" outlineLevel="1" collapsed="1" x14ac:dyDescent="0.25">
      <c r="A71" s="26"/>
      <c r="B71" s="12" t="str">
        <f>CONCATENATE("     ","Training                                          ")</f>
        <v xml:space="preserve">     Training                                          </v>
      </c>
      <c r="C71" s="12"/>
      <c r="D71" s="1">
        <f>SUM(OSRRefD22_12x_0)</f>
        <v>0</v>
      </c>
      <c r="E71" s="1"/>
      <c r="F71" s="5">
        <f t="shared" si="47"/>
        <v>0</v>
      </c>
      <c r="G71" s="1"/>
      <c r="H71" s="1">
        <f>SUM(OSRRefH22_12x_0)</f>
        <v>0</v>
      </c>
      <c r="I71" s="1"/>
      <c r="J71" s="5">
        <f t="shared" si="48"/>
        <v>0</v>
      </c>
      <c r="K71" s="1"/>
      <c r="L71" s="1">
        <f t="shared" si="49"/>
        <v>0</v>
      </c>
      <c r="M71" s="1"/>
      <c r="N71" s="5">
        <f t="shared" si="50"/>
        <v>0</v>
      </c>
      <c r="O71" s="12"/>
      <c r="P71" s="1">
        <f>SUM(OSRRefP22_12x_0)</f>
        <v>0</v>
      </c>
      <c r="Q71" s="1"/>
      <c r="R71" s="5">
        <f t="shared" si="51"/>
        <v>0</v>
      </c>
      <c r="S71" s="1"/>
      <c r="T71" s="1">
        <f>SUM(OSRRefT22_12x_0)</f>
        <v>96</v>
      </c>
      <c r="U71" s="1"/>
      <c r="V71" s="5">
        <f t="shared" si="52"/>
        <v>1.9354752861983272E-4</v>
      </c>
      <c r="W71" s="1"/>
      <c r="X71" s="1">
        <f t="shared" si="53"/>
        <v>-96</v>
      </c>
      <c r="Y71" s="1"/>
      <c r="Z71" s="5">
        <f t="shared" si="54"/>
        <v>-1</v>
      </c>
    </row>
    <row r="72" spans="1:26" s="23" customFormat="1" hidden="1" outlineLevel="2" x14ac:dyDescent="0.25">
      <c r="A72" s="25"/>
      <c r="B72" s="10" t="str">
        <f>CONCATENATE("          ", "6376", " - ", "TRAINING")</f>
        <v xml:space="preserve">          6376 - TRAINING</v>
      </c>
      <c r="C72" s="10"/>
      <c r="D72" s="6"/>
      <c r="E72" s="2"/>
      <c r="F72" s="7">
        <f t="shared" si="47"/>
        <v>0</v>
      </c>
      <c r="G72" s="2"/>
      <c r="H72" s="6"/>
      <c r="I72" s="2"/>
      <c r="J72" s="7">
        <f t="shared" si="48"/>
        <v>0</v>
      </c>
      <c r="K72" s="2"/>
      <c r="L72" s="6">
        <f t="shared" si="49"/>
        <v>0</v>
      </c>
      <c r="M72" s="2"/>
      <c r="N72" s="7">
        <f t="shared" si="50"/>
        <v>0</v>
      </c>
      <c r="O72" s="10"/>
      <c r="P72" s="6"/>
      <c r="Q72" s="2"/>
      <c r="R72" s="7">
        <f t="shared" si="51"/>
        <v>0</v>
      </c>
      <c r="S72" s="2"/>
      <c r="T72" s="6">
        <v>96</v>
      </c>
      <c r="U72" s="2"/>
      <c r="V72" s="7">
        <f t="shared" si="52"/>
        <v>1.9354752861983272E-4</v>
      </c>
      <c r="W72" s="2"/>
      <c r="X72" s="6">
        <f t="shared" si="53"/>
        <v>-96</v>
      </c>
      <c r="Y72" s="2"/>
      <c r="Z72" s="7">
        <f t="shared" si="54"/>
        <v>-1</v>
      </c>
    </row>
    <row r="73" spans="1:26" s="52" customFormat="1" x14ac:dyDescent="0.25">
      <c r="A73" s="37"/>
      <c r="B73" s="37"/>
      <c r="C73" s="37"/>
      <c r="D73" s="1"/>
      <c r="E73" s="1"/>
      <c r="F73" s="5"/>
      <c r="G73" s="1"/>
      <c r="H73" s="1"/>
      <c r="I73" s="1"/>
      <c r="J73" s="5"/>
      <c r="K73" s="1"/>
      <c r="L73" s="1"/>
      <c r="M73" s="1"/>
      <c r="N73" s="5"/>
      <c r="O73" s="37"/>
      <c r="P73" s="1"/>
      <c r="Q73" s="1"/>
      <c r="R73" s="5"/>
      <c r="S73" s="1"/>
      <c r="T73" s="1"/>
      <c r="U73" s="1"/>
      <c r="V73" s="5"/>
      <c r="W73" s="1"/>
      <c r="X73" s="1"/>
      <c r="Y73" s="1"/>
      <c r="Z73" s="5"/>
    </row>
    <row r="74" spans="1:26" s="24" customFormat="1" x14ac:dyDescent="0.25">
      <c r="A74" s="11"/>
      <c r="B74" s="29" t="s">
        <v>292</v>
      </c>
      <c r="C74" s="11"/>
      <c r="D74" s="4">
        <f>SUM(0)</f>
        <v>0</v>
      </c>
      <c r="E74" s="4"/>
      <c r="F74" s="13">
        <f>IF(D$12=0,0,D74/D$12)</f>
        <v>0</v>
      </c>
      <c r="G74" s="4"/>
      <c r="H74" s="4">
        <f>SUM(0)</f>
        <v>0</v>
      </c>
      <c r="I74" s="4"/>
      <c r="J74" s="13">
        <f>IF(H$12=0,0,H74/H$12)</f>
        <v>0</v>
      </c>
      <c r="K74" s="4"/>
      <c r="L74" s="4">
        <f>+D74-H74</f>
        <v>0</v>
      </c>
      <c r="M74" s="4"/>
      <c r="N74" s="13">
        <f>IF(H74=0,0,L74/H74)</f>
        <v>0</v>
      </c>
      <c r="O74" s="11"/>
      <c r="P74" s="4">
        <f>SUM(0)</f>
        <v>0</v>
      </c>
      <c r="Q74" s="4"/>
      <c r="R74" s="13">
        <f>IF(P$12=0,0,P74/P$12)</f>
        <v>0</v>
      </c>
      <c r="S74" s="4"/>
      <c r="T74" s="4">
        <f>SUM(0)</f>
        <v>0</v>
      </c>
      <c r="U74" s="4"/>
      <c r="V74" s="13">
        <f>IF(T$12=0,0,T74/T$12)</f>
        <v>0</v>
      </c>
      <c r="W74" s="4"/>
      <c r="X74" s="4">
        <f>+P74-T74</f>
        <v>0</v>
      </c>
      <c r="Y74" s="4"/>
      <c r="Z74" s="13">
        <f>IF(T74=0,0,X74/T74)</f>
        <v>0</v>
      </c>
    </row>
    <row r="75" spans="1:26" x14ac:dyDescent="0.25">
      <c r="A75" s="9"/>
      <c r="B75" s="11"/>
      <c r="C75" s="11"/>
      <c r="D75" s="3"/>
      <c r="E75" s="3"/>
      <c r="F75" s="8"/>
      <c r="G75" s="3"/>
      <c r="H75" s="3"/>
      <c r="I75" s="3"/>
      <c r="J75" s="8"/>
      <c r="K75" s="3"/>
      <c r="L75" s="3"/>
      <c r="M75" s="3"/>
      <c r="N75" s="8"/>
      <c r="O75" s="11"/>
      <c r="P75" s="3"/>
      <c r="Q75" s="3"/>
      <c r="R75" s="8"/>
      <c r="S75" s="3"/>
      <c r="T75" s="3"/>
      <c r="U75" s="3"/>
      <c r="V75" s="8"/>
      <c r="W75" s="3"/>
      <c r="X75" s="3"/>
      <c r="Y75" s="3"/>
      <c r="Z75" s="8"/>
    </row>
    <row r="76" spans="1:26" s="24" customFormat="1" x14ac:dyDescent="0.25">
      <c r="A76" s="11"/>
      <c r="B76" s="28" t="s">
        <v>276</v>
      </c>
      <c r="C76" s="28"/>
      <c r="D76" s="21">
        <f>+D25-D27+D74</f>
        <v>-204</v>
      </c>
      <c r="E76" s="14"/>
      <c r="F76" s="22">
        <f>IF(D$12=0,0,D76/D$12)</f>
        <v>0</v>
      </c>
      <c r="G76" s="14"/>
      <c r="H76" s="21">
        <f>+H25-H27+H74</f>
        <v>-7832.8599999999988</v>
      </c>
      <c r="I76" s="14"/>
      <c r="J76" s="22">
        <f>IF(H$12=0,0,H76/H$12)</f>
        <v>-65.5634050389219</v>
      </c>
      <c r="K76" s="15"/>
      <c r="L76" s="21">
        <f>+D76-H76</f>
        <v>7628.8599999999988</v>
      </c>
      <c r="M76" s="15"/>
      <c r="N76" s="22">
        <f>IF(H76=0,0,L76/H76)</f>
        <v>-0.97395587307828813</v>
      </c>
      <c r="O76" s="29"/>
      <c r="P76" s="21">
        <f>+P25-P27+P74</f>
        <v>-46424.57</v>
      </c>
      <c r="Q76" s="14"/>
      <c r="R76" s="22">
        <f>IF(P$12=0,0,P76/P$12)</f>
        <v>0</v>
      </c>
      <c r="S76" s="14"/>
      <c r="T76" s="21">
        <f>+T25-T27+T74</f>
        <v>56820.560000000085</v>
      </c>
      <c r="U76" s="14"/>
      <c r="V76" s="22">
        <f>IF(T$12=0,0,T76/T$12)</f>
        <v>0.11455707252911394</v>
      </c>
      <c r="W76" s="15"/>
      <c r="X76" s="21">
        <f>+P76-T76</f>
        <v>-103245.13000000009</v>
      </c>
      <c r="Y76" s="15"/>
      <c r="Z76" s="22">
        <f>IF(T76=0,0,X76/T76)</f>
        <v>-1.8170382340476745</v>
      </c>
    </row>
    <row r="77" spans="1:26" x14ac:dyDescent="0.25">
      <c r="A77" s="9"/>
      <c r="B77" s="11"/>
      <c r="C77" s="9"/>
      <c r="D77" s="3"/>
      <c r="E77" s="3"/>
      <c r="F77" s="8"/>
      <c r="G77" s="3"/>
      <c r="H77" s="3"/>
      <c r="I77" s="3"/>
      <c r="J77" s="8"/>
      <c r="K77" s="3"/>
      <c r="L77" s="3"/>
      <c r="M77" s="3"/>
      <c r="N77" s="8"/>
      <c r="P77" s="3"/>
      <c r="Q77" s="3"/>
      <c r="R77" s="8"/>
      <c r="S77" s="3"/>
      <c r="T77" s="3"/>
      <c r="U77" s="3"/>
      <c r="V77" s="8"/>
      <c r="W77" s="3"/>
      <c r="X77" s="3"/>
      <c r="Y77" s="3"/>
      <c r="Z77" s="8"/>
    </row>
    <row r="78" spans="1:26" s="24" customFormat="1" x14ac:dyDescent="0.25">
      <c r="A78" s="51"/>
      <c r="B78" s="11" t="s">
        <v>127</v>
      </c>
      <c r="C78" s="11"/>
      <c r="D78" s="4"/>
      <c r="E78" s="4"/>
      <c r="F78" s="13">
        <f>IF(D$12=0,0,D78/D$12)</f>
        <v>0</v>
      </c>
      <c r="G78" s="4"/>
      <c r="H78" s="4">
        <v>16383.23</v>
      </c>
      <c r="I78" s="4"/>
      <c r="J78" s="13">
        <f>IF(H$12=0,0,H78/H$12)</f>
        <v>137.13258558633967</v>
      </c>
      <c r="K78" s="4"/>
      <c r="L78" s="4">
        <f>+D78-H78</f>
        <v>-16383.23</v>
      </c>
      <c r="M78" s="4"/>
      <c r="N78" s="13">
        <f>IF(H78=0,0,L78/H78)</f>
        <v>-1</v>
      </c>
      <c r="O78" s="11"/>
      <c r="P78" s="4"/>
      <c r="Q78" s="4"/>
      <c r="R78" s="13">
        <f>IF(P$12=0,0,P78/P$12)</f>
        <v>0</v>
      </c>
      <c r="S78" s="4"/>
      <c r="T78" s="4">
        <v>75105.95</v>
      </c>
      <c r="U78" s="4"/>
      <c r="V78" s="13">
        <f>IF(T$12=0,0,T78/T$12)</f>
        <v>0.15142261465775753</v>
      </c>
      <c r="W78" s="4"/>
      <c r="X78" s="4">
        <f>+P78-T78</f>
        <v>-75105.95</v>
      </c>
      <c r="Y78" s="4"/>
      <c r="Z78" s="13">
        <f>IF(T78=0,0,X78/T78)</f>
        <v>-1</v>
      </c>
    </row>
    <row r="79" spans="1:26" x14ac:dyDescent="0.25">
      <c r="A79" s="9"/>
      <c r="B79" s="11"/>
      <c r="C79" s="11"/>
      <c r="D79" s="3"/>
      <c r="E79" s="3"/>
      <c r="F79" s="8"/>
      <c r="G79" s="3"/>
      <c r="H79" s="3"/>
      <c r="I79" s="3"/>
      <c r="J79" s="8"/>
      <c r="K79" s="3"/>
      <c r="L79" s="3"/>
      <c r="M79" s="3"/>
      <c r="N79" s="8"/>
      <c r="O79" s="11"/>
      <c r="P79" s="3"/>
      <c r="Q79" s="3"/>
      <c r="R79" s="8"/>
      <c r="S79" s="3"/>
      <c r="T79" s="3"/>
      <c r="U79" s="3"/>
      <c r="V79" s="8"/>
      <c r="W79" s="3"/>
      <c r="X79" s="3"/>
      <c r="Y79" s="3"/>
      <c r="Z79" s="8"/>
    </row>
    <row r="80" spans="1:26" s="24" customFormat="1" ht="15.75" thickBot="1" x14ac:dyDescent="0.3">
      <c r="A80" s="11"/>
      <c r="B80" s="28" t="s">
        <v>125</v>
      </c>
      <c r="C80" s="28"/>
      <c r="D80" s="34">
        <f>+D76-D78</f>
        <v>-204</v>
      </c>
      <c r="E80" s="14"/>
      <c r="F80" s="31">
        <f>IF(D$12=0,0,D80/D$12)</f>
        <v>0</v>
      </c>
      <c r="G80" s="14"/>
      <c r="H80" s="34">
        <f>+H76-H78</f>
        <v>-24216.089999999997</v>
      </c>
      <c r="I80" s="14"/>
      <c r="J80" s="31">
        <f>IF(H$12=0,0,H80/H$12)</f>
        <v>-202.69599062526154</v>
      </c>
      <c r="K80" s="15"/>
      <c r="L80" s="34">
        <f>D80-H80</f>
        <v>24012.089999999997</v>
      </c>
      <c r="M80" s="15"/>
      <c r="N80" s="31">
        <f>IF(H80=0,0,L80/H80)</f>
        <v>-0.99157584895001627</v>
      </c>
      <c r="O80" s="29"/>
      <c r="P80" s="34">
        <f>+P76-P78</f>
        <v>-46424.57</v>
      </c>
      <c r="Q80" s="14"/>
      <c r="R80" s="31">
        <f>IF(P$12=0,0,P80/P$12)</f>
        <v>0</v>
      </c>
      <c r="S80" s="14"/>
      <c r="T80" s="34">
        <f>+T76-T78</f>
        <v>-18285.389999999912</v>
      </c>
      <c r="U80" s="14"/>
      <c r="V80" s="31">
        <f>IF(T$12=0,0,T80/T$12)</f>
        <v>-3.6865542128643604E-2</v>
      </c>
      <c r="W80" s="15"/>
      <c r="X80" s="34">
        <f>P80-T80</f>
        <v>-28139.180000000088</v>
      </c>
      <c r="Y80" s="15"/>
      <c r="Z80" s="31">
        <f>IF(T80=0,0,X80/T80)</f>
        <v>1.5388886974792566</v>
      </c>
    </row>
    <row r="81" spans="1:26" ht="15.75" thickTop="1" x14ac:dyDescent="0.25">
      <c r="A81" s="9"/>
      <c r="B81" s="9"/>
      <c r="C81" s="9"/>
      <c r="D81" s="3"/>
      <c r="E81" s="3"/>
      <c r="F81" s="8"/>
      <c r="G81" s="3"/>
      <c r="H81" s="3"/>
      <c r="I81" s="3"/>
      <c r="J81" s="8"/>
      <c r="K81" s="3"/>
      <c r="L81" s="3"/>
      <c r="M81" s="3"/>
      <c r="N81" s="8"/>
      <c r="P81" s="3"/>
      <c r="Q81" s="3"/>
      <c r="R81" s="8"/>
      <c r="S81" s="3"/>
      <c r="T81" s="3"/>
      <c r="U81" s="3"/>
      <c r="V81" s="8"/>
      <c r="W81" s="3"/>
      <c r="X81" s="3"/>
      <c r="Y81" s="3"/>
      <c r="Z81" s="8"/>
    </row>
    <row r="82" spans="1:26" x14ac:dyDescent="0.25">
      <c r="A82" s="9"/>
      <c r="B82" s="9"/>
      <c r="C82" s="9"/>
      <c r="D82" s="3"/>
      <c r="E82" s="3"/>
      <c r="F82" s="8"/>
      <c r="G82" s="3"/>
      <c r="H82" s="3"/>
      <c r="I82" s="3"/>
      <c r="J82" s="8"/>
      <c r="K82" s="3"/>
      <c r="L82" s="3"/>
      <c r="M82" s="3"/>
      <c r="N82" s="8"/>
      <c r="P82" s="3"/>
      <c r="Q82" s="3"/>
      <c r="R82" s="8"/>
      <c r="S82" s="3"/>
      <c r="T82" s="3"/>
      <c r="U82" s="3"/>
      <c r="V82" s="8"/>
      <c r="W82" s="3"/>
      <c r="X82" s="3"/>
      <c r="Y82" s="3"/>
      <c r="Z82" s="8"/>
    </row>
    <row r="83" spans="1:26" s="24" customFormat="1" ht="15.75" thickBot="1" x14ac:dyDescent="0.3">
      <c r="A83" s="11"/>
      <c r="B83" s="28" t="s">
        <v>293</v>
      </c>
      <c r="C83" s="28"/>
      <c r="D83" s="33">
        <f>SUM(D80:D82)</f>
        <v>-204</v>
      </c>
      <c r="E83" s="14"/>
      <c r="F83" s="35">
        <f>IF(D$12=0,0,D83/D$12)</f>
        <v>0</v>
      </c>
      <c r="G83" s="14"/>
      <c r="H83" s="33">
        <f>SUM(H80:H82)</f>
        <v>-24216.089999999997</v>
      </c>
      <c r="I83" s="14"/>
      <c r="J83" s="35">
        <f>IF(H$12=0,0,H83/H$12)</f>
        <v>-202.69599062526154</v>
      </c>
      <c r="K83" s="15"/>
      <c r="L83" s="33">
        <f>+D83-H83</f>
        <v>24012.089999999997</v>
      </c>
      <c r="M83" s="15"/>
      <c r="N83" s="35">
        <f>IF(H83=0,0,L83/H83)</f>
        <v>-0.99157584895001627</v>
      </c>
      <c r="O83" s="29"/>
      <c r="P83" s="33">
        <f>SUM(P80:P82)</f>
        <v>-46424.57</v>
      </c>
      <c r="Q83" s="14"/>
      <c r="R83" s="35">
        <f>IF(P$12=0,0,P83/P$12)</f>
        <v>0</v>
      </c>
      <c r="S83" s="14"/>
      <c r="T83" s="33">
        <f>SUM(T80:T82)</f>
        <v>-18285.389999999912</v>
      </c>
      <c r="U83" s="14"/>
      <c r="V83" s="35">
        <f>IF(T$12=0,0,T83/T$12)</f>
        <v>-3.6865542128643604E-2</v>
      </c>
      <c r="W83" s="15"/>
      <c r="X83" s="33">
        <f>+P83-T83</f>
        <v>-28139.180000000088</v>
      </c>
      <c r="Y83" s="15"/>
      <c r="Z83" s="35">
        <f>IF(T83=0,0,X83/T83)</f>
        <v>1.5388886974792566</v>
      </c>
    </row>
    <row r="84" spans="1:26" ht="15.75" thickTop="1" x14ac:dyDescent="0.25">
      <c r="A84" s="9"/>
      <c r="C84" s="9"/>
      <c r="D84" s="18"/>
      <c r="E84" s="18"/>
      <c r="G84" s="18"/>
      <c r="H84" s="18"/>
      <c r="I84" s="18"/>
      <c r="J84" s="43"/>
      <c r="K84" s="18"/>
      <c r="L84" s="18"/>
      <c r="M84" s="18"/>
      <c r="P84" s="18"/>
      <c r="Q84" s="18"/>
      <c r="R84" s="43"/>
      <c r="S84" s="18"/>
      <c r="T84" s="18"/>
      <c r="U84" s="18"/>
      <c r="V84" s="43"/>
      <c r="W84" s="18"/>
      <c r="X84" s="18"/>
    </row>
    <row r="85" spans="1:26" x14ac:dyDescent="0.25">
      <c r="A85" s="9"/>
      <c r="B85" s="56">
        <v>44454.698585613427</v>
      </c>
      <c r="D85" s="18"/>
      <c r="E85" s="18"/>
      <c r="G85" s="18"/>
      <c r="H85" s="18"/>
      <c r="I85" s="18"/>
      <c r="J85" s="43"/>
      <c r="K85" s="18"/>
      <c r="L85" s="18"/>
      <c r="M85" s="18"/>
      <c r="P85" s="18"/>
      <c r="Q85" s="18"/>
      <c r="R85" s="43"/>
      <c r="S85" s="18"/>
      <c r="T85" s="18"/>
      <c r="U85" s="18"/>
      <c r="V85" s="43"/>
      <c r="W85" s="18"/>
      <c r="X85" s="18"/>
    </row>
    <row r="86" spans="1:26" x14ac:dyDescent="0.25">
      <c r="A86" s="9"/>
      <c r="B86" s="55" t="s">
        <v>56</v>
      </c>
      <c r="D86" s="18"/>
      <c r="E86" s="18"/>
      <c r="G86" s="18"/>
      <c r="H86" s="18"/>
      <c r="I86" s="18"/>
      <c r="J86" s="43"/>
      <c r="K86" s="18"/>
      <c r="L86" s="18"/>
      <c r="M86" s="18"/>
      <c r="P86" s="18"/>
      <c r="Q86" s="18"/>
      <c r="R86" s="43"/>
      <c r="S86" s="18"/>
      <c r="T86" s="18"/>
      <c r="U86" s="18"/>
      <c r="V86" s="43"/>
      <c r="W86" s="18"/>
      <c r="X86" s="18"/>
    </row>
    <row r="87" spans="1:26" x14ac:dyDescent="0.25">
      <c r="A87" s="9"/>
      <c r="B87" s="60"/>
      <c r="D87" s="18"/>
      <c r="E87" s="18"/>
      <c r="G87" s="18"/>
      <c r="H87" s="18"/>
      <c r="I87" s="18"/>
      <c r="J87" s="43"/>
      <c r="K87" s="18"/>
      <c r="L87" s="18"/>
      <c r="M87" s="18"/>
      <c r="P87" s="18"/>
      <c r="Q87" s="18"/>
      <c r="R87" s="43"/>
      <c r="S87" s="18"/>
      <c r="T87" s="18"/>
      <c r="U87" s="18"/>
      <c r="V87" s="43"/>
      <c r="W87" s="18"/>
      <c r="X87" s="18"/>
    </row>
    <row r="88" spans="1:26" x14ac:dyDescent="0.25">
      <c r="D88" s="18"/>
      <c r="E88" s="18"/>
      <c r="G88" s="18"/>
      <c r="H88" s="18"/>
      <c r="I88" s="18"/>
      <c r="J88" s="43"/>
      <c r="K88" s="18"/>
      <c r="L88" s="18"/>
      <c r="M88" s="18"/>
      <c r="P88" s="18"/>
      <c r="Q88" s="18"/>
      <c r="R88" s="43"/>
      <c r="S88" s="18"/>
      <c r="T88" s="18"/>
      <c r="U88" s="18"/>
      <c r="V88" s="43"/>
      <c r="W88" s="18"/>
      <c r="X88" s="18"/>
    </row>
  </sheetData>
  <pageMargins left="0.25" right="0.25" top="0.75" bottom="0.75" header="0.3" footer="0.3"/>
  <pageSetup scale="55" fitToWidth="2" orientation="landscape"/>
  <drawing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>
    <tabColor rgb="FF92D050"/>
    <outlinePr summaryBelow="0" summaryRight="0"/>
  </sheetPr>
  <dimension ref="A2:Z83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62" t="s">
        <v>23</v>
      </c>
    </row>
    <row r="3" spans="1:26" x14ac:dyDescent="0.25">
      <c r="D3" s="62" t="s">
        <v>236</v>
      </c>
      <c r="E3" s="17"/>
      <c r="F3" s="46"/>
      <c r="G3" s="17"/>
      <c r="H3" s="17"/>
      <c r="I3" s="17"/>
      <c r="J3" s="38"/>
      <c r="K3" s="17"/>
      <c r="L3" s="17"/>
      <c r="M3" s="17"/>
      <c r="N3" s="46"/>
      <c r="O3" s="53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2" t="str">
        <f>CONCATENATE("Period ",RIGHT(202112,2),", ",2021)</f>
        <v>Period 12, 2021</v>
      </c>
      <c r="E4" s="17"/>
      <c r="F4" s="46"/>
      <c r="G4" s="17"/>
      <c r="H4" s="17"/>
      <c r="I4" s="17"/>
      <c r="J4" s="38"/>
      <c r="K4" s="17"/>
      <c r="L4" s="17"/>
      <c r="M4" s="17"/>
      <c r="N4" s="46"/>
      <c r="O4" s="53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4"/>
      <c r="D5" s="63">
        <v>44377</v>
      </c>
      <c r="E5" s="17"/>
      <c r="F5" s="46"/>
      <c r="G5" s="17"/>
      <c r="H5" s="17"/>
      <c r="I5" s="17"/>
      <c r="J5" s="38"/>
      <c r="K5" s="17"/>
      <c r="L5" s="17"/>
      <c r="M5" s="17"/>
      <c r="N5" s="46"/>
      <c r="O5" s="53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4"/>
      <c r="B6" s="48"/>
      <c r="C6" s="48"/>
      <c r="D6" s="24" t="str">
        <f>CONCATENATE("Department ","321", " - ", "Corner Market")</f>
        <v>Department 321 - Corner Market</v>
      </c>
      <c r="E6" s="17"/>
      <c r="F6" s="46"/>
      <c r="G6" s="17"/>
      <c r="H6" s="17"/>
      <c r="I6" s="17"/>
      <c r="J6" s="38"/>
      <c r="K6" s="17"/>
      <c r="L6" s="17"/>
      <c r="M6" s="17"/>
      <c r="N6" s="46"/>
      <c r="O6" s="54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9"/>
    </row>
    <row r="8" spans="1:26" x14ac:dyDescent="0.25">
      <c r="B8" s="59"/>
    </row>
    <row r="9" spans="1:26" x14ac:dyDescent="0.25">
      <c r="B9" s="9"/>
      <c r="C9" s="9"/>
      <c r="D9" s="16" t="s">
        <v>291</v>
      </c>
      <c r="E9" s="16"/>
      <c r="F9" s="39"/>
      <c r="G9" s="16"/>
      <c r="H9" s="16"/>
      <c r="I9" s="16"/>
      <c r="J9" s="49"/>
      <c r="K9" s="16"/>
      <c r="L9" s="16"/>
      <c r="M9" s="16"/>
      <c r="N9" s="39"/>
      <c r="P9" s="16" t="s">
        <v>39</v>
      </c>
      <c r="Q9" s="16"/>
      <c r="R9" s="39"/>
      <c r="S9" s="16"/>
      <c r="T9" s="16"/>
      <c r="U9" s="16"/>
      <c r="V9" s="49"/>
      <c r="W9" s="16"/>
      <c r="X9" s="16"/>
      <c r="Y9" s="16"/>
      <c r="Z9" s="39"/>
    </row>
    <row r="10" spans="1:26" x14ac:dyDescent="0.25">
      <c r="A10" s="11"/>
      <c r="B10" s="58"/>
      <c r="C10" s="11"/>
      <c r="D10" s="42" t="s">
        <v>57</v>
      </c>
      <c r="E10" s="36"/>
      <c r="F10" s="30" t="s">
        <v>40</v>
      </c>
      <c r="G10" s="36"/>
      <c r="H10" s="50" t="s">
        <v>237</v>
      </c>
      <c r="I10" s="36"/>
      <c r="J10" s="30" t="s">
        <v>40</v>
      </c>
      <c r="K10" s="11"/>
      <c r="L10" s="42" t="s">
        <v>126</v>
      </c>
      <c r="M10" s="11"/>
      <c r="N10" s="30" t="s">
        <v>257</v>
      </c>
      <c r="O10" s="11"/>
      <c r="P10" s="61" t="s">
        <v>57</v>
      </c>
      <c r="Q10" s="36"/>
      <c r="R10" s="30" t="s">
        <v>40</v>
      </c>
      <c r="S10" s="36"/>
      <c r="T10" s="50" t="s">
        <v>237</v>
      </c>
      <c r="U10" s="36"/>
      <c r="V10" s="30" t="s">
        <v>40</v>
      </c>
      <c r="W10" s="11"/>
      <c r="X10" s="42" t="s">
        <v>126</v>
      </c>
      <c r="Y10" s="11"/>
      <c r="Z10" s="30" t="s">
        <v>257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4" customFormat="1" collapsed="1" x14ac:dyDescent="0.25">
      <c r="A12" s="11"/>
      <c r="B12" s="29" t="s">
        <v>139</v>
      </c>
      <c r="C12" s="11"/>
      <c r="D12" s="4">
        <f>SUM(OSRRefD13x_0)</f>
        <v>0</v>
      </c>
      <c r="E12" s="4"/>
      <c r="F12" s="13"/>
      <c r="G12" s="4"/>
      <c r="H12" s="4">
        <f>SUM(OSRRefH13x_0)</f>
        <v>0</v>
      </c>
      <c r="I12" s="4"/>
      <c r="J12" s="13"/>
      <c r="K12" s="4"/>
      <c r="L12" s="4">
        <f t="shared" ref="L12:L14" si="0">+D12-H12</f>
        <v>0</v>
      </c>
      <c r="M12" s="4"/>
      <c r="N12" s="13">
        <f t="shared" ref="N12:N14" si="1">IF(H12=0,0,L12/H12)</f>
        <v>0</v>
      </c>
      <c r="O12" s="11"/>
      <c r="P12" s="4">
        <f>SUM(OSRRefP13x_0)</f>
        <v>2476.4700000000003</v>
      </c>
      <c r="Q12" s="4"/>
      <c r="R12" s="13"/>
      <c r="S12" s="4"/>
      <c r="T12" s="4">
        <f>SUM(OSRRefT13x_0)</f>
        <v>281486.67000000004</v>
      </c>
      <c r="U12" s="4"/>
      <c r="V12" s="13"/>
      <c r="W12" s="4"/>
      <c r="X12" s="4">
        <f t="shared" ref="X12:X14" si="2">+P12-T12</f>
        <v>-279010.20000000007</v>
      </c>
      <c r="Y12" s="4"/>
      <c r="Z12" s="13">
        <f t="shared" ref="Z12:Z14" si="3">IF(T12=0,0,X12/T12)</f>
        <v>-0.99120217664303611</v>
      </c>
    </row>
    <row r="13" spans="1:26" s="23" customFormat="1" hidden="1" outlineLevel="1" x14ac:dyDescent="0.25">
      <c r="A13" s="44"/>
      <c r="B13" s="10" t="str">
        <f>CONCATENATE("          ", "4032", " - ", "TAXABLE SALES-JUICE")</f>
        <v xml:space="preserve">          4032 - TAXABLE SALES-JUICE</v>
      </c>
      <c r="C13" s="10"/>
      <c r="D13" s="2">
        <f t="shared" ref="D13:D14" si="4">0</f>
        <v>0</v>
      </c>
      <c r="E13" s="2"/>
      <c r="F13" s="19"/>
      <c r="G13" s="2"/>
      <c r="H13" s="2">
        <f t="shared" ref="H13:H14" si="5">0</f>
        <v>0</v>
      </c>
      <c r="I13" s="2"/>
      <c r="J13" s="19"/>
      <c r="K13" s="2"/>
      <c r="L13" s="2">
        <f t="shared" si="0"/>
        <v>0</v>
      </c>
      <c r="M13" s="2"/>
      <c r="N13" s="19">
        <f t="shared" si="1"/>
        <v>0</v>
      </c>
      <c r="O13" s="10"/>
      <c r="P13" s="2">
        <f>--444.59</f>
        <v>444.59</v>
      </c>
      <c r="Q13" s="2"/>
      <c r="R13" s="19"/>
      <c r="S13" s="2"/>
      <c r="T13" s="2">
        <f>--65192.75</f>
        <v>65192.75</v>
      </c>
      <c r="U13" s="2"/>
      <c r="V13" s="19"/>
      <c r="W13" s="2"/>
      <c r="X13" s="2">
        <f t="shared" si="2"/>
        <v>-64748.160000000003</v>
      </c>
      <c r="Y13" s="2"/>
      <c r="Z13" s="19">
        <f t="shared" si="3"/>
        <v>-0.99318037665231185</v>
      </c>
    </row>
    <row r="14" spans="1:26" s="23" customFormat="1" hidden="1" outlineLevel="1" x14ac:dyDescent="0.25">
      <c r="A14" s="44"/>
      <c r="B14" s="10" t="str">
        <f>CONCATENATE("          ", "4132", " - ", "NON-TAXABLE SALES-JUICE")</f>
        <v xml:space="preserve">          4132 - NON-TAXABLE SALES-JUICE</v>
      </c>
      <c r="C14" s="10"/>
      <c r="D14" s="2">
        <f t="shared" si="4"/>
        <v>0</v>
      </c>
      <c r="E14" s="2"/>
      <c r="F14" s="19"/>
      <c r="G14" s="2"/>
      <c r="H14" s="2">
        <f t="shared" si="5"/>
        <v>0</v>
      </c>
      <c r="I14" s="2"/>
      <c r="J14" s="19"/>
      <c r="K14" s="2"/>
      <c r="L14" s="2">
        <f t="shared" si="0"/>
        <v>0</v>
      </c>
      <c r="M14" s="2"/>
      <c r="N14" s="19">
        <f t="shared" si="1"/>
        <v>0</v>
      </c>
      <c r="O14" s="10"/>
      <c r="P14" s="2">
        <f>--2031.88</f>
        <v>2031.88</v>
      </c>
      <c r="Q14" s="2"/>
      <c r="R14" s="19"/>
      <c r="S14" s="2"/>
      <c r="T14" s="2">
        <f>--216293.92</f>
        <v>216293.92</v>
      </c>
      <c r="U14" s="2"/>
      <c r="V14" s="19"/>
      <c r="W14" s="2"/>
      <c r="X14" s="2">
        <f t="shared" si="2"/>
        <v>-214262.04</v>
      </c>
      <c r="Y14" s="2"/>
      <c r="Z14" s="19">
        <f t="shared" si="3"/>
        <v>-0.99060593104050265</v>
      </c>
    </row>
    <row r="15" spans="1:26" x14ac:dyDescent="0.25">
      <c r="A15" s="9"/>
      <c r="B15" s="11"/>
      <c r="C15" s="9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4" customFormat="1" collapsed="1" x14ac:dyDescent="0.25">
      <c r="A16" s="11"/>
      <c r="B16" s="29" t="s">
        <v>256</v>
      </c>
      <c r="C16" s="11"/>
      <c r="D16" s="4">
        <f>SUM(OSRRefD16x_0)</f>
        <v>174.1</v>
      </c>
      <c r="E16" s="4"/>
      <c r="F16" s="13">
        <f t="shared" ref="F16:F18" si="6">IF(D$12=0,0,D16/D$12)</f>
        <v>0</v>
      </c>
      <c r="G16" s="4"/>
      <c r="H16" s="4">
        <f>SUM(OSRRefH16x_0)</f>
        <v>201.29999999999995</v>
      </c>
      <c r="I16" s="4"/>
      <c r="J16" s="13">
        <f t="shared" ref="J16:J18" si="7">IF(H$12=0,0,H16/H$12)</f>
        <v>0</v>
      </c>
      <c r="K16" s="4"/>
      <c r="L16" s="4">
        <f t="shared" ref="L16:L18" si="8">+D16-H16</f>
        <v>-27.19999999999996</v>
      </c>
      <c r="M16" s="4"/>
      <c r="N16" s="13">
        <f t="shared" ref="N16:N18" si="9">IF(H16=0,0,L16/H16)</f>
        <v>-0.13512170889220051</v>
      </c>
      <c r="O16" s="11"/>
      <c r="P16" s="4">
        <f>SUM(OSRRefP16x_0)</f>
        <v>19753.830000000002</v>
      </c>
      <c r="Q16" s="4"/>
      <c r="R16" s="13">
        <f t="shared" ref="R16:R18" si="10">IF(P$12=0,0,P16/P$12)</f>
        <v>7.9766078329234755</v>
      </c>
      <c r="S16" s="4"/>
      <c r="T16" s="4">
        <f>SUM(OSRRefT16x_0)</f>
        <v>146811.78</v>
      </c>
      <c r="U16" s="4"/>
      <c r="V16" s="13">
        <f t="shared" ref="V16:V18" si="11">IF(T$12=0,0,T16/T$12)</f>
        <v>0.52155855195558631</v>
      </c>
      <c r="W16" s="4"/>
      <c r="X16" s="4">
        <f t="shared" ref="X16:X18" si="12">+P16-T16</f>
        <v>-127057.95</v>
      </c>
      <c r="Y16" s="4"/>
      <c r="Z16" s="13">
        <f t="shared" ref="Z16:Z18" si="13">IF(T16=0,0,X16/T16)</f>
        <v>-0.86544792250322145</v>
      </c>
    </row>
    <row r="17" spans="1:26" s="23" customFormat="1" hidden="1" outlineLevel="1" x14ac:dyDescent="0.25">
      <c r="A17" s="44"/>
      <c r="B17" s="10" t="str">
        <f>CONCATENATE("          ", "5053", " - ", "PURCHASES @ COST-FOOD")</f>
        <v xml:space="preserve">          5053 - PURCHASES @ COST-FOOD</v>
      </c>
      <c r="C17" s="10"/>
      <c r="D17" s="2">
        <v>15.1</v>
      </c>
      <c r="E17" s="2"/>
      <c r="F17" s="19">
        <f t="shared" si="6"/>
        <v>0</v>
      </c>
      <c r="G17" s="2"/>
      <c r="H17" s="2">
        <v>-1303.7</v>
      </c>
      <c r="I17" s="2"/>
      <c r="J17" s="19">
        <f t="shared" si="7"/>
        <v>0</v>
      </c>
      <c r="K17" s="2"/>
      <c r="L17" s="2">
        <f t="shared" si="8"/>
        <v>1318.8</v>
      </c>
      <c r="M17" s="2"/>
      <c r="N17" s="19">
        <f t="shared" si="9"/>
        <v>-1.0115824192682366</v>
      </c>
      <c r="O17" s="10"/>
      <c r="P17" s="2">
        <v>15.83</v>
      </c>
      <c r="Q17" s="2"/>
      <c r="R17" s="19">
        <f t="shared" si="10"/>
        <v>6.3921630385185358E-3</v>
      </c>
      <c r="S17" s="2"/>
      <c r="T17" s="2">
        <v>132578.99</v>
      </c>
      <c r="U17" s="2"/>
      <c r="V17" s="19">
        <f t="shared" si="11"/>
        <v>0.47099562476617446</v>
      </c>
      <c r="W17" s="2"/>
      <c r="X17" s="2">
        <f t="shared" si="12"/>
        <v>-132563.16</v>
      </c>
      <c r="Y17" s="2"/>
      <c r="Z17" s="19">
        <f t="shared" si="13"/>
        <v>-0.99988059948261798</v>
      </c>
    </row>
    <row r="18" spans="1:26" s="23" customFormat="1" hidden="1" outlineLevel="1" x14ac:dyDescent="0.25">
      <c r="A18" s="44"/>
      <c r="B18" s="10" t="str">
        <f>CONCATENATE("          ", "5059", " - ", "PURCHASES @ COST-FOOD")</f>
        <v xml:space="preserve">          5059 - PURCHASES @ COST-FOOD</v>
      </c>
      <c r="C18" s="10"/>
      <c r="D18" s="2">
        <v>159</v>
      </c>
      <c r="E18" s="2"/>
      <c r="F18" s="19">
        <f t="shared" si="6"/>
        <v>0</v>
      </c>
      <c r="G18" s="2"/>
      <c r="H18" s="2">
        <v>1505</v>
      </c>
      <c r="I18" s="2"/>
      <c r="J18" s="19">
        <f t="shared" si="7"/>
        <v>0</v>
      </c>
      <c r="K18" s="2"/>
      <c r="L18" s="2">
        <f t="shared" si="8"/>
        <v>-1346</v>
      </c>
      <c r="M18" s="2"/>
      <c r="N18" s="19">
        <f t="shared" si="9"/>
        <v>-0.89435215946843849</v>
      </c>
      <c r="O18" s="10"/>
      <c r="P18" s="2">
        <v>19738</v>
      </c>
      <c r="Q18" s="2"/>
      <c r="R18" s="19">
        <f t="shared" si="10"/>
        <v>7.970215669884956</v>
      </c>
      <c r="S18" s="2"/>
      <c r="T18" s="2">
        <v>14232.79</v>
      </c>
      <c r="U18" s="2"/>
      <c r="V18" s="19">
        <f t="shared" si="11"/>
        <v>5.0562927189411841E-2</v>
      </c>
      <c r="W18" s="2"/>
      <c r="X18" s="2">
        <f t="shared" si="12"/>
        <v>5505.2099999999991</v>
      </c>
      <c r="Y18" s="2"/>
      <c r="Z18" s="19">
        <f t="shared" si="13"/>
        <v>0.38679766932555026</v>
      </c>
    </row>
    <row r="19" spans="1:26" x14ac:dyDescent="0.25">
      <c r="A19" s="9"/>
      <c r="B19" s="11"/>
      <c r="C19" s="11"/>
      <c r="D19" s="3"/>
      <c r="E19" s="3"/>
      <c r="F19" s="8"/>
      <c r="G19" s="3"/>
      <c r="H19" s="3"/>
      <c r="I19" s="3"/>
      <c r="J19" s="8"/>
      <c r="K19" s="3"/>
      <c r="L19" s="3"/>
      <c r="M19" s="3"/>
      <c r="N19" s="8"/>
      <c r="O19" s="11"/>
      <c r="P19" s="3"/>
      <c r="Q19" s="3"/>
      <c r="R19" s="8"/>
      <c r="S19" s="3"/>
      <c r="T19" s="3"/>
      <c r="U19" s="3"/>
      <c r="V19" s="8"/>
      <c r="W19" s="3"/>
      <c r="X19" s="3"/>
      <c r="Y19" s="3"/>
      <c r="Z19" s="8"/>
    </row>
    <row r="20" spans="1:26" s="24" customFormat="1" x14ac:dyDescent="0.25">
      <c r="A20" s="11"/>
      <c r="B20" s="28" t="s">
        <v>107</v>
      </c>
      <c r="C20" s="28"/>
      <c r="D20" s="21">
        <f>D12-D16</f>
        <v>-174.1</v>
      </c>
      <c r="E20" s="14"/>
      <c r="F20" s="22">
        <f>IF(D$12=0,0,D20/D$12)</f>
        <v>0</v>
      </c>
      <c r="G20" s="14"/>
      <c r="H20" s="21">
        <f>H12-H16</f>
        <v>-201.29999999999995</v>
      </c>
      <c r="I20" s="14"/>
      <c r="J20" s="22">
        <f>IF(H$12=0,0,H20/H$12)</f>
        <v>0</v>
      </c>
      <c r="K20" s="15"/>
      <c r="L20" s="21">
        <f>+D20-H20</f>
        <v>27.19999999999996</v>
      </c>
      <c r="M20" s="15"/>
      <c r="N20" s="22">
        <f>IF(H20=0,0,L20/H20)</f>
        <v>-0.13512170889220051</v>
      </c>
      <c r="O20" s="29"/>
      <c r="P20" s="21">
        <f>P12-P16</f>
        <v>-17277.36</v>
      </c>
      <c r="Q20" s="14"/>
      <c r="R20" s="22">
        <f>IF(P$12=0,0,P20/P$12)</f>
        <v>-6.9766078329234755</v>
      </c>
      <c r="S20" s="14"/>
      <c r="T20" s="21">
        <f>T12-T16</f>
        <v>134674.89000000004</v>
      </c>
      <c r="U20" s="14"/>
      <c r="V20" s="22">
        <f>IF(T$12=0,0,T20/T$12)</f>
        <v>0.47844144804441369</v>
      </c>
      <c r="W20" s="15"/>
      <c r="X20" s="21">
        <f>+P20-T20</f>
        <v>-151952.25000000006</v>
      </c>
      <c r="Y20" s="15"/>
      <c r="Z20" s="22">
        <f>IF(T20=0,0,X20/T20)</f>
        <v>-1.1282893938135017</v>
      </c>
    </row>
    <row r="21" spans="1:26" x14ac:dyDescent="0.25">
      <c r="A21" s="9"/>
      <c r="B21" s="11"/>
      <c r="C21" s="9"/>
      <c r="D21" s="1"/>
      <c r="E21" s="1"/>
      <c r="F21" s="5"/>
      <c r="G21" s="1"/>
      <c r="H21" s="1"/>
      <c r="I21" s="1"/>
      <c r="J21" s="5"/>
      <c r="K21" s="1"/>
      <c r="L21" s="1"/>
      <c r="M21" s="1"/>
      <c r="N21" s="5"/>
      <c r="O21" s="37"/>
      <c r="P21" s="1"/>
      <c r="Q21" s="1"/>
      <c r="R21" s="5"/>
      <c r="S21" s="1"/>
      <c r="T21" s="1"/>
      <c r="U21" s="1"/>
      <c r="V21" s="5"/>
      <c r="W21" s="1"/>
      <c r="X21" s="1"/>
      <c r="Y21" s="1"/>
      <c r="Z21" s="5"/>
    </row>
    <row r="22" spans="1:26" s="24" customFormat="1" x14ac:dyDescent="0.25">
      <c r="A22" s="11"/>
      <c r="B22" s="29" t="s">
        <v>294</v>
      </c>
      <c r="C22" s="11"/>
      <c r="D22" s="20">
        <f>SUM(OSRRefD22x_0)</f>
        <v>1324.8500000000001</v>
      </c>
      <c r="E22" s="20"/>
      <c r="F22" s="32">
        <f t="shared" ref="F22:F31" si="14">IF(D$12=0,0,D22/D$12)</f>
        <v>0</v>
      </c>
      <c r="G22" s="20"/>
      <c r="H22" s="20">
        <f>SUM(OSRRefH22x_0)</f>
        <v>1136.3100000000002</v>
      </c>
      <c r="I22" s="20"/>
      <c r="J22" s="32">
        <f t="shared" ref="J22:J31" si="15">IF(H$12=0,0,H22/H$12)</f>
        <v>0</v>
      </c>
      <c r="K22" s="4"/>
      <c r="L22" s="20">
        <f t="shared" ref="L22:L31" si="16">+D22-H22</f>
        <v>188.53999999999996</v>
      </c>
      <c r="M22" s="4"/>
      <c r="N22" s="32">
        <f t="shared" ref="N22:N31" si="17">IF(H22=0,0,L22/H22)</f>
        <v>0.1659230315670899</v>
      </c>
      <c r="O22" s="11"/>
      <c r="P22" s="20">
        <f>SUM(OSRRefP22x_0)</f>
        <v>43012.979999999996</v>
      </c>
      <c r="Q22" s="20"/>
      <c r="R22" s="32">
        <f t="shared" ref="R22:R31" si="18">IF(P$12=0,0,P22/P$12)</f>
        <v>17.368665883293556</v>
      </c>
      <c r="S22" s="20"/>
      <c r="T22" s="20">
        <f>SUM(OSRRefT22x_0)</f>
        <v>122078.97</v>
      </c>
      <c r="U22" s="20"/>
      <c r="V22" s="32">
        <f t="shared" ref="V22:V31" si="19">IF(T$12=0,0,T22/T$12)</f>
        <v>0.43369360971871235</v>
      </c>
      <c r="W22" s="4"/>
      <c r="X22" s="20">
        <f t="shared" ref="X22:X31" si="20">+P22-T22</f>
        <v>-79065.990000000005</v>
      </c>
      <c r="Y22" s="4"/>
      <c r="Z22" s="32">
        <f t="shared" ref="Z22:Z31" si="21">IF(T22=0,0,X22/T22)</f>
        <v>-0.64766265639364429</v>
      </c>
    </row>
    <row r="23" spans="1:26" s="27" customFormat="1" outlineLevel="1" collapsed="1" x14ac:dyDescent="0.25">
      <c r="A23" s="26"/>
      <c r="B23" s="12" t="str">
        <f>CONCATENATE("     ","*Benefits                                         ")</f>
        <v xml:space="preserve">     *Benefits                                         </v>
      </c>
      <c r="C23" s="12"/>
      <c r="D23" s="1">
        <f>SUM(OSRRefD22_0x_0)</f>
        <v>0</v>
      </c>
      <c r="E23" s="1"/>
      <c r="F23" s="5">
        <f t="shared" si="14"/>
        <v>0</v>
      </c>
      <c r="G23" s="1"/>
      <c r="H23" s="1">
        <f>SUM(OSRRefH22_0x_0)</f>
        <v>-125.59</v>
      </c>
      <c r="I23" s="1"/>
      <c r="J23" s="5">
        <f t="shared" si="15"/>
        <v>0</v>
      </c>
      <c r="K23" s="1"/>
      <c r="L23" s="1">
        <f t="shared" si="16"/>
        <v>125.59</v>
      </c>
      <c r="M23" s="1"/>
      <c r="N23" s="5">
        <f t="shared" si="17"/>
        <v>-1</v>
      </c>
      <c r="O23" s="12"/>
      <c r="P23" s="1">
        <f>SUM(OSRRefP22_0x_0)</f>
        <v>8751.99</v>
      </c>
      <c r="Q23" s="1"/>
      <c r="R23" s="5">
        <f t="shared" si="18"/>
        <v>3.5340585591588023</v>
      </c>
      <c r="S23" s="1"/>
      <c r="T23" s="1">
        <f>SUM(OSRRefT22_0x_0)</f>
        <v>10137.439999999999</v>
      </c>
      <c r="U23" s="1"/>
      <c r="V23" s="5">
        <f t="shared" si="19"/>
        <v>3.6013925632783952E-2</v>
      </c>
      <c r="W23" s="1"/>
      <c r="X23" s="1">
        <f t="shared" si="20"/>
        <v>-1385.4499999999989</v>
      </c>
      <c r="Y23" s="1"/>
      <c r="Z23" s="5">
        <f t="shared" si="21"/>
        <v>-0.13666665351410209</v>
      </c>
    </row>
    <row r="24" spans="1:26" s="23" customFormat="1" hidden="1" outlineLevel="2" x14ac:dyDescent="0.25">
      <c r="A24" s="25"/>
      <c r="B24" s="10" t="str">
        <f>CONCATENATE("          ", "6111", " - ", "F.I.C.A.")</f>
        <v xml:space="preserve">          6111 - F.I.C.A.</v>
      </c>
      <c r="C24" s="10"/>
      <c r="D24" s="6"/>
      <c r="E24" s="2"/>
      <c r="F24" s="7">
        <f t="shared" si="14"/>
        <v>0</v>
      </c>
      <c r="G24" s="2"/>
      <c r="H24" s="6"/>
      <c r="I24" s="2"/>
      <c r="J24" s="7">
        <f t="shared" si="15"/>
        <v>0</v>
      </c>
      <c r="K24" s="2"/>
      <c r="L24" s="6">
        <f t="shared" si="16"/>
        <v>0</v>
      </c>
      <c r="M24" s="2"/>
      <c r="N24" s="7">
        <f t="shared" si="17"/>
        <v>0</v>
      </c>
      <c r="O24" s="10"/>
      <c r="P24" s="6">
        <v>1667.09</v>
      </c>
      <c r="Q24" s="2"/>
      <c r="R24" s="7">
        <f t="shared" si="18"/>
        <v>0.67317189386505782</v>
      </c>
      <c r="S24" s="2"/>
      <c r="T24" s="6">
        <v>2418.25</v>
      </c>
      <c r="U24" s="2"/>
      <c r="V24" s="7">
        <f t="shared" si="19"/>
        <v>8.5909929589205753E-3</v>
      </c>
      <c r="W24" s="2"/>
      <c r="X24" s="6">
        <f t="shared" si="20"/>
        <v>-751.16000000000008</v>
      </c>
      <c r="Y24" s="2"/>
      <c r="Z24" s="7">
        <f t="shared" si="21"/>
        <v>-0.31062131706812779</v>
      </c>
    </row>
    <row r="25" spans="1:26" s="23" customFormat="1" hidden="1" outlineLevel="2" x14ac:dyDescent="0.25">
      <c r="A25" s="25"/>
      <c r="B25" s="10" t="str">
        <f>CONCATENATE("          ", "6112", " - ", "COMPENSATION INSURANCE")</f>
        <v xml:space="preserve">          6112 - COMPENSATION INSURANCE</v>
      </c>
      <c r="C25" s="10"/>
      <c r="D25" s="6"/>
      <c r="E25" s="2"/>
      <c r="F25" s="7">
        <f t="shared" si="14"/>
        <v>0</v>
      </c>
      <c r="G25" s="2"/>
      <c r="H25" s="6"/>
      <c r="I25" s="2"/>
      <c r="J25" s="7">
        <f t="shared" si="15"/>
        <v>0</v>
      </c>
      <c r="K25" s="2"/>
      <c r="L25" s="6">
        <f t="shared" si="16"/>
        <v>0</v>
      </c>
      <c r="M25" s="2"/>
      <c r="N25" s="7">
        <f t="shared" si="17"/>
        <v>0</v>
      </c>
      <c r="O25" s="10"/>
      <c r="P25" s="6">
        <v>331.61</v>
      </c>
      <c r="Q25" s="2"/>
      <c r="R25" s="7">
        <f t="shared" si="18"/>
        <v>0.13390430734069056</v>
      </c>
      <c r="S25" s="2"/>
      <c r="T25" s="6">
        <v>874.82</v>
      </c>
      <c r="U25" s="2"/>
      <c r="V25" s="7">
        <f t="shared" si="19"/>
        <v>3.1078558711146072E-3</v>
      </c>
      <c r="W25" s="2"/>
      <c r="X25" s="6">
        <f t="shared" si="20"/>
        <v>-543.21</v>
      </c>
      <c r="Y25" s="2"/>
      <c r="Z25" s="7">
        <f t="shared" si="21"/>
        <v>-0.62093916462815213</v>
      </c>
    </row>
    <row r="26" spans="1:26" s="23" customFormat="1" hidden="1" outlineLevel="2" x14ac:dyDescent="0.25">
      <c r="A26" s="25"/>
      <c r="B26" s="10" t="str">
        <f>CONCATENATE("          ", "6113", " - ", "GROUP INSURANCE")</f>
        <v xml:space="preserve">          6113 - GROUP INSURANCE</v>
      </c>
      <c r="C26" s="10"/>
      <c r="D26" s="6"/>
      <c r="E26" s="2"/>
      <c r="F26" s="7">
        <f t="shared" si="14"/>
        <v>0</v>
      </c>
      <c r="G26" s="2"/>
      <c r="H26" s="6"/>
      <c r="I26" s="2"/>
      <c r="J26" s="7">
        <f t="shared" si="15"/>
        <v>0</v>
      </c>
      <c r="K26" s="2"/>
      <c r="L26" s="6">
        <f t="shared" si="16"/>
        <v>0</v>
      </c>
      <c r="M26" s="2"/>
      <c r="N26" s="7">
        <f t="shared" si="17"/>
        <v>0</v>
      </c>
      <c r="O26" s="10"/>
      <c r="P26" s="6">
        <v>3385.22</v>
      </c>
      <c r="Q26" s="2"/>
      <c r="R26" s="7">
        <f t="shared" si="18"/>
        <v>1.366953768872629</v>
      </c>
      <c r="S26" s="2"/>
      <c r="T26" s="6">
        <v>4676.5</v>
      </c>
      <c r="U26" s="2"/>
      <c r="V26" s="7">
        <f t="shared" si="19"/>
        <v>1.6613575342661873E-2</v>
      </c>
      <c r="W26" s="2"/>
      <c r="X26" s="6">
        <f t="shared" si="20"/>
        <v>-1291.2800000000002</v>
      </c>
      <c r="Y26" s="2"/>
      <c r="Z26" s="7">
        <f t="shared" si="21"/>
        <v>-0.27612103068534166</v>
      </c>
    </row>
    <row r="27" spans="1:26" s="23" customFormat="1" hidden="1" outlineLevel="2" x14ac:dyDescent="0.25">
      <c r="A27" s="25"/>
      <c r="B27" s="10" t="str">
        <f>CONCATENATE("          ", "6114", " - ", "STATE UNEMPLOYMENT INSURANCE")</f>
        <v xml:space="preserve">          6114 - STATE UNEMPLOYMENT INSURANCE</v>
      </c>
      <c r="C27" s="10"/>
      <c r="D27" s="6"/>
      <c r="E27" s="2"/>
      <c r="F27" s="7">
        <f t="shared" si="14"/>
        <v>0</v>
      </c>
      <c r="G27" s="2"/>
      <c r="H27" s="6">
        <v>-125.59</v>
      </c>
      <c r="I27" s="2"/>
      <c r="J27" s="7">
        <f t="shared" si="15"/>
        <v>0</v>
      </c>
      <c r="K27" s="2"/>
      <c r="L27" s="6">
        <f t="shared" si="16"/>
        <v>125.59</v>
      </c>
      <c r="M27" s="2"/>
      <c r="N27" s="7">
        <f t="shared" si="17"/>
        <v>-1</v>
      </c>
      <c r="O27" s="10"/>
      <c r="P27" s="6">
        <v>62.01</v>
      </c>
      <c r="Q27" s="2"/>
      <c r="R27" s="7">
        <f t="shared" si="18"/>
        <v>2.5039673406098192E-2</v>
      </c>
      <c r="S27" s="2"/>
      <c r="T27" s="6">
        <v>0</v>
      </c>
      <c r="U27" s="2"/>
      <c r="V27" s="7">
        <f t="shared" si="19"/>
        <v>0</v>
      </c>
      <c r="W27" s="2"/>
      <c r="X27" s="6">
        <f t="shared" si="20"/>
        <v>62.01</v>
      </c>
      <c r="Y27" s="2"/>
      <c r="Z27" s="7">
        <f t="shared" si="21"/>
        <v>0</v>
      </c>
    </row>
    <row r="28" spans="1:26" s="23" customFormat="1" hidden="1" outlineLevel="2" x14ac:dyDescent="0.25">
      <c r="A28" s="25"/>
      <c r="B28" s="10" t="str">
        <f>CONCATENATE("          ", "6115", " - ", "P.E.R.S.")</f>
        <v xml:space="preserve">          6115 - P.E.R.S.</v>
      </c>
      <c r="C28" s="10"/>
      <c r="D28" s="6"/>
      <c r="E28" s="2"/>
      <c r="F28" s="7">
        <f t="shared" si="14"/>
        <v>0</v>
      </c>
      <c r="G28" s="2"/>
      <c r="H28" s="6"/>
      <c r="I28" s="2"/>
      <c r="J28" s="7">
        <f t="shared" si="15"/>
        <v>0</v>
      </c>
      <c r="K28" s="2"/>
      <c r="L28" s="6">
        <f t="shared" si="16"/>
        <v>0</v>
      </c>
      <c r="M28" s="2"/>
      <c r="N28" s="7">
        <f t="shared" si="17"/>
        <v>0</v>
      </c>
      <c r="O28" s="10"/>
      <c r="P28" s="6">
        <v>1254.1099999999999</v>
      </c>
      <c r="Q28" s="2"/>
      <c r="R28" s="7">
        <f t="shared" si="18"/>
        <v>0.50641033406421232</v>
      </c>
      <c r="S28" s="2"/>
      <c r="T28" s="6">
        <v>670.55</v>
      </c>
      <c r="U28" s="2"/>
      <c r="V28" s="7">
        <f t="shared" si="19"/>
        <v>2.3821731949154107E-3</v>
      </c>
      <c r="W28" s="2"/>
      <c r="X28" s="6">
        <f t="shared" si="20"/>
        <v>583.55999999999995</v>
      </c>
      <c r="Y28" s="2"/>
      <c r="Z28" s="7">
        <f t="shared" si="21"/>
        <v>0.87027067332786512</v>
      </c>
    </row>
    <row r="29" spans="1:26" s="23" customFormat="1" hidden="1" outlineLevel="2" x14ac:dyDescent="0.25">
      <c r="A29" s="25"/>
      <c r="B29" s="10" t="str">
        <f>CONCATENATE("          ", "6118", " - ", "VACATION")</f>
        <v xml:space="preserve">          6118 - VACATION</v>
      </c>
      <c r="C29" s="10"/>
      <c r="D29" s="6"/>
      <c r="E29" s="2"/>
      <c r="F29" s="7">
        <f t="shared" si="14"/>
        <v>0</v>
      </c>
      <c r="G29" s="2"/>
      <c r="H29" s="6"/>
      <c r="I29" s="2"/>
      <c r="J29" s="7">
        <f t="shared" si="15"/>
        <v>0</v>
      </c>
      <c r="K29" s="2"/>
      <c r="L29" s="6">
        <f t="shared" si="16"/>
        <v>0</v>
      </c>
      <c r="M29" s="2"/>
      <c r="N29" s="7">
        <f t="shared" si="17"/>
        <v>0</v>
      </c>
      <c r="O29" s="10"/>
      <c r="P29" s="6">
        <v>958.88</v>
      </c>
      <c r="Q29" s="2"/>
      <c r="R29" s="7">
        <f t="shared" si="18"/>
        <v>0.38719629149555612</v>
      </c>
      <c r="S29" s="2"/>
      <c r="T29" s="6">
        <v>1098.8</v>
      </c>
      <c r="U29" s="2"/>
      <c r="V29" s="7">
        <f t="shared" si="19"/>
        <v>3.9035596250437004E-3</v>
      </c>
      <c r="W29" s="2"/>
      <c r="X29" s="6">
        <f t="shared" si="20"/>
        <v>-139.91999999999996</v>
      </c>
      <c r="Y29" s="2"/>
      <c r="Z29" s="7">
        <f t="shared" si="21"/>
        <v>-0.12733891518019655</v>
      </c>
    </row>
    <row r="30" spans="1:26" s="23" customFormat="1" hidden="1" outlineLevel="2" x14ac:dyDescent="0.25">
      <c r="A30" s="25"/>
      <c r="B30" s="10" t="str">
        <f>CONCATENATE("          ", "6119", " - ", "SICK LEAVE")</f>
        <v xml:space="preserve">          6119 - SICK LEAVE</v>
      </c>
      <c r="C30" s="10"/>
      <c r="D30" s="6"/>
      <c r="E30" s="2"/>
      <c r="F30" s="7">
        <f t="shared" si="14"/>
        <v>0</v>
      </c>
      <c r="G30" s="2"/>
      <c r="H30" s="6"/>
      <c r="I30" s="2"/>
      <c r="J30" s="7">
        <f t="shared" si="15"/>
        <v>0</v>
      </c>
      <c r="K30" s="2"/>
      <c r="L30" s="6">
        <f t="shared" si="16"/>
        <v>0</v>
      </c>
      <c r="M30" s="2"/>
      <c r="N30" s="7">
        <f t="shared" si="17"/>
        <v>0</v>
      </c>
      <c r="O30" s="10"/>
      <c r="P30" s="6">
        <v>767.52</v>
      </c>
      <c r="Q30" s="2"/>
      <c r="R30" s="7">
        <f t="shared" si="18"/>
        <v>0.30992501423397006</v>
      </c>
      <c r="S30" s="2"/>
      <c r="T30" s="6">
        <v>398.52</v>
      </c>
      <c r="U30" s="2"/>
      <c r="V30" s="7">
        <f t="shared" si="19"/>
        <v>1.4157686401277897E-3</v>
      </c>
      <c r="W30" s="2"/>
      <c r="X30" s="6">
        <f t="shared" si="20"/>
        <v>369</v>
      </c>
      <c r="Y30" s="2"/>
      <c r="Z30" s="7">
        <f t="shared" si="21"/>
        <v>0.92592592592592593</v>
      </c>
    </row>
    <row r="31" spans="1:26" s="23" customFormat="1" hidden="1" outlineLevel="2" x14ac:dyDescent="0.25">
      <c r="A31" s="25"/>
      <c r="B31" s="10" t="str">
        <f>CONCATENATE("          ", "6156", " - ", "EMPLOYEE MEALS")</f>
        <v xml:space="preserve">          6156 - EMPLOYEE MEALS</v>
      </c>
      <c r="C31" s="10"/>
      <c r="D31" s="6"/>
      <c r="E31" s="2"/>
      <c r="F31" s="7">
        <f t="shared" si="14"/>
        <v>0</v>
      </c>
      <c r="G31" s="2"/>
      <c r="H31" s="6"/>
      <c r="I31" s="2"/>
      <c r="J31" s="7">
        <f t="shared" si="15"/>
        <v>0</v>
      </c>
      <c r="K31" s="2"/>
      <c r="L31" s="6">
        <f t="shared" si="16"/>
        <v>0</v>
      </c>
      <c r="M31" s="2"/>
      <c r="N31" s="7">
        <f t="shared" si="17"/>
        <v>0</v>
      </c>
      <c r="O31" s="10"/>
      <c r="P31" s="6">
        <v>325.55</v>
      </c>
      <c r="Q31" s="2"/>
      <c r="R31" s="7">
        <f t="shared" si="18"/>
        <v>0.13145727588058809</v>
      </c>
      <c r="S31" s="2"/>
      <c r="T31" s="6"/>
      <c r="U31" s="2"/>
      <c r="V31" s="7">
        <f t="shared" si="19"/>
        <v>0</v>
      </c>
      <c r="W31" s="2"/>
      <c r="X31" s="6">
        <f t="shared" si="20"/>
        <v>325.55</v>
      </c>
      <c r="Y31" s="2"/>
      <c r="Z31" s="7">
        <f t="shared" si="21"/>
        <v>0</v>
      </c>
    </row>
    <row r="32" spans="1:26" s="27" customFormat="1" outlineLevel="1" collapsed="1" x14ac:dyDescent="0.25">
      <c r="A32" s="26"/>
      <c r="B32" s="12" t="str">
        <f>CONCATENATE("     ","*Payroll                                          ")</f>
        <v xml:space="preserve">     *Payroll                                          </v>
      </c>
      <c r="C32" s="12"/>
      <c r="D32" s="1">
        <f>SUM(OSRRefD22_1x_0)</f>
        <v>0</v>
      </c>
      <c r="E32" s="1"/>
      <c r="F32" s="5">
        <f t="shared" ref="F32:F37" si="22">IF(D$12=0,0,D32/D$12)</f>
        <v>0</v>
      </c>
      <c r="G32" s="1"/>
      <c r="H32" s="1">
        <f>SUM(OSRRefH22_1x_0)</f>
        <v>0</v>
      </c>
      <c r="I32" s="1"/>
      <c r="J32" s="5">
        <f t="shared" ref="J32:J37" si="23">IF(H$12=0,0,H32/H$12)</f>
        <v>0</v>
      </c>
      <c r="K32" s="1"/>
      <c r="L32" s="1">
        <f t="shared" ref="L32:L37" si="24">+D32-H32</f>
        <v>0</v>
      </c>
      <c r="M32" s="1"/>
      <c r="N32" s="5">
        <f t="shared" ref="N32:N37" si="25">IF(H32=0,0,L32/H32)</f>
        <v>0</v>
      </c>
      <c r="O32" s="12"/>
      <c r="P32" s="1">
        <f>SUM(OSRRefP22_1x_0)</f>
        <v>15859.96</v>
      </c>
      <c r="Q32" s="1"/>
      <c r="R32" s="5">
        <f t="shared" ref="R32:R37" si="26">IF(P$12=0,0,P32/P$12)</f>
        <v>6.404260903624917</v>
      </c>
      <c r="S32" s="1"/>
      <c r="T32" s="1">
        <f>SUM(OSRRefT22_1x_0)</f>
        <v>51305.1</v>
      </c>
      <c r="U32" s="1"/>
      <c r="V32" s="5">
        <f t="shared" ref="V32:V37" si="27">IF(T$12=0,0,T32/T$12)</f>
        <v>0.18226475875394024</v>
      </c>
      <c r="W32" s="1"/>
      <c r="X32" s="1">
        <f t="shared" ref="X32:X37" si="28">+P32-T32</f>
        <v>-35445.14</v>
      </c>
      <c r="Y32" s="1"/>
      <c r="Z32" s="5">
        <f t="shared" ref="Z32:Z37" si="29">IF(T32=0,0,X32/T32)</f>
        <v>-0.69086971860497304</v>
      </c>
    </row>
    <row r="33" spans="1:26" s="23" customFormat="1" hidden="1" outlineLevel="2" x14ac:dyDescent="0.25">
      <c r="A33" s="25"/>
      <c r="B33" s="10" t="str">
        <f>CONCATENATE("          ", "6002", " - ", "STAFF SALARIES")</f>
        <v xml:space="preserve">          6002 - STAFF SALARIES</v>
      </c>
      <c r="C33" s="10"/>
      <c r="D33" s="6"/>
      <c r="E33" s="2"/>
      <c r="F33" s="7">
        <f t="shared" si="22"/>
        <v>0</v>
      </c>
      <c r="G33" s="2"/>
      <c r="H33" s="6"/>
      <c r="I33" s="2"/>
      <c r="J33" s="7">
        <f t="shared" si="23"/>
        <v>0</v>
      </c>
      <c r="K33" s="2"/>
      <c r="L33" s="6">
        <f t="shared" si="24"/>
        <v>0</v>
      </c>
      <c r="M33" s="2"/>
      <c r="N33" s="7">
        <f t="shared" si="25"/>
        <v>0</v>
      </c>
      <c r="O33" s="10"/>
      <c r="P33" s="6">
        <v>13728</v>
      </c>
      <c r="Q33" s="2"/>
      <c r="R33" s="7">
        <f t="shared" si="26"/>
        <v>5.5433742383311726</v>
      </c>
      <c r="S33" s="2"/>
      <c r="T33" s="6">
        <v>10272</v>
      </c>
      <c r="U33" s="2"/>
      <c r="V33" s="7">
        <f t="shared" si="27"/>
        <v>3.6491958926509728E-2</v>
      </c>
      <c r="W33" s="2"/>
      <c r="X33" s="6">
        <f t="shared" si="28"/>
        <v>3456</v>
      </c>
      <c r="Y33" s="2"/>
      <c r="Z33" s="7">
        <f t="shared" si="29"/>
        <v>0.3364485981308411</v>
      </c>
    </row>
    <row r="34" spans="1:26" s="23" customFormat="1" hidden="1" outlineLevel="2" x14ac:dyDescent="0.25">
      <c r="A34" s="25"/>
      <c r="B34" s="10" t="str">
        <f>CONCATENATE("          ", "6005", " - ", "TEMPORARY WAGES-HOURLY")</f>
        <v xml:space="preserve">          6005 - TEMPORARY WAGES-HOURLY</v>
      </c>
      <c r="C34" s="10"/>
      <c r="D34" s="6"/>
      <c r="E34" s="2"/>
      <c r="F34" s="7">
        <f t="shared" si="22"/>
        <v>0</v>
      </c>
      <c r="G34" s="2"/>
      <c r="H34" s="6"/>
      <c r="I34" s="2"/>
      <c r="J34" s="7">
        <f t="shared" si="23"/>
        <v>0</v>
      </c>
      <c r="K34" s="2"/>
      <c r="L34" s="6">
        <f t="shared" si="24"/>
        <v>0</v>
      </c>
      <c r="M34" s="2"/>
      <c r="N34" s="7">
        <f t="shared" si="25"/>
        <v>0</v>
      </c>
      <c r="O34" s="10"/>
      <c r="P34" s="6">
        <v>2131.96</v>
      </c>
      <c r="Q34" s="2"/>
      <c r="R34" s="7">
        <f t="shared" si="26"/>
        <v>0.86088666529374469</v>
      </c>
      <c r="S34" s="2"/>
      <c r="T34" s="6">
        <v>3822.17</v>
      </c>
      <c r="U34" s="2"/>
      <c r="V34" s="7">
        <f t="shared" si="27"/>
        <v>1.3578511550831162E-2</v>
      </c>
      <c r="W34" s="2"/>
      <c r="X34" s="6">
        <f t="shared" si="28"/>
        <v>-1690.21</v>
      </c>
      <c r="Y34" s="2"/>
      <c r="Z34" s="7">
        <f t="shared" si="29"/>
        <v>-0.44221214650316443</v>
      </c>
    </row>
    <row r="35" spans="1:26" s="23" customFormat="1" hidden="1" outlineLevel="2" x14ac:dyDescent="0.25">
      <c r="A35" s="25"/>
      <c r="B35" s="10" t="str">
        <f>CONCATENATE("          ", "6006", " - ", "TEMPORARY PART TIME")</f>
        <v xml:space="preserve">          6006 - TEMPORARY PART TIME</v>
      </c>
      <c r="C35" s="10"/>
      <c r="D35" s="6"/>
      <c r="E35" s="2"/>
      <c r="F35" s="7">
        <f t="shared" si="22"/>
        <v>0</v>
      </c>
      <c r="G35" s="2"/>
      <c r="H35" s="6"/>
      <c r="I35" s="2"/>
      <c r="J35" s="7">
        <f t="shared" si="23"/>
        <v>0</v>
      </c>
      <c r="K35" s="2"/>
      <c r="L35" s="6">
        <f t="shared" si="24"/>
        <v>0</v>
      </c>
      <c r="M35" s="2"/>
      <c r="N35" s="7">
        <f t="shared" si="25"/>
        <v>0</v>
      </c>
      <c r="O35" s="10"/>
      <c r="P35" s="6"/>
      <c r="Q35" s="2"/>
      <c r="R35" s="7">
        <f t="shared" si="26"/>
        <v>0</v>
      </c>
      <c r="S35" s="2"/>
      <c r="T35" s="6">
        <v>13120.47</v>
      </c>
      <c r="U35" s="2"/>
      <c r="V35" s="7">
        <f t="shared" si="27"/>
        <v>4.6611336870765491E-2</v>
      </c>
      <c r="W35" s="2"/>
      <c r="X35" s="6">
        <f t="shared" si="28"/>
        <v>-13120.47</v>
      </c>
      <c r="Y35" s="2"/>
      <c r="Z35" s="7">
        <f t="shared" si="29"/>
        <v>-1</v>
      </c>
    </row>
    <row r="36" spans="1:26" s="23" customFormat="1" hidden="1" outlineLevel="2" x14ac:dyDescent="0.25">
      <c r="A36" s="25"/>
      <c r="B36" s="10" t="str">
        <f>CONCATENATE("          ", "6007", " - ", "STUDENT HOURLY")</f>
        <v xml:space="preserve">          6007 - STUDENT HOURLY</v>
      </c>
      <c r="C36" s="10"/>
      <c r="D36" s="6"/>
      <c r="E36" s="2"/>
      <c r="F36" s="7">
        <f t="shared" si="22"/>
        <v>0</v>
      </c>
      <c r="G36" s="2"/>
      <c r="H36" s="6"/>
      <c r="I36" s="2"/>
      <c r="J36" s="7">
        <f t="shared" si="23"/>
        <v>0</v>
      </c>
      <c r="K36" s="2"/>
      <c r="L36" s="6">
        <f t="shared" si="24"/>
        <v>0</v>
      </c>
      <c r="M36" s="2"/>
      <c r="N36" s="7">
        <f t="shared" si="25"/>
        <v>0</v>
      </c>
      <c r="O36" s="10"/>
      <c r="P36" s="6">
        <v>0</v>
      </c>
      <c r="Q36" s="2"/>
      <c r="R36" s="7">
        <f t="shared" si="26"/>
        <v>0</v>
      </c>
      <c r="S36" s="2"/>
      <c r="T36" s="6">
        <v>23036.15</v>
      </c>
      <c r="U36" s="2"/>
      <c r="V36" s="7">
        <f t="shared" si="27"/>
        <v>8.1837445446350965E-2</v>
      </c>
      <c r="W36" s="2"/>
      <c r="X36" s="6">
        <f t="shared" si="28"/>
        <v>-23036.15</v>
      </c>
      <c r="Y36" s="2"/>
      <c r="Z36" s="7">
        <f t="shared" si="29"/>
        <v>-1</v>
      </c>
    </row>
    <row r="37" spans="1:26" s="23" customFormat="1" hidden="1" outlineLevel="2" x14ac:dyDescent="0.25">
      <c r="A37" s="25"/>
      <c r="B37" s="10" t="str">
        <f>CONCATENATE("          ", "6008", " - ", "STUDENT HOURLY-FICA EXEMPT")</f>
        <v xml:space="preserve">          6008 - STUDENT HOURLY-FICA EXEMPT</v>
      </c>
      <c r="C37" s="10"/>
      <c r="D37" s="6"/>
      <c r="E37" s="2"/>
      <c r="F37" s="7">
        <f t="shared" si="22"/>
        <v>0</v>
      </c>
      <c r="G37" s="2"/>
      <c r="H37" s="6"/>
      <c r="I37" s="2"/>
      <c r="J37" s="7">
        <f t="shared" si="23"/>
        <v>0</v>
      </c>
      <c r="K37" s="2"/>
      <c r="L37" s="6">
        <f t="shared" si="24"/>
        <v>0</v>
      </c>
      <c r="M37" s="2"/>
      <c r="N37" s="7">
        <f t="shared" si="25"/>
        <v>0</v>
      </c>
      <c r="O37" s="10"/>
      <c r="P37" s="6"/>
      <c r="Q37" s="2"/>
      <c r="R37" s="7">
        <f t="shared" si="26"/>
        <v>0</v>
      </c>
      <c r="S37" s="2"/>
      <c r="T37" s="6">
        <v>1054.31</v>
      </c>
      <c r="U37" s="2"/>
      <c r="V37" s="7">
        <f t="shared" si="27"/>
        <v>3.7455059594829121E-3</v>
      </c>
      <c r="W37" s="2"/>
      <c r="X37" s="6">
        <f t="shared" si="28"/>
        <v>-1054.31</v>
      </c>
      <c r="Y37" s="2"/>
      <c r="Z37" s="7">
        <f t="shared" si="29"/>
        <v>-1</v>
      </c>
    </row>
    <row r="38" spans="1:26" s="27" customFormat="1" outlineLevel="1" collapsed="1" x14ac:dyDescent="0.25">
      <c r="A38" s="26"/>
      <c r="B38" s="12" t="str">
        <f>CONCATENATE("     ","Advertising/Promo                                 ")</f>
        <v xml:space="preserve">     Advertising/Promo                                 </v>
      </c>
      <c r="C38" s="12"/>
      <c r="D38" s="1">
        <f>SUM(OSRRefD22_2x_0)</f>
        <v>0</v>
      </c>
      <c r="E38" s="1"/>
      <c r="F38" s="5">
        <f t="shared" ref="F38:F51" si="30">IF(D$12=0,0,D38/D$12)</f>
        <v>0</v>
      </c>
      <c r="G38" s="1"/>
      <c r="H38" s="1">
        <f>SUM(OSRRefH22_2x_0)</f>
        <v>0</v>
      </c>
      <c r="I38" s="1"/>
      <c r="J38" s="5">
        <f t="shared" ref="J38:J51" si="31">IF(H$12=0,0,H38/H$12)</f>
        <v>0</v>
      </c>
      <c r="K38" s="1"/>
      <c r="L38" s="1">
        <f t="shared" ref="L38:L51" si="32">+D38-H38</f>
        <v>0</v>
      </c>
      <c r="M38" s="1"/>
      <c r="N38" s="5">
        <f t="shared" ref="N38:N51" si="33">IF(H38=0,0,L38/H38)</f>
        <v>0</v>
      </c>
      <c r="O38" s="12"/>
      <c r="P38" s="1">
        <f>SUM(OSRRefP22_2x_0)</f>
        <v>0</v>
      </c>
      <c r="Q38" s="1"/>
      <c r="R38" s="5">
        <f t="shared" ref="R38:R51" si="34">IF(P$12=0,0,P38/P$12)</f>
        <v>0</v>
      </c>
      <c r="S38" s="1"/>
      <c r="T38" s="1">
        <f>SUM(OSRRefT22_2x_0)</f>
        <v>2.4900000000000002</v>
      </c>
      <c r="U38" s="1"/>
      <c r="V38" s="5">
        <f t="shared" ref="V38:V51" si="35">IF(T$12=0,0,T38/T$12)</f>
        <v>8.8458895762275348E-6</v>
      </c>
      <c r="W38" s="1"/>
      <c r="X38" s="1">
        <f t="shared" ref="X38:X51" si="36">+P38-T38</f>
        <v>-2.4900000000000002</v>
      </c>
      <c r="Y38" s="1"/>
      <c r="Z38" s="5">
        <f t="shared" ref="Z38:Z51" si="37">IF(T38=0,0,X38/T38)</f>
        <v>-1</v>
      </c>
    </row>
    <row r="39" spans="1:26" s="23" customFormat="1" hidden="1" outlineLevel="2" x14ac:dyDescent="0.25">
      <c r="A39" s="25"/>
      <c r="B39" s="10" t="str">
        <f>CONCATENATE("          ", "6362", " - ", "ADVERTISING EXPENSE")</f>
        <v xml:space="preserve">          6362 - ADVERTISING EXPENSE</v>
      </c>
      <c r="C39" s="10"/>
      <c r="D39" s="6"/>
      <c r="E39" s="2"/>
      <c r="F39" s="7">
        <f t="shared" si="30"/>
        <v>0</v>
      </c>
      <c r="G39" s="2"/>
      <c r="H39" s="6"/>
      <c r="I39" s="2"/>
      <c r="J39" s="7">
        <f t="shared" si="31"/>
        <v>0</v>
      </c>
      <c r="K39" s="2"/>
      <c r="L39" s="6">
        <f t="shared" si="32"/>
        <v>0</v>
      </c>
      <c r="M39" s="2"/>
      <c r="N39" s="7">
        <f t="shared" si="33"/>
        <v>0</v>
      </c>
      <c r="O39" s="10"/>
      <c r="P39" s="6"/>
      <c r="Q39" s="2"/>
      <c r="R39" s="7">
        <f t="shared" si="34"/>
        <v>0</v>
      </c>
      <c r="S39" s="2"/>
      <c r="T39" s="6">
        <v>2.4900000000000002</v>
      </c>
      <c r="U39" s="2"/>
      <c r="V39" s="7">
        <f t="shared" si="35"/>
        <v>8.8458895762275348E-6</v>
      </c>
      <c r="W39" s="2"/>
      <c r="X39" s="6">
        <f t="shared" si="36"/>
        <v>-2.4900000000000002</v>
      </c>
      <c r="Y39" s="2"/>
      <c r="Z39" s="7">
        <f t="shared" si="37"/>
        <v>-1</v>
      </c>
    </row>
    <row r="40" spans="1:26" s="27" customFormat="1" outlineLevel="1" collapsed="1" x14ac:dyDescent="0.25">
      <c r="A40" s="26"/>
      <c r="B40" s="12" t="str">
        <f>CONCATENATE("     ","Bad Debts/Over/Short                              ")</f>
        <v xml:space="preserve">     Bad Debts/Over/Short                              </v>
      </c>
      <c r="C40" s="12"/>
      <c r="D40" s="1">
        <f>SUM(OSRRefD22_3x_0)</f>
        <v>0</v>
      </c>
      <c r="E40" s="1"/>
      <c r="F40" s="5">
        <f t="shared" si="30"/>
        <v>0</v>
      </c>
      <c r="G40" s="1"/>
      <c r="H40" s="1">
        <f>SUM(OSRRefH22_3x_0)</f>
        <v>0</v>
      </c>
      <c r="I40" s="1"/>
      <c r="J40" s="5">
        <f t="shared" si="31"/>
        <v>0</v>
      </c>
      <c r="K40" s="1"/>
      <c r="L40" s="1">
        <f t="shared" si="32"/>
        <v>0</v>
      </c>
      <c r="M40" s="1"/>
      <c r="N40" s="5">
        <f t="shared" si="33"/>
        <v>0</v>
      </c>
      <c r="O40" s="12"/>
      <c r="P40" s="1">
        <f>SUM(OSRRefP22_3x_0)</f>
        <v>3.31</v>
      </c>
      <c r="Q40" s="1"/>
      <c r="R40" s="5">
        <f t="shared" si="34"/>
        <v>1.3365798899239642E-3</v>
      </c>
      <c r="S40" s="1"/>
      <c r="T40" s="1">
        <f>SUM(OSRRefT22_3x_0)</f>
        <v>-74.03</v>
      </c>
      <c r="U40" s="1"/>
      <c r="V40" s="5">
        <f t="shared" si="35"/>
        <v>-2.6299646800326276E-4</v>
      </c>
      <c r="W40" s="1"/>
      <c r="X40" s="1">
        <f t="shared" si="36"/>
        <v>77.34</v>
      </c>
      <c r="Y40" s="1"/>
      <c r="Z40" s="5">
        <f t="shared" si="37"/>
        <v>-1.0447116034040254</v>
      </c>
    </row>
    <row r="41" spans="1:26" s="23" customFormat="1" hidden="1" outlineLevel="2" x14ac:dyDescent="0.25">
      <c r="A41" s="25"/>
      <c r="B41" s="10" t="str">
        <f>CONCATENATE("          ", "6272", " - ", "CASH (OVER/SHORT)")</f>
        <v xml:space="preserve">          6272 - CASH (OVER/SHORT)</v>
      </c>
      <c r="C41" s="10"/>
      <c r="D41" s="6"/>
      <c r="E41" s="2"/>
      <c r="F41" s="7">
        <f t="shared" si="30"/>
        <v>0</v>
      </c>
      <c r="G41" s="2"/>
      <c r="H41" s="6"/>
      <c r="I41" s="2"/>
      <c r="J41" s="7">
        <f t="shared" si="31"/>
        <v>0</v>
      </c>
      <c r="K41" s="2"/>
      <c r="L41" s="6">
        <f t="shared" si="32"/>
        <v>0</v>
      </c>
      <c r="M41" s="2"/>
      <c r="N41" s="7">
        <f t="shared" si="33"/>
        <v>0</v>
      </c>
      <c r="O41" s="10"/>
      <c r="P41" s="6">
        <v>3.31</v>
      </c>
      <c r="Q41" s="2"/>
      <c r="R41" s="7">
        <f t="shared" si="34"/>
        <v>1.3365798899239642E-3</v>
      </c>
      <c r="S41" s="2"/>
      <c r="T41" s="6">
        <v>-74.03</v>
      </c>
      <c r="U41" s="2"/>
      <c r="V41" s="7">
        <f t="shared" si="35"/>
        <v>-2.6299646800326276E-4</v>
      </c>
      <c r="W41" s="2"/>
      <c r="X41" s="6">
        <f t="shared" si="36"/>
        <v>77.34</v>
      </c>
      <c r="Y41" s="2"/>
      <c r="Z41" s="7">
        <f t="shared" si="37"/>
        <v>-1.0447116034040254</v>
      </c>
    </row>
    <row r="42" spans="1:26" s="27" customFormat="1" outlineLevel="1" collapsed="1" x14ac:dyDescent="0.25">
      <c r="A42" s="26"/>
      <c r="B42" s="12" t="str">
        <f>CONCATENATE("     ","Bank/card Fees                                    ")</f>
        <v xml:space="preserve">     Bank/card Fees                                    </v>
      </c>
      <c r="C42" s="12"/>
      <c r="D42" s="1">
        <f>SUM(OSRRefD22_4x_0)</f>
        <v>100.01</v>
      </c>
      <c r="E42" s="1"/>
      <c r="F42" s="5">
        <f t="shared" si="30"/>
        <v>0</v>
      </c>
      <c r="G42" s="1"/>
      <c r="H42" s="1">
        <f>SUM(OSRRefH22_4x_0)</f>
        <v>0</v>
      </c>
      <c r="I42" s="1"/>
      <c r="J42" s="5">
        <f t="shared" si="31"/>
        <v>0</v>
      </c>
      <c r="K42" s="1"/>
      <c r="L42" s="1">
        <f t="shared" si="32"/>
        <v>100.01</v>
      </c>
      <c r="M42" s="1"/>
      <c r="N42" s="5">
        <f t="shared" si="33"/>
        <v>0</v>
      </c>
      <c r="O42" s="12"/>
      <c r="P42" s="1">
        <f>SUM(OSRRefP22_4x_0)</f>
        <v>1773.09</v>
      </c>
      <c r="Q42" s="1"/>
      <c r="R42" s="5">
        <f t="shared" si="34"/>
        <v>0.7159747543883026</v>
      </c>
      <c r="S42" s="1"/>
      <c r="T42" s="1">
        <f>SUM(OSRRefT22_4x_0)</f>
        <v>10703.22</v>
      </c>
      <c r="U42" s="1"/>
      <c r="V42" s="5">
        <f t="shared" si="35"/>
        <v>3.802389647793978E-2</v>
      </c>
      <c r="W42" s="1"/>
      <c r="X42" s="1">
        <f t="shared" si="36"/>
        <v>-8930.1299999999992</v>
      </c>
      <c r="Y42" s="1"/>
      <c r="Z42" s="5">
        <f t="shared" si="37"/>
        <v>-0.83434050687550099</v>
      </c>
    </row>
    <row r="43" spans="1:26" s="23" customFormat="1" hidden="1" outlineLevel="2" x14ac:dyDescent="0.25">
      <c r="A43" s="25"/>
      <c r="B43" s="10" t="str">
        <f>CONCATENATE("          ", "6381", " - ", "BANK/CREDIT CARD FEES")</f>
        <v xml:space="preserve">          6381 - BANK/CREDIT CARD FEES</v>
      </c>
      <c r="C43" s="10"/>
      <c r="D43" s="6">
        <v>100.01</v>
      </c>
      <c r="E43" s="2"/>
      <c r="F43" s="7">
        <f t="shared" si="30"/>
        <v>0</v>
      </c>
      <c r="G43" s="2"/>
      <c r="H43" s="6"/>
      <c r="I43" s="2"/>
      <c r="J43" s="7">
        <f t="shared" si="31"/>
        <v>0</v>
      </c>
      <c r="K43" s="2"/>
      <c r="L43" s="6">
        <f t="shared" si="32"/>
        <v>100.01</v>
      </c>
      <c r="M43" s="2"/>
      <c r="N43" s="7">
        <f t="shared" si="33"/>
        <v>0</v>
      </c>
      <c r="O43" s="10"/>
      <c r="P43" s="6">
        <v>1773.09</v>
      </c>
      <c r="Q43" s="2"/>
      <c r="R43" s="7">
        <f t="shared" si="34"/>
        <v>0.7159747543883026</v>
      </c>
      <c r="S43" s="2"/>
      <c r="T43" s="6">
        <v>10703.22</v>
      </c>
      <c r="U43" s="2"/>
      <c r="V43" s="7">
        <f t="shared" si="35"/>
        <v>3.802389647793978E-2</v>
      </c>
      <c r="W43" s="2"/>
      <c r="X43" s="6">
        <f t="shared" si="36"/>
        <v>-8930.1299999999992</v>
      </c>
      <c r="Y43" s="2"/>
      <c r="Z43" s="7">
        <f t="shared" si="37"/>
        <v>-0.83434050687550099</v>
      </c>
    </row>
    <row r="44" spans="1:26" s="27" customFormat="1" outlineLevel="1" collapsed="1" x14ac:dyDescent="0.25">
      <c r="A44" s="26"/>
      <c r="B44" s="12" t="str">
        <f>CONCATENATE("     ","Depreciation                                      ")</f>
        <v xml:space="preserve">     Depreciation                                      </v>
      </c>
      <c r="C44" s="12"/>
      <c r="D44" s="1">
        <f>SUM(OSRRefD22_5x_0)</f>
        <v>1075.44</v>
      </c>
      <c r="E44" s="1"/>
      <c r="F44" s="5">
        <f t="shared" si="30"/>
        <v>0</v>
      </c>
      <c r="G44" s="1"/>
      <c r="H44" s="1">
        <f>SUM(OSRRefH22_5x_0)</f>
        <v>1075.45</v>
      </c>
      <c r="I44" s="1"/>
      <c r="J44" s="5">
        <f t="shared" si="31"/>
        <v>0</v>
      </c>
      <c r="K44" s="1"/>
      <c r="L44" s="1">
        <f t="shared" si="32"/>
        <v>-9.9999999999909051E-3</v>
      </c>
      <c r="M44" s="1"/>
      <c r="N44" s="5">
        <f t="shared" si="33"/>
        <v>-9.2984332139949824E-6</v>
      </c>
      <c r="O44" s="12"/>
      <c r="P44" s="1">
        <f>SUM(OSRRefP22_5x_0)</f>
        <v>12904.51</v>
      </c>
      <c r="Q44" s="1"/>
      <c r="R44" s="5">
        <f t="shared" si="34"/>
        <v>5.2108485061397873</v>
      </c>
      <c r="S44" s="1"/>
      <c r="T44" s="1">
        <f>SUM(OSRRefT22_5x_0)</f>
        <v>12052.44</v>
      </c>
      <c r="U44" s="1"/>
      <c r="V44" s="5">
        <f t="shared" si="35"/>
        <v>4.2817089704460957E-2</v>
      </c>
      <c r="W44" s="1"/>
      <c r="X44" s="1">
        <f t="shared" si="36"/>
        <v>852.06999999999971</v>
      </c>
      <c r="Y44" s="1"/>
      <c r="Z44" s="5">
        <f t="shared" si="37"/>
        <v>7.0696887933065805E-2</v>
      </c>
    </row>
    <row r="45" spans="1:26" s="23" customFormat="1" hidden="1" outlineLevel="2" x14ac:dyDescent="0.25">
      <c r="A45" s="25"/>
      <c r="B45" s="10" t="str">
        <f>CONCATENATE("          ", "6322", " - ", "EQUIPMENT DEPRECIATION EXPENSE")</f>
        <v xml:space="preserve">          6322 - EQUIPMENT DEPRECIATION EXPENSE</v>
      </c>
      <c r="C45" s="10"/>
      <c r="D45" s="6">
        <v>1075.44</v>
      </c>
      <c r="E45" s="2"/>
      <c r="F45" s="7">
        <f t="shared" si="30"/>
        <v>0</v>
      </c>
      <c r="G45" s="2"/>
      <c r="H45" s="6">
        <v>1075.45</v>
      </c>
      <c r="I45" s="2"/>
      <c r="J45" s="7">
        <f t="shared" si="31"/>
        <v>0</v>
      </c>
      <c r="K45" s="2"/>
      <c r="L45" s="6">
        <f t="shared" si="32"/>
        <v>-9.9999999999909051E-3</v>
      </c>
      <c r="M45" s="2"/>
      <c r="N45" s="7">
        <f t="shared" si="33"/>
        <v>-9.2984332139949824E-6</v>
      </c>
      <c r="O45" s="10"/>
      <c r="P45" s="6">
        <v>12904.51</v>
      </c>
      <c r="Q45" s="2"/>
      <c r="R45" s="7">
        <f t="shared" si="34"/>
        <v>5.2108485061397873</v>
      </c>
      <c r="S45" s="2"/>
      <c r="T45" s="6">
        <v>12052.44</v>
      </c>
      <c r="U45" s="2"/>
      <c r="V45" s="7">
        <f t="shared" si="35"/>
        <v>4.2817089704460957E-2</v>
      </c>
      <c r="W45" s="2"/>
      <c r="X45" s="6">
        <f t="shared" si="36"/>
        <v>852.06999999999971</v>
      </c>
      <c r="Y45" s="2"/>
      <c r="Z45" s="7">
        <f t="shared" si="37"/>
        <v>7.0696887933065805E-2</v>
      </c>
    </row>
    <row r="46" spans="1:26" s="27" customFormat="1" outlineLevel="1" collapsed="1" x14ac:dyDescent="0.25">
      <c r="A46" s="26"/>
      <c r="B46" s="12" t="str">
        <f>CONCATENATE("     ","General                                           ")</f>
        <v xml:space="preserve">     General                                           </v>
      </c>
      <c r="C46" s="12"/>
      <c r="D46" s="1">
        <f>SUM(OSRRefD22_6x_0)</f>
        <v>0</v>
      </c>
      <c r="E46" s="1"/>
      <c r="F46" s="5">
        <f t="shared" si="30"/>
        <v>0</v>
      </c>
      <c r="G46" s="1"/>
      <c r="H46" s="1">
        <f>SUM(OSRRefH22_6x_0)</f>
        <v>0</v>
      </c>
      <c r="I46" s="1"/>
      <c r="J46" s="5">
        <f t="shared" si="31"/>
        <v>0</v>
      </c>
      <c r="K46" s="1"/>
      <c r="L46" s="1">
        <f t="shared" si="32"/>
        <v>0</v>
      </c>
      <c r="M46" s="1"/>
      <c r="N46" s="5">
        <f t="shared" si="33"/>
        <v>0</v>
      </c>
      <c r="O46" s="12"/>
      <c r="P46" s="1">
        <f>SUM(OSRRefP22_6x_0)</f>
        <v>1138.94</v>
      </c>
      <c r="Q46" s="1"/>
      <c r="R46" s="5">
        <f t="shared" si="34"/>
        <v>0.4599046223051359</v>
      </c>
      <c r="S46" s="1"/>
      <c r="T46" s="1">
        <f>SUM(OSRRefT22_6x_0)</f>
        <v>1356.19</v>
      </c>
      <c r="U46" s="1"/>
      <c r="V46" s="5">
        <f t="shared" si="35"/>
        <v>4.8179546122024174E-3</v>
      </c>
      <c r="W46" s="1"/>
      <c r="X46" s="1">
        <f t="shared" si="36"/>
        <v>-217.25</v>
      </c>
      <c r="Y46" s="1"/>
      <c r="Z46" s="5">
        <f t="shared" si="37"/>
        <v>-0.16019141860653743</v>
      </c>
    </row>
    <row r="47" spans="1:26" s="23" customFormat="1" hidden="1" outlineLevel="2" x14ac:dyDescent="0.25">
      <c r="A47" s="25"/>
      <c r="B47" s="10" t="str">
        <f>CONCATENATE("          ", "6279", " - ", "GENERAL EXPENSE")</f>
        <v xml:space="preserve">          6279 - GENERAL EXPENSE</v>
      </c>
      <c r="C47" s="10"/>
      <c r="D47" s="6"/>
      <c r="E47" s="2"/>
      <c r="F47" s="7">
        <f t="shared" si="30"/>
        <v>0</v>
      </c>
      <c r="G47" s="2"/>
      <c r="H47" s="6"/>
      <c r="I47" s="2"/>
      <c r="J47" s="7">
        <f t="shared" si="31"/>
        <v>0</v>
      </c>
      <c r="K47" s="2"/>
      <c r="L47" s="6">
        <f t="shared" si="32"/>
        <v>0</v>
      </c>
      <c r="M47" s="2"/>
      <c r="N47" s="7">
        <f t="shared" si="33"/>
        <v>0</v>
      </c>
      <c r="O47" s="10"/>
      <c r="P47" s="6">
        <v>1138.94</v>
      </c>
      <c r="Q47" s="2"/>
      <c r="R47" s="7">
        <f t="shared" si="34"/>
        <v>0.4599046223051359</v>
      </c>
      <c r="S47" s="2"/>
      <c r="T47" s="6">
        <v>1356.19</v>
      </c>
      <c r="U47" s="2"/>
      <c r="V47" s="7">
        <f t="shared" si="35"/>
        <v>4.8179546122024174E-3</v>
      </c>
      <c r="W47" s="2"/>
      <c r="X47" s="6">
        <f t="shared" si="36"/>
        <v>-217.25</v>
      </c>
      <c r="Y47" s="2"/>
      <c r="Z47" s="7">
        <f t="shared" si="37"/>
        <v>-0.16019141860653743</v>
      </c>
    </row>
    <row r="48" spans="1:26" s="27" customFormat="1" outlineLevel="1" collapsed="1" x14ac:dyDescent="0.25">
      <c r="A48" s="26"/>
      <c r="B48" s="12" t="str">
        <f>CONCATENATE("     ","Repair and Maintenance                            ")</f>
        <v xml:space="preserve">     Repair and Maintenance                            </v>
      </c>
      <c r="C48" s="12"/>
      <c r="D48" s="1">
        <f>SUM(OSRRefD22_7x_0)</f>
        <v>47.9</v>
      </c>
      <c r="E48" s="1"/>
      <c r="F48" s="5">
        <f t="shared" si="30"/>
        <v>0</v>
      </c>
      <c r="G48" s="1"/>
      <c r="H48" s="1">
        <f>SUM(OSRRefH22_7x_0)</f>
        <v>48.23</v>
      </c>
      <c r="I48" s="1"/>
      <c r="J48" s="5">
        <f t="shared" si="31"/>
        <v>0</v>
      </c>
      <c r="K48" s="1"/>
      <c r="L48" s="1">
        <f t="shared" si="32"/>
        <v>-0.32999999999999829</v>
      </c>
      <c r="M48" s="1"/>
      <c r="N48" s="5">
        <f t="shared" si="33"/>
        <v>-6.8422143893841656E-3</v>
      </c>
      <c r="O48" s="12"/>
      <c r="P48" s="1">
        <f>SUM(OSRRefP22_7x_0)</f>
        <v>588.75</v>
      </c>
      <c r="Q48" s="1"/>
      <c r="R48" s="5">
        <f t="shared" si="34"/>
        <v>0.23773758616094681</v>
      </c>
      <c r="S48" s="1"/>
      <c r="T48" s="1">
        <f>SUM(OSRRefT22_7x_0)</f>
        <v>1713.35</v>
      </c>
      <c r="U48" s="1"/>
      <c r="V48" s="5">
        <f t="shared" si="35"/>
        <v>6.0867891186463631E-3</v>
      </c>
      <c r="W48" s="1"/>
      <c r="X48" s="1">
        <f t="shared" si="36"/>
        <v>-1124.5999999999999</v>
      </c>
      <c r="Y48" s="1"/>
      <c r="Z48" s="5">
        <f t="shared" si="37"/>
        <v>-0.65637493798698454</v>
      </c>
    </row>
    <row r="49" spans="1:26" s="23" customFormat="1" hidden="1" outlineLevel="2" x14ac:dyDescent="0.25">
      <c r="A49" s="25"/>
      <c r="B49" s="10" t="str">
        <f>CONCATENATE("          ", "6371", " - ", "COMPUTER SOFTWARE MAINTENANCE")</f>
        <v xml:space="preserve">          6371 - COMPUTER SOFTWARE MAINTENANCE</v>
      </c>
      <c r="C49" s="10"/>
      <c r="D49" s="6"/>
      <c r="E49" s="2"/>
      <c r="F49" s="7">
        <f t="shared" si="30"/>
        <v>0</v>
      </c>
      <c r="G49" s="2"/>
      <c r="H49" s="6"/>
      <c r="I49" s="2"/>
      <c r="J49" s="7">
        <f t="shared" si="31"/>
        <v>0</v>
      </c>
      <c r="K49" s="2"/>
      <c r="L49" s="6">
        <f t="shared" si="32"/>
        <v>0</v>
      </c>
      <c r="M49" s="2"/>
      <c r="N49" s="7">
        <f t="shared" si="33"/>
        <v>0</v>
      </c>
      <c r="O49" s="10"/>
      <c r="P49" s="6"/>
      <c r="Q49" s="2"/>
      <c r="R49" s="7">
        <f t="shared" si="34"/>
        <v>0</v>
      </c>
      <c r="S49" s="2"/>
      <c r="T49" s="6">
        <v>437.31</v>
      </c>
      <c r="U49" s="2"/>
      <c r="V49" s="7">
        <f t="shared" si="35"/>
        <v>1.5535726789478164E-3</v>
      </c>
      <c r="W49" s="2"/>
      <c r="X49" s="6">
        <f t="shared" si="36"/>
        <v>-437.31</v>
      </c>
      <c r="Y49" s="2"/>
      <c r="Z49" s="7">
        <f t="shared" si="37"/>
        <v>-1</v>
      </c>
    </row>
    <row r="50" spans="1:26" s="23" customFormat="1" hidden="1" outlineLevel="2" x14ac:dyDescent="0.25">
      <c r="A50" s="25"/>
      <c r="B50" s="10" t="str">
        <f>CONCATENATE("          ", "6373", " - ", "MAINTENANCE CONTRACTS")</f>
        <v xml:space="preserve">          6373 - MAINTENANCE CONTRACTS</v>
      </c>
      <c r="C50" s="10"/>
      <c r="D50" s="6">
        <v>47.9</v>
      </c>
      <c r="E50" s="2"/>
      <c r="F50" s="7">
        <f t="shared" si="30"/>
        <v>0</v>
      </c>
      <c r="G50" s="2"/>
      <c r="H50" s="6">
        <v>48.23</v>
      </c>
      <c r="I50" s="2"/>
      <c r="J50" s="7">
        <f t="shared" si="31"/>
        <v>0</v>
      </c>
      <c r="K50" s="2"/>
      <c r="L50" s="6">
        <f t="shared" si="32"/>
        <v>-0.32999999999999829</v>
      </c>
      <c r="M50" s="2"/>
      <c r="N50" s="7">
        <f t="shared" si="33"/>
        <v>-6.8422143893841656E-3</v>
      </c>
      <c r="O50" s="10"/>
      <c r="P50" s="6">
        <v>271.19</v>
      </c>
      <c r="Q50" s="2"/>
      <c r="R50" s="7">
        <f t="shared" si="34"/>
        <v>0.10950667684244104</v>
      </c>
      <c r="S50" s="2"/>
      <c r="T50" s="6">
        <v>189.68</v>
      </c>
      <c r="U50" s="2"/>
      <c r="V50" s="7">
        <f t="shared" si="35"/>
        <v>6.7385073687503563E-4</v>
      </c>
      <c r="W50" s="2"/>
      <c r="X50" s="6">
        <f t="shared" si="36"/>
        <v>81.509999999999991</v>
      </c>
      <c r="Y50" s="2"/>
      <c r="Z50" s="7">
        <f t="shared" si="37"/>
        <v>0.42972374525516654</v>
      </c>
    </row>
    <row r="51" spans="1:26" s="23" customFormat="1" hidden="1" outlineLevel="2" x14ac:dyDescent="0.25">
      <c r="A51" s="25"/>
      <c r="B51" s="10" t="str">
        <f>CONCATENATE("          ", "6375", " - ", "OUTSIDE REPAIRS &amp; MAINTENANCE")</f>
        <v xml:space="preserve">          6375 - OUTSIDE REPAIRS &amp; MAINTENANCE</v>
      </c>
      <c r="C51" s="10"/>
      <c r="D51" s="6"/>
      <c r="E51" s="2"/>
      <c r="F51" s="7">
        <f t="shared" si="30"/>
        <v>0</v>
      </c>
      <c r="G51" s="2"/>
      <c r="H51" s="6"/>
      <c r="I51" s="2"/>
      <c r="J51" s="7">
        <f t="shared" si="31"/>
        <v>0</v>
      </c>
      <c r="K51" s="2"/>
      <c r="L51" s="6">
        <f t="shared" si="32"/>
        <v>0</v>
      </c>
      <c r="M51" s="2"/>
      <c r="N51" s="7">
        <f t="shared" si="33"/>
        <v>0</v>
      </c>
      <c r="O51" s="10"/>
      <c r="P51" s="6">
        <v>317.56</v>
      </c>
      <c r="Q51" s="2"/>
      <c r="R51" s="7">
        <f t="shared" si="34"/>
        <v>0.12823090931850575</v>
      </c>
      <c r="S51" s="2"/>
      <c r="T51" s="6">
        <v>1086.3599999999999</v>
      </c>
      <c r="U51" s="2"/>
      <c r="V51" s="7">
        <f t="shared" si="35"/>
        <v>3.8593657028235112E-3</v>
      </c>
      <c r="W51" s="2"/>
      <c r="X51" s="6">
        <f t="shared" si="36"/>
        <v>-768.8</v>
      </c>
      <c r="Y51" s="2"/>
      <c r="Z51" s="7">
        <f t="shared" si="37"/>
        <v>-0.70768437718619981</v>
      </c>
    </row>
    <row r="52" spans="1:26" s="27" customFormat="1" outlineLevel="1" collapsed="1" x14ac:dyDescent="0.25">
      <c r="A52" s="26"/>
      <c r="B52" s="12" t="str">
        <f>CONCATENATE("     ","Royalty &amp; Commissions                             ")</f>
        <v xml:space="preserve">     Royalty &amp; Commissions                             </v>
      </c>
      <c r="C52" s="12"/>
      <c r="D52" s="1">
        <f>SUM(OSRRefD22_8x_0)</f>
        <v>0</v>
      </c>
      <c r="E52" s="1"/>
      <c r="F52" s="5">
        <f t="shared" ref="F52:F57" si="38">IF(D$12=0,0,D52/D$12)</f>
        <v>0</v>
      </c>
      <c r="G52" s="1"/>
      <c r="H52" s="1">
        <f>SUM(OSRRefH22_8x_0)</f>
        <v>0</v>
      </c>
      <c r="I52" s="1"/>
      <c r="J52" s="5">
        <f t="shared" ref="J52:J57" si="39">IF(H$12=0,0,H52/H$12)</f>
        <v>0</v>
      </c>
      <c r="K52" s="1"/>
      <c r="L52" s="1">
        <f t="shared" ref="L52:L57" si="40">+D52-H52</f>
        <v>0</v>
      </c>
      <c r="M52" s="1"/>
      <c r="N52" s="5">
        <f t="shared" ref="N52:N57" si="41">IF(H52=0,0,L52/H52)</f>
        <v>0</v>
      </c>
      <c r="O52" s="12"/>
      <c r="P52" s="1">
        <f>SUM(OSRRefP22_8x_0)</f>
        <v>185.7</v>
      </c>
      <c r="Q52" s="1"/>
      <c r="R52" s="5">
        <f t="shared" ref="R52:R57" si="42">IF(P$12=0,0,P52/P$12)</f>
        <v>7.4985766029873155E-2</v>
      </c>
      <c r="S52" s="1"/>
      <c r="T52" s="1">
        <f>SUM(OSRRefT22_8x_0)</f>
        <v>24556.14</v>
      </c>
      <c r="U52" s="1"/>
      <c r="V52" s="5">
        <f t="shared" ref="V52:V57" si="43">IF(T$12=0,0,T52/T$12)</f>
        <v>8.7237310384893171E-2</v>
      </c>
      <c r="W52" s="1"/>
      <c r="X52" s="1">
        <f t="shared" ref="X52:X57" si="44">+P52-T52</f>
        <v>-24370.44</v>
      </c>
      <c r="Y52" s="1"/>
      <c r="Z52" s="5">
        <f t="shared" ref="Z52:Z57" si="45">IF(T52=0,0,X52/T52)</f>
        <v>-0.99243773654979972</v>
      </c>
    </row>
    <row r="53" spans="1:26" s="23" customFormat="1" hidden="1" outlineLevel="2" x14ac:dyDescent="0.25">
      <c r="A53" s="25"/>
      <c r="B53" s="10" t="str">
        <f>CONCATENATE("          ", "6254", " - ", "ROYALTY &amp; COMMISSIONS")</f>
        <v xml:space="preserve">          6254 - ROYALTY &amp; COMMISSIONS</v>
      </c>
      <c r="C53" s="10"/>
      <c r="D53" s="6"/>
      <c r="E53" s="2"/>
      <c r="F53" s="7">
        <f t="shared" si="38"/>
        <v>0</v>
      </c>
      <c r="G53" s="2"/>
      <c r="H53" s="6"/>
      <c r="I53" s="2"/>
      <c r="J53" s="7">
        <f t="shared" si="39"/>
        <v>0</v>
      </c>
      <c r="K53" s="2"/>
      <c r="L53" s="6">
        <f t="shared" si="40"/>
        <v>0</v>
      </c>
      <c r="M53" s="2"/>
      <c r="N53" s="7">
        <f t="shared" si="41"/>
        <v>0</v>
      </c>
      <c r="O53" s="10"/>
      <c r="P53" s="6">
        <v>185.7</v>
      </c>
      <c r="Q53" s="2"/>
      <c r="R53" s="7">
        <f t="shared" si="42"/>
        <v>7.4985766029873155E-2</v>
      </c>
      <c r="S53" s="2"/>
      <c r="T53" s="6">
        <v>24556.14</v>
      </c>
      <c r="U53" s="2"/>
      <c r="V53" s="7">
        <f t="shared" si="43"/>
        <v>8.7237310384893171E-2</v>
      </c>
      <c r="W53" s="2"/>
      <c r="X53" s="6">
        <f t="shared" si="44"/>
        <v>-24370.44</v>
      </c>
      <c r="Y53" s="2"/>
      <c r="Z53" s="7">
        <f t="shared" si="45"/>
        <v>-0.99243773654979972</v>
      </c>
    </row>
    <row r="54" spans="1:26" s="27" customFormat="1" outlineLevel="1" collapsed="1" x14ac:dyDescent="0.25">
      <c r="A54" s="26"/>
      <c r="B54" s="12" t="str">
        <f>CONCATENATE("     ","Services                                          ")</f>
        <v xml:space="preserve">     Services                                          </v>
      </c>
      <c r="C54" s="12"/>
      <c r="D54" s="1">
        <f>SUM(OSRRefD22_9x_0)</f>
        <v>0</v>
      </c>
      <c r="E54" s="1"/>
      <c r="F54" s="5">
        <f t="shared" si="38"/>
        <v>0</v>
      </c>
      <c r="G54" s="1"/>
      <c r="H54" s="1">
        <f>SUM(OSRRefH22_9x_0)</f>
        <v>106.22</v>
      </c>
      <c r="I54" s="1"/>
      <c r="J54" s="5">
        <f t="shared" si="39"/>
        <v>0</v>
      </c>
      <c r="K54" s="1"/>
      <c r="L54" s="1">
        <f t="shared" si="40"/>
        <v>-106.22</v>
      </c>
      <c r="M54" s="1"/>
      <c r="N54" s="5">
        <f t="shared" si="41"/>
        <v>-1</v>
      </c>
      <c r="O54" s="12"/>
      <c r="P54" s="1">
        <f>SUM(OSRRefP22_9x_0)</f>
        <v>-63.319999999999993</v>
      </c>
      <c r="Q54" s="1"/>
      <c r="R54" s="5">
        <f t="shared" si="42"/>
        <v>-2.556865215407414E-2</v>
      </c>
      <c r="S54" s="1"/>
      <c r="T54" s="1">
        <f>SUM(OSRRefT22_9x_0)</f>
        <v>2025.62</v>
      </c>
      <c r="U54" s="1"/>
      <c r="V54" s="5">
        <f t="shared" si="43"/>
        <v>7.1961489330915731E-3</v>
      </c>
      <c r="W54" s="1"/>
      <c r="X54" s="1">
        <f t="shared" si="44"/>
        <v>-2088.94</v>
      </c>
      <c r="Y54" s="1"/>
      <c r="Z54" s="5">
        <f t="shared" si="45"/>
        <v>-1.0312595649726999</v>
      </c>
    </row>
    <row r="55" spans="1:26" s="23" customFormat="1" hidden="1" outlineLevel="2" x14ac:dyDescent="0.25">
      <c r="A55" s="25"/>
      <c r="B55" s="10" t="str">
        <f>CONCATENATE("          ", "6282", " - ", "JANITORIAL/EXTERMINATOR EXPENS")</f>
        <v xml:space="preserve">          6282 - JANITORIAL/EXTERMINATOR EXPENS</v>
      </c>
      <c r="C55" s="10"/>
      <c r="D55" s="6"/>
      <c r="E55" s="2"/>
      <c r="F55" s="7">
        <f t="shared" si="38"/>
        <v>0</v>
      </c>
      <c r="G55" s="2"/>
      <c r="H55" s="6">
        <v>82</v>
      </c>
      <c r="I55" s="2"/>
      <c r="J55" s="7">
        <f t="shared" si="39"/>
        <v>0</v>
      </c>
      <c r="K55" s="2"/>
      <c r="L55" s="6">
        <f t="shared" si="40"/>
        <v>-82</v>
      </c>
      <c r="M55" s="2"/>
      <c r="N55" s="7">
        <f t="shared" si="41"/>
        <v>-1</v>
      </c>
      <c r="O55" s="10"/>
      <c r="P55" s="6">
        <v>82</v>
      </c>
      <c r="Q55" s="2"/>
      <c r="R55" s="7">
        <f t="shared" si="42"/>
        <v>3.3111646819868598E-2</v>
      </c>
      <c r="S55" s="2"/>
      <c r="T55" s="6">
        <v>410</v>
      </c>
      <c r="U55" s="2"/>
      <c r="V55" s="7">
        <f t="shared" si="43"/>
        <v>1.4565520988969031E-3</v>
      </c>
      <c r="W55" s="2"/>
      <c r="X55" s="6">
        <f t="shared" si="44"/>
        <v>-328</v>
      </c>
      <c r="Y55" s="2"/>
      <c r="Z55" s="7">
        <f t="shared" si="45"/>
        <v>-0.8</v>
      </c>
    </row>
    <row r="56" spans="1:26" s="23" customFormat="1" hidden="1" outlineLevel="2" x14ac:dyDescent="0.25">
      <c r="A56" s="25"/>
      <c r="B56" s="10" t="str">
        <f>CONCATENATE("          ", "6285", " - ", "JANITORIAL SERVICES")</f>
        <v xml:space="preserve">          6285 - JANITORIAL SERVICES</v>
      </c>
      <c r="C56" s="10"/>
      <c r="D56" s="6"/>
      <c r="E56" s="2"/>
      <c r="F56" s="7">
        <f t="shared" si="38"/>
        <v>0</v>
      </c>
      <c r="G56" s="2"/>
      <c r="H56" s="6">
        <v>24.22</v>
      </c>
      <c r="I56" s="2"/>
      <c r="J56" s="7">
        <f t="shared" si="39"/>
        <v>0</v>
      </c>
      <c r="K56" s="2"/>
      <c r="L56" s="6">
        <f t="shared" si="40"/>
        <v>-24.22</v>
      </c>
      <c r="M56" s="2"/>
      <c r="N56" s="7">
        <f t="shared" si="41"/>
        <v>-1</v>
      </c>
      <c r="O56" s="10"/>
      <c r="P56" s="6">
        <v>-145.32</v>
      </c>
      <c r="Q56" s="2"/>
      <c r="R56" s="7">
        <f t="shared" si="42"/>
        <v>-5.8680298973942738E-2</v>
      </c>
      <c r="S56" s="2"/>
      <c r="T56" s="6">
        <v>281.04000000000002</v>
      </c>
      <c r="U56" s="2"/>
      <c r="V56" s="7">
        <f t="shared" si="43"/>
        <v>9.9841317530240418E-4</v>
      </c>
      <c r="W56" s="2"/>
      <c r="X56" s="6">
        <f t="shared" si="44"/>
        <v>-426.36</v>
      </c>
      <c r="Y56" s="2"/>
      <c r="Z56" s="7">
        <f t="shared" si="45"/>
        <v>-1.5170794192997437</v>
      </c>
    </row>
    <row r="57" spans="1:26" s="23" customFormat="1" hidden="1" outlineLevel="2" x14ac:dyDescent="0.25">
      <c r="A57" s="25"/>
      <c r="B57" s="10" t="str">
        <f>CONCATENATE("          ", "6286", " - ", "LAUNDRY EXPENSE")</f>
        <v xml:space="preserve">          6286 - LAUNDRY EXPENSE</v>
      </c>
      <c r="C57" s="10"/>
      <c r="D57" s="6"/>
      <c r="E57" s="2"/>
      <c r="F57" s="7">
        <f t="shared" si="38"/>
        <v>0</v>
      </c>
      <c r="G57" s="2"/>
      <c r="H57" s="6"/>
      <c r="I57" s="2"/>
      <c r="J57" s="7">
        <f t="shared" si="39"/>
        <v>0</v>
      </c>
      <c r="K57" s="2"/>
      <c r="L57" s="6">
        <f t="shared" si="40"/>
        <v>0</v>
      </c>
      <c r="M57" s="2"/>
      <c r="N57" s="7">
        <f t="shared" si="41"/>
        <v>0</v>
      </c>
      <c r="O57" s="10"/>
      <c r="P57" s="6"/>
      <c r="Q57" s="2"/>
      <c r="R57" s="7">
        <f t="shared" si="42"/>
        <v>0</v>
      </c>
      <c r="S57" s="2"/>
      <c r="T57" s="6">
        <v>1334.58</v>
      </c>
      <c r="U57" s="2"/>
      <c r="V57" s="7">
        <f t="shared" si="43"/>
        <v>4.7411836588922658E-3</v>
      </c>
      <c r="W57" s="2"/>
      <c r="X57" s="6">
        <f t="shared" si="44"/>
        <v>-1334.58</v>
      </c>
      <c r="Y57" s="2"/>
      <c r="Z57" s="7">
        <f t="shared" si="45"/>
        <v>-1</v>
      </c>
    </row>
    <row r="58" spans="1:26" s="27" customFormat="1" outlineLevel="1" collapsed="1" x14ac:dyDescent="0.25">
      <c r="A58" s="26"/>
      <c r="B58" s="12" t="str">
        <f>CONCATENATE("     ","Supplies                                          ")</f>
        <v xml:space="preserve">     Supplies                                          </v>
      </c>
      <c r="C58" s="12"/>
      <c r="D58" s="1">
        <f>SUM(OSRRefD22_10x_0)</f>
        <v>0</v>
      </c>
      <c r="E58" s="1"/>
      <c r="F58" s="5">
        <f t="shared" ref="F58:F63" si="46">IF(D$12=0,0,D58/D$12)</f>
        <v>0</v>
      </c>
      <c r="G58" s="1"/>
      <c r="H58" s="1">
        <f>SUM(OSRRefH22_10x_0)</f>
        <v>0</v>
      </c>
      <c r="I58" s="1"/>
      <c r="J58" s="5">
        <f t="shared" ref="J58:J63" si="47">IF(H$12=0,0,H58/H$12)</f>
        <v>0</v>
      </c>
      <c r="K58" s="1"/>
      <c r="L58" s="1">
        <f t="shared" ref="L58:L63" si="48">+D58-H58</f>
        <v>0</v>
      </c>
      <c r="M58" s="1"/>
      <c r="N58" s="5">
        <f t="shared" ref="N58:N63" si="49">IF(H58=0,0,L58/H58)</f>
        <v>0</v>
      </c>
      <c r="O58" s="12"/>
      <c r="P58" s="1">
        <f>SUM(OSRRefP22_10x_0)</f>
        <v>328.55</v>
      </c>
      <c r="Q58" s="1"/>
      <c r="R58" s="5">
        <f t="shared" ref="R58:R63" si="50">IF(P$12=0,0,P58/P$12)</f>
        <v>0.13266867759351011</v>
      </c>
      <c r="S58" s="1"/>
      <c r="T58" s="1">
        <f>SUM(OSRRefT22_10x_0)</f>
        <v>7668.1800000000012</v>
      </c>
      <c r="U58" s="1"/>
      <c r="V58" s="5">
        <f t="shared" ref="V58:V63" si="51">IF(T$12=0,0,T58/T$12)</f>
        <v>2.7241716277364041E-2</v>
      </c>
      <c r="W58" s="1"/>
      <c r="X58" s="1">
        <f t="shared" ref="X58:X63" si="52">+P58-T58</f>
        <v>-7339.630000000001</v>
      </c>
      <c r="Y58" s="1"/>
      <c r="Z58" s="5">
        <f t="shared" ref="Z58:Z63" si="53">IF(T58=0,0,X58/T58)</f>
        <v>-0.95715410958010894</v>
      </c>
    </row>
    <row r="59" spans="1:26" s="23" customFormat="1" hidden="1" outlineLevel="2" x14ac:dyDescent="0.25">
      <c r="A59" s="25"/>
      <c r="B59" s="10" t="str">
        <f>CONCATENATE("          ", "6234", " - ", "EXPENDABLE SUPPLIES &amp; EQUIPMEN")</f>
        <v xml:space="preserve">          6234 - EXPENDABLE SUPPLIES &amp; EQUIPMEN</v>
      </c>
      <c r="C59" s="10"/>
      <c r="D59" s="6"/>
      <c r="E59" s="2"/>
      <c r="F59" s="7">
        <f t="shared" si="46"/>
        <v>0</v>
      </c>
      <c r="G59" s="2"/>
      <c r="H59" s="6"/>
      <c r="I59" s="2"/>
      <c r="J59" s="7">
        <f t="shared" si="47"/>
        <v>0</v>
      </c>
      <c r="K59" s="2"/>
      <c r="L59" s="6">
        <f t="shared" si="48"/>
        <v>0</v>
      </c>
      <c r="M59" s="2"/>
      <c r="N59" s="7">
        <f t="shared" si="49"/>
        <v>0</v>
      </c>
      <c r="O59" s="10"/>
      <c r="P59" s="6"/>
      <c r="Q59" s="2"/>
      <c r="R59" s="7">
        <f t="shared" si="50"/>
        <v>0</v>
      </c>
      <c r="S59" s="2"/>
      <c r="T59" s="6">
        <v>354.71</v>
      </c>
      <c r="U59" s="2"/>
      <c r="V59" s="7">
        <f t="shared" si="51"/>
        <v>1.2601307195115135E-3</v>
      </c>
      <c r="W59" s="2"/>
      <c r="X59" s="6">
        <f t="shared" si="52"/>
        <v>-354.71</v>
      </c>
      <c r="Y59" s="2"/>
      <c r="Z59" s="7">
        <f t="shared" si="53"/>
        <v>-1</v>
      </c>
    </row>
    <row r="60" spans="1:26" s="23" customFormat="1" hidden="1" outlineLevel="2" x14ac:dyDescent="0.25">
      <c r="A60" s="25"/>
      <c r="B60" s="10" t="str">
        <f>CONCATENATE("          ", "6235", " - ", "COVID-19 EXPENSES")</f>
        <v xml:space="preserve">          6235 - COVID-19 EXPENSES</v>
      </c>
      <c r="C60" s="10"/>
      <c r="D60" s="6"/>
      <c r="E60" s="2"/>
      <c r="F60" s="7">
        <f t="shared" si="46"/>
        <v>0</v>
      </c>
      <c r="G60" s="2"/>
      <c r="H60" s="6"/>
      <c r="I60" s="2"/>
      <c r="J60" s="7">
        <f t="shared" si="47"/>
        <v>0</v>
      </c>
      <c r="K60" s="2"/>
      <c r="L60" s="6">
        <f t="shared" si="48"/>
        <v>0</v>
      </c>
      <c r="M60" s="2"/>
      <c r="N60" s="7">
        <f t="shared" si="49"/>
        <v>0</v>
      </c>
      <c r="O60" s="10"/>
      <c r="P60" s="6">
        <v>207.27</v>
      </c>
      <c r="Q60" s="2"/>
      <c r="R60" s="7">
        <f t="shared" si="50"/>
        <v>8.3695744345782502E-2</v>
      </c>
      <c r="S60" s="2"/>
      <c r="T60" s="6"/>
      <c r="U60" s="2"/>
      <c r="V60" s="7">
        <f t="shared" si="51"/>
        <v>0</v>
      </c>
      <c r="W60" s="2"/>
      <c r="X60" s="6">
        <f t="shared" si="52"/>
        <v>207.27</v>
      </c>
      <c r="Y60" s="2"/>
      <c r="Z60" s="7">
        <f t="shared" si="53"/>
        <v>0</v>
      </c>
    </row>
    <row r="61" spans="1:26" s="23" customFormat="1" hidden="1" outlineLevel="2" x14ac:dyDescent="0.25">
      <c r="A61" s="25"/>
      <c r="B61" s="10" t="str">
        <f>CONCATENATE("          ", "6237", " - ", "JANITORIAL SUPPLIES")</f>
        <v xml:space="preserve">          6237 - JANITORIAL SUPPLIES</v>
      </c>
      <c r="C61" s="10"/>
      <c r="D61" s="6"/>
      <c r="E61" s="2"/>
      <c r="F61" s="7">
        <f t="shared" si="46"/>
        <v>0</v>
      </c>
      <c r="G61" s="2"/>
      <c r="H61" s="6"/>
      <c r="I61" s="2"/>
      <c r="J61" s="7">
        <f t="shared" si="47"/>
        <v>0</v>
      </c>
      <c r="K61" s="2"/>
      <c r="L61" s="6">
        <f t="shared" si="48"/>
        <v>0</v>
      </c>
      <c r="M61" s="2"/>
      <c r="N61" s="7">
        <f t="shared" si="49"/>
        <v>0</v>
      </c>
      <c r="O61" s="10"/>
      <c r="P61" s="6"/>
      <c r="Q61" s="2"/>
      <c r="R61" s="7">
        <f t="shared" si="50"/>
        <v>0</v>
      </c>
      <c r="S61" s="2"/>
      <c r="T61" s="6">
        <v>38.56</v>
      </c>
      <c r="U61" s="2"/>
      <c r="V61" s="7">
        <f t="shared" si="51"/>
        <v>1.369869486182063E-4</v>
      </c>
      <c r="W61" s="2"/>
      <c r="X61" s="6">
        <f t="shared" si="52"/>
        <v>-38.56</v>
      </c>
      <c r="Y61" s="2"/>
      <c r="Z61" s="7">
        <f t="shared" si="53"/>
        <v>-1</v>
      </c>
    </row>
    <row r="62" spans="1:26" s="23" customFormat="1" hidden="1" outlineLevel="2" x14ac:dyDescent="0.25">
      <c r="A62" s="25"/>
      <c r="B62" s="10" t="str">
        <f>CONCATENATE("          ", "6247", " - ", "STORE SUPPLIES")</f>
        <v xml:space="preserve">          6247 - STORE SUPPLIES</v>
      </c>
      <c r="C62" s="10"/>
      <c r="D62" s="6"/>
      <c r="E62" s="2"/>
      <c r="F62" s="7">
        <f t="shared" si="46"/>
        <v>0</v>
      </c>
      <c r="G62" s="2"/>
      <c r="H62" s="6"/>
      <c r="I62" s="2"/>
      <c r="J62" s="7">
        <f t="shared" si="47"/>
        <v>0</v>
      </c>
      <c r="K62" s="2"/>
      <c r="L62" s="6">
        <f t="shared" si="48"/>
        <v>0</v>
      </c>
      <c r="M62" s="2"/>
      <c r="N62" s="7">
        <f t="shared" si="49"/>
        <v>0</v>
      </c>
      <c r="O62" s="10"/>
      <c r="P62" s="6">
        <v>121.28</v>
      </c>
      <c r="Q62" s="2"/>
      <c r="R62" s="7">
        <f t="shared" si="50"/>
        <v>4.8972933247727606E-2</v>
      </c>
      <c r="S62" s="2"/>
      <c r="T62" s="6">
        <v>7192.77</v>
      </c>
      <c r="U62" s="2"/>
      <c r="V62" s="7">
        <f t="shared" si="51"/>
        <v>2.5552790830201656E-2</v>
      </c>
      <c r="W62" s="2"/>
      <c r="X62" s="6">
        <f t="shared" si="52"/>
        <v>-7071.4900000000007</v>
      </c>
      <c r="Y62" s="2"/>
      <c r="Z62" s="7">
        <f t="shared" si="53"/>
        <v>-0.98313862392374574</v>
      </c>
    </row>
    <row r="63" spans="1:26" s="23" customFormat="1" hidden="1" outlineLevel="2" x14ac:dyDescent="0.25">
      <c r="A63" s="25"/>
      <c r="B63" s="10" t="str">
        <f>CONCATENATE("          ", "6248", " - ", "UNIFORMS")</f>
        <v xml:space="preserve">          6248 - UNIFORMS</v>
      </c>
      <c r="C63" s="10"/>
      <c r="D63" s="6"/>
      <c r="E63" s="2"/>
      <c r="F63" s="7">
        <f t="shared" si="46"/>
        <v>0</v>
      </c>
      <c r="G63" s="2"/>
      <c r="H63" s="6"/>
      <c r="I63" s="2"/>
      <c r="J63" s="7">
        <f t="shared" si="47"/>
        <v>0</v>
      </c>
      <c r="K63" s="2"/>
      <c r="L63" s="6">
        <f t="shared" si="48"/>
        <v>0</v>
      </c>
      <c r="M63" s="2"/>
      <c r="N63" s="7">
        <f t="shared" si="49"/>
        <v>0</v>
      </c>
      <c r="O63" s="10"/>
      <c r="P63" s="6"/>
      <c r="Q63" s="2"/>
      <c r="R63" s="7">
        <f t="shared" si="50"/>
        <v>0</v>
      </c>
      <c r="S63" s="2"/>
      <c r="T63" s="6">
        <v>82.14</v>
      </c>
      <c r="U63" s="2"/>
      <c r="V63" s="7">
        <f t="shared" si="51"/>
        <v>2.9180777903266248E-4</v>
      </c>
      <c r="W63" s="2"/>
      <c r="X63" s="6">
        <f t="shared" si="52"/>
        <v>-82.14</v>
      </c>
      <c r="Y63" s="2"/>
      <c r="Z63" s="7">
        <f t="shared" si="53"/>
        <v>-1</v>
      </c>
    </row>
    <row r="64" spans="1:26" s="27" customFormat="1" outlineLevel="1" collapsed="1" x14ac:dyDescent="0.25">
      <c r="A64" s="26"/>
      <c r="B64" s="12" t="str">
        <f>CONCATENATE("     ","Telephone/Data Lines                              ")</f>
        <v xml:space="preserve">     Telephone/Data Lines                              </v>
      </c>
      <c r="C64" s="12"/>
      <c r="D64" s="1">
        <f>SUM(OSRRefD22_11x_0)</f>
        <v>51.5</v>
      </c>
      <c r="E64" s="1"/>
      <c r="F64" s="5">
        <f t="shared" ref="F64:F67" si="54">IF(D$12=0,0,D64/D$12)</f>
        <v>0</v>
      </c>
      <c r="G64" s="1"/>
      <c r="H64" s="1">
        <f>SUM(OSRRefH22_11x_0)</f>
        <v>28</v>
      </c>
      <c r="I64" s="1"/>
      <c r="J64" s="5">
        <f t="shared" ref="J64:J67" si="55">IF(H$12=0,0,H64/H$12)</f>
        <v>0</v>
      </c>
      <c r="K64" s="1"/>
      <c r="L64" s="1">
        <f t="shared" ref="L64:L67" si="56">+D64-H64</f>
        <v>23.5</v>
      </c>
      <c r="M64" s="1"/>
      <c r="N64" s="5">
        <f t="shared" ref="N64:N67" si="57">IF(H64=0,0,L64/H64)</f>
        <v>0.8392857142857143</v>
      </c>
      <c r="O64" s="12"/>
      <c r="P64" s="1">
        <f>SUM(OSRRefP22_11x_0)</f>
        <v>941.5</v>
      </c>
      <c r="Q64" s="1"/>
      <c r="R64" s="5">
        <f t="shared" ref="R64:R67" si="58">IF(P$12=0,0,P64/P$12)</f>
        <v>0.3801782375720279</v>
      </c>
      <c r="S64" s="1"/>
      <c r="T64" s="1">
        <f>SUM(OSRRefT22_11x_0)</f>
        <v>656.09</v>
      </c>
      <c r="U64" s="1"/>
      <c r="V64" s="5">
        <f t="shared" ref="V64:V67" si="59">IF(T$12=0,0,T64/T$12)</f>
        <v>2.3308030891835835E-3</v>
      </c>
      <c r="W64" s="1"/>
      <c r="X64" s="1">
        <f t="shared" ref="X64:X67" si="60">+P64-T64</f>
        <v>285.40999999999997</v>
      </c>
      <c r="Y64" s="1"/>
      <c r="Z64" s="5">
        <f t="shared" ref="Z64:Z67" si="61">IF(T64=0,0,X64/T64)</f>
        <v>0.43501653736530044</v>
      </c>
    </row>
    <row r="65" spans="1:26" s="23" customFormat="1" hidden="1" outlineLevel="2" x14ac:dyDescent="0.25">
      <c r="A65" s="25"/>
      <c r="B65" s="10" t="str">
        <f>CONCATENATE("          ", "6309", " - ", "TELEPHONE")</f>
        <v xml:space="preserve">          6309 - TELEPHONE</v>
      </c>
      <c r="C65" s="10"/>
      <c r="D65" s="6">
        <v>51.5</v>
      </c>
      <c r="E65" s="2"/>
      <c r="F65" s="7">
        <f t="shared" si="54"/>
        <v>0</v>
      </c>
      <c r="G65" s="2"/>
      <c r="H65" s="6">
        <v>28</v>
      </c>
      <c r="I65" s="2"/>
      <c r="J65" s="7">
        <f t="shared" si="55"/>
        <v>0</v>
      </c>
      <c r="K65" s="2"/>
      <c r="L65" s="6">
        <f t="shared" si="56"/>
        <v>23.5</v>
      </c>
      <c r="M65" s="2"/>
      <c r="N65" s="7">
        <f t="shared" si="57"/>
        <v>0.8392857142857143</v>
      </c>
      <c r="O65" s="10"/>
      <c r="P65" s="6">
        <v>941.5</v>
      </c>
      <c r="Q65" s="2"/>
      <c r="R65" s="7">
        <f t="shared" si="58"/>
        <v>0.3801782375720279</v>
      </c>
      <c r="S65" s="2"/>
      <c r="T65" s="6">
        <v>656.09</v>
      </c>
      <c r="U65" s="2"/>
      <c r="V65" s="7">
        <f t="shared" si="59"/>
        <v>2.3308030891835835E-3</v>
      </c>
      <c r="W65" s="2"/>
      <c r="X65" s="6">
        <f t="shared" si="60"/>
        <v>285.40999999999997</v>
      </c>
      <c r="Y65" s="2"/>
      <c r="Z65" s="7">
        <f t="shared" si="61"/>
        <v>0.43501653736530044</v>
      </c>
    </row>
    <row r="66" spans="1:26" s="27" customFormat="1" outlineLevel="1" collapsed="1" x14ac:dyDescent="0.25">
      <c r="A66" s="26"/>
      <c r="B66" s="12" t="str">
        <f>CONCATENATE("     ","Utilities                                         ")</f>
        <v xml:space="preserve">     Utilities                                         </v>
      </c>
      <c r="C66" s="12"/>
      <c r="D66" s="1">
        <f>SUM(OSRRefD22_12x_0)</f>
        <v>50</v>
      </c>
      <c r="E66" s="1"/>
      <c r="F66" s="5">
        <f t="shared" si="54"/>
        <v>0</v>
      </c>
      <c r="G66" s="1"/>
      <c r="H66" s="1">
        <f>SUM(OSRRefH22_12x_0)</f>
        <v>4</v>
      </c>
      <c r="I66" s="1"/>
      <c r="J66" s="5">
        <f t="shared" si="55"/>
        <v>0</v>
      </c>
      <c r="K66" s="1"/>
      <c r="L66" s="1">
        <f t="shared" si="56"/>
        <v>46</v>
      </c>
      <c r="M66" s="1"/>
      <c r="N66" s="5">
        <f t="shared" si="57"/>
        <v>11.5</v>
      </c>
      <c r="O66" s="12"/>
      <c r="P66" s="1">
        <f>SUM(OSRRefP22_12x_0)</f>
        <v>600</v>
      </c>
      <c r="Q66" s="1"/>
      <c r="R66" s="5">
        <f t="shared" si="58"/>
        <v>0.2422803425844044</v>
      </c>
      <c r="S66" s="1"/>
      <c r="T66" s="1">
        <f>SUM(OSRRefT22_12x_0)</f>
        <v>-23.26</v>
      </c>
      <c r="U66" s="1"/>
      <c r="V66" s="5">
        <f t="shared" si="59"/>
        <v>-8.2632687366687729E-5</v>
      </c>
      <c r="W66" s="1"/>
      <c r="X66" s="1">
        <f t="shared" si="60"/>
        <v>623.26</v>
      </c>
      <c r="Y66" s="1"/>
      <c r="Z66" s="5">
        <f t="shared" si="61"/>
        <v>-26.79535683576956</v>
      </c>
    </row>
    <row r="67" spans="1:26" s="23" customFormat="1" hidden="1" outlineLevel="2" x14ac:dyDescent="0.25">
      <c r="A67" s="25"/>
      <c r="B67" s="10" t="str">
        <f>CONCATENATE("          ", "6274", " - ", "UTILITIES")</f>
        <v xml:space="preserve">          6274 - UTILITIES</v>
      </c>
      <c r="C67" s="10"/>
      <c r="D67" s="6">
        <v>50</v>
      </c>
      <c r="E67" s="2"/>
      <c r="F67" s="7">
        <f t="shared" si="54"/>
        <v>0</v>
      </c>
      <c r="G67" s="2"/>
      <c r="H67" s="6">
        <v>4</v>
      </c>
      <c r="I67" s="2"/>
      <c r="J67" s="7">
        <f t="shared" si="55"/>
        <v>0</v>
      </c>
      <c r="K67" s="2"/>
      <c r="L67" s="6">
        <f t="shared" si="56"/>
        <v>46</v>
      </c>
      <c r="M67" s="2"/>
      <c r="N67" s="7">
        <f t="shared" si="57"/>
        <v>11.5</v>
      </c>
      <c r="O67" s="10"/>
      <c r="P67" s="6">
        <v>600</v>
      </c>
      <c r="Q67" s="2"/>
      <c r="R67" s="7">
        <f t="shared" si="58"/>
        <v>0.2422803425844044</v>
      </c>
      <c r="S67" s="2"/>
      <c r="T67" s="6">
        <v>-23.26</v>
      </c>
      <c r="U67" s="2"/>
      <c r="V67" s="7">
        <f t="shared" si="59"/>
        <v>-8.2632687366687729E-5</v>
      </c>
      <c r="W67" s="2"/>
      <c r="X67" s="6">
        <f t="shared" si="60"/>
        <v>623.26</v>
      </c>
      <c r="Y67" s="2"/>
      <c r="Z67" s="7">
        <f t="shared" si="61"/>
        <v>-26.79535683576956</v>
      </c>
    </row>
    <row r="68" spans="1:26" s="52" customFormat="1" x14ac:dyDescent="0.25">
      <c r="A68" s="37"/>
      <c r="B68" s="37"/>
      <c r="C68" s="37"/>
      <c r="D68" s="1"/>
      <c r="E68" s="1"/>
      <c r="F68" s="5"/>
      <c r="G68" s="1"/>
      <c r="H68" s="1"/>
      <c r="I68" s="1"/>
      <c r="J68" s="5"/>
      <c r="K68" s="1"/>
      <c r="L68" s="1"/>
      <c r="M68" s="1"/>
      <c r="N68" s="5"/>
      <c r="O68" s="37"/>
      <c r="P68" s="1"/>
      <c r="Q68" s="1"/>
      <c r="R68" s="5"/>
      <c r="S68" s="1"/>
      <c r="T68" s="1"/>
      <c r="U68" s="1"/>
      <c r="V68" s="5"/>
      <c r="W68" s="1"/>
      <c r="X68" s="1"/>
      <c r="Y68" s="1"/>
      <c r="Z68" s="5"/>
    </row>
    <row r="69" spans="1:26" s="24" customFormat="1" x14ac:dyDescent="0.25">
      <c r="A69" s="11"/>
      <c r="B69" s="29" t="s">
        <v>292</v>
      </c>
      <c r="C69" s="11"/>
      <c r="D69" s="4">
        <f>SUM(0)</f>
        <v>0</v>
      </c>
      <c r="E69" s="4"/>
      <c r="F69" s="13">
        <f>IF(D$12=0,0,D69/D$12)</f>
        <v>0</v>
      </c>
      <c r="G69" s="4"/>
      <c r="H69" s="4">
        <f>SUM(0)</f>
        <v>0</v>
      </c>
      <c r="I69" s="4"/>
      <c r="J69" s="13">
        <f>IF(H$12=0,0,H69/H$12)</f>
        <v>0</v>
      </c>
      <c r="K69" s="4"/>
      <c r="L69" s="4">
        <f>+D69-H69</f>
        <v>0</v>
      </c>
      <c r="M69" s="4"/>
      <c r="N69" s="13">
        <f>IF(H69=0,0,L69/H69)</f>
        <v>0</v>
      </c>
      <c r="O69" s="11"/>
      <c r="P69" s="4">
        <f>SUM(0)</f>
        <v>0</v>
      </c>
      <c r="Q69" s="4"/>
      <c r="R69" s="13">
        <f>IF(P$12=0,0,P69/P$12)</f>
        <v>0</v>
      </c>
      <c r="S69" s="4"/>
      <c r="T69" s="4">
        <f>SUM(0)</f>
        <v>0</v>
      </c>
      <c r="U69" s="4"/>
      <c r="V69" s="13">
        <f>IF(T$12=0,0,T69/T$12)</f>
        <v>0</v>
      </c>
      <c r="W69" s="4"/>
      <c r="X69" s="4">
        <f>+P69-T69</f>
        <v>0</v>
      </c>
      <c r="Y69" s="4"/>
      <c r="Z69" s="13">
        <f>IF(T69=0,0,X69/T69)</f>
        <v>0</v>
      </c>
    </row>
    <row r="70" spans="1:26" x14ac:dyDescent="0.25">
      <c r="A70" s="9"/>
      <c r="B70" s="11"/>
      <c r="C70" s="11"/>
      <c r="D70" s="3"/>
      <c r="E70" s="3"/>
      <c r="F70" s="8"/>
      <c r="G70" s="3"/>
      <c r="H70" s="3"/>
      <c r="I70" s="3"/>
      <c r="J70" s="8"/>
      <c r="K70" s="3"/>
      <c r="L70" s="3"/>
      <c r="M70" s="3"/>
      <c r="N70" s="8"/>
      <c r="O70" s="11"/>
      <c r="P70" s="3"/>
      <c r="Q70" s="3"/>
      <c r="R70" s="8"/>
      <c r="S70" s="3"/>
      <c r="T70" s="3"/>
      <c r="U70" s="3"/>
      <c r="V70" s="8"/>
      <c r="W70" s="3"/>
      <c r="X70" s="3"/>
      <c r="Y70" s="3"/>
      <c r="Z70" s="8"/>
    </row>
    <row r="71" spans="1:26" s="24" customFormat="1" x14ac:dyDescent="0.25">
      <c r="A71" s="11"/>
      <c r="B71" s="28" t="s">
        <v>276</v>
      </c>
      <c r="C71" s="28"/>
      <c r="D71" s="21">
        <f>+D20-D22+D69</f>
        <v>-1498.95</v>
      </c>
      <c r="E71" s="14"/>
      <c r="F71" s="22">
        <f>IF(D$12=0,0,D71/D$12)</f>
        <v>0</v>
      </c>
      <c r="G71" s="14"/>
      <c r="H71" s="21">
        <f>+H20-H22+H69</f>
        <v>-1337.6100000000001</v>
      </c>
      <c r="I71" s="14"/>
      <c r="J71" s="22">
        <f>IF(H$12=0,0,H71/H$12)</f>
        <v>0</v>
      </c>
      <c r="K71" s="15"/>
      <c r="L71" s="21">
        <f>+D71-H71</f>
        <v>-161.33999999999992</v>
      </c>
      <c r="M71" s="15"/>
      <c r="N71" s="22">
        <f>IF(H71=0,0,L71/H71)</f>
        <v>0.12061811738847639</v>
      </c>
      <c r="O71" s="29"/>
      <c r="P71" s="21">
        <f>+P20-P22+P69</f>
        <v>-60290.34</v>
      </c>
      <c r="Q71" s="14"/>
      <c r="R71" s="22">
        <f>IF(P$12=0,0,P71/P$12)</f>
        <v>-24.345273716217029</v>
      </c>
      <c r="S71" s="14"/>
      <c r="T71" s="21">
        <f>+T20-T22+T69</f>
        <v>12595.920000000042</v>
      </c>
      <c r="U71" s="14"/>
      <c r="V71" s="22">
        <f>IF(T$12=0,0,T71/T$12)</f>
        <v>4.4747838325701318E-2</v>
      </c>
      <c r="W71" s="15"/>
      <c r="X71" s="21">
        <f>+P71-T71</f>
        <v>-72886.260000000038</v>
      </c>
      <c r="Y71" s="15"/>
      <c r="Z71" s="22">
        <f>IF(T71=0,0,X71/T71)</f>
        <v>-5.7864975325343284</v>
      </c>
    </row>
    <row r="72" spans="1:26" x14ac:dyDescent="0.25">
      <c r="A72" s="9"/>
      <c r="B72" s="11"/>
      <c r="C72" s="9"/>
      <c r="D72" s="3"/>
      <c r="E72" s="3"/>
      <c r="F72" s="8"/>
      <c r="G72" s="3"/>
      <c r="H72" s="3"/>
      <c r="I72" s="3"/>
      <c r="J72" s="8"/>
      <c r="K72" s="3"/>
      <c r="L72" s="3"/>
      <c r="M72" s="3"/>
      <c r="N72" s="8"/>
      <c r="P72" s="3"/>
      <c r="Q72" s="3"/>
      <c r="R72" s="8"/>
      <c r="S72" s="3"/>
      <c r="T72" s="3"/>
      <c r="U72" s="3"/>
      <c r="V72" s="8"/>
      <c r="W72" s="3"/>
      <c r="X72" s="3"/>
      <c r="Y72" s="3"/>
      <c r="Z72" s="8"/>
    </row>
    <row r="73" spans="1:26" s="24" customFormat="1" x14ac:dyDescent="0.25">
      <c r="A73" s="51"/>
      <c r="B73" s="11" t="s">
        <v>127</v>
      </c>
      <c r="C73" s="11"/>
      <c r="D73" s="4">
        <v>156.27000000000001</v>
      </c>
      <c r="E73" s="4"/>
      <c r="F73" s="13">
        <f>IF(D$12=0,0,D73/D$12)</f>
        <v>0</v>
      </c>
      <c r="G73" s="4"/>
      <c r="H73" s="4">
        <v>9289.64</v>
      </c>
      <c r="I73" s="4"/>
      <c r="J73" s="13">
        <f>IF(H$12=0,0,H73/H$12)</f>
        <v>0</v>
      </c>
      <c r="K73" s="4"/>
      <c r="L73" s="4">
        <f>+D73-H73</f>
        <v>-9133.369999999999</v>
      </c>
      <c r="M73" s="4"/>
      <c r="N73" s="13">
        <f>IF(H73=0,0,L73/H73)</f>
        <v>-0.98317803488617428</v>
      </c>
      <c r="O73" s="11"/>
      <c r="P73" s="4">
        <v>685.47</v>
      </c>
      <c r="Q73" s="4"/>
      <c r="R73" s="13">
        <f>IF(P$12=0,0,P73/P$12)</f>
        <v>0.27679317738555281</v>
      </c>
      <c r="S73" s="4"/>
      <c r="T73" s="4">
        <v>42623.45</v>
      </c>
      <c r="U73" s="4"/>
      <c r="V73" s="13">
        <f>IF(T$12=0,0,T73/T$12)</f>
        <v>0.15142262331640782</v>
      </c>
      <c r="W73" s="4"/>
      <c r="X73" s="4">
        <f>+P73-T73</f>
        <v>-41937.979999999996</v>
      </c>
      <c r="Y73" s="4"/>
      <c r="Z73" s="13">
        <f>IF(T73=0,0,X73/T73)</f>
        <v>-0.98391800757564207</v>
      </c>
    </row>
    <row r="74" spans="1:26" x14ac:dyDescent="0.25">
      <c r="A74" s="9"/>
      <c r="B74" s="11"/>
      <c r="C74" s="11"/>
      <c r="D74" s="3"/>
      <c r="E74" s="3"/>
      <c r="F74" s="8"/>
      <c r="G74" s="3"/>
      <c r="H74" s="3"/>
      <c r="I74" s="3"/>
      <c r="J74" s="8"/>
      <c r="K74" s="3"/>
      <c r="L74" s="3"/>
      <c r="M74" s="3"/>
      <c r="N74" s="8"/>
      <c r="O74" s="11"/>
      <c r="P74" s="3"/>
      <c r="Q74" s="3"/>
      <c r="R74" s="8"/>
      <c r="S74" s="3"/>
      <c r="T74" s="3"/>
      <c r="U74" s="3"/>
      <c r="V74" s="8"/>
      <c r="W74" s="3"/>
      <c r="X74" s="3"/>
      <c r="Y74" s="3"/>
      <c r="Z74" s="8"/>
    </row>
    <row r="75" spans="1:26" s="24" customFormat="1" ht="15.75" thickBot="1" x14ac:dyDescent="0.3">
      <c r="A75" s="11"/>
      <c r="B75" s="28" t="s">
        <v>125</v>
      </c>
      <c r="C75" s="28"/>
      <c r="D75" s="34">
        <f>+D71-D73</f>
        <v>-1655.22</v>
      </c>
      <c r="E75" s="14"/>
      <c r="F75" s="31">
        <f>IF(D$12=0,0,D75/D$12)</f>
        <v>0</v>
      </c>
      <c r="G75" s="14"/>
      <c r="H75" s="34">
        <f>+H71-H73</f>
        <v>-10627.25</v>
      </c>
      <c r="I75" s="14"/>
      <c r="J75" s="31">
        <f>IF(H$12=0,0,H75/H$12)</f>
        <v>0</v>
      </c>
      <c r="K75" s="15"/>
      <c r="L75" s="34">
        <f>D75-H75</f>
        <v>8972.0300000000007</v>
      </c>
      <c r="M75" s="15"/>
      <c r="N75" s="31">
        <f>IF(H75=0,0,L75/H75)</f>
        <v>-0.84424757110259008</v>
      </c>
      <c r="O75" s="29"/>
      <c r="P75" s="34">
        <f>+P71-P73</f>
        <v>-60975.81</v>
      </c>
      <c r="Q75" s="14"/>
      <c r="R75" s="31">
        <f>IF(P$12=0,0,P75/P$12)</f>
        <v>-24.622066893602582</v>
      </c>
      <c r="S75" s="14"/>
      <c r="T75" s="34">
        <f>+T71-T73</f>
        <v>-30027.529999999955</v>
      </c>
      <c r="U75" s="14"/>
      <c r="V75" s="31">
        <f>IF(T$12=0,0,T75/T$12)</f>
        <v>-0.10667478499070648</v>
      </c>
      <c r="W75" s="15"/>
      <c r="X75" s="34">
        <f>P75-T75</f>
        <v>-30948.280000000042</v>
      </c>
      <c r="Y75" s="15"/>
      <c r="Z75" s="31">
        <f>IF(T75=0,0,X75/T75)</f>
        <v>1.0306635277693532</v>
      </c>
    </row>
    <row r="76" spans="1:26" ht="15.75" thickTop="1" x14ac:dyDescent="0.25">
      <c r="A76" s="9"/>
      <c r="B76" s="9"/>
      <c r="C76" s="9"/>
      <c r="D76" s="3"/>
      <c r="E76" s="3"/>
      <c r="F76" s="8"/>
      <c r="G76" s="3"/>
      <c r="H76" s="3"/>
      <c r="I76" s="3"/>
      <c r="J76" s="8"/>
      <c r="K76" s="3"/>
      <c r="L76" s="3"/>
      <c r="M76" s="3"/>
      <c r="N76" s="8"/>
      <c r="P76" s="3"/>
      <c r="Q76" s="3"/>
      <c r="R76" s="8"/>
      <c r="S76" s="3"/>
      <c r="T76" s="3"/>
      <c r="U76" s="3"/>
      <c r="V76" s="8"/>
      <c r="W76" s="3"/>
      <c r="X76" s="3"/>
      <c r="Y76" s="3"/>
      <c r="Z76" s="8"/>
    </row>
    <row r="77" spans="1:26" x14ac:dyDescent="0.25">
      <c r="A77" s="9"/>
      <c r="B77" s="9"/>
      <c r="C77" s="9"/>
      <c r="D77" s="3"/>
      <c r="E77" s="3"/>
      <c r="F77" s="8"/>
      <c r="G77" s="3"/>
      <c r="H77" s="3"/>
      <c r="I77" s="3"/>
      <c r="J77" s="8"/>
      <c r="K77" s="3"/>
      <c r="L77" s="3"/>
      <c r="M77" s="3"/>
      <c r="N77" s="8"/>
      <c r="P77" s="3"/>
      <c r="Q77" s="3"/>
      <c r="R77" s="8"/>
      <c r="S77" s="3"/>
      <c r="T77" s="3"/>
      <c r="U77" s="3"/>
      <c r="V77" s="8"/>
      <c r="W77" s="3"/>
      <c r="X77" s="3"/>
      <c r="Y77" s="3"/>
      <c r="Z77" s="8"/>
    </row>
    <row r="78" spans="1:26" s="24" customFormat="1" ht="15.75" thickBot="1" x14ac:dyDescent="0.3">
      <c r="A78" s="11"/>
      <c r="B78" s="28" t="s">
        <v>293</v>
      </c>
      <c r="C78" s="28"/>
      <c r="D78" s="33">
        <f>SUM(D75:D77)</f>
        <v>-1655.22</v>
      </c>
      <c r="E78" s="14"/>
      <c r="F78" s="35">
        <f>IF(D$12=0,0,D78/D$12)</f>
        <v>0</v>
      </c>
      <c r="G78" s="14"/>
      <c r="H78" s="33">
        <f>SUM(H75:H77)</f>
        <v>-10627.25</v>
      </c>
      <c r="I78" s="14"/>
      <c r="J78" s="35">
        <f>IF(H$12=0,0,H78/H$12)</f>
        <v>0</v>
      </c>
      <c r="K78" s="15"/>
      <c r="L78" s="33">
        <f>+D78-H78</f>
        <v>8972.0300000000007</v>
      </c>
      <c r="M78" s="15"/>
      <c r="N78" s="35">
        <f>IF(H78=0,0,L78/H78)</f>
        <v>-0.84424757110259008</v>
      </c>
      <c r="O78" s="29"/>
      <c r="P78" s="33">
        <f>SUM(P75:P77)</f>
        <v>-60975.81</v>
      </c>
      <c r="Q78" s="14"/>
      <c r="R78" s="35">
        <f>IF(P$12=0,0,P78/P$12)</f>
        <v>-24.622066893602582</v>
      </c>
      <c r="S78" s="14"/>
      <c r="T78" s="33">
        <f>SUM(T75:T77)</f>
        <v>-30027.529999999955</v>
      </c>
      <c r="U78" s="14"/>
      <c r="V78" s="35">
        <f>IF(T$12=0,0,T78/T$12)</f>
        <v>-0.10667478499070648</v>
      </c>
      <c r="W78" s="15"/>
      <c r="X78" s="33">
        <f>+P78-T78</f>
        <v>-30948.280000000042</v>
      </c>
      <c r="Y78" s="15"/>
      <c r="Z78" s="35">
        <f>IF(T78=0,0,X78/T78)</f>
        <v>1.0306635277693532</v>
      </c>
    </row>
    <row r="79" spans="1:26" ht="15.75" thickTop="1" x14ac:dyDescent="0.25">
      <c r="A79" s="9"/>
      <c r="C79" s="9"/>
      <c r="D79" s="18"/>
      <c r="E79" s="18"/>
      <c r="G79" s="18"/>
      <c r="H79" s="18"/>
      <c r="I79" s="18"/>
      <c r="J79" s="43"/>
      <c r="K79" s="18"/>
      <c r="L79" s="18"/>
      <c r="M79" s="18"/>
      <c r="P79" s="18"/>
      <c r="Q79" s="18"/>
      <c r="R79" s="43"/>
      <c r="S79" s="18"/>
      <c r="T79" s="18"/>
      <c r="U79" s="18"/>
      <c r="V79" s="43"/>
      <c r="W79" s="18"/>
      <c r="X79" s="18"/>
    </row>
    <row r="80" spans="1:26" x14ac:dyDescent="0.25">
      <c r="A80" s="9"/>
      <c r="B80" s="56">
        <v>44454.698585613427</v>
      </c>
      <c r="D80" s="18"/>
      <c r="E80" s="18"/>
      <c r="G80" s="18"/>
      <c r="H80" s="18"/>
      <c r="I80" s="18"/>
      <c r="J80" s="43"/>
      <c r="K80" s="18"/>
      <c r="L80" s="18"/>
      <c r="M80" s="18"/>
      <c r="P80" s="18"/>
      <c r="Q80" s="18"/>
      <c r="R80" s="43"/>
      <c r="S80" s="18"/>
      <c r="T80" s="18"/>
      <c r="U80" s="18"/>
      <c r="V80" s="43"/>
      <c r="W80" s="18"/>
      <c r="X80" s="18"/>
    </row>
    <row r="81" spans="1:24" x14ac:dyDescent="0.25">
      <c r="A81" s="9"/>
      <c r="B81" s="55" t="s">
        <v>56</v>
      </c>
      <c r="D81" s="18"/>
      <c r="E81" s="18"/>
      <c r="G81" s="18"/>
      <c r="H81" s="18"/>
      <c r="I81" s="18"/>
      <c r="J81" s="43"/>
      <c r="K81" s="18"/>
      <c r="L81" s="18"/>
      <c r="M81" s="18"/>
      <c r="P81" s="18"/>
      <c r="Q81" s="18"/>
      <c r="R81" s="43"/>
      <c r="S81" s="18"/>
      <c r="T81" s="18"/>
      <c r="U81" s="18"/>
      <c r="V81" s="43"/>
      <c r="W81" s="18"/>
      <c r="X81" s="18"/>
    </row>
    <row r="82" spans="1:24" x14ac:dyDescent="0.25">
      <c r="A82" s="9"/>
      <c r="B82" s="60"/>
      <c r="D82" s="18"/>
      <c r="E82" s="18"/>
      <c r="G82" s="18"/>
      <c r="H82" s="18"/>
      <c r="I82" s="18"/>
      <c r="J82" s="43"/>
      <c r="K82" s="18"/>
      <c r="L82" s="18"/>
      <c r="M82" s="18"/>
      <c r="P82" s="18"/>
      <c r="Q82" s="18"/>
      <c r="R82" s="43"/>
      <c r="S82" s="18"/>
      <c r="T82" s="18"/>
      <c r="U82" s="18"/>
      <c r="V82" s="43"/>
      <c r="W82" s="18"/>
      <c r="X82" s="18"/>
    </row>
    <row r="83" spans="1:24" x14ac:dyDescent="0.25">
      <c r="D83" s="18"/>
      <c r="E83" s="18"/>
      <c r="G83" s="18"/>
      <c r="H83" s="18"/>
      <c r="I83" s="18"/>
      <c r="J83" s="43"/>
      <c r="K83" s="18"/>
      <c r="L83" s="18"/>
      <c r="M83" s="18"/>
      <c r="P83" s="18"/>
      <c r="Q83" s="18"/>
      <c r="R83" s="43"/>
      <c r="S83" s="18"/>
      <c r="T83" s="18"/>
      <c r="U83" s="18"/>
      <c r="V83" s="43"/>
      <c r="W83" s="18"/>
      <c r="X83" s="18"/>
    </row>
  </sheetData>
  <pageMargins left="0.25" right="0.25" top="0.75" bottom="0.75" header="0.3" footer="0.3"/>
  <pageSetup scale="55" fitToWidth="2" orientation="landscape"/>
  <drawing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>
    <tabColor rgb="FF92D050"/>
    <outlinePr summaryBelow="0" summaryRight="0"/>
  </sheetPr>
  <dimension ref="A2:Z86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62" t="s">
        <v>23</v>
      </c>
    </row>
    <row r="3" spans="1:26" x14ac:dyDescent="0.25">
      <c r="D3" s="62" t="s">
        <v>236</v>
      </c>
      <c r="E3" s="17"/>
      <c r="F3" s="46"/>
      <c r="G3" s="17"/>
      <c r="H3" s="17"/>
      <c r="I3" s="17"/>
      <c r="J3" s="38"/>
      <c r="K3" s="17"/>
      <c r="L3" s="17"/>
      <c r="M3" s="17"/>
      <c r="N3" s="46"/>
      <c r="O3" s="53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2" t="str">
        <f>CONCATENATE("Period ",RIGHT(202112,2),", ",2021)</f>
        <v>Period 12, 2021</v>
      </c>
      <c r="E4" s="17"/>
      <c r="F4" s="46"/>
      <c r="G4" s="17"/>
      <c r="H4" s="17"/>
      <c r="I4" s="17"/>
      <c r="J4" s="38"/>
      <c r="K4" s="17"/>
      <c r="L4" s="17"/>
      <c r="M4" s="17"/>
      <c r="N4" s="46"/>
      <c r="O4" s="53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4"/>
      <c r="D5" s="63">
        <v>44377</v>
      </c>
      <c r="E5" s="17"/>
      <c r="F5" s="46"/>
      <c r="G5" s="17"/>
      <c r="H5" s="17"/>
      <c r="I5" s="17"/>
      <c r="J5" s="38"/>
      <c r="K5" s="17"/>
      <c r="L5" s="17"/>
      <c r="M5" s="17"/>
      <c r="N5" s="46"/>
      <c r="O5" s="53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4"/>
      <c r="B6" s="48"/>
      <c r="C6" s="48"/>
      <c r="D6" s="24" t="str">
        <f>CONCATENATE("Department ","322", " - ", "Beach Hut")</f>
        <v>Department 322 - Beach Hut</v>
      </c>
      <c r="E6" s="17"/>
      <c r="F6" s="46"/>
      <c r="G6" s="17"/>
      <c r="H6" s="17"/>
      <c r="I6" s="17"/>
      <c r="J6" s="38"/>
      <c r="K6" s="17"/>
      <c r="L6" s="17"/>
      <c r="M6" s="17"/>
      <c r="N6" s="46"/>
      <c r="O6" s="54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9"/>
    </row>
    <row r="8" spans="1:26" x14ac:dyDescent="0.25">
      <c r="B8" s="59"/>
    </row>
    <row r="9" spans="1:26" x14ac:dyDescent="0.25">
      <c r="B9" s="9"/>
      <c r="C9" s="9"/>
      <c r="D9" s="16" t="s">
        <v>291</v>
      </c>
      <c r="E9" s="16"/>
      <c r="F9" s="39"/>
      <c r="G9" s="16"/>
      <c r="H9" s="16"/>
      <c r="I9" s="16"/>
      <c r="J9" s="49"/>
      <c r="K9" s="16"/>
      <c r="L9" s="16"/>
      <c r="M9" s="16"/>
      <c r="N9" s="39"/>
      <c r="P9" s="16" t="s">
        <v>39</v>
      </c>
      <c r="Q9" s="16"/>
      <c r="R9" s="39"/>
      <c r="S9" s="16"/>
      <c r="T9" s="16"/>
      <c r="U9" s="16"/>
      <c r="V9" s="49"/>
      <c r="W9" s="16"/>
      <c r="X9" s="16"/>
      <c r="Y9" s="16"/>
      <c r="Z9" s="39"/>
    </row>
    <row r="10" spans="1:26" x14ac:dyDescent="0.25">
      <c r="A10" s="11"/>
      <c r="B10" s="58"/>
      <c r="C10" s="11"/>
      <c r="D10" s="42" t="s">
        <v>57</v>
      </c>
      <c r="E10" s="36"/>
      <c r="F10" s="30" t="s">
        <v>40</v>
      </c>
      <c r="G10" s="36"/>
      <c r="H10" s="50" t="s">
        <v>237</v>
      </c>
      <c r="I10" s="36"/>
      <c r="J10" s="30" t="s">
        <v>40</v>
      </c>
      <c r="K10" s="11"/>
      <c r="L10" s="42" t="s">
        <v>126</v>
      </c>
      <c r="M10" s="11"/>
      <c r="N10" s="30" t="s">
        <v>257</v>
      </c>
      <c r="O10" s="11"/>
      <c r="P10" s="61" t="s">
        <v>57</v>
      </c>
      <c r="Q10" s="36"/>
      <c r="R10" s="30" t="s">
        <v>40</v>
      </c>
      <c r="S10" s="36"/>
      <c r="T10" s="50" t="s">
        <v>237</v>
      </c>
      <c r="U10" s="36"/>
      <c r="V10" s="30" t="s">
        <v>40</v>
      </c>
      <c r="W10" s="11"/>
      <c r="X10" s="42" t="s">
        <v>126</v>
      </c>
      <c r="Y10" s="11"/>
      <c r="Z10" s="30" t="s">
        <v>257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4" customFormat="1" collapsed="1" x14ac:dyDescent="0.25">
      <c r="A12" s="11"/>
      <c r="B12" s="29" t="s">
        <v>139</v>
      </c>
      <c r="C12" s="11"/>
      <c r="D12" s="4">
        <f>SUM(OSRRefD13x_0)</f>
        <v>0</v>
      </c>
      <c r="E12" s="4"/>
      <c r="F12" s="13"/>
      <c r="G12" s="4"/>
      <c r="H12" s="4">
        <f>SUM(OSRRefH13x_0)</f>
        <v>0</v>
      </c>
      <c r="I12" s="4"/>
      <c r="J12" s="13"/>
      <c r="K12" s="4"/>
      <c r="L12" s="4">
        <f t="shared" ref="L12:L14" si="0">+D12-H12</f>
        <v>0</v>
      </c>
      <c r="M12" s="4"/>
      <c r="N12" s="13">
        <f t="shared" ref="N12:N14" si="1">IF(H12=0,0,L12/H12)</f>
        <v>0</v>
      </c>
      <c r="O12" s="11"/>
      <c r="P12" s="4">
        <f>SUM(OSRRefP13x_0)</f>
        <v>0</v>
      </c>
      <c r="Q12" s="4"/>
      <c r="R12" s="13"/>
      <c r="S12" s="4"/>
      <c r="T12" s="4">
        <f>SUM(OSRRefT13x_0)</f>
        <v>689915.82</v>
      </c>
      <c r="U12" s="4"/>
      <c r="V12" s="13"/>
      <c r="W12" s="4"/>
      <c r="X12" s="4">
        <f t="shared" ref="X12:X14" si="2">+P12-T12</f>
        <v>-689915.82</v>
      </c>
      <c r="Y12" s="4"/>
      <c r="Z12" s="13">
        <f t="shared" ref="Z12:Z14" si="3">IF(T12=0,0,X12/T12)</f>
        <v>-1</v>
      </c>
    </row>
    <row r="13" spans="1:26" s="23" customFormat="1" hidden="1" outlineLevel="1" x14ac:dyDescent="0.25">
      <c r="A13" s="44"/>
      <c r="B13" s="10" t="str">
        <f>CONCATENATE("          ", "4051", " - ", "TAXABLE SALES-FOOD")</f>
        <v xml:space="preserve">          4051 - TAXABLE SALES-FOOD</v>
      </c>
      <c r="C13" s="10"/>
      <c r="D13" s="2">
        <f t="shared" ref="D13:D14" si="4">0</f>
        <v>0</v>
      </c>
      <c r="E13" s="2"/>
      <c r="F13" s="19"/>
      <c r="G13" s="2"/>
      <c r="H13" s="2">
        <f t="shared" ref="H13:H14" si="5">0</f>
        <v>0</v>
      </c>
      <c r="I13" s="2"/>
      <c r="J13" s="19"/>
      <c r="K13" s="2"/>
      <c r="L13" s="2">
        <f t="shared" si="0"/>
        <v>0</v>
      </c>
      <c r="M13" s="2"/>
      <c r="N13" s="19">
        <f t="shared" si="1"/>
        <v>0</v>
      </c>
      <c r="O13" s="10"/>
      <c r="P13" s="2">
        <f t="shared" ref="P13:P14" si="6">0</f>
        <v>0</v>
      </c>
      <c r="Q13" s="2"/>
      <c r="R13" s="19"/>
      <c r="S13" s="2"/>
      <c r="T13" s="2">
        <f>--85250.21</f>
        <v>85250.21</v>
      </c>
      <c r="U13" s="2"/>
      <c r="V13" s="19"/>
      <c r="W13" s="2"/>
      <c r="X13" s="2">
        <f t="shared" si="2"/>
        <v>-85250.21</v>
      </c>
      <c r="Y13" s="2"/>
      <c r="Z13" s="19">
        <f t="shared" si="3"/>
        <v>-1</v>
      </c>
    </row>
    <row r="14" spans="1:26" s="23" customFormat="1" hidden="1" outlineLevel="1" x14ac:dyDescent="0.25">
      <c r="A14" s="44"/>
      <c r="B14" s="10" t="str">
        <f>CONCATENATE("          ", "4151", " - ", "NON-TAXABLE SALES-FOOD")</f>
        <v xml:space="preserve">          4151 - NON-TAXABLE SALES-FOOD</v>
      </c>
      <c r="C14" s="10"/>
      <c r="D14" s="2">
        <f t="shared" si="4"/>
        <v>0</v>
      </c>
      <c r="E14" s="2"/>
      <c r="F14" s="19"/>
      <c r="G14" s="2"/>
      <c r="H14" s="2">
        <f t="shared" si="5"/>
        <v>0</v>
      </c>
      <c r="I14" s="2"/>
      <c r="J14" s="19"/>
      <c r="K14" s="2"/>
      <c r="L14" s="2">
        <f t="shared" si="0"/>
        <v>0</v>
      </c>
      <c r="M14" s="2"/>
      <c r="N14" s="19">
        <f t="shared" si="1"/>
        <v>0</v>
      </c>
      <c r="O14" s="10"/>
      <c r="P14" s="2">
        <f t="shared" si="6"/>
        <v>0</v>
      </c>
      <c r="Q14" s="2"/>
      <c r="R14" s="19"/>
      <c r="S14" s="2"/>
      <c r="T14" s="2">
        <f>--604665.61</f>
        <v>604665.61</v>
      </c>
      <c r="U14" s="2"/>
      <c r="V14" s="19"/>
      <c r="W14" s="2"/>
      <c r="X14" s="2">
        <f t="shared" si="2"/>
        <v>-604665.61</v>
      </c>
      <c r="Y14" s="2"/>
      <c r="Z14" s="19">
        <f t="shared" si="3"/>
        <v>-1</v>
      </c>
    </row>
    <row r="15" spans="1:26" x14ac:dyDescent="0.25">
      <c r="A15" s="9"/>
      <c r="B15" s="11"/>
      <c r="C15" s="9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4" customFormat="1" collapsed="1" x14ac:dyDescent="0.25">
      <c r="A16" s="11"/>
      <c r="B16" s="29" t="s">
        <v>256</v>
      </c>
      <c r="C16" s="11"/>
      <c r="D16" s="4">
        <f>SUM(OSRRefD16x_0)</f>
        <v>306.5</v>
      </c>
      <c r="E16" s="4"/>
      <c r="F16" s="13">
        <f t="shared" ref="F16:F18" si="7">IF(D$12=0,0,D16/D$12)</f>
        <v>0</v>
      </c>
      <c r="G16" s="4"/>
      <c r="H16" s="4">
        <f>SUM(OSRRefH16x_0)</f>
        <v>464.90000000000009</v>
      </c>
      <c r="I16" s="4"/>
      <c r="J16" s="13">
        <f t="shared" ref="J16:J18" si="8">IF(H$12=0,0,H16/H$12)</f>
        <v>0</v>
      </c>
      <c r="K16" s="4"/>
      <c r="L16" s="4">
        <f t="shared" ref="L16:L18" si="9">+D16-H16</f>
        <v>-158.40000000000009</v>
      </c>
      <c r="M16" s="4"/>
      <c r="N16" s="13">
        <f t="shared" ref="N16:N18" si="10">IF(H16=0,0,L16/H16)</f>
        <v>-0.34071843407184355</v>
      </c>
      <c r="O16" s="11"/>
      <c r="P16" s="4">
        <f>SUM(OSRRefP16x_0)</f>
        <v>-915.83</v>
      </c>
      <c r="Q16" s="4"/>
      <c r="R16" s="13">
        <f t="shared" ref="R16:R18" si="11">IF(P$12=0,0,P16/P$12)</f>
        <v>0</v>
      </c>
      <c r="S16" s="4"/>
      <c r="T16" s="4">
        <f>SUM(OSRRefT16x_0)</f>
        <v>393681.72000000003</v>
      </c>
      <c r="U16" s="4"/>
      <c r="V16" s="13">
        <f t="shared" ref="V16:V18" si="12">IF(T$12=0,0,T16/T$12)</f>
        <v>0.57062283337697639</v>
      </c>
      <c r="W16" s="4"/>
      <c r="X16" s="4">
        <f t="shared" ref="X16:X18" si="13">+P16-T16</f>
        <v>-394597.55000000005</v>
      </c>
      <c r="Y16" s="4"/>
      <c r="Z16" s="13">
        <f t="shared" ref="Z16:Z18" si="14">IF(T16=0,0,X16/T16)</f>
        <v>-1.0023263208665112</v>
      </c>
    </row>
    <row r="17" spans="1:26" s="23" customFormat="1" hidden="1" outlineLevel="1" x14ac:dyDescent="0.25">
      <c r="A17" s="44"/>
      <c r="B17" s="10" t="str">
        <f>CONCATENATE("          ", "5053", " - ", "PURCHASES @ COST-FOOD")</f>
        <v xml:space="preserve">          5053 - PURCHASES @ COST-FOOD</v>
      </c>
      <c r="C17" s="10"/>
      <c r="D17" s="2">
        <v>306.5</v>
      </c>
      <c r="E17" s="2"/>
      <c r="F17" s="19">
        <f t="shared" si="7"/>
        <v>0</v>
      </c>
      <c r="G17" s="2"/>
      <c r="H17" s="2">
        <v>-1040.0999999999999</v>
      </c>
      <c r="I17" s="2"/>
      <c r="J17" s="19">
        <f t="shared" si="8"/>
        <v>0</v>
      </c>
      <c r="K17" s="2"/>
      <c r="L17" s="2">
        <f t="shared" si="9"/>
        <v>1346.6</v>
      </c>
      <c r="M17" s="2"/>
      <c r="N17" s="19">
        <f t="shared" si="10"/>
        <v>-1.2946832035381213</v>
      </c>
      <c r="O17" s="10"/>
      <c r="P17" s="2">
        <v>-915.83</v>
      </c>
      <c r="Q17" s="2"/>
      <c r="R17" s="19">
        <f t="shared" si="11"/>
        <v>0</v>
      </c>
      <c r="S17" s="2"/>
      <c r="T17" s="2">
        <v>366024.14</v>
      </c>
      <c r="U17" s="2"/>
      <c r="V17" s="19">
        <f t="shared" si="12"/>
        <v>0.53053449332412761</v>
      </c>
      <c r="W17" s="2"/>
      <c r="X17" s="2">
        <f t="shared" si="13"/>
        <v>-366939.97000000003</v>
      </c>
      <c r="Y17" s="2"/>
      <c r="Z17" s="19">
        <f t="shared" si="14"/>
        <v>-1.0025021027301642</v>
      </c>
    </row>
    <row r="18" spans="1:26" s="23" customFormat="1" hidden="1" outlineLevel="1" x14ac:dyDescent="0.25">
      <c r="A18" s="44"/>
      <c r="B18" s="10" t="str">
        <f>CONCATENATE("          ", "5059", " - ", "PURCHASES @ COST-FOOD")</f>
        <v xml:space="preserve">          5059 - PURCHASES @ COST-FOOD</v>
      </c>
      <c r="C18" s="10"/>
      <c r="D18" s="2"/>
      <c r="E18" s="2"/>
      <c r="F18" s="19">
        <f t="shared" si="7"/>
        <v>0</v>
      </c>
      <c r="G18" s="2"/>
      <c r="H18" s="2">
        <v>1505</v>
      </c>
      <c r="I18" s="2"/>
      <c r="J18" s="19">
        <f t="shared" si="8"/>
        <v>0</v>
      </c>
      <c r="K18" s="2"/>
      <c r="L18" s="2">
        <f t="shared" si="9"/>
        <v>-1505</v>
      </c>
      <c r="M18" s="2"/>
      <c r="N18" s="19">
        <f t="shared" si="10"/>
        <v>-1</v>
      </c>
      <c r="O18" s="10"/>
      <c r="P18" s="2"/>
      <c r="Q18" s="2"/>
      <c r="R18" s="19">
        <f t="shared" si="11"/>
        <v>0</v>
      </c>
      <c r="S18" s="2"/>
      <c r="T18" s="2">
        <v>27657.58</v>
      </c>
      <c r="U18" s="2"/>
      <c r="V18" s="19">
        <f t="shared" si="12"/>
        <v>4.0088340052848774E-2</v>
      </c>
      <c r="W18" s="2"/>
      <c r="X18" s="2">
        <f t="shared" si="13"/>
        <v>-27657.58</v>
      </c>
      <c r="Y18" s="2"/>
      <c r="Z18" s="19">
        <f t="shared" si="14"/>
        <v>-1</v>
      </c>
    </row>
    <row r="19" spans="1:26" x14ac:dyDescent="0.25">
      <c r="A19" s="9"/>
      <c r="B19" s="11"/>
      <c r="C19" s="11"/>
      <c r="D19" s="3"/>
      <c r="E19" s="3"/>
      <c r="F19" s="8"/>
      <c r="G19" s="3"/>
      <c r="H19" s="3"/>
      <c r="I19" s="3"/>
      <c r="J19" s="8"/>
      <c r="K19" s="3"/>
      <c r="L19" s="3"/>
      <c r="M19" s="3"/>
      <c r="N19" s="8"/>
      <c r="O19" s="11"/>
      <c r="P19" s="3"/>
      <c r="Q19" s="3"/>
      <c r="R19" s="8"/>
      <c r="S19" s="3"/>
      <c r="T19" s="3"/>
      <c r="U19" s="3"/>
      <c r="V19" s="8"/>
      <c r="W19" s="3"/>
      <c r="X19" s="3"/>
      <c r="Y19" s="3"/>
      <c r="Z19" s="8"/>
    </row>
    <row r="20" spans="1:26" s="24" customFormat="1" x14ac:dyDescent="0.25">
      <c r="A20" s="11"/>
      <c r="B20" s="28" t="s">
        <v>107</v>
      </c>
      <c r="C20" s="28"/>
      <c r="D20" s="21">
        <f>D12-D16</f>
        <v>-306.5</v>
      </c>
      <c r="E20" s="14"/>
      <c r="F20" s="22">
        <f>IF(D$12=0,0,D20/D$12)</f>
        <v>0</v>
      </c>
      <c r="G20" s="14"/>
      <c r="H20" s="21">
        <f>H12-H16</f>
        <v>-464.90000000000009</v>
      </c>
      <c r="I20" s="14"/>
      <c r="J20" s="22">
        <f>IF(H$12=0,0,H20/H$12)</f>
        <v>0</v>
      </c>
      <c r="K20" s="15"/>
      <c r="L20" s="21">
        <f>+D20-H20</f>
        <v>158.40000000000009</v>
      </c>
      <c r="M20" s="15"/>
      <c r="N20" s="22">
        <f>IF(H20=0,0,L20/H20)</f>
        <v>-0.34071843407184355</v>
      </c>
      <c r="O20" s="29"/>
      <c r="P20" s="21">
        <f>P12-P16</f>
        <v>915.83</v>
      </c>
      <c r="Q20" s="14"/>
      <c r="R20" s="22">
        <f>IF(P$12=0,0,P20/P$12)</f>
        <v>0</v>
      </c>
      <c r="S20" s="14"/>
      <c r="T20" s="21">
        <f>T12-T16</f>
        <v>296234.09999999992</v>
      </c>
      <c r="U20" s="14"/>
      <c r="V20" s="22">
        <f>IF(T$12=0,0,T20/T$12)</f>
        <v>0.42937716662302355</v>
      </c>
      <c r="W20" s="15"/>
      <c r="X20" s="21">
        <f>+P20-T20</f>
        <v>-295318.2699999999</v>
      </c>
      <c r="Y20" s="15"/>
      <c r="Z20" s="22">
        <f>IF(T20=0,0,X20/T20)</f>
        <v>-0.99690842478971864</v>
      </c>
    </row>
    <row r="21" spans="1:26" x14ac:dyDescent="0.25">
      <c r="A21" s="9"/>
      <c r="B21" s="11"/>
      <c r="C21" s="9"/>
      <c r="D21" s="1"/>
      <c r="E21" s="1"/>
      <c r="F21" s="5"/>
      <c r="G21" s="1"/>
      <c r="H21" s="1"/>
      <c r="I21" s="1"/>
      <c r="J21" s="5"/>
      <c r="K21" s="1"/>
      <c r="L21" s="1"/>
      <c r="M21" s="1"/>
      <c r="N21" s="5"/>
      <c r="O21" s="37"/>
      <c r="P21" s="1"/>
      <c r="Q21" s="1"/>
      <c r="R21" s="5"/>
      <c r="S21" s="1"/>
      <c r="T21" s="1"/>
      <c r="U21" s="1"/>
      <c r="V21" s="5"/>
      <c r="W21" s="1"/>
      <c r="X21" s="1"/>
      <c r="Y21" s="1"/>
      <c r="Z21" s="5"/>
    </row>
    <row r="22" spans="1:26" s="24" customFormat="1" x14ac:dyDescent="0.25">
      <c r="A22" s="11"/>
      <c r="B22" s="29" t="s">
        <v>294</v>
      </c>
      <c r="C22" s="11"/>
      <c r="D22" s="20">
        <f>SUM(OSRRefD22x_0)</f>
        <v>42.739999999999981</v>
      </c>
      <c r="E22" s="20"/>
      <c r="F22" s="32">
        <f t="shared" ref="F22:F31" si="15">IF(D$12=0,0,D22/D$12)</f>
        <v>0</v>
      </c>
      <c r="G22" s="20"/>
      <c r="H22" s="20">
        <f>SUM(OSRRefH22x_0)</f>
        <v>11578.779999999999</v>
      </c>
      <c r="I22" s="20"/>
      <c r="J22" s="32">
        <f t="shared" ref="J22:J31" si="16">IF(H$12=0,0,H22/H$12)</f>
        <v>0</v>
      </c>
      <c r="K22" s="4"/>
      <c r="L22" s="20">
        <f t="shared" ref="L22:L31" si="17">+D22-H22</f>
        <v>-11536.039999999999</v>
      </c>
      <c r="M22" s="4"/>
      <c r="N22" s="32">
        <f t="shared" ref="N22:N31" si="18">IF(H22=0,0,L22/H22)</f>
        <v>-0.99630876482669162</v>
      </c>
      <c r="O22" s="11"/>
      <c r="P22" s="20">
        <f>SUM(OSRRefP22x_0)</f>
        <v>26531.08</v>
      </c>
      <c r="Q22" s="20"/>
      <c r="R22" s="32">
        <f t="shared" ref="R22:R31" si="19">IF(P$12=0,0,P22/P$12)</f>
        <v>0</v>
      </c>
      <c r="S22" s="20"/>
      <c r="T22" s="20">
        <f>SUM(OSRRefT22x_0)</f>
        <v>290734.59000000003</v>
      </c>
      <c r="U22" s="20"/>
      <c r="V22" s="32">
        <f t="shared" ref="V22:V31" si="20">IF(T$12=0,0,T22/T$12)</f>
        <v>0.42140588977942273</v>
      </c>
      <c r="W22" s="4"/>
      <c r="X22" s="20">
        <f t="shared" ref="X22:X31" si="21">+P22-T22</f>
        <v>-264203.51</v>
      </c>
      <c r="Y22" s="4"/>
      <c r="Z22" s="32">
        <f t="shared" ref="Z22:Z31" si="22">IF(T22=0,0,X22/T22)</f>
        <v>-0.90874467327743835</v>
      </c>
    </row>
    <row r="23" spans="1:26" s="27" customFormat="1" outlineLevel="1" collapsed="1" x14ac:dyDescent="0.25">
      <c r="A23" s="26"/>
      <c r="B23" s="12" t="str">
        <f>CONCATENATE("     ","*Benefits                                         ")</f>
        <v xml:space="preserve">     *Benefits                                         </v>
      </c>
      <c r="C23" s="12"/>
      <c r="D23" s="1">
        <f>SUM(OSRRefD22_0x_0)</f>
        <v>0</v>
      </c>
      <c r="E23" s="1"/>
      <c r="F23" s="5">
        <f t="shared" si="15"/>
        <v>0</v>
      </c>
      <c r="G23" s="1"/>
      <c r="H23" s="1">
        <f>SUM(OSRRefH22_0x_0)</f>
        <v>1385.73</v>
      </c>
      <c r="I23" s="1"/>
      <c r="J23" s="5">
        <f t="shared" si="16"/>
        <v>0</v>
      </c>
      <c r="K23" s="1"/>
      <c r="L23" s="1">
        <f t="shared" si="17"/>
        <v>-1385.73</v>
      </c>
      <c r="M23" s="1"/>
      <c r="N23" s="5">
        <f t="shared" si="18"/>
        <v>-1</v>
      </c>
      <c r="O23" s="12"/>
      <c r="P23" s="1">
        <f>SUM(OSRRefP22_0x_0)</f>
        <v>1595.9699999999998</v>
      </c>
      <c r="Q23" s="1"/>
      <c r="R23" s="5">
        <f t="shared" si="19"/>
        <v>0</v>
      </c>
      <c r="S23" s="1"/>
      <c r="T23" s="1">
        <f>SUM(OSRRefT22_0x_0)</f>
        <v>27043.710000000003</v>
      </c>
      <c r="U23" s="1"/>
      <c r="V23" s="5">
        <f t="shared" si="20"/>
        <v>3.9198564833605357E-2</v>
      </c>
      <c r="W23" s="1"/>
      <c r="X23" s="1">
        <f t="shared" si="21"/>
        <v>-25447.74</v>
      </c>
      <c r="Y23" s="1"/>
      <c r="Z23" s="5">
        <f t="shared" si="22"/>
        <v>-0.94098553785704697</v>
      </c>
    </row>
    <row r="24" spans="1:26" s="23" customFormat="1" hidden="1" outlineLevel="2" x14ac:dyDescent="0.25">
      <c r="A24" s="25"/>
      <c r="B24" s="10" t="str">
        <f>CONCATENATE("          ", "6111", " - ", "F.I.C.A.")</f>
        <v xml:space="preserve">          6111 - F.I.C.A.</v>
      </c>
      <c r="C24" s="10"/>
      <c r="D24" s="6"/>
      <c r="E24" s="2"/>
      <c r="F24" s="7">
        <f t="shared" si="15"/>
        <v>0</v>
      </c>
      <c r="G24" s="2"/>
      <c r="H24" s="6">
        <v>318.24</v>
      </c>
      <c r="I24" s="2"/>
      <c r="J24" s="7">
        <f t="shared" si="16"/>
        <v>0</v>
      </c>
      <c r="K24" s="2"/>
      <c r="L24" s="6">
        <f t="shared" si="17"/>
        <v>-318.24</v>
      </c>
      <c r="M24" s="2"/>
      <c r="N24" s="7">
        <f t="shared" si="18"/>
        <v>-1</v>
      </c>
      <c r="O24" s="10"/>
      <c r="P24" s="6">
        <v>159.12</v>
      </c>
      <c r="Q24" s="2"/>
      <c r="R24" s="7">
        <f t="shared" si="19"/>
        <v>0</v>
      </c>
      <c r="S24" s="2"/>
      <c r="T24" s="6">
        <v>5804.54</v>
      </c>
      <c r="U24" s="2"/>
      <c r="V24" s="7">
        <f t="shared" si="20"/>
        <v>8.413403246790312E-3</v>
      </c>
      <c r="W24" s="2"/>
      <c r="X24" s="6">
        <f t="shared" si="21"/>
        <v>-5645.42</v>
      </c>
      <c r="Y24" s="2"/>
      <c r="Z24" s="7">
        <f t="shared" si="22"/>
        <v>-0.97258697502299929</v>
      </c>
    </row>
    <row r="25" spans="1:26" s="23" customFormat="1" hidden="1" outlineLevel="2" x14ac:dyDescent="0.25">
      <c r="A25" s="25"/>
      <c r="B25" s="10" t="str">
        <f>CONCATENATE("          ", "6112", " - ", "COMPENSATION INSURANCE")</f>
        <v xml:space="preserve">          6112 - COMPENSATION INSURANCE</v>
      </c>
      <c r="C25" s="10"/>
      <c r="D25" s="6"/>
      <c r="E25" s="2"/>
      <c r="F25" s="7">
        <f t="shared" si="15"/>
        <v>0</v>
      </c>
      <c r="G25" s="2"/>
      <c r="H25" s="6">
        <v>79.040000000000006</v>
      </c>
      <c r="I25" s="2"/>
      <c r="J25" s="7">
        <f t="shared" si="16"/>
        <v>0</v>
      </c>
      <c r="K25" s="2"/>
      <c r="L25" s="6">
        <f t="shared" si="17"/>
        <v>-79.040000000000006</v>
      </c>
      <c r="M25" s="2"/>
      <c r="N25" s="7">
        <f t="shared" si="18"/>
        <v>-1</v>
      </c>
      <c r="O25" s="10"/>
      <c r="P25" s="6"/>
      <c r="Q25" s="2"/>
      <c r="R25" s="7">
        <f t="shared" si="19"/>
        <v>0</v>
      </c>
      <c r="S25" s="2"/>
      <c r="T25" s="6">
        <v>3114.05</v>
      </c>
      <c r="U25" s="2"/>
      <c r="V25" s="7">
        <f t="shared" si="20"/>
        <v>4.5136666093553279E-3</v>
      </c>
      <c r="W25" s="2"/>
      <c r="X25" s="6">
        <f t="shared" si="21"/>
        <v>-3114.05</v>
      </c>
      <c r="Y25" s="2"/>
      <c r="Z25" s="7">
        <f t="shared" si="22"/>
        <v>-1</v>
      </c>
    </row>
    <row r="26" spans="1:26" s="23" customFormat="1" hidden="1" outlineLevel="2" x14ac:dyDescent="0.25">
      <c r="A26" s="25"/>
      <c r="B26" s="10" t="str">
        <f>CONCATENATE("          ", "6113", " - ", "GROUP INSURANCE")</f>
        <v xml:space="preserve">          6113 - GROUP INSURANCE</v>
      </c>
      <c r="C26" s="10"/>
      <c r="D26" s="6"/>
      <c r="E26" s="2"/>
      <c r="F26" s="7">
        <f t="shared" si="15"/>
        <v>0</v>
      </c>
      <c r="G26" s="2"/>
      <c r="H26" s="6">
        <v>683.68</v>
      </c>
      <c r="I26" s="2"/>
      <c r="J26" s="7">
        <f t="shared" si="16"/>
        <v>0</v>
      </c>
      <c r="K26" s="2"/>
      <c r="L26" s="6">
        <f t="shared" si="17"/>
        <v>-683.68</v>
      </c>
      <c r="M26" s="2"/>
      <c r="N26" s="7">
        <f t="shared" si="18"/>
        <v>-1</v>
      </c>
      <c r="O26" s="10"/>
      <c r="P26" s="6">
        <v>683.68</v>
      </c>
      <c r="Q26" s="2"/>
      <c r="R26" s="7">
        <f t="shared" si="19"/>
        <v>0</v>
      </c>
      <c r="S26" s="2"/>
      <c r="T26" s="6">
        <v>7948.92</v>
      </c>
      <c r="U26" s="2"/>
      <c r="V26" s="7">
        <f t="shared" si="20"/>
        <v>1.152157954574806E-2</v>
      </c>
      <c r="W26" s="2"/>
      <c r="X26" s="6">
        <f t="shared" si="21"/>
        <v>-7265.24</v>
      </c>
      <c r="Y26" s="2"/>
      <c r="Z26" s="7">
        <f t="shared" si="22"/>
        <v>-0.91399083145886484</v>
      </c>
    </row>
    <row r="27" spans="1:26" s="23" customFormat="1" hidden="1" outlineLevel="2" x14ac:dyDescent="0.25">
      <c r="A27" s="25"/>
      <c r="B27" s="10" t="str">
        <f>CONCATENATE("          ", "6114", " - ", "STATE UNEMPLOYMENT INSURANCE")</f>
        <v xml:space="preserve">          6114 - STATE UNEMPLOYMENT INSURANCE</v>
      </c>
      <c r="C27" s="10"/>
      <c r="D27" s="6"/>
      <c r="E27" s="2"/>
      <c r="F27" s="7">
        <f t="shared" si="15"/>
        <v>0</v>
      </c>
      <c r="G27" s="2"/>
      <c r="H27" s="6">
        <v>-460.49</v>
      </c>
      <c r="I27" s="2"/>
      <c r="J27" s="7">
        <f t="shared" si="16"/>
        <v>0</v>
      </c>
      <c r="K27" s="2"/>
      <c r="L27" s="6">
        <f t="shared" si="17"/>
        <v>460.49</v>
      </c>
      <c r="M27" s="2"/>
      <c r="N27" s="7">
        <f t="shared" si="18"/>
        <v>-1</v>
      </c>
      <c r="O27" s="10"/>
      <c r="P27" s="6"/>
      <c r="Q27" s="2"/>
      <c r="R27" s="7">
        <f t="shared" si="19"/>
        <v>0</v>
      </c>
      <c r="S27" s="2"/>
      <c r="T27" s="6">
        <v>0</v>
      </c>
      <c r="U27" s="2"/>
      <c r="V27" s="7">
        <f t="shared" si="20"/>
        <v>0</v>
      </c>
      <c r="W27" s="2"/>
      <c r="X27" s="6">
        <f t="shared" si="21"/>
        <v>0</v>
      </c>
      <c r="Y27" s="2"/>
      <c r="Z27" s="7">
        <f t="shared" si="22"/>
        <v>0</v>
      </c>
    </row>
    <row r="28" spans="1:26" s="23" customFormat="1" hidden="1" outlineLevel="2" x14ac:dyDescent="0.25">
      <c r="A28" s="25"/>
      <c r="B28" s="10" t="str">
        <f>CONCATENATE("          ", "6115", " - ", "P.E.R.S.")</f>
        <v xml:space="preserve">          6115 - P.E.R.S.</v>
      </c>
      <c r="C28" s="10"/>
      <c r="D28" s="6"/>
      <c r="E28" s="2"/>
      <c r="F28" s="7">
        <f t="shared" si="15"/>
        <v>0</v>
      </c>
      <c r="G28" s="2"/>
      <c r="H28" s="6">
        <v>290.58</v>
      </c>
      <c r="I28" s="2"/>
      <c r="J28" s="7">
        <f t="shared" si="16"/>
        <v>0</v>
      </c>
      <c r="K28" s="2"/>
      <c r="L28" s="6">
        <f t="shared" si="17"/>
        <v>-290.58</v>
      </c>
      <c r="M28" s="2"/>
      <c r="N28" s="7">
        <f t="shared" si="18"/>
        <v>-1</v>
      </c>
      <c r="O28" s="10"/>
      <c r="P28" s="6">
        <v>321.57</v>
      </c>
      <c r="Q28" s="2"/>
      <c r="R28" s="7">
        <f t="shared" si="19"/>
        <v>0</v>
      </c>
      <c r="S28" s="2"/>
      <c r="T28" s="6">
        <v>3352.8</v>
      </c>
      <c r="U28" s="2"/>
      <c r="V28" s="7">
        <f t="shared" si="20"/>
        <v>4.8597233210277745E-3</v>
      </c>
      <c r="W28" s="2"/>
      <c r="X28" s="6">
        <f t="shared" si="21"/>
        <v>-3031.23</v>
      </c>
      <c r="Y28" s="2"/>
      <c r="Z28" s="7">
        <f t="shared" si="22"/>
        <v>-0.90408911954187543</v>
      </c>
    </row>
    <row r="29" spans="1:26" s="23" customFormat="1" hidden="1" outlineLevel="2" x14ac:dyDescent="0.25">
      <c r="A29" s="25"/>
      <c r="B29" s="10" t="str">
        <f>CONCATENATE("          ", "6118", " - ", "VACATION")</f>
        <v xml:space="preserve">          6118 - VACATION</v>
      </c>
      <c r="C29" s="10"/>
      <c r="D29" s="6"/>
      <c r="E29" s="2"/>
      <c r="F29" s="7">
        <f t="shared" si="15"/>
        <v>0</v>
      </c>
      <c r="G29" s="2"/>
      <c r="H29" s="6">
        <v>239.72</v>
      </c>
      <c r="I29" s="2"/>
      <c r="J29" s="7">
        <f t="shared" si="16"/>
        <v>0</v>
      </c>
      <c r="K29" s="2"/>
      <c r="L29" s="6">
        <f t="shared" si="17"/>
        <v>-239.72</v>
      </c>
      <c r="M29" s="2"/>
      <c r="N29" s="7">
        <f t="shared" si="18"/>
        <v>-1</v>
      </c>
      <c r="O29" s="10"/>
      <c r="P29" s="6">
        <v>239.72</v>
      </c>
      <c r="Q29" s="2"/>
      <c r="R29" s="7">
        <f t="shared" si="19"/>
        <v>0</v>
      </c>
      <c r="S29" s="2"/>
      <c r="T29" s="6">
        <v>2996.5</v>
      </c>
      <c r="U29" s="2"/>
      <c r="V29" s="7">
        <f t="shared" si="20"/>
        <v>4.3432835037758664E-3</v>
      </c>
      <c r="W29" s="2"/>
      <c r="X29" s="6">
        <f t="shared" si="21"/>
        <v>-2756.78</v>
      </c>
      <c r="Y29" s="2"/>
      <c r="Z29" s="7">
        <f t="shared" si="22"/>
        <v>-0.92</v>
      </c>
    </row>
    <row r="30" spans="1:26" s="23" customFormat="1" hidden="1" outlineLevel="2" x14ac:dyDescent="0.25">
      <c r="A30" s="25"/>
      <c r="B30" s="10" t="str">
        <f>CONCATENATE("          ", "6119", " - ", "SICK LEAVE")</f>
        <v xml:space="preserve">          6119 - SICK LEAVE</v>
      </c>
      <c r="C30" s="10"/>
      <c r="D30" s="6"/>
      <c r="E30" s="2"/>
      <c r="F30" s="7">
        <f t="shared" si="15"/>
        <v>0</v>
      </c>
      <c r="G30" s="2"/>
      <c r="H30" s="6">
        <v>191.88</v>
      </c>
      <c r="I30" s="2"/>
      <c r="J30" s="7">
        <f t="shared" si="16"/>
        <v>0</v>
      </c>
      <c r="K30" s="2"/>
      <c r="L30" s="6">
        <f t="shared" si="17"/>
        <v>-191.88</v>
      </c>
      <c r="M30" s="2"/>
      <c r="N30" s="7">
        <f t="shared" si="18"/>
        <v>-1</v>
      </c>
      <c r="O30" s="10"/>
      <c r="P30" s="6">
        <v>191.88</v>
      </c>
      <c r="Q30" s="2"/>
      <c r="R30" s="7">
        <f t="shared" si="19"/>
        <v>0</v>
      </c>
      <c r="S30" s="2"/>
      <c r="T30" s="6">
        <v>2398.5</v>
      </c>
      <c r="U30" s="2"/>
      <c r="V30" s="7">
        <f t="shared" si="20"/>
        <v>3.4765110908748262E-3</v>
      </c>
      <c r="W30" s="2"/>
      <c r="X30" s="6">
        <f t="shared" si="21"/>
        <v>-2206.62</v>
      </c>
      <c r="Y30" s="2"/>
      <c r="Z30" s="7">
        <f t="shared" si="22"/>
        <v>-0.91999999999999993</v>
      </c>
    </row>
    <row r="31" spans="1:26" s="23" customFormat="1" hidden="1" outlineLevel="2" x14ac:dyDescent="0.25">
      <c r="A31" s="25"/>
      <c r="B31" s="10" t="str">
        <f>CONCATENATE("          ", "6156", " - ", "EMPLOYEE MEALS")</f>
        <v xml:space="preserve">          6156 - EMPLOYEE MEALS</v>
      </c>
      <c r="C31" s="10"/>
      <c r="D31" s="6"/>
      <c r="E31" s="2"/>
      <c r="F31" s="7">
        <f t="shared" si="15"/>
        <v>0</v>
      </c>
      <c r="G31" s="2"/>
      <c r="H31" s="6">
        <v>43.08</v>
      </c>
      <c r="I31" s="2"/>
      <c r="J31" s="7">
        <f t="shared" si="16"/>
        <v>0</v>
      </c>
      <c r="K31" s="2"/>
      <c r="L31" s="6">
        <f t="shared" si="17"/>
        <v>-43.08</v>
      </c>
      <c r="M31" s="2"/>
      <c r="N31" s="7">
        <f t="shared" si="18"/>
        <v>-1</v>
      </c>
      <c r="O31" s="10"/>
      <c r="P31" s="6"/>
      <c r="Q31" s="2"/>
      <c r="R31" s="7">
        <f t="shared" si="19"/>
        <v>0</v>
      </c>
      <c r="S31" s="2"/>
      <c r="T31" s="6">
        <v>1428.4</v>
      </c>
      <c r="U31" s="2"/>
      <c r="V31" s="7">
        <f t="shared" si="20"/>
        <v>2.0703975160331883E-3</v>
      </c>
      <c r="W31" s="2"/>
      <c r="X31" s="6">
        <f t="shared" si="21"/>
        <v>-1428.4</v>
      </c>
      <c r="Y31" s="2"/>
      <c r="Z31" s="7">
        <f t="shared" si="22"/>
        <v>-1</v>
      </c>
    </row>
    <row r="32" spans="1:26" s="27" customFormat="1" outlineLevel="1" collapsed="1" x14ac:dyDescent="0.25">
      <c r="A32" s="26"/>
      <c r="B32" s="12" t="str">
        <f>CONCATENATE("     ","*Payroll                                          ")</f>
        <v xml:space="preserve">     *Payroll                                          </v>
      </c>
      <c r="C32" s="12"/>
      <c r="D32" s="1">
        <f>SUM(OSRRefD22_1x_0)</f>
        <v>0</v>
      </c>
      <c r="E32" s="1"/>
      <c r="F32" s="5">
        <f t="shared" ref="F32:F37" si="23">IF(D$12=0,0,D32/D$12)</f>
        <v>0</v>
      </c>
      <c r="G32" s="1"/>
      <c r="H32" s="1">
        <f>SUM(OSRRefH22_1x_0)</f>
        <v>4160</v>
      </c>
      <c r="I32" s="1"/>
      <c r="J32" s="5">
        <f t="shared" ref="J32:J37" si="24">IF(H$12=0,0,H32/H$12)</f>
        <v>0</v>
      </c>
      <c r="K32" s="1"/>
      <c r="L32" s="1">
        <f t="shared" ref="L32:L37" si="25">+D32-H32</f>
        <v>-4160</v>
      </c>
      <c r="M32" s="1"/>
      <c r="N32" s="5">
        <f t="shared" ref="N32:N37" si="26">IF(H32=0,0,L32/H32)</f>
        <v>-1</v>
      </c>
      <c r="O32" s="12"/>
      <c r="P32" s="1">
        <f>SUM(OSRRefP22_1x_0)</f>
        <v>2080</v>
      </c>
      <c r="Q32" s="1"/>
      <c r="R32" s="5">
        <f t="shared" ref="R32:R37" si="27">IF(P$12=0,0,P32/P$12)</f>
        <v>0</v>
      </c>
      <c r="S32" s="1"/>
      <c r="T32" s="1">
        <f>SUM(OSRRefT22_1x_0)</f>
        <v>168753.34</v>
      </c>
      <c r="U32" s="1"/>
      <c r="V32" s="5">
        <f t="shared" ref="V32:V37" si="28">IF(T$12=0,0,T32/T$12)</f>
        <v>0.24459989915871186</v>
      </c>
      <c r="W32" s="1"/>
      <c r="X32" s="1">
        <f t="shared" ref="X32:X37" si="29">+P32-T32</f>
        <v>-166673.34</v>
      </c>
      <c r="Y32" s="1"/>
      <c r="Z32" s="5">
        <f t="shared" ref="Z32:Z37" si="30">IF(T32=0,0,X32/T32)</f>
        <v>-0.9876743180312757</v>
      </c>
    </row>
    <row r="33" spans="1:26" s="23" customFormat="1" hidden="1" outlineLevel="2" x14ac:dyDescent="0.25">
      <c r="A33" s="25"/>
      <c r="B33" s="10" t="str">
        <f>CONCATENATE("          ", "6002", " - ", "STAFF SALARIES")</f>
        <v xml:space="preserve">          6002 - STAFF SALARIES</v>
      </c>
      <c r="C33" s="10"/>
      <c r="D33" s="6"/>
      <c r="E33" s="2"/>
      <c r="F33" s="7">
        <f t="shared" si="23"/>
        <v>0</v>
      </c>
      <c r="G33" s="2"/>
      <c r="H33" s="6">
        <v>4160</v>
      </c>
      <c r="I33" s="2"/>
      <c r="J33" s="7">
        <f t="shared" si="24"/>
        <v>0</v>
      </c>
      <c r="K33" s="2"/>
      <c r="L33" s="6">
        <f t="shared" si="25"/>
        <v>-4160</v>
      </c>
      <c r="M33" s="2"/>
      <c r="N33" s="7">
        <f t="shared" si="26"/>
        <v>-1</v>
      </c>
      <c r="O33" s="10"/>
      <c r="P33" s="6">
        <v>2080</v>
      </c>
      <c r="Q33" s="2"/>
      <c r="R33" s="7">
        <f t="shared" si="27"/>
        <v>0</v>
      </c>
      <c r="S33" s="2"/>
      <c r="T33" s="6">
        <v>46312</v>
      </c>
      <c r="U33" s="2"/>
      <c r="V33" s="7">
        <f t="shared" si="28"/>
        <v>6.7127030077379593E-2</v>
      </c>
      <c r="W33" s="2"/>
      <c r="X33" s="6">
        <f t="shared" si="29"/>
        <v>-44232</v>
      </c>
      <c r="Y33" s="2"/>
      <c r="Z33" s="7">
        <f t="shared" si="30"/>
        <v>-0.95508723441008814</v>
      </c>
    </row>
    <row r="34" spans="1:26" s="23" customFormat="1" hidden="1" outlineLevel="2" x14ac:dyDescent="0.25">
      <c r="A34" s="25"/>
      <c r="B34" s="10" t="str">
        <f>CONCATENATE("          ", "6005", " - ", "TEMPORARY WAGES-HOURLY")</f>
        <v xml:space="preserve">          6005 - TEMPORARY WAGES-HOURLY</v>
      </c>
      <c r="C34" s="10"/>
      <c r="D34" s="6"/>
      <c r="E34" s="2"/>
      <c r="F34" s="7">
        <f t="shared" si="23"/>
        <v>0</v>
      </c>
      <c r="G34" s="2"/>
      <c r="H34" s="6"/>
      <c r="I34" s="2"/>
      <c r="J34" s="7">
        <f t="shared" si="24"/>
        <v>0</v>
      </c>
      <c r="K34" s="2"/>
      <c r="L34" s="6">
        <f t="shared" si="25"/>
        <v>0</v>
      </c>
      <c r="M34" s="2"/>
      <c r="N34" s="7">
        <f t="shared" si="26"/>
        <v>0</v>
      </c>
      <c r="O34" s="10"/>
      <c r="P34" s="6"/>
      <c r="Q34" s="2"/>
      <c r="R34" s="7">
        <f t="shared" si="27"/>
        <v>0</v>
      </c>
      <c r="S34" s="2"/>
      <c r="T34" s="6">
        <v>9018.76</v>
      </c>
      <c r="U34" s="2"/>
      <c r="V34" s="7">
        <f t="shared" si="28"/>
        <v>1.3072261482567541E-2</v>
      </c>
      <c r="W34" s="2"/>
      <c r="X34" s="6">
        <f t="shared" si="29"/>
        <v>-9018.76</v>
      </c>
      <c r="Y34" s="2"/>
      <c r="Z34" s="7">
        <f t="shared" si="30"/>
        <v>-1</v>
      </c>
    </row>
    <row r="35" spans="1:26" s="23" customFormat="1" hidden="1" outlineLevel="2" x14ac:dyDescent="0.25">
      <c r="A35" s="25"/>
      <c r="B35" s="10" t="str">
        <f>CONCATENATE("          ", "6006", " - ", "TEMPORARY PART TIME")</f>
        <v xml:space="preserve">          6006 - TEMPORARY PART TIME</v>
      </c>
      <c r="C35" s="10"/>
      <c r="D35" s="6"/>
      <c r="E35" s="2"/>
      <c r="F35" s="7">
        <f t="shared" si="23"/>
        <v>0</v>
      </c>
      <c r="G35" s="2"/>
      <c r="H35" s="6"/>
      <c r="I35" s="2"/>
      <c r="J35" s="7">
        <f t="shared" si="24"/>
        <v>0</v>
      </c>
      <c r="K35" s="2"/>
      <c r="L35" s="6">
        <f t="shared" si="25"/>
        <v>0</v>
      </c>
      <c r="M35" s="2"/>
      <c r="N35" s="7">
        <f t="shared" si="26"/>
        <v>0</v>
      </c>
      <c r="O35" s="10"/>
      <c r="P35" s="6"/>
      <c r="Q35" s="2"/>
      <c r="R35" s="7">
        <f t="shared" si="27"/>
        <v>0</v>
      </c>
      <c r="S35" s="2"/>
      <c r="T35" s="6">
        <v>1199.43</v>
      </c>
      <c r="U35" s="2"/>
      <c r="V35" s="7">
        <f t="shared" si="28"/>
        <v>1.7385164468326007E-3</v>
      </c>
      <c r="W35" s="2"/>
      <c r="X35" s="6">
        <f t="shared" si="29"/>
        <v>-1199.43</v>
      </c>
      <c r="Y35" s="2"/>
      <c r="Z35" s="7">
        <f t="shared" si="30"/>
        <v>-1</v>
      </c>
    </row>
    <row r="36" spans="1:26" s="23" customFormat="1" hidden="1" outlineLevel="2" x14ac:dyDescent="0.25">
      <c r="A36" s="25"/>
      <c r="B36" s="10" t="str">
        <f>CONCATENATE("          ", "6007", " - ", "STUDENT HOURLY")</f>
        <v xml:space="preserve">          6007 - STUDENT HOURLY</v>
      </c>
      <c r="C36" s="10"/>
      <c r="D36" s="6"/>
      <c r="E36" s="2"/>
      <c r="F36" s="7">
        <f t="shared" si="23"/>
        <v>0</v>
      </c>
      <c r="G36" s="2"/>
      <c r="H36" s="6"/>
      <c r="I36" s="2"/>
      <c r="J36" s="7">
        <f t="shared" si="24"/>
        <v>0</v>
      </c>
      <c r="K36" s="2"/>
      <c r="L36" s="6">
        <f t="shared" si="25"/>
        <v>0</v>
      </c>
      <c r="M36" s="2"/>
      <c r="N36" s="7">
        <f t="shared" si="26"/>
        <v>0</v>
      </c>
      <c r="O36" s="10"/>
      <c r="P36" s="6"/>
      <c r="Q36" s="2"/>
      <c r="R36" s="7">
        <f t="shared" si="27"/>
        <v>0</v>
      </c>
      <c r="S36" s="2"/>
      <c r="T36" s="6">
        <v>109564.35</v>
      </c>
      <c r="U36" s="2"/>
      <c r="V36" s="7">
        <f t="shared" si="28"/>
        <v>0.15880828765457214</v>
      </c>
      <c r="W36" s="2"/>
      <c r="X36" s="6">
        <f t="shared" si="29"/>
        <v>-109564.35</v>
      </c>
      <c r="Y36" s="2"/>
      <c r="Z36" s="7">
        <f t="shared" si="30"/>
        <v>-1</v>
      </c>
    </row>
    <row r="37" spans="1:26" s="23" customFormat="1" hidden="1" outlineLevel="2" x14ac:dyDescent="0.25">
      <c r="A37" s="25"/>
      <c r="B37" s="10" t="str">
        <f>CONCATENATE("          ", "6008", " - ", "STUDENT HOURLY-FICA EXEMPT")</f>
        <v xml:space="preserve">          6008 - STUDENT HOURLY-FICA EXEMPT</v>
      </c>
      <c r="C37" s="10"/>
      <c r="D37" s="6"/>
      <c r="E37" s="2"/>
      <c r="F37" s="7">
        <f t="shared" si="23"/>
        <v>0</v>
      </c>
      <c r="G37" s="2"/>
      <c r="H37" s="6"/>
      <c r="I37" s="2"/>
      <c r="J37" s="7">
        <f t="shared" si="24"/>
        <v>0</v>
      </c>
      <c r="K37" s="2"/>
      <c r="L37" s="6">
        <f t="shared" si="25"/>
        <v>0</v>
      </c>
      <c r="M37" s="2"/>
      <c r="N37" s="7">
        <f t="shared" si="26"/>
        <v>0</v>
      </c>
      <c r="O37" s="10"/>
      <c r="P37" s="6"/>
      <c r="Q37" s="2"/>
      <c r="R37" s="7">
        <f t="shared" si="27"/>
        <v>0</v>
      </c>
      <c r="S37" s="2"/>
      <c r="T37" s="6">
        <v>2658.8</v>
      </c>
      <c r="U37" s="2"/>
      <c r="V37" s="7">
        <f t="shared" si="28"/>
        <v>3.8538034973600119E-3</v>
      </c>
      <c r="W37" s="2"/>
      <c r="X37" s="6">
        <f t="shared" si="29"/>
        <v>-2658.8</v>
      </c>
      <c r="Y37" s="2"/>
      <c r="Z37" s="7">
        <f t="shared" si="30"/>
        <v>-1</v>
      </c>
    </row>
    <row r="38" spans="1:26" s="27" customFormat="1" outlineLevel="1" collapsed="1" x14ac:dyDescent="0.25">
      <c r="A38" s="26"/>
      <c r="B38" s="12" t="str">
        <f>CONCATENATE("     ","Advertising/Promo                                 ")</f>
        <v xml:space="preserve">     Advertising/Promo                                 </v>
      </c>
      <c r="C38" s="12"/>
      <c r="D38" s="1">
        <f>SUM(OSRRefD22_2x_0)</f>
        <v>0</v>
      </c>
      <c r="E38" s="1"/>
      <c r="F38" s="5">
        <f t="shared" ref="F38:F52" si="31">IF(D$12=0,0,D38/D$12)</f>
        <v>0</v>
      </c>
      <c r="G38" s="1"/>
      <c r="H38" s="1">
        <f>SUM(OSRRefH22_2x_0)</f>
        <v>0</v>
      </c>
      <c r="I38" s="1"/>
      <c r="J38" s="5">
        <f t="shared" ref="J38:J52" si="32">IF(H$12=0,0,H38/H$12)</f>
        <v>0</v>
      </c>
      <c r="K38" s="1"/>
      <c r="L38" s="1">
        <f t="shared" ref="L38:L52" si="33">+D38-H38</f>
        <v>0</v>
      </c>
      <c r="M38" s="1"/>
      <c r="N38" s="5">
        <f t="shared" ref="N38:N52" si="34">IF(H38=0,0,L38/H38)</f>
        <v>0</v>
      </c>
      <c r="O38" s="12"/>
      <c r="P38" s="1">
        <f>SUM(OSRRefP22_2x_0)</f>
        <v>0</v>
      </c>
      <c r="Q38" s="1"/>
      <c r="R38" s="5">
        <f t="shared" ref="R38:R52" si="35">IF(P$12=0,0,P38/P$12)</f>
        <v>0</v>
      </c>
      <c r="S38" s="1"/>
      <c r="T38" s="1">
        <f>SUM(OSRRefT22_2x_0)</f>
        <v>262.2</v>
      </c>
      <c r="U38" s="1"/>
      <c r="V38" s="5">
        <f t="shared" ref="V38:V52" si="36">IF(T$12=0,0,T38/T$12)</f>
        <v>3.8004636565661012E-4</v>
      </c>
      <c r="W38" s="1"/>
      <c r="X38" s="1">
        <f t="shared" ref="X38:X52" si="37">+P38-T38</f>
        <v>-262.2</v>
      </c>
      <c r="Y38" s="1"/>
      <c r="Z38" s="5">
        <f t="shared" ref="Z38:Z52" si="38">IF(T38=0,0,X38/T38)</f>
        <v>-1</v>
      </c>
    </row>
    <row r="39" spans="1:26" s="23" customFormat="1" hidden="1" outlineLevel="2" x14ac:dyDescent="0.25">
      <c r="A39" s="25"/>
      <c r="B39" s="10" t="str">
        <f>CONCATENATE("          ", "6362", " - ", "ADVERTISING EXPENSE")</f>
        <v xml:space="preserve">          6362 - ADVERTISING EXPENSE</v>
      </c>
      <c r="C39" s="10"/>
      <c r="D39" s="6"/>
      <c r="E39" s="2"/>
      <c r="F39" s="7">
        <f t="shared" si="31"/>
        <v>0</v>
      </c>
      <c r="G39" s="2"/>
      <c r="H39" s="6"/>
      <c r="I39" s="2"/>
      <c r="J39" s="7">
        <f t="shared" si="32"/>
        <v>0</v>
      </c>
      <c r="K39" s="2"/>
      <c r="L39" s="6">
        <f t="shared" si="33"/>
        <v>0</v>
      </c>
      <c r="M39" s="2"/>
      <c r="N39" s="7">
        <f t="shared" si="34"/>
        <v>0</v>
      </c>
      <c r="O39" s="10"/>
      <c r="P39" s="6"/>
      <c r="Q39" s="2"/>
      <c r="R39" s="7">
        <f t="shared" si="35"/>
        <v>0</v>
      </c>
      <c r="S39" s="2"/>
      <c r="T39" s="6">
        <v>262.2</v>
      </c>
      <c r="U39" s="2"/>
      <c r="V39" s="7">
        <f t="shared" si="36"/>
        <v>3.8004636565661012E-4</v>
      </c>
      <c r="W39" s="2"/>
      <c r="X39" s="6">
        <f t="shared" si="37"/>
        <v>-262.2</v>
      </c>
      <c r="Y39" s="2"/>
      <c r="Z39" s="7">
        <f t="shared" si="38"/>
        <v>-1</v>
      </c>
    </row>
    <row r="40" spans="1:26" s="27" customFormat="1" outlineLevel="1" collapsed="1" x14ac:dyDescent="0.25">
      <c r="A40" s="26"/>
      <c r="B40" s="12" t="str">
        <f>CONCATENATE("     ","Bad Debts/Over/Short                              ")</f>
        <v xml:space="preserve">     Bad Debts/Over/Short                              </v>
      </c>
      <c r="C40" s="12"/>
      <c r="D40" s="1">
        <f>SUM(OSRRefD22_3x_0)</f>
        <v>0</v>
      </c>
      <c r="E40" s="1"/>
      <c r="F40" s="5">
        <f t="shared" si="31"/>
        <v>0</v>
      </c>
      <c r="G40" s="1"/>
      <c r="H40" s="1">
        <f>SUM(OSRRefH22_3x_0)</f>
        <v>0</v>
      </c>
      <c r="I40" s="1"/>
      <c r="J40" s="5">
        <f t="shared" si="32"/>
        <v>0</v>
      </c>
      <c r="K40" s="1"/>
      <c r="L40" s="1">
        <f t="shared" si="33"/>
        <v>0</v>
      </c>
      <c r="M40" s="1"/>
      <c r="N40" s="5">
        <f t="shared" si="34"/>
        <v>0</v>
      </c>
      <c r="O40" s="12"/>
      <c r="P40" s="1">
        <f>SUM(OSRRefP22_3x_0)</f>
        <v>0</v>
      </c>
      <c r="Q40" s="1"/>
      <c r="R40" s="5">
        <f t="shared" si="35"/>
        <v>0</v>
      </c>
      <c r="S40" s="1"/>
      <c r="T40" s="1">
        <f>SUM(OSRRefT22_3x_0)</f>
        <v>-53.23</v>
      </c>
      <c r="U40" s="1"/>
      <c r="V40" s="5">
        <f t="shared" si="36"/>
        <v>-7.7154340365756508E-5</v>
      </c>
      <c r="W40" s="1"/>
      <c r="X40" s="1">
        <f t="shared" si="37"/>
        <v>53.23</v>
      </c>
      <c r="Y40" s="1"/>
      <c r="Z40" s="5">
        <f t="shared" si="38"/>
        <v>-1</v>
      </c>
    </row>
    <row r="41" spans="1:26" s="23" customFormat="1" hidden="1" outlineLevel="2" x14ac:dyDescent="0.25">
      <c r="A41" s="25"/>
      <c r="B41" s="10" t="str">
        <f>CONCATENATE("          ", "6272", " - ", "CASH (OVER/SHORT)")</f>
        <v xml:space="preserve">          6272 - CASH (OVER/SHORT)</v>
      </c>
      <c r="C41" s="10"/>
      <c r="D41" s="6"/>
      <c r="E41" s="2"/>
      <c r="F41" s="7">
        <f t="shared" si="31"/>
        <v>0</v>
      </c>
      <c r="G41" s="2"/>
      <c r="H41" s="6"/>
      <c r="I41" s="2"/>
      <c r="J41" s="7">
        <f t="shared" si="32"/>
        <v>0</v>
      </c>
      <c r="K41" s="2"/>
      <c r="L41" s="6">
        <f t="shared" si="33"/>
        <v>0</v>
      </c>
      <c r="M41" s="2"/>
      <c r="N41" s="7">
        <f t="shared" si="34"/>
        <v>0</v>
      </c>
      <c r="O41" s="10"/>
      <c r="P41" s="6"/>
      <c r="Q41" s="2"/>
      <c r="R41" s="7">
        <f t="shared" si="35"/>
        <v>0</v>
      </c>
      <c r="S41" s="2"/>
      <c r="T41" s="6">
        <v>-53.23</v>
      </c>
      <c r="U41" s="2"/>
      <c r="V41" s="7">
        <f t="shared" si="36"/>
        <v>-7.7154340365756508E-5</v>
      </c>
      <c r="W41" s="2"/>
      <c r="X41" s="6">
        <f t="shared" si="37"/>
        <v>53.23</v>
      </c>
      <c r="Y41" s="2"/>
      <c r="Z41" s="7">
        <f t="shared" si="38"/>
        <v>-1</v>
      </c>
    </row>
    <row r="42" spans="1:26" s="27" customFormat="1" outlineLevel="1" collapsed="1" x14ac:dyDescent="0.25">
      <c r="A42" s="26"/>
      <c r="B42" s="12" t="str">
        <f>CONCATENATE("     ","Bank/card Fees                                    ")</f>
        <v xml:space="preserve">     Bank/card Fees                                    </v>
      </c>
      <c r="C42" s="12"/>
      <c r="D42" s="1">
        <f>SUM(OSRRefD22_4x_0)</f>
        <v>0</v>
      </c>
      <c r="E42" s="1"/>
      <c r="F42" s="5">
        <f t="shared" si="31"/>
        <v>0</v>
      </c>
      <c r="G42" s="1"/>
      <c r="H42" s="1">
        <f>SUM(OSRRefH22_4x_0)</f>
        <v>0</v>
      </c>
      <c r="I42" s="1"/>
      <c r="J42" s="5">
        <f t="shared" si="32"/>
        <v>0</v>
      </c>
      <c r="K42" s="1"/>
      <c r="L42" s="1">
        <f t="shared" si="33"/>
        <v>0</v>
      </c>
      <c r="M42" s="1"/>
      <c r="N42" s="5">
        <f t="shared" si="34"/>
        <v>0</v>
      </c>
      <c r="O42" s="12"/>
      <c r="P42" s="1">
        <f>SUM(OSRRefP22_4x_0)</f>
        <v>0</v>
      </c>
      <c r="Q42" s="1"/>
      <c r="R42" s="5">
        <f t="shared" si="35"/>
        <v>0</v>
      </c>
      <c r="S42" s="1"/>
      <c r="T42" s="1">
        <f>SUM(OSRRefT22_4x_0)</f>
        <v>25665.63</v>
      </c>
      <c r="U42" s="1"/>
      <c r="V42" s="5">
        <f t="shared" si="36"/>
        <v>3.7201103752049061E-2</v>
      </c>
      <c r="W42" s="1"/>
      <c r="X42" s="1">
        <f t="shared" si="37"/>
        <v>-25665.63</v>
      </c>
      <c r="Y42" s="1"/>
      <c r="Z42" s="5">
        <f t="shared" si="38"/>
        <v>-1</v>
      </c>
    </row>
    <row r="43" spans="1:26" s="23" customFormat="1" hidden="1" outlineLevel="2" x14ac:dyDescent="0.25">
      <c r="A43" s="25"/>
      <c r="B43" s="10" t="str">
        <f>CONCATENATE("          ", "6381", " - ", "BANK/CREDIT CARD FEES")</f>
        <v xml:space="preserve">          6381 - BANK/CREDIT CARD FEES</v>
      </c>
      <c r="C43" s="10"/>
      <c r="D43" s="6"/>
      <c r="E43" s="2"/>
      <c r="F43" s="7">
        <f t="shared" si="31"/>
        <v>0</v>
      </c>
      <c r="G43" s="2"/>
      <c r="H43" s="6"/>
      <c r="I43" s="2"/>
      <c r="J43" s="7">
        <f t="shared" si="32"/>
        <v>0</v>
      </c>
      <c r="K43" s="2"/>
      <c r="L43" s="6">
        <f t="shared" si="33"/>
        <v>0</v>
      </c>
      <c r="M43" s="2"/>
      <c r="N43" s="7">
        <f t="shared" si="34"/>
        <v>0</v>
      </c>
      <c r="O43" s="10"/>
      <c r="P43" s="6"/>
      <c r="Q43" s="2"/>
      <c r="R43" s="7">
        <f t="shared" si="35"/>
        <v>0</v>
      </c>
      <c r="S43" s="2"/>
      <c r="T43" s="6">
        <v>25665.63</v>
      </c>
      <c r="U43" s="2"/>
      <c r="V43" s="7">
        <f t="shared" si="36"/>
        <v>3.7201103752049061E-2</v>
      </c>
      <c r="W43" s="2"/>
      <c r="X43" s="6">
        <f t="shared" si="37"/>
        <v>-25665.63</v>
      </c>
      <c r="Y43" s="2"/>
      <c r="Z43" s="7">
        <f t="shared" si="38"/>
        <v>-1</v>
      </c>
    </row>
    <row r="44" spans="1:26" s="27" customFormat="1" outlineLevel="1" collapsed="1" x14ac:dyDescent="0.25">
      <c r="A44" s="26"/>
      <c r="B44" s="12" t="str">
        <f>CONCATENATE("     ","Depreciation                                      ")</f>
        <v xml:space="preserve">     Depreciation                                      </v>
      </c>
      <c r="C44" s="12"/>
      <c r="D44" s="1">
        <f>SUM(OSRRefD22_5x_0)</f>
        <v>126.09</v>
      </c>
      <c r="E44" s="1"/>
      <c r="F44" s="5">
        <f t="shared" si="31"/>
        <v>0</v>
      </c>
      <c r="G44" s="1"/>
      <c r="H44" s="1">
        <f>SUM(OSRRefH22_5x_0)</f>
        <v>2017.37</v>
      </c>
      <c r="I44" s="1"/>
      <c r="J44" s="5">
        <f t="shared" si="32"/>
        <v>0</v>
      </c>
      <c r="K44" s="1"/>
      <c r="L44" s="1">
        <f t="shared" si="33"/>
        <v>-1891.28</v>
      </c>
      <c r="M44" s="1"/>
      <c r="N44" s="5">
        <f t="shared" si="34"/>
        <v>-0.93749783133485676</v>
      </c>
      <c r="O44" s="12"/>
      <c r="P44" s="1">
        <f>SUM(OSRRefP22_5x_0)</f>
        <v>22316.83</v>
      </c>
      <c r="Q44" s="1"/>
      <c r="R44" s="5">
        <f t="shared" si="35"/>
        <v>0</v>
      </c>
      <c r="S44" s="1"/>
      <c r="T44" s="1">
        <f>SUM(OSRRefT22_5x_0)</f>
        <v>22930.03</v>
      </c>
      <c r="U44" s="1"/>
      <c r="V44" s="5">
        <f t="shared" si="36"/>
        <v>3.3235982326075664E-2</v>
      </c>
      <c r="W44" s="1"/>
      <c r="X44" s="1">
        <f t="shared" si="37"/>
        <v>-613.19999999999709</v>
      </c>
      <c r="Y44" s="1"/>
      <c r="Z44" s="5">
        <f t="shared" si="38"/>
        <v>-2.6742224061634335E-2</v>
      </c>
    </row>
    <row r="45" spans="1:26" s="23" customFormat="1" hidden="1" outlineLevel="2" x14ac:dyDescent="0.25">
      <c r="A45" s="25"/>
      <c r="B45" s="10" t="str">
        <f>CONCATENATE("          ", "6322", " - ", "EQUIPMENT DEPRECIATION EXPENSE")</f>
        <v xml:space="preserve">          6322 - EQUIPMENT DEPRECIATION EXPENSE</v>
      </c>
      <c r="C45" s="10"/>
      <c r="D45" s="6">
        <v>126.09</v>
      </c>
      <c r="E45" s="2"/>
      <c r="F45" s="7">
        <f t="shared" si="31"/>
        <v>0</v>
      </c>
      <c r="G45" s="2"/>
      <c r="H45" s="6">
        <v>2017.37</v>
      </c>
      <c r="I45" s="2"/>
      <c r="J45" s="7">
        <f t="shared" si="32"/>
        <v>0</v>
      </c>
      <c r="K45" s="2"/>
      <c r="L45" s="6">
        <f t="shared" si="33"/>
        <v>-1891.28</v>
      </c>
      <c r="M45" s="2"/>
      <c r="N45" s="7">
        <f t="shared" si="34"/>
        <v>-0.93749783133485676</v>
      </c>
      <c r="O45" s="10"/>
      <c r="P45" s="6">
        <v>22316.83</v>
      </c>
      <c r="Q45" s="2"/>
      <c r="R45" s="7">
        <f t="shared" si="35"/>
        <v>0</v>
      </c>
      <c r="S45" s="2"/>
      <c r="T45" s="6">
        <v>22930.03</v>
      </c>
      <c r="U45" s="2"/>
      <c r="V45" s="7">
        <f t="shared" si="36"/>
        <v>3.3235982326075664E-2</v>
      </c>
      <c r="W45" s="2"/>
      <c r="X45" s="6">
        <f t="shared" si="37"/>
        <v>-613.19999999999709</v>
      </c>
      <c r="Y45" s="2"/>
      <c r="Z45" s="7">
        <f t="shared" si="38"/>
        <v>-2.6742224061634335E-2</v>
      </c>
    </row>
    <row r="46" spans="1:26" s="27" customFormat="1" outlineLevel="1" collapsed="1" x14ac:dyDescent="0.25">
      <c r="A46" s="26"/>
      <c r="B46" s="12" t="str">
        <f>CONCATENATE("     ","General                                           ")</f>
        <v xml:space="preserve">     General                                           </v>
      </c>
      <c r="C46" s="12"/>
      <c r="D46" s="1">
        <f>SUM(OSRRefD22_6x_0)</f>
        <v>0</v>
      </c>
      <c r="E46" s="1"/>
      <c r="F46" s="5">
        <f t="shared" si="31"/>
        <v>0</v>
      </c>
      <c r="G46" s="1"/>
      <c r="H46" s="1">
        <f>SUM(OSRRefH22_6x_0)</f>
        <v>0</v>
      </c>
      <c r="I46" s="1"/>
      <c r="J46" s="5">
        <f t="shared" si="32"/>
        <v>0</v>
      </c>
      <c r="K46" s="1"/>
      <c r="L46" s="1">
        <f t="shared" si="33"/>
        <v>0</v>
      </c>
      <c r="M46" s="1"/>
      <c r="N46" s="5">
        <f t="shared" si="34"/>
        <v>0</v>
      </c>
      <c r="O46" s="12"/>
      <c r="P46" s="1">
        <f>SUM(OSRRefP22_6x_0)</f>
        <v>0</v>
      </c>
      <c r="Q46" s="1"/>
      <c r="R46" s="5">
        <f t="shared" si="35"/>
        <v>0</v>
      </c>
      <c r="S46" s="1"/>
      <c r="T46" s="1">
        <f>SUM(OSRRefT22_6x_0)</f>
        <v>1231.03</v>
      </c>
      <c r="U46" s="1"/>
      <c r="V46" s="5">
        <f t="shared" si="36"/>
        <v>1.7843191362099801E-3</v>
      </c>
      <c r="W46" s="1"/>
      <c r="X46" s="1">
        <f t="shared" si="37"/>
        <v>-1231.03</v>
      </c>
      <c r="Y46" s="1"/>
      <c r="Z46" s="5">
        <f t="shared" si="38"/>
        <v>-1</v>
      </c>
    </row>
    <row r="47" spans="1:26" s="23" customFormat="1" hidden="1" outlineLevel="2" x14ac:dyDescent="0.25">
      <c r="A47" s="25"/>
      <c r="B47" s="10" t="str">
        <f>CONCATENATE("          ", "6279", " - ", "GENERAL EXPENSE")</f>
        <v xml:space="preserve">          6279 - GENERAL EXPENSE</v>
      </c>
      <c r="C47" s="10"/>
      <c r="D47" s="6"/>
      <c r="E47" s="2"/>
      <c r="F47" s="7">
        <f t="shared" si="31"/>
        <v>0</v>
      </c>
      <c r="G47" s="2"/>
      <c r="H47" s="6"/>
      <c r="I47" s="2"/>
      <c r="J47" s="7">
        <f t="shared" si="32"/>
        <v>0</v>
      </c>
      <c r="K47" s="2"/>
      <c r="L47" s="6">
        <f t="shared" si="33"/>
        <v>0</v>
      </c>
      <c r="M47" s="2"/>
      <c r="N47" s="7">
        <f t="shared" si="34"/>
        <v>0</v>
      </c>
      <c r="O47" s="10"/>
      <c r="P47" s="6"/>
      <c r="Q47" s="2"/>
      <c r="R47" s="7">
        <f t="shared" si="35"/>
        <v>0</v>
      </c>
      <c r="S47" s="2"/>
      <c r="T47" s="6">
        <v>1231.03</v>
      </c>
      <c r="U47" s="2"/>
      <c r="V47" s="7">
        <f t="shared" si="36"/>
        <v>1.7843191362099801E-3</v>
      </c>
      <c r="W47" s="2"/>
      <c r="X47" s="6">
        <f t="shared" si="37"/>
        <v>-1231.03</v>
      </c>
      <c r="Y47" s="2"/>
      <c r="Z47" s="7">
        <f t="shared" si="38"/>
        <v>-1</v>
      </c>
    </row>
    <row r="48" spans="1:26" s="27" customFormat="1" outlineLevel="1" collapsed="1" x14ac:dyDescent="0.25">
      <c r="A48" s="26"/>
      <c r="B48" s="12" t="str">
        <f>CONCATENATE("     ","Rent                                              ")</f>
        <v xml:space="preserve">     Rent                                              </v>
      </c>
      <c r="C48" s="12"/>
      <c r="D48" s="1">
        <f>SUM(OSRRefD22_7x_0)</f>
        <v>0</v>
      </c>
      <c r="E48" s="1"/>
      <c r="F48" s="5">
        <f t="shared" si="31"/>
        <v>0</v>
      </c>
      <c r="G48" s="1"/>
      <c r="H48" s="1">
        <f>SUM(OSRRefH22_7x_0)</f>
        <v>1150</v>
      </c>
      <c r="I48" s="1"/>
      <c r="J48" s="5">
        <f t="shared" si="32"/>
        <v>0</v>
      </c>
      <c r="K48" s="1"/>
      <c r="L48" s="1">
        <f t="shared" si="33"/>
        <v>-1150</v>
      </c>
      <c r="M48" s="1"/>
      <c r="N48" s="5">
        <f t="shared" si="34"/>
        <v>-1</v>
      </c>
      <c r="O48" s="12"/>
      <c r="P48" s="1">
        <f>SUM(OSRRefP22_7x_0)</f>
        <v>0</v>
      </c>
      <c r="Q48" s="1"/>
      <c r="R48" s="5">
        <f t="shared" si="35"/>
        <v>0</v>
      </c>
      <c r="S48" s="1"/>
      <c r="T48" s="1">
        <f>SUM(OSRRefT22_7x_0)</f>
        <v>13800</v>
      </c>
      <c r="U48" s="1"/>
      <c r="V48" s="5">
        <f t="shared" si="36"/>
        <v>2.0002440297716324E-2</v>
      </c>
      <c r="W48" s="1"/>
      <c r="X48" s="1">
        <f t="shared" si="37"/>
        <v>-13800</v>
      </c>
      <c r="Y48" s="1"/>
      <c r="Z48" s="5">
        <f t="shared" si="38"/>
        <v>-1</v>
      </c>
    </row>
    <row r="49" spans="1:26" s="23" customFormat="1" hidden="1" outlineLevel="2" x14ac:dyDescent="0.25">
      <c r="A49" s="25"/>
      <c r="B49" s="10" t="str">
        <f>CONCATENATE("          ", "6273", " - ", "RENT")</f>
        <v xml:space="preserve">          6273 - RENT</v>
      </c>
      <c r="C49" s="10"/>
      <c r="D49" s="6"/>
      <c r="E49" s="2"/>
      <c r="F49" s="7">
        <f t="shared" si="31"/>
        <v>0</v>
      </c>
      <c r="G49" s="2"/>
      <c r="H49" s="6">
        <v>1150</v>
      </c>
      <c r="I49" s="2"/>
      <c r="J49" s="7">
        <f t="shared" si="32"/>
        <v>0</v>
      </c>
      <c r="K49" s="2"/>
      <c r="L49" s="6">
        <f t="shared" si="33"/>
        <v>-1150</v>
      </c>
      <c r="M49" s="2"/>
      <c r="N49" s="7">
        <f t="shared" si="34"/>
        <v>-1</v>
      </c>
      <c r="O49" s="10"/>
      <c r="P49" s="6"/>
      <c r="Q49" s="2"/>
      <c r="R49" s="7">
        <f t="shared" si="35"/>
        <v>0</v>
      </c>
      <c r="S49" s="2"/>
      <c r="T49" s="6">
        <v>13800</v>
      </c>
      <c r="U49" s="2"/>
      <c r="V49" s="7">
        <f t="shared" si="36"/>
        <v>2.0002440297716324E-2</v>
      </c>
      <c r="W49" s="2"/>
      <c r="X49" s="6">
        <f t="shared" si="37"/>
        <v>-13800</v>
      </c>
      <c r="Y49" s="2"/>
      <c r="Z49" s="7">
        <f t="shared" si="38"/>
        <v>-1</v>
      </c>
    </row>
    <row r="50" spans="1:26" s="27" customFormat="1" outlineLevel="1" collapsed="1" x14ac:dyDescent="0.25">
      <c r="A50" s="26"/>
      <c r="B50" s="12" t="str">
        <f>CONCATENATE("     ","Repair and Maintenance                            ")</f>
        <v xml:space="preserve">     Repair and Maintenance                            </v>
      </c>
      <c r="C50" s="12"/>
      <c r="D50" s="1">
        <f>SUM(OSRRefD22_8x_0)</f>
        <v>71.86</v>
      </c>
      <c r="E50" s="1"/>
      <c r="F50" s="5">
        <f t="shared" si="31"/>
        <v>0</v>
      </c>
      <c r="G50" s="1"/>
      <c r="H50" s="1">
        <f>SUM(OSRRefH22_8x_0)</f>
        <v>72.349999999999994</v>
      </c>
      <c r="I50" s="1"/>
      <c r="J50" s="5">
        <f t="shared" si="32"/>
        <v>0</v>
      </c>
      <c r="K50" s="1"/>
      <c r="L50" s="1">
        <f t="shared" si="33"/>
        <v>-0.48999999999999488</v>
      </c>
      <c r="M50" s="1"/>
      <c r="N50" s="5">
        <f t="shared" si="34"/>
        <v>-6.7726330338630947E-3</v>
      </c>
      <c r="O50" s="12"/>
      <c r="P50" s="1">
        <f>SUM(OSRRefP22_8x_0)</f>
        <v>367.51</v>
      </c>
      <c r="Q50" s="1"/>
      <c r="R50" s="5">
        <f t="shared" si="35"/>
        <v>0</v>
      </c>
      <c r="S50" s="1"/>
      <c r="T50" s="1">
        <f>SUM(OSRRefT22_8x_0)</f>
        <v>6568.8899999999994</v>
      </c>
      <c r="U50" s="1"/>
      <c r="V50" s="5">
        <f t="shared" si="36"/>
        <v>9.5212920324105627E-3</v>
      </c>
      <c r="W50" s="1"/>
      <c r="X50" s="1">
        <f t="shared" si="37"/>
        <v>-6201.3799999999992</v>
      </c>
      <c r="Y50" s="1"/>
      <c r="Z50" s="5">
        <f t="shared" si="38"/>
        <v>-0.94405295262974409</v>
      </c>
    </row>
    <row r="51" spans="1:26" s="23" customFormat="1" hidden="1" outlineLevel="2" x14ac:dyDescent="0.25">
      <c r="A51" s="25"/>
      <c r="B51" s="10" t="str">
        <f>CONCATENATE("          ", "6373", " - ", "MAINTENANCE CONTRACTS")</f>
        <v xml:space="preserve">          6373 - MAINTENANCE CONTRACTS</v>
      </c>
      <c r="C51" s="10"/>
      <c r="D51" s="6">
        <v>71.86</v>
      </c>
      <c r="E51" s="2"/>
      <c r="F51" s="7">
        <f t="shared" si="31"/>
        <v>0</v>
      </c>
      <c r="G51" s="2"/>
      <c r="H51" s="6">
        <v>72.349999999999994</v>
      </c>
      <c r="I51" s="2"/>
      <c r="J51" s="7">
        <f t="shared" si="32"/>
        <v>0</v>
      </c>
      <c r="K51" s="2"/>
      <c r="L51" s="6">
        <f t="shared" si="33"/>
        <v>-0.48999999999999488</v>
      </c>
      <c r="M51" s="2"/>
      <c r="N51" s="7">
        <f t="shared" si="34"/>
        <v>-6.7726330338630947E-3</v>
      </c>
      <c r="O51" s="10"/>
      <c r="P51" s="6">
        <v>367.51</v>
      </c>
      <c r="Q51" s="2"/>
      <c r="R51" s="7">
        <f t="shared" si="35"/>
        <v>0</v>
      </c>
      <c r="S51" s="2"/>
      <c r="T51" s="6">
        <v>284.52999999999997</v>
      </c>
      <c r="U51" s="2"/>
      <c r="V51" s="7">
        <f t="shared" si="36"/>
        <v>4.124126331818279E-4</v>
      </c>
      <c r="W51" s="2"/>
      <c r="X51" s="6">
        <f t="shared" si="37"/>
        <v>82.980000000000018</v>
      </c>
      <c r="Y51" s="2"/>
      <c r="Z51" s="7">
        <f t="shared" si="38"/>
        <v>0.29163884300425275</v>
      </c>
    </row>
    <row r="52" spans="1:26" s="23" customFormat="1" hidden="1" outlineLevel="2" x14ac:dyDescent="0.25">
      <c r="A52" s="25"/>
      <c r="B52" s="10" t="str">
        <f>CONCATENATE("          ", "6375", " - ", "OUTSIDE REPAIRS &amp; MAINTENANCE")</f>
        <v xml:space="preserve">          6375 - OUTSIDE REPAIRS &amp; MAINTENANCE</v>
      </c>
      <c r="C52" s="10"/>
      <c r="D52" s="6"/>
      <c r="E52" s="2"/>
      <c r="F52" s="7">
        <f t="shared" si="31"/>
        <v>0</v>
      </c>
      <c r="G52" s="2"/>
      <c r="H52" s="6"/>
      <c r="I52" s="2"/>
      <c r="J52" s="7">
        <f t="shared" si="32"/>
        <v>0</v>
      </c>
      <c r="K52" s="2"/>
      <c r="L52" s="6">
        <f t="shared" si="33"/>
        <v>0</v>
      </c>
      <c r="M52" s="2"/>
      <c r="N52" s="7">
        <f t="shared" si="34"/>
        <v>0</v>
      </c>
      <c r="O52" s="10"/>
      <c r="P52" s="6"/>
      <c r="Q52" s="2"/>
      <c r="R52" s="7">
        <f t="shared" si="35"/>
        <v>0</v>
      </c>
      <c r="S52" s="2"/>
      <c r="T52" s="6">
        <v>6284.36</v>
      </c>
      <c r="U52" s="2"/>
      <c r="V52" s="7">
        <f t="shared" si="36"/>
        <v>9.1088793992287354E-3</v>
      </c>
      <c r="W52" s="2"/>
      <c r="X52" s="6">
        <f t="shared" si="37"/>
        <v>-6284.36</v>
      </c>
      <c r="Y52" s="2"/>
      <c r="Z52" s="7">
        <f t="shared" si="38"/>
        <v>-1</v>
      </c>
    </row>
    <row r="53" spans="1:26" s="27" customFormat="1" outlineLevel="1" collapsed="1" x14ac:dyDescent="0.25">
      <c r="A53" s="26"/>
      <c r="B53" s="12" t="str">
        <f>CONCATENATE("     ","Services                                          ")</f>
        <v xml:space="preserve">     Services                                          </v>
      </c>
      <c r="C53" s="12"/>
      <c r="D53" s="1">
        <f>SUM(OSRRefD22_9x_0)</f>
        <v>0</v>
      </c>
      <c r="E53" s="1"/>
      <c r="F53" s="5">
        <f t="shared" ref="F53:F56" si="39">IF(D$12=0,0,D53/D$12)</f>
        <v>0</v>
      </c>
      <c r="G53" s="1"/>
      <c r="H53" s="1">
        <f>SUM(OSRRefH22_9x_0)</f>
        <v>2256.23</v>
      </c>
      <c r="I53" s="1"/>
      <c r="J53" s="5">
        <f t="shared" ref="J53:J56" si="40">IF(H$12=0,0,H53/H$12)</f>
        <v>0</v>
      </c>
      <c r="K53" s="1"/>
      <c r="L53" s="1">
        <f t="shared" ref="L53:L56" si="41">+D53-H53</f>
        <v>-2256.23</v>
      </c>
      <c r="M53" s="1"/>
      <c r="N53" s="5">
        <f t="shared" ref="N53:N56" si="42">IF(H53=0,0,L53/H53)</f>
        <v>-1</v>
      </c>
      <c r="O53" s="12"/>
      <c r="P53" s="1">
        <f>SUM(OSRRefP22_9x_0)</f>
        <v>-1053.52</v>
      </c>
      <c r="Q53" s="1"/>
      <c r="R53" s="5">
        <f t="shared" ref="R53:R56" si="43">IF(P$12=0,0,P53/P$12)</f>
        <v>0</v>
      </c>
      <c r="S53" s="1"/>
      <c r="T53" s="1">
        <f>SUM(OSRRefT22_9x_0)</f>
        <v>6676.4</v>
      </c>
      <c r="U53" s="1"/>
      <c r="V53" s="5">
        <f t="shared" ref="V53:V56" si="44">IF(T$12=0,0,T53/T$12)</f>
        <v>9.6771226379473371E-3</v>
      </c>
      <c r="W53" s="1"/>
      <c r="X53" s="1">
        <f t="shared" ref="X53:X56" si="45">+P53-T53</f>
        <v>-7729.92</v>
      </c>
      <c r="Y53" s="1"/>
      <c r="Z53" s="5">
        <f t="shared" ref="Z53:Z56" si="46">IF(T53=0,0,X53/T53)</f>
        <v>-1.1577976154813971</v>
      </c>
    </row>
    <row r="54" spans="1:26" s="23" customFormat="1" hidden="1" outlineLevel="2" x14ac:dyDescent="0.25">
      <c r="A54" s="25"/>
      <c r="B54" s="10" t="str">
        <f>CONCATENATE("          ", "6282", " - ", "JANITORIAL/EXTERMINATOR EXPENS")</f>
        <v xml:space="preserve">          6282 - JANITORIAL/EXTERMINATOR EXPENS</v>
      </c>
      <c r="C54" s="10"/>
      <c r="D54" s="6"/>
      <c r="E54" s="2"/>
      <c r="F54" s="7">
        <f t="shared" si="39"/>
        <v>0</v>
      </c>
      <c r="G54" s="2"/>
      <c r="H54" s="6"/>
      <c r="I54" s="2"/>
      <c r="J54" s="7">
        <f t="shared" si="40"/>
        <v>0</v>
      </c>
      <c r="K54" s="2"/>
      <c r="L54" s="6">
        <f t="shared" si="41"/>
        <v>0</v>
      </c>
      <c r="M54" s="2"/>
      <c r="N54" s="7">
        <f t="shared" si="42"/>
        <v>0</v>
      </c>
      <c r="O54" s="10"/>
      <c r="P54" s="6">
        <v>-567.28</v>
      </c>
      <c r="Q54" s="2"/>
      <c r="R54" s="7">
        <f t="shared" si="43"/>
        <v>0</v>
      </c>
      <c r="S54" s="2"/>
      <c r="T54" s="6">
        <v>1051.29</v>
      </c>
      <c r="U54" s="2"/>
      <c r="V54" s="7">
        <f t="shared" si="44"/>
        <v>1.5237945985932023E-3</v>
      </c>
      <c r="W54" s="2"/>
      <c r="X54" s="6">
        <f t="shared" si="45"/>
        <v>-1618.57</v>
      </c>
      <c r="Y54" s="2"/>
      <c r="Z54" s="7">
        <f t="shared" si="46"/>
        <v>-1.5396037249474455</v>
      </c>
    </row>
    <row r="55" spans="1:26" s="23" customFormat="1" hidden="1" outlineLevel="2" x14ac:dyDescent="0.25">
      <c r="A55" s="25"/>
      <c r="B55" s="10" t="str">
        <f>CONCATENATE("          ", "6285", " - ", "JANITORIAL SERVICES")</f>
        <v xml:space="preserve">          6285 - JANITORIAL SERVICES</v>
      </c>
      <c r="C55" s="10"/>
      <c r="D55" s="6"/>
      <c r="E55" s="2"/>
      <c r="F55" s="7">
        <f t="shared" si="39"/>
        <v>0</v>
      </c>
      <c r="G55" s="2"/>
      <c r="H55" s="6">
        <v>2256.23</v>
      </c>
      <c r="I55" s="2"/>
      <c r="J55" s="7">
        <f t="shared" si="40"/>
        <v>0</v>
      </c>
      <c r="K55" s="2"/>
      <c r="L55" s="6">
        <f t="shared" si="41"/>
        <v>-2256.23</v>
      </c>
      <c r="M55" s="2"/>
      <c r="N55" s="7">
        <f t="shared" si="42"/>
        <v>-1</v>
      </c>
      <c r="O55" s="10"/>
      <c r="P55" s="6">
        <v>-486.24</v>
      </c>
      <c r="Q55" s="2"/>
      <c r="R55" s="7">
        <f t="shared" si="43"/>
        <v>0</v>
      </c>
      <c r="S55" s="2"/>
      <c r="T55" s="6">
        <v>3015.51</v>
      </c>
      <c r="U55" s="2"/>
      <c r="V55" s="7">
        <f t="shared" si="44"/>
        <v>4.3708375900120694E-3</v>
      </c>
      <c r="W55" s="2"/>
      <c r="X55" s="6">
        <f t="shared" si="45"/>
        <v>-3501.75</v>
      </c>
      <c r="Y55" s="2"/>
      <c r="Z55" s="7">
        <f t="shared" si="46"/>
        <v>-1.1612463563377338</v>
      </c>
    </row>
    <row r="56" spans="1:26" s="23" customFormat="1" hidden="1" outlineLevel="2" x14ac:dyDescent="0.25">
      <c r="A56" s="25"/>
      <c r="B56" s="10" t="str">
        <f>CONCATENATE("          ", "6286", " - ", "LAUNDRY EXPENSE")</f>
        <v xml:space="preserve">          6286 - LAUNDRY EXPENSE</v>
      </c>
      <c r="C56" s="10"/>
      <c r="D56" s="6"/>
      <c r="E56" s="2"/>
      <c r="F56" s="7">
        <f t="shared" si="39"/>
        <v>0</v>
      </c>
      <c r="G56" s="2"/>
      <c r="H56" s="6"/>
      <c r="I56" s="2"/>
      <c r="J56" s="7">
        <f t="shared" si="40"/>
        <v>0</v>
      </c>
      <c r="K56" s="2"/>
      <c r="L56" s="6">
        <f t="shared" si="41"/>
        <v>0</v>
      </c>
      <c r="M56" s="2"/>
      <c r="N56" s="7">
        <f t="shared" si="42"/>
        <v>0</v>
      </c>
      <c r="O56" s="10"/>
      <c r="P56" s="6"/>
      <c r="Q56" s="2"/>
      <c r="R56" s="7">
        <f t="shared" si="43"/>
        <v>0</v>
      </c>
      <c r="S56" s="2"/>
      <c r="T56" s="6">
        <v>2609.6</v>
      </c>
      <c r="U56" s="2"/>
      <c r="V56" s="7">
        <f t="shared" si="44"/>
        <v>3.7824904493420661E-3</v>
      </c>
      <c r="W56" s="2"/>
      <c r="X56" s="6">
        <f t="shared" si="45"/>
        <v>-2609.6</v>
      </c>
      <c r="Y56" s="2"/>
      <c r="Z56" s="7">
        <f t="shared" si="46"/>
        <v>-1</v>
      </c>
    </row>
    <row r="57" spans="1:26" s="27" customFormat="1" outlineLevel="1" collapsed="1" x14ac:dyDescent="0.25">
      <c r="A57" s="26"/>
      <c r="B57" s="12" t="str">
        <f>CONCATENATE("     ","Supplies                                          ")</f>
        <v xml:space="preserve">     Supplies                                          </v>
      </c>
      <c r="C57" s="12"/>
      <c r="D57" s="1">
        <f>SUM(OSRRefD22_10x_0)</f>
        <v>6.79</v>
      </c>
      <c r="E57" s="1"/>
      <c r="F57" s="5">
        <f t="shared" ref="F57:F64" si="47">IF(D$12=0,0,D57/D$12)</f>
        <v>0</v>
      </c>
      <c r="G57" s="1"/>
      <c r="H57" s="1">
        <f>SUM(OSRRefH22_10x_0)</f>
        <v>-29.9</v>
      </c>
      <c r="I57" s="1"/>
      <c r="J57" s="5">
        <f t="shared" ref="J57:J64" si="48">IF(H$12=0,0,H57/H$12)</f>
        <v>0</v>
      </c>
      <c r="K57" s="1"/>
      <c r="L57" s="1">
        <f t="shared" ref="L57:L64" si="49">+D57-H57</f>
        <v>36.69</v>
      </c>
      <c r="M57" s="1"/>
      <c r="N57" s="5">
        <f t="shared" ref="N57:N64" si="50">IF(H57=0,0,L57/H57)</f>
        <v>-1.2270903010033445</v>
      </c>
      <c r="O57" s="12"/>
      <c r="P57" s="1">
        <f>SUM(OSRRefP22_10x_0)</f>
        <v>138.09</v>
      </c>
      <c r="Q57" s="1"/>
      <c r="R57" s="5">
        <f t="shared" ref="R57:R64" si="51">IF(P$12=0,0,P57/P$12)</f>
        <v>0</v>
      </c>
      <c r="S57" s="1"/>
      <c r="T57" s="1">
        <f>SUM(OSRRefT22_10x_0)</f>
        <v>14308.310000000001</v>
      </c>
      <c r="U57" s="1"/>
      <c r="V57" s="5">
        <f t="shared" ref="V57:V64" si="52">IF(T$12=0,0,T57/T$12)</f>
        <v>2.0739211343204163E-2</v>
      </c>
      <c r="W57" s="1"/>
      <c r="X57" s="1">
        <f t="shared" ref="X57:X64" si="53">+P57-T57</f>
        <v>-14170.220000000001</v>
      </c>
      <c r="Y57" s="1"/>
      <c r="Z57" s="5">
        <f t="shared" ref="Z57:Z64" si="54">IF(T57=0,0,X57/T57)</f>
        <v>-0.9903489650419931</v>
      </c>
    </row>
    <row r="58" spans="1:26" s="23" customFormat="1" hidden="1" outlineLevel="2" x14ac:dyDescent="0.25">
      <c r="A58" s="25"/>
      <c r="B58" s="10" t="str">
        <f>CONCATENATE("          ", "6234", " - ", "EXPENDABLE SUPPLIES &amp; EQUIPMEN")</f>
        <v xml:space="preserve">          6234 - EXPENDABLE SUPPLIES &amp; EQUIPMEN</v>
      </c>
      <c r="C58" s="10"/>
      <c r="D58" s="6"/>
      <c r="E58" s="2"/>
      <c r="F58" s="7">
        <f t="shared" si="47"/>
        <v>0</v>
      </c>
      <c r="G58" s="2"/>
      <c r="H58" s="6"/>
      <c r="I58" s="2"/>
      <c r="J58" s="7">
        <f t="shared" si="48"/>
        <v>0</v>
      </c>
      <c r="K58" s="2"/>
      <c r="L58" s="6">
        <f t="shared" si="49"/>
        <v>0</v>
      </c>
      <c r="M58" s="2"/>
      <c r="N58" s="7">
        <f t="shared" si="50"/>
        <v>0</v>
      </c>
      <c r="O58" s="10"/>
      <c r="P58" s="6"/>
      <c r="Q58" s="2"/>
      <c r="R58" s="7">
        <f t="shared" si="51"/>
        <v>0</v>
      </c>
      <c r="S58" s="2"/>
      <c r="T58" s="6">
        <v>354.71</v>
      </c>
      <c r="U58" s="2"/>
      <c r="V58" s="7">
        <f t="shared" si="52"/>
        <v>5.1413518826108379E-4</v>
      </c>
      <c r="W58" s="2"/>
      <c r="X58" s="6">
        <f t="shared" si="53"/>
        <v>-354.71</v>
      </c>
      <c r="Y58" s="2"/>
      <c r="Z58" s="7">
        <f t="shared" si="54"/>
        <v>-1</v>
      </c>
    </row>
    <row r="59" spans="1:26" s="23" customFormat="1" hidden="1" outlineLevel="2" x14ac:dyDescent="0.25">
      <c r="A59" s="25"/>
      <c r="B59" s="10" t="str">
        <f>CONCATENATE("          ", "6237", " - ", "JANITORIAL SUPPLIES")</f>
        <v xml:space="preserve">          6237 - JANITORIAL SUPPLIES</v>
      </c>
      <c r="C59" s="10"/>
      <c r="D59" s="6"/>
      <c r="E59" s="2"/>
      <c r="F59" s="7">
        <f t="shared" si="47"/>
        <v>0</v>
      </c>
      <c r="G59" s="2"/>
      <c r="H59" s="6"/>
      <c r="I59" s="2"/>
      <c r="J59" s="7">
        <f t="shared" si="48"/>
        <v>0</v>
      </c>
      <c r="K59" s="2"/>
      <c r="L59" s="6">
        <f t="shared" si="49"/>
        <v>0</v>
      </c>
      <c r="M59" s="2"/>
      <c r="N59" s="7">
        <f t="shared" si="50"/>
        <v>0</v>
      </c>
      <c r="O59" s="10"/>
      <c r="P59" s="6"/>
      <c r="Q59" s="2"/>
      <c r="R59" s="7">
        <f t="shared" si="51"/>
        <v>0</v>
      </c>
      <c r="S59" s="2"/>
      <c r="T59" s="6">
        <v>1709.62</v>
      </c>
      <c r="U59" s="2"/>
      <c r="V59" s="7">
        <f t="shared" si="52"/>
        <v>2.4780124624479549E-3</v>
      </c>
      <c r="W59" s="2"/>
      <c r="X59" s="6">
        <f t="shared" si="53"/>
        <v>-1709.62</v>
      </c>
      <c r="Y59" s="2"/>
      <c r="Z59" s="7">
        <f t="shared" si="54"/>
        <v>-1</v>
      </c>
    </row>
    <row r="60" spans="1:26" s="23" customFormat="1" hidden="1" outlineLevel="2" x14ac:dyDescent="0.25">
      <c r="A60" s="25"/>
      <c r="B60" s="10" t="str">
        <f>CONCATENATE("          ", "6239", " - ", "KITCHEN SUPPLIES")</f>
        <v xml:space="preserve">          6239 - KITCHEN SUPPLIES</v>
      </c>
      <c r="C60" s="10"/>
      <c r="D60" s="6"/>
      <c r="E60" s="2"/>
      <c r="F60" s="7">
        <f t="shared" si="47"/>
        <v>0</v>
      </c>
      <c r="G60" s="2"/>
      <c r="H60" s="6"/>
      <c r="I60" s="2"/>
      <c r="J60" s="7">
        <f t="shared" si="48"/>
        <v>0</v>
      </c>
      <c r="K60" s="2"/>
      <c r="L60" s="6">
        <f t="shared" si="49"/>
        <v>0</v>
      </c>
      <c r="M60" s="2"/>
      <c r="N60" s="7">
        <f t="shared" si="50"/>
        <v>0</v>
      </c>
      <c r="O60" s="10"/>
      <c r="P60" s="6"/>
      <c r="Q60" s="2"/>
      <c r="R60" s="7">
        <f t="shared" si="51"/>
        <v>0</v>
      </c>
      <c r="S60" s="2"/>
      <c r="T60" s="6">
        <v>441.2</v>
      </c>
      <c r="U60" s="2"/>
      <c r="V60" s="7">
        <f t="shared" si="52"/>
        <v>6.3949830864872762E-4</v>
      </c>
      <c r="W60" s="2"/>
      <c r="X60" s="6">
        <f t="shared" si="53"/>
        <v>-441.2</v>
      </c>
      <c r="Y60" s="2"/>
      <c r="Z60" s="7">
        <f t="shared" si="54"/>
        <v>-1</v>
      </c>
    </row>
    <row r="61" spans="1:26" s="23" customFormat="1" hidden="1" outlineLevel="2" x14ac:dyDescent="0.25">
      <c r="A61" s="25"/>
      <c r="B61" s="10" t="str">
        <f>CONCATENATE("          ", "6241", " - ", "OFFICE EXPENSE")</f>
        <v xml:space="preserve">          6241 - OFFICE EXPENSE</v>
      </c>
      <c r="C61" s="10"/>
      <c r="D61" s="6">
        <v>6.79</v>
      </c>
      <c r="E61" s="2"/>
      <c r="F61" s="7">
        <f t="shared" si="47"/>
        <v>0</v>
      </c>
      <c r="G61" s="2"/>
      <c r="H61" s="6"/>
      <c r="I61" s="2"/>
      <c r="J61" s="7">
        <f t="shared" si="48"/>
        <v>0</v>
      </c>
      <c r="K61" s="2"/>
      <c r="L61" s="6">
        <f t="shared" si="49"/>
        <v>6.79</v>
      </c>
      <c r="M61" s="2"/>
      <c r="N61" s="7">
        <f t="shared" si="50"/>
        <v>0</v>
      </c>
      <c r="O61" s="10"/>
      <c r="P61" s="6">
        <v>138.09</v>
      </c>
      <c r="Q61" s="2"/>
      <c r="R61" s="7">
        <f t="shared" si="51"/>
        <v>0</v>
      </c>
      <c r="S61" s="2"/>
      <c r="T61" s="6">
        <v>1564.62</v>
      </c>
      <c r="U61" s="2"/>
      <c r="V61" s="7">
        <f t="shared" si="52"/>
        <v>2.2678418941023851E-3</v>
      </c>
      <c r="W61" s="2"/>
      <c r="X61" s="6">
        <f t="shared" si="53"/>
        <v>-1426.53</v>
      </c>
      <c r="Y61" s="2"/>
      <c r="Z61" s="7">
        <f t="shared" si="54"/>
        <v>-0.91174214825325006</v>
      </c>
    </row>
    <row r="62" spans="1:26" s="23" customFormat="1" hidden="1" outlineLevel="2" x14ac:dyDescent="0.25">
      <c r="A62" s="25"/>
      <c r="B62" s="10" t="str">
        <f>CONCATENATE("          ", "6243", " - ", "PAPER SUPPLIES")</f>
        <v xml:space="preserve">          6243 - PAPER SUPPLIES</v>
      </c>
      <c r="C62" s="10"/>
      <c r="D62" s="6"/>
      <c r="E62" s="2"/>
      <c r="F62" s="7">
        <f t="shared" si="47"/>
        <v>0</v>
      </c>
      <c r="G62" s="2"/>
      <c r="H62" s="6"/>
      <c r="I62" s="2"/>
      <c r="J62" s="7">
        <f t="shared" si="48"/>
        <v>0</v>
      </c>
      <c r="K62" s="2"/>
      <c r="L62" s="6">
        <f t="shared" si="49"/>
        <v>0</v>
      </c>
      <c r="M62" s="2"/>
      <c r="N62" s="7">
        <f t="shared" si="50"/>
        <v>0</v>
      </c>
      <c r="O62" s="10"/>
      <c r="P62" s="6"/>
      <c r="Q62" s="2"/>
      <c r="R62" s="7">
        <f t="shared" si="51"/>
        <v>0</v>
      </c>
      <c r="S62" s="2"/>
      <c r="T62" s="6">
        <v>2823.28</v>
      </c>
      <c r="U62" s="2"/>
      <c r="V62" s="7">
        <f t="shared" si="52"/>
        <v>4.0922093944736624E-3</v>
      </c>
      <c r="W62" s="2"/>
      <c r="X62" s="6">
        <f t="shared" si="53"/>
        <v>-2823.28</v>
      </c>
      <c r="Y62" s="2"/>
      <c r="Z62" s="7">
        <f t="shared" si="54"/>
        <v>-1</v>
      </c>
    </row>
    <row r="63" spans="1:26" s="23" customFormat="1" hidden="1" outlineLevel="2" x14ac:dyDescent="0.25">
      <c r="A63" s="25"/>
      <c r="B63" s="10" t="str">
        <f>CONCATENATE("          ", "6247", " - ", "STORE SUPPLIES")</f>
        <v xml:space="preserve">          6247 - STORE SUPPLIES</v>
      </c>
      <c r="C63" s="10"/>
      <c r="D63" s="6"/>
      <c r="E63" s="2"/>
      <c r="F63" s="7">
        <f t="shared" si="47"/>
        <v>0</v>
      </c>
      <c r="G63" s="2"/>
      <c r="H63" s="6">
        <v>-29.9</v>
      </c>
      <c r="I63" s="2"/>
      <c r="J63" s="7">
        <f t="shared" si="48"/>
        <v>0</v>
      </c>
      <c r="K63" s="2"/>
      <c r="L63" s="6">
        <f t="shared" si="49"/>
        <v>29.9</v>
      </c>
      <c r="M63" s="2"/>
      <c r="N63" s="7">
        <f t="shared" si="50"/>
        <v>-1</v>
      </c>
      <c r="O63" s="10"/>
      <c r="P63" s="6"/>
      <c r="Q63" s="2"/>
      <c r="R63" s="7">
        <f t="shared" si="51"/>
        <v>0</v>
      </c>
      <c r="S63" s="2"/>
      <c r="T63" s="6">
        <v>7337.29</v>
      </c>
      <c r="U63" s="2"/>
      <c r="V63" s="7">
        <f t="shared" si="52"/>
        <v>1.0635051099422536E-2</v>
      </c>
      <c r="W63" s="2"/>
      <c r="X63" s="6">
        <f t="shared" si="53"/>
        <v>-7337.29</v>
      </c>
      <c r="Y63" s="2"/>
      <c r="Z63" s="7">
        <f t="shared" si="54"/>
        <v>-1</v>
      </c>
    </row>
    <row r="64" spans="1:26" s="23" customFormat="1" hidden="1" outlineLevel="2" x14ac:dyDescent="0.25">
      <c r="A64" s="25"/>
      <c r="B64" s="10" t="str">
        <f>CONCATENATE("          ", "6248", " - ", "UNIFORMS")</f>
        <v xml:space="preserve">          6248 - UNIFORMS</v>
      </c>
      <c r="C64" s="10"/>
      <c r="D64" s="6"/>
      <c r="E64" s="2"/>
      <c r="F64" s="7">
        <f t="shared" si="47"/>
        <v>0</v>
      </c>
      <c r="G64" s="2"/>
      <c r="H64" s="6"/>
      <c r="I64" s="2"/>
      <c r="J64" s="7">
        <f t="shared" si="48"/>
        <v>0</v>
      </c>
      <c r="K64" s="2"/>
      <c r="L64" s="6">
        <f t="shared" si="49"/>
        <v>0</v>
      </c>
      <c r="M64" s="2"/>
      <c r="N64" s="7">
        <f t="shared" si="50"/>
        <v>0</v>
      </c>
      <c r="O64" s="10"/>
      <c r="P64" s="6"/>
      <c r="Q64" s="2"/>
      <c r="R64" s="7">
        <f t="shared" si="51"/>
        <v>0</v>
      </c>
      <c r="S64" s="2"/>
      <c r="T64" s="6">
        <v>77.59</v>
      </c>
      <c r="U64" s="2"/>
      <c r="V64" s="7">
        <f t="shared" si="52"/>
        <v>1.1246299584781229E-4</v>
      </c>
      <c r="W64" s="2"/>
      <c r="X64" s="6">
        <f t="shared" si="53"/>
        <v>-77.59</v>
      </c>
      <c r="Y64" s="2"/>
      <c r="Z64" s="7">
        <f t="shared" si="54"/>
        <v>-1</v>
      </c>
    </row>
    <row r="65" spans="1:26" s="27" customFormat="1" outlineLevel="1" collapsed="1" x14ac:dyDescent="0.25">
      <c r="A65" s="26"/>
      <c r="B65" s="12" t="str">
        <f>CONCATENATE("     ","Telephone/Data Lines                              ")</f>
        <v xml:space="preserve">     Telephone/Data Lines                              </v>
      </c>
      <c r="C65" s="12"/>
      <c r="D65" s="1">
        <f>SUM(OSRRefD22_11x_0)</f>
        <v>0</v>
      </c>
      <c r="E65" s="1"/>
      <c r="F65" s="5">
        <f t="shared" ref="F65:F70" si="55">IF(D$12=0,0,D65/D$12)</f>
        <v>0</v>
      </c>
      <c r="G65" s="1"/>
      <c r="H65" s="1">
        <f>SUM(OSRRefH22_11x_0)</f>
        <v>47</v>
      </c>
      <c r="I65" s="1"/>
      <c r="J65" s="5">
        <f t="shared" ref="J65:J70" si="56">IF(H$12=0,0,H65/H$12)</f>
        <v>0</v>
      </c>
      <c r="K65" s="1"/>
      <c r="L65" s="1">
        <f t="shared" ref="L65:L70" si="57">+D65-H65</f>
        <v>-47</v>
      </c>
      <c r="M65" s="1"/>
      <c r="N65" s="5">
        <f t="shared" ref="N65:N70" si="58">IF(H65=0,0,L65/H65)</f>
        <v>-1</v>
      </c>
      <c r="O65" s="12"/>
      <c r="P65" s="1">
        <f>SUM(OSRRefP22_11x_0)</f>
        <v>85.2</v>
      </c>
      <c r="Q65" s="1"/>
      <c r="R65" s="5">
        <f t="shared" ref="R65:R70" si="59">IF(P$12=0,0,P65/P$12)</f>
        <v>0</v>
      </c>
      <c r="S65" s="1"/>
      <c r="T65" s="1">
        <f>SUM(OSRRefT22_11x_0)</f>
        <v>737.28</v>
      </c>
      <c r="U65" s="1"/>
      <c r="V65" s="5">
        <f t="shared" ref="V65:V70" si="60">IF(T$12=0,0,T65/T$12)</f>
        <v>1.0686521146884267E-3</v>
      </c>
      <c r="W65" s="1"/>
      <c r="X65" s="1">
        <f t="shared" ref="X65:X70" si="61">+P65-T65</f>
        <v>-652.07999999999993</v>
      </c>
      <c r="Y65" s="1"/>
      <c r="Z65" s="5">
        <f t="shared" ref="Z65:Z70" si="62">IF(T65=0,0,X65/T65)</f>
        <v>-0.88444010416666663</v>
      </c>
    </row>
    <row r="66" spans="1:26" s="23" customFormat="1" hidden="1" outlineLevel="2" x14ac:dyDescent="0.25">
      <c r="A66" s="25"/>
      <c r="B66" s="10" t="str">
        <f>CONCATENATE("          ", "6309", " - ", "TELEPHONE")</f>
        <v xml:space="preserve">          6309 - TELEPHONE</v>
      </c>
      <c r="C66" s="10"/>
      <c r="D66" s="6"/>
      <c r="E66" s="2"/>
      <c r="F66" s="7">
        <f t="shared" si="55"/>
        <v>0</v>
      </c>
      <c r="G66" s="2"/>
      <c r="H66" s="6">
        <v>47</v>
      </c>
      <c r="I66" s="2"/>
      <c r="J66" s="7">
        <f t="shared" si="56"/>
        <v>0</v>
      </c>
      <c r="K66" s="2"/>
      <c r="L66" s="6">
        <f t="shared" si="57"/>
        <v>-47</v>
      </c>
      <c r="M66" s="2"/>
      <c r="N66" s="7">
        <f t="shared" si="58"/>
        <v>-1</v>
      </c>
      <c r="O66" s="10"/>
      <c r="P66" s="6">
        <v>85.2</v>
      </c>
      <c r="Q66" s="2"/>
      <c r="R66" s="7">
        <f t="shared" si="59"/>
        <v>0</v>
      </c>
      <c r="S66" s="2"/>
      <c r="T66" s="6">
        <v>737.28</v>
      </c>
      <c r="U66" s="2"/>
      <c r="V66" s="7">
        <f t="shared" si="60"/>
        <v>1.0686521146884267E-3</v>
      </c>
      <c r="W66" s="2"/>
      <c r="X66" s="6">
        <f t="shared" si="61"/>
        <v>-652.07999999999993</v>
      </c>
      <c r="Y66" s="2"/>
      <c r="Z66" s="7">
        <f t="shared" si="62"/>
        <v>-0.88444010416666663</v>
      </c>
    </row>
    <row r="67" spans="1:26" s="27" customFormat="1" outlineLevel="1" collapsed="1" x14ac:dyDescent="0.25">
      <c r="A67" s="26"/>
      <c r="B67" s="12" t="str">
        <f>CONCATENATE("     ","Travel                                            ")</f>
        <v xml:space="preserve">     Travel                                            </v>
      </c>
      <c r="C67" s="12"/>
      <c r="D67" s="1">
        <f>SUM(OSRRefD22_12x_0)</f>
        <v>0</v>
      </c>
      <c r="E67" s="1"/>
      <c r="F67" s="5">
        <f t="shared" si="55"/>
        <v>0</v>
      </c>
      <c r="G67" s="1"/>
      <c r="H67" s="1">
        <f>SUM(OSRRefH22_12x_0)</f>
        <v>0</v>
      </c>
      <c r="I67" s="1"/>
      <c r="J67" s="5">
        <f t="shared" si="56"/>
        <v>0</v>
      </c>
      <c r="K67" s="1"/>
      <c r="L67" s="1">
        <f t="shared" si="57"/>
        <v>0</v>
      </c>
      <c r="M67" s="1"/>
      <c r="N67" s="5">
        <f t="shared" si="58"/>
        <v>0</v>
      </c>
      <c r="O67" s="12"/>
      <c r="P67" s="1">
        <f>SUM(OSRRefP22_12x_0)</f>
        <v>0</v>
      </c>
      <c r="Q67" s="1"/>
      <c r="R67" s="5">
        <f t="shared" si="59"/>
        <v>0</v>
      </c>
      <c r="S67" s="1"/>
      <c r="T67" s="1">
        <f>SUM(OSRRefT22_12x_0)</f>
        <v>66</v>
      </c>
      <c r="U67" s="1"/>
      <c r="V67" s="5">
        <f t="shared" si="60"/>
        <v>9.5663844902121542E-5</v>
      </c>
      <c r="W67" s="1"/>
      <c r="X67" s="1">
        <f t="shared" si="61"/>
        <v>-66</v>
      </c>
      <c r="Y67" s="1"/>
      <c r="Z67" s="5">
        <f t="shared" si="62"/>
        <v>-1</v>
      </c>
    </row>
    <row r="68" spans="1:26" s="23" customFormat="1" hidden="1" outlineLevel="2" x14ac:dyDescent="0.25">
      <c r="A68" s="25"/>
      <c r="B68" s="10" t="str">
        <f>CONCATENATE("          ", "6298", " - ", "VEHICLE MILEAGE")</f>
        <v xml:space="preserve">          6298 - VEHICLE MILEAGE</v>
      </c>
      <c r="C68" s="10"/>
      <c r="D68" s="6"/>
      <c r="E68" s="2"/>
      <c r="F68" s="7">
        <f t="shared" si="55"/>
        <v>0</v>
      </c>
      <c r="G68" s="2"/>
      <c r="H68" s="6"/>
      <c r="I68" s="2"/>
      <c r="J68" s="7">
        <f t="shared" si="56"/>
        <v>0</v>
      </c>
      <c r="K68" s="2"/>
      <c r="L68" s="6">
        <f t="shared" si="57"/>
        <v>0</v>
      </c>
      <c r="M68" s="2"/>
      <c r="N68" s="7">
        <f t="shared" si="58"/>
        <v>0</v>
      </c>
      <c r="O68" s="10"/>
      <c r="P68" s="6"/>
      <c r="Q68" s="2"/>
      <c r="R68" s="7">
        <f t="shared" si="59"/>
        <v>0</v>
      </c>
      <c r="S68" s="2"/>
      <c r="T68" s="6">
        <v>66</v>
      </c>
      <c r="U68" s="2"/>
      <c r="V68" s="7">
        <f t="shared" si="60"/>
        <v>9.5663844902121542E-5</v>
      </c>
      <c r="W68" s="2"/>
      <c r="X68" s="6">
        <f t="shared" si="61"/>
        <v>-66</v>
      </c>
      <c r="Y68" s="2"/>
      <c r="Z68" s="7">
        <f t="shared" si="62"/>
        <v>-1</v>
      </c>
    </row>
    <row r="69" spans="1:26" s="27" customFormat="1" outlineLevel="1" collapsed="1" x14ac:dyDescent="0.25">
      <c r="A69" s="26"/>
      <c r="B69" s="12" t="str">
        <f>CONCATENATE("     ","Utilities                                         ")</f>
        <v xml:space="preserve">     Utilities                                         </v>
      </c>
      <c r="C69" s="12"/>
      <c r="D69" s="1">
        <f>SUM(OSRRefD22_13x_0)</f>
        <v>-162</v>
      </c>
      <c r="E69" s="1"/>
      <c r="F69" s="5">
        <f t="shared" si="55"/>
        <v>0</v>
      </c>
      <c r="G69" s="1"/>
      <c r="H69" s="1">
        <f>SUM(OSRRefH22_13x_0)</f>
        <v>520</v>
      </c>
      <c r="I69" s="1"/>
      <c r="J69" s="5">
        <f t="shared" si="56"/>
        <v>0</v>
      </c>
      <c r="K69" s="1"/>
      <c r="L69" s="1">
        <f t="shared" si="57"/>
        <v>-682</v>
      </c>
      <c r="M69" s="1"/>
      <c r="N69" s="5">
        <f t="shared" si="58"/>
        <v>-1.3115384615384615</v>
      </c>
      <c r="O69" s="12"/>
      <c r="P69" s="1">
        <f>SUM(OSRRefP22_13x_0)</f>
        <v>1001</v>
      </c>
      <c r="Q69" s="1"/>
      <c r="R69" s="5">
        <f t="shared" si="59"/>
        <v>0</v>
      </c>
      <c r="S69" s="1"/>
      <c r="T69" s="1">
        <f>SUM(OSRRefT22_13x_0)</f>
        <v>2745</v>
      </c>
      <c r="U69" s="1"/>
      <c r="V69" s="5">
        <f t="shared" si="60"/>
        <v>3.9787462766109642E-3</v>
      </c>
      <c r="W69" s="1"/>
      <c r="X69" s="1">
        <f t="shared" si="61"/>
        <v>-1744</v>
      </c>
      <c r="Y69" s="1"/>
      <c r="Z69" s="5">
        <f t="shared" si="62"/>
        <v>-0.63533697632058284</v>
      </c>
    </row>
    <row r="70" spans="1:26" s="23" customFormat="1" hidden="1" outlineLevel="2" x14ac:dyDescent="0.25">
      <c r="A70" s="25"/>
      <c r="B70" s="10" t="str">
        <f>CONCATENATE("          ", "6274", " - ", "UTILITIES")</f>
        <v xml:space="preserve">          6274 - UTILITIES</v>
      </c>
      <c r="C70" s="10"/>
      <c r="D70" s="6">
        <v>-162</v>
      </c>
      <c r="E70" s="2"/>
      <c r="F70" s="7">
        <f t="shared" si="55"/>
        <v>0</v>
      </c>
      <c r="G70" s="2"/>
      <c r="H70" s="6">
        <v>520</v>
      </c>
      <c r="I70" s="2"/>
      <c r="J70" s="7">
        <f t="shared" si="56"/>
        <v>0</v>
      </c>
      <c r="K70" s="2"/>
      <c r="L70" s="6">
        <f t="shared" si="57"/>
        <v>-682</v>
      </c>
      <c r="M70" s="2"/>
      <c r="N70" s="7">
        <f t="shared" si="58"/>
        <v>-1.3115384615384615</v>
      </c>
      <c r="O70" s="10"/>
      <c r="P70" s="6">
        <v>1001</v>
      </c>
      <c r="Q70" s="2"/>
      <c r="R70" s="7">
        <f t="shared" si="59"/>
        <v>0</v>
      </c>
      <c r="S70" s="2"/>
      <c r="T70" s="6">
        <v>2745</v>
      </c>
      <c r="U70" s="2"/>
      <c r="V70" s="7">
        <f t="shared" si="60"/>
        <v>3.9787462766109642E-3</v>
      </c>
      <c r="W70" s="2"/>
      <c r="X70" s="6">
        <f t="shared" si="61"/>
        <v>-1744</v>
      </c>
      <c r="Y70" s="2"/>
      <c r="Z70" s="7">
        <f t="shared" si="62"/>
        <v>-0.63533697632058284</v>
      </c>
    </row>
    <row r="71" spans="1:26" s="52" customFormat="1" x14ac:dyDescent="0.25">
      <c r="A71" s="37"/>
      <c r="B71" s="37"/>
      <c r="C71" s="37"/>
      <c r="D71" s="1"/>
      <c r="E71" s="1"/>
      <c r="F71" s="5"/>
      <c r="G71" s="1"/>
      <c r="H71" s="1"/>
      <c r="I71" s="1"/>
      <c r="J71" s="5"/>
      <c r="K71" s="1"/>
      <c r="L71" s="1"/>
      <c r="M71" s="1"/>
      <c r="N71" s="5"/>
      <c r="O71" s="37"/>
      <c r="P71" s="1"/>
      <c r="Q71" s="1"/>
      <c r="R71" s="5"/>
      <c r="S71" s="1"/>
      <c r="T71" s="1"/>
      <c r="U71" s="1"/>
      <c r="V71" s="5"/>
      <c r="W71" s="1"/>
      <c r="X71" s="1"/>
      <c r="Y71" s="1"/>
      <c r="Z71" s="5"/>
    </row>
    <row r="72" spans="1:26" s="24" customFormat="1" x14ac:dyDescent="0.25">
      <c r="A72" s="11"/>
      <c r="B72" s="29" t="s">
        <v>292</v>
      </c>
      <c r="C72" s="11"/>
      <c r="D72" s="4">
        <f>SUM(0)</f>
        <v>0</v>
      </c>
      <c r="E72" s="4"/>
      <c r="F72" s="13">
        <f>IF(D$12=0,0,D72/D$12)</f>
        <v>0</v>
      </c>
      <c r="G72" s="4"/>
      <c r="H72" s="4">
        <f>SUM(0)</f>
        <v>0</v>
      </c>
      <c r="I72" s="4"/>
      <c r="J72" s="13">
        <f>IF(H$12=0,0,H72/H$12)</f>
        <v>0</v>
      </c>
      <c r="K72" s="4"/>
      <c r="L72" s="4">
        <f>+D72-H72</f>
        <v>0</v>
      </c>
      <c r="M72" s="4"/>
      <c r="N72" s="13">
        <f>IF(H72=0,0,L72/H72)</f>
        <v>0</v>
      </c>
      <c r="O72" s="11"/>
      <c r="P72" s="4">
        <f>SUM(0)</f>
        <v>0</v>
      </c>
      <c r="Q72" s="4"/>
      <c r="R72" s="13">
        <f>IF(P$12=0,0,P72/P$12)</f>
        <v>0</v>
      </c>
      <c r="S72" s="4"/>
      <c r="T72" s="4">
        <f>SUM(0)</f>
        <v>0</v>
      </c>
      <c r="U72" s="4"/>
      <c r="V72" s="13">
        <f>IF(T$12=0,0,T72/T$12)</f>
        <v>0</v>
      </c>
      <c r="W72" s="4"/>
      <c r="X72" s="4">
        <f>+P72-T72</f>
        <v>0</v>
      </c>
      <c r="Y72" s="4"/>
      <c r="Z72" s="13">
        <f>IF(T72=0,0,X72/T72)</f>
        <v>0</v>
      </c>
    </row>
    <row r="73" spans="1:26" x14ac:dyDescent="0.25">
      <c r="A73" s="9"/>
      <c r="B73" s="11"/>
      <c r="C73" s="11"/>
      <c r="D73" s="3"/>
      <c r="E73" s="3"/>
      <c r="F73" s="8"/>
      <c r="G73" s="3"/>
      <c r="H73" s="3"/>
      <c r="I73" s="3"/>
      <c r="J73" s="8"/>
      <c r="K73" s="3"/>
      <c r="L73" s="3"/>
      <c r="M73" s="3"/>
      <c r="N73" s="8"/>
      <c r="O73" s="11"/>
      <c r="P73" s="3"/>
      <c r="Q73" s="3"/>
      <c r="R73" s="8"/>
      <c r="S73" s="3"/>
      <c r="T73" s="3"/>
      <c r="U73" s="3"/>
      <c r="V73" s="8"/>
      <c r="W73" s="3"/>
      <c r="X73" s="3"/>
      <c r="Y73" s="3"/>
      <c r="Z73" s="8"/>
    </row>
    <row r="74" spans="1:26" s="24" customFormat="1" x14ac:dyDescent="0.25">
      <c r="A74" s="11"/>
      <c r="B74" s="28" t="s">
        <v>276</v>
      </c>
      <c r="C74" s="28"/>
      <c r="D74" s="21">
        <f>+D20-D22+D72</f>
        <v>-349.24</v>
      </c>
      <c r="E74" s="14"/>
      <c r="F74" s="22">
        <f>IF(D$12=0,0,D74/D$12)</f>
        <v>0</v>
      </c>
      <c r="G74" s="14"/>
      <c r="H74" s="21">
        <f>+H20-H22+H72</f>
        <v>-12043.679999999998</v>
      </c>
      <c r="I74" s="14"/>
      <c r="J74" s="22">
        <f>IF(H$12=0,0,H74/H$12)</f>
        <v>0</v>
      </c>
      <c r="K74" s="15"/>
      <c r="L74" s="21">
        <f>+D74-H74</f>
        <v>11694.439999999999</v>
      </c>
      <c r="M74" s="15"/>
      <c r="N74" s="22">
        <f>IF(H74=0,0,L74/H74)</f>
        <v>-0.97100221859099545</v>
      </c>
      <c r="O74" s="29"/>
      <c r="P74" s="21">
        <f>+P20-P22+P72</f>
        <v>-25615.25</v>
      </c>
      <c r="Q74" s="14"/>
      <c r="R74" s="22">
        <f>IF(P$12=0,0,P74/P$12)</f>
        <v>0</v>
      </c>
      <c r="S74" s="14"/>
      <c r="T74" s="21">
        <f>+T20-T22+T72</f>
        <v>5499.5099999998929</v>
      </c>
      <c r="U74" s="14"/>
      <c r="V74" s="22">
        <f>IF(T$12=0,0,T74/T$12)</f>
        <v>7.9712768436008517E-3</v>
      </c>
      <c r="W74" s="15"/>
      <c r="X74" s="21">
        <f>+P74-T74</f>
        <v>-31114.759999999893</v>
      </c>
      <c r="Y74" s="15"/>
      <c r="Z74" s="22">
        <f>IF(T74=0,0,X74/T74)</f>
        <v>-5.65773314349833</v>
      </c>
    </row>
    <row r="75" spans="1:26" x14ac:dyDescent="0.25">
      <c r="A75" s="9"/>
      <c r="B75" s="11"/>
      <c r="C75" s="9"/>
      <c r="D75" s="3"/>
      <c r="E75" s="3"/>
      <c r="F75" s="8"/>
      <c r="G75" s="3"/>
      <c r="H75" s="3"/>
      <c r="I75" s="3"/>
      <c r="J75" s="8"/>
      <c r="K75" s="3"/>
      <c r="L75" s="3"/>
      <c r="M75" s="3"/>
      <c r="N75" s="8"/>
      <c r="P75" s="3"/>
      <c r="Q75" s="3"/>
      <c r="R75" s="8"/>
      <c r="S75" s="3"/>
      <c r="T75" s="3"/>
      <c r="U75" s="3"/>
      <c r="V75" s="8"/>
      <c r="W75" s="3"/>
      <c r="X75" s="3"/>
      <c r="Y75" s="3"/>
      <c r="Z75" s="8"/>
    </row>
    <row r="76" spans="1:26" s="24" customFormat="1" x14ac:dyDescent="0.25">
      <c r="A76" s="51"/>
      <c r="B76" s="11" t="s">
        <v>127</v>
      </c>
      <c r="C76" s="11"/>
      <c r="D76" s="4"/>
      <c r="E76" s="4"/>
      <c r="F76" s="13">
        <f>IF(D$12=0,0,D76/D$12)</f>
        <v>0</v>
      </c>
      <c r="G76" s="4"/>
      <c r="H76" s="4">
        <v>22768.63</v>
      </c>
      <c r="I76" s="4"/>
      <c r="J76" s="13">
        <f>IF(H$12=0,0,H76/H$12)</f>
        <v>0</v>
      </c>
      <c r="K76" s="4"/>
      <c r="L76" s="4">
        <f>+D76-H76</f>
        <v>-22768.63</v>
      </c>
      <c r="M76" s="4"/>
      <c r="N76" s="13">
        <f>IF(H76=0,0,L76/H76)</f>
        <v>-1</v>
      </c>
      <c r="O76" s="11"/>
      <c r="P76" s="4"/>
      <c r="Q76" s="4"/>
      <c r="R76" s="13">
        <f>IF(P$12=0,0,P76/P$12)</f>
        <v>0</v>
      </c>
      <c r="S76" s="4"/>
      <c r="T76" s="4">
        <v>104468.86</v>
      </c>
      <c r="U76" s="4"/>
      <c r="V76" s="13">
        <f>IF(T$12=0,0,T76/T$12)</f>
        <v>0.15142261848699165</v>
      </c>
      <c r="W76" s="4"/>
      <c r="X76" s="4">
        <f>+P76-T76</f>
        <v>-104468.86</v>
      </c>
      <c r="Y76" s="4"/>
      <c r="Z76" s="13">
        <f>IF(T76=0,0,X76/T76)</f>
        <v>-1</v>
      </c>
    </row>
    <row r="77" spans="1:26" x14ac:dyDescent="0.25">
      <c r="A77" s="9"/>
      <c r="B77" s="11"/>
      <c r="C77" s="11"/>
      <c r="D77" s="3"/>
      <c r="E77" s="3"/>
      <c r="F77" s="8"/>
      <c r="G77" s="3"/>
      <c r="H77" s="3"/>
      <c r="I77" s="3"/>
      <c r="J77" s="8"/>
      <c r="K77" s="3"/>
      <c r="L77" s="3"/>
      <c r="M77" s="3"/>
      <c r="N77" s="8"/>
      <c r="O77" s="11"/>
      <c r="P77" s="3"/>
      <c r="Q77" s="3"/>
      <c r="R77" s="8"/>
      <c r="S77" s="3"/>
      <c r="T77" s="3"/>
      <c r="U77" s="3"/>
      <c r="V77" s="8"/>
      <c r="W77" s="3"/>
      <c r="X77" s="3"/>
      <c r="Y77" s="3"/>
      <c r="Z77" s="8"/>
    </row>
    <row r="78" spans="1:26" s="24" customFormat="1" ht="15.75" thickBot="1" x14ac:dyDescent="0.3">
      <c r="A78" s="11"/>
      <c r="B78" s="28" t="s">
        <v>125</v>
      </c>
      <c r="C78" s="28"/>
      <c r="D78" s="34">
        <f>+D74-D76</f>
        <v>-349.24</v>
      </c>
      <c r="E78" s="14"/>
      <c r="F78" s="31">
        <f>IF(D$12=0,0,D78/D$12)</f>
        <v>0</v>
      </c>
      <c r="G78" s="14"/>
      <c r="H78" s="34">
        <f>+H74-H76</f>
        <v>-34812.31</v>
      </c>
      <c r="I78" s="14"/>
      <c r="J78" s="31">
        <f>IF(H$12=0,0,H78/H$12)</f>
        <v>0</v>
      </c>
      <c r="K78" s="15"/>
      <c r="L78" s="34">
        <f>D78-H78</f>
        <v>34463.07</v>
      </c>
      <c r="M78" s="15"/>
      <c r="N78" s="31">
        <f>IF(H78=0,0,L78/H78)</f>
        <v>-0.98996791652148342</v>
      </c>
      <c r="O78" s="29"/>
      <c r="P78" s="34">
        <f>+P74-P76</f>
        <v>-25615.25</v>
      </c>
      <c r="Q78" s="14"/>
      <c r="R78" s="31">
        <f>IF(P$12=0,0,P78/P$12)</f>
        <v>0</v>
      </c>
      <c r="S78" s="14"/>
      <c r="T78" s="34">
        <f>+T74-T76</f>
        <v>-98969.350000000108</v>
      </c>
      <c r="U78" s="14"/>
      <c r="V78" s="31">
        <f>IF(T$12=0,0,T78/T$12)</f>
        <v>-0.1434513416433908</v>
      </c>
      <c r="W78" s="15"/>
      <c r="X78" s="34">
        <f>P78-T78</f>
        <v>73354.100000000108</v>
      </c>
      <c r="Y78" s="15"/>
      <c r="Z78" s="31">
        <f>IF(T78=0,0,X78/T78)</f>
        <v>-0.74117997137497649</v>
      </c>
    </row>
    <row r="79" spans="1:26" ht="15.75" thickTop="1" x14ac:dyDescent="0.25">
      <c r="A79" s="9"/>
      <c r="B79" s="9"/>
      <c r="C79" s="9"/>
      <c r="D79" s="3"/>
      <c r="E79" s="3"/>
      <c r="F79" s="8"/>
      <c r="G79" s="3"/>
      <c r="H79" s="3"/>
      <c r="I79" s="3"/>
      <c r="J79" s="8"/>
      <c r="K79" s="3"/>
      <c r="L79" s="3"/>
      <c r="M79" s="3"/>
      <c r="N79" s="8"/>
      <c r="P79" s="3"/>
      <c r="Q79" s="3"/>
      <c r="R79" s="8"/>
      <c r="S79" s="3"/>
      <c r="T79" s="3"/>
      <c r="U79" s="3"/>
      <c r="V79" s="8"/>
      <c r="W79" s="3"/>
      <c r="X79" s="3"/>
      <c r="Y79" s="3"/>
      <c r="Z79" s="8"/>
    </row>
    <row r="80" spans="1:26" x14ac:dyDescent="0.25">
      <c r="A80" s="9"/>
      <c r="B80" s="9"/>
      <c r="C80" s="9"/>
      <c r="D80" s="3"/>
      <c r="E80" s="3"/>
      <c r="F80" s="8"/>
      <c r="G80" s="3"/>
      <c r="H80" s="3"/>
      <c r="I80" s="3"/>
      <c r="J80" s="8"/>
      <c r="K80" s="3"/>
      <c r="L80" s="3"/>
      <c r="M80" s="3"/>
      <c r="N80" s="8"/>
      <c r="P80" s="3"/>
      <c r="Q80" s="3"/>
      <c r="R80" s="8"/>
      <c r="S80" s="3"/>
      <c r="T80" s="3"/>
      <c r="U80" s="3"/>
      <c r="V80" s="8"/>
      <c r="W80" s="3"/>
      <c r="X80" s="3"/>
      <c r="Y80" s="3"/>
      <c r="Z80" s="8"/>
    </row>
    <row r="81" spans="1:26" s="24" customFormat="1" ht="15.75" thickBot="1" x14ac:dyDescent="0.3">
      <c r="A81" s="11"/>
      <c r="B81" s="28" t="s">
        <v>293</v>
      </c>
      <c r="C81" s="28"/>
      <c r="D81" s="33">
        <f>SUM(D78:D80)</f>
        <v>-349.24</v>
      </c>
      <c r="E81" s="14"/>
      <c r="F81" s="35">
        <f>IF(D$12=0,0,D81/D$12)</f>
        <v>0</v>
      </c>
      <c r="G81" s="14"/>
      <c r="H81" s="33">
        <f>SUM(H78:H80)</f>
        <v>-34812.31</v>
      </c>
      <c r="I81" s="14"/>
      <c r="J81" s="35">
        <f>IF(H$12=0,0,H81/H$12)</f>
        <v>0</v>
      </c>
      <c r="K81" s="15"/>
      <c r="L81" s="33">
        <f>+D81-H81</f>
        <v>34463.07</v>
      </c>
      <c r="M81" s="15"/>
      <c r="N81" s="35">
        <f>IF(H81=0,0,L81/H81)</f>
        <v>-0.98996791652148342</v>
      </c>
      <c r="O81" s="29"/>
      <c r="P81" s="33">
        <f>SUM(P78:P80)</f>
        <v>-25615.25</v>
      </c>
      <c r="Q81" s="14"/>
      <c r="R81" s="35">
        <f>IF(P$12=0,0,P81/P$12)</f>
        <v>0</v>
      </c>
      <c r="S81" s="14"/>
      <c r="T81" s="33">
        <f>SUM(T78:T80)</f>
        <v>-98969.350000000108</v>
      </c>
      <c r="U81" s="14"/>
      <c r="V81" s="35">
        <f>IF(T$12=0,0,T81/T$12)</f>
        <v>-0.1434513416433908</v>
      </c>
      <c r="W81" s="15"/>
      <c r="X81" s="33">
        <f>+P81-T81</f>
        <v>73354.100000000108</v>
      </c>
      <c r="Y81" s="15"/>
      <c r="Z81" s="35">
        <f>IF(T81=0,0,X81/T81)</f>
        <v>-0.74117997137497649</v>
      </c>
    </row>
    <row r="82" spans="1:26" ht="15.75" thickTop="1" x14ac:dyDescent="0.25">
      <c r="A82" s="9"/>
      <c r="C82" s="9"/>
      <c r="D82" s="18"/>
      <c r="E82" s="18"/>
      <c r="G82" s="18"/>
      <c r="H82" s="18"/>
      <c r="I82" s="18"/>
      <c r="J82" s="43"/>
      <c r="K82" s="18"/>
      <c r="L82" s="18"/>
      <c r="M82" s="18"/>
      <c r="P82" s="18"/>
      <c r="Q82" s="18"/>
      <c r="R82" s="43"/>
      <c r="S82" s="18"/>
      <c r="T82" s="18"/>
      <c r="U82" s="18"/>
      <c r="V82" s="43"/>
      <c r="W82" s="18"/>
      <c r="X82" s="18"/>
    </row>
    <row r="83" spans="1:26" x14ac:dyDescent="0.25">
      <c r="A83" s="9"/>
      <c r="B83" s="56">
        <v>44454.698585613427</v>
      </c>
      <c r="D83" s="18"/>
      <c r="E83" s="18"/>
      <c r="G83" s="18"/>
      <c r="H83" s="18"/>
      <c r="I83" s="18"/>
      <c r="J83" s="43"/>
      <c r="K83" s="18"/>
      <c r="L83" s="18"/>
      <c r="M83" s="18"/>
      <c r="P83" s="18"/>
      <c r="Q83" s="18"/>
      <c r="R83" s="43"/>
      <c r="S83" s="18"/>
      <c r="T83" s="18"/>
      <c r="U83" s="18"/>
      <c r="V83" s="43"/>
      <c r="W83" s="18"/>
      <c r="X83" s="18"/>
    </row>
    <row r="84" spans="1:26" x14ac:dyDescent="0.25">
      <c r="A84" s="9"/>
      <c r="B84" s="55" t="s">
        <v>56</v>
      </c>
      <c r="D84" s="18"/>
      <c r="E84" s="18"/>
      <c r="G84" s="18"/>
      <c r="H84" s="18"/>
      <c r="I84" s="18"/>
      <c r="J84" s="43"/>
      <c r="K84" s="18"/>
      <c r="L84" s="18"/>
      <c r="M84" s="18"/>
      <c r="P84" s="18"/>
      <c r="Q84" s="18"/>
      <c r="R84" s="43"/>
      <c r="S84" s="18"/>
      <c r="T84" s="18"/>
      <c r="U84" s="18"/>
      <c r="V84" s="43"/>
      <c r="W84" s="18"/>
      <c r="X84" s="18"/>
    </row>
    <row r="85" spans="1:26" x14ac:dyDescent="0.25">
      <c r="A85" s="9"/>
      <c r="B85" s="60"/>
      <c r="D85" s="18"/>
      <c r="E85" s="18"/>
      <c r="G85" s="18"/>
      <c r="H85" s="18"/>
      <c r="I85" s="18"/>
      <c r="J85" s="43"/>
      <c r="K85" s="18"/>
      <c r="L85" s="18"/>
      <c r="M85" s="18"/>
      <c r="P85" s="18"/>
      <c r="Q85" s="18"/>
      <c r="R85" s="43"/>
      <c r="S85" s="18"/>
      <c r="T85" s="18"/>
      <c r="U85" s="18"/>
      <c r="V85" s="43"/>
      <c r="W85" s="18"/>
      <c r="X85" s="18"/>
    </row>
    <row r="86" spans="1:26" x14ac:dyDescent="0.25">
      <c r="D86" s="18"/>
      <c r="E86" s="18"/>
      <c r="G86" s="18"/>
      <c r="H86" s="18"/>
      <c r="I86" s="18"/>
      <c r="J86" s="43"/>
      <c r="K86" s="18"/>
      <c r="L86" s="18"/>
      <c r="M86" s="18"/>
      <c r="P86" s="18"/>
      <c r="Q86" s="18"/>
      <c r="R86" s="43"/>
      <c r="S86" s="18"/>
      <c r="T86" s="18"/>
      <c r="U86" s="18"/>
      <c r="V86" s="43"/>
      <c r="W86" s="18"/>
      <c r="X86" s="18"/>
    </row>
  </sheetData>
  <pageMargins left="0.25" right="0.25" top="0.75" bottom="0.75" header="0.3" footer="0.3"/>
  <pageSetup scale="55" fitToWidth="2" orientation="landscape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62" t="s">
        <v>23</v>
      </c>
    </row>
    <row r="3" spans="1:26" x14ac:dyDescent="0.25">
      <c r="D3" s="62" t="s">
        <v>236</v>
      </c>
      <c r="E3" s="17"/>
      <c r="F3" s="46"/>
      <c r="G3" s="17"/>
      <c r="H3" s="17"/>
      <c r="I3" s="17"/>
      <c r="J3" s="38"/>
      <c r="K3" s="17"/>
      <c r="L3" s="17"/>
      <c r="M3" s="17"/>
      <c r="N3" s="46"/>
      <c r="O3" s="53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2" t="e">
        <f ca="1">CONCATENATE("Period ",RIGHT(_xll.OneStop.ReportPlayer.OSRFunctions.OSRGet("Period","PeriodId"),2),", ",_xll.OneStop.ReportPlayer.OSRFunctions.OSRGet("Period","Year"))</f>
        <v>#NAME?</v>
      </c>
      <c r="E4" s="17"/>
      <c r="F4" s="46"/>
      <c r="G4" s="17"/>
      <c r="H4" s="17"/>
      <c r="I4" s="17"/>
      <c r="J4" s="38"/>
      <c r="K4" s="17"/>
      <c r="L4" s="17"/>
      <c r="M4" s="17"/>
      <c r="N4" s="46"/>
      <c r="O4" s="53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4"/>
      <c r="D5" s="64" t="e">
        <f ca="1">_xll.OneStop.ReportPlayer.OSRFunctions.OSRGet("Period","PeriodEnd")</f>
        <v>#NAME?</v>
      </c>
      <c r="E5" s="17"/>
      <c r="F5" s="46"/>
      <c r="G5" s="17"/>
      <c r="H5" s="17"/>
      <c r="I5" s="17"/>
      <c r="J5" s="38"/>
      <c r="K5" s="17"/>
      <c r="L5" s="17"/>
      <c r="M5" s="17"/>
      <c r="N5" s="46"/>
      <c r="O5" s="53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4"/>
      <c r="B6" s="48"/>
      <c r="C6" s="48"/>
      <c r="D6" s="24" t="s">
        <v>217</v>
      </c>
      <c r="E6" s="17"/>
      <c r="F6" s="46"/>
      <c r="G6" s="17"/>
      <c r="H6" s="17"/>
      <c r="I6" s="17"/>
      <c r="J6" s="38"/>
      <c r="K6" s="17"/>
      <c r="L6" s="17"/>
      <c r="M6" s="17"/>
      <c r="N6" s="46"/>
      <c r="O6" s="54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9"/>
    </row>
    <row r="8" spans="1:26" x14ac:dyDescent="0.25">
      <c r="B8" s="59"/>
    </row>
    <row r="9" spans="1:26" x14ac:dyDescent="0.25">
      <c r="B9" s="9"/>
      <c r="C9" s="9"/>
      <c r="D9" s="16" t="s">
        <v>291</v>
      </c>
      <c r="E9" s="16"/>
      <c r="F9" s="39"/>
      <c r="G9" s="16"/>
      <c r="H9" s="16"/>
      <c r="I9" s="16"/>
      <c r="J9" s="49"/>
      <c r="K9" s="16"/>
      <c r="L9" s="16"/>
      <c r="M9" s="16"/>
      <c r="N9" s="39"/>
      <c r="P9" s="16" t="s">
        <v>39</v>
      </c>
      <c r="Q9" s="16"/>
      <c r="R9" s="39"/>
      <c r="S9" s="16"/>
      <c r="T9" s="16"/>
      <c r="U9" s="16"/>
      <c r="V9" s="49"/>
      <c r="W9" s="16"/>
      <c r="X9" s="16"/>
      <c r="Y9" s="16"/>
      <c r="Z9" s="39"/>
    </row>
    <row r="10" spans="1:26" x14ac:dyDescent="0.25">
      <c r="A10" s="11"/>
      <c r="B10" s="58"/>
      <c r="C10" s="11"/>
      <c r="D10" s="42" t="s">
        <v>57</v>
      </c>
      <c r="E10" s="36"/>
      <c r="F10" s="30" t="s">
        <v>40</v>
      </c>
      <c r="G10" s="36"/>
      <c r="H10" s="50" t="s">
        <v>237</v>
      </c>
      <c r="I10" s="36"/>
      <c r="J10" s="30" t="s">
        <v>40</v>
      </c>
      <c r="K10" s="11"/>
      <c r="L10" s="42" t="s">
        <v>126</v>
      </c>
      <c r="M10" s="11"/>
      <c r="N10" s="30" t="s">
        <v>257</v>
      </c>
      <c r="O10" s="11"/>
      <c r="P10" s="61" t="s">
        <v>57</v>
      </c>
      <c r="Q10" s="36"/>
      <c r="R10" s="30" t="s">
        <v>40</v>
      </c>
      <c r="S10" s="36"/>
      <c r="T10" s="50" t="s">
        <v>237</v>
      </c>
      <c r="U10" s="36"/>
      <c r="V10" s="30" t="s">
        <v>40</v>
      </c>
      <c r="W10" s="11"/>
      <c r="X10" s="42" t="s">
        <v>126</v>
      </c>
      <c r="Y10" s="11"/>
      <c r="Z10" s="30" t="s">
        <v>257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4" customFormat="1" collapsed="1" x14ac:dyDescent="0.25">
      <c r="A12" s="11"/>
      <c r="B12" s="29" t="s">
        <v>139</v>
      </c>
      <c r="C12" s="11"/>
      <c r="D12" s="4" t="e">
        <f ca="1">SUM(_xll.OneStop.ReportPlayer.OSRFunctions.OSRRef(D13))</f>
        <v>#NAME?</v>
      </c>
      <c r="E12" s="4"/>
      <c r="F12" s="13"/>
      <c r="G12" s="4"/>
      <c r="H12" s="4" t="e">
        <f ca="1">SUM(_xll.OneStop.ReportPlayer.OSRFunctions.OSRRef(H13))</f>
        <v>#NAME?</v>
      </c>
      <c r="I12" s="4"/>
      <c r="J12" s="13"/>
      <c r="K12" s="4"/>
      <c r="L12" s="4" t="e">
        <f t="shared" ref="L12:L13" ca="1" si="0">+D12-H12</f>
        <v>#NAME?</v>
      </c>
      <c r="M12" s="4"/>
      <c r="N12" s="13" t="e">
        <f t="shared" ref="N12:N13" ca="1" si="1">IF(H12=0,0,L12/H12)</f>
        <v>#NAME?</v>
      </c>
      <c r="O12" s="11"/>
      <c r="P12" s="4" t="e">
        <f ca="1">SUM(_xll.OneStop.ReportPlayer.OSRFunctions.OSRRef(P13))</f>
        <v>#NAME?</v>
      </c>
      <c r="Q12" s="4"/>
      <c r="R12" s="13"/>
      <c r="S12" s="4"/>
      <c r="T12" s="4" t="e">
        <f ca="1">SUM(_xll.OneStop.ReportPlayer.OSRFunctions.OSRRef(T13))</f>
        <v>#NAME?</v>
      </c>
      <c r="U12" s="4"/>
      <c r="V12" s="13"/>
      <c r="W12" s="4"/>
      <c r="X12" s="4" t="e">
        <f t="shared" ref="X12:X13" ca="1" si="2">+P12-T12</f>
        <v>#NAME?</v>
      </c>
      <c r="Y12" s="4"/>
      <c r="Z12" s="13" t="e">
        <f t="shared" ref="Z12:Z13" ca="1" si="3">IF(T12=0,0,X12/T12)</f>
        <v>#NAME?</v>
      </c>
    </row>
    <row r="13" spans="1:26" s="23" customFormat="1" hidden="1" outlineLevel="1" x14ac:dyDescent="0.25">
      <c r="A13" s="44"/>
      <c r="B13" s="10" t="e">
        <f ca="1">CONCATENATE("          ", _xll.OneStop.ReportPlayer.OSRFunctions.OSRGet("d_Account","Code"), " - ", _xll.OneStop.ReportPlayer.OSRFunctions.OSRGet("d_Account","Description"))</f>
        <v>#NAME?</v>
      </c>
      <c r="C13" s="10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0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1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4" customFormat="1" collapsed="1" x14ac:dyDescent="0.25">
      <c r="A15" s="11"/>
      <c r="B15" s="29" t="s">
        <v>256</v>
      </c>
      <c r="C15" s="11"/>
      <c r="D15" s="4" t="e">
        <f ca="1">SUM(_xll.OneStop.ReportPlayer.OSRFunctions.OSRRef(D16))</f>
        <v>#NAME?</v>
      </c>
      <c r="E15" s="4"/>
      <c r="F15" s="13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3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3" t="e">
        <f t="shared" ref="N15:N16" ca="1" si="7">IF(H15=0,0,L15/H15)</f>
        <v>#NAME?</v>
      </c>
      <c r="O15" s="11"/>
      <c r="P15" s="4" t="e">
        <f ca="1">SUM(_xll.OneStop.ReportPlayer.OSRFunctions.OSRRef(P16))</f>
        <v>#NAME?</v>
      </c>
      <c r="Q15" s="4"/>
      <c r="R15" s="13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3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3" t="e">
        <f t="shared" ref="Z15:Z16" ca="1" si="11">IF(T15=0,0,X15/T15)</f>
        <v>#NAME?</v>
      </c>
    </row>
    <row r="16" spans="1:26" s="23" customFormat="1" hidden="1" outlineLevel="1" x14ac:dyDescent="0.25">
      <c r="A16" s="44"/>
      <c r="B16" s="10" t="e">
        <f ca="1">CONCATENATE("          ", _xll.OneStop.ReportPlayer.OSRFunctions.OSRGet("d_Account","Code"), " - ", _xll.OneStop.ReportPlayer.OSRFunctions.OSRGet("d_Account","Description"))</f>
        <v>#NAME?</v>
      </c>
      <c r="C16" s="10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0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1"/>
      <c r="C17" s="11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1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4" customFormat="1" x14ac:dyDescent="0.25">
      <c r="A18" s="11"/>
      <c r="B18" s="28" t="s">
        <v>107</v>
      </c>
      <c r="C18" s="28"/>
      <c r="D18" s="21" t="e">
        <f ca="1">D12-D15</f>
        <v>#NAME?</v>
      </c>
      <c r="E18" s="14"/>
      <c r="F18" s="22" t="e">
        <f ca="1">IF(D$12=0,0,D18/D$12)</f>
        <v>#NAME?</v>
      </c>
      <c r="G18" s="14"/>
      <c r="H18" s="21" t="e">
        <f ca="1">H12-H15</f>
        <v>#NAME?</v>
      </c>
      <c r="I18" s="14"/>
      <c r="J18" s="22" t="e">
        <f ca="1">IF(H$12=0,0,H18/H$12)</f>
        <v>#NAME?</v>
      </c>
      <c r="K18" s="15"/>
      <c r="L18" s="21" t="e">
        <f ca="1">+D18-H18</f>
        <v>#NAME?</v>
      </c>
      <c r="M18" s="15"/>
      <c r="N18" s="22" t="e">
        <f ca="1">IF(H18=0,0,L18/H18)</f>
        <v>#NAME?</v>
      </c>
      <c r="O18" s="29"/>
      <c r="P18" s="21" t="e">
        <f ca="1">P12-P15</f>
        <v>#NAME?</v>
      </c>
      <c r="Q18" s="14"/>
      <c r="R18" s="22" t="e">
        <f ca="1">IF(P$12=0,0,P18/P$12)</f>
        <v>#NAME?</v>
      </c>
      <c r="S18" s="14"/>
      <c r="T18" s="21" t="e">
        <f ca="1">T12-T15</f>
        <v>#NAME?</v>
      </c>
      <c r="U18" s="14"/>
      <c r="V18" s="22" t="e">
        <f ca="1">IF(T$12=0,0,T18/T$12)</f>
        <v>#NAME?</v>
      </c>
      <c r="W18" s="15"/>
      <c r="X18" s="21" t="e">
        <f ca="1">+P18-T18</f>
        <v>#NAME?</v>
      </c>
      <c r="Y18" s="15"/>
      <c r="Z18" s="22" t="e">
        <f ca="1">IF(T18=0,0,X18/T18)</f>
        <v>#NAME?</v>
      </c>
    </row>
    <row r="19" spans="1:26" x14ac:dyDescent="0.25">
      <c r="A19" s="9"/>
      <c r="B19" s="11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4" customFormat="1" x14ac:dyDescent="0.25">
      <c r="A20" s="11"/>
      <c r="B20" s="29" t="s">
        <v>294</v>
      </c>
      <c r="C20" s="11"/>
      <c r="D20" s="20" t="e">
        <f ca="1">SUM(_xll.OneStop.ReportPlayer.OSRFunctions.OSRRef(D22))</f>
        <v>#NAME?</v>
      </c>
      <c r="E20" s="20"/>
      <c r="F20" s="32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2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2" t="e">
        <f t="shared" ref="N20:N22" ca="1" si="15">IF(H20=0,0,L20/H20)</f>
        <v>#NAME?</v>
      </c>
      <c r="O20" s="11"/>
      <c r="P20" s="20" t="e">
        <f ca="1">SUM(_xll.OneStop.ReportPlayer.OSRFunctions.OSRRef(P22))</f>
        <v>#NAME?</v>
      </c>
      <c r="Q20" s="20"/>
      <c r="R20" s="32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2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2" t="e">
        <f t="shared" ref="Z20:Z22" ca="1" si="19">IF(T20=0,0,X20/T20)</f>
        <v>#NAME?</v>
      </c>
    </row>
    <row r="21" spans="1:26" s="27" customFormat="1" outlineLevel="1" collapsed="1" x14ac:dyDescent="0.25">
      <c r="A21" s="26"/>
      <c r="B21" s="12" t="e">
        <f ca="1">CONCATENATE("     ",_xll.OneStop.ReportPlayer.OSRFunctions.OSRGet("d_Account","AccountCategory"))</f>
        <v>#NAME?</v>
      </c>
      <c r="C21" s="12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2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3" customFormat="1" hidden="1" outlineLevel="2" x14ac:dyDescent="0.25">
      <c r="A22" s="25"/>
      <c r="B22" s="10" t="e">
        <f ca="1">CONCATENATE("          ", _xll.OneStop.ReportPlayer.OSRFunctions.OSRGet("d_Account","Code"), " - ", _xll.OneStop.ReportPlayer.OSRFunctions.OSRGet("d_Account","Description"))</f>
        <v>#NAME?</v>
      </c>
      <c r="C22" s="10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0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2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4" customFormat="1" collapsed="1" x14ac:dyDescent="0.25">
      <c r="A24" s="11"/>
      <c r="B24" s="29" t="s">
        <v>292</v>
      </c>
      <c r="C24" s="11"/>
      <c r="D24" s="4" t="e">
        <f ca="1">SUM(_xll.OneStop.ReportPlayer.OSRFunctions.OSRRef(D25))</f>
        <v>#NAME?</v>
      </c>
      <c r="E24" s="4"/>
      <c r="F24" s="13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3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3" t="e">
        <f t="shared" ref="N24:N25" ca="1" si="23">IF(H24=0,0,L24/H24)</f>
        <v>#NAME?</v>
      </c>
      <c r="O24" s="11"/>
      <c r="P24" s="4" t="e">
        <f ca="1">SUM(_xll.OneStop.ReportPlayer.OSRFunctions.OSRRef(P25))</f>
        <v>#NAME?</v>
      </c>
      <c r="Q24" s="4"/>
      <c r="R24" s="13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3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3" t="e">
        <f t="shared" ref="Z24:Z25" ca="1" si="27">IF(T24=0,0,X24/T24)</f>
        <v>#NAME?</v>
      </c>
    </row>
    <row r="25" spans="1:26" s="23" customFormat="1" hidden="1" outlineLevel="1" x14ac:dyDescent="0.25">
      <c r="A25" s="44"/>
      <c r="B25" s="10" t="e">
        <f ca="1">CONCATENATE("          ", _xll.OneStop.ReportPlayer.OSRFunctions.OSRGet("d_Account","Code"), " - ", _xll.OneStop.ReportPlayer.OSRFunctions.OSRGet("d_Account","Description"))</f>
        <v>#NAME?</v>
      </c>
      <c r="C25" s="10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0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1"/>
      <c r="C26" s="11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1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4" customFormat="1" x14ac:dyDescent="0.25">
      <c r="A27" s="11"/>
      <c r="B27" s="28" t="s">
        <v>276</v>
      </c>
      <c r="C27" s="28"/>
      <c r="D27" s="21" t="e">
        <f ca="1">+D18-D20+D24</f>
        <v>#NAME?</v>
      </c>
      <c r="E27" s="14"/>
      <c r="F27" s="22" t="e">
        <f ca="1">IF(D$12=0,0,D27/D$12)</f>
        <v>#NAME?</v>
      </c>
      <c r="G27" s="14"/>
      <c r="H27" s="21" t="e">
        <f ca="1">+H18-H20+H24</f>
        <v>#NAME?</v>
      </c>
      <c r="I27" s="14"/>
      <c r="J27" s="22" t="e">
        <f ca="1">IF(H$12=0,0,H27/H$12)</f>
        <v>#NAME?</v>
      </c>
      <c r="K27" s="15"/>
      <c r="L27" s="21" t="e">
        <f ca="1">+D27-H27</f>
        <v>#NAME?</v>
      </c>
      <c r="M27" s="15"/>
      <c r="N27" s="22" t="e">
        <f ca="1">IF(H27=0,0,L27/H27)</f>
        <v>#NAME?</v>
      </c>
      <c r="O27" s="29"/>
      <c r="P27" s="21" t="e">
        <f ca="1">+P18-P20+P24</f>
        <v>#NAME?</v>
      </c>
      <c r="Q27" s="14"/>
      <c r="R27" s="22" t="e">
        <f ca="1">IF(P$12=0,0,P27/P$12)</f>
        <v>#NAME?</v>
      </c>
      <c r="S27" s="14"/>
      <c r="T27" s="21" t="e">
        <f ca="1">+T18-T20+T24</f>
        <v>#NAME?</v>
      </c>
      <c r="U27" s="14"/>
      <c r="V27" s="22" t="e">
        <f ca="1">IF(T$12=0,0,T27/T$12)</f>
        <v>#NAME?</v>
      </c>
      <c r="W27" s="15"/>
      <c r="X27" s="21" t="e">
        <f ca="1">+P27-T27</f>
        <v>#NAME?</v>
      </c>
      <c r="Y27" s="15"/>
      <c r="Z27" s="22" t="e">
        <f ca="1">IF(T27=0,0,X27/T27)</f>
        <v>#NAME?</v>
      </c>
    </row>
    <row r="28" spans="1:26" x14ac:dyDescent="0.25">
      <c r="A28" s="9"/>
      <c r="B28" s="11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4" customFormat="1" x14ac:dyDescent="0.25">
      <c r="A29" s="51"/>
      <c r="B29" s="11" t="s">
        <v>127</v>
      </c>
      <c r="C29" s="11"/>
      <c r="D29" s="4" t="e">
        <f ca="1">_xll.OneStop.ReportPlayer.OSRFunctions.OSRGet("GL_F_Trans","Value1")</f>
        <v>#NAME?</v>
      </c>
      <c r="E29" s="4"/>
      <c r="F29" s="13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3" t="e">
        <f ca="1">IF(H$12=0,0,H29/H$12)</f>
        <v>#NAME?</v>
      </c>
      <c r="K29" s="4"/>
      <c r="L29" s="4" t="e">
        <f ca="1">+D29-H29</f>
        <v>#NAME?</v>
      </c>
      <c r="M29" s="4"/>
      <c r="N29" s="13" t="e">
        <f ca="1">IF(H29=0,0,L29/H29)</f>
        <v>#NAME?</v>
      </c>
      <c r="O29" s="11"/>
      <c r="P29" s="4" t="e">
        <f ca="1">_xll.OneStop.ReportPlayer.OSRFunctions.OSRGet("GL_F_Trans","Value1")</f>
        <v>#NAME?</v>
      </c>
      <c r="Q29" s="4"/>
      <c r="R29" s="13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3" t="e">
        <f ca="1">IF(T$12=0,0,T29/T$12)</f>
        <v>#NAME?</v>
      </c>
      <c r="W29" s="4"/>
      <c r="X29" s="4" t="e">
        <f ca="1">+P29-T29</f>
        <v>#NAME?</v>
      </c>
      <c r="Y29" s="4"/>
      <c r="Z29" s="13" t="e">
        <f ca="1">IF(T29=0,0,X29/T29)</f>
        <v>#NAME?</v>
      </c>
    </row>
    <row r="30" spans="1:26" x14ac:dyDescent="0.25">
      <c r="A30" s="9"/>
      <c r="B30" s="11"/>
      <c r="C30" s="11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1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4" customFormat="1" ht="15.75" thickBot="1" x14ac:dyDescent="0.3">
      <c r="A31" s="11"/>
      <c r="B31" s="28" t="s">
        <v>125</v>
      </c>
      <c r="C31" s="28"/>
      <c r="D31" s="34" t="e">
        <f ca="1">+D27-D29</f>
        <v>#NAME?</v>
      </c>
      <c r="E31" s="14"/>
      <c r="F31" s="31" t="e">
        <f ca="1">IF(D$12=0,0,D31/D$12)</f>
        <v>#NAME?</v>
      </c>
      <c r="G31" s="14"/>
      <c r="H31" s="34" t="e">
        <f ca="1">+H27-H29</f>
        <v>#NAME?</v>
      </c>
      <c r="I31" s="14"/>
      <c r="J31" s="31" t="e">
        <f ca="1">IF(H$12=0,0,H31/H$12)</f>
        <v>#NAME?</v>
      </c>
      <c r="K31" s="15"/>
      <c r="L31" s="34" t="e">
        <f ca="1">D31-H31</f>
        <v>#NAME?</v>
      </c>
      <c r="M31" s="15"/>
      <c r="N31" s="31" t="e">
        <f ca="1">IF(H31=0,0,L31/H31)</f>
        <v>#NAME?</v>
      </c>
      <c r="O31" s="29"/>
      <c r="P31" s="34" t="e">
        <f ca="1">+P27-P29</f>
        <v>#NAME?</v>
      </c>
      <c r="Q31" s="14"/>
      <c r="R31" s="31" t="e">
        <f ca="1">IF(P$12=0,0,P31/P$12)</f>
        <v>#NAME?</v>
      </c>
      <c r="S31" s="14"/>
      <c r="T31" s="34" t="e">
        <f ca="1">+T27-T29</f>
        <v>#NAME?</v>
      </c>
      <c r="U31" s="14"/>
      <c r="V31" s="31" t="e">
        <f ca="1">IF(T$12=0,0,T31/T$12)</f>
        <v>#NAME?</v>
      </c>
      <c r="W31" s="15"/>
      <c r="X31" s="34" t="e">
        <f ca="1">P31-T31</f>
        <v>#NAME?</v>
      </c>
      <c r="Y31" s="15"/>
      <c r="Z31" s="31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4" customFormat="1" x14ac:dyDescent="0.25">
      <c r="A33" s="51"/>
      <c r="B33" s="11" t="s">
        <v>183</v>
      </c>
      <c r="C33" s="11"/>
      <c r="D33" s="4" t="e">
        <f ca="1">-_xll.OneStop.ReportPlayer.OSRFunctions.OSRGet("GL_F_Trans","Value1")</f>
        <v>#NAME?</v>
      </c>
      <c r="E33" s="4"/>
      <c r="F33" s="13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3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3" t="e">
        <f t="shared" ref="N33:N34" ca="1" si="31">IF(H33=0,0,L33/H33)</f>
        <v>#NAME?</v>
      </c>
      <c r="O33" s="11"/>
      <c r="P33" s="4" t="e">
        <f ca="1">-_xll.OneStop.ReportPlayer.OSRFunctions.OSRGet("GL_F_Trans","Value1")</f>
        <v>#NAME?</v>
      </c>
      <c r="Q33" s="4"/>
      <c r="R33" s="13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3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3" t="e">
        <f t="shared" ref="Z33:Z34" ca="1" si="35">IF(T33=0,0,X33/T33)</f>
        <v>#NAME?</v>
      </c>
    </row>
    <row r="34" spans="1:26" s="24" customFormat="1" x14ac:dyDescent="0.25">
      <c r="A34" s="51"/>
      <c r="B34" s="11" t="s">
        <v>81</v>
      </c>
      <c r="C34" s="11"/>
      <c r="D34" s="4" t="e">
        <f ca="1">-_xll.OneStop.ReportPlayer.OSRFunctions.OSRGet("GL_F_Trans","Value1")</f>
        <v>#NAME?</v>
      </c>
      <c r="E34" s="4"/>
      <c r="F34" s="13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3" t="e">
        <f t="shared" ca="1" si="29"/>
        <v>#NAME?</v>
      </c>
      <c r="K34" s="4"/>
      <c r="L34" s="4" t="e">
        <f t="shared" ca="1" si="30"/>
        <v>#NAME?</v>
      </c>
      <c r="M34" s="4"/>
      <c r="N34" s="13" t="e">
        <f t="shared" ca="1" si="31"/>
        <v>#NAME?</v>
      </c>
      <c r="O34" s="11"/>
      <c r="P34" s="4" t="e">
        <f ca="1">-_xll.OneStop.ReportPlayer.OSRFunctions.OSRGet("GL_F_Trans","Value1")</f>
        <v>#NAME?</v>
      </c>
      <c r="Q34" s="4"/>
      <c r="R34" s="13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3" t="e">
        <f t="shared" ca="1" si="33"/>
        <v>#NAME?</v>
      </c>
      <c r="W34" s="4"/>
      <c r="X34" s="4" t="e">
        <f t="shared" ca="1" si="34"/>
        <v>#NAME?</v>
      </c>
      <c r="Y34" s="4"/>
      <c r="Z34" s="13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4" customFormat="1" ht="15.75" thickBot="1" x14ac:dyDescent="0.3">
      <c r="A36" s="11"/>
      <c r="B36" s="28" t="s">
        <v>293</v>
      </c>
      <c r="C36" s="28"/>
      <c r="D36" s="33" t="e">
        <f ca="1">SUM(D31:D35)</f>
        <v>#NAME?</v>
      </c>
      <c r="E36" s="14"/>
      <c r="F36" s="35" t="e">
        <f ca="1">IF(D$12=0,0,D36/D$12)</f>
        <v>#NAME?</v>
      </c>
      <c r="G36" s="14"/>
      <c r="H36" s="33" t="e">
        <f ca="1">SUM(H31:H35)</f>
        <v>#NAME?</v>
      </c>
      <c r="I36" s="14"/>
      <c r="J36" s="35" t="e">
        <f ca="1">IF(H$12=0,0,H36/H$12)</f>
        <v>#NAME?</v>
      </c>
      <c r="K36" s="15"/>
      <c r="L36" s="33" t="e">
        <f ca="1">+D36-H36</f>
        <v>#NAME?</v>
      </c>
      <c r="M36" s="15"/>
      <c r="N36" s="35" t="e">
        <f ca="1">IF(H36=0,0,L36/H36)</f>
        <v>#NAME?</v>
      </c>
      <c r="O36" s="29"/>
      <c r="P36" s="33" t="e">
        <f ca="1">SUM(P31:P35)</f>
        <v>#NAME?</v>
      </c>
      <c r="Q36" s="14"/>
      <c r="R36" s="35" t="e">
        <f ca="1">IF(P$12=0,0,P36/P$12)</f>
        <v>#NAME?</v>
      </c>
      <c r="S36" s="14"/>
      <c r="T36" s="33" t="e">
        <f ca="1">SUM(T31:T35)</f>
        <v>#NAME?</v>
      </c>
      <c r="U36" s="14"/>
      <c r="V36" s="35" t="e">
        <f ca="1">IF(T$12=0,0,T36/T$12)</f>
        <v>#NAME?</v>
      </c>
      <c r="W36" s="15"/>
      <c r="X36" s="33" t="e">
        <f ca="1">+P36-T36</f>
        <v>#NAME?</v>
      </c>
      <c r="Y36" s="15"/>
      <c r="Z36" s="35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56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55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60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>
    <tabColor rgb="FF92D050"/>
    <outlinePr summaryBelow="0" summaryRight="0"/>
  </sheetPr>
  <dimension ref="A2:Z39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1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62" t="s">
        <v>23</v>
      </c>
    </row>
    <row r="3" spans="1:26" x14ac:dyDescent="0.25">
      <c r="D3" s="62" t="s">
        <v>236</v>
      </c>
      <c r="E3" s="17"/>
      <c r="F3" s="46"/>
      <c r="G3" s="17"/>
      <c r="H3" s="17"/>
      <c r="I3" s="17"/>
      <c r="J3" s="38"/>
      <c r="K3" s="17"/>
      <c r="L3" s="17"/>
      <c r="M3" s="17"/>
      <c r="N3" s="46"/>
      <c r="O3" s="53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2" t="str">
        <f>CONCATENATE("Period ",RIGHT(202112,2),", ",2021)</f>
        <v>Period 12, 2021</v>
      </c>
      <c r="E4" s="17"/>
      <c r="F4" s="46"/>
      <c r="G4" s="17"/>
      <c r="H4" s="17"/>
      <c r="I4" s="17"/>
      <c r="J4" s="38"/>
      <c r="K4" s="17"/>
      <c r="L4" s="17"/>
      <c r="M4" s="17"/>
      <c r="N4" s="46"/>
      <c r="O4" s="53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4"/>
      <c r="D5" s="63">
        <v>44377</v>
      </c>
      <c r="E5" s="17"/>
      <c r="F5" s="46"/>
      <c r="G5" s="17"/>
      <c r="H5" s="17"/>
      <c r="I5" s="17"/>
      <c r="J5" s="38"/>
      <c r="K5" s="17"/>
      <c r="L5" s="17"/>
      <c r="M5" s="17"/>
      <c r="N5" s="46"/>
      <c r="O5" s="53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4"/>
      <c r="B6" s="48"/>
      <c r="C6" s="48"/>
      <c r="D6" s="24" t="str">
        <f>CONCATENATE("Department ","324", " - ", "Textbook Rental")</f>
        <v>Department 324 - Textbook Rental</v>
      </c>
      <c r="E6" s="17"/>
      <c r="F6" s="46"/>
      <c r="G6" s="17"/>
      <c r="H6" s="17"/>
      <c r="I6" s="17"/>
      <c r="J6" s="38"/>
      <c r="K6" s="17"/>
      <c r="L6" s="17"/>
      <c r="M6" s="17"/>
      <c r="N6" s="46"/>
      <c r="O6" s="54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9"/>
    </row>
    <row r="8" spans="1:26" x14ac:dyDescent="0.25">
      <c r="B8" s="59"/>
    </row>
    <row r="9" spans="1:26" x14ac:dyDescent="0.25">
      <c r="B9" s="9"/>
      <c r="C9" s="9"/>
      <c r="D9" s="16" t="s">
        <v>291</v>
      </c>
      <c r="E9" s="16"/>
      <c r="F9" s="39"/>
      <c r="G9" s="16"/>
      <c r="H9" s="16"/>
      <c r="I9" s="16"/>
      <c r="J9" s="49"/>
      <c r="K9" s="16"/>
      <c r="L9" s="16"/>
      <c r="M9" s="16"/>
      <c r="N9" s="39"/>
      <c r="P9" s="16" t="s">
        <v>39</v>
      </c>
      <c r="Q9" s="16"/>
      <c r="R9" s="39"/>
      <c r="S9" s="16"/>
      <c r="T9" s="16"/>
      <c r="U9" s="16"/>
      <c r="V9" s="49"/>
      <c r="W9" s="16"/>
      <c r="X9" s="16"/>
      <c r="Y9" s="16"/>
      <c r="Z9" s="39"/>
    </row>
    <row r="10" spans="1:26" x14ac:dyDescent="0.25">
      <c r="A10" s="11"/>
      <c r="B10" s="58"/>
      <c r="C10" s="11"/>
      <c r="D10" s="42" t="s">
        <v>57</v>
      </c>
      <c r="E10" s="36"/>
      <c r="F10" s="30" t="s">
        <v>40</v>
      </c>
      <c r="G10" s="36"/>
      <c r="H10" s="50" t="s">
        <v>237</v>
      </c>
      <c r="I10" s="36"/>
      <c r="J10" s="30" t="s">
        <v>40</v>
      </c>
      <c r="K10" s="11"/>
      <c r="L10" s="42" t="s">
        <v>126</v>
      </c>
      <c r="M10" s="11"/>
      <c r="N10" s="30" t="s">
        <v>257</v>
      </c>
      <c r="O10" s="11"/>
      <c r="P10" s="61" t="s">
        <v>57</v>
      </c>
      <c r="Q10" s="36"/>
      <c r="R10" s="30" t="s">
        <v>40</v>
      </c>
      <c r="S10" s="36"/>
      <c r="T10" s="50" t="s">
        <v>237</v>
      </c>
      <c r="U10" s="36"/>
      <c r="V10" s="30" t="s">
        <v>40</v>
      </c>
      <c r="W10" s="11"/>
      <c r="X10" s="42" t="s">
        <v>126</v>
      </c>
      <c r="Y10" s="11"/>
      <c r="Z10" s="30" t="s">
        <v>257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4" customFormat="1" collapsed="1" x14ac:dyDescent="0.25">
      <c r="A12" s="11"/>
      <c r="B12" s="29" t="s">
        <v>139</v>
      </c>
      <c r="C12" s="11"/>
      <c r="D12" s="4">
        <f>SUM(OSRRefD13x_0)</f>
        <v>-6490.3100000000013</v>
      </c>
      <c r="E12" s="4"/>
      <c r="F12" s="13"/>
      <c r="G12" s="4"/>
      <c r="H12" s="4">
        <f>SUM(OSRRefH13x_0)</f>
        <v>5217.6700000000019</v>
      </c>
      <c r="I12" s="4"/>
      <c r="J12" s="13"/>
      <c r="K12" s="4"/>
      <c r="L12" s="4">
        <f t="shared" ref="L12:L15" si="0">+D12-H12</f>
        <v>-11707.980000000003</v>
      </c>
      <c r="M12" s="4"/>
      <c r="N12" s="13">
        <f t="shared" ref="N12:N15" si="1">IF(H12=0,0,L12/H12)</f>
        <v>-2.2439096378268459</v>
      </c>
      <c r="O12" s="11"/>
      <c r="P12" s="4">
        <f>SUM(OSRRefP13x_0)</f>
        <v>770695.04</v>
      </c>
      <c r="Q12" s="4"/>
      <c r="R12" s="13"/>
      <c r="S12" s="4"/>
      <c r="T12" s="4">
        <f>SUM(OSRRefT13x_0)</f>
        <v>1603057.4300000002</v>
      </c>
      <c r="U12" s="4"/>
      <c r="V12" s="13"/>
      <c r="W12" s="4"/>
      <c r="X12" s="4">
        <f t="shared" ref="X12:X15" si="2">+P12-T12</f>
        <v>-832362.39000000013</v>
      </c>
      <c r="Y12" s="4"/>
      <c r="Z12" s="13">
        <f t="shared" ref="Z12:Z15" si="3">IF(T12=0,0,X12/T12)</f>
        <v>-0.51923429218627559</v>
      </c>
    </row>
    <row r="13" spans="1:26" s="23" customFormat="1" hidden="1" outlineLevel="1" x14ac:dyDescent="0.25">
      <c r="A13" s="44"/>
      <c r="B13" s="10" t="str">
        <f>CONCATENATE("          ", "4001", " - ", "TAXABLE SALES-NEW TEXT")</f>
        <v xml:space="preserve">          4001 - TAXABLE SALES-NEW TEXT</v>
      </c>
      <c r="C13" s="10"/>
      <c r="D13" s="2">
        <f>--4340.19</f>
        <v>4340.1899999999996</v>
      </c>
      <c r="E13" s="2"/>
      <c r="F13" s="19"/>
      <c r="G13" s="2"/>
      <c r="H13" s="2">
        <f>--9216.29</f>
        <v>9216.2900000000009</v>
      </c>
      <c r="I13" s="2"/>
      <c r="J13" s="19"/>
      <c r="K13" s="2"/>
      <c r="L13" s="2">
        <f t="shared" si="0"/>
        <v>-4876.1000000000013</v>
      </c>
      <c r="M13" s="2"/>
      <c r="N13" s="19">
        <f t="shared" si="1"/>
        <v>-0.52907406342465357</v>
      </c>
      <c r="O13" s="10"/>
      <c r="P13" s="2">
        <f>--274186.86</f>
        <v>274186.86</v>
      </c>
      <c r="Q13" s="2"/>
      <c r="R13" s="19"/>
      <c r="S13" s="2"/>
      <c r="T13" s="2">
        <f>--430446.14</f>
        <v>430446.14</v>
      </c>
      <c r="U13" s="2"/>
      <c r="V13" s="19"/>
      <c r="W13" s="2"/>
      <c r="X13" s="2">
        <f t="shared" si="2"/>
        <v>-156259.28000000003</v>
      </c>
      <c r="Y13" s="2"/>
      <c r="Z13" s="19">
        <f t="shared" si="3"/>
        <v>-0.36301703158495052</v>
      </c>
    </row>
    <row r="14" spans="1:26" s="23" customFormat="1" hidden="1" outlineLevel="1" x14ac:dyDescent="0.25">
      <c r="A14" s="44"/>
      <c r="B14" s="10" t="str">
        <f>CONCATENATE("          ", "4002", " - ", "TAXABLE SALES-USED TEXT")</f>
        <v xml:space="preserve">          4002 - TAXABLE SALES-USED TEXT</v>
      </c>
      <c r="C14" s="10"/>
      <c r="D14" s="2">
        <f>--3656.7</f>
        <v>3656.7</v>
      </c>
      <c r="E14" s="2"/>
      <c r="F14" s="19"/>
      <c r="G14" s="2"/>
      <c r="H14" s="2">
        <f>--12201.9</f>
        <v>12201.9</v>
      </c>
      <c r="I14" s="2"/>
      <c r="J14" s="19"/>
      <c r="K14" s="2"/>
      <c r="L14" s="2">
        <f t="shared" si="0"/>
        <v>-8545.2000000000007</v>
      </c>
      <c r="M14" s="2"/>
      <c r="N14" s="19">
        <f t="shared" si="1"/>
        <v>-0.70031716372040431</v>
      </c>
      <c r="O14" s="10"/>
      <c r="P14" s="2">
        <f>--233610.4</f>
        <v>233610.4</v>
      </c>
      <c r="Q14" s="2"/>
      <c r="R14" s="19"/>
      <c r="S14" s="2"/>
      <c r="T14" s="2">
        <f>--581364.79</f>
        <v>581364.79</v>
      </c>
      <c r="U14" s="2"/>
      <c r="V14" s="19"/>
      <c r="W14" s="2"/>
      <c r="X14" s="2">
        <f t="shared" si="2"/>
        <v>-347754.39</v>
      </c>
      <c r="Y14" s="2"/>
      <c r="Z14" s="19">
        <f t="shared" si="3"/>
        <v>-0.59816899127998446</v>
      </c>
    </row>
    <row r="15" spans="1:26" s="23" customFormat="1" hidden="1" outlineLevel="1" x14ac:dyDescent="0.25">
      <c r="A15" s="44"/>
      <c r="B15" s="10" t="str">
        <f>CONCATENATE("          ", "4100", " - ", "NON-TAXABLE SALES")</f>
        <v xml:space="preserve">          4100 - NON-TAXABLE SALES</v>
      </c>
      <c r="C15" s="10"/>
      <c r="D15" s="2">
        <f>-14487.2</f>
        <v>-14487.2</v>
      </c>
      <c r="E15" s="2"/>
      <c r="F15" s="19"/>
      <c r="G15" s="2"/>
      <c r="H15" s="2">
        <f>-16200.52</f>
        <v>-16200.52</v>
      </c>
      <c r="I15" s="2"/>
      <c r="J15" s="19"/>
      <c r="K15" s="2"/>
      <c r="L15" s="2">
        <f t="shared" si="0"/>
        <v>1713.3199999999997</v>
      </c>
      <c r="M15" s="2"/>
      <c r="N15" s="19">
        <f t="shared" si="1"/>
        <v>-0.10575709915484192</v>
      </c>
      <c r="O15" s="10"/>
      <c r="P15" s="2">
        <f>--262897.78</f>
        <v>262897.78000000003</v>
      </c>
      <c r="Q15" s="2"/>
      <c r="R15" s="19"/>
      <c r="S15" s="2"/>
      <c r="T15" s="2">
        <f>--591246.5</f>
        <v>591246.5</v>
      </c>
      <c r="U15" s="2"/>
      <c r="V15" s="19"/>
      <c r="W15" s="2"/>
      <c r="X15" s="2">
        <f t="shared" si="2"/>
        <v>-328348.71999999997</v>
      </c>
      <c r="Y15" s="2"/>
      <c r="Z15" s="19">
        <f t="shared" si="3"/>
        <v>-0.55534995978834545</v>
      </c>
    </row>
    <row r="16" spans="1:26" x14ac:dyDescent="0.25">
      <c r="A16" s="9"/>
      <c r="B16" s="11"/>
      <c r="C16" s="9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4" customFormat="1" collapsed="1" x14ac:dyDescent="0.25">
      <c r="A17" s="11"/>
      <c r="B17" s="29" t="s">
        <v>256</v>
      </c>
      <c r="C17" s="11"/>
      <c r="D17" s="4">
        <f>SUM(OSRRefD16x_0)</f>
        <v>0</v>
      </c>
      <c r="E17" s="4"/>
      <c r="F17" s="13">
        <f t="shared" ref="F17:F19" si="4">IF(D$12=0,0,D17/D$12)</f>
        <v>0</v>
      </c>
      <c r="G17" s="4"/>
      <c r="H17" s="4">
        <f>SUM(OSRRefH16x_0)</f>
        <v>1359.76</v>
      </c>
      <c r="I17" s="4"/>
      <c r="J17" s="13">
        <f t="shared" ref="J17:J19" si="5">IF(H$12=0,0,H17/H$12)</f>
        <v>0.26060674592298849</v>
      </c>
      <c r="K17" s="4"/>
      <c r="L17" s="4">
        <f t="shared" ref="L17:L19" si="6">+D17-H17</f>
        <v>-1359.76</v>
      </c>
      <c r="M17" s="4"/>
      <c r="N17" s="13">
        <f t="shared" ref="N17:N19" si="7">IF(H17=0,0,L17/H17)</f>
        <v>-1</v>
      </c>
      <c r="O17" s="11"/>
      <c r="P17" s="4">
        <f>SUM(OSRRefP16x_0)</f>
        <v>550555.76</v>
      </c>
      <c r="Q17" s="4"/>
      <c r="R17" s="13">
        <f t="shared" ref="R17:R19" si="8">IF(P$12=0,0,P17/P$12)</f>
        <v>0.71436266152692507</v>
      </c>
      <c r="S17" s="4"/>
      <c r="T17" s="4">
        <f>SUM(OSRRefT16x_0)</f>
        <v>1175860.3800000001</v>
      </c>
      <c r="U17" s="4"/>
      <c r="V17" s="13">
        <f t="shared" ref="V17:V19" si="9">IF(T$12=0,0,T17/T$12)</f>
        <v>0.73351107576975583</v>
      </c>
      <c r="W17" s="4"/>
      <c r="X17" s="4">
        <f t="shared" ref="X17:X19" si="10">+P17-T17</f>
        <v>-625304.62000000011</v>
      </c>
      <c r="Y17" s="4"/>
      <c r="Z17" s="13">
        <f t="shared" ref="Z17:Z19" si="11">IF(T17=0,0,X17/T17)</f>
        <v>-0.53178475151956395</v>
      </c>
    </row>
    <row r="18" spans="1:26" s="23" customFormat="1" hidden="1" outlineLevel="1" x14ac:dyDescent="0.25">
      <c r="A18" s="44"/>
      <c r="B18" s="10" t="str">
        <f>CONCATENATE("          ", "5001", " - ", "PURCHASES @ COST-NEW TEXT")</f>
        <v xml:space="preserve">          5001 - PURCHASES @ COST-NEW TEXT</v>
      </c>
      <c r="C18" s="10"/>
      <c r="D18" s="2"/>
      <c r="E18" s="2"/>
      <c r="F18" s="19">
        <f t="shared" si="4"/>
        <v>0</v>
      </c>
      <c r="G18" s="2"/>
      <c r="H18" s="2">
        <v>1359.76</v>
      </c>
      <c r="I18" s="2"/>
      <c r="J18" s="19">
        <f t="shared" si="5"/>
        <v>0.26060674592298849</v>
      </c>
      <c r="K18" s="2"/>
      <c r="L18" s="2">
        <f t="shared" si="6"/>
        <v>-1359.76</v>
      </c>
      <c r="M18" s="2"/>
      <c r="N18" s="19">
        <f t="shared" si="7"/>
        <v>-1</v>
      </c>
      <c r="O18" s="10"/>
      <c r="P18" s="2">
        <v>305344.96999999997</v>
      </c>
      <c r="Q18" s="2"/>
      <c r="R18" s="19">
        <f t="shared" si="8"/>
        <v>0.39619428457720446</v>
      </c>
      <c r="S18" s="2"/>
      <c r="T18" s="2">
        <v>488743.96</v>
      </c>
      <c r="U18" s="2"/>
      <c r="V18" s="19">
        <f t="shared" si="9"/>
        <v>0.30488237717097882</v>
      </c>
      <c r="W18" s="2"/>
      <c r="X18" s="2">
        <f t="shared" si="10"/>
        <v>-183398.99000000005</v>
      </c>
      <c r="Y18" s="2"/>
      <c r="Z18" s="19">
        <f t="shared" si="11"/>
        <v>-0.37524553756122131</v>
      </c>
    </row>
    <row r="19" spans="1:26" s="23" customFormat="1" hidden="1" outlineLevel="1" x14ac:dyDescent="0.25">
      <c r="A19" s="44"/>
      <c r="B19" s="10" t="str">
        <f>CONCATENATE("          ", "5002", " - ", "PURCHASES @ COST-USED TEXT")</f>
        <v xml:space="preserve">          5002 - PURCHASES @ COST-USED TEXT</v>
      </c>
      <c r="C19" s="10"/>
      <c r="D19" s="2"/>
      <c r="E19" s="2"/>
      <c r="F19" s="19">
        <f t="shared" si="4"/>
        <v>0</v>
      </c>
      <c r="G19" s="2"/>
      <c r="H19" s="2"/>
      <c r="I19" s="2"/>
      <c r="J19" s="19">
        <f t="shared" si="5"/>
        <v>0</v>
      </c>
      <c r="K19" s="2"/>
      <c r="L19" s="2">
        <f t="shared" si="6"/>
        <v>0</v>
      </c>
      <c r="M19" s="2"/>
      <c r="N19" s="19">
        <f t="shared" si="7"/>
        <v>0</v>
      </c>
      <c r="O19" s="10"/>
      <c r="P19" s="2">
        <v>245210.79</v>
      </c>
      <c r="Q19" s="2"/>
      <c r="R19" s="19">
        <f t="shared" si="8"/>
        <v>0.31816837694972061</v>
      </c>
      <c r="S19" s="2"/>
      <c r="T19" s="2">
        <v>687116.42</v>
      </c>
      <c r="U19" s="2"/>
      <c r="V19" s="19">
        <f t="shared" si="9"/>
        <v>0.42862869859877695</v>
      </c>
      <c r="W19" s="2"/>
      <c r="X19" s="2">
        <f t="shared" si="10"/>
        <v>-441905.63</v>
      </c>
      <c r="Y19" s="2"/>
      <c r="Z19" s="19">
        <f t="shared" si="11"/>
        <v>-0.64313065026156702</v>
      </c>
    </row>
    <row r="20" spans="1:26" x14ac:dyDescent="0.25">
      <c r="A20" s="9"/>
      <c r="B20" s="11"/>
      <c r="C20" s="11"/>
      <c r="D20" s="3"/>
      <c r="E20" s="3"/>
      <c r="F20" s="8"/>
      <c r="G20" s="3"/>
      <c r="H20" s="3"/>
      <c r="I20" s="3"/>
      <c r="J20" s="8"/>
      <c r="K20" s="3"/>
      <c r="L20" s="3"/>
      <c r="M20" s="3"/>
      <c r="N20" s="8"/>
      <c r="O20" s="11"/>
      <c r="P20" s="3"/>
      <c r="Q20" s="3"/>
      <c r="R20" s="8"/>
      <c r="S20" s="3"/>
      <c r="T20" s="3"/>
      <c r="U20" s="3"/>
      <c r="V20" s="8"/>
      <c r="W20" s="3"/>
      <c r="X20" s="3"/>
      <c r="Y20" s="3"/>
      <c r="Z20" s="8"/>
    </row>
    <row r="21" spans="1:26" s="24" customFormat="1" x14ac:dyDescent="0.25">
      <c r="A21" s="11"/>
      <c r="B21" s="28" t="s">
        <v>107</v>
      </c>
      <c r="C21" s="28"/>
      <c r="D21" s="21">
        <f>D12-D17</f>
        <v>-6490.3100000000013</v>
      </c>
      <c r="E21" s="14"/>
      <c r="F21" s="22">
        <f>IF(D$12=0,0,D21/D$12)</f>
        <v>1</v>
      </c>
      <c r="G21" s="14"/>
      <c r="H21" s="21">
        <f>H12-H17</f>
        <v>3857.9100000000017</v>
      </c>
      <c r="I21" s="14"/>
      <c r="J21" s="22">
        <f>IF(H$12=0,0,H21/H$12)</f>
        <v>0.7393932540770114</v>
      </c>
      <c r="K21" s="15"/>
      <c r="L21" s="21">
        <f>+D21-H21</f>
        <v>-10348.220000000003</v>
      </c>
      <c r="M21" s="15"/>
      <c r="N21" s="22">
        <f>IF(H21=0,0,L21/H21)</f>
        <v>-2.682338364554901</v>
      </c>
      <c r="O21" s="29"/>
      <c r="P21" s="21">
        <f>P12-P17</f>
        <v>220139.28000000003</v>
      </c>
      <c r="Q21" s="14"/>
      <c r="R21" s="22">
        <f>IF(P$12=0,0,P21/P$12)</f>
        <v>0.28563733847307493</v>
      </c>
      <c r="S21" s="14"/>
      <c r="T21" s="21">
        <f>T12-T17</f>
        <v>427197.05000000005</v>
      </c>
      <c r="U21" s="14"/>
      <c r="V21" s="22">
        <f>IF(T$12=0,0,T21/T$12)</f>
        <v>0.26648892423024423</v>
      </c>
      <c r="W21" s="15"/>
      <c r="X21" s="21">
        <f>+P21-T21</f>
        <v>-207057.77000000002</v>
      </c>
      <c r="Y21" s="15"/>
      <c r="Z21" s="22">
        <f>IF(T21=0,0,X21/T21)</f>
        <v>-0.48468913818576226</v>
      </c>
    </row>
    <row r="22" spans="1:26" x14ac:dyDescent="0.25">
      <c r="A22" s="9"/>
      <c r="B22" s="11"/>
      <c r="C22" s="9"/>
      <c r="D22" s="1"/>
      <c r="E22" s="1"/>
      <c r="F22" s="5"/>
      <c r="G22" s="1"/>
      <c r="H22" s="1"/>
      <c r="I22" s="1"/>
      <c r="J22" s="5"/>
      <c r="K22" s="1"/>
      <c r="L22" s="1"/>
      <c r="M22" s="1"/>
      <c r="N22" s="5"/>
      <c r="O22" s="37"/>
      <c r="P22" s="1"/>
      <c r="Q22" s="1"/>
      <c r="R22" s="5"/>
      <c r="S22" s="1"/>
      <c r="T22" s="1"/>
      <c r="U22" s="1"/>
      <c r="V22" s="5"/>
      <c r="W22" s="1"/>
      <c r="X22" s="1"/>
      <c r="Y22" s="1"/>
      <c r="Z22" s="5"/>
    </row>
    <row r="23" spans="1:26" s="24" customFormat="1" x14ac:dyDescent="0.25">
      <c r="A23" s="11"/>
      <c r="B23" s="29" t="s">
        <v>294</v>
      </c>
      <c r="C23" s="11"/>
      <c r="D23" s="20">
        <f>SUM(0)</f>
        <v>0</v>
      </c>
      <c r="E23" s="20"/>
      <c r="F23" s="32">
        <f>IF(D$12=0,0,D23/D$12)</f>
        <v>0</v>
      </c>
      <c r="G23" s="20"/>
      <c r="H23" s="20">
        <f>SUM(0)</f>
        <v>0</v>
      </c>
      <c r="I23" s="20"/>
      <c r="J23" s="32">
        <f>IF(H$12=0,0,H23/H$12)</f>
        <v>0</v>
      </c>
      <c r="K23" s="4"/>
      <c r="L23" s="20">
        <f>+D23-H23</f>
        <v>0</v>
      </c>
      <c r="M23" s="4"/>
      <c r="N23" s="32">
        <f>IF(H23=0,0,L23/H23)</f>
        <v>0</v>
      </c>
      <c r="O23" s="11"/>
      <c r="P23" s="20">
        <f>SUM(0)</f>
        <v>0</v>
      </c>
      <c r="Q23" s="20"/>
      <c r="R23" s="32">
        <f>IF(P$12=0,0,P23/P$12)</f>
        <v>0</v>
      </c>
      <c r="S23" s="20"/>
      <c r="T23" s="20">
        <f>SUM(0)</f>
        <v>0</v>
      </c>
      <c r="U23" s="20"/>
      <c r="V23" s="32">
        <f>IF(T$12=0,0,T23/T$12)</f>
        <v>0</v>
      </c>
      <c r="W23" s="4"/>
      <c r="X23" s="20">
        <f>+P23-T23</f>
        <v>0</v>
      </c>
      <c r="Y23" s="4"/>
      <c r="Z23" s="32">
        <f>IF(T23=0,0,X23/T23)</f>
        <v>0</v>
      </c>
    </row>
    <row r="24" spans="1:26" s="52" customFormat="1" x14ac:dyDescent="0.25">
      <c r="A24" s="37"/>
      <c r="B24" s="37"/>
      <c r="C24" s="37"/>
      <c r="D24" s="1"/>
      <c r="E24" s="1"/>
      <c r="F24" s="5"/>
      <c r="G24" s="1"/>
      <c r="H24" s="1"/>
      <c r="I24" s="1"/>
      <c r="J24" s="5"/>
      <c r="K24" s="1"/>
      <c r="L24" s="1"/>
      <c r="M24" s="1"/>
      <c r="N24" s="5"/>
      <c r="O24" s="37"/>
      <c r="P24" s="1"/>
      <c r="Q24" s="1"/>
      <c r="R24" s="5"/>
      <c r="S24" s="1"/>
      <c r="T24" s="1"/>
      <c r="U24" s="1"/>
      <c r="V24" s="5"/>
      <c r="W24" s="1"/>
      <c r="X24" s="1"/>
      <c r="Y24" s="1"/>
      <c r="Z24" s="5"/>
    </row>
    <row r="25" spans="1:26" s="24" customFormat="1" x14ac:dyDescent="0.25">
      <c r="A25" s="11"/>
      <c r="B25" s="29" t="s">
        <v>292</v>
      </c>
      <c r="C25" s="11"/>
      <c r="D25" s="4">
        <f>SUM(0)</f>
        <v>0</v>
      </c>
      <c r="E25" s="4"/>
      <c r="F25" s="13">
        <f>IF(D$12=0,0,D25/D$12)</f>
        <v>0</v>
      </c>
      <c r="G25" s="4"/>
      <c r="H25" s="4">
        <f>SUM(0)</f>
        <v>0</v>
      </c>
      <c r="I25" s="4"/>
      <c r="J25" s="13">
        <f>IF(H$12=0,0,H25/H$12)</f>
        <v>0</v>
      </c>
      <c r="K25" s="4"/>
      <c r="L25" s="4">
        <f>+D25-H25</f>
        <v>0</v>
      </c>
      <c r="M25" s="4"/>
      <c r="N25" s="13">
        <f>IF(H25=0,0,L25/H25)</f>
        <v>0</v>
      </c>
      <c r="O25" s="11"/>
      <c r="P25" s="4">
        <f>SUM(0)</f>
        <v>0</v>
      </c>
      <c r="Q25" s="4"/>
      <c r="R25" s="13">
        <f>IF(P$12=0,0,P25/P$12)</f>
        <v>0</v>
      </c>
      <c r="S25" s="4"/>
      <c r="T25" s="4">
        <f>SUM(0)</f>
        <v>0</v>
      </c>
      <c r="U25" s="4"/>
      <c r="V25" s="13">
        <f>IF(T$12=0,0,T25/T$12)</f>
        <v>0</v>
      </c>
      <c r="W25" s="4"/>
      <c r="X25" s="4">
        <f>+P25-T25</f>
        <v>0</v>
      </c>
      <c r="Y25" s="4"/>
      <c r="Z25" s="13">
        <f>IF(T25=0,0,X25/T25)</f>
        <v>0</v>
      </c>
    </row>
    <row r="26" spans="1:26" x14ac:dyDescent="0.25">
      <c r="A26" s="9"/>
      <c r="B26" s="11"/>
      <c r="C26" s="11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1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4" customFormat="1" x14ac:dyDescent="0.25">
      <c r="A27" s="11"/>
      <c r="B27" s="28" t="s">
        <v>276</v>
      </c>
      <c r="C27" s="28"/>
      <c r="D27" s="21">
        <f>+D21-D23+D25</f>
        <v>-6490.3100000000013</v>
      </c>
      <c r="E27" s="14"/>
      <c r="F27" s="22">
        <f>IF(D$12=0,0,D27/D$12)</f>
        <v>1</v>
      </c>
      <c r="G27" s="14"/>
      <c r="H27" s="21">
        <f>+H21-H23+H25</f>
        <v>3857.9100000000017</v>
      </c>
      <c r="I27" s="14"/>
      <c r="J27" s="22">
        <f>IF(H$12=0,0,H27/H$12)</f>
        <v>0.7393932540770114</v>
      </c>
      <c r="K27" s="15"/>
      <c r="L27" s="21">
        <f>+D27-H27</f>
        <v>-10348.220000000003</v>
      </c>
      <c r="M27" s="15"/>
      <c r="N27" s="22">
        <f>IF(H27=0,0,L27/H27)</f>
        <v>-2.682338364554901</v>
      </c>
      <c r="O27" s="29"/>
      <c r="P27" s="21">
        <f>+P21-P23+P25</f>
        <v>220139.28000000003</v>
      </c>
      <c r="Q27" s="14"/>
      <c r="R27" s="22">
        <f>IF(P$12=0,0,P27/P$12)</f>
        <v>0.28563733847307493</v>
      </c>
      <c r="S27" s="14"/>
      <c r="T27" s="21">
        <f>+T21-T23+T25</f>
        <v>427197.05000000005</v>
      </c>
      <c r="U27" s="14"/>
      <c r="V27" s="22">
        <f>IF(T$12=0,0,T27/T$12)</f>
        <v>0.26648892423024423</v>
      </c>
      <c r="W27" s="15"/>
      <c r="X27" s="21">
        <f>+P27-T27</f>
        <v>-207057.77000000002</v>
      </c>
      <c r="Y27" s="15"/>
      <c r="Z27" s="22">
        <f>IF(T27=0,0,X27/T27)</f>
        <v>-0.48468913818576226</v>
      </c>
    </row>
    <row r="28" spans="1:26" x14ac:dyDescent="0.25">
      <c r="A28" s="9"/>
      <c r="B28" s="11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4" customFormat="1" x14ac:dyDescent="0.25">
      <c r="A29" s="51"/>
      <c r="B29" s="11" t="s">
        <v>127</v>
      </c>
      <c r="C29" s="11"/>
      <c r="D29" s="4">
        <v>47247.12</v>
      </c>
      <c r="E29" s="4"/>
      <c r="F29" s="13">
        <f>IF(D$12=0,0,D29/D$12)</f>
        <v>-7.2796399555645248</v>
      </c>
      <c r="G29" s="4"/>
      <c r="H29" s="4">
        <v>53522.06</v>
      </c>
      <c r="I29" s="4"/>
      <c r="J29" s="13">
        <f>IF(H$12=0,0,H29/H$12)</f>
        <v>10.257846893345109</v>
      </c>
      <c r="K29" s="4"/>
      <c r="L29" s="4">
        <f>+D29-H29</f>
        <v>-6274.9399999999951</v>
      </c>
      <c r="M29" s="4"/>
      <c r="N29" s="13">
        <f>IF(H29=0,0,L29/H29)</f>
        <v>-0.11724025570017289</v>
      </c>
      <c r="O29" s="11"/>
      <c r="P29" s="4">
        <v>213324.26</v>
      </c>
      <c r="Q29" s="4"/>
      <c r="R29" s="13">
        <f>IF(P$12=0,0,P29/P$12)</f>
        <v>0.27679464499992112</v>
      </c>
      <c r="S29" s="4"/>
      <c r="T29" s="4">
        <v>242739.16</v>
      </c>
      <c r="U29" s="4"/>
      <c r="V29" s="13">
        <f>IF(T$12=0,0,T29/T$12)</f>
        <v>0.15142262245713803</v>
      </c>
      <c r="W29" s="4"/>
      <c r="X29" s="4">
        <f>+P29-T29</f>
        <v>-29414.899999999994</v>
      </c>
      <c r="Y29" s="4"/>
      <c r="Z29" s="13">
        <f>IF(T29=0,0,X29/T29)</f>
        <v>-0.12117904667709979</v>
      </c>
    </row>
    <row r="30" spans="1:26" x14ac:dyDescent="0.25">
      <c r="A30" s="9"/>
      <c r="B30" s="11"/>
      <c r="C30" s="11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1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4" customFormat="1" ht="15.75" thickBot="1" x14ac:dyDescent="0.3">
      <c r="A31" s="11"/>
      <c r="B31" s="28" t="s">
        <v>125</v>
      </c>
      <c r="C31" s="28"/>
      <c r="D31" s="34">
        <f>+D27-D29</f>
        <v>-53737.430000000008</v>
      </c>
      <c r="E31" s="14"/>
      <c r="F31" s="31">
        <f>IF(D$12=0,0,D31/D$12)</f>
        <v>8.2796399555645248</v>
      </c>
      <c r="G31" s="14"/>
      <c r="H31" s="34">
        <f>+H27-H29</f>
        <v>-49664.149999999994</v>
      </c>
      <c r="I31" s="14"/>
      <c r="J31" s="31">
        <f>IF(H$12=0,0,H31/H$12)</f>
        <v>-9.5184536392680972</v>
      </c>
      <c r="K31" s="15"/>
      <c r="L31" s="34">
        <f>D31-H31</f>
        <v>-4073.2800000000134</v>
      </c>
      <c r="M31" s="15"/>
      <c r="N31" s="31">
        <f>IF(H31=0,0,L31/H31)</f>
        <v>8.2016504863166168E-2</v>
      </c>
      <c r="O31" s="29"/>
      <c r="P31" s="34">
        <f>+P27-P29</f>
        <v>6815.0200000000186</v>
      </c>
      <c r="Q31" s="14"/>
      <c r="R31" s="31">
        <f>IF(P$12=0,0,P31/P$12)</f>
        <v>8.8426934731538152E-3</v>
      </c>
      <c r="S31" s="14"/>
      <c r="T31" s="34">
        <f>+T27-T29</f>
        <v>184457.89000000004</v>
      </c>
      <c r="U31" s="14"/>
      <c r="V31" s="31">
        <f>IF(T$12=0,0,T31/T$12)</f>
        <v>0.11506630177310617</v>
      </c>
      <c r="W31" s="15"/>
      <c r="X31" s="34">
        <f>P31-T31</f>
        <v>-177642.87000000002</v>
      </c>
      <c r="Y31" s="15"/>
      <c r="Z31" s="31">
        <f>IF(T31=0,0,X31/T31)</f>
        <v>-0.96305378967524768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x14ac:dyDescent="0.25">
      <c r="A33" s="9"/>
      <c r="B33" s="9"/>
      <c r="C33" s="9"/>
      <c r="D33" s="3"/>
      <c r="E33" s="3"/>
      <c r="F33" s="8"/>
      <c r="G33" s="3"/>
      <c r="H33" s="3"/>
      <c r="I33" s="3"/>
      <c r="J33" s="8"/>
      <c r="K33" s="3"/>
      <c r="L33" s="3"/>
      <c r="M33" s="3"/>
      <c r="N33" s="8"/>
      <c r="P33" s="3"/>
      <c r="Q33" s="3"/>
      <c r="R33" s="8"/>
      <c r="S33" s="3"/>
      <c r="T33" s="3"/>
      <c r="U33" s="3"/>
      <c r="V33" s="8"/>
      <c r="W33" s="3"/>
      <c r="X33" s="3"/>
      <c r="Y33" s="3"/>
      <c r="Z33" s="8"/>
    </row>
    <row r="34" spans="1:26" s="24" customFormat="1" ht="15.75" thickBot="1" x14ac:dyDescent="0.3">
      <c r="A34" s="11"/>
      <c r="B34" s="28" t="s">
        <v>293</v>
      </c>
      <c r="C34" s="28"/>
      <c r="D34" s="33">
        <f>SUM(D31:D33)</f>
        <v>-53737.430000000008</v>
      </c>
      <c r="E34" s="14"/>
      <c r="F34" s="35">
        <f>IF(D$12=0,0,D34/D$12)</f>
        <v>8.2796399555645248</v>
      </c>
      <c r="G34" s="14"/>
      <c r="H34" s="33">
        <f>SUM(H31:H33)</f>
        <v>-49664.149999999994</v>
      </c>
      <c r="I34" s="14"/>
      <c r="J34" s="35">
        <f>IF(H$12=0,0,H34/H$12)</f>
        <v>-9.5184536392680972</v>
      </c>
      <c r="K34" s="15"/>
      <c r="L34" s="33">
        <f>+D34-H34</f>
        <v>-4073.2800000000134</v>
      </c>
      <c r="M34" s="15"/>
      <c r="N34" s="35">
        <f>IF(H34=0,0,L34/H34)</f>
        <v>8.2016504863166168E-2</v>
      </c>
      <c r="O34" s="29"/>
      <c r="P34" s="33">
        <f>SUM(P31:P33)</f>
        <v>6815.0200000000186</v>
      </c>
      <c r="Q34" s="14"/>
      <c r="R34" s="35">
        <f>IF(P$12=0,0,P34/P$12)</f>
        <v>8.8426934731538152E-3</v>
      </c>
      <c r="S34" s="14"/>
      <c r="T34" s="33">
        <f>SUM(T31:T33)</f>
        <v>184457.89000000004</v>
      </c>
      <c r="U34" s="14"/>
      <c r="V34" s="35">
        <f>IF(T$12=0,0,T34/T$12)</f>
        <v>0.11506630177310617</v>
      </c>
      <c r="W34" s="15"/>
      <c r="X34" s="33">
        <f>+P34-T34</f>
        <v>-177642.87000000002</v>
      </c>
      <c r="Y34" s="15"/>
      <c r="Z34" s="35">
        <f>IF(T34=0,0,X34/T34)</f>
        <v>-0.96305378967524768</v>
      </c>
    </row>
    <row r="35" spans="1:26" ht="15.75" thickTop="1" x14ac:dyDescent="0.25">
      <c r="A35" s="9"/>
      <c r="C35" s="9"/>
      <c r="D35" s="18"/>
      <c r="E35" s="18"/>
      <c r="G35" s="18"/>
      <c r="H35" s="18"/>
      <c r="I35" s="18"/>
      <c r="J35" s="43"/>
      <c r="K35" s="18"/>
      <c r="L35" s="18"/>
      <c r="M35" s="18"/>
      <c r="P35" s="18"/>
      <c r="Q35" s="18"/>
      <c r="R35" s="43"/>
      <c r="S35" s="18"/>
      <c r="T35" s="18"/>
      <c r="U35" s="18"/>
      <c r="V35" s="43"/>
      <c r="W35" s="18"/>
      <c r="X35" s="18"/>
    </row>
    <row r="36" spans="1:26" x14ac:dyDescent="0.25">
      <c r="A36" s="9"/>
      <c r="B36" s="56">
        <v>44454.698585613427</v>
      </c>
      <c r="D36" s="18"/>
      <c r="E36" s="18"/>
      <c r="G36" s="18"/>
      <c r="H36" s="18"/>
      <c r="I36" s="18"/>
      <c r="J36" s="43"/>
      <c r="K36" s="18"/>
      <c r="L36" s="18"/>
      <c r="M36" s="18"/>
      <c r="P36" s="18"/>
      <c r="Q36" s="18"/>
      <c r="R36" s="43"/>
      <c r="S36" s="18"/>
      <c r="T36" s="18"/>
      <c r="U36" s="18"/>
      <c r="V36" s="43"/>
      <c r="W36" s="18"/>
      <c r="X36" s="18"/>
    </row>
    <row r="37" spans="1:26" x14ac:dyDescent="0.25">
      <c r="A37" s="9"/>
      <c r="B37" s="55" t="s">
        <v>56</v>
      </c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60"/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</sheetData>
  <pageMargins left="0.25" right="0.25" top="0.75" bottom="0.75" header="0.3" footer="0.3"/>
  <pageSetup scale="55" fitToWidth="2" orientation="landscape"/>
  <drawing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>
    <tabColor rgb="FF92D050"/>
    <outlinePr summaryBelow="0" summaryRight="0"/>
  </sheetPr>
  <dimension ref="A2:Z95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62" t="s">
        <v>23</v>
      </c>
    </row>
    <row r="3" spans="1:26" x14ac:dyDescent="0.25">
      <c r="D3" s="62" t="s">
        <v>236</v>
      </c>
      <c r="E3" s="17"/>
      <c r="F3" s="46"/>
      <c r="G3" s="17"/>
      <c r="H3" s="17"/>
      <c r="I3" s="17"/>
      <c r="J3" s="38"/>
      <c r="K3" s="17"/>
      <c r="L3" s="17"/>
      <c r="M3" s="17"/>
      <c r="N3" s="46"/>
      <c r="O3" s="53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2" t="str">
        <f>CONCATENATE("Period ",RIGHT(202112,2),", ",2021)</f>
        <v>Period 12, 2021</v>
      </c>
      <c r="E4" s="17"/>
      <c r="F4" s="46"/>
      <c r="G4" s="17"/>
      <c r="H4" s="17"/>
      <c r="I4" s="17"/>
      <c r="J4" s="38"/>
      <c r="K4" s="17"/>
      <c r="L4" s="17"/>
      <c r="M4" s="17"/>
      <c r="N4" s="46"/>
      <c r="O4" s="53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4"/>
      <c r="D5" s="63">
        <v>44377</v>
      </c>
      <c r="E5" s="17"/>
      <c r="F5" s="46"/>
      <c r="G5" s="17"/>
      <c r="H5" s="17"/>
      <c r="I5" s="17"/>
      <c r="J5" s="38"/>
      <c r="K5" s="17"/>
      <c r="L5" s="17"/>
      <c r="M5" s="17"/>
      <c r="N5" s="46"/>
      <c r="O5" s="53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4"/>
      <c r="B6" s="48"/>
      <c r="C6" s="48"/>
      <c r="D6" s="24" t="str">
        <f>CONCATENATE("Department ","325", " - ", "Outpost C-Store")</f>
        <v>Department 325 - Outpost C-Store</v>
      </c>
      <c r="E6" s="17"/>
      <c r="F6" s="46"/>
      <c r="G6" s="17"/>
      <c r="H6" s="17"/>
      <c r="I6" s="17"/>
      <c r="J6" s="38"/>
      <c r="K6" s="17"/>
      <c r="L6" s="17"/>
      <c r="M6" s="17"/>
      <c r="N6" s="46"/>
      <c r="O6" s="54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9"/>
    </row>
    <row r="8" spans="1:26" x14ac:dyDescent="0.25">
      <c r="B8" s="59"/>
    </row>
    <row r="9" spans="1:26" x14ac:dyDescent="0.25">
      <c r="B9" s="9"/>
      <c r="C9" s="9"/>
      <c r="D9" s="16" t="s">
        <v>291</v>
      </c>
      <c r="E9" s="16"/>
      <c r="F9" s="39"/>
      <c r="G9" s="16"/>
      <c r="H9" s="16"/>
      <c r="I9" s="16"/>
      <c r="J9" s="49"/>
      <c r="K9" s="16"/>
      <c r="L9" s="16"/>
      <c r="M9" s="16"/>
      <c r="N9" s="39"/>
      <c r="P9" s="16" t="s">
        <v>39</v>
      </c>
      <c r="Q9" s="16"/>
      <c r="R9" s="39"/>
      <c r="S9" s="16"/>
      <c r="T9" s="16"/>
      <c r="U9" s="16"/>
      <c r="V9" s="49"/>
      <c r="W9" s="16"/>
      <c r="X9" s="16"/>
      <c r="Y9" s="16"/>
      <c r="Z9" s="39"/>
    </row>
    <row r="10" spans="1:26" x14ac:dyDescent="0.25">
      <c r="A10" s="11"/>
      <c r="B10" s="58"/>
      <c r="C10" s="11"/>
      <c r="D10" s="42" t="s">
        <v>57</v>
      </c>
      <c r="E10" s="36"/>
      <c r="F10" s="30" t="s">
        <v>40</v>
      </c>
      <c r="G10" s="36"/>
      <c r="H10" s="50" t="s">
        <v>237</v>
      </c>
      <c r="I10" s="36"/>
      <c r="J10" s="30" t="s">
        <v>40</v>
      </c>
      <c r="K10" s="11"/>
      <c r="L10" s="42" t="s">
        <v>126</v>
      </c>
      <c r="M10" s="11"/>
      <c r="N10" s="30" t="s">
        <v>257</v>
      </c>
      <c r="O10" s="11"/>
      <c r="P10" s="61" t="s">
        <v>57</v>
      </c>
      <c r="Q10" s="36"/>
      <c r="R10" s="30" t="s">
        <v>40</v>
      </c>
      <c r="S10" s="36"/>
      <c r="T10" s="50" t="s">
        <v>237</v>
      </c>
      <c r="U10" s="36"/>
      <c r="V10" s="30" t="s">
        <v>40</v>
      </c>
      <c r="W10" s="11"/>
      <c r="X10" s="42" t="s">
        <v>126</v>
      </c>
      <c r="Y10" s="11"/>
      <c r="Z10" s="30" t="s">
        <v>257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4" customFormat="1" collapsed="1" x14ac:dyDescent="0.25">
      <c r="A12" s="11"/>
      <c r="B12" s="29" t="s">
        <v>139</v>
      </c>
      <c r="C12" s="11"/>
      <c r="D12" s="4">
        <f>SUM(OSRRefD13x_0)</f>
        <v>0</v>
      </c>
      <c r="E12" s="4"/>
      <c r="F12" s="13"/>
      <c r="G12" s="4"/>
      <c r="H12" s="4">
        <f>SUM(OSRRefH13x_0)</f>
        <v>0</v>
      </c>
      <c r="I12" s="4"/>
      <c r="J12" s="13"/>
      <c r="K12" s="4"/>
      <c r="L12" s="4">
        <f t="shared" ref="L12:L14" si="0">+D12-H12</f>
        <v>0</v>
      </c>
      <c r="M12" s="4"/>
      <c r="N12" s="13">
        <f t="shared" ref="N12:N14" si="1">IF(H12=0,0,L12/H12)</f>
        <v>0</v>
      </c>
      <c r="O12" s="11"/>
      <c r="P12" s="4">
        <f>SUM(OSRRefP13x_0)</f>
        <v>0</v>
      </c>
      <c r="Q12" s="4"/>
      <c r="R12" s="13"/>
      <c r="S12" s="4"/>
      <c r="T12" s="4">
        <f>SUM(OSRRefT13x_0)</f>
        <v>596954.75</v>
      </c>
      <c r="U12" s="4"/>
      <c r="V12" s="13"/>
      <c r="W12" s="4"/>
      <c r="X12" s="4">
        <f t="shared" ref="X12:X14" si="2">+P12-T12</f>
        <v>-596954.75</v>
      </c>
      <c r="Y12" s="4"/>
      <c r="Z12" s="13">
        <f t="shared" ref="Z12:Z14" si="3">IF(T12=0,0,X12/T12)</f>
        <v>-1</v>
      </c>
    </row>
    <row r="13" spans="1:26" s="23" customFormat="1" hidden="1" outlineLevel="1" x14ac:dyDescent="0.25">
      <c r="A13" s="44"/>
      <c r="B13" s="10" t="str">
        <f>CONCATENATE("          ", "4032", " - ", "TAXABLE SALES-JUICE")</f>
        <v xml:space="preserve">          4032 - TAXABLE SALES-JUICE</v>
      </c>
      <c r="C13" s="10"/>
      <c r="D13" s="2">
        <f t="shared" ref="D13:D14" si="4">0</f>
        <v>0</v>
      </c>
      <c r="E13" s="2"/>
      <c r="F13" s="19"/>
      <c r="G13" s="2"/>
      <c r="H13" s="2">
        <f t="shared" ref="H13:H14" si="5">0</f>
        <v>0</v>
      </c>
      <c r="I13" s="2"/>
      <c r="J13" s="19"/>
      <c r="K13" s="2"/>
      <c r="L13" s="2">
        <f t="shared" si="0"/>
        <v>0</v>
      </c>
      <c r="M13" s="2"/>
      <c r="N13" s="19">
        <f t="shared" si="1"/>
        <v>0</v>
      </c>
      <c r="O13" s="10"/>
      <c r="P13" s="2">
        <f t="shared" ref="P13:P14" si="6">0</f>
        <v>0</v>
      </c>
      <c r="Q13" s="2"/>
      <c r="R13" s="19"/>
      <c r="S13" s="2"/>
      <c r="T13" s="2">
        <f>--105564.32</f>
        <v>105564.32</v>
      </c>
      <c r="U13" s="2"/>
      <c r="V13" s="19"/>
      <c r="W13" s="2"/>
      <c r="X13" s="2">
        <f t="shared" si="2"/>
        <v>-105564.32</v>
      </c>
      <c r="Y13" s="2"/>
      <c r="Z13" s="19">
        <f t="shared" si="3"/>
        <v>-1</v>
      </c>
    </row>
    <row r="14" spans="1:26" s="23" customFormat="1" hidden="1" outlineLevel="1" x14ac:dyDescent="0.25">
      <c r="A14" s="44"/>
      <c r="B14" s="10" t="str">
        <f>CONCATENATE("          ", "4132", " - ", "NON-TAXABLE SALES-JUICE")</f>
        <v xml:space="preserve">          4132 - NON-TAXABLE SALES-JUICE</v>
      </c>
      <c r="C14" s="10"/>
      <c r="D14" s="2">
        <f t="shared" si="4"/>
        <v>0</v>
      </c>
      <c r="E14" s="2"/>
      <c r="F14" s="19"/>
      <c r="G14" s="2"/>
      <c r="H14" s="2">
        <f t="shared" si="5"/>
        <v>0</v>
      </c>
      <c r="I14" s="2"/>
      <c r="J14" s="19"/>
      <c r="K14" s="2"/>
      <c r="L14" s="2">
        <f t="shared" si="0"/>
        <v>0</v>
      </c>
      <c r="M14" s="2"/>
      <c r="N14" s="19">
        <f t="shared" si="1"/>
        <v>0</v>
      </c>
      <c r="O14" s="10"/>
      <c r="P14" s="2">
        <f t="shared" si="6"/>
        <v>0</v>
      </c>
      <c r="Q14" s="2"/>
      <c r="R14" s="19"/>
      <c r="S14" s="2"/>
      <c r="T14" s="2">
        <f>--491390.43</f>
        <v>491390.43</v>
      </c>
      <c r="U14" s="2"/>
      <c r="V14" s="19"/>
      <c r="W14" s="2"/>
      <c r="X14" s="2">
        <f t="shared" si="2"/>
        <v>-491390.43</v>
      </c>
      <c r="Y14" s="2"/>
      <c r="Z14" s="19">
        <f t="shared" si="3"/>
        <v>-1</v>
      </c>
    </row>
    <row r="15" spans="1:26" x14ac:dyDescent="0.25">
      <c r="A15" s="9"/>
      <c r="B15" s="11"/>
      <c r="C15" s="9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4" customFormat="1" collapsed="1" x14ac:dyDescent="0.25">
      <c r="A16" s="11"/>
      <c r="B16" s="29" t="s">
        <v>256</v>
      </c>
      <c r="C16" s="11"/>
      <c r="D16" s="4">
        <f>SUM(OSRRefD16x_0)</f>
        <v>2479.4</v>
      </c>
      <c r="E16" s="4"/>
      <c r="F16" s="13">
        <f t="shared" ref="F16:F18" si="7">IF(D$12=0,0,D16/D$12)</f>
        <v>0</v>
      </c>
      <c r="G16" s="4"/>
      <c r="H16" s="4">
        <f>SUM(OSRRefH16x_0)</f>
        <v>0</v>
      </c>
      <c r="I16" s="4"/>
      <c r="J16" s="13">
        <f t="shared" ref="J16:J18" si="8">IF(H$12=0,0,H16/H$12)</f>
        <v>0</v>
      </c>
      <c r="K16" s="4"/>
      <c r="L16" s="4">
        <f t="shared" ref="L16:L18" si="9">+D16-H16</f>
        <v>2479.4</v>
      </c>
      <c r="M16" s="4"/>
      <c r="N16" s="13">
        <f t="shared" ref="N16:N18" si="10">IF(H16=0,0,L16/H16)</f>
        <v>0</v>
      </c>
      <c r="O16" s="11"/>
      <c r="P16" s="4">
        <f>SUM(OSRRefP16x_0)</f>
        <v>13473.44</v>
      </c>
      <c r="Q16" s="4"/>
      <c r="R16" s="13">
        <f t="shared" ref="R16:R18" si="11">IF(P$12=0,0,P16/P$12)</f>
        <v>0</v>
      </c>
      <c r="S16" s="4"/>
      <c r="T16" s="4">
        <f>SUM(OSRRefT16x_0)</f>
        <v>292875.49</v>
      </c>
      <c r="U16" s="4"/>
      <c r="V16" s="13">
        <f t="shared" ref="V16:V18" si="12">IF(T$12=0,0,T16/T$12)</f>
        <v>0.49061589676604467</v>
      </c>
      <c r="W16" s="4"/>
      <c r="X16" s="4">
        <f t="shared" ref="X16:X18" si="13">+P16-T16</f>
        <v>-279402.05</v>
      </c>
      <c r="Y16" s="4"/>
      <c r="Z16" s="13">
        <f t="shared" ref="Z16:Z18" si="14">IF(T16=0,0,X16/T16)</f>
        <v>-0.95399601380095</v>
      </c>
    </row>
    <row r="17" spans="1:26" s="23" customFormat="1" hidden="1" outlineLevel="1" x14ac:dyDescent="0.25">
      <c r="A17" s="44"/>
      <c r="B17" s="10" t="str">
        <f>CONCATENATE("          ", "5053", " - ", "PURCHASES @ COST-FOOD")</f>
        <v xml:space="preserve">          5053 - PURCHASES @ COST-FOOD</v>
      </c>
      <c r="C17" s="10"/>
      <c r="D17" s="2">
        <v>176.4</v>
      </c>
      <c r="E17" s="2"/>
      <c r="F17" s="19">
        <f t="shared" si="7"/>
        <v>0</v>
      </c>
      <c r="G17" s="2"/>
      <c r="H17" s="2"/>
      <c r="I17" s="2"/>
      <c r="J17" s="19">
        <f t="shared" si="8"/>
        <v>0</v>
      </c>
      <c r="K17" s="2"/>
      <c r="L17" s="2">
        <f t="shared" si="9"/>
        <v>176.4</v>
      </c>
      <c r="M17" s="2"/>
      <c r="N17" s="19">
        <f t="shared" si="10"/>
        <v>0</v>
      </c>
      <c r="O17" s="10"/>
      <c r="P17" s="2">
        <v>-458.56</v>
      </c>
      <c r="Q17" s="2"/>
      <c r="R17" s="19">
        <f t="shared" si="11"/>
        <v>0</v>
      </c>
      <c r="S17" s="2"/>
      <c r="T17" s="2">
        <v>281898.5</v>
      </c>
      <c r="U17" s="2"/>
      <c r="V17" s="19">
        <f t="shared" si="12"/>
        <v>0.47222758508915458</v>
      </c>
      <c r="W17" s="2"/>
      <c r="X17" s="2">
        <f t="shared" si="13"/>
        <v>-282357.06</v>
      </c>
      <c r="Y17" s="2"/>
      <c r="Z17" s="19">
        <f t="shared" si="14"/>
        <v>-1.001626684781934</v>
      </c>
    </row>
    <row r="18" spans="1:26" s="23" customFormat="1" hidden="1" outlineLevel="1" x14ac:dyDescent="0.25">
      <c r="A18" s="44"/>
      <c r="B18" s="10" t="str">
        <f>CONCATENATE("          ", "5059", " - ", "PURCHASES @ COST-FOOD")</f>
        <v xml:space="preserve">          5059 - PURCHASES @ COST-FOOD</v>
      </c>
      <c r="C18" s="10"/>
      <c r="D18" s="2">
        <v>2303</v>
      </c>
      <c r="E18" s="2"/>
      <c r="F18" s="19">
        <f t="shared" si="7"/>
        <v>0</v>
      </c>
      <c r="G18" s="2"/>
      <c r="H18" s="2"/>
      <c r="I18" s="2"/>
      <c r="J18" s="19">
        <f t="shared" si="8"/>
        <v>0</v>
      </c>
      <c r="K18" s="2"/>
      <c r="L18" s="2">
        <f t="shared" si="9"/>
        <v>2303</v>
      </c>
      <c r="M18" s="2"/>
      <c r="N18" s="19">
        <f t="shared" si="10"/>
        <v>0</v>
      </c>
      <c r="O18" s="10"/>
      <c r="P18" s="2">
        <v>13932</v>
      </c>
      <c r="Q18" s="2"/>
      <c r="R18" s="19">
        <f t="shared" si="11"/>
        <v>0</v>
      </c>
      <c r="S18" s="2"/>
      <c r="T18" s="2">
        <v>10976.99</v>
      </c>
      <c r="U18" s="2"/>
      <c r="V18" s="19">
        <f t="shared" si="12"/>
        <v>1.8388311676890083E-2</v>
      </c>
      <c r="W18" s="2"/>
      <c r="X18" s="2">
        <f t="shared" si="13"/>
        <v>2955.01</v>
      </c>
      <c r="Y18" s="2"/>
      <c r="Z18" s="19">
        <f t="shared" si="14"/>
        <v>0.26920039099971854</v>
      </c>
    </row>
    <row r="19" spans="1:26" x14ac:dyDescent="0.25">
      <c r="A19" s="9"/>
      <c r="B19" s="11"/>
      <c r="C19" s="11"/>
      <c r="D19" s="3"/>
      <c r="E19" s="3"/>
      <c r="F19" s="8"/>
      <c r="G19" s="3"/>
      <c r="H19" s="3"/>
      <c r="I19" s="3"/>
      <c r="J19" s="8"/>
      <c r="K19" s="3"/>
      <c r="L19" s="3"/>
      <c r="M19" s="3"/>
      <c r="N19" s="8"/>
      <c r="O19" s="11"/>
      <c r="P19" s="3"/>
      <c r="Q19" s="3"/>
      <c r="R19" s="8"/>
      <c r="S19" s="3"/>
      <c r="T19" s="3"/>
      <c r="U19" s="3"/>
      <c r="V19" s="8"/>
      <c r="W19" s="3"/>
      <c r="X19" s="3"/>
      <c r="Y19" s="3"/>
      <c r="Z19" s="8"/>
    </row>
    <row r="20" spans="1:26" s="24" customFormat="1" x14ac:dyDescent="0.25">
      <c r="A20" s="11"/>
      <c r="B20" s="28" t="s">
        <v>107</v>
      </c>
      <c r="C20" s="28"/>
      <c r="D20" s="21">
        <f>D12-D16</f>
        <v>-2479.4</v>
      </c>
      <c r="E20" s="14"/>
      <c r="F20" s="22">
        <f>IF(D$12=0,0,D20/D$12)</f>
        <v>0</v>
      </c>
      <c r="G20" s="14"/>
      <c r="H20" s="21">
        <f>H12-H16</f>
        <v>0</v>
      </c>
      <c r="I20" s="14"/>
      <c r="J20" s="22">
        <f>IF(H$12=0,0,H20/H$12)</f>
        <v>0</v>
      </c>
      <c r="K20" s="15"/>
      <c r="L20" s="21">
        <f>+D20-H20</f>
        <v>-2479.4</v>
      </c>
      <c r="M20" s="15"/>
      <c r="N20" s="22">
        <f>IF(H20=0,0,L20/H20)</f>
        <v>0</v>
      </c>
      <c r="O20" s="29"/>
      <c r="P20" s="21">
        <f>P12-P16</f>
        <v>-13473.44</v>
      </c>
      <c r="Q20" s="14"/>
      <c r="R20" s="22">
        <f>IF(P$12=0,0,P20/P$12)</f>
        <v>0</v>
      </c>
      <c r="S20" s="14"/>
      <c r="T20" s="21">
        <f>T12-T16</f>
        <v>304079.26</v>
      </c>
      <c r="U20" s="14"/>
      <c r="V20" s="22">
        <f>IF(T$12=0,0,T20/T$12)</f>
        <v>0.50938410323395533</v>
      </c>
      <c r="W20" s="15"/>
      <c r="X20" s="21">
        <f>+P20-T20</f>
        <v>-317552.7</v>
      </c>
      <c r="Y20" s="15"/>
      <c r="Z20" s="22">
        <f>IF(T20=0,0,X20/T20)</f>
        <v>-1.0443089739168663</v>
      </c>
    </row>
    <row r="21" spans="1:26" x14ac:dyDescent="0.25">
      <c r="A21" s="9"/>
      <c r="B21" s="11"/>
      <c r="C21" s="9"/>
      <c r="D21" s="1"/>
      <c r="E21" s="1"/>
      <c r="F21" s="5"/>
      <c r="G21" s="1"/>
      <c r="H21" s="1"/>
      <c r="I21" s="1"/>
      <c r="J21" s="5"/>
      <c r="K21" s="1"/>
      <c r="L21" s="1"/>
      <c r="M21" s="1"/>
      <c r="N21" s="5"/>
      <c r="O21" s="37"/>
      <c r="P21" s="1"/>
      <c r="Q21" s="1"/>
      <c r="R21" s="5"/>
      <c r="S21" s="1"/>
      <c r="T21" s="1"/>
      <c r="U21" s="1"/>
      <c r="V21" s="5"/>
      <c r="W21" s="1"/>
      <c r="X21" s="1"/>
      <c r="Y21" s="1"/>
      <c r="Z21" s="5"/>
    </row>
    <row r="22" spans="1:26" s="24" customFormat="1" x14ac:dyDescent="0.25">
      <c r="A22" s="11"/>
      <c r="B22" s="29" t="s">
        <v>294</v>
      </c>
      <c r="C22" s="11"/>
      <c r="D22" s="20">
        <f>SUM(OSRRefD22x_0)</f>
        <v>4959.08</v>
      </c>
      <c r="E22" s="20"/>
      <c r="F22" s="32">
        <f t="shared" ref="F22:F31" si="15">IF(D$12=0,0,D22/D$12)</f>
        <v>0</v>
      </c>
      <c r="G22" s="20"/>
      <c r="H22" s="20">
        <f>SUM(OSRRefH22x_0)</f>
        <v>21374.54</v>
      </c>
      <c r="I22" s="20"/>
      <c r="J22" s="32">
        <f t="shared" ref="J22:J31" si="16">IF(H$12=0,0,H22/H$12)</f>
        <v>0</v>
      </c>
      <c r="K22" s="4"/>
      <c r="L22" s="20">
        <f t="shared" ref="L22:L31" si="17">+D22-H22</f>
        <v>-16415.46</v>
      </c>
      <c r="M22" s="4"/>
      <c r="N22" s="32">
        <f t="shared" ref="N22:N31" si="18">IF(H22=0,0,L22/H22)</f>
        <v>-0.7679912643734087</v>
      </c>
      <c r="O22" s="11"/>
      <c r="P22" s="20">
        <f>SUM(OSRRefP22x_0)</f>
        <v>127040.85</v>
      </c>
      <c r="Q22" s="20"/>
      <c r="R22" s="32">
        <f t="shared" ref="R22:R31" si="19">IF(P$12=0,0,P22/P$12)</f>
        <v>0</v>
      </c>
      <c r="S22" s="20"/>
      <c r="T22" s="20">
        <f>SUM(OSRRefT22x_0)</f>
        <v>331597.27</v>
      </c>
      <c r="U22" s="20"/>
      <c r="V22" s="32">
        <f t="shared" ref="V22:V31" si="20">IF(T$12=0,0,T22/T$12)</f>
        <v>0.55548141630500469</v>
      </c>
      <c r="W22" s="4"/>
      <c r="X22" s="20">
        <f t="shared" ref="X22:X31" si="21">+P22-T22</f>
        <v>-204556.42</v>
      </c>
      <c r="Y22" s="4"/>
      <c r="Z22" s="32">
        <f t="shared" ref="Z22:Z31" si="22">IF(T22=0,0,X22/T22)</f>
        <v>-0.61688209918012893</v>
      </c>
    </row>
    <row r="23" spans="1:26" s="27" customFormat="1" outlineLevel="1" collapsed="1" x14ac:dyDescent="0.25">
      <c r="A23" s="26"/>
      <c r="B23" s="12" t="str">
        <f>CONCATENATE("     ","*Benefits                                         ")</f>
        <v xml:space="preserve">     *Benefits                                         </v>
      </c>
      <c r="C23" s="12"/>
      <c r="D23" s="1">
        <f>SUM(OSRRefD22_0x_0)</f>
        <v>0</v>
      </c>
      <c r="E23" s="1"/>
      <c r="F23" s="5">
        <f t="shared" si="15"/>
        <v>0</v>
      </c>
      <c r="G23" s="1"/>
      <c r="H23" s="1">
        <f>SUM(OSRRefH22_0x_0)</f>
        <v>2914.4</v>
      </c>
      <c r="I23" s="1"/>
      <c r="J23" s="5">
        <f t="shared" si="16"/>
        <v>0</v>
      </c>
      <c r="K23" s="1"/>
      <c r="L23" s="1">
        <f t="shared" si="17"/>
        <v>-2914.4</v>
      </c>
      <c r="M23" s="1"/>
      <c r="N23" s="5">
        <f t="shared" si="18"/>
        <v>-1</v>
      </c>
      <c r="O23" s="12"/>
      <c r="P23" s="1">
        <f>SUM(OSRRefP22_0x_0)</f>
        <v>2889.72</v>
      </c>
      <c r="Q23" s="1"/>
      <c r="R23" s="5">
        <f t="shared" si="19"/>
        <v>0</v>
      </c>
      <c r="S23" s="1"/>
      <c r="T23" s="1">
        <f>SUM(OSRRefT22_0x_0)</f>
        <v>44347.099999999991</v>
      </c>
      <c r="U23" s="1"/>
      <c r="V23" s="5">
        <f t="shared" si="20"/>
        <v>7.4288880354834247E-2</v>
      </c>
      <c r="W23" s="1"/>
      <c r="X23" s="1">
        <f t="shared" si="21"/>
        <v>-41457.37999999999</v>
      </c>
      <c r="Y23" s="1"/>
      <c r="Z23" s="5">
        <f t="shared" si="22"/>
        <v>-0.93483858020028365</v>
      </c>
    </row>
    <row r="24" spans="1:26" s="23" customFormat="1" hidden="1" outlineLevel="2" x14ac:dyDescent="0.25">
      <c r="A24" s="25"/>
      <c r="B24" s="10" t="str">
        <f>CONCATENATE("          ", "6111", " - ", "F.I.C.A.")</f>
        <v xml:space="preserve">          6111 - F.I.C.A.</v>
      </c>
      <c r="C24" s="10"/>
      <c r="D24" s="6"/>
      <c r="E24" s="2"/>
      <c r="F24" s="7">
        <f t="shared" si="15"/>
        <v>0</v>
      </c>
      <c r="G24" s="2"/>
      <c r="H24" s="6">
        <v>318.24</v>
      </c>
      <c r="I24" s="2"/>
      <c r="J24" s="7">
        <f t="shared" si="16"/>
        <v>0</v>
      </c>
      <c r="K24" s="2"/>
      <c r="L24" s="6">
        <f t="shared" si="17"/>
        <v>-318.24</v>
      </c>
      <c r="M24" s="2"/>
      <c r="N24" s="7">
        <f t="shared" si="18"/>
        <v>-1</v>
      </c>
      <c r="O24" s="10"/>
      <c r="P24" s="6">
        <v>159.12</v>
      </c>
      <c r="Q24" s="2"/>
      <c r="R24" s="7">
        <f t="shared" si="19"/>
        <v>0</v>
      </c>
      <c r="S24" s="2"/>
      <c r="T24" s="6">
        <v>6353.64</v>
      </c>
      <c r="U24" s="2"/>
      <c r="V24" s="7">
        <f t="shared" si="20"/>
        <v>1.0643419790193478E-2</v>
      </c>
      <c r="W24" s="2"/>
      <c r="X24" s="6">
        <f t="shared" si="21"/>
        <v>-6194.52</v>
      </c>
      <c r="Y24" s="2"/>
      <c r="Z24" s="7">
        <f t="shared" si="22"/>
        <v>-0.97495608816363533</v>
      </c>
    </row>
    <row r="25" spans="1:26" s="23" customFormat="1" hidden="1" outlineLevel="2" x14ac:dyDescent="0.25">
      <c r="A25" s="25"/>
      <c r="B25" s="10" t="str">
        <f>CONCATENATE("          ", "6112", " - ", "COMPENSATION INSURANCE")</f>
        <v xml:space="preserve">          6112 - COMPENSATION INSURANCE</v>
      </c>
      <c r="C25" s="10"/>
      <c r="D25" s="6"/>
      <c r="E25" s="2"/>
      <c r="F25" s="7">
        <f t="shared" si="15"/>
        <v>0</v>
      </c>
      <c r="G25" s="2"/>
      <c r="H25" s="6">
        <v>79.040000000000006</v>
      </c>
      <c r="I25" s="2"/>
      <c r="J25" s="7">
        <f t="shared" si="16"/>
        <v>0</v>
      </c>
      <c r="K25" s="2"/>
      <c r="L25" s="6">
        <f t="shared" si="17"/>
        <v>-79.040000000000006</v>
      </c>
      <c r="M25" s="2"/>
      <c r="N25" s="7">
        <f t="shared" si="18"/>
        <v>-1</v>
      </c>
      <c r="O25" s="10"/>
      <c r="P25" s="6"/>
      <c r="Q25" s="2"/>
      <c r="R25" s="7">
        <f t="shared" si="19"/>
        <v>0</v>
      </c>
      <c r="S25" s="2"/>
      <c r="T25" s="6">
        <v>2150.89</v>
      </c>
      <c r="U25" s="2"/>
      <c r="V25" s="7">
        <f t="shared" si="20"/>
        <v>3.6031039203557724E-3</v>
      </c>
      <c r="W25" s="2"/>
      <c r="X25" s="6">
        <f t="shared" si="21"/>
        <v>-2150.89</v>
      </c>
      <c r="Y25" s="2"/>
      <c r="Z25" s="7">
        <f t="shared" si="22"/>
        <v>-1</v>
      </c>
    </row>
    <row r="26" spans="1:26" s="23" customFormat="1" hidden="1" outlineLevel="2" x14ac:dyDescent="0.25">
      <c r="A26" s="25"/>
      <c r="B26" s="10" t="str">
        <f>CONCATENATE("          ", "6113", " - ", "GROUP INSURANCE")</f>
        <v xml:space="preserve">          6113 - GROUP INSURANCE</v>
      </c>
      <c r="C26" s="10"/>
      <c r="D26" s="6"/>
      <c r="E26" s="2"/>
      <c r="F26" s="7">
        <f t="shared" si="15"/>
        <v>0</v>
      </c>
      <c r="G26" s="2"/>
      <c r="H26" s="6">
        <v>1915.63</v>
      </c>
      <c r="I26" s="2"/>
      <c r="J26" s="7">
        <f t="shared" si="16"/>
        <v>0</v>
      </c>
      <c r="K26" s="2"/>
      <c r="L26" s="6">
        <f t="shared" si="17"/>
        <v>-1915.63</v>
      </c>
      <c r="M26" s="2"/>
      <c r="N26" s="7">
        <f t="shared" si="18"/>
        <v>-1</v>
      </c>
      <c r="O26" s="10"/>
      <c r="P26" s="6">
        <v>1915.63</v>
      </c>
      <c r="Q26" s="2"/>
      <c r="R26" s="7">
        <f t="shared" si="19"/>
        <v>0</v>
      </c>
      <c r="S26" s="2"/>
      <c r="T26" s="6">
        <v>22856.35</v>
      </c>
      <c r="U26" s="2"/>
      <c r="V26" s="7">
        <f t="shared" si="20"/>
        <v>3.828824546584142E-2</v>
      </c>
      <c r="W26" s="2"/>
      <c r="X26" s="6">
        <f t="shared" si="21"/>
        <v>-20940.719999999998</v>
      </c>
      <c r="Y26" s="2"/>
      <c r="Z26" s="7">
        <f t="shared" si="22"/>
        <v>-0.91618828028097221</v>
      </c>
    </row>
    <row r="27" spans="1:26" s="23" customFormat="1" hidden="1" outlineLevel="2" x14ac:dyDescent="0.25">
      <c r="A27" s="25"/>
      <c r="B27" s="10" t="str">
        <f>CONCATENATE("          ", "6114", " - ", "STATE UNEMPLOYMENT INSURANCE")</f>
        <v xml:space="preserve">          6114 - STATE UNEMPLOYMENT INSURANCE</v>
      </c>
      <c r="C27" s="10"/>
      <c r="D27" s="6"/>
      <c r="E27" s="2"/>
      <c r="F27" s="7">
        <f t="shared" si="15"/>
        <v>0</v>
      </c>
      <c r="G27" s="2"/>
      <c r="H27" s="6">
        <v>-319.77999999999997</v>
      </c>
      <c r="I27" s="2"/>
      <c r="J27" s="7">
        <f t="shared" si="16"/>
        <v>0</v>
      </c>
      <c r="K27" s="2"/>
      <c r="L27" s="6">
        <f t="shared" si="17"/>
        <v>319.77999999999997</v>
      </c>
      <c r="M27" s="2"/>
      <c r="N27" s="7">
        <f t="shared" si="18"/>
        <v>-1</v>
      </c>
      <c r="O27" s="10"/>
      <c r="P27" s="6"/>
      <c r="Q27" s="2"/>
      <c r="R27" s="7">
        <f t="shared" si="19"/>
        <v>0</v>
      </c>
      <c r="S27" s="2"/>
      <c r="T27" s="6">
        <v>0</v>
      </c>
      <c r="U27" s="2"/>
      <c r="V27" s="7">
        <f t="shared" si="20"/>
        <v>0</v>
      </c>
      <c r="W27" s="2"/>
      <c r="X27" s="6">
        <f t="shared" si="21"/>
        <v>0</v>
      </c>
      <c r="Y27" s="2"/>
      <c r="Z27" s="7">
        <f t="shared" si="22"/>
        <v>0</v>
      </c>
    </row>
    <row r="28" spans="1:26" s="23" customFormat="1" hidden="1" outlineLevel="2" x14ac:dyDescent="0.25">
      <c r="A28" s="25"/>
      <c r="B28" s="10" t="str">
        <f>CONCATENATE("          ", "6115", " - ", "P.E.R.S.")</f>
        <v xml:space="preserve">          6115 - P.E.R.S.</v>
      </c>
      <c r="C28" s="10"/>
      <c r="D28" s="6"/>
      <c r="E28" s="2"/>
      <c r="F28" s="7">
        <f t="shared" si="15"/>
        <v>0</v>
      </c>
      <c r="G28" s="2"/>
      <c r="H28" s="6">
        <v>425.19</v>
      </c>
      <c r="I28" s="2"/>
      <c r="J28" s="7">
        <f t="shared" si="16"/>
        <v>0</v>
      </c>
      <c r="K28" s="2"/>
      <c r="L28" s="6">
        <f t="shared" si="17"/>
        <v>-425.19</v>
      </c>
      <c r="M28" s="2"/>
      <c r="N28" s="7">
        <f t="shared" si="18"/>
        <v>-1</v>
      </c>
      <c r="O28" s="10"/>
      <c r="P28" s="6">
        <v>458.89</v>
      </c>
      <c r="Q28" s="2"/>
      <c r="R28" s="7">
        <f t="shared" si="19"/>
        <v>0</v>
      </c>
      <c r="S28" s="2"/>
      <c r="T28" s="6">
        <v>5382.95</v>
      </c>
      <c r="U28" s="2"/>
      <c r="V28" s="7">
        <f t="shared" si="20"/>
        <v>9.0173501425359296E-3</v>
      </c>
      <c r="W28" s="2"/>
      <c r="X28" s="6">
        <f t="shared" si="21"/>
        <v>-4924.0599999999995</v>
      </c>
      <c r="Y28" s="2"/>
      <c r="Z28" s="7">
        <f t="shared" si="22"/>
        <v>-0.91475120519417785</v>
      </c>
    </row>
    <row r="29" spans="1:26" s="23" customFormat="1" hidden="1" outlineLevel="2" x14ac:dyDescent="0.25">
      <c r="A29" s="25"/>
      <c r="B29" s="10" t="str">
        <f>CONCATENATE("          ", "6118", " - ", "VACATION")</f>
        <v xml:space="preserve">          6118 - VACATION</v>
      </c>
      <c r="C29" s="10"/>
      <c r="D29" s="6"/>
      <c r="E29" s="2"/>
      <c r="F29" s="7">
        <f t="shared" si="15"/>
        <v>0</v>
      </c>
      <c r="G29" s="2"/>
      <c r="H29" s="6">
        <v>304.2</v>
      </c>
      <c r="I29" s="2"/>
      <c r="J29" s="7">
        <f t="shared" si="16"/>
        <v>0</v>
      </c>
      <c r="K29" s="2"/>
      <c r="L29" s="6">
        <f t="shared" si="17"/>
        <v>-304.2</v>
      </c>
      <c r="M29" s="2"/>
      <c r="N29" s="7">
        <f t="shared" si="18"/>
        <v>-1</v>
      </c>
      <c r="O29" s="10"/>
      <c r="P29" s="6">
        <v>152.1</v>
      </c>
      <c r="Q29" s="2"/>
      <c r="R29" s="7">
        <f t="shared" si="19"/>
        <v>0</v>
      </c>
      <c r="S29" s="2"/>
      <c r="T29" s="6">
        <v>3802.5</v>
      </c>
      <c r="U29" s="2"/>
      <c r="V29" s="7">
        <f t="shared" si="20"/>
        <v>6.3698295390060972E-3</v>
      </c>
      <c r="W29" s="2"/>
      <c r="X29" s="6">
        <f t="shared" si="21"/>
        <v>-3650.4</v>
      </c>
      <c r="Y29" s="2"/>
      <c r="Z29" s="7">
        <f t="shared" si="22"/>
        <v>-0.96000000000000008</v>
      </c>
    </row>
    <row r="30" spans="1:26" s="23" customFormat="1" hidden="1" outlineLevel="2" x14ac:dyDescent="0.25">
      <c r="A30" s="25"/>
      <c r="B30" s="10" t="str">
        <f>CONCATENATE("          ", "6119", " - ", "SICK LEAVE")</f>
        <v xml:space="preserve">          6119 - SICK LEAVE</v>
      </c>
      <c r="C30" s="10"/>
      <c r="D30" s="6"/>
      <c r="E30" s="2"/>
      <c r="F30" s="7">
        <f t="shared" si="15"/>
        <v>0</v>
      </c>
      <c r="G30" s="2"/>
      <c r="H30" s="6">
        <v>191.88</v>
      </c>
      <c r="I30" s="2"/>
      <c r="J30" s="7">
        <f t="shared" si="16"/>
        <v>0</v>
      </c>
      <c r="K30" s="2"/>
      <c r="L30" s="6">
        <f t="shared" si="17"/>
        <v>-191.88</v>
      </c>
      <c r="M30" s="2"/>
      <c r="N30" s="7">
        <f t="shared" si="18"/>
        <v>-1</v>
      </c>
      <c r="O30" s="10"/>
      <c r="P30" s="6">
        <v>203.98</v>
      </c>
      <c r="Q30" s="2"/>
      <c r="R30" s="7">
        <f t="shared" si="19"/>
        <v>0</v>
      </c>
      <c r="S30" s="2"/>
      <c r="T30" s="6">
        <v>2398.5</v>
      </c>
      <c r="U30" s="2"/>
      <c r="V30" s="7">
        <f t="shared" si="20"/>
        <v>4.0178924784499996E-3</v>
      </c>
      <c r="W30" s="2"/>
      <c r="X30" s="6">
        <f t="shared" si="21"/>
        <v>-2194.52</v>
      </c>
      <c r="Y30" s="2"/>
      <c r="Z30" s="7">
        <f t="shared" si="22"/>
        <v>-0.91495518032103396</v>
      </c>
    </row>
    <row r="31" spans="1:26" s="23" customFormat="1" hidden="1" outlineLevel="2" x14ac:dyDescent="0.25">
      <c r="A31" s="25"/>
      <c r="B31" s="10" t="str">
        <f>CONCATENATE("          ", "6156", " - ", "EMPLOYEE MEALS")</f>
        <v xml:space="preserve">          6156 - EMPLOYEE MEALS</v>
      </c>
      <c r="C31" s="10"/>
      <c r="D31" s="6"/>
      <c r="E31" s="2"/>
      <c r="F31" s="7">
        <f t="shared" si="15"/>
        <v>0</v>
      </c>
      <c r="G31" s="2"/>
      <c r="H31" s="6"/>
      <c r="I31" s="2"/>
      <c r="J31" s="7">
        <f t="shared" si="16"/>
        <v>0</v>
      </c>
      <c r="K31" s="2"/>
      <c r="L31" s="6">
        <f t="shared" si="17"/>
        <v>0</v>
      </c>
      <c r="M31" s="2"/>
      <c r="N31" s="7">
        <f t="shared" si="18"/>
        <v>0</v>
      </c>
      <c r="O31" s="10"/>
      <c r="P31" s="6"/>
      <c r="Q31" s="2"/>
      <c r="R31" s="7">
        <f t="shared" si="19"/>
        <v>0</v>
      </c>
      <c r="S31" s="2"/>
      <c r="T31" s="6">
        <v>1402.27</v>
      </c>
      <c r="U31" s="2"/>
      <c r="V31" s="7">
        <f t="shared" si="20"/>
        <v>2.349039018451566E-3</v>
      </c>
      <c r="W31" s="2"/>
      <c r="X31" s="6">
        <f t="shared" si="21"/>
        <v>-1402.27</v>
      </c>
      <c r="Y31" s="2"/>
      <c r="Z31" s="7">
        <f t="shared" si="22"/>
        <v>-1</v>
      </c>
    </row>
    <row r="32" spans="1:26" s="27" customFormat="1" outlineLevel="1" collapsed="1" x14ac:dyDescent="0.25">
      <c r="A32" s="26"/>
      <c r="B32" s="12" t="str">
        <f>CONCATENATE("     ","*Payroll                                          ")</f>
        <v xml:space="preserve">     *Payroll                                          </v>
      </c>
      <c r="C32" s="12"/>
      <c r="D32" s="1">
        <f>SUM(OSRRefD22_1x_0)</f>
        <v>0</v>
      </c>
      <c r="E32" s="1"/>
      <c r="F32" s="5">
        <f t="shared" ref="F32:F37" si="23">IF(D$12=0,0,D32/D$12)</f>
        <v>0</v>
      </c>
      <c r="G32" s="1"/>
      <c r="H32" s="1">
        <f>SUM(OSRRefH22_1x_0)</f>
        <v>3120</v>
      </c>
      <c r="I32" s="1"/>
      <c r="J32" s="5">
        <f t="shared" ref="J32:J37" si="24">IF(H$12=0,0,H32/H$12)</f>
        <v>0</v>
      </c>
      <c r="K32" s="1"/>
      <c r="L32" s="1">
        <f t="shared" ref="L32:L37" si="25">+D32-H32</f>
        <v>-3120</v>
      </c>
      <c r="M32" s="1"/>
      <c r="N32" s="5">
        <f t="shared" ref="N32:N37" si="26">IF(H32=0,0,L32/H32)</f>
        <v>-1</v>
      </c>
      <c r="O32" s="12"/>
      <c r="P32" s="1">
        <f>SUM(OSRRefP22_1x_0)</f>
        <v>884</v>
      </c>
      <c r="Q32" s="1"/>
      <c r="R32" s="5">
        <f t="shared" ref="R32:R37" si="27">IF(P$12=0,0,P32/P$12)</f>
        <v>0</v>
      </c>
      <c r="S32" s="1"/>
      <c r="T32" s="1">
        <f>SUM(OSRRefT22_1x_0)</f>
        <v>108603.43000000001</v>
      </c>
      <c r="U32" s="1"/>
      <c r="V32" s="5">
        <f t="shared" ref="V32:V37" si="28">IF(T$12=0,0,T32/T$12)</f>
        <v>0.18192908256446574</v>
      </c>
      <c r="W32" s="1"/>
      <c r="X32" s="1">
        <f t="shared" ref="X32:X37" si="29">+P32-T32</f>
        <v>-107719.43000000001</v>
      </c>
      <c r="Y32" s="1"/>
      <c r="Z32" s="5">
        <f t="shared" ref="Z32:Z37" si="30">IF(T32=0,0,X32/T32)</f>
        <v>-0.99186029391521058</v>
      </c>
    </row>
    <row r="33" spans="1:26" s="23" customFormat="1" hidden="1" outlineLevel="2" x14ac:dyDescent="0.25">
      <c r="A33" s="25"/>
      <c r="B33" s="10" t="str">
        <f>CONCATENATE("          ", "6002", " - ", "STAFF SALARIES")</f>
        <v xml:space="preserve">          6002 - STAFF SALARIES</v>
      </c>
      <c r="C33" s="10"/>
      <c r="D33" s="6"/>
      <c r="E33" s="2"/>
      <c r="F33" s="7">
        <f t="shared" si="23"/>
        <v>0</v>
      </c>
      <c r="G33" s="2"/>
      <c r="H33" s="6">
        <v>3120</v>
      </c>
      <c r="I33" s="2"/>
      <c r="J33" s="7">
        <f t="shared" si="24"/>
        <v>0</v>
      </c>
      <c r="K33" s="2"/>
      <c r="L33" s="6">
        <f t="shared" si="25"/>
        <v>-3120</v>
      </c>
      <c r="M33" s="2"/>
      <c r="N33" s="7">
        <f t="shared" si="26"/>
        <v>-1</v>
      </c>
      <c r="O33" s="10"/>
      <c r="P33" s="6">
        <v>884</v>
      </c>
      <c r="Q33" s="2"/>
      <c r="R33" s="7">
        <f t="shared" si="27"/>
        <v>0</v>
      </c>
      <c r="S33" s="2"/>
      <c r="T33" s="6">
        <v>40384</v>
      </c>
      <c r="U33" s="2"/>
      <c r="V33" s="7">
        <f t="shared" si="28"/>
        <v>6.7650018699072251E-2</v>
      </c>
      <c r="W33" s="2"/>
      <c r="X33" s="6">
        <f t="shared" si="29"/>
        <v>-39500</v>
      </c>
      <c r="Y33" s="2"/>
      <c r="Z33" s="7">
        <f t="shared" si="30"/>
        <v>-0.97811014263074481</v>
      </c>
    </row>
    <row r="34" spans="1:26" s="23" customFormat="1" hidden="1" outlineLevel="2" x14ac:dyDescent="0.25">
      <c r="A34" s="25"/>
      <c r="B34" s="10" t="str">
        <f>CONCATENATE("          ", "6004", " - ", "STAFF HOURLY")</f>
        <v xml:space="preserve">          6004 - STAFF HOURLY</v>
      </c>
      <c r="C34" s="10"/>
      <c r="D34" s="6"/>
      <c r="E34" s="2"/>
      <c r="F34" s="7">
        <f t="shared" si="23"/>
        <v>0</v>
      </c>
      <c r="G34" s="2"/>
      <c r="H34" s="6"/>
      <c r="I34" s="2"/>
      <c r="J34" s="7">
        <f t="shared" si="24"/>
        <v>0</v>
      </c>
      <c r="K34" s="2"/>
      <c r="L34" s="6">
        <f t="shared" si="25"/>
        <v>0</v>
      </c>
      <c r="M34" s="2"/>
      <c r="N34" s="7">
        <f t="shared" si="26"/>
        <v>0</v>
      </c>
      <c r="O34" s="10"/>
      <c r="P34" s="6"/>
      <c r="Q34" s="2"/>
      <c r="R34" s="7">
        <f t="shared" si="27"/>
        <v>0</v>
      </c>
      <c r="S34" s="2"/>
      <c r="T34" s="6">
        <v>254.64</v>
      </c>
      <c r="U34" s="2"/>
      <c r="V34" s="7">
        <f t="shared" si="28"/>
        <v>4.2656499508547338E-4</v>
      </c>
      <c r="W34" s="2"/>
      <c r="X34" s="6">
        <f t="shared" si="29"/>
        <v>-254.64</v>
      </c>
      <c r="Y34" s="2"/>
      <c r="Z34" s="7">
        <f t="shared" si="30"/>
        <v>-1</v>
      </c>
    </row>
    <row r="35" spans="1:26" s="23" customFormat="1" hidden="1" outlineLevel="2" x14ac:dyDescent="0.25">
      <c r="A35" s="25"/>
      <c r="B35" s="10" t="str">
        <f>CONCATENATE("          ", "6005", " - ", "TEMPORARY WAGES-HOURLY")</f>
        <v xml:space="preserve">          6005 - TEMPORARY WAGES-HOURLY</v>
      </c>
      <c r="C35" s="10"/>
      <c r="D35" s="6"/>
      <c r="E35" s="2"/>
      <c r="F35" s="7">
        <f t="shared" si="23"/>
        <v>0</v>
      </c>
      <c r="G35" s="2"/>
      <c r="H35" s="6"/>
      <c r="I35" s="2"/>
      <c r="J35" s="7">
        <f t="shared" si="24"/>
        <v>0</v>
      </c>
      <c r="K35" s="2"/>
      <c r="L35" s="6">
        <f t="shared" si="25"/>
        <v>0</v>
      </c>
      <c r="M35" s="2"/>
      <c r="N35" s="7">
        <f t="shared" si="26"/>
        <v>0</v>
      </c>
      <c r="O35" s="10"/>
      <c r="P35" s="6"/>
      <c r="Q35" s="2"/>
      <c r="R35" s="7">
        <f t="shared" si="27"/>
        <v>0</v>
      </c>
      <c r="S35" s="2"/>
      <c r="T35" s="6">
        <v>23945.94</v>
      </c>
      <c r="U35" s="2"/>
      <c r="V35" s="7">
        <f t="shared" si="28"/>
        <v>4.0113492689353755E-2</v>
      </c>
      <c r="W35" s="2"/>
      <c r="X35" s="6">
        <f t="shared" si="29"/>
        <v>-23945.94</v>
      </c>
      <c r="Y35" s="2"/>
      <c r="Z35" s="7">
        <f t="shared" si="30"/>
        <v>-1</v>
      </c>
    </row>
    <row r="36" spans="1:26" s="23" customFormat="1" hidden="1" outlineLevel="2" x14ac:dyDescent="0.25">
      <c r="A36" s="25"/>
      <c r="B36" s="10" t="str">
        <f>CONCATENATE("          ", "6007", " - ", "STUDENT HOURLY")</f>
        <v xml:space="preserve">          6007 - STUDENT HOURLY</v>
      </c>
      <c r="C36" s="10"/>
      <c r="D36" s="6"/>
      <c r="E36" s="2"/>
      <c r="F36" s="7">
        <f t="shared" si="23"/>
        <v>0</v>
      </c>
      <c r="G36" s="2"/>
      <c r="H36" s="6"/>
      <c r="I36" s="2"/>
      <c r="J36" s="7">
        <f t="shared" si="24"/>
        <v>0</v>
      </c>
      <c r="K36" s="2"/>
      <c r="L36" s="6">
        <f t="shared" si="25"/>
        <v>0</v>
      </c>
      <c r="M36" s="2"/>
      <c r="N36" s="7">
        <f t="shared" si="26"/>
        <v>0</v>
      </c>
      <c r="O36" s="10"/>
      <c r="P36" s="6"/>
      <c r="Q36" s="2"/>
      <c r="R36" s="7">
        <f t="shared" si="27"/>
        <v>0</v>
      </c>
      <c r="S36" s="2"/>
      <c r="T36" s="6">
        <v>40507.550000000003</v>
      </c>
      <c r="U36" s="2"/>
      <c r="V36" s="7">
        <f t="shared" si="28"/>
        <v>6.7856985810063497E-2</v>
      </c>
      <c r="W36" s="2"/>
      <c r="X36" s="6">
        <f t="shared" si="29"/>
        <v>-40507.550000000003</v>
      </c>
      <c r="Y36" s="2"/>
      <c r="Z36" s="7">
        <f t="shared" si="30"/>
        <v>-1</v>
      </c>
    </row>
    <row r="37" spans="1:26" s="23" customFormat="1" hidden="1" outlineLevel="2" x14ac:dyDescent="0.25">
      <c r="A37" s="25"/>
      <c r="B37" s="10" t="str">
        <f>CONCATENATE("          ", "6008", " - ", "STUDENT HOURLY-FICA EXEMPT")</f>
        <v xml:space="preserve">          6008 - STUDENT HOURLY-FICA EXEMPT</v>
      </c>
      <c r="C37" s="10"/>
      <c r="D37" s="6"/>
      <c r="E37" s="2"/>
      <c r="F37" s="7">
        <f t="shared" si="23"/>
        <v>0</v>
      </c>
      <c r="G37" s="2"/>
      <c r="H37" s="6"/>
      <c r="I37" s="2"/>
      <c r="J37" s="7">
        <f t="shared" si="24"/>
        <v>0</v>
      </c>
      <c r="K37" s="2"/>
      <c r="L37" s="6">
        <f t="shared" si="25"/>
        <v>0</v>
      </c>
      <c r="M37" s="2"/>
      <c r="N37" s="7">
        <f t="shared" si="26"/>
        <v>0</v>
      </c>
      <c r="O37" s="10"/>
      <c r="P37" s="6"/>
      <c r="Q37" s="2"/>
      <c r="R37" s="7">
        <f t="shared" si="27"/>
        <v>0</v>
      </c>
      <c r="S37" s="2"/>
      <c r="T37" s="6">
        <v>3511.3</v>
      </c>
      <c r="U37" s="2"/>
      <c r="V37" s="7">
        <f t="shared" si="28"/>
        <v>5.882020370890759E-3</v>
      </c>
      <c r="W37" s="2"/>
      <c r="X37" s="6">
        <f t="shared" si="29"/>
        <v>-3511.3</v>
      </c>
      <c r="Y37" s="2"/>
      <c r="Z37" s="7">
        <f t="shared" si="30"/>
        <v>-1</v>
      </c>
    </row>
    <row r="38" spans="1:26" s="27" customFormat="1" outlineLevel="1" collapsed="1" x14ac:dyDescent="0.25">
      <c r="A38" s="26"/>
      <c r="B38" s="12" t="str">
        <f>CONCATENATE("     ","Advertising/Promo                                 ")</f>
        <v xml:space="preserve">     Advertising/Promo                                 </v>
      </c>
      <c r="C38" s="12"/>
      <c r="D38" s="1">
        <f>SUM(OSRRefD22_2x_0)</f>
        <v>0</v>
      </c>
      <c r="E38" s="1"/>
      <c r="F38" s="5">
        <f t="shared" ref="F38:F46" si="31">IF(D$12=0,0,D38/D$12)</f>
        <v>0</v>
      </c>
      <c r="G38" s="1"/>
      <c r="H38" s="1">
        <f>SUM(OSRRefH22_2x_0)</f>
        <v>0</v>
      </c>
      <c r="I38" s="1"/>
      <c r="J38" s="5">
        <f t="shared" ref="J38:J46" si="32">IF(H$12=0,0,H38/H$12)</f>
        <v>0</v>
      </c>
      <c r="K38" s="1"/>
      <c r="L38" s="1">
        <f t="shared" ref="L38:L46" si="33">+D38-H38</f>
        <v>0</v>
      </c>
      <c r="M38" s="1"/>
      <c r="N38" s="5">
        <f t="shared" ref="N38:N46" si="34">IF(H38=0,0,L38/H38)</f>
        <v>0</v>
      </c>
      <c r="O38" s="12"/>
      <c r="P38" s="1">
        <f>SUM(OSRRefP22_2x_0)</f>
        <v>0</v>
      </c>
      <c r="Q38" s="1"/>
      <c r="R38" s="5">
        <f t="shared" ref="R38:R46" si="35">IF(P$12=0,0,P38/P$12)</f>
        <v>0</v>
      </c>
      <c r="S38" s="1"/>
      <c r="T38" s="1">
        <f>SUM(OSRRefT22_2x_0)</f>
        <v>968.17</v>
      </c>
      <c r="U38" s="1"/>
      <c r="V38" s="5">
        <f t="shared" ref="V38:V46" si="36">IF(T$12=0,0,T38/T$12)</f>
        <v>1.6218482221642427E-3</v>
      </c>
      <c r="W38" s="1"/>
      <c r="X38" s="1">
        <f t="shared" ref="X38:X46" si="37">+P38-T38</f>
        <v>-968.17</v>
      </c>
      <c r="Y38" s="1"/>
      <c r="Z38" s="5">
        <f t="shared" ref="Z38:Z46" si="38">IF(T38=0,0,X38/T38)</f>
        <v>-1</v>
      </c>
    </row>
    <row r="39" spans="1:26" s="23" customFormat="1" hidden="1" outlineLevel="2" x14ac:dyDescent="0.25">
      <c r="A39" s="25"/>
      <c r="B39" s="10" t="str">
        <f>CONCATENATE("          ", "6362", " - ", "ADVERTISING EXPENSE")</f>
        <v xml:space="preserve">          6362 - ADVERTISING EXPENSE</v>
      </c>
      <c r="C39" s="10"/>
      <c r="D39" s="6"/>
      <c r="E39" s="2"/>
      <c r="F39" s="7">
        <f t="shared" si="31"/>
        <v>0</v>
      </c>
      <c r="G39" s="2"/>
      <c r="H39" s="6"/>
      <c r="I39" s="2"/>
      <c r="J39" s="7">
        <f t="shared" si="32"/>
        <v>0</v>
      </c>
      <c r="K39" s="2"/>
      <c r="L39" s="6">
        <f t="shared" si="33"/>
        <v>0</v>
      </c>
      <c r="M39" s="2"/>
      <c r="N39" s="7">
        <f t="shared" si="34"/>
        <v>0</v>
      </c>
      <c r="O39" s="10"/>
      <c r="P39" s="6"/>
      <c r="Q39" s="2"/>
      <c r="R39" s="7">
        <f t="shared" si="35"/>
        <v>0</v>
      </c>
      <c r="S39" s="2"/>
      <c r="T39" s="6">
        <v>968.17</v>
      </c>
      <c r="U39" s="2"/>
      <c r="V39" s="7">
        <f t="shared" si="36"/>
        <v>1.6218482221642427E-3</v>
      </c>
      <c r="W39" s="2"/>
      <c r="X39" s="6">
        <f t="shared" si="37"/>
        <v>-968.17</v>
      </c>
      <c r="Y39" s="2"/>
      <c r="Z39" s="7">
        <f t="shared" si="38"/>
        <v>-1</v>
      </c>
    </row>
    <row r="40" spans="1:26" s="27" customFormat="1" outlineLevel="1" collapsed="1" x14ac:dyDescent="0.25">
      <c r="A40" s="26"/>
      <c r="B40" s="12" t="str">
        <f>CONCATENATE("     ","Bad Debts/Over/Short                              ")</f>
        <v xml:space="preserve">     Bad Debts/Over/Short                              </v>
      </c>
      <c r="C40" s="12"/>
      <c r="D40" s="1">
        <f>SUM(OSRRefD22_3x_0)</f>
        <v>0</v>
      </c>
      <c r="E40" s="1"/>
      <c r="F40" s="5">
        <f t="shared" si="31"/>
        <v>0</v>
      </c>
      <c r="G40" s="1"/>
      <c r="H40" s="1">
        <f>SUM(OSRRefH22_3x_0)</f>
        <v>0</v>
      </c>
      <c r="I40" s="1"/>
      <c r="J40" s="5">
        <f t="shared" si="32"/>
        <v>0</v>
      </c>
      <c r="K40" s="1"/>
      <c r="L40" s="1">
        <f t="shared" si="33"/>
        <v>0</v>
      </c>
      <c r="M40" s="1"/>
      <c r="N40" s="5">
        <f t="shared" si="34"/>
        <v>0</v>
      </c>
      <c r="O40" s="12"/>
      <c r="P40" s="1">
        <f>SUM(OSRRefP22_3x_0)</f>
        <v>0</v>
      </c>
      <c r="Q40" s="1"/>
      <c r="R40" s="5">
        <f t="shared" si="35"/>
        <v>0</v>
      </c>
      <c r="S40" s="1"/>
      <c r="T40" s="1">
        <f>SUM(OSRRefT22_3x_0)</f>
        <v>-84.11</v>
      </c>
      <c r="U40" s="1"/>
      <c r="V40" s="5">
        <f t="shared" si="36"/>
        <v>-1.4089845168331435E-4</v>
      </c>
      <c r="W40" s="1"/>
      <c r="X40" s="1">
        <f t="shared" si="37"/>
        <v>84.11</v>
      </c>
      <c r="Y40" s="1"/>
      <c r="Z40" s="5">
        <f t="shared" si="38"/>
        <v>-1</v>
      </c>
    </row>
    <row r="41" spans="1:26" s="23" customFormat="1" hidden="1" outlineLevel="2" x14ac:dyDescent="0.25">
      <c r="A41" s="25"/>
      <c r="B41" s="10" t="str">
        <f>CONCATENATE("          ", "6272", " - ", "CASH (OVER/SHORT)")</f>
        <v xml:space="preserve">          6272 - CASH (OVER/SHORT)</v>
      </c>
      <c r="C41" s="10"/>
      <c r="D41" s="6"/>
      <c r="E41" s="2"/>
      <c r="F41" s="7">
        <f t="shared" si="31"/>
        <v>0</v>
      </c>
      <c r="G41" s="2"/>
      <c r="H41" s="6"/>
      <c r="I41" s="2"/>
      <c r="J41" s="7">
        <f t="shared" si="32"/>
        <v>0</v>
      </c>
      <c r="K41" s="2"/>
      <c r="L41" s="6">
        <f t="shared" si="33"/>
        <v>0</v>
      </c>
      <c r="M41" s="2"/>
      <c r="N41" s="7">
        <f t="shared" si="34"/>
        <v>0</v>
      </c>
      <c r="O41" s="10"/>
      <c r="P41" s="6"/>
      <c r="Q41" s="2"/>
      <c r="R41" s="7">
        <f t="shared" si="35"/>
        <v>0</v>
      </c>
      <c r="S41" s="2"/>
      <c r="T41" s="6">
        <v>-84.11</v>
      </c>
      <c r="U41" s="2"/>
      <c r="V41" s="7">
        <f t="shared" si="36"/>
        <v>-1.4089845168331435E-4</v>
      </c>
      <c r="W41" s="2"/>
      <c r="X41" s="6">
        <f t="shared" si="37"/>
        <v>84.11</v>
      </c>
      <c r="Y41" s="2"/>
      <c r="Z41" s="7">
        <f t="shared" si="38"/>
        <v>-1</v>
      </c>
    </row>
    <row r="42" spans="1:26" s="27" customFormat="1" outlineLevel="1" collapsed="1" x14ac:dyDescent="0.25">
      <c r="A42" s="26"/>
      <c r="B42" s="12" t="str">
        <f>CONCATENATE("     ","Bank/card Fees                                    ")</f>
        <v xml:space="preserve">     Bank/card Fees                                    </v>
      </c>
      <c r="C42" s="12"/>
      <c r="D42" s="1">
        <f>SUM(OSRRefD22_4x_0)</f>
        <v>0</v>
      </c>
      <c r="E42" s="1"/>
      <c r="F42" s="5">
        <f t="shared" si="31"/>
        <v>0</v>
      </c>
      <c r="G42" s="1"/>
      <c r="H42" s="1">
        <f>SUM(OSRRefH22_4x_0)</f>
        <v>0</v>
      </c>
      <c r="I42" s="1"/>
      <c r="J42" s="5">
        <f t="shared" si="32"/>
        <v>0</v>
      </c>
      <c r="K42" s="1"/>
      <c r="L42" s="1">
        <f t="shared" si="33"/>
        <v>0</v>
      </c>
      <c r="M42" s="1"/>
      <c r="N42" s="5">
        <f t="shared" si="34"/>
        <v>0</v>
      </c>
      <c r="O42" s="12"/>
      <c r="P42" s="1">
        <f>SUM(OSRRefP22_4x_0)</f>
        <v>0</v>
      </c>
      <c r="Q42" s="1"/>
      <c r="R42" s="5">
        <f t="shared" si="35"/>
        <v>0</v>
      </c>
      <c r="S42" s="1"/>
      <c r="T42" s="1">
        <f>SUM(OSRRefT22_4x_0)</f>
        <v>22867.9</v>
      </c>
      <c r="U42" s="1"/>
      <c r="V42" s="5">
        <f t="shared" si="36"/>
        <v>3.8307593666019074E-2</v>
      </c>
      <c r="W42" s="1"/>
      <c r="X42" s="1">
        <f t="shared" si="37"/>
        <v>-22867.9</v>
      </c>
      <c r="Y42" s="1"/>
      <c r="Z42" s="5">
        <f t="shared" si="38"/>
        <v>-1</v>
      </c>
    </row>
    <row r="43" spans="1:26" s="23" customFormat="1" hidden="1" outlineLevel="2" x14ac:dyDescent="0.25">
      <c r="A43" s="25"/>
      <c r="B43" s="10" t="str">
        <f>CONCATENATE("          ", "6381", " - ", "BANK/CREDIT CARD FEES")</f>
        <v xml:space="preserve">          6381 - BANK/CREDIT CARD FEES</v>
      </c>
      <c r="C43" s="10"/>
      <c r="D43" s="6"/>
      <c r="E43" s="2"/>
      <c r="F43" s="7">
        <f t="shared" si="31"/>
        <v>0</v>
      </c>
      <c r="G43" s="2"/>
      <c r="H43" s="6"/>
      <c r="I43" s="2"/>
      <c r="J43" s="7">
        <f t="shared" si="32"/>
        <v>0</v>
      </c>
      <c r="K43" s="2"/>
      <c r="L43" s="6">
        <f t="shared" si="33"/>
        <v>0</v>
      </c>
      <c r="M43" s="2"/>
      <c r="N43" s="7">
        <f t="shared" si="34"/>
        <v>0</v>
      </c>
      <c r="O43" s="10"/>
      <c r="P43" s="6"/>
      <c r="Q43" s="2"/>
      <c r="R43" s="7">
        <f t="shared" si="35"/>
        <v>0</v>
      </c>
      <c r="S43" s="2"/>
      <c r="T43" s="6">
        <v>22867.9</v>
      </c>
      <c r="U43" s="2"/>
      <c r="V43" s="7">
        <f t="shared" si="36"/>
        <v>3.8307593666019074E-2</v>
      </c>
      <c r="W43" s="2"/>
      <c r="X43" s="6">
        <f t="shared" si="37"/>
        <v>-22867.9</v>
      </c>
      <c r="Y43" s="2"/>
      <c r="Z43" s="7">
        <f t="shared" si="38"/>
        <v>-1</v>
      </c>
    </row>
    <row r="44" spans="1:26" s="27" customFormat="1" outlineLevel="1" collapsed="1" x14ac:dyDescent="0.25">
      <c r="A44" s="26"/>
      <c r="B44" s="12" t="str">
        <f>CONCATENATE("     ","Depreciation                                      ")</f>
        <v xml:space="preserve">     Depreciation                                      </v>
      </c>
      <c r="C44" s="12"/>
      <c r="D44" s="1">
        <f>SUM(OSRRefD22_5x_0)</f>
        <v>5471.12</v>
      </c>
      <c r="E44" s="1"/>
      <c r="F44" s="5">
        <f t="shared" si="31"/>
        <v>0</v>
      </c>
      <c r="G44" s="1"/>
      <c r="H44" s="1">
        <f>SUM(OSRRefH22_5x_0)</f>
        <v>5582.48</v>
      </c>
      <c r="I44" s="1"/>
      <c r="J44" s="5">
        <f t="shared" si="32"/>
        <v>0</v>
      </c>
      <c r="K44" s="1"/>
      <c r="L44" s="1">
        <f t="shared" si="33"/>
        <v>-111.35999999999967</v>
      </c>
      <c r="M44" s="1"/>
      <c r="N44" s="5">
        <f t="shared" si="34"/>
        <v>-1.9948123414683022E-2</v>
      </c>
      <c r="O44" s="12"/>
      <c r="P44" s="1">
        <f>SUM(OSRRefP22_5x_0)</f>
        <v>66099.929999999993</v>
      </c>
      <c r="Q44" s="1"/>
      <c r="R44" s="5">
        <f t="shared" si="35"/>
        <v>0</v>
      </c>
      <c r="S44" s="1"/>
      <c r="T44" s="1">
        <f>SUM(OSRRefT22_5x_0)</f>
        <v>66220.14</v>
      </c>
      <c r="U44" s="1"/>
      <c r="V44" s="5">
        <f t="shared" si="36"/>
        <v>0.11092991554217468</v>
      </c>
      <c r="W44" s="1"/>
      <c r="X44" s="1">
        <f t="shared" si="37"/>
        <v>-120.2100000000064</v>
      </c>
      <c r="Y44" s="1"/>
      <c r="Z44" s="5">
        <f t="shared" si="38"/>
        <v>-1.8153087565203939E-3</v>
      </c>
    </row>
    <row r="45" spans="1:26" s="23" customFormat="1" hidden="1" outlineLevel="2" x14ac:dyDescent="0.25">
      <c r="A45" s="25"/>
      <c r="B45" s="10" t="str">
        <f>CONCATENATE("          ", "6321", " - ", "BUILDING DEPRECIATION")</f>
        <v xml:space="preserve">          6321 - BUILDING DEPRECIATION</v>
      </c>
      <c r="C45" s="10"/>
      <c r="D45" s="6">
        <v>5080.4799999999996</v>
      </c>
      <c r="E45" s="2"/>
      <c r="F45" s="7">
        <f t="shared" si="31"/>
        <v>0</v>
      </c>
      <c r="G45" s="2"/>
      <c r="H45" s="6">
        <v>5080.4799999999996</v>
      </c>
      <c r="I45" s="2"/>
      <c r="J45" s="7">
        <f t="shared" si="32"/>
        <v>0</v>
      </c>
      <c r="K45" s="2"/>
      <c r="L45" s="6">
        <f t="shared" si="33"/>
        <v>0</v>
      </c>
      <c r="M45" s="2"/>
      <c r="N45" s="7">
        <f t="shared" si="34"/>
        <v>0</v>
      </c>
      <c r="O45" s="10"/>
      <c r="P45" s="6">
        <v>60966.09</v>
      </c>
      <c r="Q45" s="2"/>
      <c r="R45" s="7">
        <f t="shared" si="35"/>
        <v>0</v>
      </c>
      <c r="S45" s="2"/>
      <c r="T45" s="6">
        <v>60966.09</v>
      </c>
      <c r="U45" s="2"/>
      <c r="V45" s="7">
        <f t="shared" si="36"/>
        <v>0.10212849466395903</v>
      </c>
      <c r="W45" s="2"/>
      <c r="X45" s="6">
        <f t="shared" si="37"/>
        <v>0</v>
      </c>
      <c r="Y45" s="2"/>
      <c r="Z45" s="7">
        <f t="shared" si="38"/>
        <v>0</v>
      </c>
    </row>
    <row r="46" spans="1:26" s="23" customFormat="1" hidden="1" outlineLevel="2" x14ac:dyDescent="0.25">
      <c r="A46" s="25"/>
      <c r="B46" s="10" t="str">
        <f>CONCATENATE("          ", "6322", " - ", "EQUIPMENT DEPRECIATION EXPENSE")</f>
        <v xml:space="preserve">          6322 - EQUIPMENT DEPRECIATION EXPENSE</v>
      </c>
      <c r="C46" s="10"/>
      <c r="D46" s="6">
        <v>390.64</v>
      </c>
      <c r="E46" s="2"/>
      <c r="F46" s="7">
        <f t="shared" si="31"/>
        <v>0</v>
      </c>
      <c r="G46" s="2"/>
      <c r="H46" s="6">
        <v>502</v>
      </c>
      <c r="I46" s="2"/>
      <c r="J46" s="7">
        <f t="shared" si="32"/>
        <v>0</v>
      </c>
      <c r="K46" s="2"/>
      <c r="L46" s="6">
        <f t="shared" si="33"/>
        <v>-111.36000000000001</v>
      </c>
      <c r="M46" s="2"/>
      <c r="N46" s="7">
        <f t="shared" si="34"/>
        <v>-0.2218326693227092</v>
      </c>
      <c r="O46" s="10"/>
      <c r="P46" s="6">
        <v>5133.84</v>
      </c>
      <c r="Q46" s="2"/>
      <c r="R46" s="7">
        <f t="shared" si="35"/>
        <v>0</v>
      </c>
      <c r="S46" s="2"/>
      <c r="T46" s="6">
        <v>5254.05</v>
      </c>
      <c r="U46" s="2"/>
      <c r="V46" s="7">
        <f t="shared" si="36"/>
        <v>8.8014208782156433E-3</v>
      </c>
      <c r="W46" s="2"/>
      <c r="X46" s="6">
        <f t="shared" si="37"/>
        <v>-120.21000000000004</v>
      </c>
      <c r="Y46" s="2"/>
      <c r="Z46" s="7">
        <f t="shared" si="38"/>
        <v>-2.2879492962571735E-2</v>
      </c>
    </row>
    <row r="47" spans="1:26" s="27" customFormat="1" outlineLevel="1" collapsed="1" x14ac:dyDescent="0.25">
      <c r="A47" s="26"/>
      <c r="B47" s="12" t="str">
        <f>CONCATENATE("     ","Employees' Appreciation                           ")</f>
        <v xml:space="preserve">     Employees' Appreciation                           </v>
      </c>
      <c r="C47" s="12"/>
      <c r="D47" s="1">
        <f>SUM(OSRRefD22_6x_0)</f>
        <v>0</v>
      </c>
      <c r="E47" s="1"/>
      <c r="F47" s="5">
        <f t="shared" ref="F47:F60" si="39">IF(D$12=0,0,D47/D$12)</f>
        <v>0</v>
      </c>
      <c r="G47" s="1"/>
      <c r="H47" s="1">
        <f>SUM(OSRRefH22_6x_0)</f>
        <v>0</v>
      </c>
      <c r="I47" s="1"/>
      <c r="J47" s="5">
        <f t="shared" ref="J47:J60" si="40">IF(H$12=0,0,H47/H$12)</f>
        <v>0</v>
      </c>
      <c r="K47" s="1"/>
      <c r="L47" s="1">
        <f t="shared" ref="L47:L60" si="41">+D47-H47</f>
        <v>0</v>
      </c>
      <c r="M47" s="1"/>
      <c r="N47" s="5">
        <f t="shared" ref="N47:N60" si="42">IF(H47=0,0,L47/H47)</f>
        <v>0</v>
      </c>
      <c r="O47" s="12"/>
      <c r="P47" s="1">
        <f>SUM(OSRRefP22_6x_0)</f>
        <v>0</v>
      </c>
      <c r="Q47" s="1"/>
      <c r="R47" s="5">
        <f t="shared" ref="R47:R60" si="43">IF(P$12=0,0,P47/P$12)</f>
        <v>0</v>
      </c>
      <c r="S47" s="1"/>
      <c r="T47" s="1">
        <f>SUM(OSRRefT22_6x_0)</f>
        <v>101.58</v>
      </c>
      <c r="U47" s="1"/>
      <c r="V47" s="5">
        <f t="shared" ref="V47:V60" si="44">IF(T$12=0,0,T47/T$12)</f>
        <v>1.7016365143254157E-4</v>
      </c>
      <c r="W47" s="1"/>
      <c r="X47" s="1">
        <f t="shared" ref="X47:X60" si="45">+P47-T47</f>
        <v>-101.58</v>
      </c>
      <c r="Y47" s="1"/>
      <c r="Z47" s="5">
        <f t="shared" ref="Z47:Z60" si="46">IF(T47=0,0,X47/T47)</f>
        <v>-1</v>
      </c>
    </row>
    <row r="48" spans="1:26" s="23" customFormat="1" hidden="1" outlineLevel="2" x14ac:dyDescent="0.25">
      <c r="A48" s="25"/>
      <c r="B48" s="10" t="str">
        <f>CONCATENATE("          ", "6277", " - ", "EMPLOYEE APPRECIATION")</f>
        <v xml:space="preserve">          6277 - EMPLOYEE APPRECIATION</v>
      </c>
      <c r="C48" s="10"/>
      <c r="D48" s="6"/>
      <c r="E48" s="2"/>
      <c r="F48" s="7">
        <f t="shared" si="39"/>
        <v>0</v>
      </c>
      <c r="G48" s="2"/>
      <c r="H48" s="6"/>
      <c r="I48" s="2"/>
      <c r="J48" s="7">
        <f t="shared" si="40"/>
        <v>0</v>
      </c>
      <c r="K48" s="2"/>
      <c r="L48" s="6">
        <f t="shared" si="41"/>
        <v>0</v>
      </c>
      <c r="M48" s="2"/>
      <c r="N48" s="7">
        <f t="shared" si="42"/>
        <v>0</v>
      </c>
      <c r="O48" s="10"/>
      <c r="P48" s="6"/>
      <c r="Q48" s="2"/>
      <c r="R48" s="7">
        <f t="shared" si="43"/>
        <v>0</v>
      </c>
      <c r="S48" s="2"/>
      <c r="T48" s="6">
        <v>101.58</v>
      </c>
      <c r="U48" s="2"/>
      <c r="V48" s="7">
        <f t="shared" si="44"/>
        <v>1.7016365143254157E-4</v>
      </c>
      <c r="W48" s="2"/>
      <c r="X48" s="6">
        <f t="shared" si="45"/>
        <v>-101.58</v>
      </c>
      <c r="Y48" s="2"/>
      <c r="Z48" s="7">
        <f t="shared" si="46"/>
        <v>-1</v>
      </c>
    </row>
    <row r="49" spans="1:26" s="27" customFormat="1" outlineLevel="1" collapsed="1" x14ac:dyDescent="0.25">
      <c r="A49" s="26"/>
      <c r="B49" s="12" t="str">
        <f>CONCATENATE("     ","Equipment Rental                                  ")</f>
        <v xml:space="preserve">     Equipment Rental                                  </v>
      </c>
      <c r="C49" s="12"/>
      <c r="D49" s="1">
        <f>SUM(OSRRefD22_7x_0)</f>
        <v>0</v>
      </c>
      <c r="E49" s="1"/>
      <c r="F49" s="5">
        <f t="shared" si="39"/>
        <v>0</v>
      </c>
      <c r="G49" s="1"/>
      <c r="H49" s="1">
        <f>SUM(OSRRefH22_7x_0)</f>
        <v>36.270000000000003</v>
      </c>
      <c r="I49" s="1"/>
      <c r="J49" s="5">
        <f t="shared" si="40"/>
        <v>0</v>
      </c>
      <c r="K49" s="1"/>
      <c r="L49" s="1">
        <f t="shared" si="41"/>
        <v>-36.270000000000003</v>
      </c>
      <c r="M49" s="1"/>
      <c r="N49" s="5">
        <f t="shared" si="42"/>
        <v>-1</v>
      </c>
      <c r="O49" s="12"/>
      <c r="P49" s="1">
        <f>SUM(OSRRefP22_7x_0)</f>
        <v>605.35</v>
      </c>
      <c r="Q49" s="1"/>
      <c r="R49" s="5">
        <f t="shared" si="43"/>
        <v>0</v>
      </c>
      <c r="S49" s="1"/>
      <c r="T49" s="1">
        <f>SUM(OSRRefT22_7x_0)</f>
        <v>1010.39</v>
      </c>
      <c r="U49" s="1"/>
      <c r="V49" s="5">
        <f t="shared" si="44"/>
        <v>1.6925738508655806E-3</v>
      </c>
      <c r="W49" s="1"/>
      <c r="X49" s="1">
        <f t="shared" si="45"/>
        <v>-405.03999999999996</v>
      </c>
      <c r="Y49" s="1"/>
      <c r="Z49" s="5">
        <f t="shared" si="46"/>
        <v>-0.40087490968833811</v>
      </c>
    </row>
    <row r="50" spans="1:26" s="23" customFormat="1" hidden="1" outlineLevel="2" x14ac:dyDescent="0.25">
      <c r="A50" s="25"/>
      <c r="B50" s="10" t="str">
        <f>CONCATENATE("          ", "6351", " - ", "EQUIPMENT RENTAL")</f>
        <v xml:space="preserve">          6351 - EQUIPMENT RENTAL</v>
      </c>
      <c r="C50" s="10"/>
      <c r="D50" s="6"/>
      <c r="E50" s="2"/>
      <c r="F50" s="7">
        <f t="shared" si="39"/>
        <v>0</v>
      </c>
      <c r="G50" s="2"/>
      <c r="H50" s="6">
        <v>36.270000000000003</v>
      </c>
      <c r="I50" s="2"/>
      <c r="J50" s="7">
        <f t="shared" si="40"/>
        <v>0</v>
      </c>
      <c r="K50" s="2"/>
      <c r="L50" s="6">
        <f t="shared" si="41"/>
        <v>-36.270000000000003</v>
      </c>
      <c r="M50" s="2"/>
      <c r="N50" s="7">
        <f t="shared" si="42"/>
        <v>-1</v>
      </c>
      <c r="O50" s="10"/>
      <c r="P50" s="6">
        <v>605.35</v>
      </c>
      <c r="Q50" s="2"/>
      <c r="R50" s="7">
        <f t="shared" si="43"/>
        <v>0</v>
      </c>
      <c r="S50" s="2"/>
      <c r="T50" s="6">
        <v>1010.39</v>
      </c>
      <c r="U50" s="2"/>
      <c r="V50" s="7">
        <f t="shared" si="44"/>
        <v>1.6925738508655806E-3</v>
      </c>
      <c r="W50" s="2"/>
      <c r="X50" s="6">
        <f t="shared" si="45"/>
        <v>-405.03999999999996</v>
      </c>
      <c r="Y50" s="2"/>
      <c r="Z50" s="7">
        <f t="shared" si="46"/>
        <v>-0.40087490968833811</v>
      </c>
    </row>
    <row r="51" spans="1:26" s="27" customFormat="1" outlineLevel="1" collapsed="1" x14ac:dyDescent="0.25">
      <c r="A51" s="26"/>
      <c r="B51" s="12" t="str">
        <f>CONCATENATE("     ","General                                           ")</f>
        <v xml:space="preserve">     General                                           </v>
      </c>
      <c r="C51" s="12"/>
      <c r="D51" s="1">
        <f>SUM(OSRRefD22_8x_0)</f>
        <v>0</v>
      </c>
      <c r="E51" s="1"/>
      <c r="F51" s="5">
        <f t="shared" si="39"/>
        <v>0</v>
      </c>
      <c r="G51" s="1"/>
      <c r="H51" s="1">
        <f>SUM(OSRRefH22_8x_0)</f>
        <v>0</v>
      </c>
      <c r="I51" s="1"/>
      <c r="J51" s="5">
        <f t="shared" si="40"/>
        <v>0</v>
      </c>
      <c r="K51" s="1"/>
      <c r="L51" s="1">
        <f t="shared" si="41"/>
        <v>0</v>
      </c>
      <c r="M51" s="1"/>
      <c r="N51" s="5">
        <f t="shared" si="42"/>
        <v>0</v>
      </c>
      <c r="O51" s="12"/>
      <c r="P51" s="1">
        <f>SUM(OSRRefP22_8x_0)</f>
        <v>914.55</v>
      </c>
      <c r="Q51" s="1"/>
      <c r="R51" s="5">
        <f t="shared" si="43"/>
        <v>0</v>
      </c>
      <c r="S51" s="1"/>
      <c r="T51" s="1">
        <f>SUM(OSRRefT22_8x_0)</f>
        <v>1345.73</v>
      </c>
      <c r="U51" s="1"/>
      <c r="V51" s="5">
        <f t="shared" si="44"/>
        <v>2.2543249718676331E-3</v>
      </c>
      <c r="W51" s="1"/>
      <c r="X51" s="1">
        <f t="shared" si="45"/>
        <v>-431.18000000000006</v>
      </c>
      <c r="Y51" s="1"/>
      <c r="Z51" s="5">
        <f t="shared" si="46"/>
        <v>-0.32040602498272319</v>
      </c>
    </row>
    <row r="52" spans="1:26" s="23" customFormat="1" hidden="1" outlineLevel="2" x14ac:dyDescent="0.25">
      <c r="A52" s="25"/>
      <c r="B52" s="10" t="str">
        <f>CONCATENATE("          ", "6279", " - ", "GENERAL EXPENSE")</f>
        <v xml:space="preserve">          6279 - GENERAL EXPENSE</v>
      </c>
      <c r="C52" s="10"/>
      <c r="D52" s="6"/>
      <c r="E52" s="2"/>
      <c r="F52" s="7">
        <f t="shared" si="39"/>
        <v>0</v>
      </c>
      <c r="G52" s="2"/>
      <c r="H52" s="6"/>
      <c r="I52" s="2"/>
      <c r="J52" s="7">
        <f t="shared" si="40"/>
        <v>0</v>
      </c>
      <c r="K52" s="2"/>
      <c r="L52" s="6">
        <f t="shared" si="41"/>
        <v>0</v>
      </c>
      <c r="M52" s="2"/>
      <c r="N52" s="7">
        <f t="shared" si="42"/>
        <v>0</v>
      </c>
      <c r="O52" s="10"/>
      <c r="P52" s="6">
        <v>914.55</v>
      </c>
      <c r="Q52" s="2"/>
      <c r="R52" s="7">
        <f t="shared" si="43"/>
        <v>0</v>
      </c>
      <c r="S52" s="2"/>
      <c r="T52" s="6">
        <v>1345.73</v>
      </c>
      <c r="U52" s="2"/>
      <c r="V52" s="7">
        <f t="shared" si="44"/>
        <v>2.2543249718676331E-3</v>
      </c>
      <c r="W52" s="2"/>
      <c r="X52" s="6">
        <f t="shared" si="45"/>
        <v>-431.18000000000006</v>
      </c>
      <c r="Y52" s="2"/>
      <c r="Z52" s="7">
        <f t="shared" si="46"/>
        <v>-0.32040602498272319</v>
      </c>
    </row>
    <row r="53" spans="1:26" s="27" customFormat="1" outlineLevel="1" collapsed="1" x14ac:dyDescent="0.25">
      <c r="A53" s="26"/>
      <c r="B53" s="12" t="str">
        <f>CONCATENATE("     ","Insurance                                         ")</f>
        <v xml:space="preserve">     Insurance                                         </v>
      </c>
      <c r="C53" s="12"/>
      <c r="D53" s="1">
        <f>SUM(OSRRefD22_9x_0)</f>
        <v>522.85</v>
      </c>
      <c r="E53" s="1"/>
      <c r="F53" s="5">
        <f t="shared" si="39"/>
        <v>0</v>
      </c>
      <c r="G53" s="1"/>
      <c r="H53" s="1">
        <f>SUM(OSRRefH22_9x_0)</f>
        <v>243.54</v>
      </c>
      <c r="I53" s="1"/>
      <c r="J53" s="5">
        <f t="shared" si="40"/>
        <v>0</v>
      </c>
      <c r="K53" s="1"/>
      <c r="L53" s="1">
        <f t="shared" si="41"/>
        <v>279.31000000000006</v>
      </c>
      <c r="M53" s="1"/>
      <c r="N53" s="5">
        <f t="shared" si="42"/>
        <v>1.1468752566313545</v>
      </c>
      <c r="O53" s="12"/>
      <c r="P53" s="1">
        <f>SUM(OSRRefP22_9x_0)</f>
        <v>3201.79</v>
      </c>
      <c r="Q53" s="1"/>
      <c r="R53" s="5">
        <f t="shared" si="43"/>
        <v>0</v>
      </c>
      <c r="S53" s="1"/>
      <c r="T53" s="1">
        <f>SUM(OSRRefT22_9x_0)</f>
        <v>2922.48</v>
      </c>
      <c r="U53" s="1"/>
      <c r="V53" s="5">
        <f t="shared" si="44"/>
        <v>4.8956474506652303E-3</v>
      </c>
      <c r="W53" s="1"/>
      <c r="X53" s="1">
        <f t="shared" si="45"/>
        <v>279.30999999999995</v>
      </c>
      <c r="Y53" s="1"/>
      <c r="Z53" s="5">
        <f t="shared" si="46"/>
        <v>9.5572938052612827E-2</v>
      </c>
    </row>
    <row r="54" spans="1:26" s="23" customFormat="1" hidden="1" outlineLevel="2" x14ac:dyDescent="0.25">
      <c r="A54" s="25"/>
      <c r="B54" s="10" t="str">
        <f>CONCATENATE("          ", "6314", " - ", "LIABILITY INSURANCE")</f>
        <v xml:space="preserve">          6314 - LIABILITY INSURANCE</v>
      </c>
      <c r="C54" s="10"/>
      <c r="D54" s="6">
        <v>522.85</v>
      </c>
      <c r="E54" s="2"/>
      <c r="F54" s="7">
        <f t="shared" si="39"/>
        <v>0</v>
      </c>
      <c r="G54" s="2"/>
      <c r="H54" s="6">
        <v>243.54</v>
      </c>
      <c r="I54" s="2"/>
      <c r="J54" s="7">
        <f t="shared" si="40"/>
        <v>0</v>
      </c>
      <c r="K54" s="2"/>
      <c r="L54" s="6">
        <f t="shared" si="41"/>
        <v>279.31000000000006</v>
      </c>
      <c r="M54" s="2"/>
      <c r="N54" s="7">
        <f t="shared" si="42"/>
        <v>1.1468752566313545</v>
      </c>
      <c r="O54" s="10"/>
      <c r="P54" s="6">
        <v>3201.79</v>
      </c>
      <c r="Q54" s="2"/>
      <c r="R54" s="7">
        <f t="shared" si="43"/>
        <v>0</v>
      </c>
      <c r="S54" s="2"/>
      <c r="T54" s="6">
        <v>2922.48</v>
      </c>
      <c r="U54" s="2"/>
      <c r="V54" s="7">
        <f t="shared" si="44"/>
        <v>4.8956474506652303E-3</v>
      </c>
      <c r="W54" s="2"/>
      <c r="X54" s="6">
        <f t="shared" si="45"/>
        <v>279.30999999999995</v>
      </c>
      <c r="Y54" s="2"/>
      <c r="Z54" s="7">
        <f t="shared" si="46"/>
        <v>9.5572938052612827E-2</v>
      </c>
    </row>
    <row r="55" spans="1:26" s="27" customFormat="1" outlineLevel="1" collapsed="1" x14ac:dyDescent="0.25">
      <c r="A55" s="26"/>
      <c r="B55" s="12" t="str">
        <f>CONCATENATE("     ","Interest                                          ")</f>
        <v xml:space="preserve">     Interest                                          </v>
      </c>
      <c r="C55" s="12"/>
      <c r="D55" s="1">
        <f>SUM(OSRRefD22_10x_0)</f>
        <v>-439.07</v>
      </c>
      <c r="E55" s="1"/>
      <c r="F55" s="5">
        <f t="shared" si="39"/>
        <v>0</v>
      </c>
      <c r="G55" s="1"/>
      <c r="H55" s="1">
        <f>SUM(OSRRefH22_10x_0)</f>
        <v>-308.07</v>
      </c>
      <c r="I55" s="1"/>
      <c r="J55" s="5">
        <f t="shared" si="40"/>
        <v>0</v>
      </c>
      <c r="K55" s="1"/>
      <c r="L55" s="1">
        <f t="shared" si="41"/>
        <v>-131</v>
      </c>
      <c r="M55" s="1"/>
      <c r="N55" s="5">
        <f t="shared" si="42"/>
        <v>0.42522803258999581</v>
      </c>
      <c r="O55" s="12"/>
      <c r="P55" s="1">
        <f>SUM(OSRRefP22_10x_0)</f>
        <v>42951.78</v>
      </c>
      <c r="Q55" s="1"/>
      <c r="R55" s="5">
        <f t="shared" si="43"/>
        <v>0</v>
      </c>
      <c r="S55" s="1"/>
      <c r="T55" s="1">
        <f>SUM(OSRRefT22_10x_0)</f>
        <v>44360.7</v>
      </c>
      <c r="U55" s="1"/>
      <c r="V55" s="5">
        <f t="shared" si="44"/>
        <v>7.4311662651147345E-2</v>
      </c>
      <c r="W55" s="1"/>
      <c r="X55" s="1">
        <f t="shared" si="45"/>
        <v>-1408.9199999999983</v>
      </c>
      <c r="Y55" s="1"/>
      <c r="Z55" s="5">
        <f t="shared" si="46"/>
        <v>-3.1760544806551709E-2</v>
      </c>
    </row>
    <row r="56" spans="1:26" s="23" customFormat="1" hidden="1" outlineLevel="2" x14ac:dyDescent="0.25">
      <c r="A56" s="25"/>
      <c r="B56" s="10" t="str">
        <f>CONCATENATE("          ", "6401", " - ", "INTEREST EXPENSE")</f>
        <v xml:space="preserve">          6401 - INTEREST EXPENSE</v>
      </c>
      <c r="C56" s="10"/>
      <c r="D56" s="6">
        <v>-439.07</v>
      </c>
      <c r="E56" s="2"/>
      <c r="F56" s="7">
        <f t="shared" si="39"/>
        <v>0</v>
      </c>
      <c r="G56" s="2"/>
      <c r="H56" s="6">
        <v>-308.07</v>
      </c>
      <c r="I56" s="2"/>
      <c r="J56" s="7">
        <f t="shared" si="40"/>
        <v>0</v>
      </c>
      <c r="K56" s="2"/>
      <c r="L56" s="6">
        <f t="shared" si="41"/>
        <v>-131</v>
      </c>
      <c r="M56" s="2"/>
      <c r="N56" s="7">
        <f t="shared" si="42"/>
        <v>0.42522803258999581</v>
      </c>
      <c r="O56" s="10"/>
      <c r="P56" s="6">
        <v>42951.78</v>
      </c>
      <c r="Q56" s="2"/>
      <c r="R56" s="7">
        <f t="shared" si="43"/>
        <v>0</v>
      </c>
      <c r="S56" s="2"/>
      <c r="T56" s="6">
        <v>44360.7</v>
      </c>
      <c r="U56" s="2"/>
      <c r="V56" s="7">
        <f t="shared" si="44"/>
        <v>7.4311662651147345E-2</v>
      </c>
      <c r="W56" s="2"/>
      <c r="X56" s="6">
        <f t="shared" si="45"/>
        <v>-1408.9199999999983</v>
      </c>
      <c r="Y56" s="2"/>
      <c r="Z56" s="7">
        <f t="shared" si="46"/>
        <v>-3.1760544806551709E-2</v>
      </c>
    </row>
    <row r="57" spans="1:26" s="27" customFormat="1" outlineLevel="1" collapsed="1" x14ac:dyDescent="0.25">
      <c r="A57" s="26"/>
      <c r="B57" s="12" t="str">
        <f>CONCATENATE("     ","Repair and Maintenance                            ")</f>
        <v xml:space="preserve">     Repair and Maintenance                            </v>
      </c>
      <c r="C57" s="12"/>
      <c r="D57" s="1">
        <f>SUM(OSRRefD22_11x_0)</f>
        <v>107.78</v>
      </c>
      <c r="E57" s="1"/>
      <c r="F57" s="5">
        <f t="shared" si="39"/>
        <v>0</v>
      </c>
      <c r="G57" s="1"/>
      <c r="H57" s="1">
        <f>SUM(OSRRefH22_11x_0)</f>
        <v>108.52</v>
      </c>
      <c r="I57" s="1"/>
      <c r="J57" s="5">
        <f t="shared" si="40"/>
        <v>0</v>
      </c>
      <c r="K57" s="1"/>
      <c r="L57" s="1">
        <f t="shared" si="41"/>
        <v>-0.73999999999999488</v>
      </c>
      <c r="M57" s="1"/>
      <c r="N57" s="5">
        <f t="shared" si="42"/>
        <v>-6.8190195355694334E-3</v>
      </c>
      <c r="O57" s="12"/>
      <c r="P57" s="1">
        <f>SUM(OSRRefP22_11x_0)</f>
        <v>950.06999999999994</v>
      </c>
      <c r="Q57" s="1"/>
      <c r="R57" s="5">
        <f t="shared" si="43"/>
        <v>0</v>
      </c>
      <c r="S57" s="1"/>
      <c r="T57" s="1">
        <f>SUM(OSRRefT22_11x_0)</f>
        <v>1154.71</v>
      </c>
      <c r="U57" s="1"/>
      <c r="V57" s="5">
        <f t="shared" si="44"/>
        <v>1.9343342187996661E-3</v>
      </c>
      <c r="W57" s="1"/>
      <c r="X57" s="1">
        <f t="shared" si="45"/>
        <v>-204.6400000000001</v>
      </c>
      <c r="Y57" s="1"/>
      <c r="Z57" s="5">
        <f t="shared" si="46"/>
        <v>-0.17722198647279411</v>
      </c>
    </row>
    <row r="58" spans="1:26" s="23" customFormat="1" hidden="1" outlineLevel="2" x14ac:dyDescent="0.25">
      <c r="A58" s="25"/>
      <c r="B58" s="10" t="str">
        <f>CONCATENATE("          ", "6371", " - ", "COMPUTER SOFTWARE MAINTENANCE")</f>
        <v xml:space="preserve">          6371 - COMPUTER SOFTWARE MAINTENANCE</v>
      </c>
      <c r="C58" s="10"/>
      <c r="D58" s="6"/>
      <c r="E58" s="2"/>
      <c r="F58" s="7">
        <f t="shared" si="39"/>
        <v>0</v>
      </c>
      <c r="G58" s="2"/>
      <c r="H58" s="6"/>
      <c r="I58" s="2"/>
      <c r="J58" s="7">
        <f t="shared" si="40"/>
        <v>0</v>
      </c>
      <c r="K58" s="2"/>
      <c r="L58" s="6">
        <f t="shared" si="41"/>
        <v>0</v>
      </c>
      <c r="M58" s="2"/>
      <c r="N58" s="7">
        <f t="shared" si="42"/>
        <v>0</v>
      </c>
      <c r="O58" s="10"/>
      <c r="P58" s="6"/>
      <c r="Q58" s="2"/>
      <c r="R58" s="7">
        <f t="shared" si="43"/>
        <v>0</v>
      </c>
      <c r="S58" s="2"/>
      <c r="T58" s="6">
        <v>437.31</v>
      </c>
      <c r="U58" s="2"/>
      <c r="V58" s="7">
        <f t="shared" si="44"/>
        <v>7.3256808828474861E-4</v>
      </c>
      <c r="W58" s="2"/>
      <c r="X58" s="6">
        <f t="shared" si="45"/>
        <v>-437.31</v>
      </c>
      <c r="Y58" s="2"/>
      <c r="Z58" s="7">
        <f t="shared" si="46"/>
        <v>-1</v>
      </c>
    </row>
    <row r="59" spans="1:26" s="23" customFormat="1" hidden="1" outlineLevel="2" x14ac:dyDescent="0.25">
      <c r="A59" s="25"/>
      <c r="B59" s="10" t="str">
        <f>CONCATENATE("          ", "6373", " - ", "MAINTENANCE CONTRACTS")</f>
        <v xml:space="preserve">          6373 - MAINTENANCE CONTRACTS</v>
      </c>
      <c r="C59" s="10"/>
      <c r="D59" s="6">
        <v>107.78</v>
      </c>
      <c r="E59" s="2"/>
      <c r="F59" s="7">
        <f t="shared" si="39"/>
        <v>0</v>
      </c>
      <c r="G59" s="2"/>
      <c r="H59" s="6">
        <v>108.52</v>
      </c>
      <c r="I59" s="2"/>
      <c r="J59" s="7">
        <f t="shared" si="40"/>
        <v>0</v>
      </c>
      <c r="K59" s="2"/>
      <c r="L59" s="6">
        <f t="shared" si="41"/>
        <v>-0.73999999999999488</v>
      </c>
      <c r="M59" s="2"/>
      <c r="N59" s="7">
        <f t="shared" si="42"/>
        <v>-6.8190195355694334E-3</v>
      </c>
      <c r="O59" s="10"/>
      <c r="P59" s="6">
        <v>511.94</v>
      </c>
      <c r="Q59" s="2"/>
      <c r="R59" s="7">
        <f t="shared" si="43"/>
        <v>0</v>
      </c>
      <c r="S59" s="2"/>
      <c r="T59" s="6">
        <v>426.78</v>
      </c>
      <c r="U59" s="2"/>
      <c r="V59" s="7">
        <f t="shared" si="44"/>
        <v>7.1492856033057782E-4</v>
      </c>
      <c r="W59" s="2"/>
      <c r="X59" s="6">
        <f t="shared" si="45"/>
        <v>85.160000000000025</v>
      </c>
      <c r="Y59" s="2"/>
      <c r="Z59" s="7">
        <f t="shared" si="46"/>
        <v>0.19954074698908109</v>
      </c>
    </row>
    <row r="60" spans="1:26" s="23" customFormat="1" hidden="1" outlineLevel="2" x14ac:dyDescent="0.25">
      <c r="A60" s="25"/>
      <c r="B60" s="10" t="str">
        <f>CONCATENATE("          ", "6375", " - ", "OUTSIDE REPAIRS &amp; MAINTENANCE")</f>
        <v xml:space="preserve">          6375 - OUTSIDE REPAIRS &amp; MAINTENANCE</v>
      </c>
      <c r="C60" s="10"/>
      <c r="D60" s="6"/>
      <c r="E60" s="2"/>
      <c r="F60" s="7">
        <f t="shared" si="39"/>
        <v>0</v>
      </c>
      <c r="G60" s="2"/>
      <c r="H60" s="6"/>
      <c r="I60" s="2"/>
      <c r="J60" s="7">
        <f t="shared" si="40"/>
        <v>0</v>
      </c>
      <c r="K60" s="2"/>
      <c r="L60" s="6">
        <f t="shared" si="41"/>
        <v>0</v>
      </c>
      <c r="M60" s="2"/>
      <c r="N60" s="7">
        <f t="shared" si="42"/>
        <v>0</v>
      </c>
      <c r="O60" s="10"/>
      <c r="P60" s="6">
        <v>438.13</v>
      </c>
      <c r="Q60" s="2"/>
      <c r="R60" s="7">
        <f t="shared" si="43"/>
        <v>0</v>
      </c>
      <c r="S60" s="2"/>
      <c r="T60" s="6">
        <v>290.62</v>
      </c>
      <c r="U60" s="2"/>
      <c r="V60" s="7">
        <f t="shared" si="44"/>
        <v>4.8683757018433979E-4</v>
      </c>
      <c r="W60" s="2"/>
      <c r="X60" s="6">
        <f t="shared" si="45"/>
        <v>147.51</v>
      </c>
      <c r="Y60" s="2"/>
      <c r="Z60" s="7">
        <f t="shared" si="46"/>
        <v>0.50757002271006812</v>
      </c>
    </row>
    <row r="61" spans="1:26" s="27" customFormat="1" outlineLevel="1" collapsed="1" x14ac:dyDescent="0.25">
      <c r="A61" s="26"/>
      <c r="B61" s="12" t="str">
        <f>CONCATENATE("     ","Services                                          ")</f>
        <v xml:space="preserve">     Services                                          </v>
      </c>
      <c r="C61" s="12"/>
      <c r="D61" s="1">
        <f>SUM(OSRRefD22_12x_0)</f>
        <v>-22.599999999999994</v>
      </c>
      <c r="E61" s="1"/>
      <c r="F61" s="5">
        <f t="shared" ref="F61:F65" si="47">IF(D$12=0,0,D61/D$12)</f>
        <v>0</v>
      </c>
      <c r="G61" s="1"/>
      <c r="H61" s="1">
        <f>SUM(OSRRefH22_12x_0)</f>
        <v>7407.4</v>
      </c>
      <c r="I61" s="1"/>
      <c r="J61" s="5">
        <f t="shared" ref="J61:J65" si="48">IF(H$12=0,0,H61/H$12)</f>
        <v>0</v>
      </c>
      <c r="K61" s="1"/>
      <c r="L61" s="1">
        <f t="shared" ref="L61:L65" si="49">+D61-H61</f>
        <v>-7430</v>
      </c>
      <c r="M61" s="1"/>
      <c r="N61" s="5">
        <f t="shared" ref="N61:N65" si="50">IF(H61=0,0,L61/H61)</f>
        <v>-1.0030510030510031</v>
      </c>
      <c r="O61" s="12"/>
      <c r="P61" s="1">
        <f>SUM(OSRRefP22_12x_0)</f>
        <v>2385.5500000000002</v>
      </c>
      <c r="Q61" s="1"/>
      <c r="R61" s="5">
        <f t="shared" ref="R61:R65" si="51">IF(P$12=0,0,P61/P$12)</f>
        <v>0</v>
      </c>
      <c r="S61" s="1"/>
      <c r="T61" s="1">
        <f>SUM(OSRRefT22_12x_0)</f>
        <v>13035.58</v>
      </c>
      <c r="U61" s="1"/>
      <c r="V61" s="5">
        <f t="shared" ref="V61:V65" si="52">IF(T$12=0,0,T61/T$12)</f>
        <v>2.1836797512709297E-2</v>
      </c>
      <c r="W61" s="1"/>
      <c r="X61" s="1">
        <f t="shared" ref="X61:X65" si="53">+P61-T61</f>
        <v>-10650.029999999999</v>
      </c>
      <c r="Y61" s="1"/>
      <c r="Z61" s="5">
        <f t="shared" ref="Z61:Z65" si="54">IF(T61=0,0,X61/T61)</f>
        <v>-0.81699701892819487</v>
      </c>
    </row>
    <row r="62" spans="1:26" s="23" customFormat="1" hidden="1" outlineLevel="2" x14ac:dyDescent="0.25">
      <c r="A62" s="25"/>
      <c r="B62" s="10" t="str">
        <f>CONCATENATE("          ", "6282", " - ", "JANITORIAL/EXTERMINATOR EXPENS")</f>
        <v xml:space="preserve">          6282 - JANITORIAL/EXTERMINATOR EXPENS</v>
      </c>
      <c r="C62" s="10"/>
      <c r="D62" s="6">
        <v>168.4</v>
      </c>
      <c r="E62" s="2"/>
      <c r="F62" s="7">
        <f t="shared" si="47"/>
        <v>0</v>
      </c>
      <c r="G62" s="2"/>
      <c r="H62" s="6">
        <v>314.7</v>
      </c>
      <c r="I62" s="2"/>
      <c r="J62" s="7">
        <f t="shared" si="48"/>
        <v>0</v>
      </c>
      <c r="K62" s="2"/>
      <c r="L62" s="6">
        <f t="shared" si="49"/>
        <v>-146.29999999999998</v>
      </c>
      <c r="M62" s="2"/>
      <c r="N62" s="7">
        <f t="shared" si="50"/>
        <v>-0.46488719415316171</v>
      </c>
      <c r="O62" s="10"/>
      <c r="P62" s="6">
        <v>1123.55</v>
      </c>
      <c r="Q62" s="2"/>
      <c r="R62" s="7">
        <f t="shared" si="51"/>
        <v>0</v>
      </c>
      <c r="S62" s="2"/>
      <c r="T62" s="6">
        <v>1888.2</v>
      </c>
      <c r="U62" s="2"/>
      <c r="V62" s="7">
        <f t="shared" si="52"/>
        <v>3.1630538160555719E-3</v>
      </c>
      <c r="W62" s="2"/>
      <c r="X62" s="6">
        <f t="shared" si="53"/>
        <v>-764.65000000000009</v>
      </c>
      <c r="Y62" s="2"/>
      <c r="Z62" s="7">
        <f t="shared" si="54"/>
        <v>-0.40496239805105394</v>
      </c>
    </row>
    <row r="63" spans="1:26" s="23" customFormat="1" hidden="1" outlineLevel="2" x14ac:dyDescent="0.25">
      <c r="A63" s="25"/>
      <c r="B63" s="10" t="str">
        <f>CONCATENATE("          ", "6284", " - ", "TRASH REMOVAL EXPENSE")</f>
        <v xml:space="preserve">          6284 - TRASH REMOVAL EXPENSE</v>
      </c>
      <c r="C63" s="10"/>
      <c r="D63" s="6">
        <v>-191</v>
      </c>
      <c r="E63" s="2"/>
      <c r="F63" s="7">
        <f t="shared" si="47"/>
        <v>0</v>
      </c>
      <c r="G63" s="2"/>
      <c r="H63" s="6">
        <v>2738</v>
      </c>
      <c r="I63" s="2"/>
      <c r="J63" s="7">
        <f t="shared" si="48"/>
        <v>0</v>
      </c>
      <c r="K63" s="2"/>
      <c r="L63" s="6">
        <f t="shared" si="49"/>
        <v>-2929</v>
      </c>
      <c r="M63" s="2"/>
      <c r="N63" s="7">
        <f t="shared" si="50"/>
        <v>-1.0697589481373264</v>
      </c>
      <c r="O63" s="10"/>
      <c r="P63" s="6">
        <v>1262</v>
      </c>
      <c r="Q63" s="2"/>
      <c r="R63" s="7">
        <f t="shared" si="51"/>
        <v>0</v>
      </c>
      <c r="S63" s="2"/>
      <c r="T63" s="6">
        <v>5916</v>
      </c>
      <c r="U63" s="2"/>
      <c r="V63" s="7">
        <f t="shared" si="52"/>
        <v>9.9102988961893672E-3</v>
      </c>
      <c r="W63" s="2"/>
      <c r="X63" s="6">
        <f t="shared" si="53"/>
        <v>-4654</v>
      </c>
      <c r="Y63" s="2"/>
      <c r="Z63" s="7">
        <f t="shared" si="54"/>
        <v>-0.78668018931710615</v>
      </c>
    </row>
    <row r="64" spans="1:26" s="23" customFormat="1" hidden="1" outlineLevel="2" x14ac:dyDescent="0.25">
      <c r="A64" s="25"/>
      <c r="B64" s="10" t="str">
        <f>CONCATENATE("          ", "6285", " - ", "JANITORIAL SERVICES")</f>
        <v xml:space="preserve">          6285 - JANITORIAL SERVICES</v>
      </c>
      <c r="C64" s="10"/>
      <c r="D64" s="6"/>
      <c r="E64" s="2"/>
      <c r="F64" s="7">
        <f t="shared" si="47"/>
        <v>0</v>
      </c>
      <c r="G64" s="2"/>
      <c r="H64" s="6">
        <v>4354.7</v>
      </c>
      <c r="I64" s="2"/>
      <c r="J64" s="7">
        <f t="shared" si="48"/>
        <v>0</v>
      </c>
      <c r="K64" s="2"/>
      <c r="L64" s="6">
        <f t="shared" si="49"/>
        <v>-4354.7</v>
      </c>
      <c r="M64" s="2"/>
      <c r="N64" s="7">
        <f t="shared" si="50"/>
        <v>-1</v>
      </c>
      <c r="O64" s="10"/>
      <c r="P64" s="6"/>
      <c r="Q64" s="2"/>
      <c r="R64" s="7">
        <f t="shared" si="51"/>
        <v>0</v>
      </c>
      <c r="S64" s="2"/>
      <c r="T64" s="6">
        <v>4354.7</v>
      </c>
      <c r="U64" s="2"/>
      <c r="V64" s="7">
        <f t="shared" si="52"/>
        <v>7.2948577760709662E-3</v>
      </c>
      <c r="W64" s="2"/>
      <c r="X64" s="6">
        <f t="shared" si="53"/>
        <v>-4354.7</v>
      </c>
      <c r="Y64" s="2"/>
      <c r="Z64" s="7">
        <f t="shared" si="54"/>
        <v>-1</v>
      </c>
    </row>
    <row r="65" spans="1:26" s="23" customFormat="1" hidden="1" outlineLevel="2" x14ac:dyDescent="0.25">
      <c r="A65" s="25"/>
      <c r="B65" s="10" t="str">
        <f>CONCATENATE("          ", "6286", " - ", "LAUNDRY EXPENSE")</f>
        <v xml:space="preserve">          6286 - LAUNDRY EXPENSE</v>
      </c>
      <c r="C65" s="10"/>
      <c r="D65" s="6"/>
      <c r="E65" s="2"/>
      <c r="F65" s="7">
        <f t="shared" si="47"/>
        <v>0</v>
      </c>
      <c r="G65" s="2"/>
      <c r="H65" s="6"/>
      <c r="I65" s="2"/>
      <c r="J65" s="7">
        <f t="shared" si="48"/>
        <v>0</v>
      </c>
      <c r="K65" s="2"/>
      <c r="L65" s="6">
        <f t="shared" si="49"/>
        <v>0</v>
      </c>
      <c r="M65" s="2"/>
      <c r="N65" s="7">
        <f t="shared" si="50"/>
        <v>0</v>
      </c>
      <c r="O65" s="10"/>
      <c r="P65" s="6"/>
      <c r="Q65" s="2"/>
      <c r="R65" s="7">
        <f t="shared" si="51"/>
        <v>0</v>
      </c>
      <c r="S65" s="2"/>
      <c r="T65" s="6">
        <v>876.68</v>
      </c>
      <c r="U65" s="2"/>
      <c r="V65" s="7">
        <f t="shared" si="52"/>
        <v>1.4685870243933898E-3</v>
      </c>
      <c r="W65" s="2"/>
      <c r="X65" s="6">
        <f t="shared" si="53"/>
        <v>-876.68</v>
      </c>
      <c r="Y65" s="2"/>
      <c r="Z65" s="7">
        <f t="shared" si="54"/>
        <v>-1</v>
      </c>
    </row>
    <row r="66" spans="1:26" s="27" customFormat="1" outlineLevel="1" collapsed="1" x14ac:dyDescent="0.25">
      <c r="A66" s="26"/>
      <c r="B66" s="12" t="str">
        <f>CONCATENATE("     ","Subscriptions &amp; Dues                              ")</f>
        <v xml:space="preserve">     Subscriptions &amp; Dues                              </v>
      </c>
      <c r="C66" s="12"/>
      <c r="D66" s="1">
        <f>SUM(OSRRefD22_13x_0)</f>
        <v>0</v>
      </c>
      <c r="E66" s="1"/>
      <c r="F66" s="5">
        <f t="shared" ref="F66:F73" si="55">IF(D$12=0,0,D66/D$12)</f>
        <v>0</v>
      </c>
      <c r="G66" s="1"/>
      <c r="H66" s="1">
        <f>SUM(OSRRefH22_13x_0)</f>
        <v>0</v>
      </c>
      <c r="I66" s="1"/>
      <c r="J66" s="5">
        <f t="shared" ref="J66:J73" si="56">IF(H$12=0,0,H66/H$12)</f>
        <v>0</v>
      </c>
      <c r="K66" s="1"/>
      <c r="L66" s="1">
        <f t="shared" ref="L66:L73" si="57">+D66-H66</f>
        <v>0</v>
      </c>
      <c r="M66" s="1"/>
      <c r="N66" s="5">
        <f t="shared" ref="N66:N73" si="58">IF(H66=0,0,L66/H66)</f>
        <v>0</v>
      </c>
      <c r="O66" s="12"/>
      <c r="P66" s="1">
        <f>SUM(OSRRefP22_13x_0)</f>
        <v>0</v>
      </c>
      <c r="Q66" s="1"/>
      <c r="R66" s="5">
        <f t="shared" ref="R66:R73" si="59">IF(P$12=0,0,P66/P$12)</f>
        <v>0</v>
      </c>
      <c r="S66" s="1"/>
      <c r="T66" s="1">
        <f>SUM(OSRRefT22_13x_0)</f>
        <v>1411.2</v>
      </c>
      <c r="U66" s="1"/>
      <c r="V66" s="5">
        <f t="shared" ref="V66:V73" si="60">IF(T$12=0,0,T66/T$12)</f>
        <v>2.3639982762512571E-3</v>
      </c>
      <c r="W66" s="1"/>
      <c r="X66" s="1">
        <f t="shared" ref="X66:X73" si="61">+P66-T66</f>
        <v>-1411.2</v>
      </c>
      <c r="Y66" s="1"/>
      <c r="Z66" s="5">
        <f t="shared" ref="Z66:Z73" si="62">IF(T66=0,0,X66/T66)</f>
        <v>-1</v>
      </c>
    </row>
    <row r="67" spans="1:26" s="23" customFormat="1" hidden="1" outlineLevel="2" x14ac:dyDescent="0.25">
      <c r="A67" s="25"/>
      <c r="B67" s="10" t="str">
        <f>CONCATENATE("          ", "6275", " - ", "SUBSCRIPTIONS")</f>
        <v xml:space="preserve">          6275 - SUBSCRIPTIONS</v>
      </c>
      <c r="C67" s="10"/>
      <c r="D67" s="6"/>
      <c r="E67" s="2"/>
      <c r="F67" s="7">
        <f t="shared" si="55"/>
        <v>0</v>
      </c>
      <c r="G67" s="2"/>
      <c r="H67" s="6"/>
      <c r="I67" s="2"/>
      <c r="J67" s="7">
        <f t="shared" si="56"/>
        <v>0</v>
      </c>
      <c r="K67" s="2"/>
      <c r="L67" s="6">
        <f t="shared" si="57"/>
        <v>0</v>
      </c>
      <c r="M67" s="2"/>
      <c r="N67" s="7">
        <f t="shared" si="58"/>
        <v>0</v>
      </c>
      <c r="O67" s="10"/>
      <c r="P67" s="6"/>
      <c r="Q67" s="2"/>
      <c r="R67" s="7">
        <f t="shared" si="59"/>
        <v>0</v>
      </c>
      <c r="S67" s="2"/>
      <c r="T67" s="6">
        <v>1411.2</v>
      </c>
      <c r="U67" s="2"/>
      <c r="V67" s="7">
        <f t="shared" si="60"/>
        <v>2.3639982762512571E-3</v>
      </c>
      <c r="W67" s="2"/>
      <c r="X67" s="6">
        <f t="shared" si="61"/>
        <v>-1411.2</v>
      </c>
      <c r="Y67" s="2"/>
      <c r="Z67" s="7">
        <f t="shared" si="62"/>
        <v>-1</v>
      </c>
    </row>
    <row r="68" spans="1:26" s="27" customFormat="1" outlineLevel="1" collapsed="1" x14ac:dyDescent="0.25">
      <c r="A68" s="26"/>
      <c r="B68" s="12" t="str">
        <f>CONCATENATE("     ","Supplies                                          ")</f>
        <v xml:space="preserve">     Supplies                                          </v>
      </c>
      <c r="C68" s="12"/>
      <c r="D68" s="1">
        <f>SUM(OSRRefD22_14x_0)</f>
        <v>0</v>
      </c>
      <c r="E68" s="1"/>
      <c r="F68" s="5">
        <f t="shared" si="55"/>
        <v>0</v>
      </c>
      <c r="G68" s="1"/>
      <c r="H68" s="1">
        <f>SUM(OSRRefH22_14x_0)</f>
        <v>0</v>
      </c>
      <c r="I68" s="1"/>
      <c r="J68" s="5">
        <f t="shared" si="56"/>
        <v>0</v>
      </c>
      <c r="K68" s="1"/>
      <c r="L68" s="1">
        <f t="shared" si="57"/>
        <v>0</v>
      </c>
      <c r="M68" s="1"/>
      <c r="N68" s="5">
        <f t="shared" si="58"/>
        <v>0</v>
      </c>
      <c r="O68" s="12"/>
      <c r="P68" s="1">
        <f>SUM(OSRRefP22_14x_0)</f>
        <v>634.24</v>
      </c>
      <c r="Q68" s="1"/>
      <c r="R68" s="5">
        <f t="shared" si="59"/>
        <v>0</v>
      </c>
      <c r="S68" s="1"/>
      <c r="T68" s="1">
        <f>SUM(OSRRefT22_14x_0)</f>
        <v>10919.900000000001</v>
      </c>
      <c r="U68" s="1"/>
      <c r="V68" s="5">
        <f t="shared" si="60"/>
        <v>1.8292676287440551E-2</v>
      </c>
      <c r="W68" s="1"/>
      <c r="X68" s="1">
        <f t="shared" si="61"/>
        <v>-10285.660000000002</v>
      </c>
      <c r="Y68" s="1"/>
      <c r="Z68" s="5">
        <f t="shared" si="62"/>
        <v>-0.94191888204104435</v>
      </c>
    </row>
    <row r="69" spans="1:26" s="23" customFormat="1" hidden="1" outlineLevel="2" x14ac:dyDescent="0.25">
      <c r="A69" s="25"/>
      <c r="B69" s="10" t="str">
        <f>CONCATENATE("          ", "6234", " - ", "EXPENDABLE SUPPLIES &amp; EQUIPMEN")</f>
        <v xml:space="preserve">          6234 - EXPENDABLE SUPPLIES &amp; EQUIPMEN</v>
      </c>
      <c r="C69" s="10"/>
      <c r="D69" s="6"/>
      <c r="E69" s="2"/>
      <c r="F69" s="7">
        <f t="shared" si="55"/>
        <v>0</v>
      </c>
      <c r="G69" s="2"/>
      <c r="H69" s="6"/>
      <c r="I69" s="2"/>
      <c r="J69" s="7">
        <f t="shared" si="56"/>
        <v>0</v>
      </c>
      <c r="K69" s="2"/>
      <c r="L69" s="6">
        <f t="shared" si="57"/>
        <v>0</v>
      </c>
      <c r="M69" s="2"/>
      <c r="N69" s="7">
        <f t="shared" si="58"/>
        <v>0</v>
      </c>
      <c r="O69" s="10"/>
      <c r="P69" s="6">
        <v>316.67</v>
      </c>
      <c r="Q69" s="2"/>
      <c r="R69" s="7">
        <f t="shared" si="59"/>
        <v>0</v>
      </c>
      <c r="S69" s="2"/>
      <c r="T69" s="6">
        <v>28.22</v>
      </c>
      <c r="U69" s="2"/>
      <c r="V69" s="7">
        <f t="shared" si="60"/>
        <v>4.7273264849638937E-5</v>
      </c>
      <c r="W69" s="2"/>
      <c r="X69" s="6">
        <f t="shared" si="61"/>
        <v>288.45000000000005</v>
      </c>
      <c r="Y69" s="2"/>
      <c r="Z69" s="7">
        <f t="shared" si="62"/>
        <v>10.221474131821406</v>
      </c>
    </row>
    <row r="70" spans="1:26" s="23" customFormat="1" hidden="1" outlineLevel="2" x14ac:dyDescent="0.25">
      <c r="A70" s="25"/>
      <c r="B70" s="10" t="str">
        <f>CONCATENATE("          ", "6237", " - ", "JANITORIAL SUPPLIES")</f>
        <v xml:space="preserve">          6237 - JANITORIAL SUPPLIES</v>
      </c>
      <c r="C70" s="10"/>
      <c r="D70" s="6"/>
      <c r="E70" s="2"/>
      <c r="F70" s="7">
        <f t="shared" si="55"/>
        <v>0</v>
      </c>
      <c r="G70" s="2"/>
      <c r="H70" s="6"/>
      <c r="I70" s="2"/>
      <c r="J70" s="7">
        <f t="shared" si="56"/>
        <v>0</v>
      </c>
      <c r="K70" s="2"/>
      <c r="L70" s="6">
        <f t="shared" si="57"/>
        <v>0</v>
      </c>
      <c r="M70" s="2"/>
      <c r="N70" s="7">
        <f t="shared" si="58"/>
        <v>0</v>
      </c>
      <c r="O70" s="10"/>
      <c r="P70" s="6">
        <v>317.57</v>
      </c>
      <c r="Q70" s="2"/>
      <c r="R70" s="7">
        <f t="shared" si="59"/>
        <v>0</v>
      </c>
      <c r="S70" s="2"/>
      <c r="T70" s="6">
        <v>1422.57</v>
      </c>
      <c r="U70" s="2"/>
      <c r="V70" s="7">
        <f t="shared" si="60"/>
        <v>2.3830449460365295E-3</v>
      </c>
      <c r="W70" s="2"/>
      <c r="X70" s="6">
        <f t="shared" si="61"/>
        <v>-1105</v>
      </c>
      <c r="Y70" s="2"/>
      <c r="Z70" s="7">
        <f t="shared" si="62"/>
        <v>-0.77676318212812023</v>
      </c>
    </row>
    <row r="71" spans="1:26" s="23" customFormat="1" hidden="1" outlineLevel="2" x14ac:dyDescent="0.25">
      <c r="A71" s="25"/>
      <c r="B71" s="10" t="str">
        <f>CONCATENATE("          ", "6241", " - ", "OFFICE EXPENSE")</f>
        <v xml:space="preserve">          6241 - OFFICE EXPENSE</v>
      </c>
      <c r="C71" s="10"/>
      <c r="D71" s="6"/>
      <c r="E71" s="2"/>
      <c r="F71" s="7">
        <f t="shared" si="55"/>
        <v>0</v>
      </c>
      <c r="G71" s="2"/>
      <c r="H71" s="6"/>
      <c r="I71" s="2"/>
      <c r="J71" s="7">
        <f t="shared" si="56"/>
        <v>0</v>
      </c>
      <c r="K71" s="2"/>
      <c r="L71" s="6">
        <f t="shared" si="57"/>
        <v>0</v>
      </c>
      <c r="M71" s="2"/>
      <c r="N71" s="7">
        <f t="shared" si="58"/>
        <v>0</v>
      </c>
      <c r="O71" s="10"/>
      <c r="P71" s="6"/>
      <c r="Q71" s="2"/>
      <c r="R71" s="7">
        <f t="shared" si="59"/>
        <v>0</v>
      </c>
      <c r="S71" s="2"/>
      <c r="T71" s="6">
        <v>484.03</v>
      </c>
      <c r="U71" s="2"/>
      <c r="V71" s="7">
        <f t="shared" si="60"/>
        <v>8.1083197679556113E-4</v>
      </c>
      <c r="W71" s="2"/>
      <c r="X71" s="6">
        <f t="shared" si="61"/>
        <v>-484.03</v>
      </c>
      <c r="Y71" s="2"/>
      <c r="Z71" s="7">
        <f t="shared" si="62"/>
        <v>-1</v>
      </c>
    </row>
    <row r="72" spans="1:26" s="23" customFormat="1" hidden="1" outlineLevel="2" x14ac:dyDescent="0.25">
      <c r="A72" s="25"/>
      <c r="B72" s="10" t="str">
        <f>CONCATENATE("          ", "6243", " - ", "PAPER SUPPLIES")</f>
        <v xml:space="preserve">          6243 - PAPER SUPPLIES</v>
      </c>
      <c r="C72" s="10"/>
      <c r="D72" s="6"/>
      <c r="E72" s="2"/>
      <c r="F72" s="7">
        <f t="shared" si="55"/>
        <v>0</v>
      </c>
      <c r="G72" s="2"/>
      <c r="H72" s="6"/>
      <c r="I72" s="2"/>
      <c r="J72" s="7">
        <f t="shared" si="56"/>
        <v>0</v>
      </c>
      <c r="K72" s="2"/>
      <c r="L72" s="6">
        <f t="shared" si="57"/>
        <v>0</v>
      </c>
      <c r="M72" s="2"/>
      <c r="N72" s="7">
        <f t="shared" si="58"/>
        <v>0</v>
      </c>
      <c r="O72" s="10"/>
      <c r="P72" s="6"/>
      <c r="Q72" s="2"/>
      <c r="R72" s="7">
        <f t="shared" si="59"/>
        <v>0</v>
      </c>
      <c r="S72" s="2"/>
      <c r="T72" s="6">
        <v>1399.73</v>
      </c>
      <c r="U72" s="2"/>
      <c r="V72" s="7">
        <f t="shared" si="60"/>
        <v>2.3447840895813293E-3</v>
      </c>
      <c r="W72" s="2"/>
      <c r="X72" s="6">
        <f t="shared" si="61"/>
        <v>-1399.73</v>
      </c>
      <c r="Y72" s="2"/>
      <c r="Z72" s="7">
        <f t="shared" si="62"/>
        <v>-1</v>
      </c>
    </row>
    <row r="73" spans="1:26" s="23" customFormat="1" hidden="1" outlineLevel="2" x14ac:dyDescent="0.25">
      <c r="A73" s="25"/>
      <c r="B73" s="10" t="str">
        <f>CONCATENATE("          ", "6247", " - ", "STORE SUPPLIES")</f>
        <v xml:space="preserve">          6247 - STORE SUPPLIES</v>
      </c>
      <c r="C73" s="10"/>
      <c r="D73" s="6"/>
      <c r="E73" s="2"/>
      <c r="F73" s="7">
        <f t="shared" si="55"/>
        <v>0</v>
      </c>
      <c r="G73" s="2"/>
      <c r="H73" s="6"/>
      <c r="I73" s="2"/>
      <c r="J73" s="7">
        <f t="shared" si="56"/>
        <v>0</v>
      </c>
      <c r="K73" s="2"/>
      <c r="L73" s="6">
        <f t="shared" si="57"/>
        <v>0</v>
      </c>
      <c r="M73" s="2"/>
      <c r="N73" s="7">
        <f t="shared" si="58"/>
        <v>0</v>
      </c>
      <c r="O73" s="10"/>
      <c r="P73" s="6"/>
      <c r="Q73" s="2"/>
      <c r="R73" s="7">
        <f t="shared" si="59"/>
        <v>0</v>
      </c>
      <c r="S73" s="2"/>
      <c r="T73" s="6">
        <v>7585.35</v>
      </c>
      <c r="U73" s="2"/>
      <c r="V73" s="7">
        <f t="shared" si="60"/>
        <v>1.2706742010177489E-2</v>
      </c>
      <c r="W73" s="2"/>
      <c r="X73" s="6">
        <f t="shared" si="61"/>
        <v>-7585.35</v>
      </c>
      <c r="Y73" s="2"/>
      <c r="Z73" s="7">
        <f t="shared" si="62"/>
        <v>-1</v>
      </c>
    </row>
    <row r="74" spans="1:26" s="27" customFormat="1" outlineLevel="1" collapsed="1" x14ac:dyDescent="0.25">
      <c r="A74" s="26"/>
      <c r="B74" s="12" t="str">
        <f>CONCATENATE("     ","Telephone/Data Lines                              ")</f>
        <v xml:space="preserve">     Telephone/Data Lines                              </v>
      </c>
      <c r="C74" s="12"/>
      <c r="D74" s="1">
        <f>SUM(OSRRefD22_15x_0)</f>
        <v>22</v>
      </c>
      <c r="E74" s="1"/>
      <c r="F74" s="5">
        <f t="shared" ref="F74:F79" si="63">IF(D$12=0,0,D74/D$12)</f>
        <v>0</v>
      </c>
      <c r="G74" s="1"/>
      <c r="H74" s="1">
        <f>SUM(OSRRefH22_15x_0)</f>
        <v>86</v>
      </c>
      <c r="I74" s="1"/>
      <c r="J74" s="5">
        <f t="shared" ref="J74:J79" si="64">IF(H$12=0,0,H74/H$12)</f>
        <v>0</v>
      </c>
      <c r="K74" s="1"/>
      <c r="L74" s="1">
        <f t="shared" ref="L74:L79" si="65">+D74-H74</f>
        <v>-64</v>
      </c>
      <c r="M74" s="1"/>
      <c r="N74" s="5">
        <f t="shared" ref="N74:N79" si="66">IF(H74=0,0,L74/H74)</f>
        <v>-0.7441860465116279</v>
      </c>
      <c r="O74" s="12"/>
      <c r="P74" s="1">
        <f>SUM(OSRRefP22_15x_0)</f>
        <v>1019.87</v>
      </c>
      <c r="Q74" s="1"/>
      <c r="R74" s="5">
        <f t="shared" ref="R74:R79" si="67">IF(P$12=0,0,P74/P$12)</f>
        <v>0</v>
      </c>
      <c r="S74" s="1"/>
      <c r="T74" s="1">
        <f>SUM(OSRRefT22_15x_0)</f>
        <v>808.37</v>
      </c>
      <c r="U74" s="1"/>
      <c r="V74" s="5">
        <f t="shared" ref="V74:V79" si="68">IF(T$12=0,0,T74/T$12)</f>
        <v>1.3541562404855644E-3</v>
      </c>
      <c r="W74" s="1"/>
      <c r="X74" s="1">
        <f t="shared" ref="X74:X79" si="69">+P74-T74</f>
        <v>211.5</v>
      </c>
      <c r="Y74" s="1"/>
      <c r="Z74" s="5">
        <f t="shared" ref="Z74:Z79" si="70">IF(T74=0,0,X74/T74)</f>
        <v>0.26163761643801725</v>
      </c>
    </row>
    <row r="75" spans="1:26" s="23" customFormat="1" hidden="1" outlineLevel="2" x14ac:dyDescent="0.25">
      <c r="A75" s="25"/>
      <c r="B75" s="10" t="str">
        <f>CONCATENATE("          ", "6309", " - ", "TELEPHONE")</f>
        <v xml:space="preserve">          6309 - TELEPHONE</v>
      </c>
      <c r="C75" s="10"/>
      <c r="D75" s="6">
        <v>22</v>
      </c>
      <c r="E75" s="2"/>
      <c r="F75" s="7">
        <f t="shared" si="63"/>
        <v>0</v>
      </c>
      <c r="G75" s="2"/>
      <c r="H75" s="6">
        <v>86</v>
      </c>
      <c r="I75" s="2"/>
      <c r="J75" s="7">
        <f t="shared" si="64"/>
        <v>0</v>
      </c>
      <c r="K75" s="2"/>
      <c r="L75" s="6">
        <f t="shared" si="65"/>
        <v>-64</v>
      </c>
      <c r="M75" s="2"/>
      <c r="N75" s="7">
        <f t="shared" si="66"/>
        <v>-0.7441860465116279</v>
      </c>
      <c r="O75" s="10"/>
      <c r="P75" s="6">
        <v>1019.87</v>
      </c>
      <c r="Q75" s="2"/>
      <c r="R75" s="7">
        <f t="shared" si="67"/>
        <v>0</v>
      </c>
      <c r="S75" s="2"/>
      <c r="T75" s="6">
        <v>808.37</v>
      </c>
      <c r="U75" s="2"/>
      <c r="V75" s="7">
        <f t="shared" si="68"/>
        <v>1.3541562404855644E-3</v>
      </c>
      <c r="W75" s="2"/>
      <c r="X75" s="6">
        <f t="shared" si="69"/>
        <v>211.5</v>
      </c>
      <c r="Y75" s="2"/>
      <c r="Z75" s="7">
        <f t="shared" si="70"/>
        <v>0.26163761643801725</v>
      </c>
    </row>
    <row r="76" spans="1:26" s="27" customFormat="1" outlineLevel="1" collapsed="1" x14ac:dyDescent="0.25">
      <c r="A76" s="26"/>
      <c r="B76" s="12" t="str">
        <f>CONCATENATE("     ","Training                                          ")</f>
        <v xml:space="preserve">     Training                                          </v>
      </c>
      <c r="C76" s="12"/>
      <c r="D76" s="1">
        <f>SUM(OSRRefD22_16x_0)</f>
        <v>0</v>
      </c>
      <c r="E76" s="1"/>
      <c r="F76" s="5">
        <f t="shared" si="63"/>
        <v>0</v>
      </c>
      <c r="G76" s="1"/>
      <c r="H76" s="1">
        <f>SUM(OSRRefH22_16x_0)</f>
        <v>0</v>
      </c>
      <c r="I76" s="1"/>
      <c r="J76" s="5">
        <f t="shared" si="64"/>
        <v>0</v>
      </c>
      <c r="K76" s="1"/>
      <c r="L76" s="1">
        <f t="shared" si="65"/>
        <v>0</v>
      </c>
      <c r="M76" s="1"/>
      <c r="N76" s="5">
        <f t="shared" si="66"/>
        <v>0</v>
      </c>
      <c r="O76" s="12"/>
      <c r="P76" s="1">
        <f>SUM(OSRRefP22_16x_0)</f>
        <v>0</v>
      </c>
      <c r="Q76" s="1"/>
      <c r="R76" s="5">
        <f t="shared" si="67"/>
        <v>0</v>
      </c>
      <c r="S76" s="1"/>
      <c r="T76" s="1">
        <f>SUM(OSRRefT22_16x_0)</f>
        <v>14</v>
      </c>
      <c r="U76" s="1"/>
      <c r="V76" s="5">
        <f t="shared" si="68"/>
        <v>2.3452363851698979E-5</v>
      </c>
      <c r="W76" s="1"/>
      <c r="X76" s="1">
        <f t="shared" si="69"/>
        <v>-14</v>
      </c>
      <c r="Y76" s="1"/>
      <c r="Z76" s="5">
        <f t="shared" si="70"/>
        <v>-1</v>
      </c>
    </row>
    <row r="77" spans="1:26" s="23" customFormat="1" hidden="1" outlineLevel="2" x14ac:dyDescent="0.25">
      <c r="A77" s="25"/>
      <c r="B77" s="10" t="str">
        <f>CONCATENATE("          ", "6376", " - ", "TRAINING")</f>
        <v xml:space="preserve">          6376 - TRAINING</v>
      </c>
      <c r="C77" s="10"/>
      <c r="D77" s="6"/>
      <c r="E77" s="2"/>
      <c r="F77" s="7">
        <f t="shared" si="63"/>
        <v>0</v>
      </c>
      <c r="G77" s="2"/>
      <c r="H77" s="6"/>
      <c r="I77" s="2"/>
      <c r="J77" s="7">
        <f t="shared" si="64"/>
        <v>0</v>
      </c>
      <c r="K77" s="2"/>
      <c r="L77" s="6">
        <f t="shared" si="65"/>
        <v>0</v>
      </c>
      <c r="M77" s="2"/>
      <c r="N77" s="7">
        <f t="shared" si="66"/>
        <v>0</v>
      </c>
      <c r="O77" s="10"/>
      <c r="P77" s="6"/>
      <c r="Q77" s="2"/>
      <c r="R77" s="7">
        <f t="shared" si="67"/>
        <v>0</v>
      </c>
      <c r="S77" s="2"/>
      <c r="T77" s="6">
        <v>14</v>
      </c>
      <c r="U77" s="2"/>
      <c r="V77" s="7">
        <f t="shared" si="68"/>
        <v>2.3452363851698979E-5</v>
      </c>
      <c r="W77" s="2"/>
      <c r="X77" s="6">
        <f t="shared" si="69"/>
        <v>-14</v>
      </c>
      <c r="Y77" s="2"/>
      <c r="Z77" s="7">
        <f t="shared" si="70"/>
        <v>-1</v>
      </c>
    </row>
    <row r="78" spans="1:26" s="27" customFormat="1" outlineLevel="1" collapsed="1" x14ac:dyDescent="0.25">
      <c r="A78" s="26"/>
      <c r="B78" s="12" t="str">
        <f>CONCATENATE("     ","Utilities                                         ")</f>
        <v xml:space="preserve">     Utilities                                         </v>
      </c>
      <c r="C78" s="12"/>
      <c r="D78" s="1">
        <f>SUM(OSRRefD22_17x_0)</f>
        <v>-703</v>
      </c>
      <c r="E78" s="1"/>
      <c r="F78" s="5">
        <f t="shared" si="63"/>
        <v>0</v>
      </c>
      <c r="G78" s="1"/>
      <c r="H78" s="1">
        <f>SUM(OSRRefH22_17x_0)</f>
        <v>2184</v>
      </c>
      <c r="I78" s="1"/>
      <c r="J78" s="5">
        <f t="shared" si="64"/>
        <v>0</v>
      </c>
      <c r="K78" s="1"/>
      <c r="L78" s="1">
        <f t="shared" si="65"/>
        <v>-2887</v>
      </c>
      <c r="M78" s="1"/>
      <c r="N78" s="5">
        <f t="shared" si="66"/>
        <v>-1.3218864468864469</v>
      </c>
      <c r="O78" s="12"/>
      <c r="P78" s="1">
        <f>SUM(OSRRefP22_17x_0)</f>
        <v>4504</v>
      </c>
      <c r="Q78" s="1"/>
      <c r="R78" s="5">
        <f t="shared" si="67"/>
        <v>0</v>
      </c>
      <c r="S78" s="1"/>
      <c r="T78" s="1">
        <f>SUM(OSRRefT22_17x_0)</f>
        <v>11590</v>
      </c>
      <c r="U78" s="1"/>
      <c r="V78" s="5">
        <f t="shared" si="68"/>
        <v>1.9415206931513652E-2</v>
      </c>
      <c r="W78" s="1"/>
      <c r="X78" s="1">
        <f t="shared" si="69"/>
        <v>-7086</v>
      </c>
      <c r="Y78" s="1"/>
      <c r="Z78" s="5">
        <f t="shared" si="70"/>
        <v>-0.61138912855910266</v>
      </c>
    </row>
    <row r="79" spans="1:26" s="23" customFormat="1" hidden="1" outlineLevel="2" x14ac:dyDescent="0.25">
      <c r="A79" s="25"/>
      <c r="B79" s="10" t="str">
        <f>CONCATENATE("          ", "6274", " - ", "UTILITIES")</f>
        <v xml:space="preserve">          6274 - UTILITIES</v>
      </c>
      <c r="C79" s="10"/>
      <c r="D79" s="6">
        <v>-703</v>
      </c>
      <c r="E79" s="2"/>
      <c r="F79" s="7">
        <f t="shared" si="63"/>
        <v>0</v>
      </c>
      <c r="G79" s="2"/>
      <c r="H79" s="6">
        <v>2184</v>
      </c>
      <c r="I79" s="2"/>
      <c r="J79" s="7">
        <f t="shared" si="64"/>
        <v>0</v>
      </c>
      <c r="K79" s="2"/>
      <c r="L79" s="6">
        <f t="shared" si="65"/>
        <v>-2887</v>
      </c>
      <c r="M79" s="2"/>
      <c r="N79" s="7">
        <f t="shared" si="66"/>
        <v>-1.3218864468864469</v>
      </c>
      <c r="O79" s="10"/>
      <c r="P79" s="6">
        <v>4504</v>
      </c>
      <c r="Q79" s="2"/>
      <c r="R79" s="7">
        <f t="shared" si="67"/>
        <v>0</v>
      </c>
      <c r="S79" s="2"/>
      <c r="T79" s="6">
        <v>11590</v>
      </c>
      <c r="U79" s="2"/>
      <c r="V79" s="7">
        <f t="shared" si="68"/>
        <v>1.9415206931513652E-2</v>
      </c>
      <c r="W79" s="2"/>
      <c r="X79" s="6">
        <f t="shared" si="69"/>
        <v>-7086</v>
      </c>
      <c r="Y79" s="2"/>
      <c r="Z79" s="7">
        <f t="shared" si="70"/>
        <v>-0.61138912855910266</v>
      </c>
    </row>
    <row r="80" spans="1:26" s="52" customFormat="1" x14ac:dyDescent="0.25">
      <c r="A80" s="37"/>
      <c r="B80" s="37"/>
      <c r="C80" s="37"/>
      <c r="D80" s="1"/>
      <c r="E80" s="1"/>
      <c r="F80" s="5"/>
      <c r="G80" s="1"/>
      <c r="H80" s="1"/>
      <c r="I80" s="1"/>
      <c r="J80" s="5"/>
      <c r="K80" s="1"/>
      <c r="L80" s="1"/>
      <c r="M80" s="1"/>
      <c r="N80" s="5"/>
      <c r="O80" s="37"/>
      <c r="P80" s="1"/>
      <c r="Q80" s="1"/>
      <c r="R80" s="5"/>
      <c r="S80" s="1"/>
      <c r="T80" s="1"/>
      <c r="U80" s="1"/>
      <c r="V80" s="5"/>
      <c r="W80" s="1"/>
      <c r="X80" s="1"/>
      <c r="Y80" s="1"/>
      <c r="Z80" s="5"/>
    </row>
    <row r="81" spans="1:26" s="24" customFormat="1" x14ac:dyDescent="0.25">
      <c r="A81" s="11"/>
      <c r="B81" s="29" t="s">
        <v>292</v>
      </c>
      <c r="C81" s="11"/>
      <c r="D81" s="4">
        <f>SUM(0)</f>
        <v>0</v>
      </c>
      <c r="E81" s="4"/>
      <c r="F81" s="13">
        <f>IF(D$12=0,0,D81/D$12)</f>
        <v>0</v>
      </c>
      <c r="G81" s="4"/>
      <c r="H81" s="4">
        <f>SUM(0)</f>
        <v>0</v>
      </c>
      <c r="I81" s="4"/>
      <c r="J81" s="13">
        <f>IF(H$12=0,0,H81/H$12)</f>
        <v>0</v>
      </c>
      <c r="K81" s="4"/>
      <c r="L81" s="4">
        <f>+D81-H81</f>
        <v>0</v>
      </c>
      <c r="M81" s="4"/>
      <c r="N81" s="13">
        <f>IF(H81=0,0,L81/H81)</f>
        <v>0</v>
      </c>
      <c r="O81" s="11"/>
      <c r="P81" s="4">
        <f>SUM(0)</f>
        <v>0</v>
      </c>
      <c r="Q81" s="4"/>
      <c r="R81" s="13">
        <f>IF(P$12=0,0,P81/P$12)</f>
        <v>0</v>
      </c>
      <c r="S81" s="4"/>
      <c r="T81" s="4">
        <f>SUM(0)</f>
        <v>0</v>
      </c>
      <c r="U81" s="4"/>
      <c r="V81" s="13">
        <f>IF(T$12=0,0,T81/T$12)</f>
        <v>0</v>
      </c>
      <c r="W81" s="4"/>
      <c r="X81" s="4">
        <f>+P81-T81</f>
        <v>0</v>
      </c>
      <c r="Y81" s="4"/>
      <c r="Z81" s="13">
        <f>IF(T81=0,0,X81/T81)</f>
        <v>0</v>
      </c>
    </row>
    <row r="82" spans="1:26" x14ac:dyDescent="0.25">
      <c r="A82" s="9"/>
      <c r="B82" s="11"/>
      <c r="C82" s="11"/>
      <c r="D82" s="3"/>
      <c r="E82" s="3"/>
      <c r="F82" s="8"/>
      <c r="G82" s="3"/>
      <c r="H82" s="3"/>
      <c r="I82" s="3"/>
      <c r="J82" s="8"/>
      <c r="K82" s="3"/>
      <c r="L82" s="3"/>
      <c r="M82" s="3"/>
      <c r="N82" s="8"/>
      <c r="O82" s="11"/>
      <c r="P82" s="3"/>
      <c r="Q82" s="3"/>
      <c r="R82" s="8"/>
      <c r="S82" s="3"/>
      <c r="T82" s="3"/>
      <c r="U82" s="3"/>
      <c r="V82" s="8"/>
      <c r="W82" s="3"/>
      <c r="X82" s="3"/>
      <c r="Y82" s="3"/>
      <c r="Z82" s="8"/>
    </row>
    <row r="83" spans="1:26" s="24" customFormat="1" x14ac:dyDescent="0.25">
      <c r="A83" s="11"/>
      <c r="B83" s="28" t="s">
        <v>276</v>
      </c>
      <c r="C83" s="28"/>
      <c r="D83" s="21">
        <f>+D20-D22+D81</f>
        <v>-7438.48</v>
      </c>
      <c r="E83" s="14"/>
      <c r="F83" s="22">
        <f>IF(D$12=0,0,D83/D$12)</f>
        <v>0</v>
      </c>
      <c r="G83" s="14"/>
      <c r="H83" s="21">
        <f>+H20-H22+H81</f>
        <v>-21374.54</v>
      </c>
      <c r="I83" s="14"/>
      <c r="J83" s="22">
        <f>IF(H$12=0,0,H83/H$12)</f>
        <v>0</v>
      </c>
      <c r="K83" s="15"/>
      <c r="L83" s="21">
        <f>+D83-H83</f>
        <v>13936.060000000001</v>
      </c>
      <c r="M83" s="15"/>
      <c r="N83" s="22">
        <f>IF(H83=0,0,L83/H83)</f>
        <v>-0.6519934464086713</v>
      </c>
      <c r="O83" s="29"/>
      <c r="P83" s="21">
        <f>+P20-P22+P81</f>
        <v>-140514.29</v>
      </c>
      <c r="Q83" s="14"/>
      <c r="R83" s="22">
        <f>IF(P$12=0,0,P83/P$12)</f>
        <v>0</v>
      </c>
      <c r="S83" s="14"/>
      <c r="T83" s="21">
        <f>+T20-T22+T81</f>
        <v>-27518.010000000009</v>
      </c>
      <c r="U83" s="14"/>
      <c r="V83" s="22">
        <f>IF(T$12=0,0,T83/T$12)</f>
        <v>-4.6097313071049369E-2</v>
      </c>
      <c r="W83" s="15"/>
      <c r="X83" s="21">
        <f>+P83-T83</f>
        <v>-112996.28</v>
      </c>
      <c r="Y83" s="15"/>
      <c r="Z83" s="22">
        <f>IF(T83=0,0,X83/T83)</f>
        <v>4.106266405165198</v>
      </c>
    </row>
    <row r="84" spans="1:26" x14ac:dyDescent="0.25">
      <c r="A84" s="9"/>
      <c r="B84" s="11"/>
      <c r="C84" s="9"/>
      <c r="D84" s="3"/>
      <c r="E84" s="3"/>
      <c r="F84" s="8"/>
      <c r="G84" s="3"/>
      <c r="H84" s="3"/>
      <c r="I84" s="3"/>
      <c r="J84" s="8"/>
      <c r="K84" s="3"/>
      <c r="L84" s="3"/>
      <c r="M84" s="3"/>
      <c r="N84" s="8"/>
      <c r="P84" s="3"/>
      <c r="Q84" s="3"/>
      <c r="R84" s="8"/>
      <c r="S84" s="3"/>
      <c r="T84" s="3"/>
      <c r="U84" s="3"/>
      <c r="V84" s="8"/>
      <c r="W84" s="3"/>
      <c r="X84" s="3"/>
      <c r="Y84" s="3"/>
      <c r="Z84" s="8"/>
    </row>
    <row r="85" spans="1:26" s="24" customFormat="1" x14ac:dyDescent="0.25">
      <c r="A85" s="51"/>
      <c r="B85" s="11" t="s">
        <v>127</v>
      </c>
      <c r="C85" s="11"/>
      <c r="D85" s="4"/>
      <c r="E85" s="4"/>
      <c r="F85" s="13">
        <f>IF(D$12=0,0,D85/D$12)</f>
        <v>0</v>
      </c>
      <c r="G85" s="4"/>
      <c r="H85" s="4">
        <v>19700.73</v>
      </c>
      <c r="I85" s="4"/>
      <c r="J85" s="13">
        <f>IF(H$12=0,0,H85/H$12)</f>
        <v>0</v>
      </c>
      <c r="K85" s="4"/>
      <c r="L85" s="4">
        <f>+D85-H85</f>
        <v>-19700.73</v>
      </c>
      <c r="M85" s="4"/>
      <c r="N85" s="13">
        <f>IF(H85=0,0,L85/H85)</f>
        <v>-1</v>
      </c>
      <c r="O85" s="11"/>
      <c r="P85" s="4"/>
      <c r="Q85" s="4"/>
      <c r="R85" s="13">
        <f>IF(P$12=0,0,P85/P$12)</f>
        <v>0</v>
      </c>
      <c r="S85" s="4"/>
      <c r="T85" s="4">
        <v>90392.45</v>
      </c>
      <c r="U85" s="4"/>
      <c r="V85" s="13">
        <f>IF(T$12=0,0,T85/T$12)</f>
        <v>0.15142261620332195</v>
      </c>
      <c r="W85" s="4"/>
      <c r="X85" s="4">
        <f>+P85-T85</f>
        <v>-90392.45</v>
      </c>
      <c r="Y85" s="4"/>
      <c r="Z85" s="13">
        <f>IF(T85=0,0,X85/T85)</f>
        <v>-1</v>
      </c>
    </row>
    <row r="86" spans="1:26" x14ac:dyDescent="0.25">
      <c r="A86" s="9"/>
      <c r="B86" s="11"/>
      <c r="C86" s="11"/>
      <c r="D86" s="3"/>
      <c r="E86" s="3"/>
      <c r="F86" s="8"/>
      <c r="G86" s="3"/>
      <c r="H86" s="3"/>
      <c r="I86" s="3"/>
      <c r="J86" s="8"/>
      <c r="K86" s="3"/>
      <c r="L86" s="3"/>
      <c r="M86" s="3"/>
      <c r="N86" s="8"/>
      <c r="O86" s="11"/>
      <c r="P86" s="3"/>
      <c r="Q86" s="3"/>
      <c r="R86" s="8"/>
      <c r="S86" s="3"/>
      <c r="T86" s="3"/>
      <c r="U86" s="3"/>
      <c r="V86" s="8"/>
      <c r="W86" s="3"/>
      <c r="X86" s="3"/>
      <c r="Y86" s="3"/>
      <c r="Z86" s="8"/>
    </row>
    <row r="87" spans="1:26" s="24" customFormat="1" ht="15.75" thickBot="1" x14ac:dyDescent="0.3">
      <c r="A87" s="11"/>
      <c r="B87" s="28" t="s">
        <v>125</v>
      </c>
      <c r="C87" s="28"/>
      <c r="D87" s="34">
        <f>+D83-D85</f>
        <v>-7438.48</v>
      </c>
      <c r="E87" s="14"/>
      <c r="F87" s="31">
        <f>IF(D$12=0,0,D87/D$12)</f>
        <v>0</v>
      </c>
      <c r="G87" s="14"/>
      <c r="H87" s="34">
        <f>+H83-H85</f>
        <v>-41075.270000000004</v>
      </c>
      <c r="I87" s="14"/>
      <c r="J87" s="31">
        <f>IF(H$12=0,0,H87/H$12)</f>
        <v>0</v>
      </c>
      <c r="K87" s="15"/>
      <c r="L87" s="34">
        <f>D87-H87</f>
        <v>33636.790000000008</v>
      </c>
      <c r="M87" s="15"/>
      <c r="N87" s="31">
        <f>IF(H87=0,0,L87/H87)</f>
        <v>-0.81890612039799138</v>
      </c>
      <c r="O87" s="29"/>
      <c r="P87" s="34">
        <f>+P83-P85</f>
        <v>-140514.29</v>
      </c>
      <c r="Q87" s="14"/>
      <c r="R87" s="31">
        <f>IF(P$12=0,0,P87/P$12)</f>
        <v>0</v>
      </c>
      <c r="S87" s="14"/>
      <c r="T87" s="34">
        <f>+T83-T85</f>
        <v>-117910.46</v>
      </c>
      <c r="U87" s="14"/>
      <c r="V87" s="31">
        <f>IF(T$12=0,0,T87/T$12)</f>
        <v>-0.19751992927437131</v>
      </c>
      <c r="W87" s="15"/>
      <c r="X87" s="34">
        <f>P87-T87</f>
        <v>-22603.83</v>
      </c>
      <c r="Y87" s="15"/>
      <c r="Z87" s="31">
        <f>IF(T87=0,0,X87/T87)</f>
        <v>0.19170334845610815</v>
      </c>
    </row>
    <row r="88" spans="1:26" ht="15.75" thickTop="1" x14ac:dyDescent="0.25">
      <c r="A88" s="9"/>
      <c r="B88" s="9"/>
      <c r="C88" s="9"/>
      <c r="D88" s="3"/>
      <c r="E88" s="3"/>
      <c r="F88" s="8"/>
      <c r="G88" s="3"/>
      <c r="H88" s="3"/>
      <c r="I88" s="3"/>
      <c r="J88" s="8"/>
      <c r="K88" s="3"/>
      <c r="L88" s="3"/>
      <c r="M88" s="3"/>
      <c r="N88" s="8"/>
      <c r="P88" s="3"/>
      <c r="Q88" s="3"/>
      <c r="R88" s="8"/>
      <c r="S88" s="3"/>
      <c r="T88" s="3"/>
      <c r="U88" s="3"/>
      <c r="V88" s="8"/>
      <c r="W88" s="3"/>
      <c r="X88" s="3"/>
      <c r="Y88" s="3"/>
      <c r="Z88" s="8"/>
    </row>
    <row r="89" spans="1:26" x14ac:dyDescent="0.25">
      <c r="A89" s="9"/>
      <c r="B89" s="9"/>
      <c r="C89" s="9"/>
      <c r="D89" s="3"/>
      <c r="E89" s="3"/>
      <c r="F89" s="8"/>
      <c r="G89" s="3"/>
      <c r="H89" s="3"/>
      <c r="I89" s="3"/>
      <c r="J89" s="8"/>
      <c r="K89" s="3"/>
      <c r="L89" s="3"/>
      <c r="M89" s="3"/>
      <c r="N89" s="8"/>
      <c r="P89" s="3"/>
      <c r="Q89" s="3"/>
      <c r="R89" s="8"/>
      <c r="S89" s="3"/>
      <c r="T89" s="3"/>
      <c r="U89" s="3"/>
      <c r="V89" s="8"/>
      <c r="W89" s="3"/>
      <c r="X89" s="3"/>
      <c r="Y89" s="3"/>
      <c r="Z89" s="8"/>
    </row>
    <row r="90" spans="1:26" s="24" customFormat="1" ht="15.75" thickBot="1" x14ac:dyDescent="0.3">
      <c r="A90" s="11"/>
      <c r="B90" s="28" t="s">
        <v>293</v>
      </c>
      <c r="C90" s="28"/>
      <c r="D90" s="33">
        <f>SUM(D87:D89)</f>
        <v>-7438.48</v>
      </c>
      <c r="E90" s="14"/>
      <c r="F90" s="35">
        <f>IF(D$12=0,0,D90/D$12)</f>
        <v>0</v>
      </c>
      <c r="G90" s="14"/>
      <c r="H90" s="33">
        <f>SUM(H87:H89)</f>
        <v>-41075.270000000004</v>
      </c>
      <c r="I90" s="14"/>
      <c r="J90" s="35">
        <f>IF(H$12=0,0,H90/H$12)</f>
        <v>0</v>
      </c>
      <c r="K90" s="15"/>
      <c r="L90" s="33">
        <f>+D90-H90</f>
        <v>33636.790000000008</v>
      </c>
      <c r="M90" s="15"/>
      <c r="N90" s="35">
        <f>IF(H90=0,0,L90/H90)</f>
        <v>-0.81890612039799138</v>
      </c>
      <c r="O90" s="29"/>
      <c r="P90" s="33">
        <f>SUM(P87:P89)</f>
        <v>-140514.29</v>
      </c>
      <c r="Q90" s="14"/>
      <c r="R90" s="35">
        <f>IF(P$12=0,0,P90/P$12)</f>
        <v>0</v>
      </c>
      <c r="S90" s="14"/>
      <c r="T90" s="33">
        <f>SUM(T87:T89)</f>
        <v>-117910.46</v>
      </c>
      <c r="U90" s="14"/>
      <c r="V90" s="35">
        <f>IF(T$12=0,0,T90/T$12)</f>
        <v>-0.19751992927437131</v>
      </c>
      <c r="W90" s="15"/>
      <c r="X90" s="33">
        <f>+P90-T90</f>
        <v>-22603.83</v>
      </c>
      <c r="Y90" s="15"/>
      <c r="Z90" s="35">
        <f>IF(T90=0,0,X90/T90)</f>
        <v>0.19170334845610815</v>
      </c>
    </row>
    <row r="91" spans="1:26" ht="15.75" thickTop="1" x14ac:dyDescent="0.25">
      <c r="A91" s="9"/>
      <c r="C91" s="9"/>
      <c r="D91" s="18"/>
      <c r="E91" s="18"/>
      <c r="G91" s="18"/>
      <c r="H91" s="18"/>
      <c r="I91" s="18"/>
      <c r="J91" s="43"/>
      <c r="K91" s="18"/>
      <c r="L91" s="18"/>
      <c r="M91" s="18"/>
      <c r="P91" s="18"/>
      <c r="Q91" s="18"/>
      <c r="R91" s="43"/>
      <c r="S91" s="18"/>
      <c r="T91" s="18"/>
      <c r="U91" s="18"/>
      <c r="V91" s="43"/>
      <c r="W91" s="18"/>
      <c r="X91" s="18"/>
    </row>
    <row r="92" spans="1:26" x14ac:dyDescent="0.25">
      <c r="A92" s="9"/>
      <c r="B92" s="56">
        <v>44454.698585613427</v>
      </c>
      <c r="D92" s="18"/>
      <c r="E92" s="18"/>
      <c r="G92" s="18"/>
      <c r="H92" s="18"/>
      <c r="I92" s="18"/>
      <c r="J92" s="43"/>
      <c r="K92" s="18"/>
      <c r="L92" s="18"/>
      <c r="M92" s="18"/>
      <c r="P92" s="18"/>
      <c r="Q92" s="18"/>
      <c r="R92" s="43"/>
      <c r="S92" s="18"/>
      <c r="T92" s="18"/>
      <c r="U92" s="18"/>
      <c r="V92" s="43"/>
      <c r="W92" s="18"/>
      <c r="X92" s="18"/>
    </row>
    <row r="93" spans="1:26" x14ac:dyDescent="0.25">
      <c r="A93" s="9"/>
      <c r="B93" s="55" t="s">
        <v>56</v>
      </c>
      <c r="D93" s="18"/>
      <c r="E93" s="18"/>
      <c r="G93" s="18"/>
      <c r="H93" s="18"/>
      <c r="I93" s="18"/>
      <c r="J93" s="43"/>
      <c r="K93" s="18"/>
      <c r="L93" s="18"/>
      <c r="M93" s="18"/>
      <c r="P93" s="18"/>
      <c r="Q93" s="18"/>
      <c r="R93" s="43"/>
      <c r="S93" s="18"/>
      <c r="T93" s="18"/>
      <c r="U93" s="18"/>
      <c r="V93" s="43"/>
      <c r="W93" s="18"/>
      <c r="X93" s="18"/>
    </row>
    <row r="94" spans="1:26" x14ac:dyDescent="0.25">
      <c r="A94" s="9"/>
      <c r="B94" s="60"/>
      <c r="D94" s="18"/>
      <c r="E94" s="18"/>
      <c r="G94" s="18"/>
      <c r="H94" s="18"/>
      <c r="I94" s="18"/>
      <c r="J94" s="43"/>
      <c r="K94" s="18"/>
      <c r="L94" s="18"/>
      <c r="M94" s="18"/>
      <c r="P94" s="18"/>
      <c r="Q94" s="18"/>
      <c r="R94" s="43"/>
      <c r="S94" s="18"/>
      <c r="T94" s="18"/>
      <c r="U94" s="18"/>
      <c r="V94" s="43"/>
      <c r="W94" s="18"/>
      <c r="X94" s="18"/>
    </row>
    <row r="95" spans="1:26" x14ac:dyDescent="0.25">
      <c r="D95" s="18"/>
      <c r="E95" s="18"/>
      <c r="G95" s="18"/>
      <c r="H95" s="18"/>
      <c r="I95" s="18"/>
      <c r="J95" s="43"/>
      <c r="K95" s="18"/>
      <c r="L95" s="18"/>
      <c r="M95" s="18"/>
      <c r="P95" s="18"/>
      <c r="Q95" s="18"/>
      <c r="R95" s="43"/>
      <c r="S95" s="18"/>
      <c r="T95" s="18"/>
      <c r="U95" s="18"/>
      <c r="V95" s="43"/>
      <c r="W95" s="18"/>
      <c r="X95" s="18"/>
    </row>
  </sheetData>
  <pageMargins left="0.25" right="0.25" top="0.75" bottom="0.75" header="0.3" footer="0.3"/>
  <pageSetup scale="55" fitToWidth="2" orientation="landscape"/>
  <drawing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>
    <tabColor rgb="FF92D050"/>
    <outlinePr summaryBelow="0" summaryRight="0"/>
  </sheetPr>
  <dimension ref="A2:Z154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62" t="s">
        <v>23</v>
      </c>
    </row>
    <row r="3" spans="1:26" x14ac:dyDescent="0.25">
      <c r="D3" s="62" t="s">
        <v>236</v>
      </c>
      <c r="E3" s="17"/>
      <c r="F3" s="46"/>
      <c r="G3" s="17"/>
      <c r="H3" s="17"/>
      <c r="I3" s="17"/>
      <c r="J3" s="38"/>
      <c r="K3" s="17"/>
      <c r="L3" s="17"/>
      <c r="M3" s="17"/>
      <c r="N3" s="46"/>
      <c r="O3" s="53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2" t="str">
        <f>CONCATENATE("Period ",RIGHT(202112,2),", ",2021)</f>
        <v>Period 12, 2021</v>
      </c>
      <c r="E4" s="17"/>
      <c r="F4" s="46"/>
      <c r="G4" s="17"/>
      <c r="H4" s="17"/>
      <c r="I4" s="17"/>
      <c r="J4" s="38"/>
      <c r="K4" s="17"/>
      <c r="L4" s="17"/>
      <c r="M4" s="17"/>
      <c r="N4" s="46"/>
      <c r="O4" s="53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4"/>
      <c r="D5" s="63">
        <v>44377</v>
      </c>
      <c r="E5" s="17"/>
      <c r="F5" s="46"/>
      <c r="G5" s="17"/>
      <c r="H5" s="17"/>
      <c r="I5" s="17"/>
      <c r="J5" s="38"/>
      <c r="K5" s="17"/>
      <c r="L5" s="17"/>
      <c r="M5" s="17"/>
      <c r="N5" s="46"/>
      <c r="O5" s="53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4"/>
      <c r="B6" s="48"/>
      <c r="C6" s="48"/>
      <c r="D6" s="24" t="str">
        <f>CONCATENATE("Department ","326", " - ", "2nd Street Store")</f>
        <v>Department 326 - 2nd Street Store</v>
      </c>
      <c r="E6" s="17"/>
      <c r="F6" s="46"/>
      <c r="G6" s="17"/>
      <c r="H6" s="17"/>
      <c r="I6" s="17"/>
      <c r="J6" s="38"/>
      <c r="K6" s="17"/>
      <c r="L6" s="17"/>
      <c r="M6" s="17"/>
      <c r="N6" s="46"/>
      <c r="O6" s="54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9"/>
    </row>
    <row r="8" spans="1:26" x14ac:dyDescent="0.25">
      <c r="B8" s="59"/>
    </row>
    <row r="9" spans="1:26" x14ac:dyDescent="0.25">
      <c r="B9" s="9"/>
      <c r="C9" s="9"/>
      <c r="D9" s="16" t="s">
        <v>291</v>
      </c>
      <c r="E9" s="16"/>
      <c r="F9" s="39"/>
      <c r="G9" s="16"/>
      <c r="H9" s="16"/>
      <c r="I9" s="16"/>
      <c r="J9" s="49"/>
      <c r="K9" s="16"/>
      <c r="L9" s="16"/>
      <c r="M9" s="16"/>
      <c r="N9" s="39"/>
      <c r="P9" s="16" t="s">
        <v>39</v>
      </c>
      <c r="Q9" s="16"/>
      <c r="R9" s="39"/>
      <c r="S9" s="16"/>
      <c r="T9" s="16"/>
      <c r="U9" s="16"/>
      <c r="V9" s="49"/>
      <c r="W9" s="16"/>
      <c r="X9" s="16"/>
      <c r="Y9" s="16"/>
      <c r="Z9" s="39"/>
    </row>
    <row r="10" spans="1:26" x14ac:dyDescent="0.25">
      <c r="A10" s="11"/>
      <c r="B10" s="58"/>
      <c r="C10" s="11"/>
      <c r="D10" s="42" t="s">
        <v>57</v>
      </c>
      <c r="E10" s="36"/>
      <c r="F10" s="30" t="s">
        <v>40</v>
      </c>
      <c r="G10" s="36"/>
      <c r="H10" s="50" t="s">
        <v>237</v>
      </c>
      <c r="I10" s="36"/>
      <c r="J10" s="30" t="s">
        <v>40</v>
      </c>
      <c r="K10" s="11"/>
      <c r="L10" s="42" t="s">
        <v>126</v>
      </c>
      <c r="M10" s="11"/>
      <c r="N10" s="30" t="s">
        <v>257</v>
      </c>
      <c r="O10" s="11"/>
      <c r="P10" s="61" t="s">
        <v>57</v>
      </c>
      <c r="Q10" s="36"/>
      <c r="R10" s="30" t="s">
        <v>40</v>
      </c>
      <c r="S10" s="36"/>
      <c r="T10" s="50" t="s">
        <v>237</v>
      </c>
      <c r="U10" s="36"/>
      <c r="V10" s="30" t="s">
        <v>40</v>
      </c>
      <c r="W10" s="11"/>
      <c r="X10" s="42" t="s">
        <v>126</v>
      </c>
      <c r="Y10" s="11"/>
      <c r="Z10" s="30" t="s">
        <v>257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4" customFormat="1" collapsed="1" x14ac:dyDescent="0.25">
      <c r="A12" s="11"/>
      <c r="B12" s="29" t="s">
        <v>139</v>
      </c>
      <c r="C12" s="11"/>
      <c r="D12" s="4">
        <f>SUM(OSRRefD13x_0)</f>
        <v>33635.919999999998</v>
      </c>
      <c r="E12" s="4"/>
      <c r="F12" s="13"/>
      <c r="G12" s="4"/>
      <c r="H12" s="4">
        <f>SUM(OSRRefH13x_0)</f>
        <v>0</v>
      </c>
      <c r="I12" s="4"/>
      <c r="J12" s="13"/>
      <c r="K12" s="4"/>
      <c r="L12" s="4">
        <f t="shared" ref="L12:L38" si="0">+D12-H12</f>
        <v>33635.919999999998</v>
      </c>
      <c r="M12" s="4"/>
      <c r="N12" s="13">
        <f t="shared" ref="N12:N38" si="1">IF(H12=0,0,L12/H12)</f>
        <v>0</v>
      </c>
      <c r="O12" s="11"/>
      <c r="P12" s="4">
        <f>SUM(OSRRefP13x_0)</f>
        <v>319644.92999999993</v>
      </c>
      <c r="Q12" s="4"/>
      <c r="R12" s="13"/>
      <c r="S12" s="4"/>
      <c r="T12" s="4">
        <f>SUM(OSRRefT13x_0)</f>
        <v>429840.87</v>
      </c>
      <c r="U12" s="4"/>
      <c r="V12" s="13"/>
      <c r="W12" s="4"/>
      <c r="X12" s="4">
        <f t="shared" ref="X12:X38" si="2">+P12-T12</f>
        <v>-110195.94000000006</v>
      </c>
      <c r="Y12" s="4"/>
      <c r="Z12" s="13">
        <f t="shared" ref="Z12:Z38" si="3">IF(T12=0,0,X12/T12)</f>
        <v>-0.25636450065811578</v>
      </c>
    </row>
    <row r="13" spans="1:26" s="23" customFormat="1" hidden="1" outlineLevel="1" x14ac:dyDescent="0.25">
      <c r="A13" s="44"/>
      <c r="B13" s="10" t="str">
        <f>CONCATENATE("          ", "4000", " - ", "TAXABLE SALES")</f>
        <v xml:space="preserve">          4000 - TAXABLE SALES</v>
      </c>
      <c r="C13" s="10"/>
      <c r="D13" s="2">
        <f>-522.46</f>
        <v>-522.46</v>
      </c>
      <c r="E13" s="2"/>
      <c r="F13" s="19"/>
      <c r="G13" s="2"/>
      <c r="H13" s="2">
        <f t="shared" ref="H13:H38" si="4">0</f>
        <v>0</v>
      </c>
      <c r="I13" s="2"/>
      <c r="J13" s="19"/>
      <c r="K13" s="2"/>
      <c r="L13" s="2">
        <f t="shared" si="0"/>
        <v>-522.46</v>
      </c>
      <c r="M13" s="2"/>
      <c r="N13" s="19">
        <f t="shared" si="1"/>
        <v>0</v>
      </c>
      <c r="O13" s="10"/>
      <c r="P13" s="2">
        <f>-6880.45</f>
        <v>-6880.45</v>
      </c>
      <c r="Q13" s="2"/>
      <c r="R13" s="19"/>
      <c r="S13" s="2"/>
      <c r="T13" s="2">
        <f>0</f>
        <v>0</v>
      </c>
      <c r="U13" s="2"/>
      <c r="V13" s="19"/>
      <c r="W13" s="2"/>
      <c r="X13" s="2">
        <f t="shared" si="2"/>
        <v>-6880.45</v>
      </c>
      <c r="Y13" s="2"/>
      <c r="Z13" s="19">
        <f t="shared" si="3"/>
        <v>0</v>
      </c>
    </row>
    <row r="14" spans="1:26" s="23" customFormat="1" hidden="1" outlineLevel="1" x14ac:dyDescent="0.25">
      <c r="A14" s="44"/>
      <c r="B14" s="10" t="str">
        <f>CONCATENATE("          ", "4025", " - ", "TAXABLE SALES-TEST FORMS")</f>
        <v xml:space="preserve">          4025 - TAXABLE SALES-TEST FORMS</v>
      </c>
      <c r="C14" s="10"/>
      <c r="D14" s="2">
        <f>0</f>
        <v>0</v>
      </c>
      <c r="E14" s="2"/>
      <c r="F14" s="19"/>
      <c r="G14" s="2"/>
      <c r="H14" s="2">
        <f t="shared" si="4"/>
        <v>0</v>
      </c>
      <c r="I14" s="2"/>
      <c r="J14" s="19"/>
      <c r="K14" s="2"/>
      <c r="L14" s="2">
        <f t="shared" si="0"/>
        <v>0</v>
      </c>
      <c r="M14" s="2"/>
      <c r="N14" s="19">
        <f t="shared" si="1"/>
        <v>0</v>
      </c>
      <c r="O14" s="10"/>
      <c r="P14" s="2">
        <f>0</f>
        <v>0</v>
      </c>
      <c r="Q14" s="2"/>
      <c r="R14" s="19"/>
      <c r="S14" s="2"/>
      <c r="T14" s="2">
        <f>--13.62</f>
        <v>13.62</v>
      </c>
      <c r="U14" s="2"/>
      <c r="V14" s="19"/>
      <c r="W14" s="2"/>
      <c r="X14" s="2">
        <f t="shared" si="2"/>
        <v>-13.62</v>
      </c>
      <c r="Y14" s="2"/>
      <c r="Z14" s="19">
        <f t="shared" si="3"/>
        <v>-1</v>
      </c>
    </row>
    <row r="15" spans="1:26" s="23" customFormat="1" hidden="1" outlineLevel="1" x14ac:dyDescent="0.25">
      <c r="A15" s="44"/>
      <c r="B15" s="10" t="str">
        <f>CONCATENATE("          ", "4026", " - ", "TAXABLE SALES-WRITING INSTRUME")</f>
        <v xml:space="preserve">          4026 - TAXABLE SALES-WRITING INSTRUME</v>
      </c>
      <c r="C15" s="10"/>
      <c r="D15" s="2">
        <f>--25.1</f>
        <v>25.1</v>
      </c>
      <c r="E15" s="2"/>
      <c r="F15" s="19"/>
      <c r="G15" s="2"/>
      <c r="H15" s="2">
        <f t="shared" si="4"/>
        <v>0</v>
      </c>
      <c r="I15" s="2"/>
      <c r="J15" s="19"/>
      <c r="K15" s="2"/>
      <c r="L15" s="2">
        <f t="shared" si="0"/>
        <v>25.1</v>
      </c>
      <c r="M15" s="2"/>
      <c r="N15" s="19">
        <f t="shared" si="1"/>
        <v>0</v>
      </c>
      <c r="O15" s="10"/>
      <c r="P15" s="2">
        <f>--308.14</f>
        <v>308.14</v>
      </c>
      <c r="Q15" s="2"/>
      <c r="R15" s="19"/>
      <c r="S15" s="2"/>
      <c r="T15" s="2">
        <f>--229.51</f>
        <v>229.51</v>
      </c>
      <c r="U15" s="2"/>
      <c r="V15" s="19"/>
      <c r="W15" s="2"/>
      <c r="X15" s="2">
        <f t="shared" si="2"/>
        <v>78.63</v>
      </c>
      <c r="Y15" s="2"/>
      <c r="Z15" s="19">
        <f t="shared" si="3"/>
        <v>0.34259945100431355</v>
      </c>
    </row>
    <row r="16" spans="1:26" s="23" customFormat="1" hidden="1" outlineLevel="1" x14ac:dyDescent="0.25">
      <c r="A16" s="44"/>
      <c r="B16" s="10" t="str">
        <f>CONCATENATE("          ", "4027", " - ", "TAXABLE SALES-SCHOOL SUPPLIES")</f>
        <v xml:space="preserve">          4027 - TAXABLE SALES-SCHOOL SUPPLIES</v>
      </c>
      <c r="C16" s="10"/>
      <c r="D16" s="2">
        <f>--103.32</f>
        <v>103.32</v>
      </c>
      <c r="E16" s="2"/>
      <c r="F16" s="19"/>
      <c r="G16" s="2"/>
      <c r="H16" s="2">
        <f t="shared" si="4"/>
        <v>0</v>
      </c>
      <c r="I16" s="2"/>
      <c r="J16" s="19"/>
      <c r="K16" s="2"/>
      <c r="L16" s="2">
        <f t="shared" si="0"/>
        <v>103.32</v>
      </c>
      <c r="M16" s="2"/>
      <c r="N16" s="19">
        <f t="shared" si="1"/>
        <v>0</v>
      </c>
      <c r="O16" s="10"/>
      <c r="P16" s="2">
        <f>--536.95</f>
        <v>536.95000000000005</v>
      </c>
      <c r="Q16" s="2"/>
      <c r="R16" s="19"/>
      <c r="S16" s="2"/>
      <c r="T16" s="2">
        <f>--161.59</f>
        <v>161.59</v>
      </c>
      <c r="U16" s="2"/>
      <c r="V16" s="19"/>
      <c r="W16" s="2"/>
      <c r="X16" s="2">
        <f t="shared" si="2"/>
        <v>375.36</v>
      </c>
      <c r="Y16" s="2"/>
      <c r="Z16" s="19">
        <f t="shared" si="3"/>
        <v>2.3229160220310665</v>
      </c>
    </row>
    <row r="17" spans="1:26" s="23" customFormat="1" hidden="1" outlineLevel="1" x14ac:dyDescent="0.25">
      <c r="A17" s="44"/>
      <c r="B17" s="10" t="str">
        <f>CONCATENATE("          ", "4028", " - ", "TAXABLE SALES-ART/TECH")</f>
        <v xml:space="preserve">          4028 - TAXABLE SALES-ART/TECH</v>
      </c>
      <c r="C17" s="10"/>
      <c r="D17" s="2">
        <f>0</f>
        <v>0</v>
      </c>
      <c r="E17" s="2"/>
      <c r="F17" s="19"/>
      <c r="G17" s="2"/>
      <c r="H17" s="2">
        <f t="shared" si="4"/>
        <v>0</v>
      </c>
      <c r="I17" s="2"/>
      <c r="J17" s="19"/>
      <c r="K17" s="2"/>
      <c r="L17" s="2">
        <f t="shared" si="0"/>
        <v>0</v>
      </c>
      <c r="M17" s="2"/>
      <c r="N17" s="19">
        <f t="shared" si="1"/>
        <v>0</v>
      </c>
      <c r="O17" s="10"/>
      <c r="P17" s="2">
        <f>--29.24</f>
        <v>29.24</v>
      </c>
      <c r="Q17" s="2"/>
      <c r="R17" s="19"/>
      <c r="S17" s="2"/>
      <c r="T17" s="2">
        <f>0</f>
        <v>0</v>
      </c>
      <c r="U17" s="2"/>
      <c r="V17" s="19"/>
      <c r="W17" s="2"/>
      <c r="X17" s="2">
        <f t="shared" si="2"/>
        <v>29.24</v>
      </c>
      <c r="Y17" s="2"/>
      <c r="Z17" s="19">
        <f t="shared" si="3"/>
        <v>0</v>
      </c>
    </row>
    <row r="18" spans="1:26" s="23" customFormat="1" hidden="1" outlineLevel="1" x14ac:dyDescent="0.25">
      <c r="A18" s="44"/>
      <c r="B18" s="10" t="str">
        <f>CONCATENATE("          ", "4040", " - ", "TAXABLE SALES-LOGO CLOTHING")</f>
        <v xml:space="preserve">          4040 - TAXABLE SALES-LOGO CLOTHING</v>
      </c>
      <c r="C18" s="10"/>
      <c r="D18" s="2">
        <f>--30362.76</f>
        <v>30362.76</v>
      </c>
      <c r="E18" s="2"/>
      <c r="F18" s="19"/>
      <c r="G18" s="2"/>
      <c r="H18" s="2">
        <f t="shared" si="4"/>
        <v>0</v>
      </c>
      <c r="I18" s="2"/>
      <c r="J18" s="19"/>
      <c r="K18" s="2"/>
      <c r="L18" s="2">
        <f t="shared" si="0"/>
        <v>30362.76</v>
      </c>
      <c r="M18" s="2"/>
      <c r="N18" s="19">
        <f t="shared" si="1"/>
        <v>0</v>
      </c>
      <c r="O18" s="10"/>
      <c r="P18" s="2">
        <f>--272365.11</f>
        <v>272365.11</v>
      </c>
      <c r="Q18" s="2"/>
      <c r="R18" s="19"/>
      <c r="S18" s="2"/>
      <c r="T18" s="2">
        <f>--361873.67</f>
        <v>361873.67</v>
      </c>
      <c r="U18" s="2"/>
      <c r="V18" s="19"/>
      <c r="W18" s="2"/>
      <c r="X18" s="2">
        <f t="shared" si="2"/>
        <v>-89508.56</v>
      </c>
      <c r="Y18" s="2"/>
      <c r="Z18" s="19">
        <f t="shared" si="3"/>
        <v>-0.24734753429283762</v>
      </c>
    </row>
    <row r="19" spans="1:26" s="23" customFormat="1" hidden="1" outlineLevel="1" x14ac:dyDescent="0.25">
      <c r="A19" s="44"/>
      <c r="B19" s="10" t="str">
        <f>CONCATENATE("          ", "4041", " - ", "TAXABLE SALES-LOGO GIFTS")</f>
        <v xml:space="preserve">          4041 - TAXABLE SALES-LOGO GIFTS</v>
      </c>
      <c r="C19" s="10"/>
      <c r="D19" s="2">
        <f>--4101.43</f>
        <v>4101.43</v>
      </c>
      <c r="E19" s="2"/>
      <c r="F19" s="19"/>
      <c r="G19" s="2"/>
      <c r="H19" s="2">
        <f t="shared" si="4"/>
        <v>0</v>
      </c>
      <c r="I19" s="2"/>
      <c r="J19" s="19"/>
      <c r="K19" s="2"/>
      <c r="L19" s="2">
        <f t="shared" si="0"/>
        <v>4101.43</v>
      </c>
      <c r="M19" s="2"/>
      <c r="N19" s="19">
        <f t="shared" si="1"/>
        <v>0</v>
      </c>
      <c r="O19" s="10"/>
      <c r="P19" s="2">
        <f>--40260.82</f>
        <v>40260.82</v>
      </c>
      <c r="Q19" s="2"/>
      <c r="R19" s="19"/>
      <c r="S19" s="2"/>
      <c r="T19" s="2">
        <f>--48550.34</f>
        <v>48550.34</v>
      </c>
      <c r="U19" s="2"/>
      <c r="V19" s="19"/>
      <c r="W19" s="2"/>
      <c r="X19" s="2">
        <f t="shared" si="2"/>
        <v>-8289.5199999999968</v>
      </c>
      <c r="Y19" s="2"/>
      <c r="Z19" s="19">
        <f t="shared" si="3"/>
        <v>-0.17074071983841921</v>
      </c>
    </row>
    <row r="20" spans="1:26" s="23" customFormat="1" hidden="1" outlineLevel="1" x14ac:dyDescent="0.25">
      <c r="A20" s="44"/>
      <c r="B20" s="10" t="str">
        <f>CONCATENATE("          ", "4042", " - ", "TAXABLE SALES-EVERYDAY GIFTS")</f>
        <v xml:space="preserve">          4042 - TAXABLE SALES-EVERYDAY GIFTS</v>
      </c>
      <c r="C20" s="10"/>
      <c r="D20" s="2">
        <f>--782.71</f>
        <v>782.71</v>
      </c>
      <c r="E20" s="2"/>
      <c r="F20" s="19"/>
      <c r="G20" s="2"/>
      <c r="H20" s="2">
        <f t="shared" si="4"/>
        <v>0</v>
      </c>
      <c r="I20" s="2"/>
      <c r="J20" s="19"/>
      <c r="K20" s="2"/>
      <c r="L20" s="2">
        <f t="shared" si="0"/>
        <v>782.71</v>
      </c>
      <c r="M20" s="2"/>
      <c r="N20" s="19">
        <f t="shared" si="1"/>
        <v>0</v>
      </c>
      <c r="O20" s="10"/>
      <c r="P20" s="2">
        <f>--10652.39</f>
        <v>10652.39</v>
      </c>
      <c r="Q20" s="2"/>
      <c r="R20" s="19"/>
      <c r="S20" s="2"/>
      <c r="T20" s="2">
        <f>--30701.57</f>
        <v>30701.57</v>
      </c>
      <c r="U20" s="2"/>
      <c r="V20" s="19"/>
      <c r="W20" s="2"/>
      <c r="X20" s="2">
        <f t="shared" si="2"/>
        <v>-20049.18</v>
      </c>
      <c r="Y20" s="2"/>
      <c r="Z20" s="19">
        <f t="shared" si="3"/>
        <v>-0.6530343562234765</v>
      </c>
    </row>
    <row r="21" spans="1:26" s="23" customFormat="1" hidden="1" outlineLevel="1" x14ac:dyDescent="0.25">
      <c r="A21" s="44"/>
      <c r="B21" s="10" t="str">
        <f>CONCATENATE("          ", "4043", " - ", "TAXABLE SALES-CARDS")</f>
        <v xml:space="preserve">          4043 - TAXABLE SALES-CARDS</v>
      </c>
      <c r="C21" s="10"/>
      <c r="D21" s="2">
        <f>--26.93</f>
        <v>26.93</v>
      </c>
      <c r="E21" s="2"/>
      <c r="F21" s="19"/>
      <c r="G21" s="2"/>
      <c r="H21" s="2">
        <f t="shared" si="4"/>
        <v>0</v>
      </c>
      <c r="I21" s="2"/>
      <c r="J21" s="19"/>
      <c r="K21" s="2"/>
      <c r="L21" s="2">
        <f t="shared" si="0"/>
        <v>26.93</v>
      </c>
      <c r="M21" s="2"/>
      <c r="N21" s="19">
        <f t="shared" si="1"/>
        <v>0</v>
      </c>
      <c r="O21" s="10"/>
      <c r="P21" s="2">
        <f>--11077.06</f>
        <v>11077.06</v>
      </c>
      <c r="Q21" s="2"/>
      <c r="R21" s="19"/>
      <c r="S21" s="2"/>
      <c r="T21" s="2">
        <f>--1544.02</f>
        <v>1544.02</v>
      </c>
      <c r="U21" s="2"/>
      <c r="V21" s="19"/>
      <c r="W21" s="2"/>
      <c r="X21" s="2">
        <f t="shared" si="2"/>
        <v>9533.0399999999991</v>
      </c>
      <c r="Y21" s="2"/>
      <c r="Z21" s="19">
        <f t="shared" si="3"/>
        <v>6.1741687283843465</v>
      </c>
    </row>
    <row r="22" spans="1:26" s="23" customFormat="1" hidden="1" outlineLevel="1" x14ac:dyDescent="0.25">
      <c r="A22" s="44"/>
      <c r="B22" s="10" t="str">
        <f>CONCATENATE("          ", "4044", " - ", "TAXABLE SALES-ACCESSORIES")</f>
        <v xml:space="preserve">          4044 - TAXABLE SALES-ACCESSORIES</v>
      </c>
      <c r="C22" s="10"/>
      <c r="D22" s="2">
        <f>--300.06</f>
        <v>300.06</v>
      </c>
      <c r="E22" s="2"/>
      <c r="F22" s="19"/>
      <c r="G22" s="2"/>
      <c r="H22" s="2">
        <f t="shared" si="4"/>
        <v>0</v>
      </c>
      <c r="I22" s="2"/>
      <c r="J22" s="19"/>
      <c r="K22" s="2"/>
      <c r="L22" s="2">
        <f t="shared" si="0"/>
        <v>300.06</v>
      </c>
      <c r="M22" s="2"/>
      <c r="N22" s="19">
        <f t="shared" si="1"/>
        <v>0</v>
      </c>
      <c r="O22" s="10"/>
      <c r="P22" s="2">
        <f>--3275.08</f>
        <v>3275.08</v>
      </c>
      <c r="Q22" s="2"/>
      <c r="R22" s="19"/>
      <c r="S22" s="2"/>
      <c r="T22" s="2">
        <f>--4101.55</f>
        <v>4101.55</v>
      </c>
      <c r="U22" s="2"/>
      <c r="V22" s="19"/>
      <c r="W22" s="2"/>
      <c r="X22" s="2">
        <f t="shared" si="2"/>
        <v>-826.47000000000025</v>
      </c>
      <c r="Y22" s="2"/>
      <c r="Z22" s="19">
        <f t="shared" si="3"/>
        <v>-0.20150187124379812</v>
      </c>
    </row>
    <row r="23" spans="1:26" s="23" customFormat="1" hidden="1" outlineLevel="1" x14ac:dyDescent="0.25">
      <c r="A23" s="44"/>
      <c r="B23" s="10" t="str">
        <f>CONCATENATE("          ", "4045", " - ", "TAXABLE SALES-SPECIAL ORDERS")</f>
        <v xml:space="preserve">          4045 - TAXABLE SALES-SPECIAL ORDERS</v>
      </c>
      <c r="C23" s="10"/>
      <c r="D23" s="2">
        <f t="shared" ref="D23:D25" si="5">0</f>
        <v>0</v>
      </c>
      <c r="E23" s="2"/>
      <c r="F23" s="19"/>
      <c r="G23" s="2"/>
      <c r="H23" s="2">
        <f t="shared" si="4"/>
        <v>0</v>
      </c>
      <c r="I23" s="2"/>
      <c r="J23" s="19"/>
      <c r="K23" s="2"/>
      <c r="L23" s="2">
        <f t="shared" si="0"/>
        <v>0</v>
      </c>
      <c r="M23" s="2"/>
      <c r="N23" s="19">
        <f t="shared" si="1"/>
        <v>0</v>
      </c>
      <c r="O23" s="10"/>
      <c r="P23" s="2">
        <f>--326.37</f>
        <v>326.37</v>
      </c>
      <c r="Q23" s="2"/>
      <c r="R23" s="19"/>
      <c r="S23" s="2"/>
      <c r="T23" s="2">
        <f>--467.6</f>
        <v>467.6</v>
      </c>
      <c r="U23" s="2"/>
      <c r="V23" s="19"/>
      <c r="W23" s="2"/>
      <c r="X23" s="2">
        <f t="shared" si="2"/>
        <v>-141.23000000000002</v>
      </c>
      <c r="Y23" s="2"/>
      <c r="Z23" s="19">
        <f t="shared" si="3"/>
        <v>-0.30203165098374679</v>
      </c>
    </row>
    <row r="24" spans="1:26" s="23" customFormat="1" hidden="1" outlineLevel="1" x14ac:dyDescent="0.25">
      <c r="A24" s="44"/>
      <c r="B24" s="10" t="str">
        <f>CONCATENATE("          ", "4092", " - ", "TAXABLE SALES-GRAD MERCH")</f>
        <v xml:space="preserve">          4092 - TAXABLE SALES-GRAD MERCH</v>
      </c>
      <c r="C24" s="10"/>
      <c r="D24" s="2">
        <f t="shared" si="5"/>
        <v>0</v>
      </c>
      <c r="E24" s="2"/>
      <c r="F24" s="19"/>
      <c r="G24" s="2"/>
      <c r="H24" s="2">
        <f t="shared" si="4"/>
        <v>0</v>
      </c>
      <c r="I24" s="2"/>
      <c r="J24" s="19"/>
      <c r="K24" s="2"/>
      <c r="L24" s="2">
        <f t="shared" si="0"/>
        <v>0</v>
      </c>
      <c r="M24" s="2"/>
      <c r="N24" s="19">
        <f t="shared" si="1"/>
        <v>0</v>
      </c>
      <c r="O24" s="10"/>
      <c r="P24" s="2">
        <f t="shared" ref="P24:P25" si="6">0</f>
        <v>0</v>
      </c>
      <c r="Q24" s="2"/>
      <c r="R24" s="19"/>
      <c r="S24" s="2"/>
      <c r="T24" s="2">
        <f>-39.95</f>
        <v>-39.950000000000003</v>
      </c>
      <c r="U24" s="2"/>
      <c r="V24" s="19"/>
      <c r="W24" s="2"/>
      <c r="X24" s="2">
        <f t="shared" si="2"/>
        <v>39.950000000000003</v>
      </c>
      <c r="Y24" s="2"/>
      <c r="Z24" s="19">
        <f t="shared" si="3"/>
        <v>-1</v>
      </c>
    </row>
    <row r="25" spans="1:26" s="23" customFormat="1" hidden="1" outlineLevel="1" x14ac:dyDescent="0.25">
      <c r="A25" s="44"/>
      <c r="B25" s="10" t="str">
        <f>CONCATENATE("          ", "4095", " - ", "TAXABLE SALES-CUSTOMER SERVICE")</f>
        <v xml:space="preserve">          4095 - TAXABLE SALES-CUSTOMER SERVICE</v>
      </c>
      <c r="C25" s="10"/>
      <c r="D25" s="2">
        <f t="shared" si="5"/>
        <v>0</v>
      </c>
      <c r="E25" s="2"/>
      <c r="F25" s="19"/>
      <c r="G25" s="2"/>
      <c r="H25" s="2">
        <f t="shared" si="4"/>
        <v>0</v>
      </c>
      <c r="I25" s="2"/>
      <c r="J25" s="19"/>
      <c r="K25" s="2"/>
      <c r="L25" s="2">
        <f t="shared" si="0"/>
        <v>0</v>
      </c>
      <c r="M25" s="2"/>
      <c r="N25" s="19">
        <f t="shared" si="1"/>
        <v>0</v>
      </c>
      <c r="O25" s="10"/>
      <c r="P25" s="2">
        <f t="shared" si="6"/>
        <v>0</v>
      </c>
      <c r="Q25" s="2"/>
      <c r="R25" s="19"/>
      <c r="S25" s="2"/>
      <c r="T25" s="2">
        <f>--29.7</f>
        <v>29.7</v>
      </c>
      <c r="U25" s="2"/>
      <c r="V25" s="19"/>
      <c r="W25" s="2"/>
      <c r="X25" s="2">
        <f t="shared" si="2"/>
        <v>-29.7</v>
      </c>
      <c r="Y25" s="2"/>
      <c r="Z25" s="19">
        <f t="shared" si="3"/>
        <v>-1</v>
      </c>
    </row>
    <row r="26" spans="1:26" s="23" customFormat="1" hidden="1" outlineLevel="1" x14ac:dyDescent="0.25">
      <c r="A26" s="44"/>
      <c r="B26" s="10" t="str">
        <f>CONCATENATE("          ", "4131", " - ", "NON-TAXABLE SALES-FOOD")</f>
        <v xml:space="preserve">          4131 - NON-TAXABLE SALES-FOOD</v>
      </c>
      <c r="C26" s="10"/>
      <c r="D26" s="2">
        <f>--9</f>
        <v>9</v>
      </c>
      <c r="E26" s="2"/>
      <c r="F26" s="19"/>
      <c r="G26" s="2"/>
      <c r="H26" s="2">
        <f t="shared" si="4"/>
        <v>0</v>
      </c>
      <c r="I26" s="2"/>
      <c r="J26" s="19"/>
      <c r="K26" s="2"/>
      <c r="L26" s="2">
        <f t="shared" si="0"/>
        <v>9</v>
      </c>
      <c r="M26" s="2"/>
      <c r="N26" s="19">
        <f t="shared" si="1"/>
        <v>0</v>
      </c>
      <c r="O26" s="10"/>
      <c r="P26" s="2">
        <f>--72</f>
        <v>72</v>
      </c>
      <c r="Q26" s="2"/>
      <c r="R26" s="19"/>
      <c r="S26" s="2"/>
      <c r="T26" s="2">
        <f>0</f>
        <v>0</v>
      </c>
      <c r="U26" s="2"/>
      <c r="V26" s="19"/>
      <c r="W26" s="2"/>
      <c r="X26" s="2">
        <f t="shared" si="2"/>
        <v>72</v>
      </c>
      <c r="Y26" s="2"/>
      <c r="Z26" s="19">
        <f t="shared" si="3"/>
        <v>0</v>
      </c>
    </row>
    <row r="27" spans="1:26" s="23" customFormat="1" hidden="1" outlineLevel="1" x14ac:dyDescent="0.25">
      <c r="A27" s="44"/>
      <c r="B27" s="10" t="str">
        <f>CONCATENATE("          ", "4137", " - ", "NON-TAXABLE SALES-WATER")</f>
        <v xml:space="preserve">          4137 - NON-TAXABLE SALES-WATER</v>
      </c>
      <c r="C27" s="10"/>
      <c r="D27" s="2">
        <f t="shared" ref="D27:D32" si="7">0</f>
        <v>0</v>
      </c>
      <c r="E27" s="2"/>
      <c r="F27" s="19"/>
      <c r="G27" s="2"/>
      <c r="H27" s="2">
        <f t="shared" si="4"/>
        <v>0</v>
      </c>
      <c r="I27" s="2"/>
      <c r="J27" s="19"/>
      <c r="K27" s="2"/>
      <c r="L27" s="2">
        <f t="shared" si="0"/>
        <v>0</v>
      </c>
      <c r="M27" s="2"/>
      <c r="N27" s="19">
        <f t="shared" si="1"/>
        <v>0</v>
      </c>
      <c r="O27" s="10"/>
      <c r="P27" s="2">
        <f>--9</f>
        <v>9</v>
      </c>
      <c r="Q27" s="2"/>
      <c r="R27" s="19"/>
      <c r="S27" s="2"/>
      <c r="T27" s="2">
        <f>--123</f>
        <v>123</v>
      </c>
      <c r="U27" s="2"/>
      <c r="V27" s="19"/>
      <c r="W27" s="2"/>
      <c r="X27" s="2">
        <f t="shared" si="2"/>
        <v>-114</v>
      </c>
      <c r="Y27" s="2"/>
      <c r="Z27" s="19">
        <f t="shared" si="3"/>
        <v>-0.92682926829268297</v>
      </c>
    </row>
    <row r="28" spans="1:26" s="23" customFormat="1" hidden="1" outlineLevel="1" x14ac:dyDescent="0.25">
      <c r="A28" s="44"/>
      <c r="B28" s="10" t="str">
        <f>CONCATENATE("          ", "4140", " - ", "NON-TAXABLE SALES-LOGO CLOTHIN")</f>
        <v xml:space="preserve">          4140 - NON-TAXABLE SALES-LOGO CLOTHIN</v>
      </c>
      <c r="C28" s="10"/>
      <c r="D28" s="2">
        <f t="shared" si="7"/>
        <v>0</v>
      </c>
      <c r="E28" s="2"/>
      <c r="F28" s="19"/>
      <c r="G28" s="2"/>
      <c r="H28" s="2">
        <f t="shared" si="4"/>
        <v>0</v>
      </c>
      <c r="I28" s="2"/>
      <c r="J28" s="19"/>
      <c r="K28" s="2"/>
      <c r="L28" s="2">
        <f t="shared" si="0"/>
        <v>0</v>
      </c>
      <c r="M28" s="2"/>
      <c r="N28" s="19">
        <f t="shared" si="1"/>
        <v>0</v>
      </c>
      <c r="O28" s="10"/>
      <c r="P28" s="2">
        <f>--218.18</f>
        <v>218.18</v>
      </c>
      <c r="Q28" s="2"/>
      <c r="R28" s="19"/>
      <c r="S28" s="2"/>
      <c r="T28" s="2">
        <f>0</f>
        <v>0</v>
      </c>
      <c r="U28" s="2"/>
      <c r="V28" s="19"/>
      <c r="W28" s="2"/>
      <c r="X28" s="2">
        <f t="shared" si="2"/>
        <v>218.18</v>
      </c>
      <c r="Y28" s="2"/>
      <c r="Z28" s="19">
        <f t="shared" si="3"/>
        <v>0</v>
      </c>
    </row>
    <row r="29" spans="1:26" s="23" customFormat="1" hidden="1" outlineLevel="1" x14ac:dyDescent="0.25">
      <c r="A29" s="44"/>
      <c r="B29" s="10" t="str">
        <f>CONCATENATE("          ", "4142", " - ", "NON-TAXABLE SALES-EVERYDAY GIF")</f>
        <v xml:space="preserve">          4142 - NON-TAXABLE SALES-EVERYDAY GIF</v>
      </c>
      <c r="C29" s="10"/>
      <c r="D29" s="2">
        <f t="shared" si="7"/>
        <v>0</v>
      </c>
      <c r="E29" s="2"/>
      <c r="F29" s="19"/>
      <c r="G29" s="2"/>
      <c r="H29" s="2">
        <f t="shared" si="4"/>
        <v>0</v>
      </c>
      <c r="I29" s="2"/>
      <c r="J29" s="19"/>
      <c r="K29" s="2"/>
      <c r="L29" s="2">
        <f t="shared" si="0"/>
        <v>0</v>
      </c>
      <c r="M29" s="2"/>
      <c r="N29" s="19">
        <f t="shared" si="1"/>
        <v>0</v>
      </c>
      <c r="O29" s="10"/>
      <c r="P29" s="2">
        <f>0</f>
        <v>0</v>
      </c>
      <c r="Q29" s="2"/>
      <c r="R29" s="19"/>
      <c r="S29" s="2"/>
      <c r="T29" s="2">
        <f>--591.86</f>
        <v>591.86</v>
      </c>
      <c r="U29" s="2"/>
      <c r="V29" s="19"/>
      <c r="W29" s="2"/>
      <c r="X29" s="2">
        <f t="shared" si="2"/>
        <v>-591.86</v>
      </c>
      <c r="Y29" s="2"/>
      <c r="Z29" s="19">
        <f t="shared" si="3"/>
        <v>-1</v>
      </c>
    </row>
    <row r="30" spans="1:26" s="23" customFormat="1" hidden="1" outlineLevel="1" x14ac:dyDescent="0.25">
      <c r="A30" s="44"/>
      <c r="B30" s="10" t="str">
        <f>CONCATENATE("          ", "4145", " - ", "NON-TAXABLE SALES-SPECIAL ORDE")</f>
        <v xml:space="preserve">          4145 - NON-TAXABLE SALES-SPECIAL ORDE</v>
      </c>
      <c r="C30" s="10"/>
      <c r="D30" s="2">
        <f t="shared" si="7"/>
        <v>0</v>
      </c>
      <c r="E30" s="2"/>
      <c r="F30" s="19"/>
      <c r="G30" s="2"/>
      <c r="H30" s="2">
        <f t="shared" si="4"/>
        <v>0</v>
      </c>
      <c r="I30" s="2"/>
      <c r="J30" s="19"/>
      <c r="K30" s="2"/>
      <c r="L30" s="2">
        <f t="shared" si="0"/>
        <v>0</v>
      </c>
      <c r="M30" s="2"/>
      <c r="N30" s="19">
        <f t="shared" si="1"/>
        <v>0</v>
      </c>
      <c r="O30" s="10"/>
      <c r="P30" s="2">
        <f>--7</f>
        <v>7</v>
      </c>
      <c r="Q30" s="2"/>
      <c r="R30" s="19"/>
      <c r="S30" s="2"/>
      <c r="T30" s="2">
        <f>0</f>
        <v>0</v>
      </c>
      <c r="U30" s="2"/>
      <c r="V30" s="19"/>
      <c r="W30" s="2"/>
      <c r="X30" s="2">
        <f t="shared" si="2"/>
        <v>7</v>
      </c>
      <c r="Y30" s="2"/>
      <c r="Z30" s="19">
        <f t="shared" si="3"/>
        <v>0</v>
      </c>
    </row>
    <row r="31" spans="1:26" s="23" customFormat="1" hidden="1" outlineLevel="1" x14ac:dyDescent="0.25">
      <c r="A31" s="44"/>
      <c r="B31" s="10" t="str">
        <f>CONCATENATE("          ", "4226", " - ", "SALES RETURN TAXABLE-WRITING I")</f>
        <v xml:space="preserve">          4226 - SALES RETURN TAXABLE-WRITING I</v>
      </c>
      <c r="C31" s="10"/>
      <c r="D31" s="2">
        <f t="shared" si="7"/>
        <v>0</v>
      </c>
      <c r="E31" s="2"/>
      <c r="F31" s="19"/>
      <c r="G31" s="2"/>
      <c r="H31" s="2">
        <f t="shared" si="4"/>
        <v>0</v>
      </c>
      <c r="I31" s="2"/>
      <c r="J31" s="19"/>
      <c r="K31" s="2"/>
      <c r="L31" s="2">
        <f t="shared" si="0"/>
        <v>0</v>
      </c>
      <c r="M31" s="2"/>
      <c r="N31" s="19">
        <f t="shared" si="1"/>
        <v>0</v>
      </c>
      <c r="O31" s="10"/>
      <c r="P31" s="2">
        <f>-28.64</f>
        <v>-28.64</v>
      </c>
      <c r="Q31" s="2"/>
      <c r="R31" s="19"/>
      <c r="S31" s="2"/>
      <c r="T31" s="2">
        <f>-134.8</f>
        <v>-134.80000000000001</v>
      </c>
      <c r="U31" s="2"/>
      <c r="V31" s="19"/>
      <c r="W31" s="2"/>
      <c r="X31" s="2">
        <f t="shared" si="2"/>
        <v>106.16000000000001</v>
      </c>
      <c r="Y31" s="2"/>
      <c r="Z31" s="19">
        <f t="shared" si="3"/>
        <v>-0.7875370919881306</v>
      </c>
    </row>
    <row r="32" spans="1:26" s="23" customFormat="1" hidden="1" outlineLevel="1" x14ac:dyDescent="0.25">
      <c r="A32" s="44"/>
      <c r="B32" s="10" t="str">
        <f>CONCATENATE("          ", "4227", " - ", "SALES RETURN TAXABLE-SCHOOL SU")</f>
        <v xml:space="preserve">          4227 - SALES RETURN TAXABLE-SCHOOL SU</v>
      </c>
      <c r="C32" s="10"/>
      <c r="D32" s="2">
        <f t="shared" si="7"/>
        <v>0</v>
      </c>
      <c r="E32" s="2"/>
      <c r="F32" s="19"/>
      <c r="G32" s="2"/>
      <c r="H32" s="2">
        <f t="shared" si="4"/>
        <v>0</v>
      </c>
      <c r="I32" s="2"/>
      <c r="J32" s="19"/>
      <c r="K32" s="2"/>
      <c r="L32" s="2">
        <f t="shared" si="0"/>
        <v>0</v>
      </c>
      <c r="M32" s="2"/>
      <c r="N32" s="19">
        <f t="shared" si="1"/>
        <v>0</v>
      </c>
      <c r="O32" s="10"/>
      <c r="P32" s="2">
        <f>-43.21</f>
        <v>-43.21</v>
      </c>
      <c r="Q32" s="2"/>
      <c r="R32" s="19"/>
      <c r="S32" s="2"/>
      <c r="T32" s="2">
        <f>0</f>
        <v>0</v>
      </c>
      <c r="U32" s="2"/>
      <c r="V32" s="19"/>
      <c r="W32" s="2"/>
      <c r="X32" s="2">
        <f t="shared" si="2"/>
        <v>-43.21</v>
      </c>
      <c r="Y32" s="2"/>
      <c r="Z32" s="19">
        <f t="shared" si="3"/>
        <v>0</v>
      </c>
    </row>
    <row r="33" spans="1:26" s="23" customFormat="1" hidden="1" outlineLevel="1" x14ac:dyDescent="0.25">
      <c r="A33" s="44"/>
      <c r="B33" s="10" t="str">
        <f>CONCATENATE("          ", "4240", " - ", "SALES RETURN TAXABLE-LOGO CLOT")</f>
        <v xml:space="preserve">          4240 - SALES RETURN TAXABLE-LOGO CLOT</v>
      </c>
      <c r="C33" s="10"/>
      <c r="D33" s="2">
        <f>-1436.31</f>
        <v>-1436.31</v>
      </c>
      <c r="E33" s="2"/>
      <c r="F33" s="19"/>
      <c r="G33" s="2"/>
      <c r="H33" s="2">
        <f t="shared" si="4"/>
        <v>0</v>
      </c>
      <c r="I33" s="2"/>
      <c r="J33" s="19"/>
      <c r="K33" s="2"/>
      <c r="L33" s="2">
        <f t="shared" si="0"/>
        <v>-1436.31</v>
      </c>
      <c r="M33" s="2"/>
      <c r="N33" s="19">
        <f t="shared" si="1"/>
        <v>0</v>
      </c>
      <c r="O33" s="10"/>
      <c r="P33" s="2">
        <f>-11330.69</f>
        <v>-11330.69</v>
      </c>
      <c r="Q33" s="2"/>
      <c r="R33" s="19"/>
      <c r="S33" s="2"/>
      <c r="T33" s="2">
        <f>-16122.19</f>
        <v>-16122.19</v>
      </c>
      <c r="U33" s="2"/>
      <c r="V33" s="19"/>
      <c r="W33" s="2"/>
      <c r="X33" s="2">
        <f t="shared" si="2"/>
        <v>4791.5</v>
      </c>
      <c r="Y33" s="2"/>
      <c r="Z33" s="19">
        <f t="shared" si="3"/>
        <v>-0.29719907779278126</v>
      </c>
    </row>
    <row r="34" spans="1:26" s="23" customFormat="1" hidden="1" outlineLevel="1" x14ac:dyDescent="0.25">
      <c r="A34" s="44"/>
      <c r="B34" s="10" t="str">
        <f>CONCATENATE("          ", "4241", " - ", "SALES RETURN TAXABLE-LOGO GIFT")</f>
        <v xml:space="preserve">          4241 - SALES RETURN TAXABLE-LOGO GIFT</v>
      </c>
      <c r="C34" s="10"/>
      <c r="D34" s="2">
        <f>-74.17</f>
        <v>-74.17</v>
      </c>
      <c r="E34" s="2"/>
      <c r="F34" s="19"/>
      <c r="G34" s="2"/>
      <c r="H34" s="2">
        <f t="shared" si="4"/>
        <v>0</v>
      </c>
      <c r="I34" s="2"/>
      <c r="J34" s="19"/>
      <c r="K34" s="2"/>
      <c r="L34" s="2">
        <f t="shared" si="0"/>
        <v>-74.17</v>
      </c>
      <c r="M34" s="2"/>
      <c r="N34" s="19">
        <f t="shared" si="1"/>
        <v>0</v>
      </c>
      <c r="O34" s="10"/>
      <c r="P34" s="2">
        <f>-774.08</f>
        <v>-774.08</v>
      </c>
      <c r="Q34" s="2"/>
      <c r="R34" s="19"/>
      <c r="S34" s="2"/>
      <c r="T34" s="2">
        <f>-1260.11</f>
        <v>-1260.1099999999999</v>
      </c>
      <c r="U34" s="2"/>
      <c r="V34" s="19"/>
      <c r="W34" s="2"/>
      <c r="X34" s="2">
        <f t="shared" si="2"/>
        <v>486.02999999999986</v>
      </c>
      <c r="Y34" s="2"/>
      <c r="Z34" s="19">
        <f t="shared" si="3"/>
        <v>-0.38570442262977034</v>
      </c>
    </row>
    <row r="35" spans="1:26" s="23" customFormat="1" hidden="1" outlineLevel="1" x14ac:dyDescent="0.25">
      <c r="A35" s="44"/>
      <c r="B35" s="10" t="str">
        <f>CONCATENATE("          ", "4242", " - ", "SALES RETURN TAXABLE-EVERYDAY")</f>
        <v xml:space="preserve">          4242 - SALES RETURN TAXABLE-EVERYDAY</v>
      </c>
      <c r="C35" s="10"/>
      <c r="D35" s="2">
        <f>-37.46</f>
        <v>-37.46</v>
      </c>
      <c r="E35" s="2"/>
      <c r="F35" s="19"/>
      <c r="G35" s="2"/>
      <c r="H35" s="2">
        <f t="shared" si="4"/>
        <v>0</v>
      </c>
      <c r="I35" s="2"/>
      <c r="J35" s="19"/>
      <c r="K35" s="2"/>
      <c r="L35" s="2">
        <f t="shared" si="0"/>
        <v>-37.46</v>
      </c>
      <c r="M35" s="2"/>
      <c r="N35" s="19">
        <f t="shared" si="1"/>
        <v>0</v>
      </c>
      <c r="O35" s="10"/>
      <c r="P35" s="2">
        <f>-363.52</f>
        <v>-363.52</v>
      </c>
      <c r="Q35" s="2"/>
      <c r="R35" s="19"/>
      <c r="S35" s="2"/>
      <c r="T35" s="2">
        <f>-850.31</f>
        <v>-850.31</v>
      </c>
      <c r="U35" s="2"/>
      <c r="V35" s="19"/>
      <c r="W35" s="2"/>
      <c r="X35" s="2">
        <f t="shared" si="2"/>
        <v>486.78999999999996</v>
      </c>
      <c r="Y35" s="2"/>
      <c r="Z35" s="19">
        <f t="shared" si="3"/>
        <v>-0.57248532888005554</v>
      </c>
    </row>
    <row r="36" spans="1:26" s="23" customFormat="1" hidden="1" outlineLevel="1" x14ac:dyDescent="0.25">
      <c r="A36" s="44"/>
      <c r="B36" s="10" t="str">
        <f>CONCATENATE("          ", "4244", " - ", "SALES RETURN TAXABLE-ACCESSORI")</f>
        <v xml:space="preserve">          4244 - SALES RETURN TAXABLE-ACCESSORI</v>
      </c>
      <c r="C36" s="10"/>
      <c r="D36" s="2">
        <f>-4.99</f>
        <v>-4.99</v>
      </c>
      <c r="E36" s="2"/>
      <c r="F36" s="19"/>
      <c r="G36" s="2"/>
      <c r="H36" s="2">
        <f t="shared" si="4"/>
        <v>0</v>
      </c>
      <c r="I36" s="2"/>
      <c r="J36" s="19"/>
      <c r="K36" s="2"/>
      <c r="L36" s="2">
        <f t="shared" si="0"/>
        <v>-4.99</v>
      </c>
      <c r="M36" s="2"/>
      <c r="N36" s="19">
        <f t="shared" si="1"/>
        <v>0</v>
      </c>
      <c r="O36" s="10"/>
      <c r="P36" s="2">
        <f>-64.82</f>
        <v>-64.819999999999993</v>
      </c>
      <c r="Q36" s="2"/>
      <c r="R36" s="19"/>
      <c r="S36" s="2"/>
      <c r="T36" s="2">
        <f>-130.8</f>
        <v>-130.80000000000001</v>
      </c>
      <c r="U36" s="2"/>
      <c r="V36" s="19"/>
      <c r="W36" s="2"/>
      <c r="X36" s="2">
        <f t="shared" si="2"/>
        <v>65.980000000000018</v>
      </c>
      <c r="Y36" s="2"/>
      <c r="Z36" s="19">
        <f t="shared" si="3"/>
        <v>-0.50443425076452608</v>
      </c>
    </row>
    <row r="37" spans="1:26" s="23" customFormat="1" hidden="1" outlineLevel="1" x14ac:dyDescent="0.25">
      <c r="A37" s="44"/>
      <c r="B37" s="10" t="str">
        <f>CONCATENATE("          ", "4245", " - ", "SALES RETURN TAXABLE-SPECIAL O")</f>
        <v xml:space="preserve">          4245 - SALES RETURN TAXABLE-SPECIAL O</v>
      </c>
      <c r="C37" s="10"/>
      <c r="D37" s="2">
        <f t="shared" ref="D37:D38" si="8">0</f>
        <v>0</v>
      </c>
      <c r="E37" s="2"/>
      <c r="F37" s="19"/>
      <c r="G37" s="2"/>
      <c r="H37" s="2">
        <f t="shared" si="4"/>
        <v>0</v>
      </c>
      <c r="I37" s="2"/>
      <c r="J37" s="19"/>
      <c r="K37" s="2"/>
      <c r="L37" s="2">
        <f t="shared" si="0"/>
        <v>0</v>
      </c>
      <c r="M37" s="2"/>
      <c r="N37" s="19">
        <f t="shared" si="1"/>
        <v>0</v>
      </c>
      <c r="O37" s="10"/>
      <c r="P37" s="2">
        <f>-7</f>
        <v>-7</v>
      </c>
      <c r="Q37" s="2"/>
      <c r="R37" s="19"/>
      <c r="S37" s="2"/>
      <c r="T37" s="2">
        <f>-9.99</f>
        <v>-9.99</v>
      </c>
      <c r="U37" s="2"/>
      <c r="V37" s="19"/>
      <c r="W37" s="2"/>
      <c r="X37" s="2">
        <f t="shared" si="2"/>
        <v>2.99</v>
      </c>
      <c r="Y37" s="2"/>
      <c r="Z37" s="19">
        <f t="shared" si="3"/>
        <v>-0.29929929929929933</v>
      </c>
    </row>
    <row r="38" spans="1:26" s="23" customFormat="1" hidden="1" outlineLevel="1" x14ac:dyDescent="0.25">
      <c r="A38" s="44"/>
      <c r="B38" s="10" t="str">
        <f>CONCATENATE("          ", "4295", " - ", "SALES RETURN TAXABLE-CUSTOMER")</f>
        <v xml:space="preserve">          4295 - SALES RETURN TAXABLE-CUSTOMER</v>
      </c>
      <c r="C38" s="10"/>
      <c r="D38" s="2">
        <f t="shared" si="8"/>
        <v>0</v>
      </c>
      <c r="E38" s="2"/>
      <c r="F38" s="19"/>
      <c r="G38" s="2"/>
      <c r="H38" s="2">
        <f t="shared" si="4"/>
        <v>0</v>
      </c>
      <c r="I38" s="2"/>
      <c r="J38" s="19"/>
      <c r="K38" s="2"/>
      <c r="L38" s="2">
        <f t="shared" si="0"/>
        <v>0</v>
      </c>
      <c r="M38" s="2"/>
      <c r="N38" s="19">
        <f t="shared" si="1"/>
        <v>0</v>
      </c>
      <c r="O38" s="10"/>
      <c r="P38" s="2">
        <f>0</f>
        <v>0</v>
      </c>
      <c r="Q38" s="2"/>
      <c r="R38" s="19"/>
      <c r="S38" s="2"/>
      <c r="T38" s="2">
        <f>--0.99</f>
        <v>0.99</v>
      </c>
      <c r="U38" s="2"/>
      <c r="V38" s="19"/>
      <c r="W38" s="2"/>
      <c r="X38" s="2">
        <f t="shared" si="2"/>
        <v>-0.99</v>
      </c>
      <c r="Y38" s="2"/>
      <c r="Z38" s="19">
        <f t="shared" si="3"/>
        <v>-1</v>
      </c>
    </row>
    <row r="39" spans="1:26" x14ac:dyDescent="0.25">
      <c r="A39" s="9"/>
      <c r="B39" s="11"/>
      <c r="C39" s="9"/>
      <c r="D39" s="3"/>
      <c r="E39" s="3"/>
      <c r="F39" s="8"/>
      <c r="G39" s="3"/>
      <c r="H39" s="3"/>
      <c r="I39" s="3"/>
      <c r="J39" s="8"/>
      <c r="K39" s="3"/>
      <c r="L39" s="3"/>
      <c r="M39" s="3"/>
      <c r="N39" s="8"/>
      <c r="P39" s="3"/>
      <c r="Q39" s="3"/>
      <c r="R39" s="8"/>
      <c r="S39" s="3"/>
      <c r="T39" s="3"/>
      <c r="U39" s="3"/>
      <c r="V39" s="8"/>
      <c r="W39" s="3"/>
      <c r="X39" s="3"/>
      <c r="Y39" s="3"/>
      <c r="Z39" s="8"/>
    </row>
    <row r="40" spans="1:26" s="24" customFormat="1" collapsed="1" x14ac:dyDescent="0.25">
      <c r="A40" s="11"/>
      <c r="B40" s="29" t="s">
        <v>256</v>
      </c>
      <c r="C40" s="11"/>
      <c r="D40" s="4">
        <f>SUM(OSRRefD16x_0)</f>
        <v>-110848.56999999998</v>
      </c>
      <c r="E40" s="4"/>
      <c r="F40" s="13">
        <f t="shared" ref="F40:F59" si="9">IF(D$12=0,0,D40/D$12)</f>
        <v>-3.2955414925472524</v>
      </c>
      <c r="G40" s="4"/>
      <c r="H40" s="4">
        <f>SUM(OSRRefH16x_0)</f>
        <v>24096.5</v>
      </c>
      <c r="I40" s="4"/>
      <c r="J40" s="13">
        <f t="shared" ref="J40:J59" si="10">IF(H$12=0,0,H40/H$12)</f>
        <v>0</v>
      </c>
      <c r="K40" s="4"/>
      <c r="L40" s="4">
        <f t="shared" ref="L40:L59" si="11">+D40-H40</f>
        <v>-134945.06999999998</v>
      </c>
      <c r="M40" s="4"/>
      <c r="N40" s="13">
        <f t="shared" ref="N40:N59" si="12">IF(H40=0,0,L40/H40)</f>
        <v>-5.6001938040794297</v>
      </c>
      <c r="O40" s="11"/>
      <c r="P40" s="4">
        <f>SUM(OSRRefP16x_0)</f>
        <v>20124.430000000022</v>
      </c>
      <c r="Q40" s="4"/>
      <c r="R40" s="13">
        <f t="shared" ref="R40:R59" si="13">IF(P$12=0,0,P40/P$12)</f>
        <v>6.2958702332616467E-2</v>
      </c>
      <c r="S40" s="4"/>
      <c r="T40" s="4">
        <f>SUM(OSRRefT16x_0)</f>
        <v>211204.24999999997</v>
      </c>
      <c r="U40" s="4"/>
      <c r="V40" s="13">
        <f t="shared" ref="V40:V59" si="14">IF(T$12=0,0,T40/T$12)</f>
        <v>0.49135450986780288</v>
      </c>
      <c r="W40" s="4"/>
      <c r="X40" s="4">
        <f t="shared" ref="X40:X59" si="15">+P40-T40</f>
        <v>-191079.81999999995</v>
      </c>
      <c r="Y40" s="4"/>
      <c r="Z40" s="13">
        <f t="shared" ref="Z40:Z59" si="16">IF(T40=0,0,X40/T40)</f>
        <v>-0.9047157905203137</v>
      </c>
    </row>
    <row r="41" spans="1:26" s="23" customFormat="1" hidden="1" outlineLevel="1" x14ac:dyDescent="0.25">
      <c r="A41" s="44"/>
      <c r="B41" s="10" t="str">
        <f>CONCATENATE("          ", "5025", " - ", "PURCHASES @ COST-TEST FORMS")</f>
        <v xml:space="preserve">          5025 - PURCHASES @ COST-TEST FORMS</v>
      </c>
      <c r="C41" s="10"/>
      <c r="D41" s="2"/>
      <c r="E41" s="2"/>
      <c r="F41" s="19">
        <f t="shared" si="9"/>
        <v>0</v>
      </c>
      <c r="G41" s="2"/>
      <c r="H41" s="2"/>
      <c r="I41" s="2"/>
      <c r="J41" s="19">
        <f t="shared" si="10"/>
        <v>0</v>
      </c>
      <c r="K41" s="2"/>
      <c r="L41" s="2">
        <f t="shared" si="11"/>
        <v>0</v>
      </c>
      <c r="M41" s="2"/>
      <c r="N41" s="19">
        <f t="shared" si="12"/>
        <v>0</v>
      </c>
      <c r="O41" s="10"/>
      <c r="P41" s="2"/>
      <c r="Q41" s="2"/>
      <c r="R41" s="19">
        <f t="shared" si="13"/>
        <v>0</v>
      </c>
      <c r="S41" s="2"/>
      <c r="T41" s="2">
        <v>6.06</v>
      </c>
      <c r="U41" s="2"/>
      <c r="V41" s="19">
        <f t="shared" si="14"/>
        <v>1.4098240588429853E-5</v>
      </c>
      <c r="W41" s="2"/>
      <c r="X41" s="2">
        <f t="shared" si="15"/>
        <v>-6.06</v>
      </c>
      <c r="Y41" s="2"/>
      <c r="Z41" s="19">
        <f t="shared" si="16"/>
        <v>-1</v>
      </c>
    </row>
    <row r="42" spans="1:26" s="23" customFormat="1" hidden="1" outlineLevel="1" x14ac:dyDescent="0.25">
      <c r="A42" s="44"/>
      <c r="B42" s="10" t="str">
        <f>CONCATENATE("          ", "5026", " - ", "PURCHASES @ COST-WRITING INSTR")</f>
        <v xml:space="preserve">          5026 - PURCHASES @ COST-WRITING INSTR</v>
      </c>
      <c r="C42" s="10"/>
      <c r="D42" s="2">
        <v>-248.27</v>
      </c>
      <c r="E42" s="2"/>
      <c r="F42" s="19">
        <f t="shared" si="9"/>
        <v>-7.3810973506893826E-3</v>
      </c>
      <c r="G42" s="2"/>
      <c r="H42" s="2"/>
      <c r="I42" s="2"/>
      <c r="J42" s="19">
        <f t="shared" si="10"/>
        <v>0</v>
      </c>
      <c r="K42" s="2"/>
      <c r="L42" s="2">
        <f t="shared" si="11"/>
        <v>-248.27</v>
      </c>
      <c r="M42" s="2"/>
      <c r="N42" s="19">
        <f t="shared" si="12"/>
        <v>0</v>
      </c>
      <c r="O42" s="10"/>
      <c r="P42" s="2">
        <v>-250.32</v>
      </c>
      <c r="Q42" s="2"/>
      <c r="R42" s="19">
        <f t="shared" si="13"/>
        <v>-7.8311894388564225E-4</v>
      </c>
      <c r="S42" s="2"/>
      <c r="T42" s="2">
        <v>1193.81</v>
      </c>
      <c r="U42" s="2"/>
      <c r="V42" s="19">
        <f t="shared" si="14"/>
        <v>2.7773301314972677E-3</v>
      </c>
      <c r="W42" s="2"/>
      <c r="X42" s="2">
        <f t="shared" si="15"/>
        <v>-1444.1299999999999</v>
      </c>
      <c r="Y42" s="2"/>
      <c r="Z42" s="19">
        <f t="shared" si="16"/>
        <v>-1.2096816076260042</v>
      </c>
    </row>
    <row r="43" spans="1:26" s="23" customFormat="1" hidden="1" outlineLevel="1" x14ac:dyDescent="0.25">
      <c r="A43" s="44"/>
      <c r="B43" s="10" t="str">
        <f>CONCATENATE("          ", "5027", " - ", "PURCHASES @ COST-SCHOOL SUPPLI")</f>
        <v xml:space="preserve">          5027 - PURCHASES @ COST-SCHOOL SUPPLI</v>
      </c>
      <c r="C43" s="10"/>
      <c r="D43" s="2">
        <v>-333.98</v>
      </c>
      <c r="E43" s="2"/>
      <c r="F43" s="19">
        <f t="shared" si="9"/>
        <v>-9.9292660941041611E-3</v>
      </c>
      <c r="G43" s="2"/>
      <c r="H43" s="2"/>
      <c r="I43" s="2"/>
      <c r="J43" s="19">
        <f t="shared" si="10"/>
        <v>0</v>
      </c>
      <c r="K43" s="2"/>
      <c r="L43" s="2">
        <f t="shared" si="11"/>
        <v>-333.98</v>
      </c>
      <c r="M43" s="2"/>
      <c r="N43" s="19">
        <f t="shared" si="12"/>
        <v>0</v>
      </c>
      <c r="O43" s="10"/>
      <c r="P43" s="2">
        <v>-333.98</v>
      </c>
      <c r="Q43" s="2"/>
      <c r="R43" s="19">
        <f t="shared" si="13"/>
        <v>-1.0448468555406152E-3</v>
      </c>
      <c r="S43" s="2"/>
      <c r="T43" s="2">
        <v>305.64999999999998</v>
      </c>
      <c r="U43" s="2"/>
      <c r="V43" s="19">
        <f t="shared" si="14"/>
        <v>7.1107710162600401E-4</v>
      </c>
      <c r="W43" s="2"/>
      <c r="X43" s="2">
        <f t="shared" si="15"/>
        <v>-639.63</v>
      </c>
      <c r="Y43" s="2"/>
      <c r="Z43" s="19">
        <f t="shared" si="16"/>
        <v>-2.0926877147063636</v>
      </c>
    </row>
    <row r="44" spans="1:26" s="23" customFormat="1" hidden="1" outlineLevel="1" x14ac:dyDescent="0.25">
      <c r="A44" s="44"/>
      <c r="B44" s="10" t="str">
        <f>CONCATENATE("          ", "5028", " - ", "PURCHASES @ COST-ART/TECH")</f>
        <v xml:space="preserve">          5028 - PURCHASES @ COST-ART/TECH</v>
      </c>
      <c r="C44" s="10"/>
      <c r="D44" s="2">
        <v>-32</v>
      </c>
      <c r="E44" s="2"/>
      <c r="F44" s="19">
        <f t="shared" si="9"/>
        <v>-9.5136389906980395E-4</v>
      </c>
      <c r="G44" s="2"/>
      <c r="H44" s="2"/>
      <c r="I44" s="2"/>
      <c r="J44" s="19">
        <f t="shared" si="10"/>
        <v>0</v>
      </c>
      <c r="K44" s="2"/>
      <c r="L44" s="2">
        <f t="shared" si="11"/>
        <v>-32</v>
      </c>
      <c r="M44" s="2"/>
      <c r="N44" s="19">
        <f t="shared" si="12"/>
        <v>0</v>
      </c>
      <c r="O44" s="10"/>
      <c r="P44" s="2">
        <v>-32</v>
      </c>
      <c r="Q44" s="2"/>
      <c r="R44" s="19">
        <f t="shared" si="13"/>
        <v>-1.0011108263159376E-4</v>
      </c>
      <c r="S44" s="2"/>
      <c r="T44" s="2"/>
      <c r="U44" s="2"/>
      <c r="V44" s="19">
        <f t="shared" si="14"/>
        <v>0</v>
      </c>
      <c r="W44" s="2"/>
      <c r="X44" s="2">
        <f t="shared" si="15"/>
        <v>-32</v>
      </c>
      <c r="Y44" s="2"/>
      <c r="Z44" s="19">
        <f t="shared" si="16"/>
        <v>0</v>
      </c>
    </row>
    <row r="45" spans="1:26" s="23" customFormat="1" hidden="1" outlineLevel="1" x14ac:dyDescent="0.25">
      <c r="A45" s="44"/>
      <c r="B45" s="10" t="str">
        <f>CONCATENATE("          ", "5031", " - ", "PURCHASES @ COST-FOOD")</f>
        <v xml:space="preserve">          5031 - PURCHASES @ COST-FOOD</v>
      </c>
      <c r="C45" s="10"/>
      <c r="D45" s="2">
        <v>-42.51</v>
      </c>
      <c r="E45" s="2"/>
      <c r="F45" s="19">
        <f t="shared" si="9"/>
        <v>-1.2638274796705428E-3</v>
      </c>
      <c r="G45" s="2"/>
      <c r="H45" s="2"/>
      <c r="I45" s="2"/>
      <c r="J45" s="19">
        <f t="shared" si="10"/>
        <v>0</v>
      </c>
      <c r="K45" s="2"/>
      <c r="L45" s="2">
        <f t="shared" si="11"/>
        <v>-42.51</v>
      </c>
      <c r="M45" s="2"/>
      <c r="N45" s="19">
        <f t="shared" si="12"/>
        <v>0</v>
      </c>
      <c r="O45" s="10"/>
      <c r="P45" s="2">
        <v>-42.51</v>
      </c>
      <c r="Q45" s="2"/>
      <c r="R45" s="19">
        <f t="shared" si="13"/>
        <v>-1.3299131633340785E-4</v>
      </c>
      <c r="S45" s="2"/>
      <c r="T45" s="2"/>
      <c r="U45" s="2"/>
      <c r="V45" s="19">
        <f t="shared" si="14"/>
        <v>0</v>
      </c>
      <c r="W45" s="2"/>
      <c r="X45" s="2">
        <f t="shared" si="15"/>
        <v>-42.51</v>
      </c>
      <c r="Y45" s="2"/>
      <c r="Z45" s="19">
        <f t="shared" si="16"/>
        <v>0</v>
      </c>
    </row>
    <row r="46" spans="1:26" s="23" customFormat="1" hidden="1" outlineLevel="1" x14ac:dyDescent="0.25">
      <c r="A46" s="44"/>
      <c r="B46" s="10" t="str">
        <f>CONCATENATE("          ", "5037", " - ", "PURCHASES @ COST-WATER")</f>
        <v xml:space="preserve">          5037 - PURCHASES @ COST-WATER</v>
      </c>
      <c r="C46" s="10"/>
      <c r="D46" s="2">
        <v>11</v>
      </c>
      <c r="E46" s="2"/>
      <c r="F46" s="19">
        <f t="shared" si="9"/>
        <v>3.2703134030524512E-4</v>
      </c>
      <c r="G46" s="2"/>
      <c r="H46" s="2"/>
      <c r="I46" s="2"/>
      <c r="J46" s="19">
        <f t="shared" si="10"/>
        <v>0</v>
      </c>
      <c r="K46" s="2"/>
      <c r="L46" s="2">
        <f t="shared" si="11"/>
        <v>11</v>
      </c>
      <c r="M46" s="2"/>
      <c r="N46" s="19">
        <f t="shared" si="12"/>
        <v>0</v>
      </c>
      <c r="O46" s="10"/>
      <c r="P46" s="2">
        <v>11</v>
      </c>
      <c r="Q46" s="2"/>
      <c r="R46" s="19">
        <f t="shared" si="13"/>
        <v>3.4413184654610359E-5</v>
      </c>
      <c r="S46" s="2"/>
      <c r="T46" s="2">
        <v>29.76</v>
      </c>
      <c r="U46" s="2"/>
      <c r="V46" s="19">
        <f t="shared" si="14"/>
        <v>6.9234924077833738E-5</v>
      </c>
      <c r="W46" s="2"/>
      <c r="X46" s="2">
        <f t="shared" si="15"/>
        <v>-18.760000000000002</v>
      </c>
      <c r="Y46" s="2"/>
      <c r="Z46" s="19">
        <f t="shared" si="16"/>
        <v>-0.6303763440860215</v>
      </c>
    </row>
    <row r="47" spans="1:26" s="23" customFormat="1" hidden="1" outlineLevel="1" x14ac:dyDescent="0.25">
      <c r="A47" s="44"/>
      <c r="B47" s="10" t="str">
        <f>CONCATENATE("          ", "5040", " - ", "PURCHASES @ COST-LOGO CLOTHING")</f>
        <v xml:space="preserve">          5040 - PURCHASES @ COST-LOGO CLOTHING</v>
      </c>
      <c r="C47" s="10"/>
      <c r="D47" s="2">
        <v>-120465.93</v>
      </c>
      <c r="E47" s="2"/>
      <c r="F47" s="19">
        <f t="shared" si="9"/>
        <v>-3.5814667771834396</v>
      </c>
      <c r="G47" s="2"/>
      <c r="H47" s="2">
        <v>-19613.34</v>
      </c>
      <c r="I47" s="2"/>
      <c r="J47" s="19">
        <f t="shared" si="10"/>
        <v>0</v>
      </c>
      <c r="K47" s="2"/>
      <c r="L47" s="2">
        <f t="shared" si="11"/>
        <v>-100852.59</v>
      </c>
      <c r="M47" s="2"/>
      <c r="N47" s="19">
        <f t="shared" si="12"/>
        <v>5.1420405703465084</v>
      </c>
      <c r="O47" s="10"/>
      <c r="P47" s="2">
        <v>-120465.93</v>
      </c>
      <c r="Q47" s="2"/>
      <c r="R47" s="19">
        <f t="shared" si="13"/>
        <v>-0.37687420851630593</v>
      </c>
      <c r="S47" s="2"/>
      <c r="T47" s="2">
        <v>144045.49</v>
      </c>
      <c r="U47" s="2"/>
      <c r="V47" s="19">
        <f t="shared" si="14"/>
        <v>0.33511352701291525</v>
      </c>
      <c r="W47" s="2"/>
      <c r="X47" s="2">
        <f t="shared" si="15"/>
        <v>-264511.42</v>
      </c>
      <c r="Y47" s="2"/>
      <c r="Z47" s="19">
        <f t="shared" si="16"/>
        <v>-1.8363047673342636</v>
      </c>
    </row>
    <row r="48" spans="1:26" s="23" customFormat="1" hidden="1" outlineLevel="1" x14ac:dyDescent="0.25">
      <c r="A48" s="44"/>
      <c r="B48" s="10" t="str">
        <f>CONCATENATE("          ", "5041", " - ", "PURCHASES @ COST-LOGO GIFTS")</f>
        <v xml:space="preserve">          5041 - PURCHASES @ COST-LOGO GIFTS</v>
      </c>
      <c r="C48" s="10"/>
      <c r="D48" s="2">
        <v>-9429.7800000000007</v>
      </c>
      <c r="E48" s="2"/>
      <c r="F48" s="19">
        <f t="shared" si="9"/>
        <v>-0.28034850838032677</v>
      </c>
      <c r="G48" s="2"/>
      <c r="H48" s="2">
        <v>-6368.68</v>
      </c>
      <c r="I48" s="2"/>
      <c r="J48" s="19">
        <f t="shared" si="10"/>
        <v>0</v>
      </c>
      <c r="K48" s="2"/>
      <c r="L48" s="2">
        <f t="shared" si="11"/>
        <v>-3061.1000000000004</v>
      </c>
      <c r="M48" s="2"/>
      <c r="N48" s="19">
        <f t="shared" si="12"/>
        <v>0.48064905129477381</v>
      </c>
      <c r="O48" s="10"/>
      <c r="P48" s="2">
        <v>-9222.18</v>
      </c>
      <c r="Q48" s="2"/>
      <c r="R48" s="19">
        <f t="shared" si="13"/>
        <v>-2.8851325750732234E-2</v>
      </c>
      <c r="S48" s="2"/>
      <c r="T48" s="2">
        <v>18398.5</v>
      </c>
      <c r="U48" s="2"/>
      <c r="V48" s="19">
        <f t="shared" si="14"/>
        <v>4.2803049416869084E-2</v>
      </c>
      <c r="W48" s="2"/>
      <c r="X48" s="2">
        <f t="shared" si="15"/>
        <v>-27620.68</v>
      </c>
      <c r="Y48" s="2"/>
      <c r="Z48" s="19">
        <f t="shared" si="16"/>
        <v>-1.5012462972524934</v>
      </c>
    </row>
    <row r="49" spans="1:26" s="23" customFormat="1" hidden="1" outlineLevel="1" x14ac:dyDescent="0.25">
      <c r="A49" s="44"/>
      <c r="B49" s="10" t="str">
        <f>CONCATENATE("          ", "5042", " - ", "PURCHASES @ COST-EVERYDAY GIFT")</f>
        <v xml:space="preserve">          5042 - PURCHASES @ COST-EVERYDAY GIFT</v>
      </c>
      <c r="C49" s="10"/>
      <c r="D49" s="2">
        <v>8014.4</v>
      </c>
      <c r="E49" s="2"/>
      <c r="F49" s="19">
        <f t="shared" si="9"/>
        <v>0.23826908852203241</v>
      </c>
      <c r="G49" s="2"/>
      <c r="H49" s="2">
        <v>-712.23</v>
      </c>
      <c r="I49" s="2"/>
      <c r="J49" s="19">
        <f t="shared" si="10"/>
        <v>0</v>
      </c>
      <c r="K49" s="2"/>
      <c r="L49" s="2">
        <f t="shared" si="11"/>
        <v>8726.6299999999992</v>
      </c>
      <c r="M49" s="2"/>
      <c r="N49" s="19">
        <f t="shared" si="12"/>
        <v>-12.252544824003481</v>
      </c>
      <c r="O49" s="10"/>
      <c r="P49" s="2">
        <v>15960.44</v>
      </c>
      <c r="Q49" s="2"/>
      <c r="R49" s="19">
        <f t="shared" si="13"/>
        <v>4.993177898989358E-2</v>
      </c>
      <c r="S49" s="2"/>
      <c r="T49" s="2">
        <v>19640.47</v>
      </c>
      <c r="U49" s="2"/>
      <c r="V49" s="19">
        <f t="shared" si="14"/>
        <v>4.569242101152457E-2</v>
      </c>
      <c r="W49" s="2"/>
      <c r="X49" s="2">
        <f t="shared" si="15"/>
        <v>-3680.0300000000007</v>
      </c>
      <c r="Y49" s="2"/>
      <c r="Z49" s="19">
        <f t="shared" si="16"/>
        <v>-0.1873697523531769</v>
      </c>
    </row>
    <row r="50" spans="1:26" s="23" customFormat="1" hidden="1" outlineLevel="1" x14ac:dyDescent="0.25">
      <c r="A50" s="44"/>
      <c r="B50" s="10" t="str">
        <f>CONCATENATE("          ", "5043", " - ", "PURCHASES @ COST-CARDS")</f>
        <v xml:space="preserve">          5043 - PURCHASES @ COST-CARDS</v>
      </c>
      <c r="C50" s="10"/>
      <c r="D50" s="2">
        <v>-5246.12</v>
      </c>
      <c r="E50" s="2"/>
      <c r="F50" s="19">
        <f t="shared" si="9"/>
        <v>-0.1559677868183775</v>
      </c>
      <c r="G50" s="2"/>
      <c r="H50" s="2">
        <v>-6.51</v>
      </c>
      <c r="I50" s="2"/>
      <c r="J50" s="19">
        <f t="shared" si="10"/>
        <v>0</v>
      </c>
      <c r="K50" s="2"/>
      <c r="L50" s="2">
        <f t="shared" si="11"/>
        <v>-5239.6099999999997</v>
      </c>
      <c r="M50" s="2"/>
      <c r="N50" s="19">
        <f t="shared" si="12"/>
        <v>804.85560675883255</v>
      </c>
      <c r="O50" s="10"/>
      <c r="P50" s="2">
        <v>-5246.12</v>
      </c>
      <c r="Q50" s="2"/>
      <c r="R50" s="19">
        <f t="shared" si="13"/>
        <v>-1.6412336025476773E-2</v>
      </c>
      <c r="S50" s="2"/>
      <c r="T50" s="2">
        <v>147.96</v>
      </c>
      <c r="U50" s="2"/>
      <c r="V50" s="19">
        <f t="shared" si="14"/>
        <v>3.4422040882245566E-4</v>
      </c>
      <c r="W50" s="2"/>
      <c r="X50" s="2">
        <f t="shared" si="15"/>
        <v>-5394.08</v>
      </c>
      <c r="Y50" s="2"/>
      <c r="Z50" s="19">
        <f t="shared" si="16"/>
        <v>-36.456339551230059</v>
      </c>
    </row>
    <row r="51" spans="1:26" s="23" customFormat="1" hidden="1" outlineLevel="1" x14ac:dyDescent="0.25">
      <c r="A51" s="44"/>
      <c r="B51" s="10" t="str">
        <f>CONCATENATE("          ", "5044", " - ", "PURCHASES @ COST-ACCESSORIES")</f>
        <v xml:space="preserve">          5044 - PURCHASES @ COST-ACCESSORIES</v>
      </c>
      <c r="C51" s="10"/>
      <c r="D51" s="2">
        <v>-1731.59</v>
      </c>
      <c r="E51" s="2"/>
      <c r="F51" s="19">
        <f t="shared" si="9"/>
        <v>-5.1480381687196305E-2</v>
      </c>
      <c r="G51" s="2"/>
      <c r="H51" s="2">
        <v>-1263.75</v>
      </c>
      <c r="I51" s="2"/>
      <c r="J51" s="19">
        <f t="shared" si="10"/>
        <v>0</v>
      </c>
      <c r="K51" s="2"/>
      <c r="L51" s="2">
        <f t="shared" si="11"/>
        <v>-467.83999999999992</v>
      </c>
      <c r="M51" s="2"/>
      <c r="N51" s="19">
        <f t="shared" si="12"/>
        <v>0.37019980217606324</v>
      </c>
      <c r="O51" s="10"/>
      <c r="P51" s="2">
        <v>-1731.59</v>
      </c>
      <c r="Q51" s="2"/>
      <c r="R51" s="19">
        <f t="shared" si="13"/>
        <v>-5.417229674188795E-3</v>
      </c>
      <c r="S51" s="2"/>
      <c r="T51" s="2">
        <v>-5736.6</v>
      </c>
      <c r="U51" s="2"/>
      <c r="V51" s="19">
        <f t="shared" si="14"/>
        <v>-1.334586913524533E-2</v>
      </c>
      <c r="W51" s="2"/>
      <c r="X51" s="2">
        <f t="shared" si="15"/>
        <v>4005.01</v>
      </c>
      <c r="Y51" s="2"/>
      <c r="Z51" s="19">
        <f t="shared" si="16"/>
        <v>-0.69815047240525752</v>
      </c>
    </row>
    <row r="52" spans="1:26" s="23" customFormat="1" hidden="1" outlineLevel="1" x14ac:dyDescent="0.25">
      <c r="A52" s="44"/>
      <c r="B52" s="10" t="str">
        <f>CONCATENATE("          ", "5045", " - ", "PURCHASES @ COST-SPECIAL ORDER")</f>
        <v xml:space="preserve">          5045 - PURCHASES @ COST-SPECIAL ORDER</v>
      </c>
      <c r="C52" s="10"/>
      <c r="D52" s="2">
        <v>-210</v>
      </c>
      <c r="E52" s="2"/>
      <c r="F52" s="19">
        <f t="shared" si="9"/>
        <v>-6.2433255876455885E-3</v>
      </c>
      <c r="G52" s="2"/>
      <c r="H52" s="2"/>
      <c r="I52" s="2"/>
      <c r="J52" s="19">
        <f t="shared" si="10"/>
        <v>0</v>
      </c>
      <c r="K52" s="2"/>
      <c r="L52" s="2">
        <f t="shared" si="11"/>
        <v>-210</v>
      </c>
      <c r="M52" s="2"/>
      <c r="N52" s="19">
        <f t="shared" si="12"/>
        <v>0</v>
      </c>
      <c r="O52" s="10"/>
      <c r="P52" s="2">
        <v>-210</v>
      </c>
      <c r="Q52" s="2"/>
      <c r="R52" s="19">
        <f t="shared" si="13"/>
        <v>-6.5697897976983407E-4</v>
      </c>
      <c r="S52" s="2"/>
      <c r="T52" s="2">
        <v>-998.2</v>
      </c>
      <c r="U52" s="2"/>
      <c r="V52" s="19">
        <f t="shared" si="14"/>
        <v>-2.3222547451106734E-3</v>
      </c>
      <c r="W52" s="2"/>
      <c r="X52" s="2">
        <f t="shared" si="15"/>
        <v>788.2</v>
      </c>
      <c r="Y52" s="2"/>
      <c r="Z52" s="19">
        <f t="shared" si="16"/>
        <v>-0.78962131837307159</v>
      </c>
    </row>
    <row r="53" spans="1:26" s="23" customFormat="1" hidden="1" outlineLevel="1" x14ac:dyDescent="0.25">
      <c r="A53" s="44"/>
      <c r="B53" s="10" t="str">
        <f>CONCATENATE("          ", "5083", " - ", "PURCHASES @ COST-COMPUTER EQUI")</f>
        <v xml:space="preserve">          5083 - PURCHASES @ COST-COMPUTER EQUI</v>
      </c>
      <c r="C53" s="10"/>
      <c r="D53" s="2"/>
      <c r="E53" s="2"/>
      <c r="F53" s="19">
        <f t="shared" si="9"/>
        <v>0</v>
      </c>
      <c r="G53" s="2"/>
      <c r="H53" s="2"/>
      <c r="I53" s="2"/>
      <c r="J53" s="19">
        <f t="shared" si="10"/>
        <v>0</v>
      </c>
      <c r="K53" s="2"/>
      <c r="L53" s="2">
        <f t="shared" si="11"/>
        <v>0</v>
      </c>
      <c r="M53" s="2"/>
      <c r="N53" s="19">
        <f t="shared" si="12"/>
        <v>0</v>
      </c>
      <c r="O53" s="10"/>
      <c r="P53" s="2"/>
      <c r="Q53" s="2"/>
      <c r="R53" s="19">
        <f t="shared" si="13"/>
        <v>0</v>
      </c>
      <c r="S53" s="2"/>
      <c r="T53" s="2">
        <v>90.35</v>
      </c>
      <c r="U53" s="2"/>
      <c r="V53" s="19">
        <f t="shared" si="14"/>
        <v>2.1019406553871901E-4</v>
      </c>
      <c r="W53" s="2"/>
      <c r="X53" s="2">
        <f t="shared" si="15"/>
        <v>-90.35</v>
      </c>
      <c r="Y53" s="2"/>
      <c r="Z53" s="19">
        <f t="shared" si="16"/>
        <v>-1</v>
      </c>
    </row>
    <row r="54" spans="1:26" s="23" customFormat="1" hidden="1" outlineLevel="1" x14ac:dyDescent="0.25">
      <c r="A54" s="44"/>
      <c r="B54" s="10" t="str">
        <f>CONCATENATE("          ", "5086", " - ", "PURCHASES @ COST-COMPUTER SUPP")</f>
        <v xml:space="preserve">          5086 - PURCHASES @ COST-COMPUTER SUPP</v>
      </c>
      <c r="C54" s="10"/>
      <c r="D54" s="2">
        <v>13.21</v>
      </c>
      <c r="E54" s="2"/>
      <c r="F54" s="19">
        <f t="shared" si="9"/>
        <v>3.9273490958475349E-4</v>
      </c>
      <c r="G54" s="2"/>
      <c r="H54" s="2"/>
      <c r="I54" s="2"/>
      <c r="J54" s="19">
        <f t="shared" si="10"/>
        <v>0</v>
      </c>
      <c r="K54" s="2"/>
      <c r="L54" s="2">
        <f t="shared" si="11"/>
        <v>13.21</v>
      </c>
      <c r="M54" s="2"/>
      <c r="N54" s="19">
        <f t="shared" si="12"/>
        <v>0</v>
      </c>
      <c r="O54" s="10"/>
      <c r="P54" s="2">
        <v>26.42</v>
      </c>
      <c r="Q54" s="2"/>
      <c r="R54" s="19">
        <f t="shared" si="13"/>
        <v>8.2654212597709617E-5</v>
      </c>
      <c r="S54" s="2"/>
      <c r="T54" s="2">
        <v>0</v>
      </c>
      <c r="U54" s="2"/>
      <c r="V54" s="19">
        <f t="shared" si="14"/>
        <v>0</v>
      </c>
      <c r="W54" s="2"/>
      <c r="X54" s="2">
        <f t="shared" si="15"/>
        <v>26.42</v>
      </c>
      <c r="Y54" s="2"/>
      <c r="Z54" s="19">
        <f t="shared" si="16"/>
        <v>0</v>
      </c>
    </row>
    <row r="55" spans="1:26" s="23" customFormat="1" hidden="1" outlineLevel="1" x14ac:dyDescent="0.25">
      <c r="A55" s="44"/>
      <c r="B55" s="10" t="str">
        <f>CONCATENATE("          ", "5092", " - ", "PURCHASES @ COST-GRAD MERCH")</f>
        <v xml:space="preserve">          5092 - PURCHASES @ COST-GRAD MERCH</v>
      </c>
      <c r="C55" s="10"/>
      <c r="D55" s="2"/>
      <c r="E55" s="2"/>
      <c r="F55" s="19">
        <f t="shared" si="9"/>
        <v>0</v>
      </c>
      <c r="G55" s="2"/>
      <c r="H55" s="2"/>
      <c r="I55" s="2"/>
      <c r="J55" s="19">
        <f t="shared" si="10"/>
        <v>0</v>
      </c>
      <c r="K55" s="2"/>
      <c r="L55" s="2">
        <f t="shared" si="11"/>
        <v>0</v>
      </c>
      <c r="M55" s="2"/>
      <c r="N55" s="19">
        <f t="shared" si="12"/>
        <v>0</v>
      </c>
      <c r="O55" s="10"/>
      <c r="P55" s="2"/>
      <c r="Q55" s="2"/>
      <c r="R55" s="19">
        <f t="shared" si="13"/>
        <v>0</v>
      </c>
      <c r="S55" s="2"/>
      <c r="T55" s="2">
        <v>-60.35</v>
      </c>
      <c r="U55" s="2"/>
      <c r="V55" s="19">
        <f t="shared" si="14"/>
        <v>-1.4040079529896728E-4</v>
      </c>
      <c r="W55" s="2"/>
      <c r="X55" s="2">
        <f t="shared" si="15"/>
        <v>60.35</v>
      </c>
      <c r="Y55" s="2"/>
      <c r="Z55" s="19">
        <f t="shared" si="16"/>
        <v>-1</v>
      </c>
    </row>
    <row r="56" spans="1:26" s="23" customFormat="1" hidden="1" outlineLevel="1" x14ac:dyDescent="0.25">
      <c r="A56" s="44"/>
      <c r="B56" s="10" t="str">
        <f>CONCATENATE("          ", "5095", " - ", "PURCHASES @ COST-CUSTOMER SERV")</f>
        <v xml:space="preserve">          5095 - PURCHASES @ COST-CUSTOMER SERV</v>
      </c>
      <c r="C56" s="10"/>
      <c r="D56" s="2"/>
      <c r="E56" s="2"/>
      <c r="F56" s="19">
        <f t="shared" si="9"/>
        <v>0</v>
      </c>
      <c r="G56" s="2"/>
      <c r="H56" s="2">
        <v>-18.989999999999998</v>
      </c>
      <c r="I56" s="2"/>
      <c r="J56" s="19">
        <f t="shared" si="10"/>
        <v>0</v>
      </c>
      <c r="K56" s="2"/>
      <c r="L56" s="2">
        <f t="shared" si="11"/>
        <v>18.989999999999998</v>
      </c>
      <c r="M56" s="2"/>
      <c r="N56" s="19">
        <f t="shared" si="12"/>
        <v>-1</v>
      </c>
      <c r="O56" s="10"/>
      <c r="P56" s="2"/>
      <c r="Q56" s="2"/>
      <c r="R56" s="19">
        <f t="shared" si="13"/>
        <v>0</v>
      </c>
      <c r="S56" s="2"/>
      <c r="T56" s="2">
        <v>-30.84</v>
      </c>
      <c r="U56" s="2"/>
      <c r="V56" s="19">
        <f t="shared" si="14"/>
        <v>-7.1747481806464804E-5</v>
      </c>
      <c r="W56" s="2"/>
      <c r="X56" s="2">
        <f t="shared" si="15"/>
        <v>30.84</v>
      </c>
      <c r="Y56" s="2"/>
      <c r="Z56" s="19">
        <f t="shared" si="16"/>
        <v>-1</v>
      </c>
    </row>
    <row r="57" spans="1:26" s="23" customFormat="1" hidden="1" outlineLevel="1" x14ac:dyDescent="0.25">
      <c r="A57" s="44"/>
      <c r="B57" s="10" t="str">
        <f>CONCATENATE("          ", "5200", " - ", "PURCHASES OFFSET")</f>
        <v xml:space="preserve">          5200 - PURCHASES OFFSET</v>
      </c>
      <c r="C57" s="10"/>
      <c r="D57" s="2"/>
      <c r="E57" s="2"/>
      <c r="F57" s="19">
        <f t="shared" si="9"/>
        <v>0</v>
      </c>
      <c r="G57" s="2"/>
      <c r="H57" s="2">
        <v>-10135</v>
      </c>
      <c r="I57" s="2"/>
      <c r="J57" s="19">
        <f t="shared" si="10"/>
        <v>0</v>
      </c>
      <c r="K57" s="2"/>
      <c r="L57" s="2">
        <f t="shared" si="11"/>
        <v>10135</v>
      </c>
      <c r="M57" s="2"/>
      <c r="N57" s="19">
        <f t="shared" si="12"/>
        <v>-1</v>
      </c>
      <c r="O57" s="10"/>
      <c r="P57" s="2">
        <v>-8164.8</v>
      </c>
      <c r="Q57" s="2"/>
      <c r="R57" s="19">
        <f t="shared" si="13"/>
        <v>-2.5543342733451151E-2</v>
      </c>
      <c r="S57" s="2"/>
      <c r="T57" s="2">
        <v>-177080</v>
      </c>
      <c r="U57" s="2"/>
      <c r="V57" s="19">
        <f t="shared" si="14"/>
        <v>-0.41196640980184135</v>
      </c>
      <c r="W57" s="2"/>
      <c r="X57" s="2">
        <f t="shared" si="15"/>
        <v>168915.20000000001</v>
      </c>
      <c r="Y57" s="2"/>
      <c r="Z57" s="19">
        <f t="shared" si="16"/>
        <v>-0.95389202620284619</v>
      </c>
    </row>
    <row r="58" spans="1:26" s="23" customFormat="1" hidden="1" outlineLevel="1" x14ac:dyDescent="0.25">
      <c r="A58" s="44"/>
      <c r="B58" s="10" t="str">
        <f>CONCATENATE("          ", "5300", " - ", "COG$ OFFSET")</f>
        <v xml:space="preserve">          5300 - COG$ OFFSET</v>
      </c>
      <c r="C58" s="10"/>
      <c r="D58" s="2">
        <v>18853</v>
      </c>
      <c r="E58" s="2"/>
      <c r="F58" s="19">
        <f t="shared" si="9"/>
        <v>0.56050198716134425</v>
      </c>
      <c r="G58" s="2"/>
      <c r="H58" s="2">
        <v>62215</v>
      </c>
      <c r="I58" s="2"/>
      <c r="J58" s="19">
        <f t="shared" si="10"/>
        <v>0</v>
      </c>
      <c r="K58" s="2"/>
      <c r="L58" s="2">
        <f t="shared" si="11"/>
        <v>-43362</v>
      </c>
      <c r="M58" s="2"/>
      <c r="N58" s="19">
        <f t="shared" si="12"/>
        <v>-0.69697018403921884</v>
      </c>
      <c r="O58" s="10"/>
      <c r="P58" s="2">
        <v>149826</v>
      </c>
      <c r="Q58" s="2"/>
      <c r="R58" s="19">
        <f t="shared" si="13"/>
        <v>0.46872634582378653</v>
      </c>
      <c r="S58" s="2"/>
      <c r="T58" s="2">
        <v>211196</v>
      </c>
      <c r="U58" s="2"/>
      <c r="V58" s="19">
        <f t="shared" si="14"/>
        <v>0.49133531671848701</v>
      </c>
      <c r="W58" s="2"/>
      <c r="X58" s="2">
        <f t="shared" si="15"/>
        <v>-61370</v>
      </c>
      <c r="Y58" s="2"/>
      <c r="Z58" s="19">
        <f t="shared" si="16"/>
        <v>-0.29058315498399589</v>
      </c>
    </row>
    <row r="59" spans="1:26" s="23" customFormat="1" hidden="1" outlineLevel="1" x14ac:dyDescent="0.25">
      <c r="A59" s="44"/>
      <c r="B59" s="10" t="str">
        <f>CONCATENATE("          ", "5540", " - ", "FREIGHT-IN-LOGO CLOTHING")</f>
        <v xml:space="preserve">          5540 - FREIGHT-IN-LOGO CLOTHING</v>
      </c>
      <c r="C59" s="10"/>
      <c r="D59" s="2"/>
      <c r="E59" s="2"/>
      <c r="F59" s="19">
        <f t="shared" si="9"/>
        <v>0</v>
      </c>
      <c r="G59" s="2"/>
      <c r="H59" s="2"/>
      <c r="I59" s="2"/>
      <c r="J59" s="19">
        <f t="shared" si="10"/>
        <v>0</v>
      </c>
      <c r="K59" s="2"/>
      <c r="L59" s="2">
        <f t="shared" si="11"/>
        <v>0</v>
      </c>
      <c r="M59" s="2"/>
      <c r="N59" s="19">
        <f t="shared" si="12"/>
        <v>0</v>
      </c>
      <c r="O59" s="10"/>
      <c r="P59" s="2"/>
      <c r="Q59" s="2"/>
      <c r="R59" s="19">
        <f t="shared" si="13"/>
        <v>0</v>
      </c>
      <c r="S59" s="2"/>
      <c r="T59" s="2">
        <v>56.19</v>
      </c>
      <c r="U59" s="2"/>
      <c r="V59" s="19">
        <f t="shared" si="14"/>
        <v>1.3072279515905503E-4</v>
      </c>
      <c r="W59" s="2"/>
      <c r="X59" s="2">
        <f t="shared" si="15"/>
        <v>-56.19</v>
      </c>
      <c r="Y59" s="2"/>
      <c r="Z59" s="19">
        <f t="shared" si="16"/>
        <v>-1</v>
      </c>
    </row>
    <row r="60" spans="1:26" x14ac:dyDescent="0.25">
      <c r="A60" s="9"/>
      <c r="B60" s="11"/>
      <c r="C60" s="11"/>
      <c r="D60" s="3"/>
      <c r="E60" s="3"/>
      <c r="F60" s="8"/>
      <c r="G60" s="3"/>
      <c r="H60" s="3"/>
      <c r="I60" s="3"/>
      <c r="J60" s="8"/>
      <c r="K60" s="3"/>
      <c r="L60" s="3"/>
      <c r="M60" s="3"/>
      <c r="N60" s="8"/>
      <c r="O60" s="11"/>
      <c r="P60" s="3"/>
      <c r="Q60" s="3"/>
      <c r="R60" s="8"/>
      <c r="S60" s="3"/>
      <c r="T60" s="3"/>
      <c r="U60" s="3"/>
      <c r="V60" s="8"/>
      <c r="W60" s="3"/>
      <c r="X60" s="3"/>
      <c r="Y60" s="3"/>
      <c r="Z60" s="8"/>
    </row>
    <row r="61" spans="1:26" s="24" customFormat="1" x14ac:dyDescent="0.25">
      <c r="A61" s="11"/>
      <c r="B61" s="28" t="s">
        <v>107</v>
      </c>
      <c r="C61" s="28"/>
      <c r="D61" s="21">
        <f>D12-D40</f>
        <v>144484.49</v>
      </c>
      <c r="E61" s="14"/>
      <c r="F61" s="22">
        <f>IF(D$12=0,0,D61/D$12)</f>
        <v>4.2955414925472528</v>
      </c>
      <c r="G61" s="14"/>
      <c r="H61" s="21">
        <f>H12-H40</f>
        <v>-24096.5</v>
      </c>
      <c r="I61" s="14"/>
      <c r="J61" s="22">
        <f>IF(H$12=0,0,H61/H$12)</f>
        <v>0</v>
      </c>
      <c r="K61" s="15"/>
      <c r="L61" s="21">
        <f>+D61-H61</f>
        <v>168580.99</v>
      </c>
      <c r="M61" s="15"/>
      <c r="N61" s="22">
        <f>IF(H61=0,0,L61/H61)</f>
        <v>-6.9960778536301946</v>
      </c>
      <c r="O61" s="29"/>
      <c r="P61" s="21">
        <f>P12-P40</f>
        <v>299520.49999999988</v>
      </c>
      <c r="Q61" s="14"/>
      <c r="R61" s="22">
        <f>IF(P$12=0,0,P61/P$12)</f>
        <v>0.93704129766738342</v>
      </c>
      <c r="S61" s="14"/>
      <c r="T61" s="21">
        <f>T12-T40</f>
        <v>218636.62000000002</v>
      </c>
      <c r="U61" s="14"/>
      <c r="V61" s="22">
        <f>IF(T$12=0,0,T61/T$12)</f>
        <v>0.50864549013219718</v>
      </c>
      <c r="W61" s="15"/>
      <c r="X61" s="21">
        <f>+P61-T61</f>
        <v>80883.879999999859</v>
      </c>
      <c r="Y61" s="15"/>
      <c r="Z61" s="22">
        <f>IF(T61=0,0,X61/T61)</f>
        <v>0.36994662650748922</v>
      </c>
    </row>
    <row r="62" spans="1:26" x14ac:dyDescent="0.25">
      <c r="A62" s="9"/>
      <c r="B62" s="11"/>
      <c r="C62" s="9"/>
      <c r="D62" s="1"/>
      <c r="E62" s="1"/>
      <c r="F62" s="5"/>
      <c r="G62" s="1"/>
      <c r="H62" s="1"/>
      <c r="I62" s="1"/>
      <c r="J62" s="5"/>
      <c r="K62" s="1"/>
      <c r="L62" s="1"/>
      <c r="M62" s="1"/>
      <c r="N62" s="5"/>
      <c r="O62" s="37"/>
      <c r="P62" s="1"/>
      <c r="Q62" s="1"/>
      <c r="R62" s="5"/>
      <c r="S62" s="1"/>
      <c r="T62" s="1"/>
      <c r="U62" s="1"/>
      <c r="V62" s="5"/>
      <c r="W62" s="1"/>
      <c r="X62" s="1"/>
      <c r="Y62" s="1"/>
      <c r="Z62" s="5"/>
    </row>
    <row r="63" spans="1:26" s="24" customFormat="1" x14ac:dyDescent="0.25">
      <c r="A63" s="11"/>
      <c r="B63" s="29" t="s">
        <v>294</v>
      </c>
      <c r="C63" s="11"/>
      <c r="D63" s="20">
        <f>SUM(OSRRefD22x_0)</f>
        <v>21738.81</v>
      </c>
      <c r="E63" s="20"/>
      <c r="F63" s="32">
        <f t="shared" ref="F63:F72" si="17">IF(D$12=0,0,D63/D$12)</f>
        <v>0.6462974700855515</v>
      </c>
      <c r="G63" s="20"/>
      <c r="H63" s="20">
        <f>SUM(OSRRefH22x_0)</f>
        <v>72596.52</v>
      </c>
      <c r="I63" s="20"/>
      <c r="J63" s="32">
        <f t="shared" ref="J63:J72" si="18">IF(H$12=0,0,H63/H$12)</f>
        <v>0</v>
      </c>
      <c r="K63" s="4"/>
      <c r="L63" s="20">
        <f t="shared" ref="L63:L72" si="19">+D63-H63</f>
        <v>-50857.710000000006</v>
      </c>
      <c r="M63" s="4"/>
      <c r="N63" s="32">
        <f t="shared" ref="N63:N72" si="20">IF(H63=0,0,L63/H63)</f>
        <v>-0.70055300171413182</v>
      </c>
      <c r="O63" s="11"/>
      <c r="P63" s="20">
        <f>SUM(OSRRefP22x_0)</f>
        <v>258035.34</v>
      </c>
      <c r="Q63" s="20"/>
      <c r="R63" s="32">
        <f t="shared" ref="R63:R72" si="21">IF(P$12=0,0,P63/P$12)</f>
        <v>0.80725616389410604</v>
      </c>
      <c r="S63" s="20"/>
      <c r="T63" s="20">
        <f>SUM(OSRRefT22x_0)</f>
        <v>388820.56000000011</v>
      </c>
      <c r="U63" s="20"/>
      <c r="V63" s="32">
        <f t="shared" ref="V63:V72" si="22">IF(T$12=0,0,T63/T$12)</f>
        <v>0.90456861396172061</v>
      </c>
      <c r="W63" s="4"/>
      <c r="X63" s="20">
        <f t="shared" ref="X63:X72" si="23">+P63-T63</f>
        <v>-130785.22000000012</v>
      </c>
      <c r="Y63" s="4"/>
      <c r="Z63" s="32">
        <f t="shared" ref="Z63:Z72" si="24">IF(T63=0,0,X63/T63)</f>
        <v>-0.33636395153589638</v>
      </c>
    </row>
    <row r="64" spans="1:26" s="27" customFormat="1" outlineLevel="1" collapsed="1" x14ac:dyDescent="0.25">
      <c r="A64" s="26"/>
      <c r="B64" s="12" t="str">
        <f>CONCATENATE("     ","*Benefits                                         ")</f>
        <v xml:space="preserve">     *Benefits                                         </v>
      </c>
      <c r="C64" s="12"/>
      <c r="D64" s="1">
        <f>SUM(OSRRefD22_0x_0)</f>
        <v>3956.5299999999997</v>
      </c>
      <c r="E64" s="1"/>
      <c r="F64" s="5">
        <f t="shared" si="17"/>
        <v>0.11762811898708285</v>
      </c>
      <c r="G64" s="1"/>
      <c r="H64" s="1">
        <f>SUM(OSRRefH22_0x_0)</f>
        <v>3061.7400000000007</v>
      </c>
      <c r="I64" s="1"/>
      <c r="J64" s="5">
        <f t="shared" si="18"/>
        <v>0</v>
      </c>
      <c r="K64" s="1"/>
      <c r="L64" s="1">
        <f t="shared" si="19"/>
        <v>894.78999999999905</v>
      </c>
      <c r="M64" s="1"/>
      <c r="N64" s="5">
        <f t="shared" si="20"/>
        <v>0.29224885195999623</v>
      </c>
      <c r="O64" s="12"/>
      <c r="P64" s="1">
        <f>SUM(OSRRefP22_0x_0)</f>
        <v>55191.91</v>
      </c>
      <c r="Q64" s="1"/>
      <c r="R64" s="5">
        <f t="shared" si="21"/>
        <v>0.17266630820642145</v>
      </c>
      <c r="S64" s="1"/>
      <c r="T64" s="1">
        <f>SUM(OSRRefT22_0x_0)</f>
        <v>29767.670000000002</v>
      </c>
      <c r="U64" s="1"/>
      <c r="V64" s="5">
        <f t="shared" si="22"/>
        <v>6.9252767890591704E-2</v>
      </c>
      <c r="W64" s="1"/>
      <c r="X64" s="1">
        <f t="shared" si="23"/>
        <v>25424.240000000002</v>
      </c>
      <c r="Y64" s="1"/>
      <c r="Z64" s="5">
        <f t="shared" si="24"/>
        <v>0.85408901670839543</v>
      </c>
    </row>
    <row r="65" spans="1:26" s="23" customFormat="1" hidden="1" outlineLevel="2" x14ac:dyDescent="0.25">
      <c r="A65" s="25"/>
      <c r="B65" s="10" t="str">
        <f>CONCATENATE("          ", "6111", " - ", "F.I.C.A.")</f>
        <v xml:space="preserve">          6111 - F.I.C.A.</v>
      </c>
      <c r="C65" s="10"/>
      <c r="D65" s="6">
        <v>639.66999999999996</v>
      </c>
      <c r="E65" s="2"/>
      <c r="F65" s="7">
        <f t="shared" si="17"/>
        <v>1.9017467041186922E-2</v>
      </c>
      <c r="G65" s="2"/>
      <c r="H65" s="6">
        <v>377.51</v>
      </c>
      <c r="I65" s="2"/>
      <c r="J65" s="7">
        <f t="shared" si="18"/>
        <v>0</v>
      </c>
      <c r="K65" s="2"/>
      <c r="L65" s="6">
        <f t="shared" si="19"/>
        <v>262.15999999999997</v>
      </c>
      <c r="M65" s="2"/>
      <c r="N65" s="7">
        <f t="shared" si="20"/>
        <v>0.69444518026012547</v>
      </c>
      <c r="O65" s="10"/>
      <c r="P65" s="6">
        <v>8033.93</v>
      </c>
      <c r="Q65" s="2"/>
      <c r="R65" s="7">
        <f t="shared" si="21"/>
        <v>2.5133919690201255E-2</v>
      </c>
      <c r="S65" s="2"/>
      <c r="T65" s="6">
        <v>5374.54</v>
      </c>
      <c r="U65" s="2"/>
      <c r="V65" s="7">
        <f t="shared" si="22"/>
        <v>1.2503557421145178E-2</v>
      </c>
      <c r="W65" s="2"/>
      <c r="X65" s="6">
        <f t="shared" si="23"/>
        <v>2659.3900000000003</v>
      </c>
      <c r="Y65" s="2"/>
      <c r="Z65" s="7">
        <f t="shared" si="24"/>
        <v>0.49481257930911304</v>
      </c>
    </row>
    <row r="66" spans="1:26" s="23" customFormat="1" hidden="1" outlineLevel="2" x14ac:dyDescent="0.25">
      <c r="A66" s="25"/>
      <c r="B66" s="10" t="str">
        <f>CONCATENATE("          ", "6112", " - ", "COMPENSATION INSURANCE")</f>
        <v xml:space="preserve">          6112 - COMPENSATION INSURANCE</v>
      </c>
      <c r="C66" s="10"/>
      <c r="D66" s="6">
        <v>106.32</v>
      </c>
      <c r="E66" s="2"/>
      <c r="F66" s="7">
        <f t="shared" si="17"/>
        <v>3.1609065546594236E-3</v>
      </c>
      <c r="G66" s="2"/>
      <c r="H66" s="6">
        <v>125.82</v>
      </c>
      <c r="I66" s="2"/>
      <c r="J66" s="7">
        <f t="shared" si="18"/>
        <v>0</v>
      </c>
      <c r="K66" s="2"/>
      <c r="L66" s="6">
        <f t="shared" si="19"/>
        <v>-19.5</v>
      </c>
      <c r="M66" s="2"/>
      <c r="N66" s="7">
        <f t="shared" si="20"/>
        <v>-0.15498330948974726</v>
      </c>
      <c r="O66" s="10"/>
      <c r="P66" s="6">
        <v>2467.9699999999998</v>
      </c>
      <c r="Q66" s="2"/>
      <c r="R66" s="7">
        <f t="shared" si="21"/>
        <v>7.7209733938217017E-3</v>
      </c>
      <c r="S66" s="2"/>
      <c r="T66" s="6">
        <v>2105.52</v>
      </c>
      <c r="U66" s="2"/>
      <c r="V66" s="7">
        <f t="shared" si="22"/>
        <v>4.898370878506737E-3</v>
      </c>
      <c r="W66" s="2"/>
      <c r="X66" s="6">
        <f t="shared" si="23"/>
        <v>362.44999999999982</v>
      </c>
      <c r="Y66" s="2"/>
      <c r="Z66" s="7">
        <f t="shared" si="24"/>
        <v>0.17214274858467257</v>
      </c>
    </row>
    <row r="67" spans="1:26" s="23" customFormat="1" hidden="1" outlineLevel="2" x14ac:dyDescent="0.25">
      <c r="A67" s="25"/>
      <c r="B67" s="10" t="str">
        <f>CONCATENATE("          ", "6113", " - ", "GROUP INSURANCE")</f>
        <v xml:space="preserve">          6113 - GROUP INSURANCE</v>
      </c>
      <c r="C67" s="10"/>
      <c r="D67" s="6">
        <v>1998.43</v>
      </c>
      <c r="E67" s="2"/>
      <c r="F67" s="7">
        <f t="shared" si="17"/>
        <v>5.9413567400564637E-2</v>
      </c>
      <c r="G67" s="2"/>
      <c r="H67" s="6">
        <v>2012.47</v>
      </c>
      <c r="I67" s="2"/>
      <c r="J67" s="7">
        <f t="shared" si="18"/>
        <v>0</v>
      </c>
      <c r="K67" s="2"/>
      <c r="L67" s="6">
        <f t="shared" si="19"/>
        <v>-14.039999999999964</v>
      </c>
      <c r="M67" s="2"/>
      <c r="N67" s="7">
        <f t="shared" si="20"/>
        <v>-6.9765015130660154E-3</v>
      </c>
      <c r="O67" s="10"/>
      <c r="P67" s="6">
        <v>28284.19</v>
      </c>
      <c r="Q67" s="2"/>
      <c r="R67" s="7">
        <f t="shared" si="21"/>
        <v>8.8486277570553065E-2</v>
      </c>
      <c r="S67" s="2"/>
      <c r="T67" s="6">
        <v>14346.52</v>
      </c>
      <c r="U67" s="2"/>
      <c r="V67" s="7">
        <f t="shared" si="22"/>
        <v>3.337635157866678E-2</v>
      </c>
      <c r="W67" s="2"/>
      <c r="X67" s="6">
        <f t="shared" si="23"/>
        <v>13937.669999999998</v>
      </c>
      <c r="Y67" s="2"/>
      <c r="Z67" s="7">
        <f t="shared" si="24"/>
        <v>0.97150179973958828</v>
      </c>
    </row>
    <row r="68" spans="1:26" s="23" customFormat="1" hidden="1" outlineLevel="2" x14ac:dyDescent="0.25">
      <c r="A68" s="25"/>
      <c r="B68" s="10" t="str">
        <f>CONCATENATE("          ", "6114", " - ", "STATE UNEMPLOYMENT INSURANCE")</f>
        <v xml:space="preserve">          6114 - STATE UNEMPLOYMENT INSURANCE</v>
      </c>
      <c r="C68" s="10"/>
      <c r="D68" s="6">
        <v>14.94</v>
      </c>
      <c r="E68" s="2"/>
      <c r="F68" s="7">
        <f t="shared" si="17"/>
        <v>4.4416802037821473E-4</v>
      </c>
      <c r="G68" s="2"/>
      <c r="H68" s="6">
        <v>-303.62</v>
      </c>
      <c r="I68" s="2"/>
      <c r="J68" s="7">
        <f t="shared" si="18"/>
        <v>0</v>
      </c>
      <c r="K68" s="2"/>
      <c r="L68" s="6">
        <f t="shared" si="19"/>
        <v>318.56</v>
      </c>
      <c r="M68" s="2"/>
      <c r="N68" s="7">
        <f t="shared" si="20"/>
        <v>-1.0492062446479151</v>
      </c>
      <c r="O68" s="10"/>
      <c r="P68" s="6">
        <v>320.51</v>
      </c>
      <c r="Q68" s="2"/>
      <c r="R68" s="7">
        <f t="shared" si="21"/>
        <v>1.0027063466953787E-3</v>
      </c>
      <c r="S68" s="2"/>
      <c r="T68" s="6">
        <v>0</v>
      </c>
      <c r="U68" s="2"/>
      <c r="V68" s="7">
        <f t="shared" si="22"/>
        <v>0</v>
      </c>
      <c r="W68" s="2"/>
      <c r="X68" s="6">
        <f t="shared" si="23"/>
        <v>320.51</v>
      </c>
      <c r="Y68" s="2"/>
      <c r="Z68" s="7">
        <f t="shared" si="24"/>
        <v>0</v>
      </c>
    </row>
    <row r="69" spans="1:26" s="23" customFormat="1" hidden="1" outlineLevel="2" x14ac:dyDescent="0.25">
      <c r="A69" s="25"/>
      <c r="B69" s="10" t="str">
        <f>CONCATENATE("          ", "6115", " - ", "P.E.R.S.")</f>
        <v xml:space="preserve">          6115 - P.E.R.S.</v>
      </c>
      <c r="C69" s="10"/>
      <c r="D69" s="6">
        <v>543.17999999999995</v>
      </c>
      <c r="E69" s="2"/>
      <c r="F69" s="7">
        <f t="shared" si="17"/>
        <v>1.6148807584273003E-2</v>
      </c>
      <c r="G69" s="2"/>
      <c r="H69" s="6">
        <v>327.22000000000003</v>
      </c>
      <c r="I69" s="2"/>
      <c r="J69" s="7">
        <f t="shared" si="18"/>
        <v>0</v>
      </c>
      <c r="K69" s="2"/>
      <c r="L69" s="6">
        <f t="shared" si="19"/>
        <v>215.95999999999992</v>
      </c>
      <c r="M69" s="2"/>
      <c r="N69" s="7">
        <f t="shared" si="20"/>
        <v>0.65998410855082179</v>
      </c>
      <c r="O69" s="10"/>
      <c r="P69" s="6">
        <v>4761.87</v>
      </c>
      <c r="Q69" s="2"/>
      <c r="R69" s="7">
        <f t="shared" si="21"/>
        <v>1.4897373782840857E-2</v>
      </c>
      <c r="S69" s="2"/>
      <c r="T69" s="6">
        <v>2688.57</v>
      </c>
      <c r="U69" s="2"/>
      <c r="V69" s="7">
        <f t="shared" si="22"/>
        <v>6.2548030856163124E-3</v>
      </c>
      <c r="W69" s="2"/>
      <c r="X69" s="6">
        <f t="shared" si="23"/>
        <v>2073.2999999999997</v>
      </c>
      <c r="Y69" s="2"/>
      <c r="Z69" s="7">
        <f t="shared" si="24"/>
        <v>0.77115343844497242</v>
      </c>
    </row>
    <row r="70" spans="1:26" s="23" customFormat="1" hidden="1" outlineLevel="2" x14ac:dyDescent="0.25">
      <c r="A70" s="25"/>
      <c r="B70" s="10" t="str">
        <f>CONCATENATE("          ", "6118", " - ", "VACATION")</f>
        <v xml:space="preserve">          6118 - VACATION</v>
      </c>
      <c r="C70" s="10"/>
      <c r="D70" s="6">
        <v>342.56</v>
      </c>
      <c r="E70" s="2"/>
      <c r="F70" s="7">
        <f t="shared" si="17"/>
        <v>1.0184350539542251E-2</v>
      </c>
      <c r="G70" s="2"/>
      <c r="H70" s="6">
        <v>306.26</v>
      </c>
      <c r="I70" s="2"/>
      <c r="J70" s="7">
        <f t="shared" si="18"/>
        <v>0</v>
      </c>
      <c r="K70" s="2"/>
      <c r="L70" s="6">
        <f t="shared" si="19"/>
        <v>36.300000000000011</v>
      </c>
      <c r="M70" s="2"/>
      <c r="N70" s="7">
        <f t="shared" si="20"/>
        <v>0.11852674198393526</v>
      </c>
      <c r="O70" s="10"/>
      <c r="P70" s="6">
        <v>5468.58</v>
      </c>
      <c r="Q70" s="2"/>
      <c r="R70" s="7">
        <f t="shared" si="21"/>
        <v>1.7108295758046285E-2</v>
      </c>
      <c r="S70" s="2"/>
      <c r="T70" s="6">
        <v>3174.96</v>
      </c>
      <c r="U70" s="2"/>
      <c r="V70" s="7">
        <f t="shared" si="22"/>
        <v>7.3863613760134072E-3</v>
      </c>
      <c r="W70" s="2"/>
      <c r="X70" s="6">
        <f t="shared" si="23"/>
        <v>2293.62</v>
      </c>
      <c r="Y70" s="2"/>
      <c r="Z70" s="7">
        <f t="shared" si="24"/>
        <v>0.72240910121702318</v>
      </c>
    </row>
    <row r="71" spans="1:26" s="23" customFormat="1" hidden="1" outlineLevel="2" x14ac:dyDescent="0.25">
      <c r="A71" s="25"/>
      <c r="B71" s="10" t="str">
        <f>CONCATENATE("          ", "6119", " - ", "SICK LEAVE")</f>
        <v xml:space="preserve">          6119 - SICK LEAVE</v>
      </c>
      <c r="C71" s="10"/>
      <c r="D71" s="6">
        <v>216.08</v>
      </c>
      <c r="E71" s="2"/>
      <c r="F71" s="7">
        <f t="shared" si="17"/>
        <v>6.4240847284688521E-3</v>
      </c>
      <c r="G71" s="2"/>
      <c r="H71" s="6">
        <v>216.08</v>
      </c>
      <c r="I71" s="2"/>
      <c r="J71" s="7">
        <f t="shared" si="18"/>
        <v>0</v>
      </c>
      <c r="K71" s="2"/>
      <c r="L71" s="6">
        <f t="shared" si="19"/>
        <v>0</v>
      </c>
      <c r="M71" s="2"/>
      <c r="N71" s="7">
        <f t="shared" si="20"/>
        <v>0</v>
      </c>
      <c r="O71" s="10"/>
      <c r="P71" s="6">
        <v>4200.03</v>
      </c>
      <c r="Q71" s="2"/>
      <c r="R71" s="7">
        <f t="shared" si="21"/>
        <v>1.3139673449536649E-2</v>
      </c>
      <c r="S71" s="2"/>
      <c r="T71" s="6">
        <v>1588.06</v>
      </c>
      <c r="U71" s="2"/>
      <c r="V71" s="7">
        <f t="shared" si="22"/>
        <v>3.694530024564672E-3</v>
      </c>
      <c r="W71" s="2"/>
      <c r="X71" s="6">
        <f t="shared" si="23"/>
        <v>2611.9699999999998</v>
      </c>
      <c r="Y71" s="2"/>
      <c r="Z71" s="7">
        <f t="shared" si="24"/>
        <v>1.6447552359482638</v>
      </c>
    </row>
    <row r="72" spans="1:26" s="23" customFormat="1" hidden="1" outlineLevel="2" x14ac:dyDescent="0.25">
      <c r="A72" s="25"/>
      <c r="B72" s="10" t="str">
        <f>CONCATENATE("          ", "6156", " - ", "EMPLOYEE MEALS")</f>
        <v xml:space="preserve">          6156 - EMPLOYEE MEALS</v>
      </c>
      <c r="C72" s="10"/>
      <c r="D72" s="6">
        <v>95.35</v>
      </c>
      <c r="E72" s="2"/>
      <c r="F72" s="7">
        <f t="shared" si="17"/>
        <v>2.8347671180095563E-3</v>
      </c>
      <c r="G72" s="2"/>
      <c r="H72" s="6"/>
      <c r="I72" s="2"/>
      <c r="J72" s="7">
        <f t="shared" si="18"/>
        <v>0</v>
      </c>
      <c r="K72" s="2"/>
      <c r="L72" s="6">
        <f t="shared" si="19"/>
        <v>95.35</v>
      </c>
      <c r="M72" s="2"/>
      <c r="N72" s="7">
        <f t="shared" si="20"/>
        <v>0</v>
      </c>
      <c r="O72" s="10"/>
      <c r="P72" s="6">
        <v>1654.83</v>
      </c>
      <c r="Q72" s="2"/>
      <c r="R72" s="7">
        <f t="shared" si="21"/>
        <v>5.17708821472626E-3</v>
      </c>
      <c r="S72" s="2"/>
      <c r="T72" s="6">
        <v>489.5</v>
      </c>
      <c r="U72" s="2"/>
      <c r="V72" s="7">
        <f t="shared" si="22"/>
        <v>1.1387935260786161E-3</v>
      </c>
      <c r="W72" s="2"/>
      <c r="X72" s="6">
        <f t="shared" si="23"/>
        <v>1165.33</v>
      </c>
      <c r="Y72" s="2"/>
      <c r="Z72" s="7">
        <f t="shared" si="24"/>
        <v>2.3806537282941775</v>
      </c>
    </row>
    <row r="73" spans="1:26" s="27" customFormat="1" outlineLevel="1" collapsed="1" x14ac:dyDescent="0.25">
      <c r="A73" s="26"/>
      <c r="B73" s="12" t="str">
        <f>CONCATENATE("     ","*Payroll                                          ")</f>
        <v xml:space="preserve">     *Payroll                                          </v>
      </c>
      <c r="C73" s="12"/>
      <c r="D73" s="1">
        <f>SUM(OSRRefD22_1x_0)</f>
        <v>9382.1899999999987</v>
      </c>
      <c r="E73" s="1"/>
      <c r="F73" s="5">
        <f t="shared" ref="F73:F79" si="25">IF(D$12=0,0,D73/D$12)</f>
        <v>0.27893365188167885</v>
      </c>
      <c r="G73" s="1"/>
      <c r="H73" s="1">
        <f>SUM(OSRRefH22_1x_0)</f>
        <v>4720.17</v>
      </c>
      <c r="I73" s="1"/>
      <c r="J73" s="5">
        <f t="shared" ref="J73:J79" si="26">IF(H$12=0,0,H73/H$12)</f>
        <v>0</v>
      </c>
      <c r="K73" s="1"/>
      <c r="L73" s="1">
        <f t="shared" ref="L73:L79" si="27">+D73-H73</f>
        <v>4662.0199999999986</v>
      </c>
      <c r="M73" s="1"/>
      <c r="N73" s="5">
        <f t="shared" ref="N73:N79" si="28">IF(H73=0,0,L73/H73)</f>
        <v>0.98768052845554266</v>
      </c>
      <c r="O73" s="12"/>
      <c r="P73" s="1">
        <f>SUM(OSRRefP22_1x_0)</f>
        <v>100217.86</v>
      </c>
      <c r="Q73" s="1"/>
      <c r="R73" s="5">
        <f t="shared" ref="R73:R79" si="29">IF(P$12=0,0,P73/P$12)</f>
        <v>0.31352870198817173</v>
      </c>
      <c r="S73" s="1"/>
      <c r="T73" s="1">
        <f>SUM(OSRRefT22_1x_0)</f>
        <v>116110.76000000001</v>
      </c>
      <c r="U73" s="1"/>
      <c r="V73" s="5">
        <f t="shared" ref="V73:V79" si="30">IF(T$12=0,0,T73/T$12)</f>
        <v>0.27012498834743193</v>
      </c>
      <c r="W73" s="1"/>
      <c r="X73" s="1">
        <f t="shared" ref="X73:X79" si="31">+P73-T73</f>
        <v>-15892.900000000009</v>
      </c>
      <c r="Y73" s="1"/>
      <c r="Z73" s="5">
        <f t="shared" ref="Z73:Z79" si="32">IF(T73=0,0,X73/T73)</f>
        <v>-0.13687706462346821</v>
      </c>
    </row>
    <row r="74" spans="1:26" s="23" customFormat="1" hidden="1" outlineLevel="2" x14ac:dyDescent="0.25">
      <c r="A74" s="25"/>
      <c r="B74" s="10" t="str">
        <f>CONCATENATE("          ", "6002", " - ", "STAFF SALARIES")</f>
        <v xml:space="preserve">          6002 - STAFF SALARIES</v>
      </c>
      <c r="C74" s="10"/>
      <c r="D74" s="6">
        <v>4684.62</v>
      </c>
      <c r="E74" s="2"/>
      <c r="F74" s="7">
        <f t="shared" si="25"/>
        <v>0.13927432340188703</v>
      </c>
      <c r="G74" s="2"/>
      <c r="H74" s="6">
        <v>4450.3900000000003</v>
      </c>
      <c r="I74" s="2"/>
      <c r="J74" s="7">
        <f t="shared" si="26"/>
        <v>0</v>
      </c>
      <c r="K74" s="2"/>
      <c r="L74" s="6">
        <f t="shared" si="27"/>
        <v>234.22999999999956</v>
      </c>
      <c r="M74" s="2"/>
      <c r="N74" s="7">
        <f t="shared" si="28"/>
        <v>5.2631342421675303E-2</v>
      </c>
      <c r="O74" s="10"/>
      <c r="P74" s="6">
        <v>57377.36</v>
      </c>
      <c r="Q74" s="2"/>
      <c r="R74" s="7">
        <f t="shared" si="29"/>
        <v>0.17950342587945947</v>
      </c>
      <c r="S74" s="2"/>
      <c r="T74" s="6">
        <v>30947.07</v>
      </c>
      <c r="U74" s="2"/>
      <c r="V74" s="7">
        <f t="shared" si="30"/>
        <v>7.1996573987950466E-2</v>
      </c>
      <c r="W74" s="2"/>
      <c r="X74" s="6">
        <f t="shared" si="31"/>
        <v>26430.29</v>
      </c>
      <c r="Y74" s="2"/>
      <c r="Z74" s="7">
        <f t="shared" si="32"/>
        <v>0.85404821845816103</v>
      </c>
    </row>
    <row r="75" spans="1:26" s="23" customFormat="1" hidden="1" outlineLevel="2" x14ac:dyDescent="0.25">
      <c r="A75" s="25"/>
      <c r="B75" s="10" t="str">
        <f>CONCATENATE("          ", "6004", " - ", "STAFF HOURLY")</f>
        <v xml:space="preserve">          6004 - STAFF HOURLY</v>
      </c>
      <c r="C75" s="10"/>
      <c r="D75" s="6">
        <v>815.65</v>
      </c>
      <c r="E75" s="2"/>
      <c r="F75" s="7">
        <f t="shared" si="25"/>
        <v>2.4249373883633924E-2</v>
      </c>
      <c r="G75" s="2"/>
      <c r="H75" s="6"/>
      <c r="I75" s="2"/>
      <c r="J75" s="7">
        <f t="shared" si="26"/>
        <v>0</v>
      </c>
      <c r="K75" s="2"/>
      <c r="L75" s="6">
        <f t="shared" si="27"/>
        <v>815.65</v>
      </c>
      <c r="M75" s="2"/>
      <c r="N75" s="7">
        <f t="shared" si="28"/>
        <v>0</v>
      </c>
      <c r="O75" s="10"/>
      <c r="P75" s="6">
        <v>4271.8599999999997</v>
      </c>
      <c r="Q75" s="2"/>
      <c r="R75" s="7">
        <f t="shared" si="29"/>
        <v>1.3364391545331254E-2</v>
      </c>
      <c r="S75" s="2"/>
      <c r="T75" s="6"/>
      <c r="U75" s="2"/>
      <c r="V75" s="7">
        <f t="shared" si="30"/>
        <v>0</v>
      </c>
      <c r="W75" s="2"/>
      <c r="X75" s="6">
        <f t="shared" si="31"/>
        <v>4271.8599999999997</v>
      </c>
      <c r="Y75" s="2"/>
      <c r="Z75" s="7">
        <f t="shared" si="32"/>
        <v>0</v>
      </c>
    </row>
    <row r="76" spans="1:26" s="23" customFormat="1" hidden="1" outlineLevel="2" x14ac:dyDescent="0.25">
      <c r="A76" s="25"/>
      <c r="B76" s="10" t="str">
        <f>CONCATENATE("          ", "6005", " - ", "TEMPORARY WAGES-HOURLY")</f>
        <v xml:space="preserve">          6005 - TEMPORARY WAGES-HOURLY</v>
      </c>
      <c r="C76" s="10"/>
      <c r="D76" s="6">
        <v>1405.58</v>
      </c>
      <c r="E76" s="2"/>
      <c r="F76" s="7">
        <f t="shared" si="25"/>
        <v>4.1788064664204219E-2</v>
      </c>
      <c r="G76" s="2"/>
      <c r="H76" s="6">
        <v>269.77999999999997</v>
      </c>
      <c r="I76" s="2"/>
      <c r="J76" s="7">
        <f t="shared" si="26"/>
        <v>0</v>
      </c>
      <c r="K76" s="2"/>
      <c r="L76" s="6">
        <f t="shared" si="27"/>
        <v>1135.8</v>
      </c>
      <c r="M76" s="2"/>
      <c r="N76" s="7">
        <f t="shared" si="28"/>
        <v>4.2100971161687299</v>
      </c>
      <c r="O76" s="10"/>
      <c r="P76" s="6">
        <v>19446.169999999998</v>
      </c>
      <c r="Q76" s="2"/>
      <c r="R76" s="7">
        <f t="shared" si="29"/>
        <v>6.0836785366813112E-2</v>
      </c>
      <c r="S76" s="2"/>
      <c r="T76" s="6">
        <v>12951.61</v>
      </c>
      <c r="U76" s="2"/>
      <c r="V76" s="7">
        <f t="shared" si="30"/>
        <v>3.0131173892329041E-2</v>
      </c>
      <c r="W76" s="2"/>
      <c r="X76" s="6">
        <f t="shared" si="31"/>
        <v>6494.5599999999977</v>
      </c>
      <c r="Y76" s="2"/>
      <c r="Z76" s="7">
        <f t="shared" si="32"/>
        <v>0.50144808251638195</v>
      </c>
    </row>
    <row r="77" spans="1:26" s="23" customFormat="1" hidden="1" outlineLevel="2" x14ac:dyDescent="0.25">
      <c r="A77" s="25"/>
      <c r="B77" s="10" t="str">
        <f>CONCATENATE("          ", "6006", " - ", "TEMPORARY PART TIME")</f>
        <v xml:space="preserve">          6006 - TEMPORARY PART TIME</v>
      </c>
      <c r="C77" s="10"/>
      <c r="D77" s="6"/>
      <c r="E77" s="2"/>
      <c r="F77" s="7">
        <f t="shared" si="25"/>
        <v>0</v>
      </c>
      <c r="G77" s="2"/>
      <c r="H77" s="6"/>
      <c r="I77" s="2"/>
      <c r="J77" s="7">
        <f t="shared" si="26"/>
        <v>0</v>
      </c>
      <c r="K77" s="2"/>
      <c r="L77" s="6">
        <f t="shared" si="27"/>
        <v>0</v>
      </c>
      <c r="M77" s="2"/>
      <c r="N77" s="7">
        <f t="shared" si="28"/>
        <v>0</v>
      </c>
      <c r="O77" s="10"/>
      <c r="P77" s="6">
        <v>710.96</v>
      </c>
      <c r="Q77" s="2"/>
      <c r="R77" s="7">
        <f t="shared" si="29"/>
        <v>2.2242179783674345E-3</v>
      </c>
      <c r="S77" s="2"/>
      <c r="T77" s="6">
        <v>316.16000000000003</v>
      </c>
      <c r="U77" s="2"/>
      <c r="V77" s="7">
        <f t="shared" si="30"/>
        <v>7.3552801063333053E-4</v>
      </c>
      <c r="W77" s="2"/>
      <c r="X77" s="6">
        <f t="shared" si="31"/>
        <v>394.8</v>
      </c>
      <c r="Y77" s="2"/>
      <c r="Z77" s="7">
        <f t="shared" si="32"/>
        <v>1.2487348178137652</v>
      </c>
    </row>
    <row r="78" spans="1:26" s="23" customFormat="1" hidden="1" outlineLevel="2" x14ac:dyDescent="0.25">
      <c r="A78" s="25"/>
      <c r="B78" s="10" t="str">
        <f>CONCATENATE("          ", "6007", " - ", "STUDENT HOURLY")</f>
        <v xml:space="preserve">          6007 - STUDENT HOURLY</v>
      </c>
      <c r="C78" s="10"/>
      <c r="D78" s="6">
        <v>1680.35</v>
      </c>
      <c r="E78" s="2"/>
      <c r="F78" s="7">
        <f t="shared" si="25"/>
        <v>4.995701024381078E-2</v>
      </c>
      <c r="G78" s="2"/>
      <c r="H78" s="6"/>
      <c r="I78" s="2"/>
      <c r="J78" s="7">
        <f t="shared" si="26"/>
        <v>0</v>
      </c>
      <c r="K78" s="2"/>
      <c r="L78" s="6">
        <f t="shared" si="27"/>
        <v>1680.35</v>
      </c>
      <c r="M78" s="2"/>
      <c r="N78" s="7">
        <f t="shared" si="28"/>
        <v>0</v>
      </c>
      <c r="O78" s="10"/>
      <c r="P78" s="6">
        <v>15418.03</v>
      </c>
      <c r="Q78" s="2"/>
      <c r="R78" s="7">
        <f t="shared" si="29"/>
        <v>4.823486485457474E-2</v>
      </c>
      <c r="S78" s="2"/>
      <c r="T78" s="6">
        <v>71895.92</v>
      </c>
      <c r="U78" s="2"/>
      <c r="V78" s="7">
        <f t="shared" si="30"/>
        <v>0.16726171245651908</v>
      </c>
      <c r="W78" s="2"/>
      <c r="X78" s="6">
        <f t="shared" si="31"/>
        <v>-56477.89</v>
      </c>
      <c r="Y78" s="2"/>
      <c r="Z78" s="7">
        <f t="shared" si="32"/>
        <v>-0.78555069606175154</v>
      </c>
    </row>
    <row r="79" spans="1:26" s="23" customFormat="1" hidden="1" outlineLevel="2" x14ac:dyDescent="0.25">
      <c r="A79" s="25"/>
      <c r="B79" s="10" t="str">
        <f>CONCATENATE("          ", "6008", " - ", "STUDENT HOURLY-FICA EXEMPT")</f>
        <v xml:space="preserve">          6008 - STUDENT HOURLY-FICA EXEMPT</v>
      </c>
      <c r="C79" s="10"/>
      <c r="D79" s="6">
        <v>795.99</v>
      </c>
      <c r="E79" s="2"/>
      <c r="F79" s="7">
        <f t="shared" si="25"/>
        <v>2.3664879688142914E-2</v>
      </c>
      <c r="G79" s="2"/>
      <c r="H79" s="6"/>
      <c r="I79" s="2"/>
      <c r="J79" s="7">
        <f t="shared" si="26"/>
        <v>0</v>
      </c>
      <c r="K79" s="2"/>
      <c r="L79" s="6">
        <f t="shared" si="27"/>
        <v>795.99</v>
      </c>
      <c r="M79" s="2"/>
      <c r="N79" s="7">
        <f t="shared" si="28"/>
        <v>0</v>
      </c>
      <c r="O79" s="10"/>
      <c r="P79" s="6">
        <v>2993.48</v>
      </c>
      <c r="Q79" s="2"/>
      <c r="R79" s="7">
        <f t="shared" si="29"/>
        <v>9.3650163636257288E-3</v>
      </c>
      <c r="S79" s="2"/>
      <c r="T79" s="6"/>
      <c r="U79" s="2"/>
      <c r="V79" s="7">
        <f t="shared" si="30"/>
        <v>0</v>
      </c>
      <c r="W79" s="2"/>
      <c r="X79" s="6">
        <f t="shared" si="31"/>
        <v>2993.48</v>
      </c>
      <c r="Y79" s="2"/>
      <c r="Z79" s="7">
        <f t="shared" si="32"/>
        <v>0</v>
      </c>
    </row>
    <row r="80" spans="1:26" s="27" customFormat="1" outlineLevel="1" collapsed="1" x14ac:dyDescent="0.25">
      <c r="A80" s="26"/>
      <c r="B80" s="12" t="str">
        <f>CONCATENATE("     ","Advertising/Promo                                 ")</f>
        <v xml:space="preserve">     Advertising/Promo                                 </v>
      </c>
      <c r="C80" s="12"/>
      <c r="D80" s="1">
        <f>SUM(OSRRefD22_2x_0)</f>
        <v>221.46</v>
      </c>
      <c r="E80" s="1"/>
      <c r="F80" s="5">
        <f t="shared" ref="F80:F88" si="33">IF(D$12=0,0,D80/D$12)</f>
        <v>6.5840327839999623E-3</v>
      </c>
      <c r="G80" s="1"/>
      <c r="H80" s="1">
        <f>SUM(OSRRefH22_2x_0)</f>
        <v>0</v>
      </c>
      <c r="I80" s="1"/>
      <c r="J80" s="5">
        <f t="shared" ref="J80:J88" si="34">IF(H$12=0,0,H80/H$12)</f>
        <v>0</v>
      </c>
      <c r="K80" s="1"/>
      <c r="L80" s="1">
        <f t="shared" ref="L80:L88" si="35">+D80-H80</f>
        <v>221.46</v>
      </c>
      <c r="M80" s="1"/>
      <c r="N80" s="5">
        <f t="shared" ref="N80:N88" si="36">IF(H80=0,0,L80/H80)</f>
        <v>0</v>
      </c>
      <c r="O80" s="12"/>
      <c r="P80" s="1">
        <f>SUM(OSRRefP22_2x_0)</f>
        <v>1635.66</v>
      </c>
      <c r="Q80" s="1"/>
      <c r="R80" s="5">
        <f t="shared" ref="R80:R88" si="37">IF(P$12=0,0,P80/P$12)</f>
        <v>5.1171154192872709E-3</v>
      </c>
      <c r="S80" s="1"/>
      <c r="T80" s="1">
        <f>SUM(OSRRefT22_2x_0)</f>
        <v>3638.48</v>
      </c>
      <c r="U80" s="1"/>
      <c r="V80" s="5">
        <f t="shared" ref="V80:V88" si="38">IF(T$12=0,0,T80/T$12)</f>
        <v>8.4647139300643975E-3</v>
      </c>
      <c r="W80" s="1"/>
      <c r="X80" s="1">
        <f t="shared" ref="X80:X88" si="39">+P80-T80</f>
        <v>-2002.82</v>
      </c>
      <c r="Y80" s="1"/>
      <c r="Z80" s="5">
        <f t="shared" ref="Z80:Z88" si="40">IF(T80=0,0,X80/T80)</f>
        <v>-0.55045513511136512</v>
      </c>
    </row>
    <row r="81" spans="1:26" s="23" customFormat="1" hidden="1" outlineLevel="2" x14ac:dyDescent="0.25">
      <c r="A81" s="25"/>
      <c r="B81" s="10" t="str">
        <f>CONCATENATE("          ", "6362", " - ", "ADVERTISING EXPENSE")</f>
        <v xml:space="preserve">          6362 - ADVERTISING EXPENSE</v>
      </c>
      <c r="C81" s="10"/>
      <c r="D81" s="6">
        <v>221.46</v>
      </c>
      <c r="E81" s="2"/>
      <c r="F81" s="7">
        <f t="shared" si="33"/>
        <v>6.5840327839999623E-3</v>
      </c>
      <c r="G81" s="2"/>
      <c r="H81" s="6"/>
      <c r="I81" s="2"/>
      <c r="J81" s="7">
        <f t="shared" si="34"/>
        <v>0</v>
      </c>
      <c r="K81" s="2"/>
      <c r="L81" s="6">
        <f t="shared" si="35"/>
        <v>221.46</v>
      </c>
      <c r="M81" s="2"/>
      <c r="N81" s="7">
        <f t="shared" si="36"/>
        <v>0</v>
      </c>
      <c r="O81" s="10"/>
      <c r="P81" s="6">
        <v>1635.66</v>
      </c>
      <c r="Q81" s="2"/>
      <c r="R81" s="7">
        <f t="shared" si="37"/>
        <v>5.1171154192872709E-3</v>
      </c>
      <c r="S81" s="2"/>
      <c r="T81" s="6">
        <v>3638.48</v>
      </c>
      <c r="U81" s="2"/>
      <c r="V81" s="7">
        <f t="shared" si="38"/>
        <v>8.4647139300643975E-3</v>
      </c>
      <c r="W81" s="2"/>
      <c r="X81" s="6">
        <f t="shared" si="39"/>
        <v>-2002.82</v>
      </c>
      <c r="Y81" s="2"/>
      <c r="Z81" s="7">
        <f t="shared" si="40"/>
        <v>-0.55045513511136512</v>
      </c>
    </row>
    <row r="82" spans="1:26" s="27" customFormat="1" outlineLevel="1" collapsed="1" x14ac:dyDescent="0.25">
      <c r="A82" s="26"/>
      <c r="B82" s="12" t="str">
        <f>CONCATENATE("     ","Bad Debts/Over/Short                              ")</f>
        <v xml:space="preserve">     Bad Debts/Over/Short                              </v>
      </c>
      <c r="C82" s="12"/>
      <c r="D82" s="1">
        <f>SUM(OSRRefD22_3x_0)</f>
        <v>-7.0000000000000007E-2</v>
      </c>
      <c r="E82" s="1"/>
      <c r="F82" s="5">
        <f t="shared" si="33"/>
        <v>-2.0811085292151965E-6</v>
      </c>
      <c r="G82" s="1"/>
      <c r="H82" s="1">
        <f>SUM(OSRRefH22_3x_0)</f>
        <v>0</v>
      </c>
      <c r="I82" s="1"/>
      <c r="J82" s="5">
        <f t="shared" si="34"/>
        <v>0</v>
      </c>
      <c r="K82" s="1"/>
      <c r="L82" s="1">
        <f t="shared" si="35"/>
        <v>-7.0000000000000007E-2</v>
      </c>
      <c r="M82" s="1"/>
      <c r="N82" s="5">
        <f t="shared" si="36"/>
        <v>0</v>
      </c>
      <c r="O82" s="12"/>
      <c r="P82" s="1">
        <f>SUM(OSRRefP22_3x_0)</f>
        <v>-24.57</v>
      </c>
      <c r="Q82" s="1"/>
      <c r="R82" s="5">
        <f t="shared" si="37"/>
        <v>-7.6866540633070598E-5</v>
      </c>
      <c r="S82" s="1"/>
      <c r="T82" s="1">
        <f>SUM(OSRRefT22_3x_0)</f>
        <v>44.45</v>
      </c>
      <c r="U82" s="1"/>
      <c r="V82" s="5">
        <f t="shared" si="38"/>
        <v>1.0341036207189884E-4</v>
      </c>
      <c r="W82" s="1"/>
      <c r="X82" s="1">
        <f t="shared" si="39"/>
        <v>-69.02000000000001</v>
      </c>
      <c r="Y82" s="1"/>
      <c r="Z82" s="5">
        <f t="shared" si="40"/>
        <v>-1.5527559055118112</v>
      </c>
    </row>
    <row r="83" spans="1:26" s="23" customFormat="1" hidden="1" outlineLevel="2" x14ac:dyDescent="0.25">
      <c r="A83" s="25"/>
      <c r="B83" s="10" t="str">
        <f>CONCATENATE("          ", "6272", " - ", "CASH (OVER/SHORT)")</f>
        <v xml:space="preserve">          6272 - CASH (OVER/SHORT)</v>
      </c>
      <c r="C83" s="10"/>
      <c r="D83" s="6">
        <v>-7.0000000000000007E-2</v>
      </c>
      <c r="E83" s="2"/>
      <c r="F83" s="7">
        <f t="shared" si="33"/>
        <v>-2.0811085292151965E-6</v>
      </c>
      <c r="G83" s="2"/>
      <c r="H83" s="6"/>
      <c r="I83" s="2"/>
      <c r="J83" s="7">
        <f t="shared" si="34"/>
        <v>0</v>
      </c>
      <c r="K83" s="2"/>
      <c r="L83" s="6">
        <f t="shared" si="35"/>
        <v>-7.0000000000000007E-2</v>
      </c>
      <c r="M83" s="2"/>
      <c r="N83" s="7">
        <f t="shared" si="36"/>
        <v>0</v>
      </c>
      <c r="O83" s="10"/>
      <c r="P83" s="6">
        <v>-24.57</v>
      </c>
      <c r="Q83" s="2"/>
      <c r="R83" s="7">
        <f t="shared" si="37"/>
        <v>-7.6866540633070598E-5</v>
      </c>
      <c r="S83" s="2"/>
      <c r="T83" s="6">
        <v>44.45</v>
      </c>
      <c r="U83" s="2"/>
      <c r="V83" s="7">
        <f t="shared" si="38"/>
        <v>1.0341036207189884E-4</v>
      </c>
      <c r="W83" s="2"/>
      <c r="X83" s="6">
        <f t="shared" si="39"/>
        <v>-69.02000000000001</v>
      </c>
      <c r="Y83" s="2"/>
      <c r="Z83" s="7">
        <f t="shared" si="40"/>
        <v>-1.5527559055118112</v>
      </c>
    </row>
    <row r="84" spans="1:26" s="27" customFormat="1" outlineLevel="1" collapsed="1" x14ac:dyDescent="0.25">
      <c r="A84" s="26"/>
      <c r="B84" s="12" t="str">
        <f>CONCATENATE("     ","Bank/card Fees                                    ")</f>
        <v xml:space="preserve">     Bank/card Fees                                    </v>
      </c>
      <c r="C84" s="12"/>
      <c r="D84" s="1">
        <f>SUM(OSRRefD22_4x_0)</f>
        <v>494.04</v>
      </c>
      <c r="E84" s="1"/>
      <c r="F84" s="5">
        <f t="shared" si="33"/>
        <v>1.4687869396763937E-2</v>
      </c>
      <c r="G84" s="1"/>
      <c r="H84" s="1">
        <f>SUM(OSRRefH22_4x_0)</f>
        <v>5</v>
      </c>
      <c r="I84" s="1"/>
      <c r="J84" s="5">
        <f t="shared" si="34"/>
        <v>0</v>
      </c>
      <c r="K84" s="1"/>
      <c r="L84" s="1">
        <f t="shared" si="35"/>
        <v>489.04</v>
      </c>
      <c r="M84" s="1"/>
      <c r="N84" s="5">
        <f t="shared" si="36"/>
        <v>97.808000000000007</v>
      </c>
      <c r="O84" s="12"/>
      <c r="P84" s="1">
        <f>SUM(OSRRefP22_4x_0)</f>
        <v>4972.8900000000003</v>
      </c>
      <c r="Q84" s="1"/>
      <c r="R84" s="5">
        <f t="shared" si="37"/>
        <v>1.5557543803369574E-2</v>
      </c>
      <c r="S84" s="1"/>
      <c r="T84" s="1">
        <f>SUM(OSRRefT22_4x_0)</f>
        <v>6184.92</v>
      </c>
      <c r="U84" s="1"/>
      <c r="V84" s="5">
        <f t="shared" si="38"/>
        <v>1.438885976570818E-2</v>
      </c>
      <c r="W84" s="1"/>
      <c r="X84" s="1">
        <f t="shared" si="39"/>
        <v>-1212.0299999999997</v>
      </c>
      <c r="Y84" s="1"/>
      <c r="Z84" s="5">
        <f t="shared" si="40"/>
        <v>-0.19596534797539819</v>
      </c>
    </row>
    <row r="85" spans="1:26" s="23" customFormat="1" hidden="1" outlineLevel="2" x14ac:dyDescent="0.25">
      <c r="A85" s="25"/>
      <c r="B85" s="10" t="str">
        <f>CONCATENATE("          ", "6381", " - ", "BANK/CREDIT CARD FEES")</f>
        <v xml:space="preserve">          6381 - BANK/CREDIT CARD FEES</v>
      </c>
      <c r="C85" s="10"/>
      <c r="D85" s="6">
        <v>494.04</v>
      </c>
      <c r="E85" s="2"/>
      <c r="F85" s="7">
        <f t="shared" si="33"/>
        <v>1.4687869396763937E-2</v>
      </c>
      <c r="G85" s="2"/>
      <c r="H85" s="6">
        <v>5</v>
      </c>
      <c r="I85" s="2"/>
      <c r="J85" s="7">
        <f t="shared" si="34"/>
        <v>0</v>
      </c>
      <c r="K85" s="2"/>
      <c r="L85" s="6">
        <f t="shared" si="35"/>
        <v>489.04</v>
      </c>
      <c r="M85" s="2"/>
      <c r="N85" s="7">
        <f t="shared" si="36"/>
        <v>97.808000000000007</v>
      </c>
      <c r="O85" s="10"/>
      <c r="P85" s="6">
        <v>4972.8900000000003</v>
      </c>
      <c r="Q85" s="2"/>
      <c r="R85" s="7">
        <f t="shared" si="37"/>
        <v>1.5557543803369574E-2</v>
      </c>
      <c r="S85" s="2"/>
      <c r="T85" s="6">
        <v>6184.92</v>
      </c>
      <c r="U85" s="2"/>
      <c r="V85" s="7">
        <f t="shared" si="38"/>
        <v>1.438885976570818E-2</v>
      </c>
      <c r="W85" s="2"/>
      <c r="X85" s="6">
        <f t="shared" si="39"/>
        <v>-1212.0299999999997</v>
      </c>
      <c r="Y85" s="2"/>
      <c r="Z85" s="7">
        <f t="shared" si="40"/>
        <v>-0.19596534797539819</v>
      </c>
    </row>
    <row r="86" spans="1:26" s="27" customFormat="1" outlineLevel="1" collapsed="1" x14ac:dyDescent="0.25">
      <c r="A86" s="26"/>
      <c r="B86" s="12" t="str">
        <f>CONCATENATE("     ","Discounts and Markdowns                           ")</f>
        <v xml:space="preserve">     Discounts and Markdowns                           </v>
      </c>
      <c r="C86" s="12"/>
      <c r="D86" s="1">
        <f>SUM(OSRRefD22_5x_0)</f>
        <v>0</v>
      </c>
      <c r="E86" s="1"/>
      <c r="F86" s="5">
        <f t="shared" si="33"/>
        <v>0</v>
      </c>
      <c r="G86" s="1"/>
      <c r="H86" s="1">
        <f>SUM(OSRRefH22_5x_0)</f>
        <v>0</v>
      </c>
      <c r="I86" s="1"/>
      <c r="J86" s="5">
        <f t="shared" si="34"/>
        <v>0</v>
      </c>
      <c r="K86" s="1"/>
      <c r="L86" s="1">
        <f t="shared" si="35"/>
        <v>0</v>
      </c>
      <c r="M86" s="1"/>
      <c r="N86" s="5">
        <f t="shared" si="36"/>
        <v>0</v>
      </c>
      <c r="O86" s="12"/>
      <c r="P86" s="1">
        <f>SUM(OSRRefP22_5x_0)</f>
        <v>0</v>
      </c>
      <c r="Q86" s="1"/>
      <c r="R86" s="5">
        <f t="shared" si="37"/>
        <v>0</v>
      </c>
      <c r="S86" s="1"/>
      <c r="T86" s="1">
        <f>SUM(OSRRefT22_5x_0)</f>
        <v>68571.64</v>
      </c>
      <c r="U86" s="1"/>
      <c r="V86" s="5">
        <f t="shared" si="38"/>
        <v>0.15952796671009903</v>
      </c>
      <c r="W86" s="1"/>
      <c r="X86" s="1">
        <f t="shared" si="39"/>
        <v>-68571.64</v>
      </c>
      <c r="Y86" s="1"/>
      <c r="Z86" s="5">
        <f t="shared" si="40"/>
        <v>-1</v>
      </c>
    </row>
    <row r="87" spans="1:26" s="23" customFormat="1" hidden="1" outlineLevel="2" x14ac:dyDescent="0.25">
      <c r="A87" s="25"/>
      <c r="B87" s="10" t="str">
        <f>CONCATENATE("          ", "6382", " - ", "DISCOUNTS/MARK DOWNS")</f>
        <v xml:space="preserve">          6382 - DISCOUNTS/MARK DOWNS</v>
      </c>
      <c r="C87" s="10"/>
      <c r="D87" s="6">
        <v>0</v>
      </c>
      <c r="E87" s="2"/>
      <c r="F87" s="7">
        <f t="shared" si="33"/>
        <v>0</v>
      </c>
      <c r="G87" s="2"/>
      <c r="H87" s="6"/>
      <c r="I87" s="2"/>
      <c r="J87" s="7">
        <f t="shared" si="34"/>
        <v>0</v>
      </c>
      <c r="K87" s="2"/>
      <c r="L87" s="6">
        <f t="shared" si="35"/>
        <v>0</v>
      </c>
      <c r="M87" s="2"/>
      <c r="N87" s="7">
        <f t="shared" si="36"/>
        <v>0</v>
      </c>
      <c r="O87" s="10"/>
      <c r="P87" s="6">
        <v>0</v>
      </c>
      <c r="Q87" s="2"/>
      <c r="R87" s="7">
        <f t="shared" si="37"/>
        <v>0</v>
      </c>
      <c r="S87" s="2"/>
      <c r="T87" s="6">
        <v>68571.64</v>
      </c>
      <c r="U87" s="2"/>
      <c r="V87" s="7">
        <f t="shared" si="38"/>
        <v>0.15952796671009903</v>
      </c>
      <c r="W87" s="2"/>
      <c r="X87" s="6">
        <f t="shared" si="39"/>
        <v>-68571.64</v>
      </c>
      <c r="Y87" s="2"/>
      <c r="Z87" s="7">
        <f t="shared" si="40"/>
        <v>-1</v>
      </c>
    </row>
    <row r="88" spans="1:26" s="23" customFormat="1" hidden="1" outlineLevel="2" x14ac:dyDescent="0.25">
      <c r="A88" s="25"/>
      <c r="B88" s="10" t="str">
        <f>CONCATENATE("          ", "9175", " - ", "EARNED DISCOUNTS")</f>
        <v xml:space="preserve">          9175 - EARNED DISCOUNTS</v>
      </c>
      <c r="C88" s="10"/>
      <c r="D88" s="6"/>
      <c r="E88" s="2"/>
      <c r="F88" s="7">
        <f t="shared" si="33"/>
        <v>0</v>
      </c>
      <c r="G88" s="2"/>
      <c r="H88" s="6"/>
      <c r="I88" s="2"/>
      <c r="J88" s="7">
        <f t="shared" si="34"/>
        <v>0</v>
      </c>
      <c r="K88" s="2"/>
      <c r="L88" s="6">
        <f t="shared" si="35"/>
        <v>0</v>
      </c>
      <c r="M88" s="2"/>
      <c r="N88" s="7">
        <f t="shared" si="36"/>
        <v>0</v>
      </c>
      <c r="O88" s="10"/>
      <c r="P88" s="6"/>
      <c r="Q88" s="2"/>
      <c r="R88" s="7">
        <f t="shared" si="37"/>
        <v>0</v>
      </c>
      <c r="S88" s="2"/>
      <c r="T88" s="6">
        <v>0</v>
      </c>
      <c r="U88" s="2"/>
      <c r="V88" s="7">
        <f t="shared" si="38"/>
        <v>0</v>
      </c>
      <c r="W88" s="2"/>
      <c r="X88" s="6">
        <f t="shared" si="39"/>
        <v>0</v>
      </c>
      <c r="Y88" s="2"/>
      <c r="Z88" s="7">
        <f t="shared" si="40"/>
        <v>0</v>
      </c>
    </row>
    <row r="89" spans="1:26" s="27" customFormat="1" outlineLevel="1" collapsed="1" x14ac:dyDescent="0.25">
      <c r="A89" s="26"/>
      <c r="B89" s="12" t="str">
        <f>CONCATENATE("     ","Employees' Appreciation                           ")</f>
        <v xml:space="preserve">     Employees' Appreciation                           </v>
      </c>
      <c r="C89" s="12"/>
      <c r="D89" s="1">
        <f>SUM(OSRRefD22_6x_0)</f>
        <v>0</v>
      </c>
      <c r="E89" s="1"/>
      <c r="F89" s="5">
        <f t="shared" ref="F89:F108" si="41">IF(D$12=0,0,D89/D$12)</f>
        <v>0</v>
      </c>
      <c r="G89" s="1"/>
      <c r="H89" s="1">
        <f>SUM(OSRRefH22_6x_0)</f>
        <v>0</v>
      </c>
      <c r="I89" s="1"/>
      <c r="J89" s="5">
        <f t="shared" ref="J89:J108" si="42">IF(H$12=0,0,H89/H$12)</f>
        <v>0</v>
      </c>
      <c r="K89" s="1"/>
      <c r="L89" s="1">
        <f t="shared" ref="L89:L108" si="43">+D89-H89</f>
        <v>0</v>
      </c>
      <c r="M89" s="1"/>
      <c r="N89" s="5">
        <f t="shared" ref="N89:N108" si="44">IF(H89=0,0,L89/H89)</f>
        <v>0</v>
      </c>
      <c r="O89" s="12"/>
      <c r="P89" s="1">
        <f>SUM(OSRRefP22_6x_0)</f>
        <v>0</v>
      </c>
      <c r="Q89" s="1"/>
      <c r="R89" s="5">
        <f t="shared" ref="R89:R108" si="45">IF(P$12=0,0,P89/P$12)</f>
        <v>0</v>
      </c>
      <c r="S89" s="1"/>
      <c r="T89" s="1">
        <f>SUM(OSRRefT22_6x_0)</f>
        <v>120.93</v>
      </c>
      <c r="U89" s="1"/>
      <c r="V89" s="5">
        <f t="shared" ref="V89:V108" si="46">IF(T$12=0,0,T89/T$12)</f>
        <v>2.8133667233643932E-4</v>
      </c>
      <c r="W89" s="1"/>
      <c r="X89" s="1">
        <f t="shared" ref="X89:X108" si="47">+P89-T89</f>
        <v>-120.93</v>
      </c>
      <c r="Y89" s="1"/>
      <c r="Z89" s="5">
        <f t="shared" ref="Z89:Z108" si="48">IF(T89=0,0,X89/T89)</f>
        <v>-1</v>
      </c>
    </row>
    <row r="90" spans="1:26" s="23" customFormat="1" hidden="1" outlineLevel="2" x14ac:dyDescent="0.25">
      <c r="A90" s="25"/>
      <c r="B90" s="10" t="str">
        <f>CONCATENATE("          ", "6277", " - ", "EMPLOYEE APPRECIATION")</f>
        <v xml:space="preserve">          6277 - EMPLOYEE APPRECIATION</v>
      </c>
      <c r="C90" s="10"/>
      <c r="D90" s="6"/>
      <c r="E90" s="2"/>
      <c r="F90" s="7">
        <f t="shared" si="41"/>
        <v>0</v>
      </c>
      <c r="G90" s="2"/>
      <c r="H90" s="6"/>
      <c r="I90" s="2"/>
      <c r="J90" s="7">
        <f t="shared" si="42"/>
        <v>0</v>
      </c>
      <c r="K90" s="2"/>
      <c r="L90" s="6">
        <f t="shared" si="43"/>
        <v>0</v>
      </c>
      <c r="M90" s="2"/>
      <c r="N90" s="7">
        <f t="shared" si="44"/>
        <v>0</v>
      </c>
      <c r="O90" s="10"/>
      <c r="P90" s="6"/>
      <c r="Q90" s="2"/>
      <c r="R90" s="7">
        <f t="shared" si="45"/>
        <v>0</v>
      </c>
      <c r="S90" s="2"/>
      <c r="T90" s="6">
        <v>120.93</v>
      </c>
      <c r="U90" s="2"/>
      <c r="V90" s="7">
        <f t="shared" si="46"/>
        <v>2.8133667233643932E-4</v>
      </c>
      <c r="W90" s="2"/>
      <c r="X90" s="6">
        <f t="shared" si="47"/>
        <v>-120.93</v>
      </c>
      <c r="Y90" s="2"/>
      <c r="Z90" s="7">
        <f t="shared" si="48"/>
        <v>-1</v>
      </c>
    </row>
    <row r="91" spans="1:26" s="27" customFormat="1" outlineLevel="1" collapsed="1" x14ac:dyDescent="0.25">
      <c r="A91" s="26"/>
      <c r="B91" s="12" t="str">
        <f>CONCATENATE("     ","General                                           ")</f>
        <v xml:space="preserve">     General                                           </v>
      </c>
      <c r="C91" s="12"/>
      <c r="D91" s="1">
        <f>SUM(OSRRefD22_7x_0)</f>
        <v>0</v>
      </c>
      <c r="E91" s="1"/>
      <c r="F91" s="5">
        <f t="shared" si="41"/>
        <v>0</v>
      </c>
      <c r="G91" s="1"/>
      <c r="H91" s="1">
        <f>SUM(OSRRefH22_7x_0)</f>
        <v>0</v>
      </c>
      <c r="I91" s="1"/>
      <c r="J91" s="5">
        <f t="shared" si="42"/>
        <v>0</v>
      </c>
      <c r="K91" s="1"/>
      <c r="L91" s="1">
        <f t="shared" si="43"/>
        <v>0</v>
      </c>
      <c r="M91" s="1"/>
      <c r="N91" s="5">
        <f t="shared" si="44"/>
        <v>0</v>
      </c>
      <c r="O91" s="12"/>
      <c r="P91" s="1">
        <f>SUM(OSRRefP22_7x_0)</f>
        <v>1380.29</v>
      </c>
      <c r="Q91" s="1"/>
      <c r="R91" s="5">
        <f t="shared" si="45"/>
        <v>4.3181976951738301E-3</v>
      </c>
      <c r="S91" s="1"/>
      <c r="T91" s="1">
        <f>SUM(OSRRefT22_7x_0)</f>
        <v>1392.43</v>
      </c>
      <c r="U91" s="1"/>
      <c r="V91" s="5">
        <f t="shared" si="46"/>
        <v>3.2394081093312511E-3</v>
      </c>
      <c r="W91" s="1"/>
      <c r="X91" s="1">
        <f t="shared" si="47"/>
        <v>-12.1400000000001</v>
      </c>
      <c r="Y91" s="1"/>
      <c r="Z91" s="5">
        <f t="shared" si="48"/>
        <v>-8.7185711310443607E-3</v>
      </c>
    </row>
    <row r="92" spans="1:26" s="23" customFormat="1" hidden="1" outlineLevel="2" x14ac:dyDescent="0.25">
      <c r="A92" s="25"/>
      <c r="B92" s="10" t="str">
        <f>CONCATENATE("          ", "6279", " - ", "GENERAL EXPENSE")</f>
        <v xml:space="preserve">          6279 - GENERAL EXPENSE</v>
      </c>
      <c r="C92" s="10"/>
      <c r="D92" s="6"/>
      <c r="E92" s="2"/>
      <c r="F92" s="7">
        <f t="shared" si="41"/>
        <v>0</v>
      </c>
      <c r="G92" s="2"/>
      <c r="H92" s="6"/>
      <c r="I92" s="2"/>
      <c r="J92" s="7">
        <f t="shared" si="42"/>
        <v>0</v>
      </c>
      <c r="K92" s="2"/>
      <c r="L92" s="6">
        <f t="shared" si="43"/>
        <v>0</v>
      </c>
      <c r="M92" s="2"/>
      <c r="N92" s="7">
        <f t="shared" si="44"/>
        <v>0</v>
      </c>
      <c r="O92" s="10"/>
      <c r="P92" s="6">
        <v>1380.29</v>
      </c>
      <c r="Q92" s="2"/>
      <c r="R92" s="7">
        <f t="shared" si="45"/>
        <v>4.3181976951738301E-3</v>
      </c>
      <c r="S92" s="2"/>
      <c r="T92" s="6">
        <v>1392.43</v>
      </c>
      <c r="U92" s="2"/>
      <c r="V92" s="7">
        <f t="shared" si="46"/>
        <v>3.2394081093312511E-3</v>
      </c>
      <c r="W92" s="2"/>
      <c r="X92" s="6">
        <f t="shared" si="47"/>
        <v>-12.1400000000001</v>
      </c>
      <c r="Y92" s="2"/>
      <c r="Z92" s="7">
        <f t="shared" si="48"/>
        <v>-8.7185711310443607E-3</v>
      </c>
    </row>
    <row r="93" spans="1:26" s="27" customFormat="1" outlineLevel="1" collapsed="1" x14ac:dyDescent="0.25">
      <c r="A93" s="26"/>
      <c r="B93" s="12" t="str">
        <f>CONCATENATE("     ","Insurance                                         ")</f>
        <v xml:space="preserve">     Insurance                                         </v>
      </c>
      <c r="C93" s="12"/>
      <c r="D93" s="1">
        <f>SUM(OSRRefD22_8x_0)</f>
        <v>346.03</v>
      </c>
      <c r="E93" s="1"/>
      <c r="F93" s="5">
        <f t="shared" si="41"/>
        <v>1.0287514062347633E-2</v>
      </c>
      <c r="G93" s="1"/>
      <c r="H93" s="1">
        <f>SUM(OSRRefH22_8x_0)</f>
        <v>161.18</v>
      </c>
      <c r="I93" s="1"/>
      <c r="J93" s="5">
        <f t="shared" si="42"/>
        <v>0</v>
      </c>
      <c r="K93" s="1"/>
      <c r="L93" s="1">
        <f t="shared" si="43"/>
        <v>184.84999999999997</v>
      </c>
      <c r="M93" s="1"/>
      <c r="N93" s="5">
        <f t="shared" si="44"/>
        <v>1.1468544484427345</v>
      </c>
      <c r="O93" s="12"/>
      <c r="P93" s="1">
        <f>SUM(OSRRefP22_8x_0)</f>
        <v>2119.0100000000002</v>
      </c>
      <c r="Q93" s="1"/>
      <c r="R93" s="5">
        <f t="shared" si="45"/>
        <v>6.6292620377241731E-3</v>
      </c>
      <c r="S93" s="1"/>
      <c r="T93" s="1">
        <f>SUM(OSRRefT22_8x_0)</f>
        <v>1934.16</v>
      </c>
      <c r="U93" s="1"/>
      <c r="V93" s="5">
        <f t="shared" si="46"/>
        <v>4.499711718897275E-3</v>
      </c>
      <c r="W93" s="1"/>
      <c r="X93" s="1">
        <f t="shared" si="47"/>
        <v>184.85000000000014</v>
      </c>
      <c r="Y93" s="1"/>
      <c r="Z93" s="5">
        <f t="shared" si="48"/>
        <v>9.5571204036894633E-2</v>
      </c>
    </row>
    <row r="94" spans="1:26" s="23" customFormat="1" hidden="1" outlineLevel="2" x14ac:dyDescent="0.25">
      <c r="A94" s="25"/>
      <c r="B94" s="10" t="str">
        <f>CONCATENATE("          ", "6314", " - ", "LIABILITY INSURANCE")</f>
        <v xml:space="preserve">          6314 - LIABILITY INSURANCE</v>
      </c>
      <c r="C94" s="10"/>
      <c r="D94" s="6">
        <v>346.03</v>
      </c>
      <c r="E94" s="2"/>
      <c r="F94" s="7">
        <f t="shared" si="41"/>
        <v>1.0287514062347633E-2</v>
      </c>
      <c r="G94" s="2"/>
      <c r="H94" s="6">
        <v>161.18</v>
      </c>
      <c r="I94" s="2"/>
      <c r="J94" s="7">
        <f t="shared" si="42"/>
        <v>0</v>
      </c>
      <c r="K94" s="2"/>
      <c r="L94" s="6">
        <f t="shared" si="43"/>
        <v>184.84999999999997</v>
      </c>
      <c r="M94" s="2"/>
      <c r="N94" s="7">
        <f t="shared" si="44"/>
        <v>1.1468544484427345</v>
      </c>
      <c r="O94" s="10"/>
      <c r="P94" s="6">
        <v>2119.0100000000002</v>
      </c>
      <c r="Q94" s="2"/>
      <c r="R94" s="7">
        <f t="shared" si="45"/>
        <v>6.6292620377241731E-3</v>
      </c>
      <c r="S94" s="2"/>
      <c r="T94" s="6">
        <v>1934.16</v>
      </c>
      <c r="U94" s="2"/>
      <c r="V94" s="7">
        <f t="shared" si="46"/>
        <v>4.499711718897275E-3</v>
      </c>
      <c r="W94" s="2"/>
      <c r="X94" s="6">
        <f t="shared" si="47"/>
        <v>184.85000000000014</v>
      </c>
      <c r="Y94" s="2"/>
      <c r="Z94" s="7">
        <f t="shared" si="48"/>
        <v>9.5571204036894633E-2</v>
      </c>
    </row>
    <row r="95" spans="1:26" s="27" customFormat="1" outlineLevel="1" collapsed="1" x14ac:dyDescent="0.25">
      <c r="A95" s="26"/>
      <c r="B95" s="12" t="str">
        <f>CONCATENATE("     ","Inventory Adjustment                              ")</f>
        <v xml:space="preserve">     Inventory Adjustment                              </v>
      </c>
      <c r="C95" s="12"/>
      <c r="D95" s="1">
        <f>SUM(OSRRefD22_9x_0)</f>
        <v>-1100</v>
      </c>
      <c r="E95" s="1"/>
      <c r="F95" s="5">
        <f t="shared" si="41"/>
        <v>-3.2703134030524515E-2</v>
      </c>
      <c r="G95" s="1"/>
      <c r="H95" s="1">
        <f>SUM(OSRRefH22_9x_0)</f>
        <v>57306</v>
      </c>
      <c r="I95" s="1"/>
      <c r="J95" s="5">
        <f t="shared" si="42"/>
        <v>0</v>
      </c>
      <c r="K95" s="1"/>
      <c r="L95" s="1">
        <f t="shared" si="43"/>
        <v>-58406</v>
      </c>
      <c r="M95" s="1"/>
      <c r="N95" s="5">
        <f t="shared" si="44"/>
        <v>-1.0191951977105365</v>
      </c>
      <c r="O95" s="12"/>
      <c r="P95" s="1">
        <f>SUM(OSRRefP22_9x_0)</f>
        <v>0</v>
      </c>
      <c r="Q95" s="1"/>
      <c r="R95" s="5">
        <f t="shared" si="45"/>
        <v>0</v>
      </c>
      <c r="S95" s="1"/>
      <c r="T95" s="1">
        <f>SUM(OSRRefT22_9x_0)</f>
        <v>61506</v>
      </c>
      <c r="U95" s="1"/>
      <c r="V95" s="5">
        <f t="shared" si="46"/>
        <v>0.14309016264553903</v>
      </c>
      <c r="W95" s="1"/>
      <c r="X95" s="1">
        <f t="shared" si="47"/>
        <v>-61506</v>
      </c>
      <c r="Y95" s="1"/>
      <c r="Z95" s="5">
        <f t="shared" si="48"/>
        <v>-1</v>
      </c>
    </row>
    <row r="96" spans="1:26" s="23" customFormat="1" hidden="1" outlineLevel="2" x14ac:dyDescent="0.25">
      <c r="A96" s="25"/>
      <c r="B96" s="10" t="str">
        <f>CONCATENATE("          ", "6408", " - ", "INVENTORY ADJUSTMENT")</f>
        <v xml:space="preserve">          6408 - INVENTORY ADJUSTMENT</v>
      </c>
      <c r="C96" s="10"/>
      <c r="D96" s="6">
        <v>-1100</v>
      </c>
      <c r="E96" s="2"/>
      <c r="F96" s="7">
        <f t="shared" si="41"/>
        <v>-3.2703134030524515E-2</v>
      </c>
      <c r="G96" s="2"/>
      <c r="H96" s="6">
        <v>-4200</v>
      </c>
      <c r="I96" s="2"/>
      <c r="J96" s="7">
        <f t="shared" si="42"/>
        <v>0</v>
      </c>
      <c r="K96" s="2"/>
      <c r="L96" s="6">
        <f t="shared" si="43"/>
        <v>3100</v>
      </c>
      <c r="M96" s="2"/>
      <c r="N96" s="7">
        <f t="shared" si="44"/>
        <v>-0.73809523809523814</v>
      </c>
      <c r="O96" s="10"/>
      <c r="P96" s="6">
        <v>0</v>
      </c>
      <c r="Q96" s="2"/>
      <c r="R96" s="7">
        <f t="shared" si="45"/>
        <v>0</v>
      </c>
      <c r="S96" s="2"/>
      <c r="T96" s="6">
        <v>0</v>
      </c>
      <c r="U96" s="2"/>
      <c r="V96" s="7">
        <f t="shared" si="46"/>
        <v>0</v>
      </c>
      <c r="W96" s="2"/>
      <c r="X96" s="6">
        <f t="shared" si="47"/>
        <v>0</v>
      </c>
      <c r="Y96" s="2"/>
      <c r="Z96" s="7">
        <f t="shared" si="48"/>
        <v>0</v>
      </c>
    </row>
    <row r="97" spans="1:26" s="23" customFormat="1" hidden="1" outlineLevel="2" x14ac:dyDescent="0.25">
      <c r="A97" s="25"/>
      <c r="B97" s="10" t="str">
        <f>CONCATENATE("          ", "7726", " - ", "INV. SHRINKAGE-WRITING INSTRUM")</f>
        <v xml:space="preserve">          7726 - INV. SHRINKAGE-WRITING INSTRUM</v>
      </c>
      <c r="C97" s="10"/>
      <c r="D97" s="6"/>
      <c r="E97" s="2"/>
      <c r="F97" s="7">
        <f t="shared" si="41"/>
        <v>0</v>
      </c>
      <c r="G97" s="2"/>
      <c r="H97" s="6">
        <v>2342</v>
      </c>
      <c r="I97" s="2"/>
      <c r="J97" s="7">
        <f t="shared" si="42"/>
        <v>0</v>
      </c>
      <c r="K97" s="2"/>
      <c r="L97" s="6">
        <f t="shared" si="43"/>
        <v>-2342</v>
      </c>
      <c r="M97" s="2"/>
      <c r="N97" s="7">
        <f t="shared" si="44"/>
        <v>-1</v>
      </c>
      <c r="O97" s="10"/>
      <c r="P97" s="6"/>
      <c r="Q97" s="2"/>
      <c r="R97" s="7">
        <f t="shared" si="45"/>
        <v>0</v>
      </c>
      <c r="S97" s="2"/>
      <c r="T97" s="6">
        <v>2342</v>
      </c>
      <c r="U97" s="2"/>
      <c r="V97" s="7">
        <f t="shared" si="46"/>
        <v>5.4485279633832862E-3</v>
      </c>
      <c r="W97" s="2"/>
      <c r="X97" s="6">
        <f t="shared" si="47"/>
        <v>-2342</v>
      </c>
      <c r="Y97" s="2"/>
      <c r="Z97" s="7">
        <f t="shared" si="48"/>
        <v>-1</v>
      </c>
    </row>
    <row r="98" spans="1:26" s="23" customFormat="1" hidden="1" outlineLevel="2" x14ac:dyDescent="0.25">
      <c r="A98" s="25"/>
      <c r="B98" s="10" t="str">
        <f>CONCATENATE("          ", "7727", " - ", "INV. SHRINKAGE-SCHOOL SUPPLIES")</f>
        <v xml:space="preserve">          7727 - INV. SHRINKAGE-SCHOOL SUPPLIES</v>
      </c>
      <c r="C98" s="10"/>
      <c r="D98" s="6"/>
      <c r="E98" s="2"/>
      <c r="F98" s="7">
        <f t="shared" si="41"/>
        <v>0</v>
      </c>
      <c r="G98" s="2"/>
      <c r="H98" s="6">
        <v>384</v>
      </c>
      <c r="I98" s="2"/>
      <c r="J98" s="7">
        <f t="shared" si="42"/>
        <v>0</v>
      </c>
      <c r="K98" s="2"/>
      <c r="L98" s="6">
        <f t="shared" si="43"/>
        <v>-384</v>
      </c>
      <c r="M98" s="2"/>
      <c r="N98" s="7">
        <f t="shared" si="44"/>
        <v>-1</v>
      </c>
      <c r="O98" s="10"/>
      <c r="P98" s="6"/>
      <c r="Q98" s="2"/>
      <c r="R98" s="7">
        <f t="shared" si="45"/>
        <v>0</v>
      </c>
      <c r="S98" s="2"/>
      <c r="T98" s="6">
        <v>384</v>
      </c>
      <c r="U98" s="2"/>
      <c r="V98" s="7">
        <f t="shared" si="46"/>
        <v>8.9335385906882242E-4</v>
      </c>
      <c r="W98" s="2"/>
      <c r="X98" s="6">
        <f t="shared" si="47"/>
        <v>-384</v>
      </c>
      <c r="Y98" s="2"/>
      <c r="Z98" s="7">
        <f t="shared" si="48"/>
        <v>-1</v>
      </c>
    </row>
    <row r="99" spans="1:26" s="23" customFormat="1" hidden="1" outlineLevel="2" x14ac:dyDescent="0.25">
      <c r="A99" s="25"/>
      <c r="B99" s="10" t="str">
        <f>CONCATENATE("          ", "7737", " - ", "INV. SHRINKAGE-WATER")</f>
        <v xml:space="preserve">          7737 - INV. SHRINKAGE-WATER</v>
      </c>
      <c r="C99" s="10"/>
      <c r="D99" s="6"/>
      <c r="E99" s="2"/>
      <c r="F99" s="7">
        <f t="shared" si="41"/>
        <v>0</v>
      </c>
      <c r="G99" s="2"/>
      <c r="H99" s="6">
        <v>-69</v>
      </c>
      <c r="I99" s="2"/>
      <c r="J99" s="7">
        <f t="shared" si="42"/>
        <v>0</v>
      </c>
      <c r="K99" s="2"/>
      <c r="L99" s="6">
        <f t="shared" si="43"/>
        <v>69</v>
      </c>
      <c r="M99" s="2"/>
      <c r="N99" s="7">
        <f t="shared" si="44"/>
        <v>-1</v>
      </c>
      <c r="O99" s="10"/>
      <c r="P99" s="6"/>
      <c r="Q99" s="2"/>
      <c r="R99" s="7">
        <f t="shared" si="45"/>
        <v>0</v>
      </c>
      <c r="S99" s="2"/>
      <c r="T99" s="6">
        <v>-69</v>
      </c>
      <c r="U99" s="2"/>
      <c r="V99" s="7">
        <f t="shared" si="46"/>
        <v>-1.6052452155142902E-4</v>
      </c>
      <c r="W99" s="2"/>
      <c r="X99" s="6">
        <f t="shared" si="47"/>
        <v>69</v>
      </c>
      <c r="Y99" s="2"/>
      <c r="Z99" s="7">
        <f t="shared" si="48"/>
        <v>-1</v>
      </c>
    </row>
    <row r="100" spans="1:26" s="23" customFormat="1" hidden="1" outlineLevel="2" x14ac:dyDescent="0.25">
      <c r="A100" s="25"/>
      <c r="B100" s="10" t="str">
        <f>CONCATENATE("          ", "7740", " - ", "INV. SHRINKAGE-LOGO CLOTHING")</f>
        <v xml:space="preserve">          7740 - INV. SHRINKAGE-LOGO CLOTHING</v>
      </c>
      <c r="C100" s="10"/>
      <c r="D100" s="6"/>
      <c r="E100" s="2"/>
      <c r="F100" s="7">
        <f t="shared" si="41"/>
        <v>0</v>
      </c>
      <c r="G100" s="2"/>
      <c r="H100" s="6">
        <v>74974</v>
      </c>
      <c r="I100" s="2"/>
      <c r="J100" s="7">
        <f t="shared" si="42"/>
        <v>0</v>
      </c>
      <c r="K100" s="2"/>
      <c r="L100" s="6">
        <f t="shared" si="43"/>
        <v>-74974</v>
      </c>
      <c r="M100" s="2"/>
      <c r="N100" s="7">
        <f t="shared" si="44"/>
        <v>-1</v>
      </c>
      <c r="O100" s="10"/>
      <c r="P100" s="6"/>
      <c r="Q100" s="2"/>
      <c r="R100" s="7">
        <f t="shared" si="45"/>
        <v>0</v>
      </c>
      <c r="S100" s="2"/>
      <c r="T100" s="6">
        <v>74974</v>
      </c>
      <c r="U100" s="2"/>
      <c r="V100" s="7">
        <f t="shared" si="46"/>
        <v>0.17442268809850492</v>
      </c>
      <c r="W100" s="2"/>
      <c r="X100" s="6">
        <f t="shared" si="47"/>
        <v>-74974</v>
      </c>
      <c r="Y100" s="2"/>
      <c r="Z100" s="7">
        <f t="shared" si="48"/>
        <v>-1</v>
      </c>
    </row>
    <row r="101" spans="1:26" s="23" customFormat="1" hidden="1" outlineLevel="2" x14ac:dyDescent="0.25">
      <c r="A101" s="25"/>
      <c r="B101" s="10" t="str">
        <f>CONCATENATE("          ", "7741", " - ", "INV. SHRINKAGE-LOGO GIFTS")</f>
        <v xml:space="preserve">          7741 - INV. SHRINKAGE-LOGO GIFTS</v>
      </c>
      <c r="C101" s="10"/>
      <c r="D101" s="6"/>
      <c r="E101" s="2"/>
      <c r="F101" s="7">
        <f t="shared" si="41"/>
        <v>0</v>
      </c>
      <c r="G101" s="2"/>
      <c r="H101" s="6">
        <v>-2162</v>
      </c>
      <c r="I101" s="2"/>
      <c r="J101" s="7">
        <f t="shared" si="42"/>
        <v>0</v>
      </c>
      <c r="K101" s="2"/>
      <c r="L101" s="6">
        <f t="shared" si="43"/>
        <v>2162</v>
      </c>
      <c r="M101" s="2"/>
      <c r="N101" s="7">
        <f t="shared" si="44"/>
        <v>-1</v>
      </c>
      <c r="O101" s="10"/>
      <c r="P101" s="6"/>
      <c r="Q101" s="2"/>
      <c r="R101" s="7">
        <f t="shared" si="45"/>
        <v>0</v>
      </c>
      <c r="S101" s="2"/>
      <c r="T101" s="6">
        <v>-2162</v>
      </c>
      <c r="U101" s="2"/>
      <c r="V101" s="7">
        <f t="shared" si="46"/>
        <v>-5.0297683419447759E-3</v>
      </c>
      <c r="W101" s="2"/>
      <c r="X101" s="6">
        <f t="shared" si="47"/>
        <v>2162</v>
      </c>
      <c r="Y101" s="2"/>
      <c r="Z101" s="7">
        <f t="shared" si="48"/>
        <v>-1</v>
      </c>
    </row>
    <row r="102" spans="1:26" s="23" customFormat="1" hidden="1" outlineLevel="2" x14ac:dyDescent="0.25">
      <c r="A102" s="25"/>
      <c r="B102" s="10" t="str">
        <f>CONCATENATE("          ", "7742", " - ", "INV. SHRINKAGE-EVERYDAY GIFTS")</f>
        <v xml:space="preserve">          7742 - INV. SHRINKAGE-EVERYDAY GIFTS</v>
      </c>
      <c r="C102" s="10"/>
      <c r="D102" s="6"/>
      <c r="E102" s="2"/>
      <c r="F102" s="7">
        <f t="shared" si="41"/>
        <v>0</v>
      </c>
      <c r="G102" s="2"/>
      <c r="H102" s="6">
        <v>2520</v>
      </c>
      <c r="I102" s="2"/>
      <c r="J102" s="7">
        <f t="shared" si="42"/>
        <v>0</v>
      </c>
      <c r="K102" s="2"/>
      <c r="L102" s="6">
        <f t="shared" si="43"/>
        <v>-2520</v>
      </c>
      <c r="M102" s="2"/>
      <c r="N102" s="7">
        <f t="shared" si="44"/>
        <v>-1</v>
      </c>
      <c r="O102" s="10"/>
      <c r="P102" s="6"/>
      <c r="Q102" s="2"/>
      <c r="R102" s="7">
        <f t="shared" si="45"/>
        <v>0</v>
      </c>
      <c r="S102" s="2"/>
      <c r="T102" s="6">
        <v>2520</v>
      </c>
      <c r="U102" s="2"/>
      <c r="V102" s="7">
        <f t="shared" si="46"/>
        <v>5.8626347001391466E-3</v>
      </c>
      <c r="W102" s="2"/>
      <c r="X102" s="6">
        <f t="shared" si="47"/>
        <v>-2520</v>
      </c>
      <c r="Y102" s="2"/>
      <c r="Z102" s="7">
        <f t="shared" si="48"/>
        <v>-1</v>
      </c>
    </row>
    <row r="103" spans="1:26" s="23" customFormat="1" hidden="1" outlineLevel="2" x14ac:dyDescent="0.25">
      <c r="A103" s="25"/>
      <c r="B103" s="10" t="str">
        <f>CONCATENATE("          ", "7743", " - ", "INV. SHRINKAGE-CARDS")</f>
        <v xml:space="preserve">          7743 - INV. SHRINKAGE-CARDS</v>
      </c>
      <c r="C103" s="10"/>
      <c r="D103" s="6"/>
      <c r="E103" s="2"/>
      <c r="F103" s="7">
        <f t="shared" si="41"/>
        <v>0</v>
      </c>
      <c r="G103" s="2"/>
      <c r="H103" s="6">
        <v>-1289</v>
      </c>
      <c r="I103" s="2"/>
      <c r="J103" s="7">
        <f t="shared" si="42"/>
        <v>0</v>
      </c>
      <c r="K103" s="2"/>
      <c r="L103" s="6">
        <f t="shared" si="43"/>
        <v>1289</v>
      </c>
      <c r="M103" s="2"/>
      <c r="N103" s="7">
        <f t="shared" si="44"/>
        <v>-1</v>
      </c>
      <c r="O103" s="10"/>
      <c r="P103" s="6"/>
      <c r="Q103" s="2"/>
      <c r="R103" s="7">
        <f t="shared" si="45"/>
        <v>0</v>
      </c>
      <c r="S103" s="2"/>
      <c r="T103" s="6">
        <v>-1289</v>
      </c>
      <c r="U103" s="2"/>
      <c r="V103" s="7">
        <f t="shared" si="46"/>
        <v>-2.9987841779680001E-3</v>
      </c>
      <c r="W103" s="2"/>
      <c r="X103" s="6">
        <f t="shared" si="47"/>
        <v>1289</v>
      </c>
      <c r="Y103" s="2"/>
      <c r="Z103" s="7">
        <f t="shared" si="48"/>
        <v>-1</v>
      </c>
    </row>
    <row r="104" spans="1:26" s="23" customFormat="1" hidden="1" outlineLevel="2" x14ac:dyDescent="0.25">
      <c r="A104" s="25"/>
      <c r="B104" s="10" t="str">
        <f>CONCATENATE("          ", "7744", " - ", "INV. SHRINKAGE-ACCESSORIES")</f>
        <v xml:space="preserve">          7744 - INV. SHRINKAGE-ACCESSORIES</v>
      </c>
      <c r="C104" s="10"/>
      <c r="D104" s="6"/>
      <c r="E104" s="2"/>
      <c r="F104" s="7">
        <f t="shared" si="41"/>
        <v>0</v>
      </c>
      <c r="G104" s="2"/>
      <c r="H104" s="6">
        <v>-16849</v>
      </c>
      <c r="I104" s="2"/>
      <c r="J104" s="7">
        <f t="shared" si="42"/>
        <v>0</v>
      </c>
      <c r="K104" s="2"/>
      <c r="L104" s="6">
        <f t="shared" si="43"/>
        <v>16849</v>
      </c>
      <c r="M104" s="2"/>
      <c r="N104" s="7">
        <f t="shared" si="44"/>
        <v>-1</v>
      </c>
      <c r="O104" s="10"/>
      <c r="P104" s="6"/>
      <c r="Q104" s="2"/>
      <c r="R104" s="7">
        <f t="shared" si="45"/>
        <v>0</v>
      </c>
      <c r="S104" s="2"/>
      <c r="T104" s="6">
        <v>-16849</v>
      </c>
      <c r="U104" s="2"/>
      <c r="V104" s="7">
        <f t="shared" si="46"/>
        <v>-3.9198227008985904E-2</v>
      </c>
      <c r="W104" s="2"/>
      <c r="X104" s="6">
        <f t="shared" si="47"/>
        <v>16849</v>
      </c>
      <c r="Y104" s="2"/>
      <c r="Z104" s="7">
        <f t="shared" si="48"/>
        <v>-1</v>
      </c>
    </row>
    <row r="105" spans="1:26" s="23" customFormat="1" hidden="1" outlineLevel="2" x14ac:dyDescent="0.25">
      <c r="A105" s="25"/>
      <c r="B105" s="10" t="str">
        <f>CONCATENATE("          ", "7745", " - ", "INV. SHRINKAGE-SPECIAL ORDERS")</f>
        <v xml:space="preserve">          7745 - INV. SHRINKAGE-SPECIAL ORDERS</v>
      </c>
      <c r="C105" s="10"/>
      <c r="D105" s="6"/>
      <c r="E105" s="2"/>
      <c r="F105" s="7">
        <f t="shared" si="41"/>
        <v>0</v>
      </c>
      <c r="G105" s="2"/>
      <c r="H105" s="6">
        <v>1445</v>
      </c>
      <c r="I105" s="2"/>
      <c r="J105" s="7">
        <f t="shared" si="42"/>
        <v>0</v>
      </c>
      <c r="K105" s="2"/>
      <c r="L105" s="6">
        <f t="shared" si="43"/>
        <v>-1445</v>
      </c>
      <c r="M105" s="2"/>
      <c r="N105" s="7">
        <f t="shared" si="44"/>
        <v>-1</v>
      </c>
      <c r="O105" s="10"/>
      <c r="P105" s="6"/>
      <c r="Q105" s="2"/>
      <c r="R105" s="7">
        <f t="shared" si="45"/>
        <v>0</v>
      </c>
      <c r="S105" s="2"/>
      <c r="T105" s="6">
        <v>1445</v>
      </c>
      <c r="U105" s="2"/>
      <c r="V105" s="7">
        <f t="shared" si="46"/>
        <v>3.3617091832147091E-3</v>
      </c>
      <c r="W105" s="2"/>
      <c r="X105" s="6">
        <f t="shared" si="47"/>
        <v>-1445</v>
      </c>
      <c r="Y105" s="2"/>
      <c r="Z105" s="7">
        <f t="shared" si="48"/>
        <v>-1</v>
      </c>
    </row>
    <row r="106" spans="1:26" s="23" customFormat="1" hidden="1" outlineLevel="2" x14ac:dyDescent="0.25">
      <c r="A106" s="25"/>
      <c r="B106" s="10" t="str">
        <f>CONCATENATE("          ", "7783", " - ", "INV. SHRINKAGE-COMPUTER EQUIPM")</f>
        <v xml:space="preserve">          7783 - INV. SHRINKAGE-COMPUTER EQUIPM</v>
      </c>
      <c r="C106" s="10"/>
      <c r="D106" s="6"/>
      <c r="E106" s="2"/>
      <c r="F106" s="7">
        <f t="shared" si="41"/>
        <v>0</v>
      </c>
      <c r="G106" s="2"/>
      <c r="H106" s="6">
        <v>176</v>
      </c>
      <c r="I106" s="2"/>
      <c r="J106" s="7">
        <f t="shared" si="42"/>
        <v>0</v>
      </c>
      <c r="K106" s="2"/>
      <c r="L106" s="6">
        <f t="shared" si="43"/>
        <v>-176</v>
      </c>
      <c r="M106" s="2"/>
      <c r="N106" s="7">
        <f t="shared" si="44"/>
        <v>-1</v>
      </c>
      <c r="O106" s="10"/>
      <c r="P106" s="6"/>
      <c r="Q106" s="2"/>
      <c r="R106" s="7">
        <f t="shared" si="45"/>
        <v>0</v>
      </c>
      <c r="S106" s="2"/>
      <c r="T106" s="6">
        <v>176</v>
      </c>
      <c r="U106" s="2"/>
      <c r="V106" s="7">
        <f t="shared" si="46"/>
        <v>4.0945385207321027E-4</v>
      </c>
      <c r="W106" s="2"/>
      <c r="X106" s="6">
        <f t="shared" si="47"/>
        <v>-176</v>
      </c>
      <c r="Y106" s="2"/>
      <c r="Z106" s="7">
        <f t="shared" si="48"/>
        <v>-1</v>
      </c>
    </row>
    <row r="107" spans="1:26" s="23" customFormat="1" hidden="1" outlineLevel="2" x14ac:dyDescent="0.25">
      <c r="A107" s="25"/>
      <c r="B107" s="10" t="str">
        <f>CONCATENATE("          ", "7792", " - ", "INV. SHRINKAGE-GRAD MERCH")</f>
        <v xml:space="preserve">          7792 - INV. SHRINKAGE-GRAD MERCH</v>
      </c>
      <c r="C107" s="10"/>
      <c r="D107" s="6"/>
      <c r="E107" s="2"/>
      <c r="F107" s="7">
        <f t="shared" si="41"/>
        <v>0</v>
      </c>
      <c r="G107" s="2"/>
      <c r="H107" s="6">
        <v>40</v>
      </c>
      <c r="I107" s="2"/>
      <c r="J107" s="7">
        <f t="shared" si="42"/>
        <v>0</v>
      </c>
      <c r="K107" s="2"/>
      <c r="L107" s="6">
        <f t="shared" si="43"/>
        <v>-40</v>
      </c>
      <c r="M107" s="2"/>
      <c r="N107" s="7">
        <f t="shared" si="44"/>
        <v>-1</v>
      </c>
      <c r="O107" s="10"/>
      <c r="P107" s="6"/>
      <c r="Q107" s="2"/>
      <c r="R107" s="7">
        <f t="shared" si="45"/>
        <v>0</v>
      </c>
      <c r="S107" s="2"/>
      <c r="T107" s="6">
        <v>40</v>
      </c>
      <c r="U107" s="2"/>
      <c r="V107" s="7">
        <f t="shared" si="46"/>
        <v>9.3057693653002333E-5</v>
      </c>
      <c r="W107" s="2"/>
      <c r="X107" s="6">
        <f t="shared" si="47"/>
        <v>-40</v>
      </c>
      <c r="Y107" s="2"/>
      <c r="Z107" s="7">
        <f t="shared" si="48"/>
        <v>-1</v>
      </c>
    </row>
    <row r="108" spans="1:26" s="23" customFormat="1" hidden="1" outlineLevel="2" x14ac:dyDescent="0.25">
      <c r="A108" s="25"/>
      <c r="B108" s="10" t="str">
        <f>CONCATENATE("          ", "7795", " - ", "INV. SHRINKAGE-CUSTOMER SERVIC")</f>
        <v xml:space="preserve">          7795 - INV. SHRINKAGE-CUSTOMER SERVIC</v>
      </c>
      <c r="C108" s="10"/>
      <c r="D108" s="6"/>
      <c r="E108" s="2"/>
      <c r="F108" s="7">
        <f t="shared" si="41"/>
        <v>0</v>
      </c>
      <c r="G108" s="2"/>
      <c r="H108" s="6">
        <v>-6</v>
      </c>
      <c r="I108" s="2"/>
      <c r="J108" s="7">
        <f t="shared" si="42"/>
        <v>0</v>
      </c>
      <c r="K108" s="2"/>
      <c r="L108" s="6">
        <f t="shared" si="43"/>
        <v>6</v>
      </c>
      <c r="M108" s="2"/>
      <c r="N108" s="7">
        <f t="shared" si="44"/>
        <v>-1</v>
      </c>
      <c r="O108" s="10"/>
      <c r="P108" s="6"/>
      <c r="Q108" s="2"/>
      <c r="R108" s="7">
        <f t="shared" si="45"/>
        <v>0</v>
      </c>
      <c r="S108" s="2"/>
      <c r="T108" s="6">
        <v>-6</v>
      </c>
      <c r="U108" s="2"/>
      <c r="V108" s="7">
        <f t="shared" si="46"/>
        <v>-1.395865404795035E-5</v>
      </c>
      <c r="W108" s="2"/>
      <c r="X108" s="6">
        <f t="shared" si="47"/>
        <v>6</v>
      </c>
      <c r="Y108" s="2"/>
      <c r="Z108" s="7">
        <f t="shared" si="48"/>
        <v>-1</v>
      </c>
    </row>
    <row r="109" spans="1:26" s="27" customFormat="1" outlineLevel="1" collapsed="1" x14ac:dyDescent="0.25">
      <c r="A109" s="26"/>
      <c r="B109" s="12" t="str">
        <f>CONCATENATE("     ","Professional Services                             ")</f>
        <v xml:space="preserve">     Professional Services                             </v>
      </c>
      <c r="C109" s="12"/>
      <c r="D109" s="1">
        <f>SUM(OSRRefD22_10x_0)</f>
        <v>0</v>
      </c>
      <c r="E109" s="1"/>
      <c r="F109" s="5">
        <f t="shared" ref="F109:F116" si="49">IF(D$12=0,0,D109/D$12)</f>
        <v>0</v>
      </c>
      <c r="G109" s="1"/>
      <c r="H109" s="1">
        <f>SUM(OSRRefH22_10x_0)</f>
        <v>383.95</v>
      </c>
      <c r="I109" s="1"/>
      <c r="J109" s="5">
        <f t="shared" ref="J109:J116" si="50">IF(H$12=0,0,H109/H$12)</f>
        <v>0</v>
      </c>
      <c r="K109" s="1"/>
      <c r="L109" s="1">
        <f t="shared" ref="L109:L116" si="51">+D109-H109</f>
        <v>-383.95</v>
      </c>
      <c r="M109" s="1"/>
      <c r="N109" s="5">
        <f t="shared" ref="N109:N116" si="52">IF(H109=0,0,L109/H109)</f>
        <v>-1</v>
      </c>
      <c r="O109" s="12"/>
      <c r="P109" s="1">
        <f>SUM(OSRRefP22_10x_0)</f>
        <v>0</v>
      </c>
      <c r="Q109" s="1"/>
      <c r="R109" s="5">
        <f t="shared" ref="R109:R116" si="53">IF(P$12=0,0,P109/P$12)</f>
        <v>0</v>
      </c>
      <c r="S109" s="1"/>
      <c r="T109" s="1">
        <f>SUM(OSRRefT22_10x_0)</f>
        <v>1133.95</v>
      </c>
      <c r="U109" s="1"/>
      <c r="V109" s="5">
        <f t="shared" ref="V109:V116" si="54">IF(T$12=0,0,T109/T$12)</f>
        <v>2.63806929294555E-3</v>
      </c>
      <c r="W109" s="1"/>
      <c r="X109" s="1">
        <f t="shared" ref="X109:X116" si="55">+P109-T109</f>
        <v>-1133.95</v>
      </c>
      <c r="Y109" s="1"/>
      <c r="Z109" s="5">
        <f t="shared" ref="Z109:Z116" si="56">IF(T109=0,0,X109/T109)</f>
        <v>-1</v>
      </c>
    </row>
    <row r="110" spans="1:26" s="23" customFormat="1" hidden="1" outlineLevel="2" x14ac:dyDescent="0.25">
      <c r="A110" s="25"/>
      <c r="B110" s="10" t="str">
        <f>CONCATENATE("          ", "6336", " - ", "PROFESSIONAL SERVICES")</f>
        <v xml:space="preserve">          6336 - PROFESSIONAL SERVICES</v>
      </c>
      <c r="C110" s="10"/>
      <c r="D110" s="6"/>
      <c r="E110" s="2"/>
      <c r="F110" s="7">
        <f t="shared" si="49"/>
        <v>0</v>
      </c>
      <c r="G110" s="2"/>
      <c r="H110" s="6">
        <v>383.95</v>
      </c>
      <c r="I110" s="2"/>
      <c r="J110" s="7">
        <f t="shared" si="50"/>
        <v>0</v>
      </c>
      <c r="K110" s="2"/>
      <c r="L110" s="6">
        <f t="shared" si="51"/>
        <v>-383.95</v>
      </c>
      <c r="M110" s="2"/>
      <c r="N110" s="7">
        <f t="shared" si="52"/>
        <v>-1</v>
      </c>
      <c r="O110" s="10"/>
      <c r="P110" s="6"/>
      <c r="Q110" s="2"/>
      <c r="R110" s="7">
        <f t="shared" si="53"/>
        <v>0</v>
      </c>
      <c r="S110" s="2"/>
      <c r="T110" s="6">
        <v>1133.95</v>
      </c>
      <c r="U110" s="2"/>
      <c r="V110" s="7">
        <f t="shared" si="54"/>
        <v>2.63806929294555E-3</v>
      </c>
      <c r="W110" s="2"/>
      <c r="X110" s="6">
        <f t="shared" si="55"/>
        <v>-1133.95</v>
      </c>
      <c r="Y110" s="2"/>
      <c r="Z110" s="7">
        <f t="shared" si="56"/>
        <v>-1</v>
      </c>
    </row>
    <row r="111" spans="1:26" s="27" customFormat="1" outlineLevel="1" collapsed="1" x14ac:dyDescent="0.25">
      <c r="A111" s="26"/>
      <c r="B111" s="12" t="str">
        <f>CONCATENATE("     ","Rent                                              ")</f>
        <v xml:space="preserve">     Rent                                              </v>
      </c>
      <c r="C111" s="12"/>
      <c r="D111" s="1">
        <f>SUM(OSRRefD22_11x_0)</f>
        <v>6900</v>
      </c>
      <c r="E111" s="1"/>
      <c r="F111" s="5">
        <f t="shared" si="49"/>
        <v>0.20513784073692648</v>
      </c>
      <c r="G111" s="1"/>
      <c r="H111" s="1">
        <f>SUM(OSRRefH22_11x_0)</f>
        <v>6900</v>
      </c>
      <c r="I111" s="1"/>
      <c r="J111" s="5">
        <f t="shared" si="50"/>
        <v>0</v>
      </c>
      <c r="K111" s="1"/>
      <c r="L111" s="1">
        <f t="shared" si="51"/>
        <v>0</v>
      </c>
      <c r="M111" s="1"/>
      <c r="N111" s="5">
        <f t="shared" si="52"/>
        <v>0</v>
      </c>
      <c r="O111" s="12"/>
      <c r="P111" s="1">
        <f>SUM(OSRRefP22_11x_0)</f>
        <v>82800</v>
      </c>
      <c r="Q111" s="1"/>
      <c r="R111" s="5">
        <f t="shared" si="53"/>
        <v>0.25903742630924886</v>
      </c>
      <c r="S111" s="1"/>
      <c r="T111" s="1">
        <f>SUM(OSRRefT22_11x_0)</f>
        <v>82800</v>
      </c>
      <c r="U111" s="1"/>
      <c r="V111" s="5">
        <f t="shared" si="54"/>
        <v>0.19262942586171483</v>
      </c>
      <c r="W111" s="1"/>
      <c r="X111" s="1">
        <f t="shared" si="55"/>
        <v>0</v>
      </c>
      <c r="Y111" s="1"/>
      <c r="Z111" s="5">
        <f t="shared" si="56"/>
        <v>0</v>
      </c>
    </row>
    <row r="112" spans="1:26" s="23" customFormat="1" hidden="1" outlineLevel="2" x14ac:dyDescent="0.25">
      <c r="A112" s="25"/>
      <c r="B112" s="10" t="str">
        <f>CONCATENATE("          ", "6273", " - ", "RENT")</f>
        <v xml:space="preserve">          6273 - RENT</v>
      </c>
      <c r="C112" s="10"/>
      <c r="D112" s="6">
        <v>6900</v>
      </c>
      <c r="E112" s="2"/>
      <c r="F112" s="7">
        <f t="shared" si="49"/>
        <v>0.20513784073692648</v>
      </c>
      <c r="G112" s="2"/>
      <c r="H112" s="6">
        <v>6900</v>
      </c>
      <c r="I112" s="2"/>
      <c r="J112" s="7">
        <f t="shared" si="50"/>
        <v>0</v>
      </c>
      <c r="K112" s="2"/>
      <c r="L112" s="6">
        <f t="shared" si="51"/>
        <v>0</v>
      </c>
      <c r="M112" s="2"/>
      <c r="N112" s="7">
        <f t="shared" si="52"/>
        <v>0</v>
      </c>
      <c r="O112" s="10"/>
      <c r="P112" s="6">
        <v>82800</v>
      </c>
      <c r="Q112" s="2"/>
      <c r="R112" s="7">
        <f t="shared" si="53"/>
        <v>0.25903742630924886</v>
      </c>
      <c r="S112" s="2"/>
      <c r="T112" s="6">
        <v>82800</v>
      </c>
      <c r="U112" s="2"/>
      <c r="V112" s="7">
        <f t="shared" si="54"/>
        <v>0.19262942586171483</v>
      </c>
      <c r="W112" s="2"/>
      <c r="X112" s="6">
        <f t="shared" si="55"/>
        <v>0</v>
      </c>
      <c r="Y112" s="2"/>
      <c r="Z112" s="7">
        <f t="shared" si="56"/>
        <v>0</v>
      </c>
    </row>
    <row r="113" spans="1:26" s="27" customFormat="1" outlineLevel="1" collapsed="1" x14ac:dyDescent="0.25">
      <c r="A113" s="26"/>
      <c r="B113" s="12" t="str">
        <f>CONCATENATE("     ","Repair and Maintenance                            ")</f>
        <v xml:space="preserve">     Repair and Maintenance                            </v>
      </c>
      <c r="C113" s="12"/>
      <c r="D113" s="1">
        <f>SUM(OSRRefD22_12x_0)</f>
        <v>824.67</v>
      </c>
      <c r="E113" s="1"/>
      <c r="F113" s="5">
        <f t="shared" si="49"/>
        <v>2.4517539582684225E-2</v>
      </c>
      <c r="G113" s="1"/>
      <c r="H113" s="1">
        <f>SUM(OSRRefH22_12x_0)</f>
        <v>48.23</v>
      </c>
      <c r="I113" s="1"/>
      <c r="J113" s="5">
        <f t="shared" si="50"/>
        <v>0</v>
      </c>
      <c r="K113" s="1"/>
      <c r="L113" s="1">
        <f t="shared" si="51"/>
        <v>776.43999999999994</v>
      </c>
      <c r="M113" s="1"/>
      <c r="N113" s="5">
        <f t="shared" si="52"/>
        <v>16.098693759071118</v>
      </c>
      <c r="O113" s="12"/>
      <c r="P113" s="1">
        <f>SUM(OSRRefP22_12x_0)</f>
        <v>1134.3800000000001</v>
      </c>
      <c r="Q113" s="1"/>
      <c r="R113" s="5">
        <f t="shared" si="53"/>
        <v>3.5488753098633545E-3</v>
      </c>
      <c r="S113" s="1"/>
      <c r="T113" s="1">
        <f>SUM(OSRRefT22_12x_0)</f>
        <v>372.21000000000004</v>
      </c>
      <c r="U113" s="1"/>
      <c r="V113" s="5">
        <f t="shared" si="54"/>
        <v>8.659251038646E-4</v>
      </c>
      <c r="W113" s="1"/>
      <c r="X113" s="1">
        <f t="shared" si="55"/>
        <v>762.17000000000007</v>
      </c>
      <c r="Y113" s="1"/>
      <c r="Z113" s="5">
        <f t="shared" si="56"/>
        <v>2.0476881330431747</v>
      </c>
    </row>
    <row r="114" spans="1:26" s="23" customFormat="1" hidden="1" outlineLevel="2" x14ac:dyDescent="0.25">
      <c r="A114" s="25"/>
      <c r="B114" s="10" t="str">
        <f>CONCATENATE("          ", "6372", " - ", "COMPUTER HARDWARE MAINTENANCE")</f>
        <v xml:space="preserve">          6372 - COMPUTER HARDWARE MAINTENANCE</v>
      </c>
      <c r="C114" s="10"/>
      <c r="D114" s="6"/>
      <c r="E114" s="2"/>
      <c r="F114" s="7">
        <f t="shared" si="49"/>
        <v>0</v>
      </c>
      <c r="G114" s="2"/>
      <c r="H114" s="6"/>
      <c r="I114" s="2"/>
      <c r="J114" s="7">
        <f t="shared" si="50"/>
        <v>0</v>
      </c>
      <c r="K114" s="2"/>
      <c r="L114" s="6">
        <f t="shared" si="51"/>
        <v>0</v>
      </c>
      <c r="M114" s="2"/>
      <c r="N114" s="7">
        <f t="shared" si="52"/>
        <v>0</v>
      </c>
      <c r="O114" s="10"/>
      <c r="P114" s="6">
        <v>-0.52</v>
      </c>
      <c r="Q114" s="2"/>
      <c r="R114" s="7">
        <f t="shared" si="53"/>
        <v>-1.6268050927633989E-6</v>
      </c>
      <c r="S114" s="2"/>
      <c r="T114" s="6"/>
      <c r="U114" s="2"/>
      <c r="V114" s="7">
        <f t="shared" si="54"/>
        <v>0</v>
      </c>
      <c r="W114" s="2"/>
      <c r="X114" s="6">
        <f t="shared" si="55"/>
        <v>-0.52</v>
      </c>
      <c r="Y114" s="2"/>
      <c r="Z114" s="7">
        <f t="shared" si="56"/>
        <v>0</v>
      </c>
    </row>
    <row r="115" spans="1:26" s="23" customFormat="1" hidden="1" outlineLevel="2" x14ac:dyDescent="0.25">
      <c r="A115" s="25"/>
      <c r="B115" s="10" t="str">
        <f>CONCATENATE("          ", "6373", " - ", "MAINTENANCE CONTRACTS")</f>
        <v xml:space="preserve">          6373 - MAINTENANCE CONTRACTS</v>
      </c>
      <c r="C115" s="10"/>
      <c r="D115" s="6">
        <v>230.9</v>
      </c>
      <c r="E115" s="2"/>
      <c r="F115" s="7">
        <f t="shared" si="49"/>
        <v>6.8646851342255549E-3</v>
      </c>
      <c r="G115" s="2"/>
      <c r="H115" s="6">
        <v>48.23</v>
      </c>
      <c r="I115" s="2"/>
      <c r="J115" s="7">
        <f t="shared" si="50"/>
        <v>0</v>
      </c>
      <c r="K115" s="2"/>
      <c r="L115" s="6">
        <f t="shared" si="51"/>
        <v>182.67000000000002</v>
      </c>
      <c r="M115" s="2"/>
      <c r="N115" s="7">
        <f t="shared" si="52"/>
        <v>3.7874766742691275</v>
      </c>
      <c r="O115" s="10"/>
      <c r="P115" s="6">
        <v>375.57</v>
      </c>
      <c r="Q115" s="2"/>
      <c r="R115" s="7">
        <f t="shared" si="53"/>
        <v>1.1749599782483646E-3</v>
      </c>
      <c r="S115" s="2"/>
      <c r="T115" s="6">
        <v>189.68</v>
      </c>
      <c r="U115" s="2"/>
      <c r="V115" s="7">
        <f t="shared" si="54"/>
        <v>4.4127958330253706E-4</v>
      </c>
      <c r="W115" s="2"/>
      <c r="X115" s="6">
        <f t="shared" si="55"/>
        <v>185.89</v>
      </c>
      <c r="Y115" s="2"/>
      <c r="Z115" s="7">
        <f t="shared" si="56"/>
        <v>0.98001897933361437</v>
      </c>
    </row>
    <row r="116" spans="1:26" s="23" customFormat="1" hidden="1" outlineLevel="2" x14ac:dyDescent="0.25">
      <c r="A116" s="25"/>
      <c r="B116" s="10" t="str">
        <f>CONCATENATE("          ", "6375", " - ", "OUTSIDE REPAIRS &amp; MAINTENANCE")</f>
        <v xml:space="preserve">          6375 - OUTSIDE REPAIRS &amp; MAINTENANCE</v>
      </c>
      <c r="C116" s="10"/>
      <c r="D116" s="6">
        <v>593.77</v>
      </c>
      <c r="E116" s="2"/>
      <c r="F116" s="7">
        <f t="shared" si="49"/>
        <v>1.7652854448458672E-2</v>
      </c>
      <c r="G116" s="2"/>
      <c r="H116" s="6"/>
      <c r="I116" s="2"/>
      <c r="J116" s="7">
        <f t="shared" si="50"/>
        <v>0</v>
      </c>
      <c r="K116" s="2"/>
      <c r="L116" s="6">
        <f t="shared" si="51"/>
        <v>593.77</v>
      </c>
      <c r="M116" s="2"/>
      <c r="N116" s="7">
        <f t="shared" si="52"/>
        <v>0</v>
      </c>
      <c r="O116" s="10"/>
      <c r="P116" s="6">
        <v>759.33</v>
      </c>
      <c r="Q116" s="2"/>
      <c r="R116" s="7">
        <f t="shared" si="53"/>
        <v>2.3755421367077532E-3</v>
      </c>
      <c r="S116" s="2"/>
      <c r="T116" s="6">
        <v>182.53</v>
      </c>
      <c r="U116" s="2"/>
      <c r="V116" s="7">
        <f t="shared" si="54"/>
        <v>4.2464552056206288E-4</v>
      </c>
      <c r="W116" s="2"/>
      <c r="X116" s="6">
        <f t="shared" si="55"/>
        <v>576.80000000000007</v>
      </c>
      <c r="Y116" s="2"/>
      <c r="Z116" s="7">
        <f t="shared" si="56"/>
        <v>3.1600284884676495</v>
      </c>
    </row>
    <row r="117" spans="1:26" s="27" customFormat="1" outlineLevel="1" collapsed="1" x14ac:dyDescent="0.25">
      <c r="A117" s="26"/>
      <c r="B117" s="12" t="str">
        <f>CONCATENATE("     ","Services                                          ")</f>
        <v xml:space="preserve">     Services                                          </v>
      </c>
      <c r="C117" s="12"/>
      <c r="D117" s="1">
        <f>SUM(OSRRefD22_13x_0)</f>
        <v>155.59</v>
      </c>
      <c r="E117" s="1"/>
      <c r="F117" s="5">
        <f t="shared" ref="F117:F120" si="57">IF(D$12=0,0,D117/D$12)</f>
        <v>4.6257096580084624E-3</v>
      </c>
      <c r="G117" s="1"/>
      <c r="H117" s="1">
        <f>SUM(OSRRefH22_13x_0)</f>
        <v>189.45</v>
      </c>
      <c r="I117" s="1"/>
      <c r="J117" s="5">
        <f t="shared" ref="J117:J120" si="58">IF(H$12=0,0,H117/H$12)</f>
        <v>0</v>
      </c>
      <c r="K117" s="1"/>
      <c r="L117" s="1">
        <f t="shared" ref="L117:L120" si="59">+D117-H117</f>
        <v>-33.859999999999985</v>
      </c>
      <c r="M117" s="1"/>
      <c r="N117" s="5">
        <f t="shared" ref="N117:N120" si="60">IF(H117=0,0,L117/H117)</f>
        <v>-0.1787278965426233</v>
      </c>
      <c r="O117" s="12"/>
      <c r="P117" s="1">
        <f>SUM(OSRRefP22_13x_0)</f>
        <v>1074.1099999999999</v>
      </c>
      <c r="Q117" s="1"/>
      <c r="R117" s="5">
        <f t="shared" ref="R117:R120" si="61">IF(P$12=0,0,P117/P$12)</f>
        <v>3.3603223426694117E-3</v>
      </c>
      <c r="S117" s="1"/>
      <c r="T117" s="1">
        <f>SUM(OSRRefT22_13x_0)</f>
        <v>3138.98</v>
      </c>
      <c r="U117" s="1"/>
      <c r="V117" s="5">
        <f t="shared" ref="V117:V120" si="62">IF(T$12=0,0,T117/T$12)</f>
        <v>7.3026559805725319E-3</v>
      </c>
      <c r="W117" s="1"/>
      <c r="X117" s="1">
        <f t="shared" ref="X117:X120" si="63">+P117-T117</f>
        <v>-2064.87</v>
      </c>
      <c r="Y117" s="1"/>
      <c r="Z117" s="5">
        <f t="shared" ref="Z117:Z120" si="64">IF(T117=0,0,X117/T117)</f>
        <v>-0.65781559614906748</v>
      </c>
    </row>
    <row r="118" spans="1:26" s="23" customFormat="1" hidden="1" outlineLevel="2" x14ac:dyDescent="0.25">
      <c r="A118" s="25"/>
      <c r="B118" s="10" t="str">
        <f>CONCATENATE("          ", "6283", " - ", "PLANT SERVICE")</f>
        <v xml:space="preserve">          6283 - PLANT SERVICE</v>
      </c>
      <c r="C118" s="10"/>
      <c r="D118" s="6"/>
      <c r="E118" s="2"/>
      <c r="F118" s="7">
        <f t="shared" si="57"/>
        <v>0</v>
      </c>
      <c r="G118" s="2"/>
      <c r="H118" s="6"/>
      <c r="I118" s="2"/>
      <c r="J118" s="7">
        <f t="shared" si="58"/>
        <v>0</v>
      </c>
      <c r="K118" s="2"/>
      <c r="L118" s="6">
        <f t="shared" si="59"/>
        <v>0</v>
      </c>
      <c r="M118" s="2"/>
      <c r="N118" s="7">
        <f t="shared" si="60"/>
        <v>0</v>
      </c>
      <c r="O118" s="10"/>
      <c r="P118" s="6">
        <v>41.31</v>
      </c>
      <c r="Q118" s="2"/>
      <c r="R118" s="7">
        <f t="shared" si="61"/>
        <v>1.2923715073472308E-4</v>
      </c>
      <c r="S118" s="2"/>
      <c r="T118" s="6">
        <v>178.65</v>
      </c>
      <c r="U118" s="2"/>
      <c r="V118" s="7">
        <f t="shared" si="62"/>
        <v>4.1561892427772166E-4</v>
      </c>
      <c r="W118" s="2"/>
      <c r="X118" s="6">
        <f t="shared" si="63"/>
        <v>-137.34</v>
      </c>
      <c r="Y118" s="2"/>
      <c r="Z118" s="7">
        <f t="shared" si="64"/>
        <v>-0.7687657430730479</v>
      </c>
    </row>
    <row r="119" spans="1:26" s="23" customFormat="1" hidden="1" outlineLevel="2" x14ac:dyDescent="0.25">
      <c r="A119" s="25"/>
      <c r="B119" s="10" t="str">
        <f>CONCATENATE("          ", "6284", " - ", "TRASH REMOVAL EXPENSE")</f>
        <v xml:space="preserve">          6284 - TRASH REMOVAL EXPENSE</v>
      </c>
      <c r="C119" s="10"/>
      <c r="D119" s="6">
        <v>142.57</v>
      </c>
      <c r="E119" s="2"/>
      <c r="F119" s="7">
        <f t="shared" si="57"/>
        <v>4.2386234715744361E-3</v>
      </c>
      <c r="G119" s="2"/>
      <c r="H119" s="6">
        <v>134.82</v>
      </c>
      <c r="I119" s="2"/>
      <c r="J119" s="7">
        <f t="shared" si="58"/>
        <v>0</v>
      </c>
      <c r="K119" s="2"/>
      <c r="L119" s="6">
        <f t="shared" si="59"/>
        <v>7.75</v>
      </c>
      <c r="M119" s="2"/>
      <c r="N119" s="7">
        <f t="shared" si="60"/>
        <v>5.7484052811155616E-2</v>
      </c>
      <c r="O119" s="10"/>
      <c r="P119" s="6">
        <v>1725.86</v>
      </c>
      <c r="Q119" s="2"/>
      <c r="R119" s="7">
        <f t="shared" si="61"/>
        <v>5.3993035334550755E-3</v>
      </c>
      <c r="S119" s="2"/>
      <c r="T119" s="6">
        <v>1617.84</v>
      </c>
      <c r="U119" s="2"/>
      <c r="V119" s="7">
        <f t="shared" si="62"/>
        <v>3.7638114774893321E-3</v>
      </c>
      <c r="W119" s="2"/>
      <c r="X119" s="6">
        <f t="shared" si="63"/>
        <v>108.01999999999998</v>
      </c>
      <c r="Y119" s="2"/>
      <c r="Z119" s="7">
        <f t="shared" si="64"/>
        <v>6.6768036394204616E-2</v>
      </c>
    </row>
    <row r="120" spans="1:26" s="23" customFormat="1" hidden="1" outlineLevel="2" x14ac:dyDescent="0.25">
      <c r="A120" s="25"/>
      <c r="B120" s="10" t="str">
        <f>CONCATENATE("          ", "6285", " - ", "JANITORIAL SERVICES")</f>
        <v xml:space="preserve">          6285 - JANITORIAL SERVICES</v>
      </c>
      <c r="C120" s="10"/>
      <c r="D120" s="6">
        <v>13.02</v>
      </c>
      <c r="E120" s="2"/>
      <c r="F120" s="7">
        <f t="shared" si="57"/>
        <v>3.870861864340265E-4</v>
      </c>
      <c r="G120" s="2"/>
      <c r="H120" s="6">
        <v>54.63</v>
      </c>
      <c r="I120" s="2"/>
      <c r="J120" s="7">
        <f t="shared" si="58"/>
        <v>0</v>
      </c>
      <c r="K120" s="2"/>
      <c r="L120" s="6">
        <f t="shared" si="59"/>
        <v>-41.61</v>
      </c>
      <c r="M120" s="2"/>
      <c r="N120" s="7">
        <f t="shared" si="60"/>
        <v>-0.76166941241076325</v>
      </c>
      <c r="O120" s="10"/>
      <c r="P120" s="6">
        <v>-693.06</v>
      </c>
      <c r="Q120" s="2"/>
      <c r="R120" s="7">
        <f t="shared" si="61"/>
        <v>-2.1682183415203866E-3</v>
      </c>
      <c r="S120" s="2"/>
      <c r="T120" s="6">
        <v>1342.49</v>
      </c>
      <c r="U120" s="2"/>
      <c r="V120" s="7">
        <f t="shared" si="62"/>
        <v>3.1232255788054774E-3</v>
      </c>
      <c r="W120" s="2"/>
      <c r="X120" s="6">
        <f t="shared" si="63"/>
        <v>-2035.55</v>
      </c>
      <c r="Y120" s="2"/>
      <c r="Z120" s="7">
        <f t="shared" si="64"/>
        <v>-1.5162496554909162</v>
      </c>
    </row>
    <row r="121" spans="1:26" s="27" customFormat="1" outlineLevel="1" collapsed="1" x14ac:dyDescent="0.25">
      <c r="A121" s="26"/>
      <c r="B121" s="12" t="str">
        <f>CONCATENATE("     ","Subscriptions &amp; Dues                              ")</f>
        <v xml:space="preserve">     Subscriptions &amp; Dues                              </v>
      </c>
      <c r="C121" s="12"/>
      <c r="D121" s="1">
        <f>SUM(OSRRefD22_14x_0)</f>
        <v>0</v>
      </c>
      <c r="E121" s="1"/>
      <c r="F121" s="5">
        <f t="shared" ref="F121:F123" si="65">IF(D$12=0,0,D121/D$12)</f>
        <v>0</v>
      </c>
      <c r="G121" s="1"/>
      <c r="H121" s="1">
        <f>SUM(OSRRefH22_14x_0)</f>
        <v>0</v>
      </c>
      <c r="I121" s="1"/>
      <c r="J121" s="5">
        <f t="shared" ref="J121:J123" si="66">IF(H$12=0,0,H121/H$12)</f>
        <v>0</v>
      </c>
      <c r="K121" s="1"/>
      <c r="L121" s="1">
        <f t="shared" ref="L121:L123" si="67">+D121-H121</f>
        <v>0</v>
      </c>
      <c r="M121" s="1"/>
      <c r="N121" s="5">
        <f t="shared" ref="N121:N123" si="68">IF(H121=0,0,L121/H121)</f>
        <v>0</v>
      </c>
      <c r="O121" s="12"/>
      <c r="P121" s="1">
        <f>SUM(OSRRefP22_14x_0)</f>
        <v>2254.14</v>
      </c>
      <c r="Q121" s="1"/>
      <c r="R121" s="5">
        <f t="shared" ref="R121:R123" si="69">IF(P$12=0,0,P121/P$12)</f>
        <v>7.0520123688493988E-3</v>
      </c>
      <c r="S121" s="1"/>
      <c r="T121" s="1">
        <f>SUM(OSRRefT22_14x_0)</f>
        <v>268.40999999999997</v>
      </c>
      <c r="U121" s="1"/>
      <c r="V121" s="5">
        <f t="shared" ref="V121:V123" si="70">IF(T$12=0,0,T121/T$12)</f>
        <v>6.2444038883505886E-4</v>
      </c>
      <c r="W121" s="1"/>
      <c r="X121" s="1">
        <f t="shared" ref="X121:X123" si="71">+P121-T121</f>
        <v>1985.73</v>
      </c>
      <c r="Y121" s="1"/>
      <c r="Z121" s="5">
        <f t="shared" ref="Z121:Z123" si="72">IF(T121=0,0,X121/T121)</f>
        <v>7.3981222756231144</v>
      </c>
    </row>
    <row r="122" spans="1:26" s="23" customFormat="1" hidden="1" outlineLevel="2" x14ac:dyDescent="0.25">
      <c r="A122" s="25"/>
      <c r="B122" s="10" t="str">
        <f>CONCATENATE("          ", "6258", " - ", "MEMBERSHIP DUES")</f>
        <v xml:space="preserve">          6258 - MEMBERSHIP DUES</v>
      </c>
      <c r="C122" s="10"/>
      <c r="D122" s="6"/>
      <c r="E122" s="2"/>
      <c r="F122" s="7">
        <f t="shared" si="65"/>
        <v>0</v>
      </c>
      <c r="G122" s="2"/>
      <c r="H122" s="6"/>
      <c r="I122" s="2"/>
      <c r="J122" s="7">
        <f t="shared" si="66"/>
        <v>0</v>
      </c>
      <c r="K122" s="2"/>
      <c r="L122" s="6">
        <f t="shared" si="67"/>
        <v>0</v>
      </c>
      <c r="M122" s="2"/>
      <c r="N122" s="7">
        <f t="shared" si="68"/>
        <v>0</v>
      </c>
      <c r="O122" s="10"/>
      <c r="P122" s="6">
        <v>-60.73</v>
      </c>
      <c r="Q122" s="2"/>
      <c r="R122" s="7">
        <f t="shared" si="69"/>
        <v>-1.8999206400677156E-4</v>
      </c>
      <c r="S122" s="2"/>
      <c r="T122" s="6">
        <v>29.99</v>
      </c>
      <c r="U122" s="2"/>
      <c r="V122" s="7">
        <f t="shared" si="70"/>
        <v>6.9770005816338491E-5</v>
      </c>
      <c r="W122" s="2"/>
      <c r="X122" s="6">
        <f t="shared" si="71"/>
        <v>-90.72</v>
      </c>
      <c r="Y122" s="2"/>
      <c r="Z122" s="7">
        <f t="shared" si="72"/>
        <v>-3.0250083361120375</v>
      </c>
    </row>
    <row r="123" spans="1:26" s="23" customFormat="1" hidden="1" outlineLevel="2" x14ac:dyDescent="0.25">
      <c r="A123" s="25"/>
      <c r="B123" s="10" t="str">
        <f>CONCATENATE("          ", "6275", " - ", "SUBSCRIPTIONS")</f>
        <v xml:space="preserve">          6275 - SUBSCRIPTIONS</v>
      </c>
      <c r="C123" s="10"/>
      <c r="D123" s="6"/>
      <c r="E123" s="2"/>
      <c r="F123" s="7">
        <f t="shared" si="65"/>
        <v>0</v>
      </c>
      <c r="G123" s="2"/>
      <c r="H123" s="6"/>
      <c r="I123" s="2"/>
      <c r="J123" s="7">
        <f t="shared" si="66"/>
        <v>0</v>
      </c>
      <c r="K123" s="2"/>
      <c r="L123" s="6">
        <f t="shared" si="67"/>
        <v>0</v>
      </c>
      <c r="M123" s="2"/>
      <c r="N123" s="7">
        <f t="shared" si="68"/>
        <v>0</v>
      </c>
      <c r="O123" s="10"/>
      <c r="P123" s="6">
        <v>2314.87</v>
      </c>
      <c r="Q123" s="2"/>
      <c r="R123" s="7">
        <f t="shared" si="69"/>
        <v>7.2420044328561708E-3</v>
      </c>
      <c r="S123" s="2"/>
      <c r="T123" s="6">
        <v>238.42</v>
      </c>
      <c r="U123" s="2"/>
      <c r="V123" s="7">
        <f t="shared" si="70"/>
        <v>5.5467038301872042E-4</v>
      </c>
      <c r="W123" s="2"/>
      <c r="X123" s="6">
        <f t="shared" si="71"/>
        <v>2076.4499999999998</v>
      </c>
      <c r="Y123" s="2"/>
      <c r="Z123" s="7">
        <f t="shared" si="72"/>
        <v>8.7092106366915516</v>
      </c>
    </row>
    <row r="124" spans="1:26" s="27" customFormat="1" outlineLevel="1" collapsed="1" x14ac:dyDescent="0.25">
      <c r="A124" s="26"/>
      <c r="B124" s="12" t="str">
        <f>CONCATENATE("     ","Supplies                                          ")</f>
        <v xml:space="preserve">     Supplies                                          </v>
      </c>
      <c r="C124" s="12"/>
      <c r="D124" s="1">
        <f>SUM(OSRRefD22_15x_0)</f>
        <v>90.59</v>
      </c>
      <c r="E124" s="1"/>
      <c r="F124" s="5">
        <f t="shared" ref="F124:F130" si="73">IF(D$12=0,0,D124/D$12)</f>
        <v>2.6932517380229234E-3</v>
      </c>
      <c r="G124" s="1"/>
      <c r="H124" s="1">
        <f>SUM(OSRRefH22_15x_0)</f>
        <v>3.96</v>
      </c>
      <c r="I124" s="1"/>
      <c r="J124" s="5">
        <f t="shared" ref="J124:J130" si="74">IF(H$12=0,0,H124/H$12)</f>
        <v>0</v>
      </c>
      <c r="K124" s="1"/>
      <c r="L124" s="1">
        <f t="shared" ref="L124:L130" si="75">+D124-H124</f>
        <v>86.63000000000001</v>
      </c>
      <c r="M124" s="1"/>
      <c r="N124" s="5">
        <f t="shared" ref="N124:N130" si="76">IF(H124=0,0,L124/H124)</f>
        <v>21.87626262626263</v>
      </c>
      <c r="O124" s="12"/>
      <c r="P124" s="1">
        <f>SUM(OSRRefP22_15x_0)</f>
        <v>919.82999999999993</v>
      </c>
      <c r="Q124" s="1"/>
      <c r="R124" s="5">
        <f t="shared" ref="R124:R130" si="77">IF(P$12=0,0,P124/P$12)</f>
        <v>2.8776617855318402E-3</v>
      </c>
      <c r="S124" s="1"/>
      <c r="T124" s="1">
        <f>SUM(OSRRefT22_15x_0)</f>
        <v>3815.02</v>
      </c>
      <c r="U124" s="1"/>
      <c r="V124" s="5">
        <f t="shared" ref="V124:V130" si="78">IF(T$12=0,0,T124/T$12)</f>
        <v>8.8754240610019238E-3</v>
      </c>
      <c r="W124" s="1"/>
      <c r="X124" s="1">
        <f t="shared" ref="X124:X130" si="79">+P124-T124</f>
        <v>-2895.19</v>
      </c>
      <c r="Y124" s="1"/>
      <c r="Z124" s="5">
        <f t="shared" ref="Z124:Z130" si="80">IF(T124=0,0,X124/T124)</f>
        <v>-0.75889248287033884</v>
      </c>
    </row>
    <row r="125" spans="1:26" s="23" customFormat="1" hidden="1" outlineLevel="2" x14ac:dyDescent="0.25">
      <c r="A125" s="25"/>
      <c r="B125" s="10" t="str">
        <f>CONCATENATE("          ", "6234", " - ", "EXPENDABLE SUPPLIES &amp; EQUIPMEN")</f>
        <v xml:space="preserve">          6234 - EXPENDABLE SUPPLIES &amp; EQUIPMEN</v>
      </c>
      <c r="C125" s="10"/>
      <c r="D125" s="6"/>
      <c r="E125" s="2"/>
      <c r="F125" s="7">
        <f t="shared" si="73"/>
        <v>0</v>
      </c>
      <c r="G125" s="2"/>
      <c r="H125" s="6"/>
      <c r="I125" s="2"/>
      <c r="J125" s="7">
        <f t="shared" si="74"/>
        <v>0</v>
      </c>
      <c r="K125" s="2"/>
      <c r="L125" s="6">
        <f t="shared" si="75"/>
        <v>0</v>
      </c>
      <c r="M125" s="2"/>
      <c r="N125" s="7">
        <f t="shared" si="76"/>
        <v>0</v>
      </c>
      <c r="O125" s="10"/>
      <c r="P125" s="6"/>
      <c r="Q125" s="2"/>
      <c r="R125" s="7">
        <f t="shared" si="77"/>
        <v>0</v>
      </c>
      <c r="S125" s="2"/>
      <c r="T125" s="6">
        <v>303.86</v>
      </c>
      <c r="U125" s="2"/>
      <c r="V125" s="7">
        <f t="shared" si="78"/>
        <v>7.0691276983503228E-4</v>
      </c>
      <c r="W125" s="2"/>
      <c r="X125" s="6">
        <f t="shared" si="79"/>
        <v>-303.86</v>
      </c>
      <c r="Y125" s="2"/>
      <c r="Z125" s="7">
        <f t="shared" si="80"/>
        <v>-1</v>
      </c>
    </row>
    <row r="126" spans="1:26" s="23" customFormat="1" hidden="1" outlineLevel="2" x14ac:dyDescent="0.25">
      <c r="A126" s="25"/>
      <c r="B126" s="10" t="str">
        <f>CONCATENATE("          ", "6235", " - ", "COVID-19 EXPENSES")</f>
        <v xml:space="preserve">          6235 - COVID-19 EXPENSES</v>
      </c>
      <c r="C126" s="10"/>
      <c r="D126" s="6"/>
      <c r="E126" s="2"/>
      <c r="F126" s="7">
        <f t="shared" si="73"/>
        <v>0</v>
      </c>
      <c r="G126" s="2"/>
      <c r="H126" s="6"/>
      <c r="I126" s="2"/>
      <c r="J126" s="7">
        <f t="shared" si="74"/>
        <v>0</v>
      </c>
      <c r="K126" s="2"/>
      <c r="L126" s="6">
        <f t="shared" si="75"/>
        <v>0</v>
      </c>
      <c r="M126" s="2"/>
      <c r="N126" s="7">
        <f t="shared" si="76"/>
        <v>0</v>
      </c>
      <c r="O126" s="10"/>
      <c r="P126" s="6">
        <v>265.7</v>
      </c>
      <c r="Q126" s="2"/>
      <c r="R126" s="7">
        <f t="shared" si="77"/>
        <v>8.3123483297545199E-4</v>
      </c>
      <c r="S126" s="2"/>
      <c r="T126" s="6"/>
      <c r="U126" s="2"/>
      <c r="V126" s="7">
        <f t="shared" si="78"/>
        <v>0</v>
      </c>
      <c r="W126" s="2"/>
      <c r="X126" s="6">
        <f t="shared" si="79"/>
        <v>265.7</v>
      </c>
      <c r="Y126" s="2"/>
      <c r="Z126" s="7">
        <f t="shared" si="80"/>
        <v>0</v>
      </c>
    </row>
    <row r="127" spans="1:26" s="23" customFormat="1" hidden="1" outlineLevel="2" x14ac:dyDescent="0.25">
      <c r="A127" s="25"/>
      <c r="B127" s="10" t="str">
        <f>CONCATENATE("          ", "6237", " - ", "JANITORIAL SUPPLIES")</f>
        <v xml:space="preserve">          6237 - JANITORIAL SUPPLIES</v>
      </c>
      <c r="C127" s="10"/>
      <c r="D127" s="6"/>
      <c r="E127" s="2"/>
      <c r="F127" s="7">
        <f t="shared" si="73"/>
        <v>0</v>
      </c>
      <c r="G127" s="2"/>
      <c r="H127" s="6"/>
      <c r="I127" s="2"/>
      <c r="J127" s="7">
        <f t="shared" si="74"/>
        <v>0</v>
      </c>
      <c r="K127" s="2"/>
      <c r="L127" s="6">
        <f t="shared" si="75"/>
        <v>0</v>
      </c>
      <c r="M127" s="2"/>
      <c r="N127" s="7">
        <f t="shared" si="76"/>
        <v>0</v>
      </c>
      <c r="O127" s="10"/>
      <c r="P127" s="6">
        <v>191.74</v>
      </c>
      <c r="Q127" s="2"/>
      <c r="R127" s="7">
        <f t="shared" si="77"/>
        <v>5.9985309324318099E-4</v>
      </c>
      <c r="S127" s="2"/>
      <c r="T127" s="6">
        <v>670.42</v>
      </c>
      <c r="U127" s="2"/>
      <c r="V127" s="7">
        <f t="shared" si="78"/>
        <v>1.5596934744711455E-3</v>
      </c>
      <c r="W127" s="2"/>
      <c r="X127" s="6">
        <f t="shared" si="79"/>
        <v>-478.67999999999995</v>
      </c>
      <c r="Y127" s="2"/>
      <c r="Z127" s="7">
        <f t="shared" si="80"/>
        <v>-0.71400017899227342</v>
      </c>
    </row>
    <row r="128" spans="1:26" s="23" customFormat="1" hidden="1" outlineLevel="2" x14ac:dyDescent="0.25">
      <c r="A128" s="25"/>
      <c r="B128" s="10" t="str">
        <f>CONCATENATE("          ", "6241", " - ", "OFFICE EXPENSE")</f>
        <v xml:space="preserve">          6241 - OFFICE EXPENSE</v>
      </c>
      <c r="C128" s="10"/>
      <c r="D128" s="6">
        <v>90.59</v>
      </c>
      <c r="E128" s="2"/>
      <c r="F128" s="7">
        <f t="shared" si="73"/>
        <v>2.6932517380229234E-3</v>
      </c>
      <c r="G128" s="2"/>
      <c r="H128" s="6">
        <v>3.96</v>
      </c>
      <c r="I128" s="2"/>
      <c r="J128" s="7">
        <f t="shared" si="74"/>
        <v>0</v>
      </c>
      <c r="K128" s="2"/>
      <c r="L128" s="6">
        <f t="shared" si="75"/>
        <v>86.63000000000001</v>
      </c>
      <c r="M128" s="2"/>
      <c r="N128" s="7">
        <f t="shared" si="76"/>
        <v>21.87626262626263</v>
      </c>
      <c r="O128" s="10"/>
      <c r="P128" s="6">
        <v>462.39</v>
      </c>
      <c r="Q128" s="2"/>
      <c r="R128" s="7">
        <f t="shared" si="77"/>
        <v>1.4465738593132077E-3</v>
      </c>
      <c r="S128" s="2"/>
      <c r="T128" s="6">
        <v>2342.37</v>
      </c>
      <c r="U128" s="2"/>
      <c r="V128" s="7">
        <f t="shared" si="78"/>
        <v>5.4493887470495762E-3</v>
      </c>
      <c r="W128" s="2"/>
      <c r="X128" s="6">
        <f t="shared" si="79"/>
        <v>-1879.98</v>
      </c>
      <c r="Y128" s="2"/>
      <c r="Z128" s="7">
        <f t="shared" si="80"/>
        <v>-0.80259736933106218</v>
      </c>
    </row>
    <row r="129" spans="1:26" s="23" customFormat="1" hidden="1" outlineLevel="2" x14ac:dyDescent="0.25">
      <c r="A129" s="25"/>
      <c r="B129" s="10" t="str">
        <f>CONCATENATE("          ", "6245", " - ", "PRINTING")</f>
        <v xml:space="preserve">          6245 - PRINTING</v>
      </c>
      <c r="C129" s="10"/>
      <c r="D129" s="6"/>
      <c r="E129" s="2"/>
      <c r="F129" s="7">
        <f t="shared" si="73"/>
        <v>0</v>
      </c>
      <c r="G129" s="2"/>
      <c r="H129" s="6"/>
      <c r="I129" s="2"/>
      <c r="J129" s="7">
        <f t="shared" si="74"/>
        <v>0</v>
      </c>
      <c r="K129" s="2"/>
      <c r="L129" s="6">
        <f t="shared" si="75"/>
        <v>0</v>
      </c>
      <c r="M129" s="2"/>
      <c r="N129" s="7">
        <f t="shared" si="76"/>
        <v>0</v>
      </c>
      <c r="O129" s="10"/>
      <c r="P129" s="6"/>
      <c r="Q129" s="2"/>
      <c r="R129" s="7">
        <f t="shared" si="77"/>
        <v>0</v>
      </c>
      <c r="S129" s="2"/>
      <c r="T129" s="6">
        <v>22.05</v>
      </c>
      <c r="U129" s="2"/>
      <c r="V129" s="7">
        <f t="shared" si="78"/>
        <v>5.1298053626217537E-5</v>
      </c>
      <c r="W129" s="2"/>
      <c r="X129" s="6">
        <f t="shared" si="79"/>
        <v>-22.05</v>
      </c>
      <c r="Y129" s="2"/>
      <c r="Z129" s="7">
        <f t="shared" si="80"/>
        <v>-1</v>
      </c>
    </row>
    <row r="130" spans="1:26" s="23" customFormat="1" hidden="1" outlineLevel="2" x14ac:dyDescent="0.25">
      <c r="A130" s="25"/>
      <c r="B130" s="10" t="str">
        <f>CONCATENATE("          ", "6247", " - ", "STORE SUPPLIES")</f>
        <v xml:space="preserve">          6247 - STORE SUPPLIES</v>
      </c>
      <c r="C130" s="10"/>
      <c r="D130" s="6"/>
      <c r="E130" s="2"/>
      <c r="F130" s="7">
        <f t="shared" si="73"/>
        <v>0</v>
      </c>
      <c r="G130" s="2"/>
      <c r="H130" s="6"/>
      <c r="I130" s="2"/>
      <c r="J130" s="7">
        <f t="shared" si="74"/>
        <v>0</v>
      </c>
      <c r="K130" s="2"/>
      <c r="L130" s="6">
        <f t="shared" si="75"/>
        <v>0</v>
      </c>
      <c r="M130" s="2"/>
      <c r="N130" s="7">
        <f t="shared" si="76"/>
        <v>0</v>
      </c>
      <c r="O130" s="10"/>
      <c r="P130" s="6"/>
      <c r="Q130" s="2"/>
      <c r="R130" s="7">
        <f t="shared" si="77"/>
        <v>0</v>
      </c>
      <c r="S130" s="2"/>
      <c r="T130" s="6">
        <v>476.32</v>
      </c>
      <c r="U130" s="2"/>
      <c r="V130" s="7">
        <f t="shared" si="78"/>
        <v>1.1081310160199517E-3</v>
      </c>
      <c r="W130" s="2"/>
      <c r="X130" s="6">
        <f t="shared" si="79"/>
        <v>-476.32</v>
      </c>
      <c r="Y130" s="2"/>
      <c r="Z130" s="7">
        <f t="shared" si="80"/>
        <v>-1</v>
      </c>
    </row>
    <row r="131" spans="1:26" s="27" customFormat="1" outlineLevel="1" collapsed="1" x14ac:dyDescent="0.25">
      <c r="A131" s="26"/>
      <c r="B131" s="12" t="str">
        <f>CONCATENATE("     ","Telephone/Data Lines                              ")</f>
        <v xml:space="preserve">     Telephone/Data Lines                              </v>
      </c>
      <c r="C131" s="12"/>
      <c r="D131" s="1">
        <f>SUM(OSRRefD22_16x_0)</f>
        <v>437.84</v>
      </c>
      <c r="E131" s="1"/>
      <c r="F131" s="5">
        <f t="shared" ref="F131:F138" si="81">IF(D$12=0,0,D131/D$12)</f>
        <v>1.3017036549022592E-2</v>
      </c>
      <c r="G131" s="1"/>
      <c r="H131" s="1">
        <f>SUM(OSRRefH22_16x_0)</f>
        <v>-210.96</v>
      </c>
      <c r="I131" s="1"/>
      <c r="J131" s="5">
        <f t="shared" ref="J131:J138" si="82">IF(H$12=0,0,H131/H$12)</f>
        <v>0</v>
      </c>
      <c r="K131" s="1"/>
      <c r="L131" s="1">
        <f t="shared" ref="L131:L138" si="83">+D131-H131</f>
        <v>648.79999999999995</v>
      </c>
      <c r="M131" s="1"/>
      <c r="N131" s="5">
        <f t="shared" ref="N131:N138" si="84">IF(H131=0,0,L131/H131)</f>
        <v>-3.0754645430413343</v>
      </c>
      <c r="O131" s="12"/>
      <c r="P131" s="1">
        <f>SUM(OSRRefP22_16x_0)</f>
        <v>3535.93</v>
      </c>
      <c r="Q131" s="1"/>
      <c r="R131" s="5">
        <f t="shared" ref="R131:R138" si="85">IF(P$12=0,0,P131/P$12)</f>
        <v>1.1062055637797854E-2</v>
      </c>
      <c r="S131" s="1"/>
      <c r="T131" s="1">
        <f>SUM(OSRRefT22_16x_0)</f>
        <v>2707.43</v>
      </c>
      <c r="U131" s="1"/>
      <c r="V131" s="5">
        <f t="shared" ref="V131:V138" si="86">IF(T$12=0,0,T131/T$12)</f>
        <v>6.2986797881737023E-3</v>
      </c>
      <c r="W131" s="1"/>
      <c r="X131" s="1">
        <f t="shared" ref="X131:X138" si="87">+P131-T131</f>
        <v>828.5</v>
      </c>
      <c r="Y131" s="1"/>
      <c r="Z131" s="5">
        <f t="shared" ref="Z131:Z138" si="88">IF(T131=0,0,X131/T131)</f>
        <v>0.30600975833170202</v>
      </c>
    </row>
    <row r="132" spans="1:26" s="23" customFormat="1" hidden="1" outlineLevel="2" x14ac:dyDescent="0.25">
      <c r="A132" s="25"/>
      <c r="B132" s="10" t="str">
        <f>CONCATENATE("          ", "6309", " - ", "TELEPHONE")</f>
        <v xml:space="preserve">          6309 - TELEPHONE</v>
      </c>
      <c r="C132" s="10"/>
      <c r="D132" s="6">
        <v>437.84</v>
      </c>
      <c r="E132" s="2"/>
      <c r="F132" s="7">
        <f t="shared" si="81"/>
        <v>1.3017036549022592E-2</v>
      </c>
      <c r="G132" s="2"/>
      <c r="H132" s="6">
        <v>-210.96</v>
      </c>
      <c r="I132" s="2"/>
      <c r="J132" s="7">
        <f t="shared" si="82"/>
        <v>0</v>
      </c>
      <c r="K132" s="2"/>
      <c r="L132" s="6">
        <f t="shared" si="83"/>
        <v>648.79999999999995</v>
      </c>
      <c r="M132" s="2"/>
      <c r="N132" s="7">
        <f t="shared" si="84"/>
        <v>-3.0754645430413343</v>
      </c>
      <c r="O132" s="10"/>
      <c r="P132" s="6">
        <v>3535.93</v>
      </c>
      <c r="Q132" s="2"/>
      <c r="R132" s="7">
        <f t="shared" si="85"/>
        <v>1.1062055637797854E-2</v>
      </c>
      <c r="S132" s="2"/>
      <c r="T132" s="6">
        <v>2707.43</v>
      </c>
      <c r="U132" s="2"/>
      <c r="V132" s="7">
        <f t="shared" si="86"/>
        <v>6.2986797881737023E-3</v>
      </c>
      <c r="W132" s="2"/>
      <c r="X132" s="6">
        <f t="shared" si="87"/>
        <v>828.5</v>
      </c>
      <c r="Y132" s="2"/>
      <c r="Z132" s="7">
        <f t="shared" si="88"/>
        <v>0.30600975833170202</v>
      </c>
    </row>
    <row r="133" spans="1:26" s="27" customFormat="1" outlineLevel="1" collapsed="1" x14ac:dyDescent="0.25">
      <c r="A133" s="26"/>
      <c r="B133" s="12" t="str">
        <f>CONCATENATE("     ","Training                                          ")</f>
        <v xml:space="preserve">     Training                                          </v>
      </c>
      <c r="C133" s="12"/>
      <c r="D133" s="1">
        <f>SUM(OSRRefD22_17x_0)</f>
        <v>0</v>
      </c>
      <c r="E133" s="1"/>
      <c r="F133" s="5">
        <f t="shared" si="81"/>
        <v>0</v>
      </c>
      <c r="G133" s="1"/>
      <c r="H133" s="1">
        <f>SUM(OSRRefH22_17x_0)</f>
        <v>0</v>
      </c>
      <c r="I133" s="1"/>
      <c r="J133" s="5">
        <f t="shared" si="82"/>
        <v>0</v>
      </c>
      <c r="K133" s="1"/>
      <c r="L133" s="1">
        <f t="shared" si="83"/>
        <v>0</v>
      </c>
      <c r="M133" s="1"/>
      <c r="N133" s="5">
        <f t="shared" si="84"/>
        <v>0</v>
      </c>
      <c r="O133" s="12"/>
      <c r="P133" s="1">
        <f>SUM(OSRRefP22_17x_0)</f>
        <v>0</v>
      </c>
      <c r="Q133" s="1"/>
      <c r="R133" s="5">
        <f t="shared" si="85"/>
        <v>0</v>
      </c>
      <c r="S133" s="1"/>
      <c r="T133" s="1">
        <f>SUM(OSRRefT22_17x_0)</f>
        <v>1613.4</v>
      </c>
      <c r="U133" s="1"/>
      <c r="V133" s="5">
        <f t="shared" si="86"/>
        <v>3.7534820734938493E-3</v>
      </c>
      <c r="W133" s="1"/>
      <c r="X133" s="1">
        <f t="shared" si="87"/>
        <v>-1613.4</v>
      </c>
      <c r="Y133" s="1"/>
      <c r="Z133" s="5">
        <f t="shared" si="88"/>
        <v>-1</v>
      </c>
    </row>
    <row r="134" spans="1:26" s="23" customFormat="1" hidden="1" outlineLevel="2" x14ac:dyDescent="0.25">
      <c r="A134" s="25"/>
      <c r="B134" s="10" t="str">
        <f>CONCATENATE("          ", "6376", " - ", "TRAINING")</f>
        <v xml:space="preserve">          6376 - TRAINING</v>
      </c>
      <c r="C134" s="10"/>
      <c r="D134" s="6"/>
      <c r="E134" s="2"/>
      <c r="F134" s="7">
        <f t="shared" si="81"/>
        <v>0</v>
      </c>
      <c r="G134" s="2"/>
      <c r="H134" s="6"/>
      <c r="I134" s="2"/>
      <c r="J134" s="7">
        <f t="shared" si="82"/>
        <v>0</v>
      </c>
      <c r="K134" s="2"/>
      <c r="L134" s="6">
        <f t="shared" si="83"/>
        <v>0</v>
      </c>
      <c r="M134" s="2"/>
      <c r="N134" s="7">
        <f t="shared" si="84"/>
        <v>0</v>
      </c>
      <c r="O134" s="10"/>
      <c r="P134" s="6"/>
      <c r="Q134" s="2"/>
      <c r="R134" s="7">
        <f t="shared" si="85"/>
        <v>0</v>
      </c>
      <c r="S134" s="2"/>
      <c r="T134" s="6">
        <v>1613.4</v>
      </c>
      <c r="U134" s="2"/>
      <c r="V134" s="7">
        <f t="shared" si="86"/>
        <v>3.7534820734938493E-3</v>
      </c>
      <c r="W134" s="2"/>
      <c r="X134" s="6">
        <f t="shared" si="87"/>
        <v>-1613.4</v>
      </c>
      <c r="Y134" s="2"/>
      <c r="Z134" s="7">
        <f t="shared" si="88"/>
        <v>-1</v>
      </c>
    </row>
    <row r="135" spans="1:26" s="27" customFormat="1" outlineLevel="1" collapsed="1" x14ac:dyDescent="0.25">
      <c r="A135" s="26"/>
      <c r="B135" s="12" t="str">
        <f>CONCATENATE("     ","Travel                                            ")</f>
        <v xml:space="preserve">     Travel                                            </v>
      </c>
      <c r="C135" s="12"/>
      <c r="D135" s="1">
        <f>SUM(OSRRefD22_18x_0)</f>
        <v>0</v>
      </c>
      <c r="E135" s="1"/>
      <c r="F135" s="5">
        <f t="shared" si="81"/>
        <v>0</v>
      </c>
      <c r="G135" s="1"/>
      <c r="H135" s="1">
        <f>SUM(OSRRefH22_18x_0)</f>
        <v>0</v>
      </c>
      <c r="I135" s="1"/>
      <c r="J135" s="5">
        <f t="shared" si="82"/>
        <v>0</v>
      </c>
      <c r="K135" s="1"/>
      <c r="L135" s="1">
        <f t="shared" si="83"/>
        <v>0</v>
      </c>
      <c r="M135" s="1"/>
      <c r="N135" s="5">
        <f t="shared" si="84"/>
        <v>0</v>
      </c>
      <c r="O135" s="12"/>
      <c r="P135" s="1">
        <f>SUM(OSRRefP22_18x_0)</f>
        <v>499.53</v>
      </c>
      <c r="Q135" s="1"/>
      <c r="R135" s="5">
        <f t="shared" si="85"/>
        <v>1.5627652845925011E-3</v>
      </c>
      <c r="S135" s="1"/>
      <c r="T135" s="1">
        <f>SUM(OSRRefT22_18x_0)</f>
        <v>712.14</v>
      </c>
      <c r="U135" s="1"/>
      <c r="V135" s="5">
        <f t="shared" si="86"/>
        <v>1.656752648951227E-3</v>
      </c>
      <c r="W135" s="1"/>
      <c r="X135" s="1">
        <f t="shared" si="87"/>
        <v>-212.61</v>
      </c>
      <c r="Y135" s="1"/>
      <c r="Z135" s="5">
        <f t="shared" si="88"/>
        <v>-0.29855084674361787</v>
      </c>
    </row>
    <row r="136" spans="1:26" s="23" customFormat="1" hidden="1" outlineLevel="2" x14ac:dyDescent="0.25">
      <c r="A136" s="25"/>
      <c r="B136" s="10" t="str">
        <f>CONCATENATE("          ", "6294", " - ", "TRAVEL OPERATIONAL")</f>
        <v xml:space="preserve">          6294 - TRAVEL OPERATIONAL</v>
      </c>
      <c r="C136" s="10"/>
      <c r="D136" s="6"/>
      <c r="E136" s="2"/>
      <c r="F136" s="7">
        <f t="shared" si="81"/>
        <v>0</v>
      </c>
      <c r="G136" s="2"/>
      <c r="H136" s="6"/>
      <c r="I136" s="2"/>
      <c r="J136" s="7">
        <f t="shared" si="82"/>
        <v>0</v>
      </c>
      <c r="K136" s="2"/>
      <c r="L136" s="6">
        <f t="shared" si="83"/>
        <v>0</v>
      </c>
      <c r="M136" s="2"/>
      <c r="N136" s="7">
        <f t="shared" si="84"/>
        <v>0</v>
      </c>
      <c r="O136" s="10"/>
      <c r="P136" s="6">
        <v>499.53</v>
      </c>
      <c r="Q136" s="2"/>
      <c r="R136" s="7">
        <f t="shared" si="85"/>
        <v>1.5627652845925011E-3</v>
      </c>
      <c r="S136" s="2"/>
      <c r="T136" s="6">
        <v>712.14</v>
      </c>
      <c r="U136" s="2"/>
      <c r="V136" s="7">
        <f t="shared" si="86"/>
        <v>1.656752648951227E-3</v>
      </c>
      <c r="W136" s="2"/>
      <c r="X136" s="6">
        <f t="shared" si="87"/>
        <v>-212.61</v>
      </c>
      <c r="Y136" s="2"/>
      <c r="Z136" s="7">
        <f t="shared" si="88"/>
        <v>-0.29855084674361787</v>
      </c>
    </row>
    <row r="137" spans="1:26" s="27" customFormat="1" outlineLevel="1" collapsed="1" x14ac:dyDescent="0.25">
      <c r="A137" s="26"/>
      <c r="B137" s="12" t="str">
        <f>CONCATENATE("     ","Utilities                                         ")</f>
        <v xml:space="preserve">     Utilities                                         </v>
      </c>
      <c r="C137" s="12"/>
      <c r="D137" s="1">
        <f>SUM(OSRRefD22_19x_0)</f>
        <v>29.94</v>
      </c>
      <c r="E137" s="1"/>
      <c r="F137" s="5">
        <f t="shared" si="81"/>
        <v>8.9011984806718536E-4</v>
      </c>
      <c r="G137" s="1"/>
      <c r="H137" s="1">
        <f>SUM(OSRRefH22_19x_0)</f>
        <v>27.8</v>
      </c>
      <c r="I137" s="1"/>
      <c r="J137" s="5">
        <f t="shared" si="82"/>
        <v>0</v>
      </c>
      <c r="K137" s="1"/>
      <c r="L137" s="1">
        <f t="shared" si="83"/>
        <v>2.1400000000000006</v>
      </c>
      <c r="M137" s="1"/>
      <c r="N137" s="5">
        <f t="shared" si="84"/>
        <v>7.6978417266187066E-2</v>
      </c>
      <c r="O137" s="12"/>
      <c r="P137" s="1">
        <f>SUM(OSRRefP22_19x_0)</f>
        <v>324.37</v>
      </c>
      <c r="Q137" s="1"/>
      <c r="R137" s="5">
        <f t="shared" si="85"/>
        <v>1.0147822460378148E-3</v>
      </c>
      <c r="S137" s="1"/>
      <c r="T137" s="1">
        <f>SUM(OSRRefT22_19x_0)</f>
        <v>2987.58</v>
      </c>
      <c r="U137" s="1"/>
      <c r="V137" s="5">
        <f t="shared" si="86"/>
        <v>6.9504326100959177E-3</v>
      </c>
      <c r="W137" s="1"/>
      <c r="X137" s="1">
        <f t="shared" si="87"/>
        <v>-2663.21</v>
      </c>
      <c r="Y137" s="1"/>
      <c r="Z137" s="5">
        <f t="shared" si="88"/>
        <v>-0.89142717517187831</v>
      </c>
    </row>
    <row r="138" spans="1:26" s="23" customFormat="1" hidden="1" outlineLevel="2" x14ac:dyDescent="0.25">
      <c r="A138" s="25"/>
      <c r="B138" s="10" t="str">
        <f>CONCATENATE("          ", "6274", " - ", "UTILITIES")</f>
        <v xml:space="preserve">          6274 - UTILITIES</v>
      </c>
      <c r="C138" s="10"/>
      <c r="D138" s="6">
        <v>29.94</v>
      </c>
      <c r="E138" s="2"/>
      <c r="F138" s="7">
        <f t="shared" si="81"/>
        <v>8.9011984806718536E-4</v>
      </c>
      <c r="G138" s="2"/>
      <c r="H138" s="6">
        <v>27.8</v>
      </c>
      <c r="I138" s="2"/>
      <c r="J138" s="7">
        <f t="shared" si="82"/>
        <v>0</v>
      </c>
      <c r="K138" s="2"/>
      <c r="L138" s="6">
        <f t="shared" si="83"/>
        <v>2.1400000000000006</v>
      </c>
      <c r="M138" s="2"/>
      <c r="N138" s="7">
        <f t="shared" si="84"/>
        <v>7.6978417266187066E-2</v>
      </c>
      <c r="O138" s="10"/>
      <c r="P138" s="6">
        <v>324.37</v>
      </c>
      <c r="Q138" s="2"/>
      <c r="R138" s="7">
        <f t="shared" si="85"/>
        <v>1.0147822460378148E-3</v>
      </c>
      <c r="S138" s="2"/>
      <c r="T138" s="6">
        <v>2987.58</v>
      </c>
      <c r="U138" s="2"/>
      <c r="V138" s="7">
        <f t="shared" si="86"/>
        <v>6.9504326100959177E-3</v>
      </c>
      <c r="W138" s="2"/>
      <c r="X138" s="6">
        <f t="shared" si="87"/>
        <v>-2663.21</v>
      </c>
      <c r="Y138" s="2"/>
      <c r="Z138" s="7">
        <f t="shared" si="88"/>
        <v>-0.89142717517187831</v>
      </c>
    </row>
    <row r="139" spans="1:26" s="52" customFormat="1" x14ac:dyDescent="0.25">
      <c r="A139" s="37"/>
      <c r="B139" s="37"/>
      <c r="C139" s="37"/>
      <c r="D139" s="1"/>
      <c r="E139" s="1"/>
      <c r="F139" s="5"/>
      <c r="G139" s="1"/>
      <c r="H139" s="1"/>
      <c r="I139" s="1"/>
      <c r="J139" s="5"/>
      <c r="K139" s="1"/>
      <c r="L139" s="1"/>
      <c r="M139" s="1"/>
      <c r="N139" s="5"/>
      <c r="O139" s="37"/>
      <c r="P139" s="1"/>
      <c r="Q139" s="1"/>
      <c r="R139" s="5"/>
      <c r="S139" s="1"/>
      <c r="T139" s="1"/>
      <c r="U139" s="1"/>
      <c r="V139" s="5"/>
      <c r="W139" s="1"/>
      <c r="X139" s="1"/>
      <c r="Y139" s="1"/>
      <c r="Z139" s="5"/>
    </row>
    <row r="140" spans="1:26" s="24" customFormat="1" x14ac:dyDescent="0.25">
      <c r="A140" s="11"/>
      <c r="B140" s="29" t="s">
        <v>292</v>
      </c>
      <c r="C140" s="11"/>
      <c r="D140" s="4">
        <f>SUM(0)</f>
        <v>0</v>
      </c>
      <c r="E140" s="4"/>
      <c r="F140" s="13">
        <f>IF(D$12=0,0,D140/D$12)</f>
        <v>0</v>
      </c>
      <c r="G140" s="4"/>
      <c r="H140" s="4">
        <f>SUM(0)</f>
        <v>0</v>
      </c>
      <c r="I140" s="4"/>
      <c r="J140" s="13">
        <f>IF(H$12=0,0,H140/H$12)</f>
        <v>0</v>
      </c>
      <c r="K140" s="4"/>
      <c r="L140" s="4">
        <f>+D140-H140</f>
        <v>0</v>
      </c>
      <c r="M140" s="4"/>
      <c r="N140" s="13">
        <f>IF(H140=0,0,L140/H140)</f>
        <v>0</v>
      </c>
      <c r="O140" s="11"/>
      <c r="P140" s="4">
        <f>SUM(0)</f>
        <v>0</v>
      </c>
      <c r="Q140" s="4"/>
      <c r="R140" s="13">
        <f>IF(P$12=0,0,P140/P$12)</f>
        <v>0</v>
      </c>
      <c r="S140" s="4"/>
      <c r="T140" s="4">
        <f>SUM(0)</f>
        <v>0</v>
      </c>
      <c r="U140" s="4"/>
      <c r="V140" s="13">
        <f>IF(T$12=0,0,T140/T$12)</f>
        <v>0</v>
      </c>
      <c r="W140" s="4"/>
      <c r="X140" s="4">
        <f>+P140-T140</f>
        <v>0</v>
      </c>
      <c r="Y140" s="4"/>
      <c r="Z140" s="13">
        <f>IF(T140=0,0,X140/T140)</f>
        <v>0</v>
      </c>
    </row>
    <row r="141" spans="1:26" x14ac:dyDescent="0.25">
      <c r="A141" s="9"/>
      <c r="B141" s="11"/>
      <c r="C141" s="11"/>
      <c r="D141" s="3"/>
      <c r="E141" s="3"/>
      <c r="F141" s="8"/>
      <c r="G141" s="3"/>
      <c r="H141" s="3"/>
      <c r="I141" s="3"/>
      <c r="J141" s="8"/>
      <c r="K141" s="3"/>
      <c r="L141" s="3"/>
      <c r="M141" s="3"/>
      <c r="N141" s="8"/>
      <c r="O141" s="11"/>
      <c r="P141" s="3"/>
      <c r="Q141" s="3"/>
      <c r="R141" s="8"/>
      <c r="S141" s="3"/>
      <c r="T141" s="3"/>
      <c r="U141" s="3"/>
      <c r="V141" s="8"/>
      <c r="W141" s="3"/>
      <c r="X141" s="3"/>
      <c r="Y141" s="3"/>
      <c r="Z141" s="8"/>
    </row>
    <row r="142" spans="1:26" s="24" customFormat="1" x14ac:dyDescent="0.25">
      <c r="A142" s="11"/>
      <c r="B142" s="28" t="s">
        <v>276</v>
      </c>
      <c r="C142" s="28"/>
      <c r="D142" s="21">
        <f>+D61-D63+D140</f>
        <v>122745.68</v>
      </c>
      <c r="E142" s="14"/>
      <c r="F142" s="22">
        <f>IF(D$12=0,0,D142/D$12)</f>
        <v>3.6492440224617018</v>
      </c>
      <c r="G142" s="14"/>
      <c r="H142" s="21">
        <f>+H61-H63+H140</f>
        <v>-96693.02</v>
      </c>
      <c r="I142" s="14"/>
      <c r="J142" s="22">
        <f>IF(H$12=0,0,H142/H$12)</f>
        <v>0</v>
      </c>
      <c r="K142" s="15"/>
      <c r="L142" s="21">
        <f>+D142-H142</f>
        <v>219438.7</v>
      </c>
      <c r="M142" s="15"/>
      <c r="N142" s="22">
        <f>IF(H142=0,0,L142/H142)</f>
        <v>-2.2694368218098888</v>
      </c>
      <c r="O142" s="29"/>
      <c r="P142" s="21">
        <f>+P61-P63+P140</f>
        <v>41485.159999999887</v>
      </c>
      <c r="Q142" s="14"/>
      <c r="R142" s="22">
        <f>IF(P$12=0,0,P142/P$12)</f>
        <v>0.12978513377327741</v>
      </c>
      <c r="S142" s="14"/>
      <c r="T142" s="21">
        <f>+T61-T63+T140</f>
        <v>-170183.94000000009</v>
      </c>
      <c r="U142" s="14"/>
      <c r="V142" s="22">
        <f>IF(T$12=0,0,T142/T$12)</f>
        <v>-0.39592312382952344</v>
      </c>
      <c r="W142" s="15"/>
      <c r="X142" s="21">
        <f>+P142-T142</f>
        <v>211669.09999999998</v>
      </c>
      <c r="Y142" s="15"/>
      <c r="Z142" s="22">
        <f>IF(T142=0,0,X142/T142)</f>
        <v>-1.2437665974826995</v>
      </c>
    </row>
    <row r="143" spans="1:26" x14ac:dyDescent="0.25">
      <c r="A143" s="9"/>
      <c r="B143" s="11"/>
      <c r="C143" s="9"/>
      <c r="D143" s="3"/>
      <c r="E143" s="3"/>
      <c r="F143" s="8"/>
      <c r="G143" s="3"/>
      <c r="H143" s="3"/>
      <c r="I143" s="3"/>
      <c r="J143" s="8"/>
      <c r="K143" s="3"/>
      <c r="L143" s="3"/>
      <c r="M143" s="3"/>
      <c r="N143" s="8"/>
      <c r="P143" s="3"/>
      <c r="Q143" s="3"/>
      <c r="R143" s="8"/>
      <c r="S143" s="3"/>
      <c r="T143" s="3"/>
      <c r="U143" s="3"/>
      <c r="V143" s="8"/>
      <c r="W143" s="3"/>
      <c r="X143" s="3"/>
      <c r="Y143" s="3"/>
      <c r="Z143" s="8"/>
    </row>
    <row r="144" spans="1:26" s="24" customFormat="1" x14ac:dyDescent="0.25">
      <c r="A144" s="51"/>
      <c r="B144" s="11" t="s">
        <v>127</v>
      </c>
      <c r="C144" s="11"/>
      <c r="D144" s="4">
        <v>27358.6</v>
      </c>
      <c r="E144" s="4"/>
      <c r="F144" s="13">
        <f>IF(D$12=0,0,D144/D$12)</f>
        <v>0.81337451153409812</v>
      </c>
      <c r="G144" s="4"/>
      <c r="H144" s="4">
        <v>14185.63</v>
      </c>
      <c r="I144" s="4"/>
      <c r="J144" s="13">
        <f>IF(H$12=0,0,H144/H$12)</f>
        <v>0</v>
      </c>
      <c r="K144" s="4"/>
      <c r="L144" s="4">
        <f>+D144-H144</f>
        <v>13172.97</v>
      </c>
      <c r="M144" s="4"/>
      <c r="N144" s="13">
        <f>IF(H144=0,0,L144/H144)</f>
        <v>0.92861367454247712</v>
      </c>
      <c r="O144" s="11"/>
      <c r="P144" s="4">
        <v>88476.01</v>
      </c>
      <c r="Q144" s="4"/>
      <c r="R144" s="13">
        <f>IF(P$12=0,0,P144/P$12)</f>
        <v>0.27679466087574112</v>
      </c>
      <c r="S144" s="4"/>
      <c r="T144" s="4">
        <v>65087.63</v>
      </c>
      <c r="U144" s="4"/>
      <c r="V144" s="13">
        <f>IF(T$12=0,0,T144/T$12)</f>
        <v>0.1514226183284991</v>
      </c>
      <c r="W144" s="4"/>
      <c r="X144" s="4">
        <f>+P144-T144</f>
        <v>23388.379999999997</v>
      </c>
      <c r="Y144" s="4"/>
      <c r="Z144" s="13">
        <f>IF(T144=0,0,X144/T144)</f>
        <v>0.35933678949440928</v>
      </c>
    </row>
    <row r="145" spans="1:26" x14ac:dyDescent="0.25">
      <c r="A145" s="9"/>
      <c r="B145" s="11"/>
      <c r="C145" s="11"/>
      <c r="D145" s="3"/>
      <c r="E145" s="3"/>
      <c r="F145" s="8"/>
      <c r="G145" s="3"/>
      <c r="H145" s="3"/>
      <c r="I145" s="3"/>
      <c r="J145" s="8"/>
      <c r="K145" s="3"/>
      <c r="L145" s="3"/>
      <c r="M145" s="3"/>
      <c r="N145" s="8"/>
      <c r="O145" s="11"/>
      <c r="P145" s="3"/>
      <c r="Q145" s="3"/>
      <c r="R145" s="8"/>
      <c r="S145" s="3"/>
      <c r="T145" s="3"/>
      <c r="U145" s="3"/>
      <c r="V145" s="8"/>
      <c r="W145" s="3"/>
      <c r="X145" s="3"/>
      <c r="Y145" s="3"/>
      <c r="Z145" s="8"/>
    </row>
    <row r="146" spans="1:26" s="24" customFormat="1" ht="15.75" thickBot="1" x14ac:dyDescent="0.3">
      <c r="A146" s="11"/>
      <c r="B146" s="28" t="s">
        <v>125</v>
      </c>
      <c r="C146" s="28"/>
      <c r="D146" s="34">
        <f>+D142-D144</f>
        <v>95387.079999999987</v>
      </c>
      <c r="E146" s="14"/>
      <c r="F146" s="31">
        <f>IF(D$12=0,0,D146/D$12)</f>
        <v>2.8358695109276035</v>
      </c>
      <c r="G146" s="14"/>
      <c r="H146" s="34">
        <f>+H142-H144</f>
        <v>-110878.65000000001</v>
      </c>
      <c r="I146" s="14"/>
      <c r="J146" s="31">
        <f>IF(H$12=0,0,H146/H$12)</f>
        <v>0</v>
      </c>
      <c r="K146" s="15"/>
      <c r="L146" s="34">
        <f>D146-H146</f>
        <v>206265.72999999998</v>
      </c>
      <c r="M146" s="15"/>
      <c r="N146" s="31">
        <f>IF(H146=0,0,L146/H146)</f>
        <v>-1.8602835622547711</v>
      </c>
      <c r="O146" s="29"/>
      <c r="P146" s="34">
        <f>+P142-P144</f>
        <v>-46990.850000000108</v>
      </c>
      <c r="Q146" s="14"/>
      <c r="R146" s="31">
        <f>IF(P$12=0,0,P146/P$12)</f>
        <v>-0.14700952710246371</v>
      </c>
      <c r="S146" s="14"/>
      <c r="T146" s="34">
        <f>+T142-T144</f>
        <v>-235271.57000000009</v>
      </c>
      <c r="U146" s="14"/>
      <c r="V146" s="31">
        <f>IF(T$12=0,0,T146/T$12)</f>
        <v>-0.54734574215802256</v>
      </c>
      <c r="W146" s="15"/>
      <c r="X146" s="34">
        <f>P146-T146</f>
        <v>188280.71999999997</v>
      </c>
      <c r="Y146" s="15"/>
      <c r="Z146" s="31">
        <f>IF(T146=0,0,X146/T146)</f>
        <v>-0.80026974784926164</v>
      </c>
    </row>
    <row r="147" spans="1:26" ht="15.75" thickTop="1" x14ac:dyDescent="0.25">
      <c r="A147" s="9"/>
      <c r="B147" s="9"/>
      <c r="C147" s="9"/>
      <c r="D147" s="3"/>
      <c r="E147" s="3"/>
      <c r="F147" s="8"/>
      <c r="G147" s="3"/>
      <c r="H147" s="3"/>
      <c r="I147" s="3"/>
      <c r="J147" s="8"/>
      <c r="K147" s="3"/>
      <c r="L147" s="3"/>
      <c r="M147" s="3"/>
      <c r="N147" s="8"/>
      <c r="P147" s="3"/>
      <c r="Q147" s="3"/>
      <c r="R147" s="8"/>
      <c r="S147" s="3"/>
      <c r="T147" s="3"/>
      <c r="U147" s="3"/>
      <c r="V147" s="8"/>
      <c r="W147" s="3"/>
      <c r="X147" s="3"/>
      <c r="Y147" s="3"/>
      <c r="Z147" s="8"/>
    </row>
    <row r="148" spans="1:26" x14ac:dyDescent="0.25">
      <c r="A148" s="9"/>
      <c r="B148" s="9"/>
      <c r="C148" s="9"/>
      <c r="D148" s="3"/>
      <c r="E148" s="3"/>
      <c r="F148" s="8"/>
      <c r="G148" s="3"/>
      <c r="H148" s="3"/>
      <c r="I148" s="3"/>
      <c r="J148" s="8"/>
      <c r="K148" s="3"/>
      <c r="L148" s="3"/>
      <c r="M148" s="3"/>
      <c r="N148" s="8"/>
      <c r="P148" s="3"/>
      <c r="Q148" s="3"/>
      <c r="R148" s="8"/>
      <c r="S148" s="3"/>
      <c r="T148" s="3"/>
      <c r="U148" s="3"/>
      <c r="V148" s="8"/>
      <c r="W148" s="3"/>
      <c r="X148" s="3"/>
      <c r="Y148" s="3"/>
      <c r="Z148" s="8"/>
    </row>
    <row r="149" spans="1:26" s="24" customFormat="1" ht="15.75" thickBot="1" x14ac:dyDescent="0.3">
      <c r="A149" s="11"/>
      <c r="B149" s="28" t="s">
        <v>293</v>
      </c>
      <c r="C149" s="28"/>
      <c r="D149" s="33">
        <f>SUM(D146:D148)</f>
        <v>95387.079999999987</v>
      </c>
      <c r="E149" s="14"/>
      <c r="F149" s="35">
        <f>IF(D$12=0,0,D149/D$12)</f>
        <v>2.8358695109276035</v>
      </c>
      <c r="G149" s="14"/>
      <c r="H149" s="33">
        <f>SUM(H146:H148)</f>
        <v>-110878.65000000001</v>
      </c>
      <c r="I149" s="14"/>
      <c r="J149" s="35">
        <f>IF(H$12=0,0,H149/H$12)</f>
        <v>0</v>
      </c>
      <c r="K149" s="15"/>
      <c r="L149" s="33">
        <f>+D149-H149</f>
        <v>206265.72999999998</v>
      </c>
      <c r="M149" s="15"/>
      <c r="N149" s="35">
        <f>IF(H149=0,0,L149/H149)</f>
        <v>-1.8602835622547711</v>
      </c>
      <c r="O149" s="29"/>
      <c r="P149" s="33">
        <f>SUM(P146:P148)</f>
        <v>-46990.850000000108</v>
      </c>
      <c r="Q149" s="14"/>
      <c r="R149" s="35">
        <f>IF(P$12=0,0,P149/P$12)</f>
        <v>-0.14700952710246371</v>
      </c>
      <c r="S149" s="14"/>
      <c r="T149" s="33">
        <f>SUM(T146:T148)</f>
        <v>-235271.57000000009</v>
      </c>
      <c r="U149" s="14"/>
      <c r="V149" s="35">
        <f>IF(T$12=0,0,T149/T$12)</f>
        <v>-0.54734574215802256</v>
      </c>
      <c r="W149" s="15"/>
      <c r="X149" s="33">
        <f>+P149-T149</f>
        <v>188280.71999999997</v>
      </c>
      <c r="Y149" s="15"/>
      <c r="Z149" s="35">
        <f>IF(T149=0,0,X149/T149)</f>
        <v>-0.80026974784926164</v>
      </c>
    </row>
    <row r="150" spans="1:26" ht="15.75" thickTop="1" x14ac:dyDescent="0.25">
      <c r="A150" s="9"/>
      <c r="C150" s="9"/>
      <c r="D150" s="18"/>
      <c r="E150" s="18"/>
      <c r="G150" s="18"/>
      <c r="H150" s="18"/>
      <c r="I150" s="18"/>
      <c r="J150" s="43"/>
      <c r="K150" s="18"/>
      <c r="L150" s="18"/>
      <c r="M150" s="18"/>
      <c r="P150" s="18"/>
      <c r="Q150" s="18"/>
      <c r="R150" s="43"/>
      <c r="S150" s="18"/>
      <c r="T150" s="18"/>
      <c r="U150" s="18"/>
      <c r="V150" s="43"/>
      <c r="W150" s="18"/>
      <c r="X150" s="18"/>
    </row>
    <row r="151" spans="1:26" x14ac:dyDescent="0.25">
      <c r="A151" s="9"/>
      <c r="B151" s="56">
        <v>44454.698585613427</v>
      </c>
      <c r="D151" s="18"/>
      <c r="E151" s="18"/>
      <c r="G151" s="18"/>
      <c r="H151" s="18"/>
      <c r="I151" s="18"/>
      <c r="J151" s="43"/>
      <c r="K151" s="18"/>
      <c r="L151" s="18"/>
      <c r="M151" s="18"/>
      <c r="P151" s="18"/>
      <c r="Q151" s="18"/>
      <c r="R151" s="43"/>
      <c r="S151" s="18"/>
      <c r="T151" s="18"/>
      <c r="U151" s="18"/>
      <c r="V151" s="43"/>
      <c r="W151" s="18"/>
      <c r="X151" s="18"/>
    </row>
    <row r="152" spans="1:26" x14ac:dyDescent="0.25">
      <c r="A152" s="9"/>
      <c r="B152" s="55" t="s">
        <v>56</v>
      </c>
      <c r="D152" s="18"/>
      <c r="E152" s="18"/>
      <c r="G152" s="18"/>
      <c r="H152" s="18"/>
      <c r="I152" s="18"/>
      <c r="J152" s="43"/>
      <c r="K152" s="18"/>
      <c r="L152" s="18"/>
      <c r="M152" s="18"/>
      <c r="P152" s="18"/>
      <c r="Q152" s="18"/>
      <c r="R152" s="43"/>
      <c r="S152" s="18"/>
      <c r="T152" s="18"/>
      <c r="U152" s="18"/>
      <c r="V152" s="43"/>
      <c r="W152" s="18"/>
      <c r="X152" s="18"/>
    </row>
    <row r="153" spans="1:26" x14ac:dyDescent="0.25">
      <c r="A153" s="9"/>
      <c r="B153" s="60"/>
      <c r="D153" s="18"/>
      <c r="E153" s="18"/>
      <c r="G153" s="18"/>
      <c r="H153" s="18"/>
      <c r="I153" s="18"/>
      <c r="J153" s="43"/>
      <c r="K153" s="18"/>
      <c r="L153" s="18"/>
      <c r="M153" s="18"/>
      <c r="P153" s="18"/>
      <c r="Q153" s="18"/>
      <c r="R153" s="43"/>
      <c r="S153" s="18"/>
      <c r="T153" s="18"/>
      <c r="U153" s="18"/>
      <c r="V153" s="43"/>
      <c r="W153" s="18"/>
      <c r="X153" s="18"/>
    </row>
    <row r="154" spans="1:26" x14ac:dyDescent="0.25">
      <c r="D154" s="18"/>
      <c r="E154" s="18"/>
      <c r="G154" s="18"/>
      <c r="H154" s="18"/>
      <c r="I154" s="18"/>
      <c r="J154" s="43"/>
      <c r="K154" s="18"/>
      <c r="L154" s="18"/>
      <c r="M154" s="18"/>
      <c r="P154" s="18"/>
      <c r="Q154" s="18"/>
      <c r="R154" s="43"/>
      <c r="S154" s="18"/>
      <c r="T154" s="18"/>
      <c r="U154" s="18"/>
      <c r="V154" s="43"/>
      <c r="W154" s="18"/>
      <c r="X154" s="18"/>
    </row>
  </sheetData>
  <pageMargins left="0.25" right="0.25" top="0.75" bottom="0.75" header="0.3" footer="0.3"/>
  <pageSetup scale="55" fitToWidth="2" orientation="landscape"/>
  <drawing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>
    <tabColor rgb="FF92D050"/>
    <outlinePr summaryBelow="0" summaryRight="0"/>
  </sheetPr>
  <dimension ref="A2:Z43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62" t="s">
        <v>23</v>
      </c>
    </row>
    <row r="3" spans="1:26" x14ac:dyDescent="0.25">
      <c r="D3" s="62" t="s">
        <v>236</v>
      </c>
      <c r="E3" s="17"/>
      <c r="F3" s="46"/>
      <c r="G3" s="17"/>
      <c r="H3" s="17"/>
      <c r="I3" s="17"/>
      <c r="J3" s="38"/>
      <c r="K3" s="17"/>
      <c r="L3" s="17"/>
      <c r="M3" s="17"/>
      <c r="N3" s="46"/>
      <c r="O3" s="53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2" t="str">
        <f>CONCATENATE("Period ",RIGHT(202112,2),", ",2021)</f>
        <v>Period 12, 2021</v>
      </c>
      <c r="E4" s="17"/>
      <c r="F4" s="46"/>
      <c r="G4" s="17"/>
      <c r="H4" s="17"/>
      <c r="I4" s="17"/>
      <c r="J4" s="38"/>
      <c r="K4" s="17"/>
      <c r="L4" s="17"/>
      <c r="M4" s="17"/>
      <c r="N4" s="46"/>
      <c r="O4" s="53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4"/>
      <c r="D5" s="63">
        <v>44377</v>
      </c>
      <c r="E5" s="17"/>
      <c r="F5" s="46"/>
      <c r="G5" s="17"/>
      <c r="H5" s="17"/>
      <c r="I5" s="17"/>
      <c r="J5" s="38"/>
      <c r="K5" s="17"/>
      <c r="L5" s="17"/>
      <c r="M5" s="17"/>
      <c r="N5" s="46"/>
      <c r="O5" s="53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4"/>
      <c r="B6" s="48"/>
      <c r="C6" s="48"/>
      <c r="D6" s="24" t="str">
        <f>CONCATENATE("Department ","327", " - ", "C-Store Vending Machine(s)")</f>
        <v>Department 327 - C-Store Vending Machine(s)</v>
      </c>
      <c r="E6" s="17"/>
      <c r="F6" s="46"/>
      <c r="G6" s="17"/>
      <c r="H6" s="17"/>
      <c r="I6" s="17"/>
      <c r="J6" s="38"/>
      <c r="K6" s="17"/>
      <c r="L6" s="17"/>
      <c r="M6" s="17"/>
      <c r="N6" s="46"/>
      <c r="O6" s="54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9"/>
    </row>
    <row r="8" spans="1:26" x14ac:dyDescent="0.25">
      <c r="B8" s="59"/>
    </row>
    <row r="9" spans="1:26" x14ac:dyDescent="0.25">
      <c r="B9" s="9"/>
      <c r="C9" s="9"/>
      <c r="D9" s="16" t="s">
        <v>291</v>
      </c>
      <c r="E9" s="16"/>
      <c r="F9" s="39"/>
      <c r="G9" s="16"/>
      <c r="H9" s="16"/>
      <c r="I9" s="16"/>
      <c r="J9" s="49"/>
      <c r="K9" s="16"/>
      <c r="L9" s="16"/>
      <c r="M9" s="16"/>
      <c r="N9" s="39"/>
      <c r="P9" s="16" t="s">
        <v>39</v>
      </c>
      <c r="Q9" s="16"/>
      <c r="R9" s="39"/>
      <c r="S9" s="16"/>
      <c r="T9" s="16"/>
      <c r="U9" s="16"/>
      <c r="V9" s="49"/>
      <c r="W9" s="16"/>
      <c r="X9" s="16"/>
      <c r="Y9" s="16"/>
      <c r="Z9" s="39"/>
    </row>
    <row r="10" spans="1:26" x14ac:dyDescent="0.25">
      <c r="A10" s="11"/>
      <c r="B10" s="58"/>
      <c r="C10" s="11"/>
      <c r="D10" s="42" t="s">
        <v>57</v>
      </c>
      <c r="E10" s="36"/>
      <c r="F10" s="30" t="s">
        <v>40</v>
      </c>
      <c r="G10" s="36"/>
      <c r="H10" s="50" t="s">
        <v>237</v>
      </c>
      <c r="I10" s="36"/>
      <c r="J10" s="30" t="s">
        <v>40</v>
      </c>
      <c r="K10" s="11"/>
      <c r="L10" s="42" t="s">
        <v>126</v>
      </c>
      <c r="M10" s="11"/>
      <c r="N10" s="30" t="s">
        <v>257</v>
      </c>
      <c r="O10" s="11"/>
      <c r="P10" s="61" t="s">
        <v>57</v>
      </c>
      <c r="Q10" s="36"/>
      <c r="R10" s="30" t="s">
        <v>40</v>
      </c>
      <c r="S10" s="36"/>
      <c r="T10" s="50" t="s">
        <v>237</v>
      </c>
      <c r="U10" s="36"/>
      <c r="V10" s="30" t="s">
        <v>40</v>
      </c>
      <c r="W10" s="11"/>
      <c r="X10" s="42" t="s">
        <v>126</v>
      </c>
      <c r="Y10" s="11"/>
      <c r="Z10" s="30" t="s">
        <v>257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4" customFormat="1" collapsed="1" x14ac:dyDescent="0.25">
      <c r="A12" s="11"/>
      <c r="B12" s="29" t="s">
        <v>139</v>
      </c>
      <c r="C12" s="11"/>
      <c r="D12" s="4">
        <f>SUM(OSRRefD13x_0)</f>
        <v>34.049999999999997</v>
      </c>
      <c r="E12" s="4"/>
      <c r="F12" s="13"/>
      <c r="G12" s="4"/>
      <c r="H12" s="4">
        <f>SUM(OSRRefH13x_0)</f>
        <v>0</v>
      </c>
      <c r="I12" s="4"/>
      <c r="J12" s="13"/>
      <c r="K12" s="4"/>
      <c r="L12" s="4">
        <f t="shared" ref="L12:L13" si="0">+D12-H12</f>
        <v>34.049999999999997</v>
      </c>
      <c r="M12" s="4"/>
      <c r="N12" s="13">
        <f t="shared" ref="N12:N13" si="1">IF(H12=0,0,L12/H12)</f>
        <v>0</v>
      </c>
      <c r="O12" s="11"/>
      <c r="P12" s="4">
        <f>SUM(OSRRefP13x_0)</f>
        <v>434.5</v>
      </c>
      <c r="Q12" s="4"/>
      <c r="R12" s="13"/>
      <c r="S12" s="4"/>
      <c r="T12" s="4">
        <f>SUM(OSRRefT13x_0)</f>
        <v>12812.5</v>
      </c>
      <c r="U12" s="4"/>
      <c r="V12" s="13"/>
      <c r="W12" s="4"/>
      <c r="X12" s="4">
        <f t="shared" ref="X12:X13" si="2">+P12-T12</f>
        <v>-12378</v>
      </c>
      <c r="Y12" s="4"/>
      <c r="Z12" s="13">
        <f t="shared" ref="Z12:Z13" si="3">IF(T12=0,0,X12/T12)</f>
        <v>-0.96608780487804879</v>
      </c>
    </row>
    <row r="13" spans="1:26" s="23" customFormat="1" hidden="1" outlineLevel="1" x14ac:dyDescent="0.25">
      <c r="A13" s="44"/>
      <c r="B13" s="10" t="str">
        <f>CONCATENATE("          ", "4153", " - ", "NON-TAXABLE SALES-FOOD")</f>
        <v xml:space="preserve">          4153 - NON-TAXABLE SALES-FOOD</v>
      </c>
      <c r="C13" s="10"/>
      <c r="D13" s="2">
        <f>--34.05</f>
        <v>34.049999999999997</v>
      </c>
      <c r="E13" s="2"/>
      <c r="F13" s="19"/>
      <c r="G13" s="2"/>
      <c r="H13" s="2">
        <f>0</f>
        <v>0</v>
      </c>
      <c r="I13" s="2"/>
      <c r="J13" s="19"/>
      <c r="K13" s="2"/>
      <c r="L13" s="2">
        <f t="shared" si="0"/>
        <v>34.049999999999997</v>
      </c>
      <c r="M13" s="2"/>
      <c r="N13" s="19">
        <f t="shared" si="1"/>
        <v>0</v>
      </c>
      <c r="O13" s="10"/>
      <c r="P13" s="2">
        <f>--434.5</f>
        <v>434.5</v>
      </c>
      <c r="Q13" s="2"/>
      <c r="R13" s="19"/>
      <c r="S13" s="2"/>
      <c r="T13" s="2">
        <f>--12812.5</f>
        <v>12812.5</v>
      </c>
      <c r="U13" s="2"/>
      <c r="V13" s="19"/>
      <c r="W13" s="2"/>
      <c r="X13" s="2">
        <f t="shared" si="2"/>
        <v>-12378</v>
      </c>
      <c r="Y13" s="2"/>
      <c r="Z13" s="19">
        <f t="shared" si="3"/>
        <v>-0.96608780487804879</v>
      </c>
    </row>
    <row r="14" spans="1:26" x14ac:dyDescent="0.25">
      <c r="A14" s="9"/>
      <c r="B14" s="11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4" customFormat="1" collapsed="1" x14ac:dyDescent="0.25">
      <c r="A15" s="11"/>
      <c r="B15" s="29" t="s">
        <v>256</v>
      </c>
      <c r="C15" s="11"/>
      <c r="D15" s="4">
        <f>SUM(OSRRefD16x_0)</f>
        <v>1060.92</v>
      </c>
      <c r="E15" s="4"/>
      <c r="F15" s="13">
        <f t="shared" ref="F15:F17" si="4">IF(D$12=0,0,D15/D$12)</f>
        <v>31.157709251101327</v>
      </c>
      <c r="G15" s="4"/>
      <c r="H15" s="4">
        <f>SUM(OSRRefH16x_0)</f>
        <v>0</v>
      </c>
      <c r="I15" s="4"/>
      <c r="J15" s="13">
        <f t="shared" ref="J15:J17" si="5">IF(H$12=0,0,H15/H$12)</f>
        <v>0</v>
      </c>
      <c r="K15" s="4"/>
      <c r="L15" s="4">
        <f t="shared" ref="L15:L17" si="6">+D15-H15</f>
        <v>1060.92</v>
      </c>
      <c r="M15" s="4"/>
      <c r="N15" s="13">
        <f t="shared" ref="N15:N17" si="7">IF(H15=0,0,L15/H15)</f>
        <v>0</v>
      </c>
      <c r="O15" s="11"/>
      <c r="P15" s="4">
        <f>SUM(OSRRefP16x_0)</f>
        <v>713.91000000000008</v>
      </c>
      <c r="Q15" s="4"/>
      <c r="R15" s="13">
        <f t="shared" ref="R15:R17" si="8">IF(P$12=0,0,P15/P$12)</f>
        <v>1.6430609896432684</v>
      </c>
      <c r="S15" s="4"/>
      <c r="T15" s="4">
        <f>SUM(OSRRefT16x_0)</f>
        <v>3256.12</v>
      </c>
      <c r="U15" s="4"/>
      <c r="V15" s="13">
        <f t="shared" ref="V15:V17" si="9">IF(T$12=0,0,T15/T$12)</f>
        <v>0.25413619512195124</v>
      </c>
      <c r="W15" s="4"/>
      <c r="X15" s="4">
        <f t="shared" ref="X15:X17" si="10">+P15-T15</f>
        <v>-2542.21</v>
      </c>
      <c r="Y15" s="4"/>
      <c r="Z15" s="13">
        <f t="shared" ref="Z15:Z17" si="11">IF(T15=0,0,X15/T15)</f>
        <v>-0.78074825252140589</v>
      </c>
    </row>
    <row r="16" spans="1:26" s="23" customFormat="1" hidden="1" outlineLevel="1" x14ac:dyDescent="0.25">
      <c r="A16" s="44"/>
      <c r="B16" s="10" t="str">
        <f>CONCATENATE("          ", "5053", " - ", "PURCHASES @ COST-FOOD")</f>
        <v xml:space="preserve">          5053 - PURCHASES @ COST-FOOD</v>
      </c>
      <c r="C16" s="10"/>
      <c r="D16" s="2">
        <v>1060.92</v>
      </c>
      <c r="E16" s="2"/>
      <c r="F16" s="19">
        <f t="shared" si="4"/>
        <v>31.157709251101327</v>
      </c>
      <c r="G16" s="2"/>
      <c r="H16" s="2"/>
      <c r="I16" s="2"/>
      <c r="J16" s="19">
        <f t="shared" si="5"/>
        <v>0</v>
      </c>
      <c r="K16" s="2"/>
      <c r="L16" s="2">
        <f t="shared" si="6"/>
        <v>1060.92</v>
      </c>
      <c r="M16" s="2"/>
      <c r="N16" s="19">
        <f t="shared" si="7"/>
        <v>0</v>
      </c>
      <c r="O16" s="10"/>
      <c r="P16" s="2">
        <v>1031.92</v>
      </c>
      <c r="Q16" s="2"/>
      <c r="R16" s="19">
        <f t="shared" si="8"/>
        <v>2.3749597238204836</v>
      </c>
      <c r="S16" s="2"/>
      <c r="T16" s="2"/>
      <c r="U16" s="2"/>
      <c r="V16" s="19">
        <f t="shared" si="9"/>
        <v>0</v>
      </c>
      <c r="W16" s="2"/>
      <c r="X16" s="2">
        <f t="shared" si="10"/>
        <v>1031.92</v>
      </c>
      <c r="Y16" s="2"/>
      <c r="Z16" s="19">
        <f t="shared" si="11"/>
        <v>0</v>
      </c>
    </row>
    <row r="17" spans="1:26" s="23" customFormat="1" hidden="1" outlineLevel="1" x14ac:dyDescent="0.25">
      <c r="A17" s="44"/>
      <c r="B17" s="10" t="str">
        <f>CONCATENATE("          ", "5059", " - ", "PURCHASES @ COST-FOOD")</f>
        <v xml:space="preserve">          5059 - PURCHASES @ COST-FOOD</v>
      </c>
      <c r="C17" s="10"/>
      <c r="D17" s="2"/>
      <c r="E17" s="2"/>
      <c r="F17" s="19">
        <f t="shared" si="4"/>
        <v>0</v>
      </c>
      <c r="G17" s="2"/>
      <c r="H17" s="2"/>
      <c r="I17" s="2"/>
      <c r="J17" s="19">
        <f t="shared" si="5"/>
        <v>0</v>
      </c>
      <c r="K17" s="2"/>
      <c r="L17" s="2">
        <f t="shared" si="6"/>
        <v>0</v>
      </c>
      <c r="M17" s="2"/>
      <c r="N17" s="19">
        <f t="shared" si="7"/>
        <v>0</v>
      </c>
      <c r="O17" s="10"/>
      <c r="P17" s="2">
        <v>-318.01</v>
      </c>
      <c r="Q17" s="2"/>
      <c r="R17" s="19">
        <f t="shared" si="8"/>
        <v>-0.73189873417721518</v>
      </c>
      <c r="S17" s="2"/>
      <c r="T17" s="2">
        <v>3256.12</v>
      </c>
      <c r="U17" s="2"/>
      <c r="V17" s="19">
        <f t="shared" si="9"/>
        <v>0.25413619512195124</v>
      </c>
      <c r="W17" s="2"/>
      <c r="X17" s="2">
        <f t="shared" si="10"/>
        <v>-3574.13</v>
      </c>
      <c r="Y17" s="2"/>
      <c r="Z17" s="19">
        <f t="shared" si="11"/>
        <v>-1.0976653194599708</v>
      </c>
    </row>
    <row r="18" spans="1:26" x14ac:dyDescent="0.25">
      <c r="A18" s="9"/>
      <c r="B18" s="11"/>
      <c r="C18" s="11"/>
      <c r="D18" s="3"/>
      <c r="E18" s="3"/>
      <c r="F18" s="8"/>
      <c r="G18" s="3"/>
      <c r="H18" s="3"/>
      <c r="I18" s="3"/>
      <c r="J18" s="8"/>
      <c r="K18" s="3"/>
      <c r="L18" s="3"/>
      <c r="M18" s="3"/>
      <c r="N18" s="8"/>
      <c r="O18" s="11"/>
      <c r="P18" s="3"/>
      <c r="Q18" s="3"/>
      <c r="R18" s="8"/>
      <c r="S18" s="3"/>
      <c r="T18" s="3"/>
      <c r="U18" s="3"/>
      <c r="V18" s="8"/>
      <c r="W18" s="3"/>
      <c r="X18" s="3"/>
      <c r="Y18" s="3"/>
      <c r="Z18" s="8"/>
    </row>
    <row r="19" spans="1:26" s="24" customFormat="1" x14ac:dyDescent="0.25">
      <c r="A19" s="11"/>
      <c r="B19" s="28" t="s">
        <v>107</v>
      </c>
      <c r="C19" s="28"/>
      <c r="D19" s="21">
        <f>D12-D15</f>
        <v>-1026.8700000000001</v>
      </c>
      <c r="E19" s="14"/>
      <c r="F19" s="22">
        <f>IF(D$12=0,0,D19/D$12)</f>
        <v>-30.157709251101327</v>
      </c>
      <c r="G19" s="14"/>
      <c r="H19" s="21">
        <f>H12-H15</f>
        <v>0</v>
      </c>
      <c r="I19" s="14"/>
      <c r="J19" s="22">
        <f>IF(H$12=0,0,H19/H$12)</f>
        <v>0</v>
      </c>
      <c r="K19" s="15"/>
      <c r="L19" s="21">
        <f>+D19-H19</f>
        <v>-1026.8700000000001</v>
      </c>
      <c r="M19" s="15"/>
      <c r="N19" s="22">
        <f>IF(H19=0,0,L19/H19)</f>
        <v>0</v>
      </c>
      <c r="O19" s="29"/>
      <c r="P19" s="21">
        <f>P12-P15</f>
        <v>-279.41000000000008</v>
      </c>
      <c r="Q19" s="14"/>
      <c r="R19" s="22">
        <f>IF(P$12=0,0,P19/P$12)</f>
        <v>-0.6430609896432683</v>
      </c>
      <c r="S19" s="14"/>
      <c r="T19" s="21">
        <f>T12-T15</f>
        <v>9556.380000000001</v>
      </c>
      <c r="U19" s="14"/>
      <c r="V19" s="22">
        <f>IF(T$12=0,0,T19/T$12)</f>
        <v>0.74586380487804882</v>
      </c>
      <c r="W19" s="15"/>
      <c r="X19" s="21">
        <f>+P19-T19</f>
        <v>-9835.7900000000009</v>
      </c>
      <c r="Y19" s="15"/>
      <c r="Z19" s="22">
        <f>IF(T19=0,0,X19/T19)</f>
        <v>-1.0292380587628369</v>
      </c>
    </row>
    <row r="20" spans="1:26" x14ac:dyDescent="0.25">
      <c r="A20" s="9"/>
      <c r="B20" s="11"/>
      <c r="C20" s="9"/>
      <c r="D20" s="1"/>
      <c r="E20" s="1"/>
      <c r="F20" s="5"/>
      <c r="G20" s="1"/>
      <c r="H20" s="1"/>
      <c r="I20" s="1"/>
      <c r="J20" s="5"/>
      <c r="K20" s="1"/>
      <c r="L20" s="1"/>
      <c r="M20" s="1"/>
      <c r="N20" s="5"/>
      <c r="O20" s="37"/>
      <c r="P20" s="1"/>
      <c r="Q20" s="1"/>
      <c r="R20" s="5"/>
      <c r="S20" s="1"/>
      <c r="T20" s="1"/>
      <c r="U20" s="1"/>
      <c r="V20" s="5"/>
      <c r="W20" s="1"/>
      <c r="X20" s="1"/>
      <c r="Y20" s="1"/>
      <c r="Z20" s="5"/>
    </row>
    <row r="21" spans="1:26" s="24" customFormat="1" x14ac:dyDescent="0.25">
      <c r="A21" s="11"/>
      <c r="B21" s="29" t="s">
        <v>294</v>
      </c>
      <c r="C21" s="11"/>
      <c r="D21" s="20">
        <f>SUM(OSRRefD22x_0)</f>
        <v>0</v>
      </c>
      <c r="E21" s="20"/>
      <c r="F21" s="32">
        <f t="shared" ref="F21:F27" si="12">IF(D$12=0,0,D21/D$12)</f>
        <v>0</v>
      </c>
      <c r="G21" s="20"/>
      <c r="H21" s="20">
        <f>SUM(OSRRefH22x_0)</f>
        <v>0</v>
      </c>
      <c r="I21" s="20"/>
      <c r="J21" s="32">
        <f t="shared" ref="J21:J27" si="13">IF(H$12=0,0,H21/H$12)</f>
        <v>0</v>
      </c>
      <c r="K21" s="4"/>
      <c r="L21" s="20">
        <f t="shared" ref="L21:L27" si="14">+D21-H21</f>
        <v>0</v>
      </c>
      <c r="M21" s="4"/>
      <c r="N21" s="32">
        <f t="shared" ref="N21:N27" si="15">IF(H21=0,0,L21/H21)</f>
        <v>0</v>
      </c>
      <c r="O21" s="11"/>
      <c r="P21" s="20">
        <f>SUM(OSRRefP22x_0)</f>
        <v>674.63</v>
      </c>
      <c r="Q21" s="20"/>
      <c r="R21" s="32">
        <f t="shared" ref="R21:R27" si="16">IF(P$12=0,0,P21/P$12)</f>
        <v>1.5526582278481011</v>
      </c>
      <c r="S21" s="20"/>
      <c r="T21" s="20">
        <f>SUM(OSRRefT22x_0)</f>
        <v>1569.51</v>
      </c>
      <c r="U21" s="20"/>
      <c r="V21" s="32">
        <f t="shared" ref="V21:V27" si="17">IF(T$12=0,0,T21/T$12)</f>
        <v>0.12249834146341464</v>
      </c>
      <c r="W21" s="4"/>
      <c r="X21" s="20">
        <f t="shared" ref="X21:X27" si="18">+P21-T21</f>
        <v>-894.88</v>
      </c>
      <c r="Y21" s="4"/>
      <c r="Z21" s="32">
        <f t="shared" ref="Z21:Z27" si="19">IF(T21=0,0,X21/T21)</f>
        <v>-0.57016521079827465</v>
      </c>
    </row>
    <row r="22" spans="1:26" s="27" customFormat="1" outlineLevel="1" collapsed="1" x14ac:dyDescent="0.25">
      <c r="A22" s="26"/>
      <c r="B22" s="12" t="str">
        <f>CONCATENATE("     ","Bank/card Fees                                    ")</f>
        <v xml:space="preserve">     Bank/card Fees                                    </v>
      </c>
      <c r="C22" s="12"/>
      <c r="D22" s="1">
        <f>SUM(OSRRefD22_0x_0)</f>
        <v>0</v>
      </c>
      <c r="E22" s="1"/>
      <c r="F22" s="5">
        <f t="shared" si="12"/>
        <v>0</v>
      </c>
      <c r="G22" s="1"/>
      <c r="H22" s="1">
        <f>SUM(OSRRefH22_0x_0)</f>
        <v>0</v>
      </c>
      <c r="I22" s="1"/>
      <c r="J22" s="5">
        <f t="shared" si="13"/>
        <v>0</v>
      </c>
      <c r="K22" s="1"/>
      <c r="L22" s="1">
        <f t="shared" si="14"/>
        <v>0</v>
      </c>
      <c r="M22" s="1"/>
      <c r="N22" s="5">
        <f t="shared" si="15"/>
        <v>0</v>
      </c>
      <c r="O22" s="12"/>
      <c r="P22" s="1">
        <f>SUM(OSRRefP22_0x_0)</f>
        <v>554.63</v>
      </c>
      <c r="Q22" s="1"/>
      <c r="R22" s="5">
        <f t="shared" si="16"/>
        <v>1.2764787111622555</v>
      </c>
      <c r="S22" s="1"/>
      <c r="T22" s="1">
        <f>SUM(OSRRefT22_0x_0)</f>
        <v>1249.06</v>
      </c>
      <c r="U22" s="1"/>
      <c r="V22" s="5">
        <f t="shared" si="17"/>
        <v>9.7487609756097562E-2</v>
      </c>
      <c r="W22" s="1"/>
      <c r="X22" s="1">
        <f t="shared" si="18"/>
        <v>-694.43</v>
      </c>
      <c r="Y22" s="1"/>
      <c r="Z22" s="5">
        <f t="shared" si="19"/>
        <v>-0.555962083486782</v>
      </c>
    </row>
    <row r="23" spans="1:26" s="23" customFormat="1" hidden="1" outlineLevel="2" x14ac:dyDescent="0.25">
      <c r="A23" s="25"/>
      <c r="B23" s="10" t="str">
        <f>CONCATENATE("          ", "6381", " - ", "BANK/CREDIT CARD FEES")</f>
        <v xml:space="preserve">          6381 - BANK/CREDIT CARD FEES</v>
      </c>
      <c r="C23" s="10"/>
      <c r="D23" s="6"/>
      <c r="E23" s="2"/>
      <c r="F23" s="7">
        <f t="shared" si="12"/>
        <v>0</v>
      </c>
      <c r="G23" s="2"/>
      <c r="H23" s="6"/>
      <c r="I23" s="2"/>
      <c r="J23" s="7">
        <f t="shared" si="13"/>
        <v>0</v>
      </c>
      <c r="K23" s="2"/>
      <c r="L23" s="6">
        <f t="shared" si="14"/>
        <v>0</v>
      </c>
      <c r="M23" s="2"/>
      <c r="N23" s="7">
        <f t="shared" si="15"/>
        <v>0</v>
      </c>
      <c r="O23" s="10"/>
      <c r="P23" s="6">
        <v>554.63</v>
      </c>
      <c r="Q23" s="2"/>
      <c r="R23" s="7">
        <f t="shared" si="16"/>
        <v>1.2764787111622555</v>
      </c>
      <c r="S23" s="2"/>
      <c r="T23" s="6">
        <v>1249.06</v>
      </c>
      <c r="U23" s="2"/>
      <c r="V23" s="7">
        <f t="shared" si="17"/>
        <v>9.7487609756097562E-2</v>
      </c>
      <c r="W23" s="2"/>
      <c r="X23" s="6">
        <f t="shared" si="18"/>
        <v>-694.43</v>
      </c>
      <c r="Y23" s="2"/>
      <c r="Z23" s="7">
        <f t="shared" si="19"/>
        <v>-0.555962083486782</v>
      </c>
    </row>
    <row r="24" spans="1:26" s="27" customFormat="1" outlineLevel="1" collapsed="1" x14ac:dyDescent="0.25">
      <c r="A24" s="26"/>
      <c r="B24" s="12" t="str">
        <f>CONCATENATE("     ","General                                           ")</f>
        <v xml:space="preserve">     General                                           </v>
      </c>
      <c r="C24" s="12"/>
      <c r="D24" s="1">
        <f>SUM(OSRRefD22_1x_0)</f>
        <v>0</v>
      </c>
      <c r="E24" s="1"/>
      <c r="F24" s="5">
        <f t="shared" si="12"/>
        <v>0</v>
      </c>
      <c r="G24" s="1"/>
      <c r="H24" s="1">
        <f>SUM(OSRRefH22_1x_0)</f>
        <v>0</v>
      </c>
      <c r="I24" s="1"/>
      <c r="J24" s="5">
        <f t="shared" si="13"/>
        <v>0</v>
      </c>
      <c r="K24" s="1"/>
      <c r="L24" s="1">
        <f t="shared" si="14"/>
        <v>0</v>
      </c>
      <c r="M24" s="1"/>
      <c r="N24" s="5">
        <f t="shared" si="15"/>
        <v>0</v>
      </c>
      <c r="O24" s="12"/>
      <c r="P24" s="1">
        <f>SUM(OSRRefP22_1x_0)</f>
        <v>120</v>
      </c>
      <c r="Q24" s="1"/>
      <c r="R24" s="5">
        <f t="shared" si="16"/>
        <v>0.27617951668584578</v>
      </c>
      <c r="S24" s="1"/>
      <c r="T24" s="1">
        <f>SUM(OSRRefT22_1x_0)</f>
        <v>23.45</v>
      </c>
      <c r="U24" s="1"/>
      <c r="V24" s="5">
        <f t="shared" si="17"/>
        <v>1.8302439024390244E-3</v>
      </c>
      <c r="W24" s="1"/>
      <c r="X24" s="1">
        <f t="shared" si="18"/>
        <v>96.55</v>
      </c>
      <c r="Y24" s="1"/>
      <c r="Z24" s="5">
        <f t="shared" si="19"/>
        <v>4.1172707889125801</v>
      </c>
    </row>
    <row r="25" spans="1:26" s="23" customFormat="1" hidden="1" outlineLevel="2" x14ac:dyDescent="0.25">
      <c r="A25" s="25"/>
      <c r="B25" s="10" t="str">
        <f>CONCATENATE("          ", "6279", " - ", "GENERAL EXPENSE")</f>
        <v xml:space="preserve">          6279 - GENERAL EXPENSE</v>
      </c>
      <c r="C25" s="10"/>
      <c r="D25" s="6"/>
      <c r="E25" s="2"/>
      <c r="F25" s="7">
        <f t="shared" si="12"/>
        <v>0</v>
      </c>
      <c r="G25" s="2"/>
      <c r="H25" s="6"/>
      <c r="I25" s="2"/>
      <c r="J25" s="7">
        <f t="shared" si="13"/>
        <v>0</v>
      </c>
      <c r="K25" s="2"/>
      <c r="L25" s="6">
        <f t="shared" si="14"/>
        <v>0</v>
      </c>
      <c r="M25" s="2"/>
      <c r="N25" s="7">
        <f t="shared" si="15"/>
        <v>0</v>
      </c>
      <c r="O25" s="10"/>
      <c r="P25" s="6">
        <v>120</v>
      </c>
      <c r="Q25" s="2"/>
      <c r="R25" s="7">
        <f t="shared" si="16"/>
        <v>0.27617951668584578</v>
      </c>
      <c r="S25" s="2"/>
      <c r="T25" s="6">
        <v>23.45</v>
      </c>
      <c r="U25" s="2"/>
      <c r="V25" s="7">
        <f t="shared" si="17"/>
        <v>1.8302439024390244E-3</v>
      </c>
      <c r="W25" s="2"/>
      <c r="X25" s="6">
        <f t="shared" si="18"/>
        <v>96.55</v>
      </c>
      <c r="Y25" s="2"/>
      <c r="Z25" s="7">
        <f t="shared" si="19"/>
        <v>4.1172707889125801</v>
      </c>
    </row>
    <row r="26" spans="1:26" s="27" customFormat="1" outlineLevel="1" collapsed="1" x14ac:dyDescent="0.25">
      <c r="A26" s="26"/>
      <c r="B26" s="12" t="str">
        <f>CONCATENATE("     ","Supplies                                          ")</f>
        <v xml:space="preserve">     Supplies                                          </v>
      </c>
      <c r="C26" s="12"/>
      <c r="D26" s="1">
        <f>SUM(OSRRefD22_2x_0)</f>
        <v>0</v>
      </c>
      <c r="E26" s="1"/>
      <c r="F26" s="5">
        <f t="shared" si="12"/>
        <v>0</v>
      </c>
      <c r="G26" s="1"/>
      <c r="H26" s="1">
        <f>SUM(OSRRefH22_2x_0)</f>
        <v>0</v>
      </c>
      <c r="I26" s="1"/>
      <c r="J26" s="5">
        <f t="shared" si="13"/>
        <v>0</v>
      </c>
      <c r="K26" s="1"/>
      <c r="L26" s="1">
        <f t="shared" si="14"/>
        <v>0</v>
      </c>
      <c r="M26" s="1"/>
      <c r="N26" s="5">
        <f t="shared" si="15"/>
        <v>0</v>
      </c>
      <c r="O26" s="12"/>
      <c r="P26" s="1">
        <f>SUM(OSRRefP22_2x_0)</f>
        <v>0</v>
      </c>
      <c r="Q26" s="1"/>
      <c r="R26" s="5">
        <f t="shared" si="16"/>
        <v>0</v>
      </c>
      <c r="S26" s="1"/>
      <c r="T26" s="1">
        <f>SUM(OSRRefT22_2x_0)</f>
        <v>297</v>
      </c>
      <c r="U26" s="1"/>
      <c r="V26" s="5">
        <f t="shared" si="17"/>
        <v>2.3180487804878049E-2</v>
      </c>
      <c r="W26" s="1"/>
      <c r="X26" s="1">
        <f t="shared" si="18"/>
        <v>-297</v>
      </c>
      <c r="Y26" s="1"/>
      <c r="Z26" s="5">
        <f t="shared" si="19"/>
        <v>-1</v>
      </c>
    </row>
    <row r="27" spans="1:26" s="23" customFormat="1" hidden="1" outlineLevel="2" x14ac:dyDescent="0.25">
      <c r="A27" s="25"/>
      <c r="B27" s="10" t="str">
        <f>CONCATENATE("          ", "6247", " - ", "STORE SUPPLIES")</f>
        <v xml:space="preserve">          6247 - STORE SUPPLIES</v>
      </c>
      <c r="C27" s="10"/>
      <c r="D27" s="6"/>
      <c r="E27" s="2"/>
      <c r="F27" s="7">
        <f t="shared" si="12"/>
        <v>0</v>
      </c>
      <c r="G27" s="2"/>
      <c r="H27" s="6"/>
      <c r="I27" s="2"/>
      <c r="J27" s="7">
        <f t="shared" si="13"/>
        <v>0</v>
      </c>
      <c r="K27" s="2"/>
      <c r="L27" s="6">
        <f t="shared" si="14"/>
        <v>0</v>
      </c>
      <c r="M27" s="2"/>
      <c r="N27" s="7">
        <f t="shared" si="15"/>
        <v>0</v>
      </c>
      <c r="O27" s="10"/>
      <c r="P27" s="6"/>
      <c r="Q27" s="2"/>
      <c r="R27" s="7">
        <f t="shared" si="16"/>
        <v>0</v>
      </c>
      <c r="S27" s="2"/>
      <c r="T27" s="6">
        <v>297</v>
      </c>
      <c r="U27" s="2"/>
      <c r="V27" s="7">
        <f t="shared" si="17"/>
        <v>2.3180487804878049E-2</v>
      </c>
      <c r="W27" s="2"/>
      <c r="X27" s="6">
        <f t="shared" si="18"/>
        <v>-297</v>
      </c>
      <c r="Y27" s="2"/>
      <c r="Z27" s="7">
        <f t="shared" si="19"/>
        <v>-1</v>
      </c>
    </row>
    <row r="28" spans="1:26" s="52" customFormat="1" x14ac:dyDescent="0.25">
      <c r="A28" s="37"/>
      <c r="B28" s="37"/>
      <c r="C28" s="37"/>
      <c r="D28" s="1"/>
      <c r="E28" s="1"/>
      <c r="F28" s="5"/>
      <c r="G28" s="1"/>
      <c r="H28" s="1"/>
      <c r="I28" s="1"/>
      <c r="J28" s="5"/>
      <c r="K28" s="1"/>
      <c r="L28" s="1"/>
      <c r="M28" s="1"/>
      <c r="N28" s="5"/>
      <c r="O28" s="37"/>
      <c r="P28" s="1"/>
      <c r="Q28" s="1"/>
      <c r="R28" s="5"/>
      <c r="S28" s="1"/>
      <c r="T28" s="1"/>
      <c r="U28" s="1"/>
      <c r="V28" s="5"/>
      <c r="W28" s="1"/>
      <c r="X28" s="1"/>
      <c r="Y28" s="1"/>
      <c r="Z28" s="5"/>
    </row>
    <row r="29" spans="1:26" s="24" customFormat="1" x14ac:dyDescent="0.25">
      <c r="A29" s="11"/>
      <c r="B29" s="29" t="s">
        <v>292</v>
      </c>
      <c r="C29" s="11"/>
      <c r="D29" s="4">
        <f>SUM(0)</f>
        <v>0</v>
      </c>
      <c r="E29" s="4"/>
      <c r="F29" s="13">
        <f>IF(D$12=0,0,D29/D$12)</f>
        <v>0</v>
      </c>
      <c r="G29" s="4"/>
      <c r="H29" s="4">
        <f>SUM(0)</f>
        <v>0</v>
      </c>
      <c r="I29" s="4"/>
      <c r="J29" s="13">
        <f>IF(H$12=0,0,H29/H$12)</f>
        <v>0</v>
      </c>
      <c r="K29" s="4"/>
      <c r="L29" s="4">
        <f>+D29-H29</f>
        <v>0</v>
      </c>
      <c r="M29" s="4"/>
      <c r="N29" s="13">
        <f>IF(H29=0,0,L29/H29)</f>
        <v>0</v>
      </c>
      <c r="O29" s="11"/>
      <c r="P29" s="4">
        <f>SUM(0)</f>
        <v>0</v>
      </c>
      <c r="Q29" s="4"/>
      <c r="R29" s="13">
        <f>IF(P$12=0,0,P29/P$12)</f>
        <v>0</v>
      </c>
      <c r="S29" s="4"/>
      <c r="T29" s="4">
        <f>SUM(0)</f>
        <v>0</v>
      </c>
      <c r="U29" s="4"/>
      <c r="V29" s="13">
        <f>IF(T$12=0,0,T29/T$12)</f>
        <v>0</v>
      </c>
      <c r="W29" s="4"/>
      <c r="X29" s="4">
        <f>+P29-T29</f>
        <v>0</v>
      </c>
      <c r="Y29" s="4"/>
      <c r="Z29" s="13">
        <f>IF(T29=0,0,X29/T29)</f>
        <v>0</v>
      </c>
    </row>
    <row r="30" spans="1:26" x14ac:dyDescent="0.25">
      <c r="A30" s="9"/>
      <c r="B30" s="11"/>
      <c r="C30" s="11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1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4" customFormat="1" x14ac:dyDescent="0.25">
      <c r="A31" s="11"/>
      <c r="B31" s="28" t="s">
        <v>276</v>
      </c>
      <c r="C31" s="28"/>
      <c r="D31" s="21">
        <f>+D19-D21+D29</f>
        <v>-1026.8700000000001</v>
      </c>
      <c r="E31" s="14"/>
      <c r="F31" s="22">
        <f>IF(D$12=0,0,D31/D$12)</f>
        <v>-30.157709251101327</v>
      </c>
      <c r="G31" s="14"/>
      <c r="H31" s="21">
        <f>+H19-H21+H29</f>
        <v>0</v>
      </c>
      <c r="I31" s="14"/>
      <c r="J31" s="22">
        <f>IF(H$12=0,0,H31/H$12)</f>
        <v>0</v>
      </c>
      <c r="K31" s="15"/>
      <c r="L31" s="21">
        <f>+D31-H31</f>
        <v>-1026.8700000000001</v>
      </c>
      <c r="M31" s="15"/>
      <c r="N31" s="22">
        <f>IF(H31=0,0,L31/H31)</f>
        <v>0</v>
      </c>
      <c r="O31" s="29"/>
      <c r="P31" s="21">
        <f>+P19-P21+P29</f>
        <v>-954.04000000000008</v>
      </c>
      <c r="Q31" s="14"/>
      <c r="R31" s="22">
        <f>IF(P$12=0,0,P31/P$12)</f>
        <v>-2.1957192174913698</v>
      </c>
      <c r="S31" s="14"/>
      <c r="T31" s="21">
        <f>+T19-T21+T29</f>
        <v>7986.8700000000008</v>
      </c>
      <c r="U31" s="14"/>
      <c r="V31" s="22">
        <f>IF(T$12=0,0,T31/T$12)</f>
        <v>0.62336546341463417</v>
      </c>
      <c r="W31" s="15"/>
      <c r="X31" s="21">
        <f>+P31-T31</f>
        <v>-8940.9100000000017</v>
      </c>
      <c r="Y31" s="15"/>
      <c r="Z31" s="22">
        <f>IF(T31=0,0,X31/T31)</f>
        <v>-1.1194510490342275</v>
      </c>
    </row>
    <row r="32" spans="1:26" x14ac:dyDescent="0.25">
      <c r="A32" s="9"/>
      <c r="B32" s="11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4" customFormat="1" x14ac:dyDescent="0.25">
      <c r="A33" s="51"/>
      <c r="B33" s="11" t="s">
        <v>127</v>
      </c>
      <c r="C33" s="11"/>
      <c r="D33" s="4">
        <v>34.700000000000003</v>
      </c>
      <c r="E33" s="4"/>
      <c r="F33" s="13">
        <f>IF(D$12=0,0,D33/D$12)</f>
        <v>1.0190895741556536</v>
      </c>
      <c r="G33" s="4"/>
      <c r="H33" s="4">
        <v>422.84</v>
      </c>
      <c r="I33" s="4"/>
      <c r="J33" s="13">
        <f>IF(H$12=0,0,H33/H$12)</f>
        <v>0</v>
      </c>
      <c r="K33" s="4"/>
      <c r="L33" s="4">
        <f>+D33-H33</f>
        <v>-388.14</v>
      </c>
      <c r="M33" s="4"/>
      <c r="N33" s="13">
        <f>IF(H33=0,0,L33/H33)</f>
        <v>-0.91793586226468638</v>
      </c>
      <c r="O33" s="11"/>
      <c r="P33" s="4">
        <v>120.27</v>
      </c>
      <c r="Q33" s="4"/>
      <c r="R33" s="13">
        <f>IF(P$12=0,0,P33/P$12)</f>
        <v>0.27680092059838896</v>
      </c>
      <c r="S33" s="4"/>
      <c r="T33" s="4">
        <v>1940.1</v>
      </c>
      <c r="U33" s="4"/>
      <c r="V33" s="13">
        <f>IF(T$12=0,0,T33/T$12)</f>
        <v>0.15142243902439023</v>
      </c>
      <c r="W33" s="4"/>
      <c r="X33" s="4">
        <f>+P33-T33</f>
        <v>-1819.83</v>
      </c>
      <c r="Y33" s="4"/>
      <c r="Z33" s="13">
        <f>IF(T33=0,0,X33/T33)</f>
        <v>-0.93800835008504713</v>
      </c>
    </row>
    <row r="34" spans="1:26" x14ac:dyDescent="0.25">
      <c r="A34" s="9"/>
      <c r="B34" s="11"/>
      <c r="C34" s="11"/>
      <c r="D34" s="3"/>
      <c r="E34" s="3"/>
      <c r="F34" s="8"/>
      <c r="G34" s="3"/>
      <c r="H34" s="3"/>
      <c r="I34" s="3"/>
      <c r="J34" s="8"/>
      <c r="K34" s="3"/>
      <c r="L34" s="3"/>
      <c r="M34" s="3"/>
      <c r="N34" s="8"/>
      <c r="O34" s="11"/>
      <c r="P34" s="3"/>
      <c r="Q34" s="3"/>
      <c r="R34" s="8"/>
      <c r="S34" s="3"/>
      <c r="T34" s="3"/>
      <c r="U34" s="3"/>
      <c r="V34" s="8"/>
      <c r="W34" s="3"/>
      <c r="X34" s="3"/>
      <c r="Y34" s="3"/>
      <c r="Z34" s="8"/>
    </row>
    <row r="35" spans="1:26" s="24" customFormat="1" ht="15.75" thickBot="1" x14ac:dyDescent="0.3">
      <c r="A35" s="11"/>
      <c r="B35" s="28" t="s">
        <v>125</v>
      </c>
      <c r="C35" s="28"/>
      <c r="D35" s="34">
        <f>+D31-D33</f>
        <v>-1061.5700000000002</v>
      </c>
      <c r="E35" s="14"/>
      <c r="F35" s="31">
        <f>IF(D$12=0,0,D35/D$12)</f>
        <v>-31.176798825256981</v>
      </c>
      <c r="G35" s="14"/>
      <c r="H35" s="34">
        <f>+H31-H33</f>
        <v>-422.84</v>
      </c>
      <c r="I35" s="14"/>
      <c r="J35" s="31">
        <f>IF(H$12=0,0,H35/H$12)</f>
        <v>0</v>
      </c>
      <c r="K35" s="15"/>
      <c r="L35" s="34">
        <f>D35-H35</f>
        <v>-638.73000000000025</v>
      </c>
      <c r="M35" s="15"/>
      <c r="N35" s="31">
        <f>IF(H35=0,0,L35/H35)</f>
        <v>1.5105713745151836</v>
      </c>
      <c r="O35" s="29"/>
      <c r="P35" s="34">
        <f>+P31-P33</f>
        <v>-1074.3100000000002</v>
      </c>
      <c r="Q35" s="14"/>
      <c r="R35" s="31">
        <f>IF(P$12=0,0,P35/P$12)</f>
        <v>-2.4725201380897586</v>
      </c>
      <c r="S35" s="14"/>
      <c r="T35" s="34">
        <f>+T31-T33</f>
        <v>6046.77</v>
      </c>
      <c r="U35" s="14"/>
      <c r="V35" s="31">
        <f>IF(T$12=0,0,T35/T$12)</f>
        <v>0.47194302439024394</v>
      </c>
      <c r="W35" s="15"/>
      <c r="X35" s="34">
        <f>P35-T35</f>
        <v>-7121.0800000000008</v>
      </c>
      <c r="Y35" s="15"/>
      <c r="Z35" s="31">
        <f>IF(T35=0,0,X35/T35)</f>
        <v>-1.1776667543167676</v>
      </c>
    </row>
    <row r="36" spans="1:26" ht="15.75" thickTop="1" x14ac:dyDescent="0.25">
      <c r="A36" s="9"/>
      <c r="B36" s="9"/>
      <c r="C36" s="9"/>
      <c r="D36" s="3"/>
      <c r="E36" s="3"/>
      <c r="F36" s="8"/>
      <c r="G36" s="3"/>
      <c r="H36" s="3"/>
      <c r="I36" s="3"/>
      <c r="J36" s="8"/>
      <c r="K36" s="3"/>
      <c r="L36" s="3"/>
      <c r="M36" s="3"/>
      <c r="N36" s="8"/>
      <c r="P36" s="3"/>
      <c r="Q36" s="3"/>
      <c r="R36" s="8"/>
      <c r="S36" s="3"/>
      <c r="T36" s="3"/>
      <c r="U36" s="3"/>
      <c r="V36" s="8"/>
      <c r="W36" s="3"/>
      <c r="X36" s="3"/>
      <c r="Y36" s="3"/>
      <c r="Z36" s="8"/>
    </row>
    <row r="37" spans="1:26" x14ac:dyDescent="0.25">
      <c r="A37" s="9"/>
      <c r="B37" s="9"/>
      <c r="C37" s="9"/>
      <c r="D37" s="3"/>
      <c r="E37" s="3"/>
      <c r="F37" s="8"/>
      <c r="G37" s="3"/>
      <c r="H37" s="3"/>
      <c r="I37" s="3"/>
      <c r="J37" s="8"/>
      <c r="K37" s="3"/>
      <c r="L37" s="3"/>
      <c r="M37" s="3"/>
      <c r="N37" s="8"/>
      <c r="P37" s="3"/>
      <c r="Q37" s="3"/>
      <c r="R37" s="8"/>
      <c r="S37" s="3"/>
      <c r="T37" s="3"/>
      <c r="U37" s="3"/>
      <c r="V37" s="8"/>
      <c r="W37" s="3"/>
      <c r="X37" s="3"/>
      <c r="Y37" s="3"/>
      <c r="Z37" s="8"/>
    </row>
    <row r="38" spans="1:26" s="24" customFormat="1" ht="15.75" thickBot="1" x14ac:dyDescent="0.3">
      <c r="A38" s="11"/>
      <c r="B38" s="28" t="s">
        <v>293</v>
      </c>
      <c r="C38" s="28"/>
      <c r="D38" s="33">
        <f>SUM(D35:D37)</f>
        <v>-1061.5700000000002</v>
      </c>
      <c r="E38" s="14"/>
      <c r="F38" s="35">
        <f>IF(D$12=0,0,D38/D$12)</f>
        <v>-31.176798825256981</v>
      </c>
      <c r="G38" s="14"/>
      <c r="H38" s="33">
        <f>SUM(H35:H37)</f>
        <v>-422.84</v>
      </c>
      <c r="I38" s="14"/>
      <c r="J38" s="35">
        <f>IF(H$12=0,0,H38/H$12)</f>
        <v>0</v>
      </c>
      <c r="K38" s="15"/>
      <c r="L38" s="33">
        <f>+D38-H38</f>
        <v>-638.73000000000025</v>
      </c>
      <c r="M38" s="15"/>
      <c r="N38" s="35">
        <f>IF(H38=0,0,L38/H38)</f>
        <v>1.5105713745151836</v>
      </c>
      <c r="O38" s="29"/>
      <c r="P38" s="33">
        <f>SUM(P35:P37)</f>
        <v>-1074.3100000000002</v>
      </c>
      <c r="Q38" s="14"/>
      <c r="R38" s="35">
        <f>IF(P$12=0,0,P38/P$12)</f>
        <v>-2.4725201380897586</v>
      </c>
      <c r="S38" s="14"/>
      <c r="T38" s="33">
        <f>SUM(T35:T37)</f>
        <v>6046.77</v>
      </c>
      <c r="U38" s="14"/>
      <c r="V38" s="35">
        <f>IF(T$12=0,0,T38/T$12)</f>
        <v>0.47194302439024394</v>
      </c>
      <c r="W38" s="15"/>
      <c r="X38" s="33">
        <f>+P38-T38</f>
        <v>-7121.0800000000008</v>
      </c>
      <c r="Y38" s="15"/>
      <c r="Z38" s="35">
        <f>IF(T38=0,0,X38/T38)</f>
        <v>-1.1776667543167676</v>
      </c>
    </row>
    <row r="39" spans="1:26" ht="15.75" thickTop="1" x14ac:dyDescent="0.25">
      <c r="A39" s="9"/>
      <c r="C39" s="9"/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56">
        <v>44454.698585613427</v>
      </c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A41" s="9"/>
      <c r="B41" s="55" t="s">
        <v>56</v>
      </c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  <row r="42" spans="1:26" x14ac:dyDescent="0.25">
      <c r="A42" s="9"/>
      <c r="B42" s="60"/>
      <c r="D42" s="18"/>
      <c r="E42" s="18"/>
      <c r="G42" s="18"/>
      <c r="H42" s="18"/>
      <c r="I42" s="18"/>
      <c r="J42" s="43"/>
      <c r="K42" s="18"/>
      <c r="L42" s="18"/>
      <c r="M42" s="18"/>
      <c r="P42" s="18"/>
      <c r="Q42" s="18"/>
      <c r="R42" s="43"/>
      <c r="S42" s="18"/>
      <c r="T42" s="18"/>
      <c r="U42" s="18"/>
      <c r="V42" s="43"/>
      <c r="W42" s="18"/>
      <c r="X42" s="18"/>
    </row>
    <row r="43" spans="1:26" x14ac:dyDescent="0.25">
      <c r="D43" s="18"/>
      <c r="E43" s="18"/>
      <c r="G43" s="18"/>
      <c r="H43" s="18"/>
      <c r="I43" s="18"/>
      <c r="J43" s="43"/>
      <c r="K43" s="18"/>
      <c r="L43" s="18"/>
      <c r="M43" s="18"/>
      <c r="P43" s="18"/>
      <c r="Q43" s="18"/>
      <c r="R43" s="43"/>
      <c r="S43" s="18"/>
      <c r="T43" s="18"/>
      <c r="U43" s="18"/>
      <c r="V43" s="43"/>
      <c r="W43" s="18"/>
      <c r="X43" s="18"/>
    </row>
  </sheetData>
  <pageMargins left="0.25" right="0.25" top="0.75" bottom="0.75" header="0.3" footer="0.3"/>
  <pageSetup scale="55" fitToWidth="2" orientation="landscape"/>
  <drawing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tabColor rgb="FFFFC000"/>
    <outlinePr summaryBelow="0" summaryRight="0"/>
  </sheetPr>
  <dimension ref="A2:Z139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62" t="s">
        <v>23</v>
      </c>
    </row>
    <row r="3" spans="1:26" x14ac:dyDescent="0.25">
      <c r="D3" s="62" t="s">
        <v>236</v>
      </c>
      <c r="E3" s="17"/>
      <c r="F3" s="46"/>
      <c r="G3" s="17"/>
      <c r="H3" s="17"/>
      <c r="I3" s="17"/>
      <c r="J3" s="38"/>
      <c r="K3" s="17"/>
      <c r="L3" s="17"/>
      <c r="M3" s="17"/>
      <c r="N3" s="46"/>
      <c r="O3" s="53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2" t="str">
        <f>CONCATENATE("Period ",RIGHT(202112,2),", ",2021)</f>
        <v>Period 12, 2021</v>
      </c>
      <c r="E4" s="17"/>
      <c r="F4" s="46"/>
      <c r="G4" s="17"/>
      <c r="H4" s="17"/>
      <c r="I4" s="17"/>
      <c r="J4" s="38"/>
      <c r="K4" s="17"/>
      <c r="L4" s="17"/>
      <c r="M4" s="17"/>
      <c r="N4" s="46"/>
      <c r="O4" s="53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4"/>
      <c r="D5" s="63">
        <v>44377</v>
      </c>
      <c r="E5" s="17"/>
      <c r="F5" s="46"/>
      <c r="G5" s="17"/>
      <c r="H5" s="17"/>
      <c r="I5" s="17"/>
      <c r="J5" s="38"/>
      <c r="K5" s="17"/>
      <c r="L5" s="17"/>
      <c r="M5" s="17"/>
      <c r="N5" s="46"/>
      <c r="O5" s="53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4"/>
      <c r="B6" s="48"/>
      <c r="C6" s="48"/>
      <c r="D6" s="24" t="s">
        <v>199</v>
      </c>
      <c r="E6" s="17"/>
      <c r="F6" s="46"/>
      <c r="G6" s="17"/>
      <c r="H6" s="17"/>
      <c r="I6" s="17"/>
      <c r="J6" s="38"/>
      <c r="K6" s="17"/>
      <c r="L6" s="17"/>
      <c r="M6" s="17"/>
      <c r="N6" s="46"/>
      <c r="O6" s="54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9"/>
    </row>
    <row r="8" spans="1:26" x14ac:dyDescent="0.25">
      <c r="B8" s="59"/>
    </row>
    <row r="9" spans="1:26" x14ac:dyDescent="0.25">
      <c r="B9" s="9"/>
      <c r="C9" s="9"/>
      <c r="D9" s="16" t="s">
        <v>291</v>
      </c>
      <c r="E9" s="16"/>
      <c r="F9" s="39"/>
      <c r="G9" s="16"/>
      <c r="H9" s="16"/>
      <c r="I9" s="16"/>
      <c r="J9" s="49"/>
      <c r="K9" s="16"/>
      <c r="L9" s="16"/>
      <c r="M9" s="16"/>
      <c r="N9" s="39"/>
      <c r="P9" s="16" t="s">
        <v>39</v>
      </c>
      <c r="Q9" s="16"/>
      <c r="R9" s="39"/>
      <c r="S9" s="16"/>
      <c r="T9" s="16"/>
      <c r="U9" s="16"/>
      <c r="V9" s="49"/>
      <c r="W9" s="16"/>
      <c r="X9" s="16"/>
      <c r="Y9" s="16"/>
      <c r="Z9" s="39"/>
    </row>
    <row r="10" spans="1:26" x14ac:dyDescent="0.25">
      <c r="A10" s="11"/>
      <c r="B10" s="58"/>
      <c r="C10" s="11"/>
      <c r="D10" s="42" t="s">
        <v>57</v>
      </c>
      <c r="E10" s="36"/>
      <c r="F10" s="30" t="s">
        <v>40</v>
      </c>
      <c r="G10" s="36"/>
      <c r="H10" s="50" t="s">
        <v>237</v>
      </c>
      <c r="I10" s="36"/>
      <c r="J10" s="30" t="s">
        <v>40</v>
      </c>
      <c r="K10" s="11"/>
      <c r="L10" s="42" t="s">
        <v>126</v>
      </c>
      <c r="M10" s="11"/>
      <c r="N10" s="30" t="s">
        <v>257</v>
      </c>
      <c r="O10" s="11"/>
      <c r="P10" s="61" t="s">
        <v>57</v>
      </c>
      <c r="Q10" s="36"/>
      <c r="R10" s="30" t="s">
        <v>40</v>
      </c>
      <c r="S10" s="36"/>
      <c r="T10" s="50" t="s">
        <v>237</v>
      </c>
      <c r="U10" s="36"/>
      <c r="V10" s="30" t="s">
        <v>40</v>
      </c>
      <c r="W10" s="11"/>
      <c r="X10" s="42" t="s">
        <v>126</v>
      </c>
      <c r="Y10" s="11"/>
      <c r="Z10" s="30" t="s">
        <v>257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4" customFormat="1" collapsed="1" x14ac:dyDescent="0.25">
      <c r="A12" s="11"/>
      <c r="B12" s="29" t="s">
        <v>139</v>
      </c>
      <c r="C12" s="11"/>
      <c r="D12" s="4">
        <f>SUM(OSRRefD13x_0)</f>
        <v>96806.010000000009</v>
      </c>
      <c r="E12" s="4"/>
      <c r="F12" s="13"/>
      <c r="G12" s="4"/>
      <c r="H12" s="4">
        <f>SUM(OSRRefH13x_0)</f>
        <v>-133638.92000000001</v>
      </c>
      <c r="I12" s="4"/>
      <c r="J12" s="13"/>
      <c r="K12" s="4"/>
      <c r="L12" s="4">
        <f t="shared" ref="L12:L23" si="0">+D12-H12</f>
        <v>230444.93000000002</v>
      </c>
      <c r="M12" s="4"/>
      <c r="N12" s="13">
        <f t="shared" ref="N12:N23" si="1">IF(H12=0,0,L12/H12)</f>
        <v>-1.7243848573454499</v>
      </c>
      <c r="O12" s="11"/>
      <c r="P12" s="4">
        <f>SUM(OSRRefP13x_0)</f>
        <v>1607065.67</v>
      </c>
      <c r="Q12" s="4"/>
      <c r="R12" s="13"/>
      <c r="S12" s="4"/>
      <c r="T12" s="4">
        <f>SUM(OSRRefT13x_0)</f>
        <v>13656888.200000001</v>
      </c>
      <c r="U12" s="4"/>
      <c r="V12" s="13"/>
      <c r="W12" s="4"/>
      <c r="X12" s="4">
        <f t="shared" ref="X12:X23" si="2">+P12-T12</f>
        <v>-12049822.530000001</v>
      </c>
      <c r="Y12" s="4"/>
      <c r="Z12" s="13">
        <f t="shared" ref="Z12:Z23" si="3">IF(T12=0,0,X12/T12)</f>
        <v>-0.88232563330202851</v>
      </c>
    </row>
    <row r="13" spans="1:26" s="23" customFormat="1" hidden="1" outlineLevel="1" x14ac:dyDescent="0.25">
      <c r="A13" s="44"/>
      <c r="B13" s="10" t="str">
        <f>CONCATENATE("          ", "4051", " - ", "TAXABLE SALES-FOOD")</f>
        <v xml:space="preserve">          4051 - TAXABLE SALES-FOOD</v>
      </c>
      <c r="C13" s="10"/>
      <c r="D13" s="2">
        <f>--9799.52</f>
        <v>9799.52</v>
      </c>
      <c r="E13" s="2"/>
      <c r="F13" s="19"/>
      <c r="G13" s="2"/>
      <c r="H13" s="2">
        <f t="shared" ref="H13:H14" si="4">0</f>
        <v>0</v>
      </c>
      <c r="I13" s="2"/>
      <c r="J13" s="19"/>
      <c r="K13" s="2"/>
      <c r="L13" s="2">
        <f t="shared" si="0"/>
        <v>9799.52</v>
      </c>
      <c r="M13" s="2"/>
      <c r="N13" s="19">
        <f t="shared" si="1"/>
        <v>0</v>
      </c>
      <c r="O13" s="10"/>
      <c r="P13" s="2">
        <f>--49082.44</f>
        <v>49082.44</v>
      </c>
      <c r="Q13" s="2"/>
      <c r="R13" s="19"/>
      <c r="S13" s="2"/>
      <c r="T13" s="2">
        <f>--454738.68</f>
        <v>454738.68</v>
      </c>
      <c r="U13" s="2"/>
      <c r="V13" s="19"/>
      <c r="W13" s="2"/>
      <c r="X13" s="2">
        <f t="shared" si="2"/>
        <v>-405656.24</v>
      </c>
      <c r="Y13" s="2"/>
      <c r="Z13" s="19">
        <f t="shared" si="3"/>
        <v>-0.8920645149429558</v>
      </c>
    </row>
    <row r="14" spans="1:26" s="23" customFormat="1" hidden="1" outlineLevel="1" x14ac:dyDescent="0.25">
      <c r="A14" s="44"/>
      <c r="B14" s="10" t="str">
        <f>CONCATENATE("          ", "4052", " - ", "TAXABLE SALES-FOOD")</f>
        <v xml:space="preserve">          4052 - TAXABLE SALES-FOOD</v>
      </c>
      <c r="C14" s="10"/>
      <c r="D14" s="2">
        <f>--61213.59</f>
        <v>61213.59</v>
      </c>
      <c r="E14" s="2"/>
      <c r="F14" s="19"/>
      <c r="G14" s="2"/>
      <c r="H14" s="2">
        <f t="shared" si="4"/>
        <v>0</v>
      </c>
      <c r="I14" s="2"/>
      <c r="J14" s="19"/>
      <c r="K14" s="2"/>
      <c r="L14" s="2">
        <f t="shared" si="0"/>
        <v>61213.59</v>
      </c>
      <c r="M14" s="2"/>
      <c r="N14" s="19">
        <f t="shared" si="1"/>
        <v>0</v>
      </c>
      <c r="O14" s="10"/>
      <c r="P14" s="2">
        <f>--489866.6</f>
        <v>489866.6</v>
      </c>
      <c r="Q14" s="2"/>
      <c r="R14" s="19"/>
      <c r="S14" s="2"/>
      <c r="T14" s="2">
        <f>--836487.29</f>
        <v>836487.29</v>
      </c>
      <c r="U14" s="2"/>
      <c r="V14" s="19"/>
      <c r="W14" s="2"/>
      <c r="X14" s="2">
        <f t="shared" si="2"/>
        <v>-346620.69000000006</v>
      </c>
      <c r="Y14" s="2"/>
      <c r="Z14" s="19">
        <f t="shared" si="3"/>
        <v>-0.41437651730488345</v>
      </c>
    </row>
    <row r="15" spans="1:26" s="23" customFormat="1" hidden="1" outlineLevel="1" x14ac:dyDescent="0.25">
      <c r="A15" s="44"/>
      <c r="B15" s="10" t="str">
        <f>CONCATENATE("          ", "4053", " - ", "TAXABLE SALES-FOOD")</f>
        <v xml:space="preserve">          4053 - TAXABLE SALES-FOOD</v>
      </c>
      <c r="C15" s="10"/>
      <c r="D15" s="2">
        <f>--10.83</f>
        <v>10.83</v>
      </c>
      <c r="E15" s="2"/>
      <c r="F15" s="19"/>
      <c r="G15" s="2"/>
      <c r="H15" s="2">
        <f>--27.9</f>
        <v>27.9</v>
      </c>
      <c r="I15" s="2"/>
      <c r="J15" s="19"/>
      <c r="K15" s="2"/>
      <c r="L15" s="2">
        <f t="shared" si="0"/>
        <v>-17.07</v>
      </c>
      <c r="M15" s="2"/>
      <c r="N15" s="19">
        <f t="shared" si="1"/>
        <v>-0.6118279569892473</v>
      </c>
      <c r="O15" s="10"/>
      <c r="P15" s="2">
        <f>--1117.39</f>
        <v>1117.3900000000001</v>
      </c>
      <c r="Q15" s="2"/>
      <c r="R15" s="19"/>
      <c r="S15" s="2"/>
      <c r="T15" s="2">
        <f>--280013.99</f>
        <v>280013.99</v>
      </c>
      <c r="U15" s="2"/>
      <c r="V15" s="19"/>
      <c r="W15" s="2"/>
      <c r="X15" s="2">
        <f t="shared" si="2"/>
        <v>-278896.59999999998</v>
      </c>
      <c r="Y15" s="2"/>
      <c r="Z15" s="19">
        <f t="shared" si="3"/>
        <v>-0.99600952081001382</v>
      </c>
    </row>
    <row r="16" spans="1:26" s="23" customFormat="1" hidden="1" outlineLevel="1" x14ac:dyDescent="0.25">
      <c r="A16" s="44"/>
      <c r="B16" s="10" t="str">
        <f>CONCATENATE("          ", "4055", " - ", "TAXABLE SALES-FOOD")</f>
        <v xml:space="preserve">          4055 - TAXABLE SALES-FOOD</v>
      </c>
      <c r="C16" s="10"/>
      <c r="D16" s="2">
        <f t="shared" ref="D16:D17" si="5">0</f>
        <v>0</v>
      </c>
      <c r="E16" s="2"/>
      <c r="F16" s="19"/>
      <c r="G16" s="2"/>
      <c r="H16" s="2">
        <f t="shared" ref="H16:H17" si="6">0</f>
        <v>0</v>
      </c>
      <c r="I16" s="2"/>
      <c r="J16" s="19"/>
      <c r="K16" s="2"/>
      <c r="L16" s="2">
        <f t="shared" si="0"/>
        <v>0</v>
      </c>
      <c r="M16" s="2"/>
      <c r="N16" s="19">
        <f t="shared" si="1"/>
        <v>0</v>
      </c>
      <c r="O16" s="10"/>
      <c r="P16" s="2">
        <f>0</f>
        <v>0</v>
      </c>
      <c r="Q16" s="2"/>
      <c r="R16" s="19"/>
      <c r="S16" s="2"/>
      <c r="T16" s="2">
        <f>--382379.53</f>
        <v>382379.53</v>
      </c>
      <c r="U16" s="2"/>
      <c r="V16" s="19"/>
      <c r="W16" s="2"/>
      <c r="X16" s="2">
        <f t="shared" si="2"/>
        <v>-382379.53</v>
      </c>
      <c r="Y16" s="2"/>
      <c r="Z16" s="19">
        <f t="shared" si="3"/>
        <v>-1</v>
      </c>
    </row>
    <row r="17" spans="1:26" s="23" customFormat="1" hidden="1" outlineLevel="1" x14ac:dyDescent="0.25">
      <c r="A17" s="44"/>
      <c r="B17" s="10" t="str">
        <f>CONCATENATE("          ", "4058", " - ", "TAXABLE SALES-FOOD")</f>
        <v xml:space="preserve">          4058 - TAXABLE SALES-FOOD</v>
      </c>
      <c r="C17" s="10"/>
      <c r="D17" s="2">
        <f t="shared" si="5"/>
        <v>0</v>
      </c>
      <c r="E17" s="2"/>
      <c r="F17" s="19"/>
      <c r="G17" s="2"/>
      <c r="H17" s="2">
        <f t="shared" si="6"/>
        <v>0</v>
      </c>
      <c r="I17" s="2"/>
      <c r="J17" s="19"/>
      <c r="K17" s="2"/>
      <c r="L17" s="2">
        <f t="shared" si="0"/>
        <v>0</v>
      </c>
      <c r="M17" s="2"/>
      <c r="N17" s="19">
        <f t="shared" si="1"/>
        <v>0</v>
      </c>
      <c r="O17" s="10"/>
      <c r="P17" s="2">
        <f>--974.91</f>
        <v>974.91</v>
      </c>
      <c r="Q17" s="2"/>
      <c r="R17" s="19"/>
      <c r="S17" s="2"/>
      <c r="T17" s="2">
        <f>--117077.57</f>
        <v>117077.57</v>
      </c>
      <c r="U17" s="2"/>
      <c r="V17" s="19"/>
      <c r="W17" s="2"/>
      <c r="X17" s="2">
        <f t="shared" si="2"/>
        <v>-116102.66</v>
      </c>
      <c r="Y17" s="2"/>
      <c r="Z17" s="19">
        <f t="shared" si="3"/>
        <v>-0.99167295665600164</v>
      </c>
    </row>
    <row r="18" spans="1:26" s="23" customFormat="1" hidden="1" outlineLevel="1" x14ac:dyDescent="0.25">
      <c r="A18" s="44"/>
      <c r="B18" s="10" t="str">
        <f>CONCATENATE("          ", "4151", " - ", "NON-TAXABLE SALES-FOOD")</f>
        <v xml:space="preserve">          4151 - NON-TAXABLE SALES-FOOD</v>
      </c>
      <c r="C18" s="10"/>
      <c r="D18" s="2">
        <f>--34861.45</f>
        <v>34861.449999999997</v>
      </c>
      <c r="E18" s="2"/>
      <c r="F18" s="19"/>
      <c r="G18" s="2"/>
      <c r="H18" s="2">
        <f>-138366.42</f>
        <v>-138366.42000000001</v>
      </c>
      <c r="I18" s="2"/>
      <c r="J18" s="19"/>
      <c r="K18" s="2"/>
      <c r="L18" s="2">
        <f t="shared" si="0"/>
        <v>173227.87</v>
      </c>
      <c r="M18" s="2"/>
      <c r="N18" s="19">
        <f t="shared" si="1"/>
        <v>-1.2519502202918886</v>
      </c>
      <c r="O18" s="10"/>
      <c r="P18" s="2">
        <f>--1013188.44</f>
        <v>1013188.44</v>
      </c>
      <c r="Q18" s="2"/>
      <c r="R18" s="19"/>
      <c r="S18" s="2"/>
      <c r="T18" s="2">
        <f>--10064261.55</f>
        <v>10064261.550000001</v>
      </c>
      <c r="U18" s="2"/>
      <c r="V18" s="19"/>
      <c r="W18" s="2"/>
      <c r="X18" s="2">
        <f t="shared" si="2"/>
        <v>-9051073.1100000013</v>
      </c>
      <c r="Y18" s="2"/>
      <c r="Z18" s="19">
        <f t="shared" si="3"/>
        <v>-0.89932808930228969</v>
      </c>
    </row>
    <row r="19" spans="1:26" s="23" customFormat="1" hidden="1" outlineLevel="1" x14ac:dyDescent="0.25">
      <c r="A19" s="44"/>
      <c r="B19" s="10" t="str">
        <f>CONCATENATE("          ", "4152", " - ", "NON-TAXABLE SALES-FOOD")</f>
        <v xml:space="preserve">          4152 - NON-TAXABLE SALES-FOOD</v>
      </c>
      <c r="C19" s="10"/>
      <c r="D19" s="2">
        <f>-11580.95</f>
        <v>-11580.95</v>
      </c>
      <c r="E19" s="2"/>
      <c r="F19" s="19"/>
      <c r="G19" s="2"/>
      <c r="H19" s="2">
        <f>0</f>
        <v>0</v>
      </c>
      <c r="I19" s="2"/>
      <c r="J19" s="19"/>
      <c r="K19" s="2"/>
      <c r="L19" s="2">
        <f t="shared" si="0"/>
        <v>-11580.95</v>
      </c>
      <c r="M19" s="2"/>
      <c r="N19" s="19">
        <f t="shared" si="1"/>
        <v>0</v>
      </c>
      <c r="O19" s="10"/>
      <c r="P19" s="2">
        <f>0</f>
        <v>0</v>
      </c>
      <c r="Q19" s="2"/>
      <c r="R19" s="19"/>
      <c r="S19" s="2"/>
      <c r="T19" s="2">
        <f>--51415.27</f>
        <v>51415.27</v>
      </c>
      <c r="U19" s="2"/>
      <c r="V19" s="19"/>
      <c r="W19" s="2"/>
      <c r="X19" s="2">
        <f t="shared" si="2"/>
        <v>-51415.27</v>
      </c>
      <c r="Y19" s="2"/>
      <c r="Z19" s="19">
        <f t="shared" si="3"/>
        <v>-1</v>
      </c>
    </row>
    <row r="20" spans="1:26" s="23" customFormat="1" hidden="1" outlineLevel="1" x14ac:dyDescent="0.25">
      <c r="A20" s="44"/>
      <c r="B20" s="10" t="str">
        <f>CONCATENATE("          ", "4153", " - ", "NON-TAXABLE SALES-FOOD")</f>
        <v xml:space="preserve">          4153 - NON-TAXABLE SALES-FOOD</v>
      </c>
      <c r="C20" s="10"/>
      <c r="D20" s="2">
        <f>--2501.57</f>
        <v>2501.5700000000002</v>
      </c>
      <c r="E20" s="2"/>
      <c r="F20" s="19"/>
      <c r="G20" s="2"/>
      <c r="H20" s="2">
        <f>--4699.6</f>
        <v>4699.6000000000004</v>
      </c>
      <c r="I20" s="2"/>
      <c r="J20" s="19"/>
      <c r="K20" s="2"/>
      <c r="L20" s="2">
        <f t="shared" si="0"/>
        <v>-2198.0300000000002</v>
      </c>
      <c r="M20" s="2"/>
      <c r="N20" s="19">
        <f t="shared" si="1"/>
        <v>-0.46770576219252702</v>
      </c>
      <c r="O20" s="10"/>
      <c r="P20" s="2">
        <f>--52835.89</f>
        <v>52835.89</v>
      </c>
      <c r="Q20" s="2"/>
      <c r="R20" s="19"/>
      <c r="S20" s="2"/>
      <c r="T20" s="2">
        <f>--304153.32</f>
        <v>304153.32</v>
      </c>
      <c r="U20" s="2"/>
      <c r="V20" s="19"/>
      <c r="W20" s="2"/>
      <c r="X20" s="2">
        <f t="shared" si="2"/>
        <v>-251317.43</v>
      </c>
      <c r="Y20" s="2"/>
      <c r="Z20" s="19">
        <f t="shared" si="3"/>
        <v>-0.82628534187954938</v>
      </c>
    </row>
    <row r="21" spans="1:26" s="23" customFormat="1" hidden="1" outlineLevel="1" x14ac:dyDescent="0.25">
      <c r="A21" s="44"/>
      <c r="B21" s="10" t="str">
        <f>CONCATENATE("          ", "4155", " - ", "NON-TAXABLE SALES-FOOD")</f>
        <v xml:space="preserve">          4155 - NON-TAXABLE SALES-FOOD</v>
      </c>
      <c r="C21" s="10"/>
      <c r="D21" s="2">
        <f t="shared" ref="D21:D23" si="7">0</f>
        <v>0</v>
      </c>
      <c r="E21" s="2"/>
      <c r="F21" s="19"/>
      <c r="G21" s="2"/>
      <c r="H21" s="2">
        <f t="shared" ref="H21:H23" si="8">0</f>
        <v>0</v>
      </c>
      <c r="I21" s="2"/>
      <c r="J21" s="19"/>
      <c r="K21" s="2"/>
      <c r="L21" s="2">
        <f t="shared" si="0"/>
        <v>0</v>
      </c>
      <c r="M21" s="2"/>
      <c r="N21" s="19">
        <f t="shared" si="1"/>
        <v>0</v>
      </c>
      <c r="O21" s="10"/>
      <c r="P21" s="2">
        <f t="shared" ref="P21:P23" si="9">0</f>
        <v>0</v>
      </c>
      <c r="Q21" s="2"/>
      <c r="R21" s="19"/>
      <c r="S21" s="2"/>
      <c r="T21" s="2">
        <f>--691123.63</f>
        <v>691123.63</v>
      </c>
      <c r="U21" s="2"/>
      <c r="V21" s="19"/>
      <c r="W21" s="2"/>
      <c r="X21" s="2">
        <f t="shared" si="2"/>
        <v>-691123.63</v>
      </c>
      <c r="Y21" s="2"/>
      <c r="Z21" s="19">
        <f t="shared" si="3"/>
        <v>-1</v>
      </c>
    </row>
    <row r="22" spans="1:26" s="23" customFormat="1" hidden="1" outlineLevel="1" x14ac:dyDescent="0.25">
      <c r="A22" s="44"/>
      <c r="B22" s="10" t="str">
        <f>CONCATENATE("          ", "4158", " - ", "NON-TAXABLE SALES-FOOD")</f>
        <v xml:space="preserve">          4158 - NON-TAXABLE SALES-FOOD</v>
      </c>
      <c r="C22" s="10"/>
      <c r="D22" s="2">
        <f t="shared" si="7"/>
        <v>0</v>
      </c>
      <c r="E22" s="2"/>
      <c r="F22" s="19"/>
      <c r="G22" s="2"/>
      <c r="H22" s="2">
        <f t="shared" si="8"/>
        <v>0</v>
      </c>
      <c r="I22" s="2"/>
      <c r="J22" s="19"/>
      <c r="K22" s="2"/>
      <c r="L22" s="2">
        <f t="shared" si="0"/>
        <v>0</v>
      </c>
      <c r="M22" s="2"/>
      <c r="N22" s="19">
        <f t="shared" si="1"/>
        <v>0</v>
      </c>
      <c r="O22" s="10"/>
      <c r="P22" s="2">
        <f t="shared" si="9"/>
        <v>0</v>
      </c>
      <c r="Q22" s="2"/>
      <c r="R22" s="19"/>
      <c r="S22" s="2"/>
      <c r="T22" s="2">
        <f>--474853.67</f>
        <v>474853.67</v>
      </c>
      <c r="U22" s="2"/>
      <c r="V22" s="19"/>
      <c r="W22" s="2"/>
      <c r="X22" s="2">
        <f t="shared" si="2"/>
        <v>-474853.67</v>
      </c>
      <c r="Y22" s="2"/>
      <c r="Z22" s="19">
        <f t="shared" si="3"/>
        <v>-1</v>
      </c>
    </row>
    <row r="23" spans="1:26" s="23" customFormat="1" hidden="1" outlineLevel="1" x14ac:dyDescent="0.25">
      <c r="A23" s="44"/>
      <c r="B23" s="10" t="str">
        <f>CONCATENATE("          ", "4159", " - ", "NON-TAXABLE SALES-FOOD")</f>
        <v xml:space="preserve">          4159 - NON-TAXABLE SALES-FOOD</v>
      </c>
      <c r="C23" s="10"/>
      <c r="D23" s="2">
        <f t="shared" si="7"/>
        <v>0</v>
      </c>
      <c r="E23" s="2"/>
      <c r="F23" s="19"/>
      <c r="G23" s="2"/>
      <c r="H23" s="2">
        <f t="shared" si="8"/>
        <v>0</v>
      </c>
      <c r="I23" s="2"/>
      <c r="J23" s="19"/>
      <c r="K23" s="2"/>
      <c r="L23" s="2">
        <f t="shared" si="0"/>
        <v>0</v>
      </c>
      <c r="M23" s="2"/>
      <c r="N23" s="19">
        <f t="shared" si="1"/>
        <v>0</v>
      </c>
      <c r="O23" s="10"/>
      <c r="P23" s="2">
        <f t="shared" si="9"/>
        <v>0</v>
      </c>
      <c r="Q23" s="2"/>
      <c r="R23" s="19"/>
      <c r="S23" s="2"/>
      <c r="T23" s="2">
        <f>--383.7</f>
        <v>383.7</v>
      </c>
      <c r="U23" s="2"/>
      <c r="V23" s="19"/>
      <c r="W23" s="2"/>
      <c r="X23" s="2">
        <f t="shared" si="2"/>
        <v>-383.7</v>
      </c>
      <c r="Y23" s="2"/>
      <c r="Z23" s="19">
        <f t="shared" si="3"/>
        <v>-1</v>
      </c>
    </row>
    <row r="24" spans="1:26" x14ac:dyDescent="0.25">
      <c r="A24" s="9"/>
      <c r="B24" s="11"/>
      <c r="C24" s="9"/>
      <c r="D24" s="3"/>
      <c r="E24" s="3"/>
      <c r="F24" s="8"/>
      <c r="G24" s="3"/>
      <c r="H24" s="3"/>
      <c r="I24" s="3"/>
      <c r="J24" s="8"/>
      <c r="K24" s="3"/>
      <c r="L24" s="3"/>
      <c r="M24" s="3"/>
      <c r="N24" s="8"/>
      <c r="P24" s="3"/>
      <c r="Q24" s="3"/>
      <c r="R24" s="8"/>
      <c r="S24" s="3"/>
      <c r="T24" s="3"/>
      <c r="U24" s="3"/>
      <c r="V24" s="8"/>
      <c r="W24" s="3"/>
      <c r="X24" s="3"/>
      <c r="Y24" s="3"/>
      <c r="Z24" s="8"/>
    </row>
    <row r="25" spans="1:26" s="24" customFormat="1" collapsed="1" x14ac:dyDescent="0.25">
      <c r="A25" s="11"/>
      <c r="B25" s="29" t="s">
        <v>256</v>
      </c>
      <c r="C25" s="11"/>
      <c r="D25" s="4">
        <f>SUM(OSRRefD16x_0)</f>
        <v>25239.5</v>
      </c>
      <c r="E25" s="4"/>
      <c r="F25" s="13">
        <f t="shared" ref="F25:F27" si="10">IF(D$12=0,0,D25/D$12)</f>
        <v>0.26072244894712632</v>
      </c>
      <c r="G25" s="4"/>
      <c r="H25" s="4">
        <f>SUM(OSRRefH16x_0)</f>
        <v>52164.21</v>
      </c>
      <c r="I25" s="4"/>
      <c r="J25" s="13">
        <f t="shared" ref="J25:J27" si="11">IF(H$12=0,0,H25/H$12)</f>
        <v>-0.39033696171743976</v>
      </c>
      <c r="K25" s="4"/>
      <c r="L25" s="4">
        <f t="shared" ref="L25:L27" si="12">+D25-H25</f>
        <v>-26924.71</v>
      </c>
      <c r="M25" s="4"/>
      <c r="N25" s="13">
        <f t="shared" ref="N25:N27" si="13">IF(H25=0,0,L25/H25)</f>
        <v>-0.51615293320842004</v>
      </c>
      <c r="O25" s="11"/>
      <c r="P25" s="4">
        <f>SUM(OSRRefP16x_0)</f>
        <v>484074.91</v>
      </c>
      <c r="Q25" s="4"/>
      <c r="R25" s="13">
        <f t="shared" ref="R25:R27" si="14">IF(P$12=0,0,P25/P$12)</f>
        <v>0.30121663292079409</v>
      </c>
      <c r="S25" s="4"/>
      <c r="T25" s="4">
        <f>SUM(OSRRefT16x_0)</f>
        <v>3892138.61</v>
      </c>
      <c r="U25" s="4"/>
      <c r="V25" s="13">
        <f t="shared" ref="V25:V27" si="15">IF(T$12=0,0,T25/T$12)</f>
        <v>0.28499454290033649</v>
      </c>
      <c r="W25" s="4"/>
      <c r="X25" s="4">
        <f t="shared" ref="X25:X27" si="16">+P25-T25</f>
        <v>-3408063.6999999997</v>
      </c>
      <c r="Y25" s="4"/>
      <c r="Z25" s="13">
        <f t="shared" ref="Z25:Z27" si="17">IF(T25=0,0,X25/T25)</f>
        <v>-0.87562752550582978</v>
      </c>
    </row>
    <row r="26" spans="1:26" s="23" customFormat="1" hidden="1" outlineLevel="1" x14ac:dyDescent="0.25">
      <c r="A26" s="44"/>
      <c r="B26" s="10" t="str">
        <f>CONCATENATE("          ", "5053", " - ", "PURCHASES @ COST-FOOD")</f>
        <v xml:space="preserve">          5053 - PURCHASES @ COST-FOOD</v>
      </c>
      <c r="C26" s="10"/>
      <c r="D26" s="2">
        <v>20419.5</v>
      </c>
      <c r="E26" s="2"/>
      <c r="F26" s="19">
        <f t="shared" si="10"/>
        <v>0.21093215183644071</v>
      </c>
      <c r="G26" s="2"/>
      <c r="H26" s="2">
        <v>12722.21</v>
      </c>
      <c r="I26" s="2"/>
      <c r="J26" s="19">
        <f t="shared" si="11"/>
        <v>-9.5198389810393538E-2</v>
      </c>
      <c r="K26" s="2"/>
      <c r="L26" s="2">
        <f t="shared" si="12"/>
        <v>7697.2900000000009</v>
      </c>
      <c r="M26" s="2"/>
      <c r="N26" s="19">
        <f t="shared" si="13"/>
        <v>0.60502774282141247</v>
      </c>
      <c r="O26" s="10"/>
      <c r="P26" s="2">
        <v>476295.6</v>
      </c>
      <c r="Q26" s="2"/>
      <c r="R26" s="19">
        <f t="shared" si="14"/>
        <v>0.29637594087863256</v>
      </c>
      <c r="S26" s="2"/>
      <c r="T26" s="2">
        <v>3786321.88</v>
      </c>
      <c r="U26" s="2"/>
      <c r="V26" s="19">
        <f t="shared" si="15"/>
        <v>0.27724631149869117</v>
      </c>
      <c r="W26" s="2"/>
      <c r="X26" s="2">
        <f t="shared" si="16"/>
        <v>-3310026.28</v>
      </c>
      <c r="Y26" s="2"/>
      <c r="Z26" s="19">
        <f t="shared" si="17"/>
        <v>-0.87420625739299263</v>
      </c>
    </row>
    <row r="27" spans="1:26" s="23" customFormat="1" hidden="1" outlineLevel="1" x14ac:dyDescent="0.25">
      <c r="A27" s="44"/>
      <c r="B27" s="10" t="str">
        <f>CONCATENATE("          ", "5059", " - ", "PURCHASES @ COST-FOOD")</f>
        <v xml:space="preserve">          5059 - PURCHASES @ COST-FOOD</v>
      </c>
      <c r="C27" s="10"/>
      <c r="D27" s="2">
        <v>4820</v>
      </c>
      <c r="E27" s="2"/>
      <c r="F27" s="19">
        <f t="shared" si="10"/>
        <v>4.9790297110685583E-2</v>
      </c>
      <c r="G27" s="2"/>
      <c r="H27" s="2">
        <v>39442</v>
      </c>
      <c r="I27" s="2"/>
      <c r="J27" s="19">
        <f t="shared" si="11"/>
        <v>-0.29513857190704623</v>
      </c>
      <c r="K27" s="2"/>
      <c r="L27" s="2">
        <f t="shared" si="12"/>
        <v>-34622</v>
      </c>
      <c r="M27" s="2"/>
      <c r="N27" s="19">
        <f t="shared" si="13"/>
        <v>-0.87779524364890216</v>
      </c>
      <c r="O27" s="10"/>
      <c r="P27" s="2">
        <v>7779.31</v>
      </c>
      <c r="Q27" s="2"/>
      <c r="R27" s="19">
        <f t="shared" si="14"/>
        <v>4.8406920421615379E-3</v>
      </c>
      <c r="S27" s="2"/>
      <c r="T27" s="2">
        <v>105816.73</v>
      </c>
      <c r="U27" s="2"/>
      <c r="V27" s="19">
        <f t="shared" si="15"/>
        <v>7.7482314016453606E-3</v>
      </c>
      <c r="W27" s="2"/>
      <c r="X27" s="2">
        <f t="shared" si="16"/>
        <v>-98037.42</v>
      </c>
      <c r="Y27" s="2"/>
      <c r="Z27" s="19">
        <f t="shared" si="17"/>
        <v>-0.92648317520301371</v>
      </c>
    </row>
    <row r="28" spans="1:26" x14ac:dyDescent="0.25">
      <c r="A28" s="9"/>
      <c r="B28" s="11"/>
      <c r="C28" s="11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O28" s="11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4" customFormat="1" x14ac:dyDescent="0.25">
      <c r="A29" s="11"/>
      <c r="B29" s="28" t="s">
        <v>107</v>
      </c>
      <c r="C29" s="28"/>
      <c r="D29" s="21">
        <f>D12-D25</f>
        <v>71566.510000000009</v>
      </c>
      <c r="E29" s="14"/>
      <c r="F29" s="22">
        <f>IF(D$12=0,0,D29/D$12)</f>
        <v>0.73927755105287374</v>
      </c>
      <c r="G29" s="14"/>
      <c r="H29" s="21">
        <f>H12-H25</f>
        <v>-185803.13</v>
      </c>
      <c r="I29" s="14"/>
      <c r="J29" s="22">
        <f>IF(H$12=0,0,H29/H$12)</f>
        <v>1.3903369617174397</v>
      </c>
      <c r="K29" s="15"/>
      <c r="L29" s="21">
        <f>+D29-H29</f>
        <v>257369.64</v>
      </c>
      <c r="M29" s="15"/>
      <c r="N29" s="22">
        <f>IF(H29=0,0,L29/H29)</f>
        <v>-1.3851738665543472</v>
      </c>
      <c r="O29" s="29"/>
      <c r="P29" s="21">
        <f>P12-P25</f>
        <v>1122990.76</v>
      </c>
      <c r="Q29" s="14"/>
      <c r="R29" s="22">
        <f>IF(P$12=0,0,P29/P$12)</f>
        <v>0.69878336707920596</v>
      </c>
      <c r="S29" s="14"/>
      <c r="T29" s="21">
        <f>T12-T25</f>
        <v>9764749.5900000017</v>
      </c>
      <c r="U29" s="14"/>
      <c r="V29" s="22">
        <f>IF(T$12=0,0,T29/T$12)</f>
        <v>0.71500545709966357</v>
      </c>
      <c r="W29" s="15"/>
      <c r="X29" s="21">
        <f>+P29-T29</f>
        <v>-8641758.8300000019</v>
      </c>
      <c r="Y29" s="15"/>
      <c r="Z29" s="22">
        <f>IF(T29=0,0,X29/T29)</f>
        <v>-0.88499543693879823</v>
      </c>
    </row>
    <row r="30" spans="1:26" x14ac:dyDescent="0.25">
      <c r="A30" s="9"/>
      <c r="B30" s="11"/>
      <c r="C30" s="9"/>
      <c r="D30" s="1"/>
      <c r="E30" s="1"/>
      <c r="F30" s="5"/>
      <c r="G30" s="1"/>
      <c r="H30" s="1"/>
      <c r="I30" s="1"/>
      <c r="J30" s="5"/>
      <c r="K30" s="1"/>
      <c r="L30" s="1"/>
      <c r="M30" s="1"/>
      <c r="N30" s="5"/>
      <c r="O30" s="37"/>
      <c r="P30" s="1"/>
      <c r="Q30" s="1"/>
      <c r="R30" s="5"/>
      <c r="S30" s="1"/>
      <c r="T30" s="1"/>
      <c r="U30" s="1"/>
      <c r="V30" s="5"/>
      <c r="W30" s="1"/>
      <c r="X30" s="1"/>
      <c r="Y30" s="1"/>
      <c r="Z30" s="5"/>
    </row>
    <row r="31" spans="1:26" s="24" customFormat="1" x14ac:dyDescent="0.25">
      <c r="A31" s="11"/>
      <c r="B31" s="29" t="s">
        <v>294</v>
      </c>
      <c r="C31" s="11"/>
      <c r="D31" s="20">
        <f>SUM(OSRRefD22x_0)</f>
        <v>358807.16</v>
      </c>
      <c r="E31" s="20"/>
      <c r="F31" s="32">
        <f t="shared" ref="F31:F41" si="18">IF(D$12=0,0,D31/D$12)</f>
        <v>3.7064554153197715</v>
      </c>
      <c r="G31" s="20"/>
      <c r="H31" s="20">
        <f>SUM(OSRRefH22x_0)</f>
        <v>293034.8</v>
      </c>
      <c r="I31" s="20"/>
      <c r="J31" s="32">
        <f t="shared" ref="J31:J41" si="19">IF(H$12=0,0,H31/H$12)</f>
        <v>-2.1927354695772756</v>
      </c>
      <c r="K31" s="4"/>
      <c r="L31" s="20">
        <f t="shared" ref="L31:L41" si="20">+D31-H31</f>
        <v>65772.359999999986</v>
      </c>
      <c r="M31" s="4"/>
      <c r="N31" s="32">
        <f t="shared" ref="N31:N41" si="21">IF(H31=0,0,L31/H31)</f>
        <v>0.2244523858599729</v>
      </c>
      <c r="O31" s="11"/>
      <c r="P31" s="20">
        <f>SUM(OSRRefP22x_0)</f>
        <v>4060338.0699999994</v>
      </c>
      <c r="Q31" s="20"/>
      <c r="R31" s="32">
        <f t="shared" ref="R31:R41" si="22">IF(P$12=0,0,P31/P$12)</f>
        <v>2.5265539210976984</v>
      </c>
      <c r="S31" s="20"/>
      <c r="T31" s="20">
        <f>SUM(OSRRefT22x_0)</f>
        <v>9803876.0300000068</v>
      </c>
      <c r="U31" s="20"/>
      <c r="V31" s="32">
        <f t="shared" ref="V31:V41" si="23">IF(T$12=0,0,T31/T$12)</f>
        <v>0.71787041721554157</v>
      </c>
      <c r="W31" s="4"/>
      <c r="X31" s="20">
        <f t="shared" ref="X31:X41" si="24">+P31-T31</f>
        <v>-5743537.9600000074</v>
      </c>
      <c r="Y31" s="4"/>
      <c r="Z31" s="32">
        <f t="shared" ref="Z31:Z41" si="25">IF(T31=0,0,X31/T31)</f>
        <v>-0.58584359312833978</v>
      </c>
    </row>
    <row r="32" spans="1:26" s="27" customFormat="1" outlineLevel="1" collapsed="1" x14ac:dyDescent="0.25">
      <c r="A32" s="26"/>
      <c r="B32" s="12" t="str">
        <f>CONCATENATE("     ","*Benefits                                         ")</f>
        <v xml:space="preserve">     *Benefits                                         </v>
      </c>
      <c r="C32" s="12"/>
      <c r="D32" s="1">
        <f>SUM(OSRRefD22_0x_0)</f>
        <v>95671.909999999989</v>
      </c>
      <c r="E32" s="1"/>
      <c r="F32" s="5">
        <f t="shared" si="18"/>
        <v>0.98828481826696479</v>
      </c>
      <c r="G32" s="1"/>
      <c r="H32" s="1">
        <f>SUM(OSRRefH22_0x_0)</f>
        <v>80794.540000000008</v>
      </c>
      <c r="I32" s="1"/>
      <c r="J32" s="5">
        <f t="shared" si="19"/>
        <v>-0.60457342816000015</v>
      </c>
      <c r="K32" s="1"/>
      <c r="L32" s="1">
        <f t="shared" si="20"/>
        <v>14877.369999999981</v>
      </c>
      <c r="M32" s="1"/>
      <c r="N32" s="5">
        <f t="shared" si="21"/>
        <v>0.18413830934615111</v>
      </c>
      <c r="O32" s="12"/>
      <c r="P32" s="1">
        <f>SUM(OSRRefP22_0x_0)</f>
        <v>1172676.9000000001</v>
      </c>
      <c r="Q32" s="1"/>
      <c r="R32" s="5">
        <f t="shared" si="22"/>
        <v>0.7297006724062497</v>
      </c>
      <c r="S32" s="1"/>
      <c r="T32" s="1">
        <f>SUM(OSRRefT22_0x_0)</f>
        <v>1642370.6900000004</v>
      </c>
      <c r="U32" s="1"/>
      <c r="V32" s="5">
        <f t="shared" si="23"/>
        <v>0.12025951050840412</v>
      </c>
      <c r="W32" s="1"/>
      <c r="X32" s="1">
        <f t="shared" si="24"/>
        <v>-469693.79000000027</v>
      </c>
      <c r="Y32" s="1"/>
      <c r="Z32" s="5">
        <f t="shared" si="25"/>
        <v>-0.28598524855555002</v>
      </c>
    </row>
    <row r="33" spans="1:26" s="23" customFormat="1" hidden="1" outlineLevel="2" x14ac:dyDescent="0.25">
      <c r="A33" s="25"/>
      <c r="B33" s="10" t="str">
        <f>CONCATENATE("          ", "6111", " - ", "F.I.C.A.")</f>
        <v xml:space="preserve">          6111 - F.I.C.A.</v>
      </c>
      <c r="C33" s="10"/>
      <c r="D33" s="6">
        <v>9336.73</v>
      </c>
      <c r="E33" s="2"/>
      <c r="F33" s="7">
        <f t="shared" si="18"/>
        <v>9.6447834178890329E-2</v>
      </c>
      <c r="G33" s="2"/>
      <c r="H33" s="6">
        <v>9423.8700000000008</v>
      </c>
      <c r="I33" s="2"/>
      <c r="J33" s="7">
        <f t="shared" si="19"/>
        <v>-7.0517406156829165E-2</v>
      </c>
      <c r="K33" s="2"/>
      <c r="L33" s="6">
        <f t="shared" si="20"/>
        <v>-87.140000000001237</v>
      </c>
      <c r="M33" s="2"/>
      <c r="N33" s="7">
        <f t="shared" si="21"/>
        <v>-9.2467319689258486E-3</v>
      </c>
      <c r="O33" s="10"/>
      <c r="P33" s="6">
        <v>126606.75</v>
      </c>
      <c r="Q33" s="2"/>
      <c r="R33" s="7">
        <f t="shared" si="22"/>
        <v>7.8781317007412643E-2</v>
      </c>
      <c r="S33" s="2"/>
      <c r="T33" s="6">
        <v>287420.75</v>
      </c>
      <c r="U33" s="2"/>
      <c r="V33" s="7">
        <f t="shared" si="23"/>
        <v>2.1045844836014693E-2</v>
      </c>
      <c r="W33" s="2"/>
      <c r="X33" s="6">
        <f t="shared" si="24"/>
        <v>-160814</v>
      </c>
      <c r="Y33" s="2"/>
      <c r="Z33" s="7">
        <f t="shared" si="25"/>
        <v>-0.55950727287434887</v>
      </c>
    </row>
    <row r="34" spans="1:26" s="23" customFormat="1" hidden="1" outlineLevel="2" x14ac:dyDescent="0.25">
      <c r="A34" s="25"/>
      <c r="B34" s="10" t="str">
        <f>CONCATENATE("          ", "6112", " - ", "COMPENSATION INSURANCE")</f>
        <v xml:space="preserve">          6112 - COMPENSATION INSURANCE</v>
      </c>
      <c r="C34" s="10"/>
      <c r="D34" s="6">
        <v>4508.42</v>
      </c>
      <c r="E34" s="2"/>
      <c r="F34" s="7">
        <f t="shared" si="18"/>
        <v>4.6571695290406036E-2</v>
      </c>
      <c r="G34" s="2"/>
      <c r="H34" s="6">
        <v>4134.12</v>
      </c>
      <c r="I34" s="2"/>
      <c r="J34" s="7">
        <f t="shared" si="19"/>
        <v>-3.0935000073331928E-2</v>
      </c>
      <c r="K34" s="2"/>
      <c r="L34" s="6">
        <f t="shared" si="20"/>
        <v>374.30000000000018</v>
      </c>
      <c r="M34" s="2"/>
      <c r="N34" s="7">
        <f t="shared" si="21"/>
        <v>9.0539219954911848E-2</v>
      </c>
      <c r="O34" s="10"/>
      <c r="P34" s="6">
        <v>67751.44</v>
      </c>
      <c r="Q34" s="2"/>
      <c r="R34" s="7">
        <f t="shared" si="22"/>
        <v>4.2158476324119357E-2</v>
      </c>
      <c r="S34" s="2"/>
      <c r="T34" s="6">
        <v>166799.38</v>
      </c>
      <c r="U34" s="2"/>
      <c r="V34" s="7">
        <f t="shared" si="23"/>
        <v>1.2213571463519778E-2</v>
      </c>
      <c r="W34" s="2"/>
      <c r="X34" s="6">
        <f t="shared" si="24"/>
        <v>-99047.94</v>
      </c>
      <c r="Y34" s="2"/>
      <c r="Z34" s="7">
        <f t="shared" si="25"/>
        <v>-0.59381479715332275</v>
      </c>
    </row>
    <row r="35" spans="1:26" s="23" customFormat="1" hidden="1" outlineLevel="2" x14ac:dyDescent="0.25">
      <c r="A35" s="25"/>
      <c r="B35" s="10" t="str">
        <f>CONCATENATE("          ", "6113", " - ", "GROUP INSURANCE")</f>
        <v xml:space="preserve">          6113 - GROUP INSURANCE</v>
      </c>
      <c r="C35" s="10"/>
      <c r="D35" s="6">
        <v>53382.080000000002</v>
      </c>
      <c r="E35" s="2"/>
      <c r="F35" s="7">
        <f t="shared" si="18"/>
        <v>0.55143353186439559</v>
      </c>
      <c r="G35" s="2"/>
      <c r="H35" s="6">
        <v>55309.62</v>
      </c>
      <c r="I35" s="2"/>
      <c r="J35" s="7">
        <f t="shared" si="19"/>
        <v>-0.41387359311194671</v>
      </c>
      <c r="K35" s="2"/>
      <c r="L35" s="6">
        <f t="shared" si="20"/>
        <v>-1927.5400000000009</v>
      </c>
      <c r="M35" s="2"/>
      <c r="N35" s="7">
        <f t="shared" si="21"/>
        <v>-3.4849995353430391E-2</v>
      </c>
      <c r="O35" s="10"/>
      <c r="P35" s="6">
        <v>650606.31999999995</v>
      </c>
      <c r="Q35" s="2"/>
      <c r="R35" s="7">
        <f t="shared" si="22"/>
        <v>0.40484115375322527</v>
      </c>
      <c r="S35" s="2"/>
      <c r="T35" s="6">
        <v>807271.55</v>
      </c>
      <c r="U35" s="2"/>
      <c r="V35" s="7">
        <f t="shared" si="23"/>
        <v>5.9110943736070121E-2</v>
      </c>
      <c r="W35" s="2"/>
      <c r="X35" s="6">
        <f t="shared" si="24"/>
        <v>-156665.2300000001</v>
      </c>
      <c r="Y35" s="2"/>
      <c r="Z35" s="7">
        <f t="shared" si="25"/>
        <v>-0.19406757242962433</v>
      </c>
    </row>
    <row r="36" spans="1:26" s="23" customFormat="1" hidden="1" outlineLevel="2" x14ac:dyDescent="0.25">
      <c r="A36" s="25"/>
      <c r="B36" s="10" t="str">
        <f>CONCATENATE("          ", "6114", " - ", "STATE UNEMPLOYMENT INSURANCE")</f>
        <v xml:space="preserve">          6114 - STATE UNEMPLOYMENT INSURANCE</v>
      </c>
      <c r="C36" s="10"/>
      <c r="D36" s="6">
        <v>314.92</v>
      </c>
      <c r="E36" s="2"/>
      <c r="F36" s="7">
        <f t="shared" si="18"/>
        <v>3.2531038103935902E-3</v>
      </c>
      <c r="G36" s="2"/>
      <c r="H36" s="6">
        <v>-13299.63</v>
      </c>
      <c r="I36" s="2"/>
      <c r="J36" s="7">
        <f t="shared" si="19"/>
        <v>9.9519137089704085E-2</v>
      </c>
      <c r="K36" s="2"/>
      <c r="L36" s="6">
        <f t="shared" si="20"/>
        <v>13614.55</v>
      </c>
      <c r="M36" s="2"/>
      <c r="N36" s="7">
        <f t="shared" si="21"/>
        <v>-1.023678854223764</v>
      </c>
      <c r="O36" s="10"/>
      <c r="P36" s="6">
        <v>4785.79</v>
      </c>
      <c r="Q36" s="2"/>
      <c r="R36" s="7">
        <f t="shared" si="22"/>
        <v>2.9779679134082928E-3</v>
      </c>
      <c r="S36" s="2"/>
      <c r="T36" s="6">
        <v>0</v>
      </c>
      <c r="U36" s="2"/>
      <c r="V36" s="7">
        <f t="shared" si="23"/>
        <v>0</v>
      </c>
      <c r="W36" s="2"/>
      <c r="X36" s="6">
        <f t="shared" si="24"/>
        <v>4785.79</v>
      </c>
      <c r="Y36" s="2"/>
      <c r="Z36" s="7">
        <f t="shared" si="25"/>
        <v>0</v>
      </c>
    </row>
    <row r="37" spans="1:26" s="23" customFormat="1" hidden="1" outlineLevel="2" x14ac:dyDescent="0.25">
      <c r="A37" s="25"/>
      <c r="B37" s="10" t="str">
        <f>CONCATENATE("          ", "6115", " - ", "P.E.R.S.")</f>
        <v xml:space="preserve">          6115 - P.E.R.S.</v>
      </c>
      <c r="C37" s="10"/>
      <c r="D37" s="6">
        <v>9566.91</v>
      </c>
      <c r="E37" s="2"/>
      <c r="F37" s="7">
        <f t="shared" si="18"/>
        <v>9.8825579114354564E-2</v>
      </c>
      <c r="G37" s="2"/>
      <c r="H37" s="6">
        <v>6347.38</v>
      </c>
      <c r="I37" s="2"/>
      <c r="J37" s="7">
        <f t="shared" si="19"/>
        <v>-4.7496492788178767E-2</v>
      </c>
      <c r="K37" s="2"/>
      <c r="L37" s="6">
        <f t="shared" si="20"/>
        <v>3219.5299999999997</v>
      </c>
      <c r="M37" s="2"/>
      <c r="N37" s="7">
        <f t="shared" si="21"/>
        <v>0.50722187737302626</v>
      </c>
      <c r="O37" s="10"/>
      <c r="P37" s="6">
        <v>88114.559999999998</v>
      </c>
      <c r="Q37" s="2"/>
      <c r="R37" s="7">
        <f t="shared" si="22"/>
        <v>5.4829470658781479E-2</v>
      </c>
      <c r="S37" s="2"/>
      <c r="T37" s="6">
        <v>130686.27</v>
      </c>
      <c r="U37" s="2"/>
      <c r="V37" s="7">
        <f t="shared" si="23"/>
        <v>9.5692567798863568E-3</v>
      </c>
      <c r="W37" s="2"/>
      <c r="X37" s="6">
        <f t="shared" si="24"/>
        <v>-42571.710000000006</v>
      </c>
      <c r="Y37" s="2"/>
      <c r="Z37" s="7">
        <f t="shared" si="25"/>
        <v>-0.32575503149642271</v>
      </c>
    </row>
    <row r="38" spans="1:26" s="23" customFormat="1" hidden="1" outlineLevel="2" x14ac:dyDescent="0.25">
      <c r="A38" s="25"/>
      <c r="B38" s="10" t="str">
        <f>CONCATENATE("          ", "6117", " - ", "RETIREMENT STAFF HOURLY")</f>
        <v xml:space="preserve">          6117 - RETIREMENT STAFF HOURLY</v>
      </c>
      <c r="C38" s="10"/>
      <c r="D38" s="6">
        <v>1294.78</v>
      </c>
      <c r="E38" s="2"/>
      <c r="F38" s="7">
        <f t="shared" si="18"/>
        <v>1.3374996035886613E-2</v>
      </c>
      <c r="G38" s="2"/>
      <c r="H38" s="6">
        <v>1453.91</v>
      </c>
      <c r="I38" s="2"/>
      <c r="J38" s="7">
        <f t="shared" si="19"/>
        <v>-1.0879390524856081E-2</v>
      </c>
      <c r="K38" s="2"/>
      <c r="L38" s="6">
        <f t="shared" si="20"/>
        <v>-159.13000000000011</v>
      </c>
      <c r="M38" s="2"/>
      <c r="N38" s="7">
        <f t="shared" si="21"/>
        <v>-0.10944969083368303</v>
      </c>
      <c r="O38" s="10"/>
      <c r="P38" s="6">
        <v>18126.740000000002</v>
      </c>
      <c r="Q38" s="2"/>
      <c r="R38" s="7">
        <f t="shared" si="22"/>
        <v>1.1279402166558634E-2</v>
      </c>
      <c r="S38" s="2"/>
      <c r="T38" s="6">
        <v>22230.05</v>
      </c>
      <c r="U38" s="2"/>
      <c r="V38" s="7">
        <f t="shared" si="23"/>
        <v>1.6277536781768482E-3</v>
      </c>
      <c r="W38" s="2"/>
      <c r="X38" s="6">
        <f t="shared" si="24"/>
        <v>-4103.3099999999977</v>
      </c>
      <c r="Y38" s="2"/>
      <c r="Z38" s="7">
        <f t="shared" si="25"/>
        <v>-0.18458393031054801</v>
      </c>
    </row>
    <row r="39" spans="1:26" s="23" customFormat="1" hidden="1" outlineLevel="2" x14ac:dyDescent="0.25">
      <c r="A39" s="25"/>
      <c r="B39" s="10" t="str">
        <f>CONCATENATE("          ", "6118", " - ", "VACATION")</f>
        <v xml:space="preserve">          6118 - VACATION</v>
      </c>
      <c r="C39" s="10"/>
      <c r="D39" s="6">
        <v>8559.56</v>
      </c>
      <c r="E39" s="2"/>
      <c r="F39" s="7">
        <f t="shared" si="18"/>
        <v>8.8419716916336072E-2</v>
      </c>
      <c r="G39" s="2"/>
      <c r="H39" s="6">
        <v>8390.6200000000008</v>
      </c>
      <c r="I39" s="2"/>
      <c r="J39" s="7">
        <f t="shared" si="19"/>
        <v>-6.2785751336511847E-2</v>
      </c>
      <c r="K39" s="2"/>
      <c r="L39" s="6">
        <f t="shared" si="20"/>
        <v>168.93999999999869</v>
      </c>
      <c r="M39" s="2"/>
      <c r="N39" s="7">
        <f t="shared" si="21"/>
        <v>2.013438816201886E-2</v>
      </c>
      <c r="O39" s="10"/>
      <c r="P39" s="6">
        <v>111186.51</v>
      </c>
      <c r="Q39" s="2"/>
      <c r="R39" s="7">
        <f t="shared" si="22"/>
        <v>6.9186040169721255E-2</v>
      </c>
      <c r="S39" s="2"/>
      <c r="T39" s="6">
        <v>176580.53</v>
      </c>
      <c r="U39" s="2"/>
      <c r="V39" s="7">
        <f t="shared" si="23"/>
        <v>1.2929777809852759E-2</v>
      </c>
      <c r="W39" s="2"/>
      <c r="X39" s="6">
        <f t="shared" si="24"/>
        <v>-65394.020000000004</v>
      </c>
      <c r="Y39" s="2"/>
      <c r="Z39" s="7">
        <f t="shared" si="25"/>
        <v>-0.37033539314895025</v>
      </c>
    </row>
    <row r="40" spans="1:26" s="23" customFormat="1" hidden="1" outlineLevel="2" x14ac:dyDescent="0.25">
      <c r="A40" s="25"/>
      <c r="B40" s="10" t="str">
        <f>CONCATENATE("          ", "6119", " - ", "SICK LEAVE")</f>
        <v xml:space="preserve">          6119 - SICK LEAVE</v>
      </c>
      <c r="C40" s="10"/>
      <c r="D40" s="6">
        <v>5387.89</v>
      </c>
      <c r="E40" s="2"/>
      <c r="F40" s="7">
        <f t="shared" si="18"/>
        <v>5.5656565124417377E-2</v>
      </c>
      <c r="G40" s="2"/>
      <c r="H40" s="6">
        <v>6128.13</v>
      </c>
      <c r="I40" s="2"/>
      <c r="J40" s="7">
        <f t="shared" si="19"/>
        <v>-4.5855877913410253E-2</v>
      </c>
      <c r="K40" s="2"/>
      <c r="L40" s="6">
        <f t="shared" si="20"/>
        <v>-740.23999999999978</v>
      </c>
      <c r="M40" s="2"/>
      <c r="N40" s="7">
        <f t="shared" si="21"/>
        <v>-0.12079378211624096</v>
      </c>
      <c r="O40" s="10"/>
      <c r="P40" s="6">
        <v>71644.94</v>
      </c>
      <c r="Q40" s="2"/>
      <c r="R40" s="7">
        <f t="shared" si="22"/>
        <v>4.4581214904553343E-2</v>
      </c>
      <c r="S40" s="2"/>
      <c r="T40" s="6">
        <v>-16128.72</v>
      </c>
      <c r="U40" s="2"/>
      <c r="V40" s="7">
        <f t="shared" si="23"/>
        <v>-1.1809952431184139E-3</v>
      </c>
      <c r="W40" s="2"/>
      <c r="X40" s="6">
        <f t="shared" si="24"/>
        <v>87773.66</v>
      </c>
      <c r="Y40" s="2"/>
      <c r="Z40" s="7">
        <f t="shared" si="25"/>
        <v>-5.442072278519313</v>
      </c>
    </row>
    <row r="41" spans="1:26" s="23" customFormat="1" hidden="1" outlineLevel="2" x14ac:dyDescent="0.25">
      <c r="A41" s="25"/>
      <c r="B41" s="10" t="str">
        <f>CONCATENATE("          ", "6156", " - ", "EMPLOYEE MEALS")</f>
        <v xml:space="preserve">          6156 - EMPLOYEE MEALS</v>
      </c>
      <c r="C41" s="10"/>
      <c r="D41" s="6">
        <v>3320.62</v>
      </c>
      <c r="E41" s="2"/>
      <c r="F41" s="7">
        <f t="shared" si="18"/>
        <v>3.4301795931884801E-2</v>
      </c>
      <c r="G41" s="2"/>
      <c r="H41" s="6">
        <v>2906.52</v>
      </c>
      <c r="I41" s="2"/>
      <c r="J41" s="7">
        <f t="shared" si="19"/>
        <v>-2.1749053344639419E-2</v>
      </c>
      <c r="K41" s="2"/>
      <c r="L41" s="6">
        <f t="shared" si="20"/>
        <v>414.09999999999991</v>
      </c>
      <c r="M41" s="2"/>
      <c r="N41" s="7">
        <f t="shared" si="21"/>
        <v>0.14247278532403007</v>
      </c>
      <c r="O41" s="10"/>
      <c r="P41" s="6">
        <v>33853.85</v>
      </c>
      <c r="Q41" s="2"/>
      <c r="R41" s="7">
        <f t="shared" si="22"/>
        <v>2.1065629508469307E-2</v>
      </c>
      <c r="S41" s="2"/>
      <c r="T41" s="6">
        <v>67510.880000000005</v>
      </c>
      <c r="U41" s="2"/>
      <c r="V41" s="7">
        <f t="shared" si="23"/>
        <v>4.9433574480019539E-3</v>
      </c>
      <c r="W41" s="2"/>
      <c r="X41" s="6">
        <f t="shared" si="24"/>
        <v>-33657.030000000006</v>
      </c>
      <c r="Y41" s="2"/>
      <c r="Z41" s="7">
        <f t="shared" si="25"/>
        <v>-0.49854230903226271</v>
      </c>
    </row>
    <row r="42" spans="1:26" s="27" customFormat="1" outlineLevel="1" collapsed="1" x14ac:dyDescent="0.25">
      <c r="A42" s="26"/>
      <c r="B42" s="12" t="str">
        <f>CONCATENATE("     ","*Payroll                                          ")</f>
        <v xml:space="preserve">     *Payroll                                          </v>
      </c>
      <c r="C42" s="12"/>
      <c r="D42" s="1">
        <f>SUM(OSRRefD22_1x_0)</f>
        <v>104704.26999999999</v>
      </c>
      <c r="E42" s="1"/>
      <c r="F42" s="5">
        <f t="shared" ref="F42:F49" si="26">IF(D$12=0,0,D42/D$12)</f>
        <v>1.0815885294724985</v>
      </c>
      <c r="G42" s="1"/>
      <c r="H42" s="1">
        <f>SUM(OSRRefH22_1x_0)</f>
        <v>92216.22</v>
      </c>
      <c r="I42" s="1"/>
      <c r="J42" s="5">
        <f t="shared" ref="J42:J49" si="27">IF(H$12=0,0,H42/H$12)</f>
        <v>-0.69004014698712013</v>
      </c>
      <c r="K42" s="1"/>
      <c r="L42" s="1">
        <f t="shared" ref="L42:L49" si="28">+D42-H42</f>
        <v>12488.049999999988</v>
      </c>
      <c r="M42" s="1"/>
      <c r="N42" s="5">
        <f t="shared" ref="N42:N49" si="29">IF(H42=0,0,L42/H42)</f>
        <v>0.13542140417379922</v>
      </c>
      <c r="O42" s="12"/>
      <c r="P42" s="1">
        <f>SUM(OSRRefP22_1x_0)</f>
        <v>1582325.4399999997</v>
      </c>
      <c r="Q42" s="1"/>
      <c r="R42" s="5">
        <f t="shared" ref="R42:R49" si="30">IF(P$12=0,0,P42/P$12)</f>
        <v>0.98460533974321018</v>
      </c>
      <c r="S42" s="1"/>
      <c r="T42" s="1">
        <f>SUM(OSRRefT22_1x_0)</f>
        <v>4759974.3900000006</v>
      </c>
      <c r="U42" s="1"/>
      <c r="V42" s="5">
        <f t="shared" ref="V42:V49" si="31">IF(T$12=0,0,T42/T$12)</f>
        <v>0.34854018867929226</v>
      </c>
      <c r="W42" s="1"/>
      <c r="X42" s="1">
        <f t="shared" ref="X42:X49" si="32">+P42-T42</f>
        <v>-3177648.9500000011</v>
      </c>
      <c r="Y42" s="1"/>
      <c r="Z42" s="5">
        <f t="shared" ref="Z42:Z49" si="33">IF(T42=0,0,X42/T42)</f>
        <v>-0.6675769005555513</v>
      </c>
    </row>
    <row r="43" spans="1:26" s="23" customFormat="1" hidden="1" outlineLevel="2" x14ac:dyDescent="0.25">
      <c r="A43" s="25"/>
      <c r="B43" s="10" t="str">
        <f>CONCATENATE("          ", "6001", " - ", "ADMINISTRATIVE SALARIES")</f>
        <v xml:space="preserve">          6001 - ADMINISTRATIVE SALARIES</v>
      </c>
      <c r="C43" s="10"/>
      <c r="D43" s="6">
        <v>17340.95</v>
      </c>
      <c r="E43" s="2"/>
      <c r="F43" s="7">
        <f t="shared" si="26"/>
        <v>0.17913092379285128</v>
      </c>
      <c r="G43" s="2"/>
      <c r="H43" s="6">
        <v>16260.06</v>
      </c>
      <c r="I43" s="2"/>
      <c r="J43" s="7">
        <f t="shared" si="27"/>
        <v>-0.12167159088086014</v>
      </c>
      <c r="K43" s="2"/>
      <c r="L43" s="6">
        <f t="shared" si="28"/>
        <v>1080.8900000000012</v>
      </c>
      <c r="M43" s="2"/>
      <c r="N43" s="7">
        <f t="shared" si="29"/>
        <v>6.6475154458224703E-2</v>
      </c>
      <c r="O43" s="10"/>
      <c r="P43" s="6">
        <v>236822.94</v>
      </c>
      <c r="Q43" s="2"/>
      <c r="R43" s="7">
        <f t="shared" si="30"/>
        <v>0.14736357351221374</v>
      </c>
      <c r="S43" s="2"/>
      <c r="T43" s="6">
        <v>287329.51</v>
      </c>
      <c r="U43" s="2"/>
      <c r="V43" s="7">
        <f t="shared" si="31"/>
        <v>2.1039163958302007E-2</v>
      </c>
      <c r="W43" s="2"/>
      <c r="X43" s="6">
        <f t="shared" si="32"/>
        <v>-50506.570000000007</v>
      </c>
      <c r="Y43" s="2"/>
      <c r="Z43" s="7">
        <f t="shared" si="33"/>
        <v>-0.17577926471945052</v>
      </c>
    </row>
    <row r="44" spans="1:26" s="23" customFormat="1" hidden="1" outlineLevel="2" x14ac:dyDescent="0.25">
      <c r="A44" s="25"/>
      <c r="B44" s="10" t="str">
        <f>CONCATENATE("          ", "6002", " - ", "STAFF SALARIES")</f>
        <v xml:space="preserve">          6002 - STAFF SALARIES</v>
      </c>
      <c r="C44" s="10"/>
      <c r="D44" s="6">
        <v>38618.65</v>
      </c>
      <c r="E44" s="2"/>
      <c r="F44" s="7">
        <f t="shared" si="26"/>
        <v>0.39892822769991243</v>
      </c>
      <c r="G44" s="2"/>
      <c r="H44" s="6">
        <v>45105.95</v>
      </c>
      <c r="I44" s="2"/>
      <c r="J44" s="7">
        <f t="shared" si="27"/>
        <v>-0.33752106048148245</v>
      </c>
      <c r="K44" s="2"/>
      <c r="L44" s="6">
        <f t="shared" si="28"/>
        <v>-6487.2999999999956</v>
      </c>
      <c r="M44" s="2"/>
      <c r="N44" s="7">
        <f t="shared" si="29"/>
        <v>-0.14382359755198584</v>
      </c>
      <c r="O44" s="10"/>
      <c r="P44" s="6">
        <v>519962.09</v>
      </c>
      <c r="Q44" s="2"/>
      <c r="R44" s="7">
        <f t="shared" si="30"/>
        <v>0.32354750630694518</v>
      </c>
      <c r="S44" s="2"/>
      <c r="T44" s="6">
        <v>1058878.48</v>
      </c>
      <c r="U44" s="2"/>
      <c r="V44" s="7">
        <f t="shared" si="31"/>
        <v>7.7534388836836193E-2</v>
      </c>
      <c r="W44" s="2"/>
      <c r="X44" s="6">
        <f t="shared" si="32"/>
        <v>-538916.3899999999</v>
      </c>
      <c r="Y44" s="2"/>
      <c r="Z44" s="7">
        <f t="shared" si="33"/>
        <v>-0.50895017717236057</v>
      </c>
    </row>
    <row r="45" spans="1:26" s="23" customFormat="1" hidden="1" outlineLevel="2" x14ac:dyDescent="0.25">
      <c r="A45" s="25"/>
      <c r="B45" s="10" t="str">
        <f>CONCATENATE("          ", "6004", " - ", "STAFF HOURLY")</f>
        <v xml:space="preserve">          6004 - STAFF HOURLY</v>
      </c>
      <c r="C45" s="10"/>
      <c r="D45" s="6">
        <v>43013.96</v>
      </c>
      <c r="E45" s="2"/>
      <c r="F45" s="7">
        <f t="shared" si="26"/>
        <v>0.44433150379816289</v>
      </c>
      <c r="G45" s="2"/>
      <c r="H45" s="6">
        <v>30850.21</v>
      </c>
      <c r="I45" s="2"/>
      <c r="J45" s="7">
        <f t="shared" si="27"/>
        <v>-0.23084749562477755</v>
      </c>
      <c r="K45" s="2"/>
      <c r="L45" s="6">
        <f t="shared" si="28"/>
        <v>12163.75</v>
      </c>
      <c r="M45" s="2"/>
      <c r="N45" s="7">
        <f t="shared" si="29"/>
        <v>0.39428418801687248</v>
      </c>
      <c r="O45" s="10"/>
      <c r="P45" s="6">
        <v>579169.66</v>
      </c>
      <c r="Q45" s="2"/>
      <c r="R45" s="7">
        <f t="shared" si="30"/>
        <v>0.36038954151761582</v>
      </c>
      <c r="S45" s="2"/>
      <c r="T45" s="6">
        <v>917166.33</v>
      </c>
      <c r="U45" s="2"/>
      <c r="V45" s="7">
        <f t="shared" si="31"/>
        <v>6.7157782693132093E-2</v>
      </c>
      <c r="W45" s="2"/>
      <c r="X45" s="6">
        <f t="shared" si="32"/>
        <v>-337996.66999999993</v>
      </c>
      <c r="Y45" s="2"/>
      <c r="Z45" s="7">
        <f t="shared" si="33"/>
        <v>-0.36852276293221531</v>
      </c>
    </row>
    <row r="46" spans="1:26" s="23" customFormat="1" hidden="1" outlineLevel="2" x14ac:dyDescent="0.25">
      <c r="A46" s="25"/>
      <c r="B46" s="10" t="str">
        <f>CONCATENATE("          ", "6005", " - ", "TEMPORARY WAGES-HOURLY")</f>
        <v xml:space="preserve">          6005 - TEMPORARY WAGES-HOURLY</v>
      </c>
      <c r="C46" s="10"/>
      <c r="D46" s="6">
        <v>5617.03</v>
      </c>
      <c r="E46" s="2"/>
      <c r="F46" s="7">
        <f t="shared" si="26"/>
        <v>5.8023566925235318E-2</v>
      </c>
      <c r="G46" s="2"/>
      <c r="H46" s="6"/>
      <c r="I46" s="2"/>
      <c r="J46" s="7">
        <f t="shared" si="27"/>
        <v>0</v>
      </c>
      <c r="K46" s="2"/>
      <c r="L46" s="6">
        <f t="shared" si="28"/>
        <v>5617.03</v>
      </c>
      <c r="M46" s="2"/>
      <c r="N46" s="7">
        <f t="shared" si="29"/>
        <v>0</v>
      </c>
      <c r="O46" s="10"/>
      <c r="P46" s="6">
        <v>116015.42</v>
      </c>
      <c r="Q46" s="2"/>
      <c r="R46" s="7">
        <f t="shared" si="30"/>
        <v>7.2190839594003645E-2</v>
      </c>
      <c r="S46" s="2"/>
      <c r="T46" s="6">
        <v>831285.8</v>
      </c>
      <c r="U46" s="2"/>
      <c r="V46" s="7">
        <f t="shared" si="31"/>
        <v>6.0869342109720136E-2</v>
      </c>
      <c r="W46" s="2"/>
      <c r="X46" s="6">
        <f t="shared" si="32"/>
        <v>-715270.38</v>
      </c>
      <c r="Y46" s="2"/>
      <c r="Z46" s="7">
        <f t="shared" si="33"/>
        <v>-0.86043858802832907</v>
      </c>
    </row>
    <row r="47" spans="1:26" s="23" customFormat="1" hidden="1" outlineLevel="2" x14ac:dyDescent="0.25">
      <c r="A47" s="25"/>
      <c r="B47" s="10" t="str">
        <f>CONCATENATE("          ", "6006", " - ", "TEMPORARY PART TIME")</f>
        <v xml:space="preserve">          6006 - TEMPORARY PART TIME</v>
      </c>
      <c r="C47" s="10"/>
      <c r="D47" s="6"/>
      <c r="E47" s="2"/>
      <c r="F47" s="7">
        <f t="shared" si="26"/>
        <v>0</v>
      </c>
      <c r="G47" s="2"/>
      <c r="H47" s="6"/>
      <c r="I47" s="2"/>
      <c r="J47" s="7">
        <f t="shared" si="27"/>
        <v>0</v>
      </c>
      <c r="K47" s="2"/>
      <c r="L47" s="6">
        <f t="shared" si="28"/>
        <v>0</v>
      </c>
      <c r="M47" s="2"/>
      <c r="N47" s="7">
        <f t="shared" si="29"/>
        <v>0</v>
      </c>
      <c r="O47" s="10"/>
      <c r="P47" s="6">
        <v>2427.2199999999998</v>
      </c>
      <c r="Q47" s="2"/>
      <c r="R47" s="7">
        <f t="shared" si="30"/>
        <v>1.5103427602930501E-3</v>
      </c>
      <c r="S47" s="2"/>
      <c r="T47" s="6">
        <v>45957.26</v>
      </c>
      <c r="U47" s="2"/>
      <c r="V47" s="7">
        <f t="shared" si="31"/>
        <v>3.3651340866948007E-3</v>
      </c>
      <c r="W47" s="2"/>
      <c r="X47" s="6">
        <f t="shared" si="32"/>
        <v>-43530.04</v>
      </c>
      <c r="Y47" s="2"/>
      <c r="Z47" s="7">
        <f t="shared" si="33"/>
        <v>-0.94718527605866842</v>
      </c>
    </row>
    <row r="48" spans="1:26" s="23" customFormat="1" hidden="1" outlineLevel="2" x14ac:dyDescent="0.25">
      <c r="A48" s="25"/>
      <c r="B48" s="10" t="str">
        <f>CONCATENATE("          ", "6007", " - ", "STUDENT HOURLY")</f>
        <v xml:space="preserve">          6007 - STUDENT HOURLY</v>
      </c>
      <c r="C48" s="10"/>
      <c r="D48" s="6">
        <v>113.68</v>
      </c>
      <c r="E48" s="2"/>
      <c r="F48" s="7">
        <f t="shared" si="26"/>
        <v>1.1743072563366675E-3</v>
      </c>
      <c r="G48" s="2"/>
      <c r="H48" s="6"/>
      <c r="I48" s="2"/>
      <c r="J48" s="7">
        <f t="shared" si="27"/>
        <v>0</v>
      </c>
      <c r="K48" s="2"/>
      <c r="L48" s="6">
        <f t="shared" si="28"/>
        <v>113.68</v>
      </c>
      <c r="M48" s="2"/>
      <c r="N48" s="7">
        <f t="shared" si="29"/>
        <v>0</v>
      </c>
      <c r="O48" s="10"/>
      <c r="P48" s="6">
        <v>117297.23</v>
      </c>
      <c r="Q48" s="2"/>
      <c r="R48" s="7">
        <f t="shared" si="30"/>
        <v>7.2988448567879616E-2</v>
      </c>
      <c r="S48" s="2"/>
      <c r="T48" s="6">
        <v>1410448.02</v>
      </c>
      <c r="U48" s="2"/>
      <c r="V48" s="7">
        <f t="shared" si="31"/>
        <v>0.10327740839234519</v>
      </c>
      <c r="W48" s="2"/>
      <c r="X48" s="6">
        <f t="shared" si="32"/>
        <v>-1293150.79</v>
      </c>
      <c r="Y48" s="2"/>
      <c r="Z48" s="7">
        <f t="shared" si="33"/>
        <v>-0.91683689981003347</v>
      </c>
    </row>
    <row r="49" spans="1:26" s="23" customFormat="1" hidden="1" outlineLevel="2" x14ac:dyDescent="0.25">
      <c r="A49" s="25"/>
      <c r="B49" s="10" t="str">
        <f>CONCATENATE("          ", "6008", " - ", "STUDENT HOURLY-FICA EXEMPT")</f>
        <v xml:space="preserve">          6008 - STUDENT HOURLY-FICA EXEMPT</v>
      </c>
      <c r="C49" s="10"/>
      <c r="D49" s="6"/>
      <c r="E49" s="2"/>
      <c r="F49" s="7">
        <f t="shared" si="26"/>
        <v>0</v>
      </c>
      <c r="G49" s="2"/>
      <c r="H49" s="6"/>
      <c r="I49" s="2"/>
      <c r="J49" s="7">
        <f t="shared" si="27"/>
        <v>0</v>
      </c>
      <c r="K49" s="2"/>
      <c r="L49" s="6">
        <f t="shared" si="28"/>
        <v>0</v>
      </c>
      <c r="M49" s="2"/>
      <c r="N49" s="7">
        <f t="shared" si="29"/>
        <v>0</v>
      </c>
      <c r="O49" s="10"/>
      <c r="P49" s="6">
        <v>10630.88</v>
      </c>
      <c r="Q49" s="2"/>
      <c r="R49" s="7">
        <f t="shared" si="30"/>
        <v>6.6150874842594324E-3</v>
      </c>
      <c r="S49" s="2"/>
      <c r="T49" s="6">
        <v>208908.99</v>
      </c>
      <c r="U49" s="2"/>
      <c r="V49" s="7">
        <f t="shared" si="31"/>
        <v>1.5296968602261823E-2</v>
      </c>
      <c r="W49" s="2"/>
      <c r="X49" s="6">
        <f t="shared" si="32"/>
        <v>-198278.11</v>
      </c>
      <c r="Y49" s="2"/>
      <c r="Z49" s="7">
        <f t="shared" si="33"/>
        <v>-0.94911238621181404</v>
      </c>
    </row>
    <row r="50" spans="1:26" s="27" customFormat="1" outlineLevel="1" collapsed="1" x14ac:dyDescent="0.25">
      <c r="A50" s="26"/>
      <c r="B50" s="12" t="str">
        <f>CONCATENATE("     ","Advertising/Promo                                 ")</f>
        <v xml:space="preserve">     Advertising/Promo                                 </v>
      </c>
      <c r="C50" s="12"/>
      <c r="D50" s="1">
        <f>SUM(OSRRefD22_2x_0)</f>
        <v>75.180000000000007</v>
      </c>
      <c r="E50" s="1"/>
      <c r="F50" s="5">
        <f t="shared" ref="F50:F59" si="34">IF(D$12=0,0,D50/D$12)</f>
        <v>7.7660467568077638E-4</v>
      </c>
      <c r="G50" s="1"/>
      <c r="H50" s="1">
        <f>SUM(OSRRefH22_2x_0)</f>
        <v>0</v>
      </c>
      <c r="I50" s="1"/>
      <c r="J50" s="5">
        <f t="shared" ref="J50:J59" si="35">IF(H$12=0,0,H50/H$12)</f>
        <v>0</v>
      </c>
      <c r="K50" s="1"/>
      <c r="L50" s="1">
        <f t="shared" ref="L50:L59" si="36">+D50-H50</f>
        <v>75.180000000000007</v>
      </c>
      <c r="M50" s="1"/>
      <c r="N50" s="5">
        <f t="shared" ref="N50:N59" si="37">IF(H50=0,0,L50/H50)</f>
        <v>0</v>
      </c>
      <c r="O50" s="12"/>
      <c r="P50" s="1">
        <f>SUM(OSRRefP22_2x_0)</f>
        <v>2090.56</v>
      </c>
      <c r="Q50" s="1"/>
      <c r="R50" s="5">
        <f t="shared" ref="R50:R59" si="38">IF(P$12=0,0,P50/P$12)</f>
        <v>1.3008553657922392E-3</v>
      </c>
      <c r="S50" s="1"/>
      <c r="T50" s="1">
        <f>SUM(OSRRefT22_2x_0)</f>
        <v>36981.440000000002</v>
      </c>
      <c r="U50" s="1"/>
      <c r="V50" s="5">
        <f t="shared" ref="V50:V59" si="39">IF(T$12=0,0,T50/T$12)</f>
        <v>2.7078965177440642E-3</v>
      </c>
      <c r="W50" s="1"/>
      <c r="X50" s="1">
        <f t="shared" ref="X50:X59" si="40">+P50-T50</f>
        <v>-34890.880000000005</v>
      </c>
      <c r="Y50" s="1"/>
      <c r="Z50" s="5">
        <f t="shared" ref="Z50:Z59" si="41">IF(T50=0,0,X50/T50)</f>
        <v>-0.94347002171900285</v>
      </c>
    </row>
    <row r="51" spans="1:26" s="23" customFormat="1" hidden="1" outlineLevel="2" x14ac:dyDescent="0.25">
      <c r="A51" s="25"/>
      <c r="B51" s="10" t="str">
        <f>CONCATENATE("          ", "6362", " - ", "ADVERTISING EXPENSE")</f>
        <v xml:space="preserve">          6362 - ADVERTISING EXPENSE</v>
      </c>
      <c r="C51" s="10"/>
      <c r="D51" s="6">
        <v>75.180000000000007</v>
      </c>
      <c r="E51" s="2"/>
      <c r="F51" s="7">
        <f t="shared" si="34"/>
        <v>7.7660467568077638E-4</v>
      </c>
      <c r="G51" s="2"/>
      <c r="H51" s="6"/>
      <c r="I51" s="2"/>
      <c r="J51" s="7">
        <f t="shared" si="35"/>
        <v>0</v>
      </c>
      <c r="K51" s="2"/>
      <c r="L51" s="6">
        <f t="shared" si="36"/>
        <v>75.180000000000007</v>
      </c>
      <c r="M51" s="2"/>
      <c r="N51" s="7">
        <f t="shared" si="37"/>
        <v>0</v>
      </c>
      <c r="O51" s="10"/>
      <c r="P51" s="6">
        <v>2090.56</v>
      </c>
      <c r="Q51" s="2"/>
      <c r="R51" s="7">
        <f t="shared" si="38"/>
        <v>1.3008553657922392E-3</v>
      </c>
      <c r="S51" s="2"/>
      <c r="T51" s="6">
        <v>36981.440000000002</v>
      </c>
      <c r="U51" s="2"/>
      <c r="V51" s="7">
        <f t="shared" si="39"/>
        <v>2.7078965177440642E-3</v>
      </c>
      <c r="W51" s="2"/>
      <c r="X51" s="6">
        <f t="shared" si="40"/>
        <v>-34890.880000000005</v>
      </c>
      <c r="Y51" s="2"/>
      <c r="Z51" s="7">
        <f t="shared" si="41"/>
        <v>-0.94347002171900285</v>
      </c>
    </row>
    <row r="52" spans="1:26" s="27" customFormat="1" outlineLevel="1" collapsed="1" x14ac:dyDescent="0.25">
      <c r="A52" s="26"/>
      <c r="B52" s="12" t="str">
        <f>CONCATENATE("     ","Bad Debts/Over/Short                              ")</f>
        <v xml:space="preserve">     Bad Debts/Over/Short                              </v>
      </c>
      <c r="C52" s="12"/>
      <c r="D52" s="1">
        <f>SUM(OSRRefD22_3x_0)</f>
        <v>-2.69</v>
      </c>
      <c r="E52" s="1"/>
      <c r="F52" s="5">
        <f t="shared" si="34"/>
        <v>-2.7787530960112906E-5</v>
      </c>
      <c r="G52" s="1"/>
      <c r="H52" s="1">
        <f>SUM(OSRRefH22_3x_0)</f>
        <v>0</v>
      </c>
      <c r="I52" s="1"/>
      <c r="J52" s="5">
        <f t="shared" si="35"/>
        <v>0</v>
      </c>
      <c r="K52" s="1"/>
      <c r="L52" s="1">
        <f t="shared" si="36"/>
        <v>-2.69</v>
      </c>
      <c r="M52" s="1"/>
      <c r="N52" s="5">
        <f t="shared" si="37"/>
        <v>0</v>
      </c>
      <c r="O52" s="12"/>
      <c r="P52" s="1">
        <f>SUM(OSRRefP22_3x_0)</f>
        <v>67.05</v>
      </c>
      <c r="Q52" s="1"/>
      <c r="R52" s="5">
        <f t="shared" si="38"/>
        <v>4.1722003805855673E-5</v>
      </c>
      <c r="S52" s="1"/>
      <c r="T52" s="1">
        <f>SUM(OSRRefT22_3x_0)</f>
        <v>-197.1</v>
      </c>
      <c r="U52" s="1"/>
      <c r="V52" s="5">
        <f t="shared" si="39"/>
        <v>-1.4432277478847631E-5</v>
      </c>
      <c r="W52" s="1"/>
      <c r="X52" s="1">
        <f t="shared" si="40"/>
        <v>264.14999999999998</v>
      </c>
      <c r="Y52" s="1"/>
      <c r="Z52" s="5">
        <f t="shared" si="41"/>
        <v>-1.3401826484018264</v>
      </c>
    </row>
    <row r="53" spans="1:26" s="23" customFormat="1" hidden="1" outlineLevel="2" x14ac:dyDescent="0.25">
      <c r="A53" s="25"/>
      <c r="B53" s="10" t="str">
        <f>CONCATENATE("          ", "6272", " - ", "CASH (OVER/SHORT)")</f>
        <v xml:space="preserve">          6272 - CASH (OVER/SHORT)</v>
      </c>
      <c r="C53" s="10"/>
      <c r="D53" s="6">
        <v>-2.69</v>
      </c>
      <c r="E53" s="2"/>
      <c r="F53" s="7">
        <f t="shared" si="34"/>
        <v>-2.7787530960112906E-5</v>
      </c>
      <c r="G53" s="2"/>
      <c r="H53" s="6"/>
      <c r="I53" s="2"/>
      <c r="J53" s="7">
        <f t="shared" si="35"/>
        <v>0</v>
      </c>
      <c r="K53" s="2"/>
      <c r="L53" s="6">
        <f t="shared" si="36"/>
        <v>-2.69</v>
      </c>
      <c r="M53" s="2"/>
      <c r="N53" s="7">
        <f t="shared" si="37"/>
        <v>0</v>
      </c>
      <c r="O53" s="10"/>
      <c r="P53" s="6">
        <v>67.05</v>
      </c>
      <c r="Q53" s="2"/>
      <c r="R53" s="7">
        <f t="shared" si="38"/>
        <v>4.1722003805855673E-5</v>
      </c>
      <c r="S53" s="2"/>
      <c r="T53" s="6">
        <v>-197.1</v>
      </c>
      <c r="U53" s="2"/>
      <c r="V53" s="7">
        <f t="shared" si="39"/>
        <v>-1.4432277478847631E-5</v>
      </c>
      <c r="W53" s="2"/>
      <c r="X53" s="6">
        <f t="shared" si="40"/>
        <v>264.14999999999998</v>
      </c>
      <c r="Y53" s="2"/>
      <c r="Z53" s="7">
        <f t="shared" si="41"/>
        <v>-1.3401826484018264</v>
      </c>
    </row>
    <row r="54" spans="1:26" s="27" customFormat="1" outlineLevel="1" collapsed="1" x14ac:dyDescent="0.25">
      <c r="A54" s="26"/>
      <c r="B54" s="12" t="str">
        <f>CONCATENATE("     ","Bank/card Fees                                    ")</f>
        <v xml:space="preserve">     Bank/card Fees                                    </v>
      </c>
      <c r="C54" s="12"/>
      <c r="D54" s="1">
        <f>SUM(OSRRefD22_4x_0)</f>
        <v>829.57</v>
      </c>
      <c r="E54" s="1"/>
      <c r="F54" s="5">
        <f t="shared" si="34"/>
        <v>8.5694059697326644E-3</v>
      </c>
      <c r="G54" s="1"/>
      <c r="H54" s="1">
        <f>SUM(OSRRefH22_4x_0)</f>
        <v>279.08999999999997</v>
      </c>
      <c r="I54" s="1"/>
      <c r="J54" s="5">
        <f t="shared" si="35"/>
        <v>-2.0883886221169695E-3</v>
      </c>
      <c r="K54" s="1"/>
      <c r="L54" s="1">
        <f t="shared" si="36"/>
        <v>550.48</v>
      </c>
      <c r="M54" s="1"/>
      <c r="N54" s="5">
        <f t="shared" si="37"/>
        <v>1.9724103335841487</v>
      </c>
      <c r="O54" s="12"/>
      <c r="P54" s="1">
        <f>SUM(OSRRefP22_4x_0)</f>
        <v>8271.23</v>
      </c>
      <c r="Q54" s="1"/>
      <c r="R54" s="5">
        <f t="shared" si="38"/>
        <v>5.146790298868123E-3</v>
      </c>
      <c r="S54" s="1"/>
      <c r="T54" s="1">
        <f>SUM(OSRRefT22_4x_0)</f>
        <v>152805.46</v>
      </c>
      <c r="U54" s="1"/>
      <c r="V54" s="5">
        <f t="shared" si="39"/>
        <v>1.1188892942683677E-2</v>
      </c>
      <c r="W54" s="1"/>
      <c r="X54" s="1">
        <f t="shared" si="40"/>
        <v>-144534.22999999998</v>
      </c>
      <c r="Y54" s="1"/>
      <c r="Z54" s="5">
        <f t="shared" si="41"/>
        <v>-0.94587084780871045</v>
      </c>
    </row>
    <row r="55" spans="1:26" s="23" customFormat="1" hidden="1" outlineLevel="2" x14ac:dyDescent="0.25">
      <c r="A55" s="25"/>
      <c r="B55" s="10" t="str">
        <f>CONCATENATE("          ", "6381", " - ", "BANK/CREDIT CARD FEES")</f>
        <v xml:space="preserve">          6381 - BANK/CREDIT CARD FEES</v>
      </c>
      <c r="C55" s="10"/>
      <c r="D55" s="6">
        <v>829.57</v>
      </c>
      <c r="E55" s="2"/>
      <c r="F55" s="7">
        <f t="shared" si="34"/>
        <v>8.5694059697326644E-3</v>
      </c>
      <c r="G55" s="2"/>
      <c r="H55" s="6">
        <v>279.08999999999997</v>
      </c>
      <c r="I55" s="2"/>
      <c r="J55" s="7">
        <f t="shared" si="35"/>
        <v>-2.0883886221169695E-3</v>
      </c>
      <c r="K55" s="2"/>
      <c r="L55" s="6">
        <f t="shared" si="36"/>
        <v>550.48</v>
      </c>
      <c r="M55" s="2"/>
      <c r="N55" s="7">
        <f t="shared" si="37"/>
        <v>1.9724103335841487</v>
      </c>
      <c r="O55" s="10"/>
      <c r="P55" s="6">
        <v>8271.23</v>
      </c>
      <c r="Q55" s="2"/>
      <c r="R55" s="7">
        <f t="shared" si="38"/>
        <v>5.146790298868123E-3</v>
      </c>
      <c r="S55" s="2"/>
      <c r="T55" s="6">
        <v>152805.46</v>
      </c>
      <c r="U55" s="2"/>
      <c r="V55" s="7">
        <f t="shared" si="39"/>
        <v>1.1188892942683677E-2</v>
      </c>
      <c r="W55" s="2"/>
      <c r="X55" s="6">
        <f t="shared" si="40"/>
        <v>-144534.22999999998</v>
      </c>
      <c r="Y55" s="2"/>
      <c r="Z55" s="7">
        <f t="shared" si="41"/>
        <v>-0.94587084780871045</v>
      </c>
    </row>
    <row r="56" spans="1:26" s="27" customFormat="1" outlineLevel="1" collapsed="1" x14ac:dyDescent="0.25">
      <c r="A56" s="26"/>
      <c r="B56" s="12" t="str">
        <f>CONCATENATE("     ","Depreciation                                      ")</f>
        <v xml:space="preserve">     Depreciation                                      </v>
      </c>
      <c r="C56" s="12"/>
      <c r="D56" s="1">
        <f>SUM(OSRRefD22_5x_0)</f>
        <v>31802.329999999998</v>
      </c>
      <c r="E56" s="1"/>
      <c r="F56" s="5">
        <f t="shared" si="34"/>
        <v>0.32851607043818865</v>
      </c>
      <c r="G56" s="1"/>
      <c r="H56" s="1">
        <f>SUM(OSRRefH22_5x_0)</f>
        <v>37950.61</v>
      </c>
      <c r="I56" s="1"/>
      <c r="J56" s="5">
        <f t="shared" si="35"/>
        <v>-0.28397872416209285</v>
      </c>
      <c r="K56" s="1"/>
      <c r="L56" s="1">
        <f t="shared" si="36"/>
        <v>-6148.2800000000025</v>
      </c>
      <c r="M56" s="1"/>
      <c r="N56" s="5">
        <f t="shared" si="37"/>
        <v>-0.16200740910356914</v>
      </c>
      <c r="O56" s="12"/>
      <c r="P56" s="1">
        <f>SUM(OSRRefP22_5x_0)</f>
        <v>446369.24</v>
      </c>
      <c r="Q56" s="1"/>
      <c r="R56" s="5">
        <f t="shared" si="38"/>
        <v>0.27775420029973014</v>
      </c>
      <c r="S56" s="1"/>
      <c r="T56" s="1">
        <f>SUM(OSRRefT22_5x_0)</f>
        <v>478199.97</v>
      </c>
      <c r="U56" s="1"/>
      <c r="V56" s="5">
        <f t="shared" si="39"/>
        <v>3.5015295065533296E-2</v>
      </c>
      <c r="W56" s="1"/>
      <c r="X56" s="1">
        <f t="shared" si="40"/>
        <v>-31830.729999999981</v>
      </c>
      <c r="Y56" s="1"/>
      <c r="Z56" s="5">
        <f t="shared" si="41"/>
        <v>-6.6563638638454922E-2</v>
      </c>
    </row>
    <row r="57" spans="1:26" s="23" customFormat="1" hidden="1" outlineLevel="2" x14ac:dyDescent="0.25">
      <c r="A57" s="25"/>
      <c r="B57" s="10" t="str">
        <f>CONCATENATE("          ", "6321", " - ", "BUILDING DEPRECIATION")</f>
        <v xml:space="preserve">          6321 - BUILDING DEPRECIATION</v>
      </c>
      <c r="C57" s="10"/>
      <c r="D57" s="6">
        <v>23583.53</v>
      </c>
      <c r="E57" s="2"/>
      <c r="F57" s="7">
        <f t="shared" si="34"/>
        <v>0.24361638290845783</v>
      </c>
      <c r="G57" s="2"/>
      <c r="H57" s="6">
        <v>24027.89</v>
      </c>
      <c r="I57" s="2"/>
      <c r="J57" s="7">
        <f t="shared" si="35"/>
        <v>-0.17979709803102267</v>
      </c>
      <c r="K57" s="2"/>
      <c r="L57" s="6">
        <f t="shared" si="36"/>
        <v>-444.36000000000058</v>
      </c>
      <c r="M57" s="2"/>
      <c r="N57" s="7">
        <f t="shared" si="37"/>
        <v>-1.8493509001414631E-2</v>
      </c>
      <c r="O57" s="10"/>
      <c r="P57" s="6">
        <v>283786.11</v>
      </c>
      <c r="Q57" s="2"/>
      <c r="R57" s="7">
        <f t="shared" si="38"/>
        <v>0.17658650501818013</v>
      </c>
      <c r="S57" s="2"/>
      <c r="T57" s="6">
        <v>288500.45</v>
      </c>
      <c r="U57" s="2"/>
      <c r="V57" s="7">
        <f t="shared" si="39"/>
        <v>2.1124903841564728E-2</v>
      </c>
      <c r="W57" s="2"/>
      <c r="X57" s="6">
        <f t="shared" si="40"/>
        <v>-4714.3400000000256</v>
      </c>
      <c r="Y57" s="2"/>
      <c r="Z57" s="7">
        <f t="shared" si="41"/>
        <v>-1.6340841062812989E-2</v>
      </c>
    </row>
    <row r="58" spans="1:26" s="23" customFormat="1" hidden="1" outlineLevel="2" x14ac:dyDescent="0.25">
      <c r="A58" s="25"/>
      <c r="B58" s="10" t="str">
        <f>CONCATENATE("          ", "6322", " - ", "EQUIPMENT DEPRECIATION EXPENSE")</f>
        <v xml:space="preserve">          6322 - EQUIPMENT DEPRECIATION EXPENSE</v>
      </c>
      <c r="C58" s="10"/>
      <c r="D58" s="6">
        <v>8218.7999999999993</v>
      </c>
      <c r="E58" s="2"/>
      <c r="F58" s="7">
        <f t="shared" si="34"/>
        <v>8.489968752973083E-2</v>
      </c>
      <c r="G58" s="2"/>
      <c r="H58" s="6">
        <v>13922.72</v>
      </c>
      <c r="I58" s="2"/>
      <c r="J58" s="7">
        <f t="shared" si="35"/>
        <v>-0.10418162613107018</v>
      </c>
      <c r="K58" s="2"/>
      <c r="L58" s="6">
        <f t="shared" si="36"/>
        <v>-5703.92</v>
      </c>
      <c r="M58" s="2"/>
      <c r="N58" s="7">
        <f t="shared" si="37"/>
        <v>-0.40968431455922411</v>
      </c>
      <c r="O58" s="10"/>
      <c r="P58" s="6">
        <v>162583.13</v>
      </c>
      <c r="Q58" s="2"/>
      <c r="R58" s="7">
        <f t="shared" si="38"/>
        <v>0.10116769528155001</v>
      </c>
      <c r="S58" s="2"/>
      <c r="T58" s="6">
        <v>185457.04</v>
      </c>
      <c r="U58" s="2"/>
      <c r="V58" s="7">
        <f t="shared" si="39"/>
        <v>1.357974359049084E-2</v>
      </c>
      <c r="W58" s="2"/>
      <c r="X58" s="6">
        <f t="shared" si="40"/>
        <v>-22873.910000000003</v>
      </c>
      <c r="Y58" s="2"/>
      <c r="Z58" s="7">
        <f t="shared" si="41"/>
        <v>-0.12333805176659782</v>
      </c>
    </row>
    <row r="59" spans="1:26" s="23" customFormat="1" hidden="1" outlineLevel="2" x14ac:dyDescent="0.25">
      <c r="A59" s="25"/>
      <c r="B59" s="10" t="str">
        <f>CONCATENATE("          ", "6326", " - ", "VEHICLES DEPRECIATION EXPENSE")</f>
        <v xml:space="preserve">          6326 - VEHICLES DEPRECIATION EXPENSE</v>
      </c>
      <c r="C59" s="10"/>
      <c r="D59" s="6"/>
      <c r="E59" s="2"/>
      <c r="F59" s="7">
        <f t="shared" si="34"/>
        <v>0</v>
      </c>
      <c r="G59" s="2"/>
      <c r="H59" s="6"/>
      <c r="I59" s="2"/>
      <c r="J59" s="7">
        <f t="shared" si="35"/>
        <v>0</v>
      </c>
      <c r="K59" s="2"/>
      <c r="L59" s="6">
        <f t="shared" si="36"/>
        <v>0</v>
      </c>
      <c r="M59" s="2"/>
      <c r="N59" s="7">
        <f t="shared" si="37"/>
        <v>0</v>
      </c>
      <c r="O59" s="10"/>
      <c r="P59" s="6"/>
      <c r="Q59" s="2"/>
      <c r="R59" s="7">
        <f t="shared" si="38"/>
        <v>0</v>
      </c>
      <c r="S59" s="2"/>
      <c r="T59" s="6">
        <v>4242.4799999999996</v>
      </c>
      <c r="U59" s="2"/>
      <c r="V59" s="7">
        <f t="shared" si="39"/>
        <v>3.1064763347773462E-4</v>
      </c>
      <c r="W59" s="2"/>
      <c r="X59" s="6">
        <f t="shared" si="40"/>
        <v>-4242.4799999999996</v>
      </c>
      <c r="Y59" s="2"/>
      <c r="Z59" s="7">
        <f t="shared" si="41"/>
        <v>-1</v>
      </c>
    </row>
    <row r="60" spans="1:26" s="27" customFormat="1" outlineLevel="1" collapsed="1" x14ac:dyDescent="0.25">
      <c r="A60" s="26"/>
      <c r="B60" s="12" t="str">
        <f>CONCATENATE("     ","Discounts and Markdowns                           ")</f>
        <v xml:space="preserve">     Discounts and Markdowns                           </v>
      </c>
      <c r="C60" s="12"/>
      <c r="D60" s="1">
        <f>SUM(OSRRefD22_6x_0)</f>
        <v>0</v>
      </c>
      <c r="E60" s="1"/>
      <c r="F60" s="5">
        <f t="shared" ref="F60:F72" si="42">IF(D$12=0,0,D60/D$12)</f>
        <v>0</v>
      </c>
      <c r="G60" s="1"/>
      <c r="H60" s="1">
        <f>SUM(OSRRefH22_6x_0)</f>
        <v>0</v>
      </c>
      <c r="I60" s="1"/>
      <c r="J60" s="5">
        <f t="shared" ref="J60:J72" si="43">IF(H$12=0,0,H60/H$12)</f>
        <v>0</v>
      </c>
      <c r="K60" s="1"/>
      <c r="L60" s="1">
        <f t="shared" ref="L60:L72" si="44">+D60-H60</f>
        <v>0</v>
      </c>
      <c r="M60" s="1"/>
      <c r="N60" s="5">
        <f t="shared" ref="N60:N72" si="45">IF(H60=0,0,L60/H60)</f>
        <v>0</v>
      </c>
      <c r="O60" s="12"/>
      <c r="P60" s="1">
        <f>SUM(OSRRefP22_6x_0)</f>
        <v>0</v>
      </c>
      <c r="Q60" s="1"/>
      <c r="R60" s="5">
        <f t="shared" ref="R60:R72" si="46">IF(P$12=0,0,P60/P$12)</f>
        <v>0</v>
      </c>
      <c r="S60" s="1"/>
      <c r="T60" s="1">
        <f>SUM(OSRRefT22_6x_0)</f>
        <v>0.09</v>
      </c>
      <c r="U60" s="1"/>
      <c r="V60" s="5">
        <f t="shared" ref="V60:V72" si="47">IF(T$12=0,0,T60/T$12)</f>
        <v>6.5900810405696951E-9</v>
      </c>
      <c r="W60" s="1"/>
      <c r="X60" s="1">
        <f t="shared" ref="X60:X72" si="48">+P60-T60</f>
        <v>-0.09</v>
      </c>
      <c r="Y60" s="1"/>
      <c r="Z60" s="5">
        <f t="shared" ref="Z60:Z72" si="49">IF(T60=0,0,X60/T60)</f>
        <v>-1</v>
      </c>
    </row>
    <row r="61" spans="1:26" s="23" customFormat="1" hidden="1" outlineLevel="2" x14ac:dyDescent="0.25">
      <c r="A61" s="25"/>
      <c r="B61" s="10" t="str">
        <f>CONCATENATE("          ", "6382", " - ", "DISCOUNTS/MARK DOWNS")</f>
        <v xml:space="preserve">          6382 - DISCOUNTS/MARK DOWNS</v>
      </c>
      <c r="C61" s="10"/>
      <c r="D61" s="6"/>
      <c r="E61" s="2"/>
      <c r="F61" s="7">
        <f t="shared" si="42"/>
        <v>0</v>
      </c>
      <c r="G61" s="2"/>
      <c r="H61" s="6"/>
      <c r="I61" s="2"/>
      <c r="J61" s="7">
        <f t="shared" si="43"/>
        <v>0</v>
      </c>
      <c r="K61" s="2"/>
      <c r="L61" s="6">
        <f t="shared" si="44"/>
        <v>0</v>
      </c>
      <c r="M61" s="2"/>
      <c r="N61" s="7">
        <f t="shared" si="45"/>
        <v>0</v>
      </c>
      <c r="O61" s="10"/>
      <c r="P61" s="6"/>
      <c r="Q61" s="2"/>
      <c r="R61" s="7">
        <f t="shared" si="46"/>
        <v>0</v>
      </c>
      <c r="S61" s="2"/>
      <c r="T61" s="6">
        <v>0.09</v>
      </c>
      <c r="U61" s="2"/>
      <c r="V61" s="7">
        <f t="shared" si="47"/>
        <v>6.5900810405696951E-9</v>
      </c>
      <c r="W61" s="2"/>
      <c r="X61" s="6">
        <f t="shared" si="48"/>
        <v>-0.09</v>
      </c>
      <c r="Y61" s="2"/>
      <c r="Z61" s="7">
        <f t="shared" si="49"/>
        <v>-1</v>
      </c>
    </row>
    <row r="62" spans="1:26" s="27" customFormat="1" outlineLevel="1" collapsed="1" x14ac:dyDescent="0.25">
      <c r="A62" s="26"/>
      <c r="B62" s="12" t="str">
        <f>CONCATENATE("     ","Donations                                         ")</f>
        <v xml:space="preserve">     Donations                                         </v>
      </c>
      <c r="C62" s="12"/>
      <c r="D62" s="1">
        <f>SUM(OSRRefD22_7x_0)</f>
        <v>0</v>
      </c>
      <c r="E62" s="1"/>
      <c r="F62" s="5">
        <f t="shared" si="42"/>
        <v>0</v>
      </c>
      <c r="G62" s="1"/>
      <c r="H62" s="1">
        <f>SUM(OSRRefH22_7x_0)</f>
        <v>0</v>
      </c>
      <c r="I62" s="1"/>
      <c r="J62" s="5">
        <f t="shared" si="43"/>
        <v>0</v>
      </c>
      <c r="K62" s="1"/>
      <c r="L62" s="1">
        <f t="shared" si="44"/>
        <v>0</v>
      </c>
      <c r="M62" s="1"/>
      <c r="N62" s="5">
        <f t="shared" si="45"/>
        <v>0</v>
      </c>
      <c r="O62" s="12"/>
      <c r="P62" s="1">
        <f>SUM(OSRRefP22_7x_0)</f>
        <v>61909.05</v>
      </c>
      <c r="Q62" s="1"/>
      <c r="R62" s="5">
        <f t="shared" si="46"/>
        <v>3.8523036833958385E-2</v>
      </c>
      <c r="S62" s="1"/>
      <c r="T62" s="1">
        <f>SUM(OSRRefT22_7x_0)</f>
        <v>140336.20000000001</v>
      </c>
      <c r="U62" s="1"/>
      <c r="V62" s="5">
        <f t="shared" si="47"/>
        <v>1.0275854788062188E-2</v>
      </c>
      <c r="W62" s="1"/>
      <c r="X62" s="1">
        <f t="shared" si="48"/>
        <v>-78427.150000000009</v>
      </c>
      <c r="Y62" s="1"/>
      <c r="Z62" s="5">
        <f t="shared" si="49"/>
        <v>-0.55885188568594557</v>
      </c>
    </row>
    <row r="63" spans="1:26" s="23" customFormat="1" hidden="1" outlineLevel="2" x14ac:dyDescent="0.25">
      <c r="A63" s="25"/>
      <c r="B63" s="10" t="str">
        <f>CONCATENATE("          ", "6399", " - ", "DONATION-ON CAMPUS")</f>
        <v xml:space="preserve">          6399 - DONATION-ON CAMPUS</v>
      </c>
      <c r="C63" s="10"/>
      <c r="D63" s="6"/>
      <c r="E63" s="2"/>
      <c r="F63" s="7">
        <f t="shared" si="42"/>
        <v>0</v>
      </c>
      <c r="G63" s="2"/>
      <c r="H63" s="6"/>
      <c r="I63" s="2"/>
      <c r="J63" s="7">
        <f t="shared" si="43"/>
        <v>0</v>
      </c>
      <c r="K63" s="2"/>
      <c r="L63" s="6">
        <f t="shared" si="44"/>
        <v>0</v>
      </c>
      <c r="M63" s="2"/>
      <c r="N63" s="7">
        <f t="shared" si="45"/>
        <v>0</v>
      </c>
      <c r="O63" s="10"/>
      <c r="P63" s="6">
        <v>61909.05</v>
      </c>
      <c r="Q63" s="2"/>
      <c r="R63" s="7">
        <f t="shared" si="46"/>
        <v>3.8523036833958385E-2</v>
      </c>
      <c r="S63" s="2"/>
      <c r="T63" s="6">
        <v>140336.20000000001</v>
      </c>
      <c r="U63" s="2"/>
      <c r="V63" s="7">
        <f t="shared" si="47"/>
        <v>1.0275854788062188E-2</v>
      </c>
      <c r="W63" s="2"/>
      <c r="X63" s="6">
        <f t="shared" si="48"/>
        <v>-78427.150000000009</v>
      </c>
      <c r="Y63" s="2"/>
      <c r="Z63" s="7">
        <f t="shared" si="49"/>
        <v>-0.55885188568594557</v>
      </c>
    </row>
    <row r="64" spans="1:26" s="27" customFormat="1" outlineLevel="1" collapsed="1" x14ac:dyDescent="0.25">
      <c r="A64" s="26"/>
      <c r="B64" s="12" t="str">
        <f>CONCATENATE("     ","Employees' Appreciation                           ")</f>
        <v xml:space="preserve">     Employees' Appreciation                           </v>
      </c>
      <c r="C64" s="12"/>
      <c r="D64" s="1">
        <f>SUM(OSRRefD22_8x_0)</f>
        <v>25</v>
      </c>
      <c r="E64" s="1"/>
      <c r="F64" s="5">
        <f t="shared" si="42"/>
        <v>2.5824842899733184E-4</v>
      </c>
      <c r="G64" s="1"/>
      <c r="H64" s="1">
        <f>SUM(OSRRefH22_8x_0)</f>
        <v>0</v>
      </c>
      <c r="I64" s="1"/>
      <c r="J64" s="5">
        <f t="shared" si="43"/>
        <v>0</v>
      </c>
      <c r="K64" s="1"/>
      <c r="L64" s="1">
        <f t="shared" si="44"/>
        <v>25</v>
      </c>
      <c r="M64" s="1"/>
      <c r="N64" s="5">
        <f t="shared" si="45"/>
        <v>0</v>
      </c>
      <c r="O64" s="12"/>
      <c r="P64" s="1">
        <f>SUM(OSRRefP22_8x_0)</f>
        <v>35</v>
      </c>
      <c r="Q64" s="1"/>
      <c r="R64" s="5">
        <f t="shared" si="46"/>
        <v>2.1778823761445918E-5</v>
      </c>
      <c r="S64" s="1"/>
      <c r="T64" s="1">
        <f>SUM(OSRRefT22_8x_0)</f>
        <v>3471.24</v>
      </c>
      <c r="U64" s="1"/>
      <c r="V64" s="5">
        <f t="shared" si="47"/>
        <v>2.5417503234741276E-4</v>
      </c>
      <c r="W64" s="1"/>
      <c r="X64" s="1">
        <f t="shared" si="48"/>
        <v>-3436.24</v>
      </c>
      <c r="Y64" s="1"/>
      <c r="Z64" s="5">
        <f t="shared" si="49"/>
        <v>-0.98991714776275908</v>
      </c>
    </row>
    <row r="65" spans="1:26" s="23" customFormat="1" hidden="1" outlineLevel="2" x14ac:dyDescent="0.25">
      <c r="A65" s="25"/>
      <c r="B65" s="10" t="str">
        <f>CONCATENATE("          ", "6277", " - ", "EMPLOYEE APPRECIATION")</f>
        <v xml:space="preserve">          6277 - EMPLOYEE APPRECIATION</v>
      </c>
      <c r="C65" s="10"/>
      <c r="D65" s="6">
        <v>25</v>
      </c>
      <c r="E65" s="2"/>
      <c r="F65" s="7">
        <f t="shared" si="42"/>
        <v>2.5824842899733184E-4</v>
      </c>
      <c r="G65" s="2"/>
      <c r="H65" s="6"/>
      <c r="I65" s="2"/>
      <c r="J65" s="7">
        <f t="shared" si="43"/>
        <v>0</v>
      </c>
      <c r="K65" s="2"/>
      <c r="L65" s="6">
        <f t="shared" si="44"/>
        <v>25</v>
      </c>
      <c r="M65" s="2"/>
      <c r="N65" s="7">
        <f t="shared" si="45"/>
        <v>0</v>
      </c>
      <c r="O65" s="10"/>
      <c r="P65" s="6">
        <v>35</v>
      </c>
      <c r="Q65" s="2"/>
      <c r="R65" s="7">
        <f t="shared" si="46"/>
        <v>2.1778823761445918E-5</v>
      </c>
      <c r="S65" s="2"/>
      <c r="T65" s="6">
        <v>3471.24</v>
      </c>
      <c r="U65" s="2"/>
      <c r="V65" s="7">
        <f t="shared" si="47"/>
        <v>2.5417503234741276E-4</v>
      </c>
      <c r="W65" s="2"/>
      <c r="X65" s="6">
        <f t="shared" si="48"/>
        <v>-3436.24</v>
      </c>
      <c r="Y65" s="2"/>
      <c r="Z65" s="7">
        <f t="shared" si="49"/>
        <v>-0.98991714776275908</v>
      </c>
    </row>
    <row r="66" spans="1:26" s="27" customFormat="1" outlineLevel="1" collapsed="1" x14ac:dyDescent="0.25">
      <c r="A66" s="26"/>
      <c r="B66" s="12" t="str">
        <f>CONCATENATE("     ","Equipment Rental                                  ")</f>
        <v xml:space="preserve">     Equipment Rental                                  </v>
      </c>
      <c r="C66" s="12"/>
      <c r="D66" s="1">
        <f>SUM(OSRRefD22_9x_0)</f>
        <v>1881.19</v>
      </c>
      <c r="E66" s="1"/>
      <c r="F66" s="5">
        <f t="shared" si="42"/>
        <v>1.9432574485819629E-2</v>
      </c>
      <c r="G66" s="1"/>
      <c r="H66" s="1">
        <f>SUM(OSRRefH22_9x_0)</f>
        <v>2754.41</v>
      </c>
      <c r="I66" s="1"/>
      <c r="J66" s="5">
        <f t="shared" si="43"/>
        <v>-2.0610837022627837E-2</v>
      </c>
      <c r="K66" s="1"/>
      <c r="L66" s="1">
        <f t="shared" si="44"/>
        <v>-873.2199999999998</v>
      </c>
      <c r="M66" s="1"/>
      <c r="N66" s="5">
        <f t="shared" si="45"/>
        <v>-0.31702615079091345</v>
      </c>
      <c r="O66" s="12"/>
      <c r="P66" s="1">
        <f>SUM(OSRRefP22_9x_0)</f>
        <v>14683.12</v>
      </c>
      <c r="Q66" s="1"/>
      <c r="R66" s="5">
        <f t="shared" si="46"/>
        <v>9.1366023642331946E-3</v>
      </c>
      <c r="S66" s="1"/>
      <c r="T66" s="1">
        <f>SUM(OSRRefT22_9x_0)</f>
        <v>34249.83</v>
      </c>
      <c r="U66" s="1"/>
      <c r="V66" s="5">
        <f t="shared" si="47"/>
        <v>2.5078795036192797E-3</v>
      </c>
      <c r="W66" s="1"/>
      <c r="X66" s="1">
        <f t="shared" si="48"/>
        <v>-19566.71</v>
      </c>
      <c r="Y66" s="1"/>
      <c r="Z66" s="5">
        <f t="shared" si="49"/>
        <v>-0.57129363853776782</v>
      </c>
    </row>
    <row r="67" spans="1:26" s="23" customFormat="1" hidden="1" outlineLevel="2" x14ac:dyDescent="0.25">
      <c r="A67" s="25"/>
      <c r="B67" s="10" t="str">
        <f>CONCATENATE("          ", "6351", " - ", "EQUIPMENT RENTAL")</f>
        <v xml:space="preserve">          6351 - EQUIPMENT RENTAL</v>
      </c>
      <c r="C67" s="10"/>
      <c r="D67" s="6">
        <v>1881.19</v>
      </c>
      <c r="E67" s="2"/>
      <c r="F67" s="7">
        <f t="shared" si="42"/>
        <v>1.9432574485819629E-2</v>
      </c>
      <c r="G67" s="2"/>
      <c r="H67" s="6">
        <v>2754.41</v>
      </c>
      <c r="I67" s="2"/>
      <c r="J67" s="7">
        <f t="shared" si="43"/>
        <v>-2.0610837022627837E-2</v>
      </c>
      <c r="K67" s="2"/>
      <c r="L67" s="6">
        <f t="shared" si="44"/>
        <v>-873.2199999999998</v>
      </c>
      <c r="M67" s="2"/>
      <c r="N67" s="7">
        <f t="shared" si="45"/>
        <v>-0.31702615079091345</v>
      </c>
      <c r="O67" s="10"/>
      <c r="P67" s="6">
        <v>14683.12</v>
      </c>
      <c r="Q67" s="2"/>
      <c r="R67" s="7">
        <f t="shared" si="46"/>
        <v>9.1366023642331946E-3</v>
      </c>
      <c r="S67" s="2"/>
      <c r="T67" s="6">
        <v>34249.83</v>
      </c>
      <c r="U67" s="2"/>
      <c r="V67" s="7">
        <f t="shared" si="47"/>
        <v>2.5078795036192797E-3</v>
      </c>
      <c r="W67" s="2"/>
      <c r="X67" s="6">
        <f t="shared" si="48"/>
        <v>-19566.71</v>
      </c>
      <c r="Y67" s="2"/>
      <c r="Z67" s="7">
        <f t="shared" si="49"/>
        <v>-0.57129363853776782</v>
      </c>
    </row>
    <row r="68" spans="1:26" s="27" customFormat="1" outlineLevel="1" collapsed="1" x14ac:dyDescent="0.25">
      <c r="A68" s="26"/>
      <c r="B68" s="12" t="str">
        <f>CONCATENATE("     ","Freight out/Postage                               ")</f>
        <v xml:space="preserve">     Freight out/Postage                               </v>
      </c>
      <c r="C68" s="12"/>
      <c r="D68" s="1">
        <f>SUM(OSRRefD22_10x_0)</f>
        <v>0</v>
      </c>
      <c r="E68" s="1"/>
      <c r="F68" s="5">
        <f t="shared" si="42"/>
        <v>0</v>
      </c>
      <c r="G68" s="1"/>
      <c r="H68" s="1">
        <f>SUM(OSRRefH22_10x_0)</f>
        <v>0</v>
      </c>
      <c r="I68" s="1"/>
      <c r="J68" s="5">
        <f t="shared" si="43"/>
        <v>0</v>
      </c>
      <c r="K68" s="1"/>
      <c r="L68" s="1">
        <f t="shared" si="44"/>
        <v>0</v>
      </c>
      <c r="M68" s="1"/>
      <c r="N68" s="5">
        <f t="shared" si="45"/>
        <v>0</v>
      </c>
      <c r="O68" s="12"/>
      <c r="P68" s="1">
        <f>SUM(OSRRefP22_10x_0)</f>
        <v>-2.4500000000000002</v>
      </c>
      <c r="Q68" s="1"/>
      <c r="R68" s="5">
        <f t="shared" si="46"/>
        <v>-1.5245176633012142E-6</v>
      </c>
      <c r="S68" s="1"/>
      <c r="T68" s="1">
        <f>SUM(OSRRefT22_10x_0)</f>
        <v>0.57999999999999996</v>
      </c>
      <c r="U68" s="1"/>
      <c r="V68" s="5">
        <f t="shared" si="47"/>
        <v>4.2469411150338035E-8</v>
      </c>
      <c r="W68" s="1"/>
      <c r="X68" s="1">
        <f t="shared" si="48"/>
        <v>-3.0300000000000002</v>
      </c>
      <c r="Y68" s="1"/>
      <c r="Z68" s="5">
        <f t="shared" si="49"/>
        <v>-5.224137931034484</v>
      </c>
    </row>
    <row r="69" spans="1:26" s="23" customFormat="1" hidden="1" outlineLevel="2" x14ac:dyDescent="0.25">
      <c r="A69" s="25"/>
      <c r="B69" s="10" t="str">
        <f>CONCATENATE("          ", "6307", " - ", "POSTAGE")</f>
        <v xml:space="preserve">          6307 - POSTAGE</v>
      </c>
      <c r="C69" s="10"/>
      <c r="D69" s="6"/>
      <c r="E69" s="2"/>
      <c r="F69" s="7">
        <f t="shared" si="42"/>
        <v>0</v>
      </c>
      <c r="G69" s="2"/>
      <c r="H69" s="6"/>
      <c r="I69" s="2"/>
      <c r="J69" s="7">
        <f t="shared" si="43"/>
        <v>0</v>
      </c>
      <c r="K69" s="2"/>
      <c r="L69" s="6">
        <f t="shared" si="44"/>
        <v>0</v>
      </c>
      <c r="M69" s="2"/>
      <c r="N69" s="7">
        <f t="shared" si="45"/>
        <v>0</v>
      </c>
      <c r="O69" s="10"/>
      <c r="P69" s="6">
        <v>-2.4500000000000002</v>
      </c>
      <c r="Q69" s="2"/>
      <c r="R69" s="7">
        <f t="shared" si="46"/>
        <v>-1.5245176633012142E-6</v>
      </c>
      <c r="S69" s="2"/>
      <c r="T69" s="6">
        <v>0.57999999999999996</v>
      </c>
      <c r="U69" s="2"/>
      <c r="V69" s="7">
        <f t="shared" si="47"/>
        <v>4.2469411150338035E-8</v>
      </c>
      <c r="W69" s="2"/>
      <c r="X69" s="6">
        <f t="shared" si="48"/>
        <v>-3.0300000000000002</v>
      </c>
      <c r="Y69" s="2"/>
      <c r="Z69" s="7">
        <f t="shared" si="49"/>
        <v>-5.224137931034484</v>
      </c>
    </row>
    <row r="70" spans="1:26" s="27" customFormat="1" outlineLevel="1" collapsed="1" x14ac:dyDescent="0.25">
      <c r="A70" s="26"/>
      <c r="B70" s="12" t="str">
        <f>CONCATENATE("     ","General                                           ")</f>
        <v xml:space="preserve">     General                                           </v>
      </c>
      <c r="C70" s="12"/>
      <c r="D70" s="1">
        <f>SUM(OSRRefD22_11x_0)</f>
        <v>2520</v>
      </c>
      <c r="E70" s="1"/>
      <c r="F70" s="5">
        <f t="shared" si="42"/>
        <v>2.6031441642931051E-2</v>
      </c>
      <c r="G70" s="1"/>
      <c r="H70" s="1">
        <f>SUM(OSRRefH22_11x_0)</f>
        <v>4574.0600000000004</v>
      </c>
      <c r="I70" s="1"/>
      <c r="J70" s="5">
        <f t="shared" si="43"/>
        <v>-3.4227005126949546E-2</v>
      </c>
      <c r="K70" s="1"/>
      <c r="L70" s="1">
        <f t="shared" si="44"/>
        <v>-2054.0600000000004</v>
      </c>
      <c r="M70" s="1"/>
      <c r="N70" s="5">
        <f t="shared" si="45"/>
        <v>-0.44906713073287197</v>
      </c>
      <c r="O70" s="12"/>
      <c r="P70" s="1">
        <f>SUM(OSRRefP22_11x_0)</f>
        <v>18067.41</v>
      </c>
      <c r="Q70" s="1"/>
      <c r="R70" s="5">
        <f t="shared" si="46"/>
        <v>1.1242483949022445E-2</v>
      </c>
      <c r="S70" s="1"/>
      <c r="T70" s="1">
        <f>SUM(OSRRefT22_11x_0)</f>
        <v>97175.52</v>
      </c>
      <c r="U70" s="1"/>
      <c r="V70" s="5">
        <f t="shared" si="47"/>
        <v>7.1154950217722363E-3</v>
      </c>
      <c r="W70" s="1"/>
      <c r="X70" s="1">
        <f t="shared" si="48"/>
        <v>-79108.11</v>
      </c>
      <c r="Y70" s="1"/>
      <c r="Z70" s="5">
        <f t="shared" si="49"/>
        <v>-0.81407447060741223</v>
      </c>
    </row>
    <row r="71" spans="1:26" s="23" customFormat="1" hidden="1" outlineLevel="2" x14ac:dyDescent="0.25">
      <c r="A71" s="25"/>
      <c r="B71" s="10" t="str">
        <f>CONCATENATE("          ", "6269", " - ", "ENTERTAINMENT")</f>
        <v xml:space="preserve">          6269 - ENTERTAINMENT</v>
      </c>
      <c r="C71" s="10"/>
      <c r="D71" s="6"/>
      <c r="E71" s="2"/>
      <c r="F71" s="7">
        <f t="shared" si="42"/>
        <v>0</v>
      </c>
      <c r="G71" s="2"/>
      <c r="H71" s="6"/>
      <c r="I71" s="2"/>
      <c r="J71" s="7">
        <f t="shared" si="43"/>
        <v>0</v>
      </c>
      <c r="K71" s="2"/>
      <c r="L71" s="6">
        <f t="shared" si="44"/>
        <v>0</v>
      </c>
      <c r="M71" s="2"/>
      <c r="N71" s="7">
        <f t="shared" si="45"/>
        <v>0</v>
      </c>
      <c r="O71" s="10"/>
      <c r="P71" s="6"/>
      <c r="Q71" s="2"/>
      <c r="R71" s="7">
        <f t="shared" si="46"/>
        <v>0</v>
      </c>
      <c r="S71" s="2"/>
      <c r="T71" s="6">
        <v>10050</v>
      </c>
      <c r="U71" s="2"/>
      <c r="V71" s="7">
        <f t="shared" si="47"/>
        <v>7.3589238286361595E-4</v>
      </c>
      <c r="W71" s="2"/>
      <c r="X71" s="6">
        <f t="shared" si="48"/>
        <v>-10050</v>
      </c>
      <c r="Y71" s="2"/>
      <c r="Z71" s="7">
        <f t="shared" si="49"/>
        <v>-1</v>
      </c>
    </row>
    <row r="72" spans="1:26" s="23" customFormat="1" hidden="1" outlineLevel="2" x14ac:dyDescent="0.25">
      <c r="A72" s="25"/>
      <c r="B72" s="10" t="str">
        <f>CONCATENATE("          ", "6279", " - ", "GENERAL EXPENSE")</f>
        <v xml:space="preserve">          6279 - GENERAL EXPENSE</v>
      </c>
      <c r="C72" s="10"/>
      <c r="D72" s="6">
        <v>2520</v>
      </c>
      <c r="E72" s="2"/>
      <c r="F72" s="7">
        <f t="shared" si="42"/>
        <v>2.6031441642931051E-2</v>
      </c>
      <c r="G72" s="2"/>
      <c r="H72" s="6">
        <v>4574.0600000000004</v>
      </c>
      <c r="I72" s="2"/>
      <c r="J72" s="7">
        <f t="shared" si="43"/>
        <v>-3.4227005126949546E-2</v>
      </c>
      <c r="K72" s="2"/>
      <c r="L72" s="6">
        <f t="shared" si="44"/>
        <v>-2054.0600000000004</v>
      </c>
      <c r="M72" s="2"/>
      <c r="N72" s="7">
        <f t="shared" si="45"/>
        <v>-0.44906713073287197</v>
      </c>
      <c r="O72" s="10"/>
      <c r="P72" s="6">
        <v>18067.41</v>
      </c>
      <c r="Q72" s="2"/>
      <c r="R72" s="7">
        <f t="shared" si="46"/>
        <v>1.1242483949022445E-2</v>
      </c>
      <c r="S72" s="2"/>
      <c r="T72" s="6">
        <v>87125.52</v>
      </c>
      <c r="U72" s="2"/>
      <c r="V72" s="7">
        <f t="shared" si="47"/>
        <v>6.3796026389086203E-3</v>
      </c>
      <c r="W72" s="2"/>
      <c r="X72" s="6">
        <f t="shared" si="48"/>
        <v>-69058.11</v>
      </c>
      <c r="Y72" s="2"/>
      <c r="Z72" s="7">
        <f t="shared" si="49"/>
        <v>-0.79262780870633542</v>
      </c>
    </row>
    <row r="73" spans="1:26" s="27" customFormat="1" outlineLevel="1" collapsed="1" x14ac:dyDescent="0.25">
      <c r="A73" s="26"/>
      <c r="B73" s="12" t="str">
        <f>CONCATENATE("     ","Insurance                                         ")</f>
        <v xml:space="preserve">     Insurance                                         </v>
      </c>
      <c r="C73" s="12"/>
      <c r="D73" s="1">
        <f>SUM(OSRRefD22_12x_0)</f>
        <v>9047.7999999999993</v>
      </c>
      <c r="E73" s="1"/>
      <c r="F73" s="5">
        <f t="shared" ref="F73:F87" si="50">IF(D$12=0,0,D73/D$12)</f>
        <v>9.3463205435282359E-2</v>
      </c>
      <c r="G73" s="1"/>
      <c r="H73" s="1">
        <f>SUM(OSRRefH22_12x_0)</f>
        <v>4246.03</v>
      </c>
      <c r="I73" s="1"/>
      <c r="J73" s="5">
        <f t="shared" ref="J73:J87" si="51">IF(H$12=0,0,H73/H$12)</f>
        <v>-3.1772405823094048E-2</v>
      </c>
      <c r="K73" s="1"/>
      <c r="L73" s="1">
        <f t="shared" ref="L73:L87" si="52">+D73-H73</f>
        <v>4801.7699999999995</v>
      </c>
      <c r="M73" s="1"/>
      <c r="N73" s="5">
        <f t="shared" ref="N73:N87" si="53">IF(H73=0,0,L73/H73)</f>
        <v>1.1308846145693743</v>
      </c>
      <c r="O73" s="12"/>
      <c r="P73" s="1">
        <f>SUM(OSRRefP22_12x_0)</f>
        <v>61866.13</v>
      </c>
      <c r="Q73" s="1"/>
      <c r="R73" s="5">
        <f t="shared" ref="R73:R87" si="54">IF(P$12=0,0,P73/P$12)</f>
        <v>3.8496329773505769E-2</v>
      </c>
      <c r="S73" s="1"/>
      <c r="T73" s="1">
        <f>SUM(OSRRefT22_12x_0)</f>
        <v>56713.36</v>
      </c>
      <c r="U73" s="1"/>
      <c r="V73" s="5">
        <f t="shared" ref="V73:V87" si="55">IF(T$12=0,0,T73/T$12)</f>
        <v>4.1527293164778196E-3</v>
      </c>
      <c r="W73" s="1"/>
      <c r="X73" s="1">
        <f t="shared" ref="X73:X87" si="56">+P73-T73</f>
        <v>5152.7699999999968</v>
      </c>
      <c r="Y73" s="1"/>
      <c r="Z73" s="5">
        <f t="shared" ref="Z73:Z87" si="57">IF(T73=0,0,X73/T73)</f>
        <v>9.0856369645529678E-2</v>
      </c>
    </row>
    <row r="74" spans="1:26" s="23" customFormat="1" hidden="1" outlineLevel="2" x14ac:dyDescent="0.25">
      <c r="A74" s="25"/>
      <c r="B74" s="10" t="str">
        <f>CONCATENATE("          ", "6314", " - ", "LIABILITY INSURANCE")</f>
        <v xml:space="preserve">          6314 - LIABILITY INSURANCE</v>
      </c>
      <c r="C74" s="10"/>
      <c r="D74" s="6">
        <v>9047.7999999999993</v>
      </c>
      <c r="E74" s="2"/>
      <c r="F74" s="7">
        <f t="shared" si="50"/>
        <v>9.3463205435282359E-2</v>
      </c>
      <c r="G74" s="2"/>
      <c r="H74" s="6">
        <v>4246.03</v>
      </c>
      <c r="I74" s="2"/>
      <c r="J74" s="7">
        <f t="shared" si="51"/>
        <v>-3.1772405823094048E-2</v>
      </c>
      <c r="K74" s="2"/>
      <c r="L74" s="6">
        <f t="shared" si="52"/>
        <v>4801.7699999999995</v>
      </c>
      <c r="M74" s="2"/>
      <c r="N74" s="7">
        <f t="shared" si="53"/>
        <v>1.1308846145693743</v>
      </c>
      <c r="O74" s="10"/>
      <c r="P74" s="6">
        <v>61866.13</v>
      </c>
      <c r="Q74" s="2"/>
      <c r="R74" s="7">
        <f t="shared" si="54"/>
        <v>3.8496329773505769E-2</v>
      </c>
      <c r="S74" s="2"/>
      <c r="T74" s="6">
        <v>56713.36</v>
      </c>
      <c r="U74" s="2"/>
      <c r="V74" s="7">
        <f t="shared" si="55"/>
        <v>4.1527293164778196E-3</v>
      </c>
      <c r="W74" s="2"/>
      <c r="X74" s="6">
        <f t="shared" si="56"/>
        <v>5152.7699999999968</v>
      </c>
      <c r="Y74" s="2"/>
      <c r="Z74" s="7">
        <f t="shared" si="57"/>
        <v>9.0856369645529678E-2</v>
      </c>
    </row>
    <row r="75" spans="1:26" s="27" customFormat="1" outlineLevel="1" collapsed="1" x14ac:dyDescent="0.25">
      <c r="A75" s="26"/>
      <c r="B75" s="12" t="str">
        <f>CONCATENATE("     ","Interest                                          ")</f>
        <v xml:space="preserve">     Interest                                          </v>
      </c>
      <c r="C75" s="12"/>
      <c r="D75" s="1">
        <f>SUM(OSRRefD22_13x_0)</f>
        <v>-815.7</v>
      </c>
      <c r="E75" s="1"/>
      <c r="F75" s="5">
        <f t="shared" si="50"/>
        <v>-8.4261297413249451E-3</v>
      </c>
      <c r="G75" s="1"/>
      <c r="H75" s="1">
        <f>SUM(OSRRefH22_13x_0)</f>
        <v>-571.70000000000005</v>
      </c>
      <c r="I75" s="1"/>
      <c r="J75" s="5">
        <f t="shared" si="51"/>
        <v>4.2779453769904753E-3</v>
      </c>
      <c r="K75" s="1"/>
      <c r="L75" s="1">
        <f t="shared" si="52"/>
        <v>-244</v>
      </c>
      <c r="M75" s="1"/>
      <c r="N75" s="5">
        <f t="shared" si="53"/>
        <v>0.42679727129613432</v>
      </c>
      <c r="O75" s="12"/>
      <c r="P75" s="1">
        <f>SUM(OSRRefP22_13x_0)</f>
        <v>79764.45</v>
      </c>
      <c r="Q75" s="1"/>
      <c r="R75" s="5">
        <f t="shared" si="54"/>
        <v>4.9633597113676133E-2</v>
      </c>
      <c r="S75" s="1"/>
      <c r="T75" s="1">
        <f>SUM(OSRRefT22_13x_0)</f>
        <v>82378.58</v>
      </c>
      <c r="U75" s="1"/>
      <c r="V75" s="5">
        <f t="shared" si="55"/>
        <v>6.0320168689672656E-3</v>
      </c>
      <c r="W75" s="1"/>
      <c r="X75" s="1">
        <f t="shared" si="56"/>
        <v>-2614.1300000000047</v>
      </c>
      <c r="Y75" s="1"/>
      <c r="Z75" s="5">
        <f t="shared" si="57"/>
        <v>-3.1733127713539179E-2</v>
      </c>
    </row>
    <row r="76" spans="1:26" s="23" customFormat="1" hidden="1" outlineLevel="2" x14ac:dyDescent="0.25">
      <c r="A76" s="25"/>
      <c r="B76" s="10" t="str">
        <f>CONCATENATE("          ", "6401", " - ", "INTEREST EXPENSE")</f>
        <v xml:space="preserve">          6401 - INTEREST EXPENSE</v>
      </c>
      <c r="C76" s="10"/>
      <c r="D76" s="6">
        <v>-815.7</v>
      </c>
      <c r="E76" s="2"/>
      <c r="F76" s="7">
        <f t="shared" si="50"/>
        <v>-8.4261297413249451E-3</v>
      </c>
      <c r="G76" s="2"/>
      <c r="H76" s="6">
        <v>-571.70000000000005</v>
      </c>
      <c r="I76" s="2"/>
      <c r="J76" s="7">
        <f t="shared" si="51"/>
        <v>4.2779453769904753E-3</v>
      </c>
      <c r="K76" s="2"/>
      <c r="L76" s="6">
        <f t="shared" si="52"/>
        <v>-244</v>
      </c>
      <c r="M76" s="2"/>
      <c r="N76" s="7">
        <f t="shared" si="53"/>
        <v>0.42679727129613432</v>
      </c>
      <c r="O76" s="10"/>
      <c r="P76" s="6">
        <v>79764.45</v>
      </c>
      <c r="Q76" s="2"/>
      <c r="R76" s="7">
        <f t="shared" si="54"/>
        <v>4.9633597113676133E-2</v>
      </c>
      <c r="S76" s="2"/>
      <c r="T76" s="6">
        <v>82378.58</v>
      </c>
      <c r="U76" s="2"/>
      <c r="V76" s="7">
        <f t="shared" si="55"/>
        <v>6.0320168689672656E-3</v>
      </c>
      <c r="W76" s="2"/>
      <c r="X76" s="6">
        <f t="shared" si="56"/>
        <v>-2614.1300000000047</v>
      </c>
      <c r="Y76" s="2"/>
      <c r="Z76" s="7">
        <f t="shared" si="57"/>
        <v>-3.1733127713539179E-2</v>
      </c>
    </row>
    <row r="77" spans="1:26" s="27" customFormat="1" outlineLevel="1" collapsed="1" x14ac:dyDescent="0.25">
      <c r="A77" s="26"/>
      <c r="B77" s="12" t="str">
        <f>CONCATENATE("     ","Professional Services                             ")</f>
        <v xml:space="preserve">     Professional Services                             </v>
      </c>
      <c r="C77" s="12"/>
      <c r="D77" s="1">
        <f>SUM(OSRRefD22_14x_0)</f>
        <v>0</v>
      </c>
      <c r="E77" s="1"/>
      <c r="F77" s="5">
        <f t="shared" si="50"/>
        <v>0</v>
      </c>
      <c r="G77" s="1"/>
      <c r="H77" s="1">
        <f>SUM(OSRRefH22_14x_0)</f>
        <v>0</v>
      </c>
      <c r="I77" s="1"/>
      <c r="J77" s="5">
        <f t="shared" si="51"/>
        <v>0</v>
      </c>
      <c r="K77" s="1"/>
      <c r="L77" s="1">
        <f t="shared" si="52"/>
        <v>0</v>
      </c>
      <c r="M77" s="1"/>
      <c r="N77" s="5">
        <f t="shared" si="53"/>
        <v>0</v>
      </c>
      <c r="O77" s="12"/>
      <c r="P77" s="1">
        <f>SUM(OSRRefP22_14x_0)</f>
        <v>0</v>
      </c>
      <c r="Q77" s="1"/>
      <c r="R77" s="5">
        <f t="shared" si="54"/>
        <v>0</v>
      </c>
      <c r="S77" s="1"/>
      <c r="T77" s="1">
        <f>SUM(OSRRefT22_14x_0)</f>
        <v>125</v>
      </c>
      <c r="U77" s="1"/>
      <c r="V77" s="5">
        <f t="shared" si="55"/>
        <v>9.1528903341245765E-6</v>
      </c>
      <c r="W77" s="1"/>
      <c r="X77" s="1">
        <f t="shared" si="56"/>
        <v>-125</v>
      </c>
      <c r="Y77" s="1"/>
      <c r="Z77" s="5">
        <f t="shared" si="57"/>
        <v>-1</v>
      </c>
    </row>
    <row r="78" spans="1:26" s="23" customFormat="1" hidden="1" outlineLevel="2" x14ac:dyDescent="0.25">
      <c r="A78" s="25"/>
      <c r="B78" s="10" t="str">
        <f>CONCATENATE("          ", "6336", " - ", "PROFESSIONAL SERVICES")</f>
        <v xml:space="preserve">          6336 - PROFESSIONAL SERVICES</v>
      </c>
      <c r="C78" s="10"/>
      <c r="D78" s="6"/>
      <c r="E78" s="2"/>
      <c r="F78" s="7">
        <f t="shared" si="50"/>
        <v>0</v>
      </c>
      <c r="G78" s="2"/>
      <c r="H78" s="6"/>
      <c r="I78" s="2"/>
      <c r="J78" s="7">
        <f t="shared" si="51"/>
        <v>0</v>
      </c>
      <c r="K78" s="2"/>
      <c r="L78" s="6">
        <f t="shared" si="52"/>
        <v>0</v>
      </c>
      <c r="M78" s="2"/>
      <c r="N78" s="7">
        <f t="shared" si="53"/>
        <v>0</v>
      </c>
      <c r="O78" s="10"/>
      <c r="P78" s="6"/>
      <c r="Q78" s="2"/>
      <c r="R78" s="7">
        <f t="shared" si="54"/>
        <v>0</v>
      </c>
      <c r="S78" s="2"/>
      <c r="T78" s="6">
        <v>125</v>
      </c>
      <c r="U78" s="2"/>
      <c r="V78" s="7">
        <f t="shared" si="55"/>
        <v>9.1528903341245765E-6</v>
      </c>
      <c r="W78" s="2"/>
      <c r="X78" s="6">
        <f t="shared" si="56"/>
        <v>-125</v>
      </c>
      <c r="Y78" s="2"/>
      <c r="Z78" s="7">
        <f t="shared" si="57"/>
        <v>-1</v>
      </c>
    </row>
    <row r="79" spans="1:26" s="27" customFormat="1" outlineLevel="1" collapsed="1" x14ac:dyDescent="0.25">
      <c r="A79" s="26"/>
      <c r="B79" s="12" t="str">
        <f>CONCATENATE("     ","R/H Commissions                                   ")</f>
        <v xml:space="preserve">     R/H Commissions                                   </v>
      </c>
      <c r="C79" s="12"/>
      <c r="D79" s="1">
        <f>SUM(OSRRefD22_15x_0)</f>
        <v>2207.92</v>
      </c>
      <c r="E79" s="1"/>
      <c r="F79" s="5">
        <f t="shared" si="50"/>
        <v>2.280767485407156E-2</v>
      </c>
      <c r="G79" s="1"/>
      <c r="H79" s="1">
        <f>SUM(OSRRefH22_15x_0)</f>
        <v>-11146.03</v>
      </c>
      <c r="I79" s="1"/>
      <c r="J79" s="5">
        <f t="shared" si="51"/>
        <v>8.3404071209195643E-2</v>
      </c>
      <c r="K79" s="1"/>
      <c r="L79" s="1">
        <f t="shared" si="52"/>
        <v>13353.95</v>
      </c>
      <c r="M79" s="1"/>
      <c r="N79" s="5">
        <f t="shared" si="53"/>
        <v>-1.1980902617344471</v>
      </c>
      <c r="O79" s="12"/>
      <c r="P79" s="1">
        <f>SUM(OSRRefP22_15x_0)</f>
        <v>71608.39</v>
      </c>
      <c r="Q79" s="1"/>
      <c r="R79" s="5">
        <f t="shared" si="54"/>
        <v>4.4558471590025316E-2</v>
      </c>
      <c r="S79" s="1"/>
      <c r="T79" s="1">
        <f>SUM(OSRRefT22_15x_0)</f>
        <v>703130.05</v>
      </c>
      <c r="U79" s="1"/>
      <c r="V79" s="5">
        <f t="shared" si="55"/>
        <v>5.1485377906220244E-2</v>
      </c>
      <c r="W79" s="1"/>
      <c r="X79" s="1">
        <f t="shared" si="56"/>
        <v>-631521.66</v>
      </c>
      <c r="Y79" s="1"/>
      <c r="Z79" s="5">
        <f t="shared" si="57"/>
        <v>-0.89815768789856154</v>
      </c>
    </row>
    <row r="80" spans="1:26" s="23" customFormat="1" hidden="1" outlineLevel="2" x14ac:dyDescent="0.25">
      <c r="A80" s="25"/>
      <c r="B80" s="10" t="str">
        <f>CONCATENATE("          ", "6387", " - ", "COMMISSION DUE HOUSING")</f>
        <v xml:space="preserve">          6387 - COMMISSION DUE HOUSING</v>
      </c>
      <c r="C80" s="10"/>
      <c r="D80" s="6">
        <v>2207.92</v>
      </c>
      <c r="E80" s="2"/>
      <c r="F80" s="7">
        <f t="shared" si="50"/>
        <v>2.280767485407156E-2</v>
      </c>
      <c r="G80" s="2"/>
      <c r="H80" s="6">
        <v>-11146.03</v>
      </c>
      <c r="I80" s="2"/>
      <c r="J80" s="7">
        <f t="shared" si="51"/>
        <v>8.3404071209195643E-2</v>
      </c>
      <c r="K80" s="2"/>
      <c r="L80" s="6">
        <f t="shared" si="52"/>
        <v>13353.95</v>
      </c>
      <c r="M80" s="2"/>
      <c r="N80" s="7">
        <f t="shared" si="53"/>
        <v>-1.1980902617344471</v>
      </c>
      <c r="O80" s="10"/>
      <c r="P80" s="6">
        <v>71608.39</v>
      </c>
      <c r="Q80" s="2"/>
      <c r="R80" s="7">
        <f t="shared" si="54"/>
        <v>4.4558471590025316E-2</v>
      </c>
      <c r="S80" s="2"/>
      <c r="T80" s="6">
        <v>703130.05</v>
      </c>
      <c r="U80" s="2"/>
      <c r="V80" s="7">
        <f t="shared" si="55"/>
        <v>5.1485377906220244E-2</v>
      </c>
      <c r="W80" s="2"/>
      <c r="X80" s="6">
        <f t="shared" si="56"/>
        <v>-631521.66</v>
      </c>
      <c r="Y80" s="2"/>
      <c r="Z80" s="7">
        <f t="shared" si="57"/>
        <v>-0.89815768789856154</v>
      </c>
    </row>
    <row r="81" spans="1:26" s="27" customFormat="1" outlineLevel="1" collapsed="1" x14ac:dyDescent="0.25">
      <c r="A81" s="26"/>
      <c r="B81" s="12" t="str">
        <f>CONCATENATE("     ","Rent                                              ")</f>
        <v xml:space="preserve">     Rent                                              </v>
      </c>
      <c r="C81" s="12"/>
      <c r="D81" s="1">
        <f>SUM(OSRRefD22_16x_0)</f>
        <v>7400</v>
      </c>
      <c r="E81" s="1"/>
      <c r="F81" s="5">
        <f t="shared" si="50"/>
        <v>7.6441534983210227E-2</v>
      </c>
      <c r="G81" s="1"/>
      <c r="H81" s="1">
        <f>SUM(OSRRefH22_16x_0)</f>
        <v>1850</v>
      </c>
      <c r="I81" s="1"/>
      <c r="J81" s="5">
        <f t="shared" si="51"/>
        <v>-1.3843272603519991E-2</v>
      </c>
      <c r="K81" s="1"/>
      <c r="L81" s="1">
        <f t="shared" si="52"/>
        <v>5550</v>
      </c>
      <c r="M81" s="1"/>
      <c r="N81" s="5">
        <f t="shared" si="53"/>
        <v>3</v>
      </c>
      <c r="O81" s="12"/>
      <c r="P81" s="1">
        <f>SUM(OSRRefP22_16x_0)</f>
        <v>22200</v>
      </c>
      <c r="Q81" s="1"/>
      <c r="R81" s="5">
        <f t="shared" si="54"/>
        <v>1.3813996785831411E-2</v>
      </c>
      <c r="S81" s="1"/>
      <c r="T81" s="1">
        <f>SUM(OSRRefT22_16x_0)</f>
        <v>22200</v>
      </c>
      <c r="U81" s="1"/>
      <c r="V81" s="5">
        <f t="shared" si="55"/>
        <v>1.6255533233405248E-3</v>
      </c>
      <c r="W81" s="1"/>
      <c r="X81" s="1">
        <f t="shared" si="56"/>
        <v>0</v>
      </c>
      <c r="Y81" s="1"/>
      <c r="Z81" s="5">
        <f t="shared" si="57"/>
        <v>0</v>
      </c>
    </row>
    <row r="82" spans="1:26" s="23" customFormat="1" hidden="1" outlineLevel="2" x14ac:dyDescent="0.25">
      <c r="A82" s="25"/>
      <c r="B82" s="10" t="str">
        <f>CONCATENATE("          ", "6273", " - ", "RENT")</f>
        <v xml:space="preserve">          6273 - RENT</v>
      </c>
      <c r="C82" s="10"/>
      <c r="D82" s="6">
        <v>7400</v>
      </c>
      <c r="E82" s="2"/>
      <c r="F82" s="7">
        <f t="shared" si="50"/>
        <v>7.6441534983210227E-2</v>
      </c>
      <c r="G82" s="2"/>
      <c r="H82" s="6">
        <v>1850</v>
      </c>
      <c r="I82" s="2"/>
      <c r="J82" s="7">
        <f t="shared" si="51"/>
        <v>-1.3843272603519991E-2</v>
      </c>
      <c r="K82" s="2"/>
      <c r="L82" s="6">
        <f t="shared" si="52"/>
        <v>5550</v>
      </c>
      <c r="M82" s="2"/>
      <c r="N82" s="7">
        <f t="shared" si="53"/>
        <v>3</v>
      </c>
      <c r="O82" s="10"/>
      <c r="P82" s="6">
        <v>22200</v>
      </c>
      <c r="Q82" s="2"/>
      <c r="R82" s="7">
        <f t="shared" si="54"/>
        <v>1.3813996785831411E-2</v>
      </c>
      <c r="S82" s="2"/>
      <c r="T82" s="6">
        <v>22200</v>
      </c>
      <c r="U82" s="2"/>
      <c r="V82" s="7">
        <f t="shared" si="55"/>
        <v>1.6255533233405248E-3</v>
      </c>
      <c r="W82" s="2"/>
      <c r="X82" s="6">
        <f t="shared" si="56"/>
        <v>0</v>
      </c>
      <c r="Y82" s="2"/>
      <c r="Z82" s="7">
        <f t="shared" si="57"/>
        <v>0</v>
      </c>
    </row>
    <row r="83" spans="1:26" s="27" customFormat="1" outlineLevel="1" collapsed="1" x14ac:dyDescent="0.25">
      <c r="A83" s="26"/>
      <c r="B83" s="12" t="str">
        <f>CONCATENATE("     ","Repair and Maintenance                            ")</f>
        <v xml:space="preserve">     Repair and Maintenance                            </v>
      </c>
      <c r="C83" s="12"/>
      <c r="D83" s="1">
        <f>SUM(OSRRefD22_17x_0)</f>
        <v>33312.400000000001</v>
      </c>
      <c r="E83" s="1"/>
      <c r="F83" s="5">
        <f t="shared" si="50"/>
        <v>0.34411499864522871</v>
      </c>
      <c r="G83" s="1"/>
      <c r="H83" s="1">
        <f>SUM(OSRRefH22_17x_0)</f>
        <v>7909.78</v>
      </c>
      <c r="I83" s="1"/>
      <c r="J83" s="5">
        <f t="shared" si="51"/>
        <v>-5.9187697715605593E-2</v>
      </c>
      <c r="K83" s="1"/>
      <c r="L83" s="1">
        <f t="shared" si="52"/>
        <v>25402.620000000003</v>
      </c>
      <c r="M83" s="1"/>
      <c r="N83" s="5">
        <f t="shared" si="53"/>
        <v>3.2115457067073931</v>
      </c>
      <c r="O83" s="12"/>
      <c r="P83" s="1">
        <f>SUM(OSRRefP22_17x_0)</f>
        <v>111707.38</v>
      </c>
      <c r="Q83" s="1"/>
      <c r="R83" s="5">
        <f t="shared" si="54"/>
        <v>6.9510152624939092E-2</v>
      </c>
      <c r="S83" s="1"/>
      <c r="T83" s="1">
        <f>SUM(OSRRefT22_17x_0)</f>
        <v>299126.58999999997</v>
      </c>
      <c r="U83" s="1"/>
      <c r="V83" s="5">
        <f t="shared" si="55"/>
        <v>2.1902982994325158E-2</v>
      </c>
      <c r="W83" s="1"/>
      <c r="X83" s="1">
        <f t="shared" si="56"/>
        <v>-187419.20999999996</v>
      </c>
      <c r="Y83" s="1"/>
      <c r="Z83" s="5">
        <f t="shared" si="57"/>
        <v>-0.6265548308493738</v>
      </c>
    </row>
    <row r="84" spans="1:26" s="23" customFormat="1" hidden="1" outlineLevel="2" x14ac:dyDescent="0.25">
      <c r="A84" s="25"/>
      <c r="B84" s="10" t="str">
        <f>CONCATENATE("          ", "6371", " - ", "COMPUTER SOFTWARE MAINTENANCE")</f>
        <v xml:space="preserve">          6371 - COMPUTER SOFTWARE MAINTENANCE</v>
      </c>
      <c r="C84" s="10"/>
      <c r="D84" s="6">
        <v>33821</v>
      </c>
      <c r="E84" s="2"/>
      <c r="F84" s="7">
        <f t="shared" si="50"/>
        <v>0.3493688046847504</v>
      </c>
      <c r="G84" s="2"/>
      <c r="H84" s="6"/>
      <c r="I84" s="2"/>
      <c r="J84" s="7">
        <f t="shared" si="51"/>
        <v>0</v>
      </c>
      <c r="K84" s="2"/>
      <c r="L84" s="6">
        <f t="shared" si="52"/>
        <v>33821</v>
      </c>
      <c r="M84" s="2"/>
      <c r="N84" s="7">
        <f t="shared" si="53"/>
        <v>0</v>
      </c>
      <c r="O84" s="10"/>
      <c r="P84" s="6">
        <v>63780.47</v>
      </c>
      <c r="Q84" s="2"/>
      <c r="R84" s="7">
        <f t="shared" si="54"/>
        <v>3.9687531872919672E-2</v>
      </c>
      <c r="S84" s="2"/>
      <c r="T84" s="6">
        <v>73995.62</v>
      </c>
      <c r="U84" s="2"/>
      <c r="V84" s="7">
        <f t="shared" si="55"/>
        <v>5.4181903605244417E-3</v>
      </c>
      <c r="W84" s="2"/>
      <c r="X84" s="6">
        <f t="shared" si="56"/>
        <v>-10215.149999999994</v>
      </c>
      <c r="Y84" s="2"/>
      <c r="Z84" s="7">
        <f t="shared" si="57"/>
        <v>-0.13805073867885687</v>
      </c>
    </row>
    <row r="85" spans="1:26" s="23" customFormat="1" hidden="1" outlineLevel="2" x14ac:dyDescent="0.25">
      <c r="A85" s="25"/>
      <c r="B85" s="10" t="str">
        <f>CONCATENATE("          ", "6372", " - ", "COMPUTER HARDWARE MAINTENANCE")</f>
        <v xml:space="preserve">          6372 - COMPUTER HARDWARE MAINTENANCE</v>
      </c>
      <c r="C85" s="10"/>
      <c r="D85" s="6">
        <v>10.039999999999999</v>
      </c>
      <c r="E85" s="2"/>
      <c r="F85" s="7">
        <f t="shared" si="50"/>
        <v>1.0371256908532846E-4</v>
      </c>
      <c r="G85" s="2"/>
      <c r="H85" s="6"/>
      <c r="I85" s="2"/>
      <c r="J85" s="7">
        <f t="shared" si="51"/>
        <v>0</v>
      </c>
      <c r="K85" s="2"/>
      <c r="L85" s="6">
        <f t="shared" si="52"/>
        <v>10.039999999999999</v>
      </c>
      <c r="M85" s="2"/>
      <c r="N85" s="7">
        <f t="shared" si="53"/>
        <v>0</v>
      </c>
      <c r="O85" s="10"/>
      <c r="P85" s="6">
        <v>110.04</v>
      </c>
      <c r="Q85" s="2"/>
      <c r="R85" s="7">
        <f t="shared" si="54"/>
        <v>6.8472621905985969E-5</v>
      </c>
      <c r="S85" s="2"/>
      <c r="T85" s="6">
        <v>8142.87</v>
      </c>
      <c r="U85" s="2"/>
      <c r="V85" s="7">
        <f t="shared" si="55"/>
        <v>5.9624636892026395E-4</v>
      </c>
      <c r="W85" s="2"/>
      <c r="X85" s="6">
        <f t="shared" si="56"/>
        <v>-8032.83</v>
      </c>
      <c r="Y85" s="2"/>
      <c r="Z85" s="7">
        <f t="shared" si="57"/>
        <v>-0.98648633712683609</v>
      </c>
    </row>
    <row r="86" spans="1:26" s="23" customFormat="1" hidden="1" outlineLevel="2" x14ac:dyDescent="0.25">
      <c r="A86" s="25"/>
      <c r="B86" s="10" t="str">
        <f>CONCATENATE("          ", "6373", " - ", "MAINTENANCE CONTRACTS")</f>
        <v xml:space="preserve">          6373 - MAINTENANCE CONTRACTS</v>
      </c>
      <c r="C86" s="10"/>
      <c r="D86" s="6">
        <v>-4410.34</v>
      </c>
      <c r="E86" s="2"/>
      <c r="F86" s="7">
        <f t="shared" si="50"/>
        <v>-4.5558535053763706E-2</v>
      </c>
      <c r="G86" s="2"/>
      <c r="H86" s="6">
        <v>7909.78</v>
      </c>
      <c r="I86" s="2"/>
      <c r="J86" s="7">
        <f t="shared" si="51"/>
        <v>-5.9187697715605593E-2</v>
      </c>
      <c r="K86" s="2"/>
      <c r="L86" s="6">
        <f t="shared" si="52"/>
        <v>-12320.119999999999</v>
      </c>
      <c r="M86" s="2"/>
      <c r="N86" s="7">
        <f t="shared" si="53"/>
        <v>-1.5575806153900613</v>
      </c>
      <c r="O86" s="10"/>
      <c r="P86" s="6">
        <v>17063.759999999998</v>
      </c>
      <c r="Q86" s="2"/>
      <c r="R86" s="7">
        <f t="shared" si="54"/>
        <v>1.0617960621360296E-2</v>
      </c>
      <c r="S86" s="2"/>
      <c r="T86" s="6">
        <v>101890.44</v>
      </c>
      <c r="U86" s="2"/>
      <c r="V86" s="7">
        <f t="shared" si="55"/>
        <v>7.4607361873256011E-3</v>
      </c>
      <c r="W86" s="2"/>
      <c r="X86" s="6">
        <f t="shared" si="56"/>
        <v>-84826.680000000008</v>
      </c>
      <c r="Y86" s="2"/>
      <c r="Z86" s="7">
        <f t="shared" si="57"/>
        <v>-0.83252835104058831</v>
      </c>
    </row>
    <row r="87" spans="1:26" s="23" customFormat="1" hidden="1" outlineLevel="2" x14ac:dyDescent="0.25">
      <c r="A87" s="25"/>
      <c r="B87" s="10" t="str">
        <f>CONCATENATE("          ", "6375", " - ", "OUTSIDE REPAIRS &amp; MAINTENANCE")</f>
        <v xml:space="preserve">          6375 - OUTSIDE REPAIRS &amp; MAINTENANCE</v>
      </c>
      <c r="C87" s="10"/>
      <c r="D87" s="6">
        <v>3891.7</v>
      </c>
      <c r="E87" s="2"/>
      <c r="F87" s="7">
        <f t="shared" si="50"/>
        <v>4.0201016445156654E-2</v>
      </c>
      <c r="G87" s="2"/>
      <c r="H87" s="6"/>
      <c r="I87" s="2"/>
      <c r="J87" s="7">
        <f t="shared" si="51"/>
        <v>0</v>
      </c>
      <c r="K87" s="2"/>
      <c r="L87" s="6">
        <f t="shared" si="52"/>
        <v>3891.7</v>
      </c>
      <c r="M87" s="2"/>
      <c r="N87" s="7">
        <f t="shared" si="53"/>
        <v>0</v>
      </c>
      <c r="O87" s="10"/>
      <c r="P87" s="6">
        <v>30753.11</v>
      </c>
      <c r="Q87" s="2"/>
      <c r="R87" s="7">
        <f t="shared" si="54"/>
        <v>1.9136187508753143E-2</v>
      </c>
      <c r="S87" s="2"/>
      <c r="T87" s="6">
        <v>115097.66</v>
      </c>
      <c r="U87" s="2"/>
      <c r="V87" s="7">
        <f t="shared" si="55"/>
        <v>8.4278100775548558E-3</v>
      </c>
      <c r="W87" s="2"/>
      <c r="X87" s="6">
        <f t="shared" si="56"/>
        <v>-84344.55</v>
      </c>
      <c r="Y87" s="2"/>
      <c r="Z87" s="7">
        <f t="shared" si="57"/>
        <v>-0.73280855579513959</v>
      </c>
    </row>
    <row r="88" spans="1:26" s="27" customFormat="1" outlineLevel="1" collapsed="1" x14ac:dyDescent="0.25">
      <c r="A88" s="26"/>
      <c r="B88" s="12" t="str">
        <f>CONCATENATE("     ","Royalty &amp; Commissions                             ")</f>
        <v xml:space="preserve">     Royalty &amp; Commissions                             </v>
      </c>
      <c r="C88" s="12"/>
      <c r="D88" s="1">
        <f>SUM(OSRRefD22_18x_0)</f>
        <v>0</v>
      </c>
      <c r="E88" s="1"/>
      <c r="F88" s="5">
        <f t="shared" ref="F88:F90" si="58">IF(D$12=0,0,D88/D$12)</f>
        <v>0</v>
      </c>
      <c r="G88" s="1"/>
      <c r="H88" s="1">
        <f>SUM(OSRRefH22_18x_0)</f>
        <v>0</v>
      </c>
      <c r="I88" s="1"/>
      <c r="J88" s="5">
        <f t="shared" ref="J88:J90" si="59">IF(H$12=0,0,H88/H$12)</f>
        <v>0</v>
      </c>
      <c r="K88" s="1"/>
      <c r="L88" s="1">
        <f t="shared" ref="L88:L90" si="60">+D88-H88</f>
        <v>0</v>
      </c>
      <c r="M88" s="1"/>
      <c r="N88" s="5">
        <f t="shared" ref="N88:N90" si="61">IF(H88=0,0,L88/H88)</f>
        <v>0</v>
      </c>
      <c r="O88" s="12"/>
      <c r="P88" s="1">
        <f>SUM(OSRRefP22_18x_0)</f>
        <v>0</v>
      </c>
      <c r="Q88" s="1"/>
      <c r="R88" s="5">
        <f t="shared" ref="R88:R90" si="62">IF(P$12=0,0,P88/P$12)</f>
        <v>0</v>
      </c>
      <c r="S88" s="1"/>
      <c r="T88" s="1">
        <f>SUM(OSRRefT22_18x_0)</f>
        <v>233763.47</v>
      </c>
      <c r="U88" s="1"/>
      <c r="V88" s="5">
        <f t="shared" ref="V88:V90" si="63">IF(T$12=0,0,T88/T$12)</f>
        <v>1.7116891240275364E-2</v>
      </c>
      <c r="W88" s="1"/>
      <c r="X88" s="1">
        <f t="shared" ref="X88:X90" si="64">+P88-T88</f>
        <v>-233763.47</v>
      </c>
      <c r="Y88" s="1"/>
      <c r="Z88" s="5">
        <f t="shared" ref="Z88:Z90" si="65">IF(T88=0,0,X88/T88)</f>
        <v>-1</v>
      </c>
    </row>
    <row r="89" spans="1:26" s="23" customFormat="1" hidden="1" outlineLevel="2" x14ac:dyDescent="0.25">
      <c r="A89" s="25"/>
      <c r="B89" s="10" t="str">
        <f>CONCATENATE("          ", "6254", " - ", "ROYALTY &amp; COMMISSIONS")</f>
        <v xml:space="preserve">          6254 - ROYALTY &amp; COMMISSIONS</v>
      </c>
      <c r="C89" s="10"/>
      <c r="D89" s="6"/>
      <c r="E89" s="2"/>
      <c r="F89" s="7">
        <f t="shared" si="58"/>
        <v>0</v>
      </c>
      <c r="G89" s="2"/>
      <c r="H89" s="6"/>
      <c r="I89" s="2"/>
      <c r="J89" s="7">
        <f t="shared" si="59"/>
        <v>0</v>
      </c>
      <c r="K89" s="2"/>
      <c r="L89" s="6">
        <f t="shared" si="60"/>
        <v>0</v>
      </c>
      <c r="M89" s="2"/>
      <c r="N89" s="7">
        <f t="shared" si="61"/>
        <v>0</v>
      </c>
      <c r="O89" s="10"/>
      <c r="P89" s="6"/>
      <c r="Q89" s="2"/>
      <c r="R89" s="7">
        <f t="shared" si="62"/>
        <v>0</v>
      </c>
      <c r="S89" s="2"/>
      <c r="T89" s="6">
        <v>129093.51</v>
      </c>
      <c r="U89" s="2"/>
      <c r="V89" s="7">
        <f t="shared" si="63"/>
        <v>9.4526299190177149E-3</v>
      </c>
      <c r="W89" s="2"/>
      <c r="X89" s="6">
        <f t="shared" si="64"/>
        <v>-129093.51</v>
      </c>
      <c r="Y89" s="2"/>
      <c r="Z89" s="7">
        <f t="shared" si="65"/>
        <v>-1</v>
      </c>
    </row>
    <row r="90" spans="1:26" s="23" customFormat="1" hidden="1" outlineLevel="2" x14ac:dyDescent="0.25">
      <c r="A90" s="25"/>
      <c r="B90" s="10" t="str">
        <f>CONCATENATE("          ", "6259", " - ", "ROYALTY &amp; COMMISSIONS")</f>
        <v xml:space="preserve">          6259 - ROYALTY &amp; COMMISSIONS</v>
      </c>
      <c r="C90" s="10"/>
      <c r="D90" s="6"/>
      <c r="E90" s="2"/>
      <c r="F90" s="7">
        <f t="shared" si="58"/>
        <v>0</v>
      </c>
      <c r="G90" s="2"/>
      <c r="H90" s="6"/>
      <c r="I90" s="2"/>
      <c r="J90" s="7">
        <f t="shared" si="59"/>
        <v>0</v>
      </c>
      <c r="K90" s="2"/>
      <c r="L90" s="6">
        <f t="shared" si="60"/>
        <v>0</v>
      </c>
      <c r="M90" s="2"/>
      <c r="N90" s="7">
        <f t="shared" si="61"/>
        <v>0</v>
      </c>
      <c r="O90" s="10"/>
      <c r="P90" s="6"/>
      <c r="Q90" s="2"/>
      <c r="R90" s="7">
        <f t="shared" si="62"/>
        <v>0</v>
      </c>
      <c r="S90" s="2"/>
      <c r="T90" s="6">
        <v>104669.96</v>
      </c>
      <c r="U90" s="2"/>
      <c r="V90" s="7">
        <f t="shared" si="63"/>
        <v>7.6642613212576493E-3</v>
      </c>
      <c r="W90" s="2"/>
      <c r="X90" s="6">
        <f t="shared" si="64"/>
        <v>-104669.96</v>
      </c>
      <c r="Y90" s="2"/>
      <c r="Z90" s="7">
        <f t="shared" si="65"/>
        <v>-1</v>
      </c>
    </row>
    <row r="91" spans="1:26" s="27" customFormat="1" outlineLevel="1" collapsed="1" x14ac:dyDescent="0.25">
      <c r="A91" s="26"/>
      <c r="B91" s="12" t="str">
        <f>CONCATENATE("     ","Services                                          ")</f>
        <v xml:space="preserve">     Services                                          </v>
      </c>
      <c r="C91" s="12"/>
      <c r="D91" s="1">
        <f>SUM(OSRRefD22_19x_0)</f>
        <v>12614.23</v>
      </c>
      <c r="E91" s="1"/>
      <c r="F91" s="5">
        <f t="shared" ref="F91:F96" si="66">IF(D$12=0,0,D91/D$12)</f>
        <v>0.13030420322044053</v>
      </c>
      <c r="G91" s="1"/>
      <c r="H91" s="1">
        <f>SUM(OSRRefH22_19x_0)</f>
        <v>28183.629999999997</v>
      </c>
      <c r="I91" s="1"/>
      <c r="J91" s="5">
        <f t="shared" ref="J91:J96" si="67">IF(H$12=0,0,H91/H$12)</f>
        <v>-0.21089387732256437</v>
      </c>
      <c r="K91" s="1"/>
      <c r="L91" s="1">
        <f t="shared" ref="L91:L96" si="68">+D91-H91</f>
        <v>-15569.399999999998</v>
      </c>
      <c r="M91" s="1"/>
      <c r="N91" s="5">
        <f t="shared" ref="N91:N96" si="69">IF(H91=0,0,L91/H91)</f>
        <v>-0.55242706493095461</v>
      </c>
      <c r="O91" s="12"/>
      <c r="P91" s="1">
        <f>SUM(OSRRefP22_19x_0)</f>
        <v>205666.88</v>
      </c>
      <c r="Q91" s="1"/>
      <c r="R91" s="5">
        <f t="shared" ref="R91:R96" si="70">IF(P$12=0,0,P91/P$12)</f>
        <v>0.12797664951675561</v>
      </c>
      <c r="S91" s="1"/>
      <c r="T91" s="1">
        <f>SUM(OSRRefT22_19x_0)</f>
        <v>429132.06</v>
      </c>
      <c r="U91" s="1"/>
      <c r="V91" s="5">
        <f t="shared" ref="V91:V96" si="71">IF(T$12=0,0,T91/T$12)</f>
        <v>3.1422389472295746E-2</v>
      </c>
      <c r="W91" s="1"/>
      <c r="X91" s="1">
        <f t="shared" ref="X91:X96" si="72">+P91-T91</f>
        <v>-223465.18</v>
      </c>
      <c r="Y91" s="1"/>
      <c r="Z91" s="5">
        <f t="shared" ref="Z91:Z96" si="73">IF(T91=0,0,X91/T91)</f>
        <v>-0.52073755570721048</v>
      </c>
    </row>
    <row r="92" spans="1:26" s="23" customFormat="1" hidden="1" outlineLevel="2" x14ac:dyDescent="0.25">
      <c r="A92" s="25"/>
      <c r="B92" s="10" t="str">
        <f>CONCATENATE("          ", "6282", " - ", "JANITORIAL/EXTERMINATOR EXPENS")</f>
        <v xml:space="preserve">          6282 - JANITORIAL/EXTERMINATOR EXPENS</v>
      </c>
      <c r="C92" s="10"/>
      <c r="D92" s="6">
        <v>2901.5</v>
      </c>
      <c r="E92" s="2"/>
      <c r="F92" s="7">
        <f t="shared" si="66"/>
        <v>2.9972312669430335E-2</v>
      </c>
      <c r="G92" s="2"/>
      <c r="H92" s="6">
        <v>3489.67</v>
      </c>
      <c r="I92" s="2"/>
      <c r="J92" s="7">
        <f t="shared" si="67"/>
        <v>-2.6112677354770599E-2</v>
      </c>
      <c r="K92" s="2"/>
      <c r="L92" s="6">
        <f t="shared" si="68"/>
        <v>-588.17000000000007</v>
      </c>
      <c r="M92" s="2"/>
      <c r="N92" s="7">
        <f t="shared" si="69"/>
        <v>-0.1685460229763846</v>
      </c>
      <c r="O92" s="10"/>
      <c r="P92" s="6">
        <v>29616.880000000001</v>
      </c>
      <c r="Q92" s="2"/>
      <c r="R92" s="7">
        <f t="shared" si="70"/>
        <v>1.842916599668264E-2</v>
      </c>
      <c r="S92" s="2"/>
      <c r="T92" s="6">
        <v>34466.239999999998</v>
      </c>
      <c r="U92" s="2"/>
      <c r="V92" s="7">
        <f t="shared" si="71"/>
        <v>2.5237257195969425E-3</v>
      </c>
      <c r="W92" s="2"/>
      <c r="X92" s="6">
        <f t="shared" si="72"/>
        <v>-4849.3599999999969</v>
      </c>
      <c r="Y92" s="2"/>
      <c r="Z92" s="7">
        <f t="shared" si="73"/>
        <v>-0.14069884037249195</v>
      </c>
    </row>
    <row r="93" spans="1:26" s="23" customFormat="1" hidden="1" outlineLevel="2" x14ac:dyDescent="0.25">
      <c r="A93" s="25"/>
      <c r="B93" s="10" t="str">
        <f>CONCATENATE("          ", "6283", " - ", "PLANT SERVICE")</f>
        <v xml:space="preserve">          6283 - PLANT SERVICE</v>
      </c>
      <c r="C93" s="10"/>
      <c r="D93" s="6"/>
      <c r="E93" s="2"/>
      <c r="F93" s="7">
        <f t="shared" si="66"/>
        <v>0</v>
      </c>
      <c r="G93" s="2"/>
      <c r="H93" s="6"/>
      <c r="I93" s="2"/>
      <c r="J93" s="7">
        <f t="shared" si="67"/>
        <v>0</v>
      </c>
      <c r="K93" s="2"/>
      <c r="L93" s="6">
        <f t="shared" si="68"/>
        <v>0</v>
      </c>
      <c r="M93" s="2"/>
      <c r="N93" s="7">
        <f t="shared" si="69"/>
        <v>0</v>
      </c>
      <c r="O93" s="10"/>
      <c r="P93" s="6"/>
      <c r="Q93" s="2"/>
      <c r="R93" s="7">
        <f t="shared" si="70"/>
        <v>0</v>
      </c>
      <c r="S93" s="2"/>
      <c r="T93" s="6">
        <v>1798.02</v>
      </c>
      <c r="U93" s="2"/>
      <c r="V93" s="7">
        <f t="shared" si="71"/>
        <v>1.3165663902850138E-4</v>
      </c>
      <c r="W93" s="2"/>
      <c r="X93" s="6">
        <f t="shared" si="72"/>
        <v>-1798.02</v>
      </c>
      <c r="Y93" s="2"/>
      <c r="Z93" s="7">
        <f t="shared" si="73"/>
        <v>-1</v>
      </c>
    </row>
    <row r="94" spans="1:26" s="23" customFormat="1" hidden="1" outlineLevel="2" x14ac:dyDescent="0.25">
      <c r="A94" s="25"/>
      <c r="B94" s="10" t="str">
        <f>CONCATENATE("          ", "6284", " - ", "TRASH REMOVAL EXPENSE")</f>
        <v xml:space="preserve">          6284 - TRASH REMOVAL EXPENSE</v>
      </c>
      <c r="C94" s="10"/>
      <c r="D94" s="6">
        <v>-3859</v>
      </c>
      <c r="E94" s="2"/>
      <c r="F94" s="7">
        <f t="shared" si="66"/>
        <v>-3.9863227500028145E-2</v>
      </c>
      <c r="G94" s="2"/>
      <c r="H94" s="6">
        <v>13638</v>
      </c>
      <c r="I94" s="2"/>
      <c r="J94" s="7">
        <f t="shared" si="67"/>
        <v>-0.10205110906313819</v>
      </c>
      <c r="K94" s="2"/>
      <c r="L94" s="6">
        <f t="shared" si="68"/>
        <v>-17497</v>
      </c>
      <c r="M94" s="2"/>
      <c r="N94" s="7">
        <f t="shared" si="69"/>
        <v>-1.2829593782079485</v>
      </c>
      <c r="O94" s="10"/>
      <c r="P94" s="6">
        <v>27565.75</v>
      </c>
      <c r="Q94" s="2"/>
      <c r="R94" s="7">
        <f t="shared" si="70"/>
        <v>1.7152846031487937E-2</v>
      </c>
      <c r="S94" s="2"/>
      <c r="T94" s="6">
        <v>62179</v>
      </c>
      <c r="U94" s="2"/>
      <c r="V94" s="7">
        <f t="shared" si="71"/>
        <v>4.5529405446842561E-3</v>
      </c>
      <c r="W94" s="2"/>
      <c r="X94" s="6">
        <f t="shared" si="72"/>
        <v>-34613.25</v>
      </c>
      <c r="Y94" s="2"/>
      <c r="Z94" s="7">
        <f t="shared" si="73"/>
        <v>-0.55667106257739751</v>
      </c>
    </row>
    <row r="95" spans="1:26" s="23" customFormat="1" hidden="1" outlineLevel="2" x14ac:dyDescent="0.25">
      <c r="A95" s="25"/>
      <c r="B95" s="10" t="str">
        <f>CONCATENATE("          ", "6285", " - ", "JANITORIAL SERVICES")</f>
        <v xml:space="preserve">          6285 - JANITORIAL SERVICES</v>
      </c>
      <c r="C95" s="10"/>
      <c r="D95" s="6">
        <v>12282.71</v>
      </c>
      <c r="E95" s="2"/>
      <c r="F95" s="7">
        <f t="shared" si="66"/>
        <v>0.1268796224531927</v>
      </c>
      <c r="G95" s="2"/>
      <c r="H95" s="6">
        <v>10384.39</v>
      </c>
      <c r="I95" s="2"/>
      <c r="J95" s="7">
        <f t="shared" si="67"/>
        <v>-7.7704833292576728E-2</v>
      </c>
      <c r="K95" s="2"/>
      <c r="L95" s="6">
        <f t="shared" si="68"/>
        <v>1898.3199999999997</v>
      </c>
      <c r="M95" s="2"/>
      <c r="N95" s="7">
        <f t="shared" si="69"/>
        <v>0.18280515273405562</v>
      </c>
      <c r="O95" s="10"/>
      <c r="P95" s="6">
        <v>130487.86</v>
      </c>
      <c r="Q95" s="2"/>
      <c r="R95" s="7">
        <f t="shared" si="70"/>
        <v>8.1196345884235091E-2</v>
      </c>
      <c r="S95" s="2"/>
      <c r="T95" s="6">
        <v>261468.63</v>
      </c>
      <c r="U95" s="2"/>
      <c r="V95" s="7">
        <f t="shared" si="71"/>
        <v>1.9145549569630362E-2</v>
      </c>
      <c r="W95" s="2"/>
      <c r="X95" s="6">
        <f t="shared" si="72"/>
        <v>-130980.77</v>
      </c>
      <c r="Y95" s="2"/>
      <c r="Z95" s="7">
        <f t="shared" si="73"/>
        <v>-0.50094257961270539</v>
      </c>
    </row>
    <row r="96" spans="1:26" s="23" customFormat="1" hidden="1" outlineLevel="2" x14ac:dyDescent="0.25">
      <c r="A96" s="25"/>
      <c r="B96" s="10" t="str">
        <f>CONCATENATE("          ", "6286", " - ", "LAUNDRY EXPENSE")</f>
        <v xml:space="preserve">          6286 - LAUNDRY EXPENSE</v>
      </c>
      <c r="C96" s="10"/>
      <c r="D96" s="6">
        <v>1289.02</v>
      </c>
      <c r="E96" s="2"/>
      <c r="F96" s="7">
        <f t="shared" si="66"/>
        <v>1.3315495597845629E-2</v>
      </c>
      <c r="G96" s="2"/>
      <c r="H96" s="6">
        <v>671.57</v>
      </c>
      <c r="I96" s="2"/>
      <c r="J96" s="7">
        <f t="shared" si="67"/>
        <v>-5.0252576120788763E-3</v>
      </c>
      <c r="K96" s="2"/>
      <c r="L96" s="6">
        <f t="shared" si="68"/>
        <v>617.44999999999993</v>
      </c>
      <c r="M96" s="2"/>
      <c r="N96" s="7">
        <f t="shared" si="69"/>
        <v>0.91941271944845648</v>
      </c>
      <c r="O96" s="10"/>
      <c r="P96" s="6">
        <v>17996.39</v>
      </c>
      <c r="Q96" s="2"/>
      <c r="R96" s="7">
        <f t="shared" si="70"/>
        <v>1.1198291604349934E-2</v>
      </c>
      <c r="S96" s="2"/>
      <c r="T96" s="6">
        <v>69220.17</v>
      </c>
      <c r="U96" s="2"/>
      <c r="V96" s="7">
        <f t="shared" si="71"/>
        <v>5.0685169993556801E-3</v>
      </c>
      <c r="W96" s="2"/>
      <c r="X96" s="6">
        <f t="shared" si="72"/>
        <v>-51223.78</v>
      </c>
      <c r="Y96" s="2"/>
      <c r="Z96" s="7">
        <f t="shared" si="73"/>
        <v>-0.74001234033374952</v>
      </c>
    </row>
    <row r="97" spans="1:26" s="27" customFormat="1" outlineLevel="1" collapsed="1" x14ac:dyDescent="0.25">
      <c r="A97" s="26"/>
      <c r="B97" s="12" t="str">
        <f>CONCATENATE("     ","Subscriptions &amp; Dues                              ")</f>
        <v xml:space="preserve">     Subscriptions &amp; Dues                              </v>
      </c>
      <c r="C97" s="12"/>
      <c r="D97" s="1">
        <f>SUM(OSRRefD22_20x_0)</f>
        <v>130.66999999999999</v>
      </c>
      <c r="E97" s="1"/>
      <c r="F97" s="5">
        <f t="shared" ref="F97:F99" si="74">IF(D$12=0,0,D97/D$12)</f>
        <v>1.3498128886832541E-3</v>
      </c>
      <c r="G97" s="1"/>
      <c r="H97" s="1">
        <f>SUM(OSRRefH22_20x_0)</f>
        <v>0</v>
      </c>
      <c r="I97" s="1"/>
      <c r="J97" s="5">
        <f t="shared" ref="J97:J99" si="75">IF(H$12=0,0,H97/H$12)</f>
        <v>0</v>
      </c>
      <c r="K97" s="1"/>
      <c r="L97" s="1">
        <f t="shared" ref="L97:L99" si="76">+D97-H97</f>
        <v>130.66999999999999</v>
      </c>
      <c r="M97" s="1"/>
      <c r="N97" s="5">
        <f t="shared" ref="N97:N99" si="77">IF(H97=0,0,L97/H97)</f>
        <v>0</v>
      </c>
      <c r="O97" s="12"/>
      <c r="P97" s="1">
        <f>SUM(OSRRefP22_20x_0)</f>
        <v>1973.92</v>
      </c>
      <c r="Q97" s="1"/>
      <c r="R97" s="5">
        <f t="shared" ref="R97:R99" si="78">IF(P$12=0,0,P97/P$12)</f>
        <v>1.2282758799769522E-3</v>
      </c>
      <c r="S97" s="1"/>
      <c r="T97" s="1">
        <f>SUM(OSRRefT22_20x_0)</f>
        <v>7300.55</v>
      </c>
      <c r="U97" s="1"/>
      <c r="V97" s="5">
        <f t="shared" ref="V97:V99" si="79">IF(T$12=0,0,T97/T$12)</f>
        <v>5.3456906823034546E-4</v>
      </c>
      <c r="W97" s="1"/>
      <c r="X97" s="1">
        <f t="shared" ref="X97:X99" si="80">+P97-T97</f>
        <v>-5326.63</v>
      </c>
      <c r="Y97" s="1"/>
      <c r="Z97" s="5">
        <f t="shared" ref="Z97:Z99" si="81">IF(T97=0,0,X97/T97)</f>
        <v>-0.7296203710679332</v>
      </c>
    </row>
    <row r="98" spans="1:26" s="23" customFormat="1" hidden="1" outlineLevel="2" x14ac:dyDescent="0.25">
      <c r="A98" s="25"/>
      <c r="B98" s="10" t="str">
        <f>CONCATENATE("          ", "6258", " - ", "MEMBERSHIP DUES")</f>
        <v xml:space="preserve">          6258 - MEMBERSHIP DUES</v>
      </c>
      <c r="C98" s="10"/>
      <c r="D98" s="6"/>
      <c r="E98" s="2"/>
      <c r="F98" s="7">
        <f t="shared" si="74"/>
        <v>0</v>
      </c>
      <c r="G98" s="2"/>
      <c r="H98" s="6"/>
      <c r="I98" s="2"/>
      <c r="J98" s="7">
        <f t="shared" si="75"/>
        <v>0</v>
      </c>
      <c r="K98" s="2"/>
      <c r="L98" s="6">
        <f t="shared" si="76"/>
        <v>0</v>
      </c>
      <c r="M98" s="2"/>
      <c r="N98" s="7">
        <f t="shared" si="77"/>
        <v>0</v>
      </c>
      <c r="O98" s="10"/>
      <c r="P98" s="6">
        <v>795</v>
      </c>
      <c r="Q98" s="2"/>
      <c r="R98" s="7">
        <f t="shared" si="78"/>
        <v>4.9469042543855721E-4</v>
      </c>
      <c r="S98" s="2"/>
      <c r="T98" s="6">
        <v>3730</v>
      </c>
      <c r="U98" s="2"/>
      <c r="V98" s="7">
        <f t="shared" si="79"/>
        <v>2.7312224757027737E-4</v>
      </c>
      <c r="W98" s="2"/>
      <c r="X98" s="6">
        <f t="shared" si="80"/>
        <v>-2935</v>
      </c>
      <c r="Y98" s="2"/>
      <c r="Z98" s="7">
        <f t="shared" si="81"/>
        <v>-0.78686327077747986</v>
      </c>
    </row>
    <row r="99" spans="1:26" s="23" customFormat="1" hidden="1" outlineLevel="2" x14ac:dyDescent="0.25">
      <c r="A99" s="25"/>
      <c r="B99" s="10" t="str">
        <f>CONCATENATE("          ", "6275", " - ", "SUBSCRIPTIONS")</f>
        <v xml:space="preserve">          6275 - SUBSCRIPTIONS</v>
      </c>
      <c r="C99" s="10"/>
      <c r="D99" s="6">
        <v>130.66999999999999</v>
      </c>
      <c r="E99" s="2"/>
      <c r="F99" s="7">
        <f t="shared" si="74"/>
        <v>1.3498128886832541E-3</v>
      </c>
      <c r="G99" s="2"/>
      <c r="H99" s="6"/>
      <c r="I99" s="2"/>
      <c r="J99" s="7">
        <f t="shared" si="75"/>
        <v>0</v>
      </c>
      <c r="K99" s="2"/>
      <c r="L99" s="6">
        <f t="shared" si="76"/>
        <v>130.66999999999999</v>
      </c>
      <c r="M99" s="2"/>
      <c r="N99" s="7">
        <f t="shared" si="77"/>
        <v>0</v>
      </c>
      <c r="O99" s="10"/>
      <c r="P99" s="6">
        <v>1178.92</v>
      </c>
      <c r="Q99" s="2"/>
      <c r="R99" s="7">
        <f t="shared" si="78"/>
        <v>7.3358545453839491E-4</v>
      </c>
      <c r="S99" s="2"/>
      <c r="T99" s="6">
        <v>3570.55</v>
      </c>
      <c r="U99" s="2"/>
      <c r="V99" s="7">
        <f t="shared" si="79"/>
        <v>2.6144682066006809E-4</v>
      </c>
      <c r="W99" s="2"/>
      <c r="X99" s="6">
        <f t="shared" si="80"/>
        <v>-2391.63</v>
      </c>
      <c r="Y99" s="2"/>
      <c r="Z99" s="7">
        <f t="shared" si="81"/>
        <v>-0.66982117600929825</v>
      </c>
    </row>
    <row r="100" spans="1:26" s="27" customFormat="1" outlineLevel="1" collapsed="1" x14ac:dyDescent="0.25">
      <c r="A100" s="26"/>
      <c r="B100" s="12" t="str">
        <f>CONCATENATE("     ","Supplies                                          ")</f>
        <v xml:space="preserve">     Supplies                                          </v>
      </c>
      <c r="C100" s="12"/>
      <c r="D100" s="1">
        <f>SUM(OSRRefD22_21x_0)</f>
        <v>14690.59</v>
      </c>
      <c r="E100" s="1"/>
      <c r="F100" s="5">
        <f t="shared" ref="F100:F110" si="82">IF(D$12=0,0,D100/D$12)</f>
        <v>0.15175287154175654</v>
      </c>
      <c r="G100" s="1"/>
      <c r="H100" s="1">
        <f>SUM(OSRRefH22_21x_0)</f>
        <v>4075.54</v>
      </c>
      <c r="I100" s="1"/>
      <c r="J100" s="5">
        <f t="shared" ref="J100:J110" si="83">IF(H$12=0,0,H100/H$12)</f>
        <v>-3.049665471705398E-2</v>
      </c>
      <c r="K100" s="1"/>
      <c r="L100" s="1">
        <f t="shared" ref="L100:L110" si="84">+D100-H100</f>
        <v>10615.05</v>
      </c>
      <c r="M100" s="1"/>
      <c r="N100" s="5">
        <f t="shared" ref="N100:N110" si="85">IF(H100=0,0,L100/H100)</f>
        <v>2.6045750992506513</v>
      </c>
      <c r="O100" s="12"/>
      <c r="P100" s="1">
        <f>SUM(OSRRefP22_21x_0)</f>
        <v>137187.71</v>
      </c>
      <c r="Q100" s="1"/>
      <c r="R100" s="5">
        <f t="shared" ref="R100:R110" si="86">IF(P$12=0,0,P100/P$12)</f>
        <v>8.5365341666467184E-2</v>
      </c>
      <c r="S100" s="1"/>
      <c r="T100" s="1">
        <f>SUM(OSRRefT22_21x_0)</f>
        <v>365454.65</v>
      </c>
      <c r="U100" s="1"/>
      <c r="V100" s="5">
        <f t="shared" ref="V100:V110" si="87">IF(T$12=0,0,T100/T$12)</f>
        <v>2.6759730668367045E-2</v>
      </c>
      <c r="W100" s="1"/>
      <c r="X100" s="1">
        <f t="shared" ref="X100:X110" si="88">+P100-T100</f>
        <v>-228266.94000000003</v>
      </c>
      <c r="Y100" s="1"/>
      <c r="Z100" s="5">
        <f t="shared" ref="Z100:Z110" si="89">IF(T100=0,0,X100/T100)</f>
        <v>-0.62461085116853765</v>
      </c>
    </row>
    <row r="101" spans="1:26" s="23" customFormat="1" hidden="1" outlineLevel="2" x14ac:dyDescent="0.25">
      <c r="A101" s="25"/>
      <c r="B101" s="10" t="str">
        <f>CONCATENATE("          ", "6234", " - ", "EXPENDABLE SUPPLIES &amp; EQUIPMEN")</f>
        <v xml:space="preserve">          6234 - EXPENDABLE SUPPLIES &amp; EQUIPMEN</v>
      </c>
      <c r="C101" s="10"/>
      <c r="D101" s="6">
        <v>-1048.8</v>
      </c>
      <c r="E101" s="2"/>
      <c r="F101" s="7">
        <f t="shared" si="82"/>
        <v>-1.0834038093296066E-2</v>
      </c>
      <c r="G101" s="2"/>
      <c r="H101" s="6">
        <v>1048.8</v>
      </c>
      <c r="I101" s="2"/>
      <c r="J101" s="7">
        <f t="shared" si="83"/>
        <v>-7.8480131386874409E-3</v>
      </c>
      <c r="K101" s="2"/>
      <c r="L101" s="6">
        <f t="shared" si="84"/>
        <v>-2097.6</v>
      </c>
      <c r="M101" s="2"/>
      <c r="N101" s="7">
        <f t="shared" si="85"/>
        <v>-2</v>
      </c>
      <c r="O101" s="10"/>
      <c r="P101" s="6">
        <v>-711.64</v>
      </c>
      <c r="Q101" s="2"/>
      <c r="R101" s="7">
        <f t="shared" si="86"/>
        <v>-4.4281948975986776E-4</v>
      </c>
      <c r="S101" s="2"/>
      <c r="T101" s="6">
        <v>15853.63</v>
      </c>
      <c r="U101" s="2"/>
      <c r="V101" s="7">
        <f t="shared" si="87"/>
        <v>1.1608522943022993E-3</v>
      </c>
      <c r="W101" s="2"/>
      <c r="X101" s="6">
        <f t="shared" si="88"/>
        <v>-16565.27</v>
      </c>
      <c r="Y101" s="2"/>
      <c r="Z101" s="7">
        <f t="shared" si="89"/>
        <v>-1.0448881423371179</v>
      </c>
    </row>
    <row r="102" spans="1:26" s="23" customFormat="1" hidden="1" outlineLevel="2" x14ac:dyDescent="0.25">
      <c r="A102" s="25"/>
      <c r="B102" s="10" t="str">
        <f>CONCATENATE("          ", "6235", " - ", "COVID-19 EXPENSES")</f>
        <v xml:space="preserve">          6235 - COVID-19 EXPENSES</v>
      </c>
      <c r="C102" s="10"/>
      <c r="D102" s="6"/>
      <c r="E102" s="2"/>
      <c r="F102" s="7">
        <f t="shared" si="82"/>
        <v>0</v>
      </c>
      <c r="G102" s="2"/>
      <c r="H102" s="6">
        <v>29.77</v>
      </c>
      <c r="I102" s="2"/>
      <c r="J102" s="7">
        <f t="shared" si="83"/>
        <v>-2.2276444616583249E-4</v>
      </c>
      <c r="K102" s="2"/>
      <c r="L102" s="6">
        <f t="shared" si="84"/>
        <v>-29.77</v>
      </c>
      <c r="M102" s="2"/>
      <c r="N102" s="7">
        <f t="shared" si="85"/>
        <v>-1</v>
      </c>
      <c r="O102" s="10"/>
      <c r="P102" s="6">
        <v>66359.259999999995</v>
      </c>
      <c r="Q102" s="2"/>
      <c r="R102" s="7">
        <f t="shared" si="86"/>
        <v>4.1292189385141925E-2</v>
      </c>
      <c r="S102" s="2"/>
      <c r="T102" s="6">
        <v>1980.88</v>
      </c>
      <c r="U102" s="2"/>
      <c r="V102" s="7">
        <f t="shared" si="87"/>
        <v>1.4504621924048554E-4</v>
      </c>
      <c r="W102" s="2"/>
      <c r="X102" s="6">
        <f t="shared" si="88"/>
        <v>64378.38</v>
      </c>
      <c r="Y102" s="2"/>
      <c r="Z102" s="7">
        <f t="shared" si="89"/>
        <v>32.499888938249661</v>
      </c>
    </row>
    <row r="103" spans="1:26" s="23" customFormat="1" hidden="1" outlineLevel="2" x14ac:dyDescent="0.25">
      <c r="A103" s="25"/>
      <c r="B103" s="10" t="str">
        <f>CONCATENATE("          ", "6237", " - ", "JANITORIAL SUPPLIES")</f>
        <v xml:space="preserve">          6237 - JANITORIAL SUPPLIES</v>
      </c>
      <c r="C103" s="10"/>
      <c r="D103" s="6">
        <v>2269.0100000000002</v>
      </c>
      <c r="E103" s="2"/>
      <c r="F103" s="7">
        <f t="shared" si="82"/>
        <v>2.3438730715169439E-2</v>
      </c>
      <c r="G103" s="2"/>
      <c r="H103" s="6">
        <v>2339.62</v>
      </c>
      <c r="I103" s="2"/>
      <c r="J103" s="7">
        <f t="shared" si="83"/>
        <v>-1.7507025647917535E-2</v>
      </c>
      <c r="K103" s="2"/>
      <c r="L103" s="6">
        <f t="shared" si="84"/>
        <v>-70.609999999999673</v>
      </c>
      <c r="M103" s="2"/>
      <c r="N103" s="7">
        <f t="shared" si="85"/>
        <v>-3.0180114719484223E-2</v>
      </c>
      <c r="O103" s="10"/>
      <c r="P103" s="6">
        <v>25764.65</v>
      </c>
      <c r="Q103" s="2"/>
      <c r="R103" s="7">
        <f t="shared" si="86"/>
        <v>1.6032107760723929E-2</v>
      </c>
      <c r="S103" s="2"/>
      <c r="T103" s="6">
        <v>125027.55</v>
      </c>
      <c r="U103" s="2"/>
      <c r="V103" s="7">
        <f t="shared" si="87"/>
        <v>9.1549076311542178E-3</v>
      </c>
      <c r="W103" s="2"/>
      <c r="X103" s="6">
        <f t="shared" si="88"/>
        <v>-99262.9</v>
      </c>
      <c r="Y103" s="2"/>
      <c r="Z103" s="7">
        <f t="shared" si="89"/>
        <v>-0.79392821822070414</v>
      </c>
    </row>
    <row r="104" spans="1:26" s="23" customFormat="1" hidden="1" outlineLevel="2" x14ac:dyDescent="0.25">
      <c r="A104" s="25"/>
      <c r="B104" s="10" t="str">
        <f>CONCATENATE("          ", "6239", " - ", "KITCHEN SUPPLIES")</f>
        <v xml:space="preserve">          6239 - KITCHEN SUPPLIES</v>
      </c>
      <c r="C104" s="10"/>
      <c r="D104" s="6">
        <v>7752.64</v>
      </c>
      <c r="E104" s="2"/>
      <c r="F104" s="7">
        <f t="shared" si="82"/>
        <v>8.0084284023274999E-2</v>
      </c>
      <c r="G104" s="2"/>
      <c r="H104" s="6">
        <v>349.26</v>
      </c>
      <c r="I104" s="2"/>
      <c r="J104" s="7">
        <f t="shared" si="83"/>
        <v>-2.6134602105434552E-3</v>
      </c>
      <c r="K104" s="2"/>
      <c r="L104" s="6">
        <f t="shared" si="84"/>
        <v>7403.38</v>
      </c>
      <c r="M104" s="2"/>
      <c r="N104" s="7">
        <f t="shared" si="85"/>
        <v>21.197331500887593</v>
      </c>
      <c r="O104" s="10"/>
      <c r="P104" s="6">
        <v>15638.74</v>
      </c>
      <c r="Q104" s="2"/>
      <c r="R104" s="7">
        <f t="shared" si="86"/>
        <v>9.7312389231735633E-3</v>
      </c>
      <c r="S104" s="2"/>
      <c r="T104" s="6">
        <v>72723.39</v>
      </c>
      <c r="U104" s="2"/>
      <c r="V104" s="7">
        <f t="shared" si="87"/>
        <v>5.3250337071661753E-3</v>
      </c>
      <c r="W104" s="2"/>
      <c r="X104" s="6">
        <f t="shared" si="88"/>
        <v>-57084.65</v>
      </c>
      <c r="Y104" s="2"/>
      <c r="Z104" s="7">
        <f t="shared" si="89"/>
        <v>-0.78495584433013921</v>
      </c>
    </row>
    <row r="105" spans="1:26" s="23" customFormat="1" hidden="1" outlineLevel="2" x14ac:dyDescent="0.25">
      <c r="A105" s="25"/>
      <c r="B105" s="10" t="str">
        <f>CONCATENATE("          ", "6241", " - ", "OFFICE EXPENSE")</f>
        <v xml:space="preserve">          6241 - OFFICE EXPENSE</v>
      </c>
      <c r="C105" s="10"/>
      <c r="D105" s="6">
        <v>1232.0899999999999</v>
      </c>
      <c r="E105" s="2"/>
      <c r="F105" s="7">
        <f t="shared" si="82"/>
        <v>1.2727412275332903E-2</v>
      </c>
      <c r="G105" s="2"/>
      <c r="H105" s="6">
        <v>-551.77</v>
      </c>
      <c r="I105" s="2"/>
      <c r="J105" s="7">
        <f t="shared" si="83"/>
        <v>4.1288121753752568E-3</v>
      </c>
      <c r="K105" s="2"/>
      <c r="L105" s="6">
        <f t="shared" si="84"/>
        <v>1783.86</v>
      </c>
      <c r="M105" s="2"/>
      <c r="N105" s="7">
        <f t="shared" si="85"/>
        <v>-3.2329775087445856</v>
      </c>
      <c r="O105" s="10"/>
      <c r="P105" s="6">
        <v>-17823.740000000002</v>
      </c>
      <c r="Q105" s="2"/>
      <c r="R105" s="7">
        <f t="shared" si="86"/>
        <v>-1.109085977799526E-2</v>
      </c>
      <c r="S105" s="2"/>
      <c r="T105" s="6">
        <v>45765.36</v>
      </c>
      <c r="U105" s="2"/>
      <c r="V105" s="7">
        <f t="shared" si="87"/>
        <v>3.3510825694538526E-3</v>
      </c>
      <c r="W105" s="2"/>
      <c r="X105" s="6">
        <f t="shared" si="88"/>
        <v>-63589.100000000006</v>
      </c>
      <c r="Y105" s="2"/>
      <c r="Z105" s="7">
        <f t="shared" si="89"/>
        <v>-1.3894591892208432</v>
      </c>
    </row>
    <row r="106" spans="1:26" s="23" customFormat="1" hidden="1" outlineLevel="2" x14ac:dyDescent="0.25">
      <c r="A106" s="25"/>
      <c r="B106" s="10" t="str">
        <f>CONCATENATE("          ", "6243", " - ", "PAPER SUPPLIES")</f>
        <v xml:space="preserve">          6243 - PAPER SUPPLIES</v>
      </c>
      <c r="C106" s="10"/>
      <c r="D106" s="6">
        <v>4485.6499999999996</v>
      </c>
      <c r="E106" s="2"/>
      <c r="F106" s="7">
        <f t="shared" si="82"/>
        <v>4.6336482621275259E-2</v>
      </c>
      <c r="G106" s="2"/>
      <c r="H106" s="6">
        <v>859.86</v>
      </c>
      <c r="I106" s="2"/>
      <c r="J106" s="7">
        <f t="shared" si="83"/>
        <v>-6.434203449114973E-3</v>
      </c>
      <c r="K106" s="2"/>
      <c r="L106" s="6">
        <f t="shared" si="84"/>
        <v>3625.7899999999995</v>
      </c>
      <c r="M106" s="2"/>
      <c r="N106" s="7">
        <f t="shared" si="85"/>
        <v>4.2167213267276065</v>
      </c>
      <c r="O106" s="10"/>
      <c r="P106" s="6">
        <v>43459.85</v>
      </c>
      <c r="Q106" s="2"/>
      <c r="R106" s="7">
        <f t="shared" si="86"/>
        <v>2.7042983252825007E-2</v>
      </c>
      <c r="S106" s="2"/>
      <c r="T106" s="6">
        <v>89968.26</v>
      </c>
      <c r="U106" s="2"/>
      <c r="V106" s="7">
        <f t="shared" si="87"/>
        <v>6.5877569386560541E-3</v>
      </c>
      <c r="W106" s="2"/>
      <c r="X106" s="6">
        <f t="shared" si="88"/>
        <v>-46508.409999999996</v>
      </c>
      <c r="Y106" s="2"/>
      <c r="Z106" s="7">
        <f t="shared" si="89"/>
        <v>-0.51694241947104458</v>
      </c>
    </row>
    <row r="107" spans="1:26" s="23" customFormat="1" hidden="1" outlineLevel="2" x14ac:dyDescent="0.25">
      <c r="A107" s="25"/>
      <c r="B107" s="10" t="str">
        <f>CONCATENATE("          ", "6245", " - ", "PRINTING")</f>
        <v xml:space="preserve">          6245 - PRINTING</v>
      </c>
      <c r="C107" s="10"/>
      <c r="D107" s="6"/>
      <c r="E107" s="2"/>
      <c r="F107" s="7">
        <f t="shared" si="82"/>
        <v>0</v>
      </c>
      <c r="G107" s="2"/>
      <c r="H107" s="6"/>
      <c r="I107" s="2"/>
      <c r="J107" s="7">
        <f t="shared" si="83"/>
        <v>0</v>
      </c>
      <c r="K107" s="2"/>
      <c r="L107" s="6">
        <f t="shared" si="84"/>
        <v>0</v>
      </c>
      <c r="M107" s="2"/>
      <c r="N107" s="7">
        <f t="shared" si="85"/>
        <v>0</v>
      </c>
      <c r="O107" s="10"/>
      <c r="P107" s="6"/>
      <c r="Q107" s="2"/>
      <c r="R107" s="7">
        <f t="shared" si="86"/>
        <v>0</v>
      </c>
      <c r="S107" s="2"/>
      <c r="T107" s="6">
        <v>1882.72</v>
      </c>
      <c r="U107" s="2"/>
      <c r="V107" s="7">
        <f t="shared" si="87"/>
        <v>1.3785863751890418E-4</v>
      </c>
      <c r="W107" s="2"/>
      <c r="X107" s="6">
        <f t="shared" si="88"/>
        <v>-1882.72</v>
      </c>
      <c r="Y107" s="2"/>
      <c r="Z107" s="7">
        <f t="shared" si="89"/>
        <v>-1</v>
      </c>
    </row>
    <row r="108" spans="1:26" s="23" customFormat="1" hidden="1" outlineLevel="2" x14ac:dyDescent="0.25">
      <c r="A108" s="25"/>
      <c r="B108" s="10" t="str">
        <f>CONCATENATE("          ", "6246", " - ", "REPLACEMENTS")</f>
        <v xml:space="preserve">          6246 - REPLACEMENTS</v>
      </c>
      <c r="C108" s="10"/>
      <c r="D108" s="6"/>
      <c r="E108" s="2"/>
      <c r="F108" s="7">
        <f t="shared" si="82"/>
        <v>0</v>
      </c>
      <c r="G108" s="2"/>
      <c r="H108" s="6"/>
      <c r="I108" s="2"/>
      <c r="J108" s="7">
        <f t="shared" si="83"/>
        <v>0</v>
      </c>
      <c r="K108" s="2"/>
      <c r="L108" s="6">
        <f t="shared" si="84"/>
        <v>0</v>
      </c>
      <c r="M108" s="2"/>
      <c r="N108" s="7">
        <f t="shared" si="85"/>
        <v>0</v>
      </c>
      <c r="O108" s="10"/>
      <c r="P108" s="6"/>
      <c r="Q108" s="2"/>
      <c r="R108" s="7">
        <f t="shared" si="86"/>
        <v>0</v>
      </c>
      <c r="S108" s="2"/>
      <c r="T108" s="6">
        <v>25.87</v>
      </c>
      <c r="U108" s="2"/>
      <c r="V108" s="7">
        <f t="shared" si="87"/>
        <v>1.8942821835504224E-6</v>
      </c>
      <c r="W108" s="2"/>
      <c r="X108" s="6">
        <f t="shared" si="88"/>
        <v>-25.87</v>
      </c>
      <c r="Y108" s="2"/>
      <c r="Z108" s="7">
        <f t="shared" si="89"/>
        <v>-1</v>
      </c>
    </row>
    <row r="109" spans="1:26" s="23" customFormat="1" hidden="1" outlineLevel="2" x14ac:dyDescent="0.25">
      <c r="A109" s="25"/>
      <c r="B109" s="10" t="str">
        <f>CONCATENATE("          ", "6247", " - ", "STORE SUPPLIES")</f>
        <v xml:space="preserve">          6247 - STORE SUPPLIES</v>
      </c>
      <c r="C109" s="10"/>
      <c r="D109" s="6"/>
      <c r="E109" s="2"/>
      <c r="F109" s="7">
        <f t="shared" si="82"/>
        <v>0</v>
      </c>
      <c r="G109" s="2"/>
      <c r="H109" s="6"/>
      <c r="I109" s="2"/>
      <c r="J109" s="7">
        <f t="shared" si="83"/>
        <v>0</v>
      </c>
      <c r="K109" s="2"/>
      <c r="L109" s="6">
        <f t="shared" si="84"/>
        <v>0</v>
      </c>
      <c r="M109" s="2"/>
      <c r="N109" s="7">
        <f t="shared" si="85"/>
        <v>0</v>
      </c>
      <c r="O109" s="10"/>
      <c r="P109" s="6"/>
      <c r="Q109" s="2"/>
      <c r="R109" s="7">
        <f t="shared" si="86"/>
        <v>0</v>
      </c>
      <c r="S109" s="2"/>
      <c r="T109" s="6">
        <v>7629.9</v>
      </c>
      <c r="U109" s="2"/>
      <c r="V109" s="7">
        <f t="shared" si="87"/>
        <v>5.5868510368269682E-4</v>
      </c>
      <c r="W109" s="2"/>
      <c r="X109" s="6">
        <f t="shared" si="88"/>
        <v>-7629.9</v>
      </c>
      <c r="Y109" s="2"/>
      <c r="Z109" s="7">
        <f t="shared" si="89"/>
        <v>-1</v>
      </c>
    </row>
    <row r="110" spans="1:26" s="23" customFormat="1" hidden="1" outlineLevel="2" x14ac:dyDescent="0.25">
      <c r="A110" s="25"/>
      <c r="B110" s="10" t="str">
        <f>CONCATENATE("          ", "6248", " - ", "UNIFORMS")</f>
        <v xml:space="preserve">          6248 - UNIFORMS</v>
      </c>
      <c r="C110" s="10"/>
      <c r="D110" s="6"/>
      <c r="E110" s="2"/>
      <c r="F110" s="7">
        <f t="shared" si="82"/>
        <v>0</v>
      </c>
      <c r="G110" s="2"/>
      <c r="H110" s="6"/>
      <c r="I110" s="2"/>
      <c r="J110" s="7">
        <f t="shared" si="83"/>
        <v>0</v>
      </c>
      <c r="K110" s="2"/>
      <c r="L110" s="6">
        <f t="shared" si="84"/>
        <v>0</v>
      </c>
      <c r="M110" s="2"/>
      <c r="N110" s="7">
        <f t="shared" si="85"/>
        <v>0</v>
      </c>
      <c r="O110" s="10"/>
      <c r="P110" s="6">
        <v>4500.59</v>
      </c>
      <c r="Q110" s="2"/>
      <c r="R110" s="7">
        <f t="shared" si="86"/>
        <v>2.8005016123578822E-3</v>
      </c>
      <c r="S110" s="2"/>
      <c r="T110" s="6">
        <v>4597.09</v>
      </c>
      <c r="U110" s="2"/>
      <c r="V110" s="7">
        <f t="shared" si="87"/>
        <v>3.3661328500880604E-4</v>
      </c>
      <c r="W110" s="2"/>
      <c r="X110" s="6">
        <f t="shared" si="88"/>
        <v>-96.5</v>
      </c>
      <c r="Y110" s="2"/>
      <c r="Z110" s="7">
        <f t="shared" si="89"/>
        <v>-2.0991540300494441E-2</v>
      </c>
    </row>
    <row r="111" spans="1:26" s="27" customFormat="1" outlineLevel="1" collapsed="1" x14ac:dyDescent="0.25">
      <c r="A111" s="26"/>
      <c r="B111" s="12" t="str">
        <f>CONCATENATE("     ","Telephone/Data Lines                              ")</f>
        <v xml:space="preserve">     Telephone/Data Lines                              </v>
      </c>
      <c r="C111" s="12"/>
      <c r="D111" s="1">
        <f>SUM(OSRRefD22_22x_0)</f>
        <v>1997.5</v>
      </c>
      <c r="E111" s="1"/>
      <c r="F111" s="5">
        <f t="shared" ref="F111:F118" si="90">IF(D$12=0,0,D111/D$12)</f>
        <v>2.0634049476886816E-2</v>
      </c>
      <c r="G111" s="1"/>
      <c r="H111" s="1">
        <f>SUM(OSRRefH22_22x_0)</f>
        <v>690.62</v>
      </c>
      <c r="I111" s="1"/>
      <c r="J111" s="5">
        <f t="shared" ref="J111:J118" si="91">IF(H$12=0,0,H111/H$12)</f>
        <v>-5.1678059056448518E-3</v>
      </c>
      <c r="K111" s="1"/>
      <c r="L111" s="1">
        <f t="shared" ref="L111:L118" si="92">+D111-H111</f>
        <v>1306.8800000000001</v>
      </c>
      <c r="M111" s="1"/>
      <c r="N111" s="5">
        <f t="shared" ref="N111:N118" si="93">IF(H111=0,0,L111/H111)</f>
        <v>1.8923286322434916</v>
      </c>
      <c r="O111" s="12"/>
      <c r="P111" s="1">
        <f>SUM(OSRRefP22_22x_0)</f>
        <v>13640.93</v>
      </c>
      <c r="Q111" s="1"/>
      <c r="R111" s="5">
        <f t="shared" ref="R111:R118" si="94">IF(P$12=0,0,P111/P$12)</f>
        <v>8.4880974403491564E-3</v>
      </c>
      <c r="S111" s="1"/>
      <c r="T111" s="1">
        <f>SUM(OSRRefT22_22x_0)</f>
        <v>28396.59</v>
      </c>
      <c r="U111" s="1"/>
      <c r="V111" s="5">
        <f t="shared" ref="V111:V118" si="95">IF(T$12=0,0,T111/T$12)</f>
        <v>2.0792869930647889E-3</v>
      </c>
      <c r="W111" s="1"/>
      <c r="X111" s="1">
        <f t="shared" ref="X111:X118" si="96">+P111-T111</f>
        <v>-14755.66</v>
      </c>
      <c r="Y111" s="1"/>
      <c r="Z111" s="5">
        <f t="shared" ref="Z111:Z118" si="97">IF(T111=0,0,X111/T111)</f>
        <v>-0.51962788489744716</v>
      </c>
    </row>
    <row r="112" spans="1:26" s="23" customFormat="1" hidden="1" outlineLevel="2" x14ac:dyDescent="0.25">
      <c r="A112" s="25"/>
      <c r="B112" s="10" t="str">
        <f>CONCATENATE("          ", "6309", " - ", "TELEPHONE")</f>
        <v xml:space="preserve">          6309 - TELEPHONE</v>
      </c>
      <c r="C112" s="10"/>
      <c r="D112" s="6">
        <v>1997.5</v>
      </c>
      <c r="E112" s="2"/>
      <c r="F112" s="7">
        <f t="shared" si="90"/>
        <v>2.0634049476886816E-2</v>
      </c>
      <c r="G112" s="2"/>
      <c r="H112" s="6">
        <v>690.62</v>
      </c>
      <c r="I112" s="2"/>
      <c r="J112" s="7">
        <f t="shared" si="91"/>
        <v>-5.1678059056448518E-3</v>
      </c>
      <c r="K112" s="2"/>
      <c r="L112" s="6">
        <f t="shared" si="92"/>
        <v>1306.8800000000001</v>
      </c>
      <c r="M112" s="2"/>
      <c r="N112" s="7">
        <f t="shared" si="93"/>
        <v>1.8923286322434916</v>
      </c>
      <c r="O112" s="10"/>
      <c r="P112" s="6">
        <v>13640.93</v>
      </c>
      <c r="Q112" s="2"/>
      <c r="R112" s="7">
        <f t="shared" si="94"/>
        <v>8.4880974403491564E-3</v>
      </c>
      <c r="S112" s="2"/>
      <c r="T112" s="6">
        <v>28396.59</v>
      </c>
      <c r="U112" s="2"/>
      <c r="V112" s="7">
        <f t="shared" si="95"/>
        <v>2.0792869930647889E-3</v>
      </c>
      <c r="W112" s="2"/>
      <c r="X112" s="6">
        <f t="shared" si="96"/>
        <v>-14755.66</v>
      </c>
      <c r="Y112" s="2"/>
      <c r="Z112" s="7">
        <f t="shared" si="97"/>
        <v>-0.51962788489744716</v>
      </c>
    </row>
    <row r="113" spans="1:26" s="27" customFormat="1" outlineLevel="1" collapsed="1" x14ac:dyDescent="0.25">
      <c r="A113" s="26"/>
      <c r="B113" s="12" t="str">
        <f>CONCATENATE("     ","Training                                          ")</f>
        <v xml:space="preserve">     Training                                          </v>
      </c>
      <c r="C113" s="12"/>
      <c r="D113" s="1">
        <f>SUM(OSRRefD22_23x_0)</f>
        <v>506.99</v>
      </c>
      <c r="E113" s="1"/>
      <c r="F113" s="5">
        <f t="shared" si="90"/>
        <v>5.2371748406942909E-3</v>
      </c>
      <c r="G113" s="1"/>
      <c r="H113" s="1">
        <f>SUM(OSRRefH22_23x_0)</f>
        <v>494</v>
      </c>
      <c r="I113" s="1"/>
      <c r="J113" s="5">
        <f t="shared" si="91"/>
        <v>-3.6965279276426357E-3</v>
      </c>
      <c r="K113" s="1"/>
      <c r="L113" s="1">
        <f t="shared" si="92"/>
        <v>12.990000000000009</v>
      </c>
      <c r="M113" s="1"/>
      <c r="N113" s="5">
        <f t="shared" si="93"/>
        <v>2.6295546558704471E-2</v>
      </c>
      <c r="O113" s="12"/>
      <c r="P113" s="1">
        <f>SUM(OSRRefP22_23x_0)</f>
        <v>1693.22</v>
      </c>
      <c r="Q113" s="1"/>
      <c r="R113" s="5">
        <f t="shared" si="94"/>
        <v>1.0536097134101559E-3</v>
      </c>
      <c r="S113" s="1"/>
      <c r="T113" s="1">
        <f>SUM(OSRRefT22_23x_0)</f>
        <v>9015.24</v>
      </c>
      <c r="U113" s="1"/>
      <c r="V113" s="5">
        <f t="shared" si="95"/>
        <v>6.6012402444650601E-4</v>
      </c>
      <c r="W113" s="1"/>
      <c r="X113" s="1">
        <f t="shared" si="96"/>
        <v>-7322.0199999999995</v>
      </c>
      <c r="Y113" s="1"/>
      <c r="Z113" s="5">
        <f t="shared" si="97"/>
        <v>-0.81218248210807475</v>
      </c>
    </row>
    <row r="114" spans="1:26" s="23" customFormat="1" hidden="1" outlineLevel="2" x14ac:dyDescent="0.25">
      <c r="A114" s="25"/>
      <c r="B114" s="10" t="str">
        <f>CONCATENATE("          ", "6376", " - ", "TRAINING")</f>
        <v xml:space="preserve">          6376 - TRAINING</v>
      </c>
      <c r="C114" s="10"/>
      <c r="D114" s="6">
        <v>506.99</v>
      </c>
      <c r="E114" s="2"/>
      <c r="F114" s="7">
        <f t="shared" si="90"/>
        <v>5.2371748406942909E-3</v>
      </c>
      <c r="G114" s="2"/>
      <c r="H114" s="6">
        <v>494</v>
      </c>
      <c r="I114" s="2"/>
      <c r="J114" s="7">
        <f t="shared" si="91"/>
        <v>-3.6965279276426357E-3</v>
      </c>
      <c r="K114" s="2"/>
      <c r="L114" s="6">
        <f t="shared" si="92"/>
        <v>12.990000000000009</v>
      </c>
      <c r="M114" s="2"/>
      <c r="N114" s="7">
        <f t="shared" si="93"/>
        <v>2.6295546558704471E-2</v>
      </c>
      <c r="O114" s="10"/>
      <c r="P114" s="6">
        <v>1693.22</v>
      </c>
      <c r="Q114" s="2"/>
      <c r="R114" s="7">
        <f t="shared" si="94"/>
        <v>1.0536097134101559E-3</v>
      </c>
      <c r="S114" s="2"/>
      <c r="T114" s="6">
        <v>9015.24</v>
      </c>
      <c r="U114" s="2"/>
      <c r="V114" s="7">
        <f t="shared" si="95"/>
        <v>6.6012402444650601E-4</v>
      </c>
      <c r="W114" s="2"/>
      <c r="X114" s="6">
        <f t="shared" si="96"/>
        <v>-7322.0199999999995</v>
      </c>
      <c r="Y114" s="2"/>
      <c r="Z114" s="7">
        <f t="shared" si="97"/>
        <v>-0.81218248210807475</v>
      </c>
    </row>
    <row r="115" spans="1:26" s="27" customFormat="1" outlineLevel="1" collapsed="1" x14ac:dyDescent="0.25">
      <c r="A115" s="26"/>
      <c r="B115" s="12" t="str">
        <f>CONCATENATE("     ","Travel                                            ")</f>
        <v xml:space="preserve">     Travel                                            </v>
      </c>
      <c r="C115" s="12"/>
      <c r="D115" s="1">
        <f>SUM(OSRRefD22_24x_0)</f>
        <v>0</v>
      </c>
      <c r="E115" s="1"/>
      <c r="F115" s="5">
        <f t="shared" si="90"/>
        <v>0</v>
      </c>
      <c r="G115" s="1"/>
      <c r="H115" s="1">
        <f>SUM(OSRRefH22_24x_0)</f>
        <v>0</v>
      </c>
      <c r="I115" s="1"/>
      <c r="J115" s="5">
        <f t="shared" si="91"/>
        <v>0</v>
      </c>
      <c r="K115" s="1"/>
      <c r="L115" s="1">
        <f t="shared" si="92"/>
        <v>0</v>
      </c>
      <c r="M115" s="1"/>
      <c r="N115" s="5">
        <f t="shared" si="93"/>
        <v>0</v>
      </c>
      <c r="O115" s="12"/>
      <c r="P115" s="1">
        <f>SUM(OSRRefP22_24x_0)</f>
        <v>492.51</v>
      </c>
      <c r="Q115" s="1"/>
      <c r="R115" s="5">
        <f t="shared" si="94"/>
        <v>3.0646538544999225E-4</v>
      </c>
      <c r="S115" s="1"/>
      <c r="T115" s="1">
        <f>SUM(OSRRefT22_24x_0)</f>
        <v>8235.58</v>
      </c>
      <c r="U115" s="1"/>
      <c r="V115" s="5">
        <f t="shared" si="95"/>
        <v>6.0303488462327742E-4</v>
      </c>
      <c r="W115" s="1"/>
      <c r="X115" s="1">
        <f t="shared" si="96"/>
        <v>-7743.07</v>
      </c>
      <c r="Y115" s="1"/>
      <c r="Z115" s="5">
        <f t="shared" si="97"/>
        <v>-0.94019729029406551</v>
      </c>
    </row>
    <row r="116" spans="1:26" s="23" customFormat="1" hidden="1" outlineLevel="2" x14ac:dyDescent="0.25">
      <c r="A116" s="25"/>
      <c r="B116" s="10" t="str">
        <f>CONCATENATE("          ", "6292", " - ", "TRAVEL/CONFERENCE")</f>
        <v xml:space="preserve">          6292 - TRAVEL/CONFERENCE</v>
      </c>
      <c r="C116" s="10"/>
      <c r="D116" s="6"/>
      <c r="E116" s="2"/>
      <c r="F116" s="7">
        <f t="shared" si="90"/>
        <v>0</v>
      </c>
      <c r="G116" s="2"/>
      <c r="H116" s="6"/>
      <c r="I116" s="2"/>
      <c r="J116" s="7">
        <f t="shared" si="91"/>
        <v>0</v>
      </c>
      <c r="K116" s="2"/>
      <c r="L116" s="6">
        <f t="shared" si="92"/>
        <v>0</v>
      </c>
      <c r="M116" s="2"/>
      <c r="N116" s="7">
        <f t="shared" si="93"/>
        <v>0</v>
      </c>
      <c r="O116" s="10"/>
      <c r="P116" s="6"/>
      <c r="Q116" s="2"/>
      <c r="R116" s="7">
        <f t="shared" si="94"/>
        <v>0</v>
      </c>
      <c r="S116" s="2"/>
      <c r="T116" s="6">
        <v>6889.94</v>
      </c>
      <c r="U116" s="2"/>
      <c r="V116" s="7">
        <f t="shared" si="95"/>
        <v>5.0450292182958629E-4</v>
      </c>
      <c r="W116" s="2"/>
      <c r="X116" s="6">
        <f t="shared" si="96"/>
        <v>-6889.94</v>
      </c>
      <c r="Y116" s="2"/>
      <c r="Z116" s="7">
        <f t="shared" si="97"/>
        <v>-1</v>
      </c>
    </row>
    <row r="117" spans="1:26" s="23" customFormat="1" hidden="1" outlineLevel="2" x14ac:dyDescent="0.25">
      <c r="A117" s="25"/>
      <c r="B117" s="10" t="str">
        <f>CONCATENATE("          ", "6294", " - ", "TRAVEL OPERATIONAL")</f>
        <v xml:space="preserve">          6294 - TRAVEL OPERATIONAL</v>
      </c>
      <c r="C117" s="10"/>
      <c r="D117" s="6"/>
      <c r="E117" s="2"/>
      <c r="F117" s="7">
        <f t="shared" si="90"/>
        <v>0</v>
      </c>
      <c r="G117" s="2"/>
      <c r="H117" s="6"/>
      <c r="I117" s="2"/>
      <c r="J117" s="7">
        <f t="shared" si="91"/>
        <v>0</v>
      </c>
      <c r="K117" s="2"/>
      <c r="L117" s="6">
        <f t="shared" si="92"/>
        <v>0</v>
      </c>
      <c r="M117" s="2"/>
      <c r="N117" s="7">
        <f t="shared" si="93"/>
        <v>0</v>
      </c>
      <c r="O117" s="10"/>
      <c r="P117" s="6">
        <v>160.30000000000001</v>
      </c>
      <c r="Q117" s="2"/>
      <c r="R117" s="7">
        <f t="shared" si="94"/>
        <v>9.9747012827422303E-5</v>
      </c>
      <c r="S117" s="2"/>
      <c r="T117" s="6">
        <v>56.99</v>
      </c>
      <c r="U117" s="2"/>
      <c r="V117" s="7">
        <f t="shared" si="95"/>
        <v>4.1729857611340769E-6</v>
      </c>
      <c r="W117" s="2"/>
      <c r="X117" s="6">
        <f t="shared" si="96"/>
        <v>103.31</v>
      </c>
      <c r="Y117" s="2"/>
      <c r="Z117" s="7">
        <f t="shared" si="97"/>
        <v>1.8127741709071767</v>
      </c>
    </row>
    <row r="118" spans="1:26" s="23" customFormat="1" hidden="1" outlineLevel="2" x14ac:dyDescent="0.25">
      <c r="A118" s="25"/>
      <c r="B118" s="10" t="str">
        <f>CONCATENATE("          ", "6298", " - ", "VEHICLE MILEAGE")</f>
        <v xml:space="preserve">          6298 - VEHICLE MILEAGE</v>
      </c>
      <c r="C118" s="10"/>
      <c r="D118" s="6"/>
      <c r="E118" s="2"/>
      <c r="F118" s="7">
        <f t="shared" si="90"/>
        <v>0</v>
      </c>
      <c r="G118" s="2"/>
      <c r="H118" s="6"/>
      <c r="I118" s="2"/>
      <c r="J118" s="7">
        <f t="shared" si="91"/>
        <v>0</v>
      </c>
      <c r="K118" s="2"/>
      <c r="L118" s="6">
        <f t="shared" si="92"/>
        <v>0</v>
      </c>
      <c r="M118" s="2"/>
      <c r="N118" s="7">
        <f t="shared" si="93"/>
        <v>0</v>
      </c>
      <c r="O118" s="10"/>
      <c r="P118" s="6">
        <v>332.21</v>
      </c>
      <c r="Q118" s="2"/>
      <c r="R118" s="7">
        <f t="shared" si="94"/>
        <v>2.0671837262256992E-4</v>
      </c>
      <c r="S118" s="2"/>
      <c r="T118" s="6">
        <v>1288.6500000000001</v>
      </c>
      <c r="U118" s="2"/>
      <c r="V118" s="7">
        <f t="shared" si="95"/>
        <v>9.4358977032557093E-5</v>
      </c>
      <c r="W118" s="2"/>
      <c r="X118" s="6">
        <f t="shared" si="96"/>
        <v>-956.44</v>
      </c>
      <c r="Y118" s="2"/>
      <c r="Z118" s="7">
        <f t="shared" si="97"/>
        <v>-0.74220308074341368</v>
      </c>
    </row>
    <row r="119" spans="1:26" s="27" customFormat="1" outlineLevel="1" collapsed="1" x14ac:dyDescent="0.25">
      <c r="A119" s="26"/>
      <c r="B119" s="12" t="str">
        <f>CONCATENATE("     ","Utilities                                         ")</f>
        <v xml:space="preserve">     Utilities                                         </v>
      </c>
      <c r="C119" s="12"/>
      <c r="D119" s="1">
        <f>SUM(OSRRefD22_25x_0)</f>
        <v>40208</v>
      </c>
      <c r="E119" s="1"/>
      <c r="F119" s="5">
        <f t="shared" ref="F119:F120" si="98">IF(D$12=0,0,D119/D$12)</f>
        <v>0.41534611332498877</v>
      </c>
      <c r="G119" s="1"/>
      <c r="H119" s="1">
        <f>SUM(OSRRefH22_25x_0)</f>
        <v>38734</v>
      </c>
      <c r="I119" s="1"/>
      <c r="J119" s="5">
        <f t="shared" ref="J119:J120" si="99">IF(H$12=0,0,H119/H$12)</f>
        <v>-0.28984071406742884</v>
      </c>
      <c r="K119" s="1"/>
      <c r="L119" s="1">
        <f t="shared" ref="L119:L120" si="100">+D119-H119</f>
        <v>1474</v>
      </c>
      <c r="M119" s="1"/>
      <c r="N119" s="5">
        <f t="shared" ref="N119:N120" si="101">IF(H119=0,0,L119/H119)</f>
        <v>3.805442247121392E-2</v>
      </c>
      <c r="O119" s="12"/>
      <c r="P119" s="1">
        <f>SUM(OSRRefP22_25x_0)</f>
        <v>46044</v>
      </c>
      <c r="Q119" s="1"/>
      <c r="R119" s="5">
        <f t="shared" ref="R119:R120" si="102">IF(P$12=0,0,P119/P$12)</f>
        <v>2.8650976036343308E-2</v>
      </c>
      <c r="S119" s="1"/>
      <c r="T119" s="1">
        <f>SUM(OSRRefT22_25x_0)</f>
        <v>213536</v>
      </c>
      <c r="U119" s="1"/>
      <c r="V119" s="5">
        <f t="shared" ref="V119:V120" si="103">IF(T$12=0,0,T119/T$12)</f>
        <v>1.5635772723101005E-2</v>
      </c>
      <c r="W119" s="1"/>
      <c r="X119" s="1">
        <f t="shared" ref="X119:X120" si="104">+P119-T119</f>
        <v>-167492</v>
      </c>
      <c r="Y119" s="1"/>
      <c r="Z119" s="5">
        <f t="shared" ref="Z119:Z120" si="105">IF(T119=0,0,X119/T119)</f>
        <v>-0.78437359508466953</v>
      </c>
    </row>
    <row r="120" spans="1:26" s="23" customFormat="1" hidden="1" outlineLevel="2" x14ac:dyDescent="0.25">
      <c r="A120" s="25"/>
      <c r="B120" s="10" t="str">
        <f>CONCATENATE("          ", "6274", " - ", "UTILITIES")</f>
        <v xml:space="preserve">          6274 - UTILITIES</v>
      </c>
      <c r="C120" s="10"/>
      <c r="D120" s="6">
        <v>40208</v>
      </c>
      <c r="E120" s="2"/>
      <c r="F120" s="7">
        <f t="shared" si="98"/>
        <v>0.41534611332498877</v>
      </c>
      <c r="G120" s="2"/>
      <c r="H120" s="6">
        <v>38734</v>
      </c>
      <c r="I120" s="2"/>
      <c r="J120" s="7">
        <f t="shared" si="99"/>
        <v>-0.28984071406742884</v>
      </c>
      <c r="K120" s="2"/>
      <c r="L120" s="6">
        <f t="shared" si="100"/>
        <v>1474</v>
      </c>
      <c r="M120" s="2"/>
      <c r="N120" s="7">
        <f t="shared" si="101"/>
        <v>3.805442247121392E-2</v>
      </c>
      <c r="O120" s="10"/>
      <c r="P120" s="6">
        <v>46044</v>
      </c>
      <c r="Q120" s="2"/>
      <c r="R120" s="7">
        <f t="shared" si="102"/>
        <v>2.8650976036343308E-2</v>
      </c>
      <c r="S120" s="2"/>
      <c r="T120" s="6">
        <v>213536</v>
      </c>
      <c r="U120" s="2"/>
      <c r="V120" s="7">
        <f t="shared" si="103"/>
        <v>1.5635772723101005E-2</v>
      </c>
      <c r="W120" s="2"/>
      <c r="X120" s="6">
        <f t="shared" si="104"/>
        <v>-167492</v>
      </c>
      <c r="Y120" s="2"/>
      <c r="Z120" s="7">
        <f t="shared" si="105"/>
        <v>-0.78437359508466953</v>
      </c>
    </row>
    <row r="121" spans="1:26" s="52" customFormat="1" x14ac:dyDescent="0.25">
      <c r="A121" s="37"/>
      <c r="B121" s="37"/>
      <c r="C121" s="37"/>
      <c r="D121" s="1"/>
      <c r="E121" s="1"/>
      <c r="F121" s="5"/>
      <c r="G121" s="1"/>
      <c r="H121" s="1"/>
      <c r="I121" s="1"/>
      <c r="J121" s="5"/>
      <c r="K121" s="1"/>
      <c r="L121" s="1"/>
      <c r="M121" s="1"/>
      <c r="N121" s="5"/>
      <c r="O121" s="37"/>
      <c r="P121" s="1"/>
      <c r="Q121" s="1"/>
      <c r="R121" s="5"/>
      <c r="S121" s="1"/>
      <c r="T121" s="1"/>
      <c r="U121" s="1"/>
      <c r="V121" s="5"/>
      <c r="W121" s="1"/>
      <c r="X121" s="1"/>
      <c r="Y121" s="1"/>
      <c r="Z121" s="5"/>
    </row>
    <row r="122" spans="1:26" s="24" customFormat="1" collapsed="1" x14ac:dyDescent="0.25">
      <c r="A122" s="11"/>
      <c r="B122" s="29" t="s">
        <v>292</v>
      </c>
      <c r="C122" s="11"/>
      <c r="D122" s="4">
        <f>SUM(OSRRefD25x_0)</f>
        <v>1026.5</v>
      </c>
      <c r="E122" s="4"/>
      <c r="F122" s="13">
        <f t="shared" ref="F122:F125" si="106">IF(D$12=0,0,D122/D$12)</f>
        <v>1.0603680494630447E-2</v>
      </c>
      <c r="G122" s="4"/>
      <c r="H122" s="4">
        <f>SUM(OSRRefH25x_0)</f>
        <v>43261.639999999992</v>
      </c>
      <c r="I122" s="4"/>
      <c r="J122" s="13">
        <f t="shared" ref="J122:J125" si="107">IF(H$12=0,0,H122/H$12)</f>
        <v>-0.32372036529478082</v>
      </c>
      <c r="K122" s="4"/>
      <c r="L122" s="4">
        <f t="shared" ref="L122:L125" si="108">+D122-H122</f>
        <v>-42235.139999999992</v>
      </c>
      <c r="M122" s="4"/>
      <c r="N122" s="13">
        <f t="shared" ref="N122:N125" si="109">IF(H122=0,0,L122/H122)</f>
        <v>-0.97627228186448778</v>
      </c>
      <c r="O122" s="11"/>
      <c r="P122" s="4">
        <f>SUM(OSRRefP25x_0)</f>
        <v>23513.16</v>
      </c>
      <c r="Q122" s="4"/>
      <c r="R122" s="13">
        <f t="shared" ref="R122:R125" si="110">IF(P$12=0,0,P122/P$12)</f>
        <v>1.4631113363276561E-2</v>
      </c>
      <c r="S122" s="4"/>
      <c r="T122" s="4">
        <f>SUM(OSRRefT25x_0)</f>
        <v>730460.52</v>
      </c>
      <c r="U122" s="4"/>
      <c r="V122" s="13">
        <f t="shared" ref="V122:V125" si="111">IF(T$12=0,0,T122/T$12)</f>
        <v>5.3486600263740899E-2</v>
      </c>
      <c r="W122" s="4"/>
      <c r="X122" s="4">
        <f t="shared" ref="X122:X125" si="112">+P122-T122</f>
        <v>-706947.36</v>
      </c>
      <c r="Y122" s="4"/>
      <c r="Z122" s="13">
        <f t="shared" ref="Z122:Z125" si="113">IF(T122=0,0,X122/T122)</f>
        <v>-0.96781049850579193</v>
      </c>
    </row>
    <row r="123" spans="1:26" s="23" customFormat="1" hidden="1" outlineLevel="1" x14ac:dyDescent="0.25">
      <c r="A123" s="44"/>
      <c r="B123" s="10" t="str">
        <f>CONCATENATE("          ", "9150", " - ", "MISC. INCOME")</f>
        <v xml:space="preserve">          9150 - MISC. INCOME</v>
      </c>
      <c r="C123" s="10"/>
      <c r="D123" s="2">
        <f>--449.64</f>
        <v>449.64</v>
      </c>
      <c r="E123" s="2"/>
      <c r="F123" s="19">
        <f t="shared" si="106"/>
        <v>4.644752944574412E-3</v>
      </c>
      <c r="G123" s="2"/>
      <c r="H123" s="2">
        <f>--16951.85</f>
        <v>16951.849999999999</v>
      </c>
      <c r="I123" s="2"/>
      <c r="J123" s="19">
        <f t="shared" si="107"/>
        <v>-0.12684815172107045</v>
      </c>
      <c r="K123" s="2"/>
      <c r="L123" s="2">
        <f t="shared" si="108"/>
        <v>-16502.21</v>
      </c>
      <c r="M123" s="2"/>
      <c r="N123" s="19">
        <f t="shared" si="109"/>
        <v>-0.97347546138032137</v>
      </c>
      <c r="O123" s="10"/>
      <c r="P123" s="2">
        <f>--5799.56</f>
        <v>5799.56</v>
      </c>
      <c r="Q123" s="2"/>
      <c r="R123" s="19">
        <f t="shared" si="110"/>
        <v>3.6087884323980366E-3</v>
      </c>
      <c r="S123" s="2"/>
      <c r="T123" s="2">
        <f>--330936.39</f>
        <v>330936.39</v>
      </c>
      <c r="U123" s="2"/>
      <c r="V123" s="19">
        <f t="shared" si="111"/>
        <v>2.423219588192865E-2</v>
      </c>
      <c r="W123" s="2"/>
      <c r="X123" s="2">
        <f t="shared" si="112"/>
        <v>-325136.83</v>
      </c>
      <c r="Y123" s="2"/>
      <c r="Z123" s="19">
        <f t="shared" si="113"/>
        <v>-0.98247530288222462</v>
      </c>
    </row>
    <row r="124" spans="1:26" s="23" customFormat="1" hidden="1" outlineLevel="1" x14ac:dyDescent="0.25">
      <c r="A124" s="44"/>
      <c r="B124" s="10" t="str">
        <f>CONCATENATE("          ", "9160", " - ", "MISC. INCOME")</f>
        <v xml:space="preserve">          9160 - MISC. INCOME</v>
      </c>
      <c r="C124" s="10"/>
      <c r="D124" s="2">
        <f>0</f>
        <v>0</v>
      </c>
      <c r="E124" s="2"/>
      <c r="F124" s="19">
        <f t="shared" si="106"/>
        <v>0</v>
      </c>
      <c r="G124" s="2"/>
      <c r="H124" s="2">
        <f>--25000.02</f>
        <v>25000.02</v>
      </c>
      <c r="I124" s="2"/>
      <c r="J124" s="19">
        <f t="shared" si="107"/>
        <v>-0.18707140105591993</v>
      </c>
      <c r="K124" s="2"/>
      <c r="L124" s="2">
        <f t="shared" si="108"/>
        <v>-25000.02</v>
      </c>
      <c r="M124" s="2"/>
      <c r="N124" s="19">
        <f t="shared" si="109"/>
        <v>-1</v>
      </c>
      <c r="O124" s="10"/>
      <c r="P124" s="2">
        <f>--13615.06</f>
        <v>13615.06</v>
      </c>
      <c r="Q124" s="2"/>
      <c r="R124" s="19">
        <f t="shared" si="110"/>
        <v>8.4719997783289092E-3</v>
      </c>
      <c r="S124" s="2"/>
      <c r="T124" s="2">
        <f>--155089.34</f>
        <v>155089.34</v>
      </c>
      <c r="U124" s="2"/>
      <c r="V124" s="19">
        <f t="shared" si="111"/>
        <v>1.1356125768094081E-2</v>
      </c>
      <c r="W124" s="2"/>
      <c r="X124" s="2">
        <f t="shared" si="112"/>
        <v>-141474.28</v>
      </c>
      <c r="Y124" s="2"/>
      <c r="Z124" s="19">
        <f t="shared" si="113"/>
        <v>-0.91221150338250201</v>
      </c>
    </row>
    <row r="125" spans="1:26" s="23" customFormat="1" hidden="1" outlineLevel="1" x14ac:dyDescent="0.25">
      <c r="A125" s="44"/>
      <c r="B125" s="10" t="str">
        <f>CONCATENATE("          ", "9165", " - ", "OTHER INCOME")</f>
        <v xml:space="preserve">          9165 - OTHER INCOME</v>
      </c>
      <c r="C125" s="10"/>
      <c r="D125" s="2">
        <f>--576.86</f>
        <v>576.86</v>
      </c>
      <c r="E125" s="2"/>
      <c r="F125" s="19">
        <f t="shared" si="106"/>
        <v>5.9589275500560347E-3</v>
      </c>
      <c r="G125" s="2"/>
      <c r="H125" s="2">
        <f>--1309.77</f>
        <v>1309.77</v>
      </c>
      <c r="I125" s="2"/>
      <c r="J125" s="19">
        <f t="shared" si="107"/>
        <v>-9.8008125177904745E-3</v>
      </c>
      <c r="K125" s="2"/>
      <c r="L125" s="2">
        <f t="shared" si="108"/>
        <v>-732.91</v>
      </c>
      <c r="M125" s="2"/>
      <c r="N125" s="19">
        <f t="shared" si="109"/>
        <v>-0.55957152782549602</v>
      </c>
      <c r="O125" s="10"/>
      <c r="P125" s="2">
        <f>--4098.54</f>
        <v>4098.54</v>
      </c>
      <c r="Q125" s="2"/>
      <c r="R125" s="19">
        <f t="shared" si="110"/>
        <v>2.5503251525496157E-3</v>
      </c>
      <c r="S125" s="2"/>
      <c r="T125" s="2">
        <f>--244434.79</f>
        <v>244434.79</v>
      </c>
      <c r="U125" s="2"/>
      <c r="V125" s="19">
        <f t="shared" si="111"/>
        <v>1.7898278613718167E-2</v>
      </c>
      <c r="W125" s="2"/>
      <c r="X125" s="2">
        <f t="shared" si="112"/>
        <v>-240336.25</v>
      </c>
      <c r="Y125" s="2"/>
      <c r="Z125" s="19">
        <f t="shared" si="113"/>
        <v>-0.98323258321779805</v>
      </c>
    </row>
    <row r="126" spans="1:26" x14ac:dyDescent="0.25">
      <c r="A126" s="9"/>
      <c r="B126" s="11"/>
      <c r="C126" s="11"/>
      <c r="D126" s="3"/>
      <c r="E126" s="3"/>
      <c r="F126" s="8"/>
      <c r="G126" s="3"/>
      <c r="H126" s="3"/>
      <c r="I126" s="3"/>
      <c r="J126" s="8"/>
      <c r="K126" s="3"/>
      <c r="L126" s="3"/>
      <c r="M126" s="3"/>
      <c r="N126" s="8"/>
      <c r="O126" s="11"/>
      <c r="P126" s="3"/>
      <c r="Q126" s="3"/>
      <c r="R126" s="8"/>
      <c r="S126" s="3"/>
      <c r="T126" s="3"/>
      <c r="U126" s="3"/>
      <c r="V126" s="8"/>
      <c r="W126" s="3"/>
      <c r="X126" s="3"/>
      <c r="Y126" s="3"/>
      <c r="Z126" s="8"/>
    </row>
    <row r="127" spans="1:26" s="24" customFormat="1" x14ac:dyDescent="0.25">
      <c r="A127" s="11"/>
      <c r="B127" s="28" t="s">
        <v>276</v>
      </c>
      <c r="C127" s="28"/>
      <c r="D127" s="21">
        <f>+D29-D31+D122</f>
        <v>-286214.14999999997</v>
      </c>
      <c r="E127" s="14"/>
      <c r="F127" s="22">
        <f>IF(D$12=0,0,D127/D$12)</f>
        <v>-2.956574183772267</v>
      </c>
      <c r="G127" s="14"/>
      <c r="H127" s="21">
        <f>+H29-H31+H122</f>
        <v>-435576.29</v>
      </c>
      <c r="I127" s="14"/>
      <c r="J127" s="22">
        <f>IF(H$12=0,0,H127/H$12)</f>
        <v>3.2593520659999342</v>
      </c>
      <c r="K127" s="15"/>
      <c r="L127" s="21">
        <f>+D127-H127</f>
        <v>149362.14000000001</v>
      </c>
      <c r="M127" s="15"/>
      <c r="N127" s="22">
        <f>IF(H127=0,0,L127/H127)</f>
        <v>-0.34290695666653487</v>
      </c>
      <c r="O127" s="29"/>
      <c r="P127" s="21">
        <f>+P29-P31+P122</f>
        <v>-2913834.1499999994</v>
      </c>
      <c r="Q127" s="14"/>
      <c r="R127" s="22">
        <f>IF(P$12=0,0,P127/P$12)</f>
        <v>-1.8131394406552157</v>
      </c>
      <c r="S127" s="14"/>
      <c r="T127" s="21">
        <f>+T29-T31+T122</f>
        <v>691334.07999999495</v>
      </c>
      <c r="U127" s="14"/>
      <c r="V127" s="22">
        <f>IF(T$12=0,0,T127/T$12)</f>
        <v>5.0621640147862884E-2</v>
      </c>
      <c r="W127" s="15"/>
      <c r="X127" s="21">
        <f>+P127-T127</f>
        <v>-3605168.2299999944</v>
      </c>
      <c r="Y127" s="15"/>
      <c r="Z127" s="22">
        <f>IF(T127=0,0,X127/T127)</f>
        <v>-5.2147989435151541</v>
      </c>
    </row>
    <row r="128" spans="1:26" x14ac:dyDescent="0.25">
      <c r="A128" s="9"/>
      <c r="B128" s="11"/>
      <c r="C128" s="9"/>
      <c r="D128" s="3"/>
      <c r="E128" s="3"/>
      <c r="F128" s="8"/>
      <c r="G128" s="3"/>
      <c r="H128" s="3"/>
      <c r="I128" s="3"/>
      <c r="J128" s="8"/>
      <c r="K128" s="3"/>
      <c r="L128" s="3"/>
      <c r="M128" s="3"/>
      <c r="N128" s="8"/>
      <c r="P128" s="3"/>
      <c r="Q128" s="3"/>
      <c r="R128" s="8"/>
      <c r="S128" s="3"/>
      <c r="T128" s="3"/>
      <c r="U128" s="3"/>
      <c r="V128" s="8"/>
      <c r="W128" s="3"/>
      <c r="X128" s="3"/>
      <c r="Y128" s="3"/>
      <c r="Z128" s="8"/>
    </row>
    <row r="129" spans="1:26" s="24" customFormat="1" x14ac:dyDescent="0.25">
      <c r="A129" s="51"/>
      <c r="B129" s="11" t="s">
        <v>127</v>
      </c>
      <c r="C129" s="11"/>
      <c r="D129" s="4">
        <v>122099.01</v>
      </c>
      <c r="E129" s="4"/>
      <c r="F129" s="13">
        <f>IF(D$12=0,0,D129/D$12)</f>
        <v>1.2612751005851803</v>
      </c>
      <c r="G129" s="4"/>
      <c r="H129" s="4">
        <v>434879.69</v>
      </c>
      <c r="I129" s="4"/>
      <c r="J129" s="13">
        <f>IF(H$12=0,0,H129/H$12)</f>
        <v>-3.2541395126509549</v>
      </c>
      <c r="K129" s="4"/>
      <c r="L129" s="4">
        <f>+D129-H129</f>
        <v>-312780.68</v>
      </c>
      <c r="M129" s="4"/>
      <c r="N129" s="13">
        <f>IF(H129=0,0,L129/H129)</f>
        <v>-0.71923496818165955</v>
      </c>
      <c r="O129" s="11"/>
      <c r="P129" s="4">
        <v>444827.18</v>
      </c>
      <c r="Q129" s="4"/>
      <c r="R129" s="13">
        <f>IF(P$12=0,0,P129/P$12)</f>
        <v>0.27679465021488514</v>
      </c>
      <c r="S129" s="4"/>
      <c r="T129" s="4">
        <v>2067961.84</v>
      </c>
      <c r="U129" s="4"/>
      <c r="V129" s="13">
        <f>IF(T$12=0,0,T129/T$12)</f>
        <v>0.1514226234933958</v>
      </c>
      <c r="W129" s="4"/>
      <c r="X129" s="4">
        <f>+P129-T129</f>
        <v>-1623134.6600000001</v>
      </c>
      <c r="Y129" s="4"/>
      <c r="Z129" s="13">
        <f>IF(T129=0,0,X129/T129)</f>
        <v>-0.78489584701427573</v>
      </c>
    </row>
    <row r="130" spans="1:26" x14ac:dyDescent="0.25">
      <c r="A130" s="9"/>
      <c r="B130" s="11"/>
      <c r="C130" s="11"/>
      <c r="D130" s="3"/>
      <c r="E130" s="3"/>
      <c r="F130" s="8"/>
      <c r="G130" s="3"/>
      <c r="H130" s="3"/>
      <c r="I130" s="3"/>
      <c r="J130" s="8"/>
      <c r="K130" s="3"/>
      <c r="L130" s="3"/>
      <c r="M130" s="3"/>
      <c r="N130" s="8"/>
      <c r="O130" s="11"/>
      <c r="P130" s="3"/>
      <c r="Q130" s="3"/>
      <c r="R130" s="8"/>
      <c r="S130" s="3"/>
      <c r="T130" s="3"/>
      <c r="U130" s="3"/>
      <c r="V130" s="8"/>
      <c r="W130" s="3"/>
      <c r="X130" s="3"/>
      <c r="Y130" s="3"/>
      <c r="Z130" s="8"/>
    </row>
    <row r="131" spans="1:26" s="24" customFormat="1" ht="15.75" thickBot="1" x14ac:dyDescent="0.3">
      <c r="A131" s="11"/>
      <c r="B131" s="28" t="s">
        <v>125</v>
      </c>
      <c r="C131" s="28"/>
      <c r="D131" s="34">
        <f>+D127-D129</f>
        <v>-408313.16</v>
      </c>
      <c r="E131" s="14"/>
      <c r="F131" s="31">
        <f>IF(D$12=0,0,D131/D$12)</f>
        <v>-4.217849284357448</v>
      </c>
      <c r="G131" s="14"/>
      <c r="H131" s="34">
        <f>+H127-H129</f>
        <v>-870455.98</v>
      </c>
      <c r="I131" s="14"/>
      <c r="J131" s="31">
        <f>IF(H$12=0,0,H131/H$12)</f>
        <v>6.5134915786508891</v>
      </c>
      <c r="K131" s="15"/>
      <c r="L131" s="34">
        <f>D131-H131</f>
        <v>462142.82</v>
      </c>
      <c r="M131" s="15"/>
      <c r="N131" s="31">
        <f>IF(H131=0,0,L131/H131)</f>
        <v>-0.53092038037351419</v>
      </c>
      <c r="O131" s="29"/>
      <c r="P131" s="34">
        <f>+P127-P129</f>
        <v>-3358661.3299999996</v>
      </c>
      <c r="Q131" s="14"/>
      <c r="R131" s="31">
        <f>IF(P$12=0,0,P131/P$12)</f>
        <v>-2.0899340908701012</v>
      </c>
      <c r="S131" s="14"/>
      <c r="T131" s="34">
        <f>+T127-T129</f>
        <v>-1376627.7600000051</v>
      </c>
      <c r="U131" s="14"/>
      <c r="V131" s="31">
        <f>IF(T$12=0,0,T131/T$12)</f>
        <v>-0.10080098334553292</v>
      </c>
      <c r="W131" s="15"/>
      <c r="X131" s="34">
        <f>P131-T131</f>
        <v>-1982033.5699999945</v>
      </c>
      <c r="Y131" s="15"/>
      <c r="Z131" s="31">
        <f>IF(T131=0,0,X131/T131)</f>
        <v>1.439774518276449</v>
      </c>
    </row>
    <row r="132" spans="1:26" ht="15.75" thickTop="1" x14ac:dyDescent="0.25">
      <c r="A132" s="9"/>
      <c r="B132" s="9"/>
      <c r="C132" s="9"/>
      <c r="D132" s="3"/>
      <c r="E132" s="3"/>
      <c r="F132" s="8"/>
      <c r="G132" s="3"/>
      <c r="H132" s="3"/>
      <c r="I132" s="3"/>
      <c r="J132" s="8"/>
      <c r="K132" s="3"/>
      <c r="L132" s="3"/>
      <c r="M132" s="3"/>
      <c r="N132" s="8"/>
      <c r="P132" s="3"/>
      <c r="Q132" s="3"/>
      <c r="R132" s="8"/>
      <c r="S132" s="3"/>
      <c r="T132" s="3"/>
      <c r="U132" s="3"/>
      <c r="V132" s="8"/>
      <c r="W132" s="3"/>
      <c r="X132" s="3"/>
      <c r="Y132" s="3"/>
      <c r="Z132" s="8"/>
    </row>
    <row r="133" spans="1:26" x14ac:dyDescent="0.25">
      <c r="A133" s="9"/>
      <c r="B133" s="9"/>
      <c r="C133" s="9"/>
      <c r="D133" s="3"/>
      <c r="E133" s="3"/>
      <c r="F133" s="8"/>
      <c r="G133" s="3"/>
      <c r="H133" s="3"/>
      <c r="I133" s="3"/>
      <c r="J133" s="8"/>
      <c r="K133" s="3"/>
      <c r="L133" s="3"/>
      <c r="M133" s="3"/>
      <c r="N133" s="8"/>
      <c r="P133" s="3"/>
      <c r="Q133" s="3"/>
      <c r="R133" s="8"/>
      <c r="S133" s="3"/>
      <c r="T133" s="3"/>
      <c r="U133" s="3"/>
      <c r="V133" s="8"/>
      <c r="W133" s="3"/>
      <c r="X133" s="3"/>
      <c r="Y133" s="3"/>
      <c r="Z133" s="8"/>
    </row>
    <row r="134" spans="1:26" s="24" customFormat="1" ht="15.75" thickBot="1" x14ac:dyDescent="0.3">
      <c r="A134" s="11"/>
      <c r="B134" s="28" t="s">
        <v>293</v>
      </c>
      <c r="C134" s="28"/>
      <c r="D134" s="33">
        <f>SUM(D131:D133)</f>
        <v>-408313.16</v>
      </c>
      <c r="E134" s="14"/>
      <c r="F134" s="35">
        <f>IF(D$12=0,0,D134/D$12)</f>
        <v>-4.217849284357448</v>
      </c>
      <c r="G134" s="14"/>
      <c r="H134" s="33">
        <f>SUM(H131:H133)</f>
        <v>-870455.98</v>
      </c>
      <c r="I134" s="14"/>
      <c r="J134" s="35">
        <f>IF(H$12=0,0,H134/H$12)</f>
        <v>6.5134915786508891</v>
      </c>
      <c r="K134" s="15"/>
      <c r="L134" s="33">
        <f>+D134-H134</f>
        <v>462142.82</v>
      </c>
      <c r="M134" s="15"/>
      <c r="N134" s="35">
        <f>IF(H134=0,0,L134/H134)</f>
        <v>-0.53092038037351419</v>
      </c>
      <c r="O134" s="29"/>
      <c r="P134" s="33">
        <f>SUM(P131:P133)</f>
        <v>-3358661.3299999996</v>
      </c>
      <c r="Q134" s="14"/>
      <c r="R134" s="35">
        <f>IF(P$12=0,0,P134/P$12)</f>
        <v>-2.0899340908701012</v>
      </c>
      <c r="S134" s="14"/>
      <c r="T134" s="33">
        <f>SUM(T131:T133)</f>
        <v>-1376627.7600000051</v>
      </c>
      <c r="U134" s="14"/>
      <c r="V134" s="35">
        <f>IF(T$12=0,0,T134/T$12)</f>
        <v>-0.10080098334553292</v>
      </c>
      <c r="W134" s="15"/>
      <c r="X134" s="33">
        <f>+P134-T134</f>
        <v>-1982033.5699999945</v>
      </c>
      <c r="Y134" s="15"/>
      <c r="Z134" s="35">
        <f>IF(T134=0,0,X134/T134)</f>
        <v>1.439774518276449</v>
      </c>
    </row>
    <row r="135" spans="1:26" ht="15.75" thickTop="1" x14ac:dyDescent="0.25">
      <c r="A135" s="9"/>
      <c r="C135" s="9"/>
      <c r="D135" s="18"/>
      <c r="E135" s="18"/>
      <c r="G135" s="18"/>
      <c r="H135" s="18"/>
      <c r="I135" s="18"/>
      <c r="J135" s="43"/>
      <c r="K135" s="18"/>
      <c r="L135" s="18"/>
      <c r="M135" s="18"/>
      <c r="P135" s="18"/>
      <c r="Q135" s="18"/>
      <c r="R135" s="43"/>
      <c r="S135" s="18"/>
      <c r="T135" s="18"/>
      <c r="U135" s="18"/>
      <c r="V135" s="43"/>
      <c r="W135" s="18"/>
      <c r="X135" s="18"/>
    </row>
    <row r="136" spans="1:26" x14ac:dyDescent="0.25">
      <c r="A136" s="9"/>
      <c r="B136" s="56">
        <v>44454.698527395834</v>
      </c>
      <c r="D136" s="18"/>
      <c r="E136" s="18"/>
      <c r="G136" s="18"/>
      <c r="H136" s="18"/>
      <c r="I136" s="18"/>
      <c r="J136" s="43"/>
      <c r="K136" s="18"/>
      <c r="L136" s="18"/>
      <c r="M136" s="18"/>
      <c r="P136" s="18"/>
      <c r="Q136" s="18"/>
      <c r="R136" s="43"/>
      <c r="S136" s="18"/>
      <c r="T136" s="18"/>
      <c r="U136" s="18"/>
      <c r="V136" s="43"/>
      <c r="W136" s="18"/>
      <c r="X136" s="18"/>
    </row>
    <row r="137" spans="1:26" x14ac:dyDescent="0.25">
      <c r="A137" s="9"/>
      <c r="B137" s="55" t="s">
        <v>56</v>
      </c>
      <c r="D137" s="18"/>
      <c r="E137" s="18"/>
      <c r="G137" s="18"/>
      <c r="H137" s="18"/>
      <c r="I137" s="18"/>
      <c r="J137" s="43"/>
      <c r="K137" s="18"/>
      <c r="L137" s="18"/>
      <c r="M137" s="18"/>
      <c r="P137" s="18"/>
      <c r="Q137" s="18"/>
      <c r="R137" s="43"/>
      <c r="S137" s="18"/>
      <c r="T137" s="18"/>
      <c r="U137" s="18"/>
      <c r="V137" s="43"/>
      <c r="W137" s="18"/>
      <c r="X137" s="18"/>
    </row>
    <row r="138" spans="1:26" x14ac:dyDescent="0.25">
      <c r="A138" s="9"/>
      <c r="B138" s="60"/>
      <c r="D138" s="18"/>
      <c r="E138" s="18"/>
      <c r="G138" s="18"/>
      <c r="H138" s="18"/>
      <c r="I138" s="18"/>
      <c r="J138" s="43"/>
      <c r="K138" s="18"/>
      <c r="L138" s="18"/>
      <c r="M138" s="18"/>
      <c r="P138" s="18"/>
      <c r="Q138" s="18"/>
      <c r="R138" s="43"/>
      <c r="S138" s="18"/>
      <c r="T138" s="18"/>
      <c r="U138" s="18"/>
      <c r="V138" s="43"/>
      <c r="W138" s="18"/>
      <c r="X138" s="18"/>
    </row>
    <row r="139" spans="1:26" x14ac:dyDescent="0.25">
      <c r="D139" s="18"/>
      <c r="E139" s="18"/>
      <c r="G139" s="18"/>
      <c r="H139" s="18"/>
      <c r="I139" s="18"/>
      <c r="J139" s="43"/>
      <c r="K139" s="18"/>
      <c r="L139" s="18"/>
      <c r="M139" s="18"/>
      <c r="P139" s="18"/>
      <c r="Q139" s="18"/>
      <c r="R139" s="43"/>
      <c r="S139" s="18"/>
      <c r="T139" s="18"/>
      <c r="U139" s="18"/>
      <c r="V139" s="43"/>
      <c r="W139" s="18"/>
      <c r="X139" s="18"/>
    </row>
  </sheetData>
  <pageMargins left="0.25" right="0.25" top="0.75" bottom="0.75" header="0.3" footer="0.3"/>
  <pageSetup scale="55" fitToWidth="2" orientation="landscape"/>
  <drawing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tabColor theme="5" tint="0.39997558519241921"/>
    <outlinePr summaryBelow="0" summaryRight="0"/>
  </sheetPr>
  <dimension ref="A2:Z144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62" t="s">
        <v>23</v>
      </c>
    </row>
    <row r="3" spans="1:26" x14ac:dyDescent="0.25">
      <c r="D3" s="62" t="s">
        <v>236</v>
      </c>
      <c r="E3" s="17"/>
      <c r="F3" s="46"/>
      <c r="G3" s="17"/>
      <c r="H3" s="17"/>
      <c r="I3" s="17"/>
      <c r="J3" s="38"/>
      <c r="K3" s="17"/>
      <c r="L3" s="17"/>
      <c r="M3" s="17"/>
      <c r="N3" s="46"/>
      <c r="O3" s="53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2" t="str">
        <f>CONCATENATE("Period ",RIGHT(202112,2),", ",2021)</f>
        <v>Period 12, 2021</v>
      </c>
      <c r="E4" s="17"/>
      <c r="F4" s="46"/>
      <c r="G4" s="17"/>
      <c r="H4" s="17"/>
      <c r="I4" s="17"/>
      <c r="J4" s="38"/>
      <c r="K4" s="17"/>
      <c r="L4" s="17"/>
      <c r="M4" s="17"/>
      <c r="N4" s="46"/>
      <c r="O4" s="53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4"/>
      <c r="D5" s="63">
        <v>44377</v>
      </c>
      <c r="E5" s="17"/>
      <c r="F5" s="46"/>
      <c r="G5" s="17"/>
      <c r="H5" s="17"/>
      <c r="I5" s="17"/>
      <c r="J5" s="38"/>
      <c r="K5" s="17"/>
      <c r="L5" s="17"/>
      <c r="M5" s="17"/>
      <c r="N5" s="46"/>
      <c r="O5" s="53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4"/>
      <c r="B6" s="48"/>
      <c r="C6" s="48"/>
      <c r="D6" s="24" t="s">
        <v>55</v>
      </c>
      <c r="E6" s="17"/>
      <c r="F6" s="46"/>
      <c r="G6" s="17"/>
      <c r="H6" s="17"/>
      <c r="I6" s="17"/>
      <c r="J6" s="38"/>
      <c r="K6" s="17"/>
      <c r="L6" s="17"/>
      <c r="M6" s="17"/>
      <c r="N6" s="46"/>
      <c r="O6" s="54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9"/>
    </row>
    <row r="8" spans="1:26" x14ac:dyDescent="0.25">
      <c r="B8" s="59"/>
    </row>
    <row r="9" spans="1:26" x14ac:dyDescent="0.25">
      <c r="B9" s="9"/>
      <c r="C9" s="9"/>
      <c r="D9" s="16" t="s">
        <v>291</v>
      </c>
      <c r="E9" s="16"/>
      <c r="F9" s="39"/>
      <c r="G9" s="16"/>
      <c r="H9" s="16"/>
      <c r="I9" s="16"/>
      <c r="J9" s="49"/>
      <c r="K9" s="16"/>
      <c r="L9" s="16"/>
      <c r="M9" s="16"/>
      <c r="N9" s="39"/>
      <c r="P9" s="16" t="s">
        <v>39</v>
      </c>
      <c r="Q9" s="16"/>
      <c r="R9" s="39"/>
      <c r="S9" s="16"/>
      <c r="T9" s="16"/>
      <c r="U9" s="16"/>
      <c r="V9" s="49"/>
      <c r="W9" s="16"/>
      <c r="X9" s="16"/>
      <c r="Y9" s="16"/>
      <c r="Z9" s="39"/>
    </row>
    <row r="10" spans="1:26" x14ac:dyDescent="0.25">
      <c r="A10" s="11"/>
      <c r="B10" s="58"/>
      <c r="C10" s="11"/>
      <c r="D10" s="42" t="s">
        <v>57</v>
      </c>
      <c r="E10" s="36"/>
      <c r="F10" s="30" t="s">
        <v>40</v>
      </c>
      <c r="G10" s="36"/>
      <c r="H10" s="50" t="s">
        <v>237</v>
      </c>
      <c r="I10" s="36"/>
      <c r="J10" s="30" t="s">
        <v>40</v>
      </c>
      <c r="K10" s="11"/>
      <c r="L10" s="42" t="s">
        <v>126</v>
      </c>
      <c r="M10" s="11"/>
      <c r="N10" s="30" t="s">
        <v>257</v>
      </c>
      <c r="O10" s="11"/>
      <c r="P10" s="61" t="s">
        <v>57</v>
      </c>
      <c r="Q10" s="36"/>
      <c r="R10" s="30" t="s">
        <v>40</v>
      </c>
      <c r="S10" s="36"/>
      <c r="T10" s="50" t="s">
        <v>237</v>
      </c>
      <c r="U10" s="36"/>
      <c r="V10" s="30" t="s">
        <v>40</v>
      </c>
      <c r="W10" s="11"/>
      <c r="X10" s="42" t="s">
        <v>126</v>
      </c>
      <c r="Y10" s="11"/>
      <c r="Z10" s="30" t="s">
        <v>257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4" customFormat="1" collapsed="1" x14ac:dyDescent="0.25">
      <c r="A12" s="11"/>
      <c r="B12" s="29" t="s">
        <v>139</v>
      </c>
      <c r="C12" s="11"/>
      <c r="D12" s="4">
        <f>SUM(OSRRefD13x_0)</f>
        <v>66728.66</v>
      </c>
      <c r="E12" s="4"/>
      <c r="F12" s="13"/>
      <c r="G12" s="4"/>
      <c r="H12" s="4">
        <f>SUM(OSRRefH13x_0)</f>
        <v>119.47</v>
      </c>
      <c r="I12" s="4"/>
      <c r="J12" s="13"/>
      <c r="K12" s="4"/>
      <c r="L12" s="4">
        <f t="shared" ref="L12:L29" si="0">+D12-H12</f>
        <v>66609.19</v>
      </c>
      <c r="M12" s="4"/>
      <c r="N12" s="13">
        <f t="shared" ref="N12:N29" si="1">IF(H12=0,0,L12/H12)</f>
        <v>557.53904745961336</v>
      </c>
      <c r="O12" s="11"/>
      <c r="P12" s="4">
        <f>SUM(OSRRefP13x_0)</f>
        <v>587980.64</v>
      </c>
      <c r="Q12" s="4"/>
      <c r="R12" s="13"/>
      <c r="S12" s="4"/>
      <c r="T12" s="4">
        <f>SUM(OSRRefT13x_0)</f>
        <v>6984271.0700000003</v>
      </c>
      <c r="U12" s="4"/>
      <c r="V12" s="13"/>
      <c r="W12" s="4"/>
      <c r="X12" s="4">
        <f t="shared" ref="X12:X29" si="2">+P12-T12</f>
        <v>-6396290.4300000006</v>
      </c>
      <c r="Y12" s="4"/>
      <c r="Z12" s="13">
        <f t="shared" ref="Z12:Z29" si="3">IF(T12=0,0,X12/T12)</f>
        <v>-0.91581359971470877</v>
      </c>
    </row>
    <row r="13" spans="1:26" s="23" customFormat="1" hidden="1" outlineLevel="1" x14ac:dyDescent="0.25">
      <c r="A13" s="44"/>
      <c r="B13" s="10" t="str">
        <f>CONCATENATE("          ", "4032", " - ", "TAXABLE SALES-JUICE")</f>
        <v xml:space="preserve">          4032 - TAXABLE SALES-JUICE</v>
      </c>
      <c r="C13" s="10"/>
      <c r="D13" s="2">
        <f t="shared" ref="D13:D14" si="4">0</f>
        <v>0</v>
      </c>
      <c r="E13" s="2"/>
      <c r="F13" s="19"/>
      <c r="G13" s="2"/>
      <c r="H13" s="2">
        <f t="shared" ref="H13:H20" si="5">0</f>
        <v>0</v>
      </c>
      <c r="I13" s="2"/>
      <c r="J13" s="19"/>
      <c r="K13" s="2"/>
      <c r="L13" s="2">
        <f t="shared" si="0"/>
        <v>0</v>
      </c>
      <c r="M13" s="2"/>
      <c r="N13" s="19">
        <f t="shared" si="1"/>
        <v>0</v>
      </c>
      <c r="O13" s="10"/>
      <c r="P13" s="2">
        <f>--444.59</f>
        <v>444.59</v>
      </c>
      <c r="Q13" s="2"/>
      <c r="R13" s="19"/>
      <c r="S13" s="2"/>
      <c r="T13" s="2">
        <f>--275749.46</f>
        <v>275749.46000000002</v>
      </c>
      <c r="U13" s="2"/>
      <c r="V13" s="19"/>
      <c r="W13" s="2"/>
      <c r="X13" s="2">
        <f t="shared" si="2"/>
        <v>-275304.87</v>
      </c>
      <c r="Y13" s="2"/>
      <c r="Z13" s="19">
        <f t="shared" si="3"/>
        <v>-0.99838770309831237</v>
      </c>
    </row>
    <row r="14" spans="1:26" s="23" customFormat="1" hidden="1" outlineLevel="1" x14ac:dyDescent="0.25">
      <c r="A14" s="44"/>
      <c r="B14" s="10" t="str">
        <f>CONCATENATE("          ", "4034", " - ", "TAXABLE SALES-SODA")</f>
        <v xml:space="preserve">          4034 - TAXABLE SALES-SODA</v>
      </c>
      <c r="C14" s="10"/>
      <c r="D14" s="2">
        <f t="shared" si="4"/>
        <v>0</v>
      </c>
      <c r="E14" s="2"/>
      <c r="F14" s="19"/>
      <c r="G14" s="2"/>
      <c r="H14" s="2">
        <f t="shared" si="5"/>
        <v>0</v>
      </c>
      <c r="I14" s="2"/>
      <c r="J14" s="19"/>
      <c r="K14" s="2"/>
      <c r="L14" s="2">
        <f t="shared" si="0"/>
        <v>0</v>
      </c>
      <c r="M14" s="2"/>
      <c r="N14" s="19">
        <f t="shared" si="1"/>
        <v>0</v>
      </c>
      <c r="O14" s="10"/>
      <c r="P14" s="2">
        <f>0</f>
        <v>0</v>
      </c>
      <c r="Q14" s="2"/>
      <c r="R14" s="19"/>
      <c r="S14" s="2"/>
      <c r="T14" s="2">
        <f>--3121.95</f>
        <v>3121.95</v>
      </c>
      <c r="U14" s="2"/>
      <c r="V14" s="19"/>
      <c r="W14" s="2"/>
      <c r="X14" s="2">
        <f t="shared" si="2"/>
        <v>-3121.95</v>
      </c>
      <c r="Y14" s="2"/>
      <c r="Z14" s="19">
        <f t="shared" si="3"/>
        <v>-1</v>
      </c>
    </row>
    <row r="15" spans="1:26" s="23" customFormat="1" hidden="1" outlineLevel="1" x14ac:dyDescent="0.25">
      <c r="A15" s="44"/>
      <c r="B15" s="10" t="str">
        <f>CONCATENATE("          ", "4051", " - ", "TAXABLE SALES-FOOD")</f>
        <v xml:space="preserve">          4051 - TAXABLE SALES-FOOD</v>
      </c>
      <c r="C15" s="10"/>
      <c r="D15" s="2">
        <f>--9799.52</f>
        <v>9799.52</v>
      </c>
      <c r="E15" s="2"/>
      <c r="F15" s="19"/>
      <c r="G15" s="2"/>
      <c r="H15" s="2">
        <f t="shared" si="5"/>
        <v>0</v>
      </c>
      <c r="I15" s="2"/>
      <c r="J15" s="19"/>
      <c r="K15" s="2"/>
      <c r="L15" s="2">
        <f t="shared" si="0"/>
        <v>9799.52</v>
      </c>
      <c r="M15" s="2"/>
      <c r="N15" s="19">
        <f t="shared" si="1"/>
        <v>0</v>
      </c>
      <c r="O15" s="10"/>
      <c r="P15" s="2">
        <f>--49082.44</f>
        <v>49082.44</v>
      </c>
      <c r="Q15" s="2"/>
      <c r="R15" s="19"/>
      <c r="S15" s="2"/>
      <c r="T15" s="2">
        <f>--604143.21</f>
        <v>604143.21</v>
      </c>
      <c r="U15" s="2"/>
      <c r="V15" s="19"/>
      <c r="W15" s="2"/>
      <c r="X15" s="2">
        <f t="shared" si="2"/>
        <v>-555060.77</v>
      </c>
      <c r="Y15" s="2"/>
      <c r="Z15" s="19">
        <f t="shared" si="3"/>
        <v>-0.91875694506274441</v>
      </c>
    </row>
    <row r="16" spans="1:26" s="23" customFormat="1" hidden="1" outlineLevel="1" x14ac:dyDescent="0.25">
      <c r="A16" s="44"/>
      <c r="B16" s="10" t="str">
        <f>CONCATENATE("          ", "4052", " - ", "TAXABLE SALES-FOOD")</f>
        <v xml:space="preserve">          4052 - TAXABLE SALES-FOOD</v>
      </c>
      <c r="C16" s="10"/>
      <c r="D16" s="2">
        <f>--61213.59</f>
        <v>61213.59</v>
      </c>
      <c r="E16" s="2"/>
      <c r="F16" s="19"/>
      <c r="G16" s="2"/>
      <c r="H16" s="2">
        <f t="shared" si="5"/>
        <v>0</v>
      </c>
      <c r="I16" s="2"/>
      <c r="J16" s="19"/>
      <c r="K16" s="2"/>
      <c r="L16" s="2">
        <f t="shared" si="0"/>
        <v>61213.59</v>
      </c>
      <c r="M16" s="2"/>
      <c r="N16" s="19">
        <f t="shared" si="1"/>
        <v>0</v>
      </c>
      <c r="O16" s="10"/>
      <c r="P16" s="2">
        <f>--489866.6</f>
        <v>489866.6</v>
      </c>
      <c r="Q16" s="2"/>
      <c r="R16" s="19"/>
      <c r="S16" s="2"/>
      <c r="T16" s="2">
        <f>--836487.29</f>
        <v>836487.29</v>
      </c>
      <c r="U16" s="2"/>
      <c r="V16" s="19"/>
      <c r="W16" s="2"/>
      <c r="X16" s="2">
        <f t="shared" si="2"/>
        <v>-346620.69000000006</v>
      </c>
      <c r="Y16" s="2"/>
      <c r="Z16" s="19">
        <f t="shared" si="3"/>
        <v>-0.41437651730488345</v>
      </c>
    </row>
    <row r="17" spans="1:26" s="23" customFormat="1" hidden="1" outlineLevel="1" x14ac:dyDescent="0.25">
      <c r="A17" s="44"/>
      <c r="B17" s="10" t="str">
        <f>CONCATENATE("          ", "4053", " - ", "TAXABLE SALES-FOOD")</f>
        <v xml:space="preserve">          4053 - TAXABLE SALES-FOOD</v>
      </c>
      <c r="C17" s="10"/>
      <c r="D17" s="2">
        <f t="shared" ref="D17:D24" si="6">0</f>
        <v>0</v>
      </c>
      <c r="E17" s="2"/>
      <c r="F17" s="19"/>
      <c r="G17" s="2"/>
      <c r="H17" s="2">
        <f t="shared" si="5"/>
        <v>0</v>
      </c>
      <c r="I17" s="2"/>
      <c r="J17" s="19"/>
      <c r="K17" s="2"/>
      <c r="L17" s="2">
        <f t="shared" si="0"/>
        <v>0</v>
      </c>
      <c r="M17" s="2"/>
      <c r="N17" s="19">
        <f t="shared" si="1"/>
        <v>0</v>
      </c>
      <c r="O17" s="10"/>
      <c r="P17" s="2">
        <f t="shared" ref="P17:P18" si="7">0</f>
        <v>0</v>
      </c>
      <c r="Q17" s="2"/>
      <c r="R17" s="19"/>
      <c r="S17" s="2"/>
      <c r="T17" s="2">
        <f>--253270.4</f>
        <v>253270.39999999999</v>
      </c>
      <c r="U17" s="2"/>
      <c r="V17" s="19"/>
      <c r="W17" s="2"/>
      <c r="X17" s="2">
        <f t="shared" si="2"/>
        <v>-253270.39999999999</v>
      </c>
      <c r="Y17" s="2"/>
      <c r="Z17" s="19">
        <f t="shared" si="3"/>
        <v>-1</v>
      </c>
    </row>
    <row r="18" spans="1:26" s="23" customFormat="1" hidden="1" outlineLevel="1" x14ac:dyDescent="0.25">
      <c r="A18" s="44"/>
      <c r="B18" s="10" t="str">
        <f>CONCATENATE("          ", "4055", " - ", "TAXABLE SALES-FOOD")</f>
        <v xml:space="preserve">          4055 - TAXABLE SALES-FOOD</v>
      </c>
      <c r="C18" s="10"/>
      <c r="D18" s="2">
        <f t="shared" si="6"/>
        <v>0</v>
      </c>
      <c r="E18" s="2"/>
      <c r="F18" s="19"/>
      <c r="G18" s="2"/>
      <c r="H18" s="2">
        <f t="shared" si="5"/>
        <v>0</v>
      </c>
      <c r="I18" s="2"/>
      <c r="J18" s="19"/>
      <c r="K18" s="2"/>
      <c r="L18" s="2">
        <f t="shared" si="0"/>
        <v>0</v>
      </c>
      <c r="M18" s="2"/>
      <c r="N18" s="19">
        <f t="shared" si="1"/>
        <v>0</v>
      </c>
      <c r="O18" s="10"/>
      <c r="P18" s="2">
        <f t="shared" si="7"/>
        <v>0</v>
      </c>
      <c r="Q18" s="2"/>
      <c r="R18" s="19"/>
      <c r="S18" s="2"/>
      <c r="T18" s="2">
        <f>--381406.04</f>
        <v>381406.04</v>
      </c>
      <c r="U18" s="2"/>
      <c r="V18" s="19"/>
      <c r="W18" s="2"/>
      <c r="X18" s="2">
        <f t="shared" si="2"/>
        <v>-381406.04</v>
      </c>
      <c r="Y18" s="2"/>
      <c r="Z18" s="19">
        <f t="shared" si="3"/>
        <v>-1</v>
      </c>
    </row>
    <row r="19" spans="1:26" s="23" customFormat="1" hidden="1" outlineLevel="1" x14ac:dyDescent="0.25">
      <c r="A19" s="44"/>
      <c r="B19" s="10" t="str">
        <f>CONCATENATE("          ", "4058", " - ", "TAXABLE SALES-FOOD")</f>
        <v xml:space="preserve">          4058 - TAXABLE SALES-FOOD</v>
      </c>
      <c r="C19" s="10"/>
      <c r="D19" s="2">
        <f t="shared" si="6"/>
        <v>0</v>
      </c>
      <c r="E19" s="2"/>
      <c r="F19" s="19"/>
      <c r="G19" s="2"/>
      <c r="H19" s="2">
        <f t="shared" si="5"/>
        <v>0</v>
      </c>
      <c r="I19" s="2"/>
      <c r="J19" s="19"/>
      <c r="K19" s="2"/>
      <c r="L19" s="2">
        <f t="shared" si="0"/>
        <v>0</v>
      </c>
      <c r="M19" s="2"/>
      <c r="N19" s="19">
        <f t="shared" si="1"/>
        <v>0</v>
      </c>
      <c r="O19" s="10"/>
      <c r="P19" s="2">
        <f>--974.91</f>
        <v>974.91</v>
      </c>
      <c r="Q19" s="2"/>
      <c r="R19" s="19"/>
      <c r="S19" s="2"/>
      <c r="T19" s="2">
        <f>--117077.57</f>
        <v>117077.57</v>
      </c>
      <c r="U19" s="2"/>
      <c r="V19" s="19"/>
      <c r="W19" s="2"/>
      <c r="X19" s="2">
        <f t="shared" si="2"/>
        <v>-116102.66</v>
      </c>
      <c r="Y19" s="2"/>
      <c r="Z19" s="19">
        <f t="shared" si="3"/>
        <v>-0.99167295665600164</v>
      </c>
    </row>
    <row r="20" spans="1:26" s="23" customFormat="1" hidden="1" outlineLevel="1" x14ac:dyDescent="0.25">
      <c r="A20" s="44"/>
      <c r="B20" s="10" t="str">
        <f>CONCATENATE("          ", "4131", " - ", "NON-TAXABLE SALES-FOOD")</f>
        <v xml:space="preserve">          4131 - NON-TAXABLE SALES-FOOD</v>
      </c>
      <c r="C20" s="10"/>
      <c r="D20" s="2">
        <f t="shared" si="6"/>
        <v>0</v>
      </c>
      <c r="E20" s="2"/>
      <c r="F20" s="19"/>
      <c r="G20" s="2"/>
      <c r="H20" s="2">
        <f t="shared" si="5"/>
        <v>0</v>
      </c>
      <c r="I20" s="2"/>
      <c r="J20" s="19"/>
      <c r="K20" s="2"/>
      <c r="L20" s="2">
        <f t="shared" si="0"/>
        <v>0</v>
      </c>
      <c r="M20" s="2"/>
      <c r="N20" s="19">
        <f t="shared" si="1"/>
        <v>0</v>
      </c>
      <c r="O20" s="10"/>
      <c r="P20" s="2">
        <f>0</f>
        <v>0</v>
      </c>
      <c r="Q20" s="2"/>
      <c r="R20" s="19"/>
      <c r="S20" s="2"/>
      <c r="T20" s="2">
        <f>--2.48</f>
        <v>2.48</v>
      </c>
      <c r="U20" s="2"/>
      <c r="V20" s="19"/>
      <c r="W20" s="2"/>
      <c r="X20" s="2">
        <f t="shared" si="2"/>
        <v>-2.48</v>
      </c>
      <c r="Y20" s="2"/>
      <c r="Z20" s="19">
        <f t="shared" si="3"/>
        <v>-1</v>
      </c>
    </row>
    <row r="21" spans="1:26" s="23" customFormat="1" hidden="1" outlineLevel="1" x14ac:dyDescent="0.25">
      <c r="A21" s="44"/>
      <c r="B21" s="10" t="str">
        <f>CONCATENATE("          ", "4132", " - ", "NON-TAXABLE SALES-JUICE")</f>
        <v xml:space="preserve">          4132 - NON-TAXABLE SALES-JUICE</v>
      </c>
      <c r="C21" s="10"/>
      <c r="D21" s="2">
        <f t="shared" si="6"/>
        <v>0</v>
      </c>
      <c r="E21" s="2"/>
      <c r="F21" s="19"/>
      <c r="G21" s="2"/>
      <c r="H21" s="2">
        <f>--114.48</f>
        <v>114.48</v>
      </c>
      <c r="I21" s="2"/>
      <c r="J21" s="19"/>
      <c r="K21" s="2"/>
      <c r="L21" s="2">
        <f t="shared" si="0"/>
        <v>-114.48</v>
      </c>
      <c r="M21" s="2"/>
      <c r="N21" s="19">
        <f t="shared" si="1"/>
        <v>-1</v>
      </c>
      <c r="O21" s="10"/>
      <c r="P21" s="2">
        <f>--2031.88</f>
        <v>2031.88</v>
      </c>
      <c r="Q21" s="2"/>
      <c r="R21" s="19"/>
      <c r="S21" s="2"/>
      <c r="T21" s="2">
        <f>--1093892.63</f>
        <v>1093892.6299999999</v>
      </c>
      <c r="U21" s="2"/>
      <c r="V21" s="19"/>
      <c r="W21" s="2"/>
      <c r="X21" s="2">
        <f t="shared" si="2"/>
        <v>-1091860.75</v>
      </c>
      <c r="Y21" s="2"/>
      <c r="Z21" s="19">
        <f t="shared" si="3"/>
        <v>-0.9981425233663016</v>
      </c>
    </row>
    <row r="22" spans="1:26" s="23" customFormat="1" hidden="1" outlineLevel="1" x14ac:dyDescent="0.25">
      <c r="A22" s="44"/>
      <c r="B22" s="10" t="str">
        <f>CONCATENATE("          ", "4133", " - ", "NON-TAXABLE SALES-CANDY")</f>
        <v xml:space="preserve">          4133 - NON-TAXABLE SALES-CANDY</v>
      </c>
      <c r="C22" s="10"/>
      <c r="D22" s="2">
        <f t="shared" si="6"/>
        <v>0</v>
      </c>
      <c r="E22" s="2"/>
      <c r="F22" s="19"/>
      <c r="G22" s="2"/>
      <c r="H22" s="2">
        <f>0</f>
        <v>0</v>
      </c>
      <c r="I22" s="2"/>
      <c r="J22" s="19"/>
      <c r="K22" s="2"/>
      <c r="L22" s="2">
        <f t="shared" si="0"/>
        <v>0</v>
      </c>
      <c r="M22" s="2"/>
      <c r="N22" s="19">
        <f t="shared" si="1"/>
        <v>0</v>
      </c>
      <c r="O22" s="10"/>
      <c r="P22" s="2">
        <f t="shared" ref="P22:P24" si="8">0</f>
        <v>0</v>
      </c>
      <c r="Q22" s="2"/>
      <c r="R22" s="19"/>
      <c r="S22" s="2"/>
      <c r="T22" s="2">
        <f>--1.59</f>
        <v>1.59</v>
      </c>
      <c r="U22" s="2"/>
      <c r="V22" s="19"/>
      <c r="W22" s="2"/>
      <c r="X22" s="2">
        <f t="shared" si="2"/>
        <v>-1.59</v>
      </c>
      <c r="Y22" s="2"/>
      <c r="Z22" s="19">
        <f t="shared" si="3"/>
        <v>-1</v>
      </c>
    </row>
    <row r="23" spans="1:26" s="23" customFormat="1" hidden="1" outlineLevel="1" x14ac:dyDescent="0.25">
      <c r="A23" s="44"/>
      <c r="B23" s="10" t="str">
        <f>CONCATENATE("          ", "4134", " - ", "NON-TAXABLE SALES-SODA")</f>
        <v xml:space="preserve">          4134 - NON-TAXABLE SALES-SODA</v>
      </c>
      <c r="C23" s="10"/>
      <c r="D23" s="2">
        <f t="shared" si="6"/>
        <v>0</v>
      </c>
      <c r="E23" s="2"/>
      <c r="F23" s="19"/>
      <c r="G23" s="2"/>
      <c r="H23" s="2">
        <f>--4.99</f>
        <v>4.99</v>
      </c>
      <c r="I23" s="2"/>
      <c r="J23" s="19"/>
      <c r="K23" s="2"/>
      <c r="L23" s="2">
        <f t="shared" si="0"/>
        <v>-4.99</v>
      </c>
      <c r="M23" s="2"/>
      <c r="N23" s="19">
        <f t="shared" si="1"/>
        <v>-1</v>
      </c>
      <c r="O23" s="10"/>
      <c r="P23" s="2">
        <f t="shared" si="8"/>
        <v>0</v>
      </c>
      <c r="Q23" s="2"/>
      <c r="R23" s="19"/>
      <c r="S23" s="2"/>
      <c r="T23" s="2">
        <f>--99.83</f>
        <v>99.83</v>
      </c>
      <c r="U23" s="2"/>
      <c r="V23" s="19"/>
      <c r="W23" s="2"/>
      <c r="X23" s="2">
        <f t="shared" si="2"/>
        <v>-99.83</v>
      </c>
      <c r="Y23" s="2"/>
      <c r="Z23" s="19">
        <f t="shared" si="3"/>
        <v>-1</v>
      </c>
    </row>
    <row r="24" spans="1:26" s="23" customFormat="1" hidden="1" outlineLevel="1" x14ac:dyDescent="0.25">
      <c r="A24" s="44"/>
      <c r="B24" s="10" t="str">
        <f>CONCATENATE("          ", "4137", " - ", "NON-TAXABLE SALES-WATER")</f>
        <v xml:space="preserve">          4137 - NON-TAXABLE SALES-WATER</v>
      </c>
      <c r="C24" s="10"/>
      <c r="D24" s="2">
        <f t="shared" si="6"/>
        <v>0</v>
      </c>
      <c r="E24" s="2"/>
      <c r="F24" s="19"/>
      <c r="G24" s="2"/>
      <c r="H24" s="2">
        <f t="shared" ref="H24:H29" si="9">0</f>
        <v>0</v>
      </c>
      <c r="I24" s="2"/>
      <c r="J24" s="19"/>
      <c r="K24" s="2"/>
      <c r="L24" s="2">
        <f t="shared" si="0"/>
        <v>0</v>
      </c>
      <c r="M24" s="2"/>
      <c r="N24" s="19">
        <f t="shared" si="1"/>
        <v>0</v>
      </c>
      <c r="O24" s="10"/>
      <c r="P24" s="2">
        <f t="shared" si="8"/>
        <v>0</v>
      </c>
      <c r="Q24" s="2"/>
      <c r="R24" s="19"/>
      <c r="S24" s="2"/>
      <c r="T24" s="2">
        <f>--1575.68</f>
        <v>1575.68</v>
      </c>
      <c r="U24" s="2"/>
      <c r="V24" s="19"/>
      <c r="W24" s="2"/>
      <c r="X24" s="2">
        <f t="shared" si="2"/>
        <v>-1575.68</v>
      </c>
      <c r="Y24" s="2"/>
      <c r="Z24" s="19">
        <f t="shared" si="3"/>
        <v>-1</v>
      </c>
    </row>
    <row r="25" spans="1:26" s="23" customFormat="1" hidden="1" outlineLevel="1" x14ac:dyDescent="0.25">
      <c r="A25" s="44"/>
      <c r="B25" s="10" t="str">
        <f>CONCATENATE("          ", "4151", " - ", "NON-TAXABLE SALES-FOOD")</f>
        <v xml:space="preserve">          4151 - NON-TAXABLE SALES-FOOD</v>
      </c>
      <c r="C25" s="10"/>
      <c r="D25" s="2">
        <f>--7262.45</f>
        <v>7262.45</v>
      </c>
      <c r="E25" s="2"/>
      <c r="F25" s="19"/>
      <c r="G25" s="2"/>
      <c r="H25" s="2">
        <f t="shared" si="9"/>
        <v>0</v>
      </c>
      <c r="I25" s="2"/>
      <c r="J25" s="19"/>
      <c r="K25" s="2"/>
      <c r="L25" s="2">
        <f t="shared" si="0"/>
        <v>7262.45</v>
      </c>
      <c r="M25" s="2"/>
      <c r="N25" s="19">
        <f t="shared" si="1"/>
        <v>0</v>
      </c>
      <c r="O25" s="10"/>
      <c r="P25" s="2">
        <f>--45145.72</f>
        <v>45145.72</v>
      </c>
      <c r="Q25" s="2"/>
      <c r="R25" s="19"/>
      <c r="S25" s="2"/>
      <c r="T25" s="2">
        <f>--2191470.18</f>
        <v>2191470.1800000002</v>
      </c>
      <c r="U25" s="2"/>
      <c r="V25" s="19"/>
      <c r="W25" s="2"/>
      <c r="X25" s="2">
        <f t="shared" si="2"/>
        <v>-2146324.46</v>
      </c>
      <c r="Y25" s="2"/>
      <c r="Z25" s="19">
        <f t="shared" si="3"/>
        <v>-0.97939934551151397</v>
      </c>
    </row>
    <row r="26" spans="1:26" s="23" customFormat="1" hidden="1" outlineLevel="1" x14ac:dyDescent="0.25">
      <c r="A26" s="44"/>
      <c r="B26" s="10" t="str">
        <f>CONCATENATE("          ", "4152", " - ", "NON-TAXABLE SALES-FOOD")</f>
        <v xml:space="preserve">          4152 - NON-TAXABLE SALES-FOOD</v>
      </c>
      <c r="C26" s="10"/>
      <c r="D26" s="2">
        <f>-11580.95</f>
        <v>-11580.95</v>
      </c>
      <c r="E26" s="2"/>
      <c r="F26" s="19"/>
      <c r="G26" s="2"/>
      <c r="H26" s="2">
        <f t="shared" si="9"/>
        <v>0</v>
      </c>
      <c r="I26" s="2"/>
      <c r="J26" s="19"/>
      <c r="K26" s="2"/>
      <c r="L26" s="2">
        <f t="shared" si="0"/>
        <v>-11580.95</v>
      </c>
      <c r="M26" s="2"/>
      <c r="N26" s="19">
        <f t="shared" si="1"/>
        <v>0</v>
      </c>
      <c r="O26" s="10"/>
      <c r="P26" s="2">
        <f>0</f>
        <v>0</v>
      </c>
      <c r="Q26" s="2"/>
      <c r="R26" s="19"/>
      <c r="S26" s="2"/>
      <c r="T26" s="2">
        <f>--51415.27</f>
        <v>51415.27</v>
      </c>
      <c r="U26" s="2"/>
      <c r="V26" s="19"/>
      <c r="W26" s="2"/>
      <c r="X26" s="2">
        <f t="shared" si="2"/>
        <v>-51415.27</v>
      </c>
      <c r="Y26" s="2"/>
      <c r="Z26" s="19">
        <f t="shared" si="3"/>
        <v>-1</v>
      </c>
    </row>
    <row r="27" spans="1:26" s="23" customFormat="1" hidden="1" outlineLevel="1" x14ac:dyDescent="0.25">
      <c r="A27" s="44"/>
      <c r="B27" s="10" t="str">
        <f>CONCATENATE("          ", "4153", " - ", "NON-TAXABLE SALES-FOOD")</f>
        <v xml:space="preserve">          4153 - NON-TAXABLE SALES-FOOD</v>
      </c>
      <c r="C27" s="10"/>
      <c r="D27" s="2">
        <f>--34.05</f>
        <v>34.049999999999997</v>
      </c>
      <c r="E27" s="2"/>
      <c r="F27" s="19"/>
      <c r="G27" s="2"/>
      <c r="H27" s="2">
        <f t="shared" si="9"/>
        <v>0</v>
      </c>
      <c r="I27" s="2"/>
      <c r="J27" s="19"/>
      <c r="K27" s="2"/>
      <c r="L27" s="2">
        <f t="shared" si="0"/>
        <v>34.049999999999997</v>
      </c>
      <c r="M27" s="2"/>
      <c r="N27" s="19">
        <f t="shared" si="1"/>
        <v>0</v>
      </c>
      <c r="O27" s="10"/>
      <c r="P27" s="2">
        <f>--434.5</f>
        <v>434.5</v>
      </c>
      <c r="Q27" s="2"/>
      <c r="R27" s="19"/>
      <c r="S27" s="2"/>
      <c r="T27" s="2">
        <f>--12314.09</f>
        <v>12314.09</v>
      </c>
      <c r="U27" s="2"/>
      <c r="V27" s="19"/>
      <c r="W27" s="2"/>
      <c r="X27" s="2">
        <f t="shared" si="2"/>
        <v>-11879.59</v>
      </c>
      <c r="Y27" s="2"/>
      <c r="Z27" s="19">
        <f t="shared" si="3"/>
        <v>-0.96471521647153791</v>
      </c>
    </row>
    <row r="28" spans="1:26" s="23" customFormat="1" hidden="1" outlineLevel="1" x14ac:dyDescent="0.25">
      <c r="A28" s="44"/>
      <c r="B28" s="10" t="str">
        <f>CONCATENATE("          ", "4155", " - ", "NON-TAXABLE SALES-FOOD")</f>
        <v xml:space="preserve">          4155 - NON-TAXABLE SALES-FOOD</v>
      </c>
      <c r="C28" s="10"/>
      <c r="D28" s="2">
        <f t="shared" ref="D28:D29" si="10">0</f>
        <v>0</v>
      </c>
      <c r="E28" s="2"/>
      <c r="F28" s="19"/>
      <c r="G28" s="2"/>
      <c r="H28" s="2">
        <f t="shared" si="9"/>
        <v>0</v>
      </c>
      <c r="I28" s="2"/>
      <c r="J28" s="19"/>
      <c r="K28" s="2"/>
      <c r="L28" s="2">
        <f t="shared" si="0"/>
        <v>0</v>
      </c>
      <c r="M28" s="2"/>
      <c r="N28" s="19">
        <f t="shared" si="1"/>
        <v>0</v>
      </c>
      <c r="O28" s="10"/>
      <c r="P28" s="2">
        <f t="shared" ref="P28:P29" si="11">0</f>
        <v>0</v>
      </c>
      <c r="Q28" s="2"/>
      <c r="R28" s="19"/>
      <c r="S28" s="2"/>
      <c r="T28" s="2">
        <f>--687389.73</f>
        <v>687389.73</v>
      </c>
      <c r="U28" s="2"/>
      <c r="V28" s="19"/>
      <c r="W28" s="2"/>
      <c r="X28" s="2">
        <f t="shared" si="2"/>
        <v>-687389.73</v>
      </c>
      <c r="Y28" s="2"/>
      <c r="Z28" s="19">
        <f t="shared" si="3"/>
        <v>-1</v>
      </c>
    </row>
    <row r="29" spans="1:26" s="23" customFormat="1" hidden="1" outlineLevel="1" x14ac:dyDescent="0.25">
      <c r="A29" s="44"/>
      <c r="B29" s="10" t="str">
        <f>CONCATENATE("          ", "4158", " - ", "NON-TAXABLE SALES-FOOD")</f>
        <v xml:space="preserve">          4158 - NON-TAXABLE SALES-FOOD</v>
      </c>
      <c r="C29" s="10"/>
      <c r="D29" s="2">
        <f t="shared" si="10"/>
        <v>0</v>
      </c>
      <c r="E29" s="2"/>
      <c r="F29" s="19"/>
      <c r="G29" s="2"/>
      <c r="H29" s="2">
        <f t="shared" si="9"/>
        <v>0</v>
      </c>
      <c r="I29" s="2"/>
      <c r="J29" s="19"/>
      <c r="K29" s="2"/>
      <c r="L29" s="2">
        <f t="shared" si="0"/>
        <v>0</v>
      </c>
      <c r="M29" s="2"/>
      <c r="N29" s="19">
        <f t="shared" si="1"/>
        <v>0</v>
      </c>
      <c r="O29" s="10"/>
      <c r="P29" s="2">
        <f t="shared" si="11"/>
        <v>0</v>
      </c>
      <c r="Q29" s="2"/>
      <c r="R29" s="19"/>
      <c r="S29" s="2"/>
      <c r="T29" s="2">
        <f>--474853.67</f>
        <v>474853.67</v>
      </c>
      <c r="U29" s="2"/>
      <c r="V29" s="19"/>
      <c r="W29" s="2"/>
      <c r="X29" s="2">
        <f t="shared" si="2"/>
        <v>-474853.67</v>
      </c>
      <c r="Y29" s="2"/>
      <c r="Z29" s="19">
        <f t="shared" si="3"/>
        <v>-1</v>
      </c>
    </row>
    <row r="30" spans="1:26" x14ac:dyDescent="0.25">
      <c r="A30" s="9"/>
      <c r="B30" s="11"/>
      <c r="C30" s="9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4" customFormat="1" collapsed="1" x14ac:dyDescent="0.25">
      <c r="A31" s="11"/>
      <c r="B31" s="29" t="s">
        <v>256</v>
      </c>
      <c r="C31" s="11"/>
      <c r="D31" s="4">
        <f>SUM(OSRRefD16x_0)</f>
        <v>9371.2000000000007</v>
      </c>
      <c r="E31" s="4"/>
      <c r="F31" s="13">
        <f t="shared" ref="F31:F33" si="12">IF(D$12=0,0,D31/D$12)</f>
        <v>0.1404374072549936</v>
      </c>
      <c r="G31" s="4"/>
      <c r="H31" s="4">
        <f>SUM(OSRRefH16x_0)</f>
        <v>37553.06</v>
      </c>
      <c r="I31" s="4"/>
      <c r="J31" s="13">
        <f t="shared" ref="J31:J33" si="13">IF(H$12=0,0,H31/H$12)</f>
        <v>314.33045952958901</v>
      </c>
      <c r="K31" s="4"/>
      <c r="L31" s="4">
        <f t="shared" ref="L31:L33" si="14">+D31-H31</f>
        <v>-28181.859999999997</v>
      </c>
      <c r="M31" s="4"/>
      <c r="N31" s="13">
        <f t="shared" ref="N31:N33" si="15">IF(H31=0,0,L31/H31)</f>
        <v>-0.75045442368744386</v>
      </c>
      <c r="O31" s="11"/>
      <c r="P31" s="4">
        <f>SUM(OSRRefP16x_0)</f>
        <v>55525.479999999996</v>
      </c>
      <c r="Q31" s="4"/>
      <c r="R31" s="13">
        <f t="shared" ref="R31:R33" si="16">IF(P$12=0,0,P31/P$12)</f>
        <v>9.4434197697393571E-2</v>
      </c>
      <c r="S31" s="4"/>
      <c r="T31" s="4">
        <f>SUM(OSRRefT16x_0)</f>
        <v>2914716.16</v>
      </c>
      <c r="U31" s="4"/>
      <c r="V31" s="13">
        <f t="shared" ref="V31:V33" si="17">IF(T$12=0,0,T31/T$12)</f>
        <v>0.41732574964333391</v>
      </c>
      <c r="W31" s="4"/>
      <c r="X31" s="4">
        <f t="shared" ref="X31:X33" si="18">+P31-T31</f>
        <v>-2859190.68</v>
      </c>
      <c r="Y31" s="4"/>
      <c r="Z31" s="13">
        <f t="shared" ref="Z31:Z33" si="19">IF(T31=0,0,X31/T31)</f>
        <v>-0.98094995294498932</v>
      </c>
    </row>
    <row r="32" spans="1:26" s="23" customFormat="1" hidden="1" outlineLevel="1" x14ac:dyDescent="0.25">
      <c r="A32" s="44"/>
      <c r="B32" s="10" t="str">
        <f>CONCATENATE("          ", "5053", " - ", "PURCHASES @ COST-FOOD")</f>
        <v xml:space="preserve">          5053 - PURCHASES @ COST-FOOD</v>
      </c>
      <c r="C32" s="10"/>
      <c r="D32" s="2">
        <v>7018.2</v>
      </c>
      <c r="E32" s="2"/>
      <c r="F32" s="19">
        <f t="shared" si="12"/>
        <v>0.10517519758376685</v>
      </c>
      <c r="G32" s="2"/>
      <c r="H32" s="2">
        <v>-1135.94</v>
      </c>
      <c r="I32" s="2"/>
      <c r="J32" s="19">
        <f t="shared" si="13"/>
        <v>-9.5081610446137113</v>
      </c>
      <c r="K32" s="2"/>
      <c r="L32" s="2">
        <f t="shared" si="14"/>
        <v>8154.1399999999994</v>
      </c>
      <c r="M32" s="2"/>
      <c r="N32" s="19">
        <f t="shared" si="15"/>
        <v>-7.178319277426624</v>
      </c>
      <c r="O32" s="10"/>
      <c r="P32" s="2">
        <v>16646.48</v>
      </c>
      <c r="Q32" s="2"/>
      <c r="R32" s="19">
        <f t="shared" si="16"/>
        <v>2.8311272289509394E-2</v>
      </c>
      <c r="S32" s="2"/>
      <c r="T32" s="2">
        <v>2758827.37</v>
      </c>
      <c r="U32" s="2"/>
      <c r="V32" s="19">
        <f t="shared" si="17"/>
        <v>0.39500576972880863</v>
      </c>
      <c r="W32" s="2"/>
      <c r="X32" s="2">
        <f t="shared" si="18"/>
        <v>-2742180.89</v>
      </c>
      <c r="Y32" s="2"/>
      <c r="Z32" s="19">
        <f t="shared" si="19"/>
        <v>-0.99396610306936317</v>
      </c>
    </row>
    <row r="33" spans="1:26" s="23" customFormat="1" hidden="1" outlineLevel="1" x14ac:dyDescent="0.25">
      <c r="A33" s="44"/>
      <c r="B33" s="10" t="str">
        <f>CONCATENATE("          ", "5059", " - ", "PURCHASES @ COST-FOOD")</f>
        <v xml:space="preserve">          5059 - PURCHASES @ COST-FOOD</v>
      </c>
      <c r="C33" s="10"/>
      <c r="D33" s="2">
        <v>2353</v>
      </c>
      <c r="E33" s="2"/>
      <c r="F33" s="19">
        <f t="shared" si="12"/>
        <v>3.5262209671226723E-2</v>
      </c>
      <c r="G33" s="2"/>
      <c r="H33" s="2">
        <v>38689</v>
      </c>
      <c r="I33" s="2"/>
      <c r="J33" s="19">
        <f t="shared" si="13"/>
        <v>323.83862057420271</v>
      </c>
      <c r="K33" s="2"/>
      <c r="L33" s="2">
        <f t="shared" si="14"/>
        <v>-36336</v>
      </c>
      <c r="M33" s="2"/>
      <c r="N33" s="19">
        <f t="shared" si="15"/>
        <v>-0.93918167954715814</v>
      </c>
      <c r="O33" s="10"/>
      <c r="P33" s="2">
        <v>38879</v>
      </c>
      <c r="Q33" s="2"/>
      <c r="R33" s="19">
        <f t="shared" si="16"/>
        <v>6.612292540788417E-2</v>
      </c>
      <c r="S33" s="2"/>
      <c r="T33" s="2">
        <v>155888.79</v>
      </c>
      <c r="U33" s="2"/>
      <c r="V33" s="19">
        <f t="shared" si="17"/>
        <v>2.2319979914525282E-2</v>
      </c>
      <c r="W33" s="2"/>
      <c r="X33" s="2">
        <f t="shared" si="18"/>
        <v>-117009.79000000001</v>
      </c>
      <c r="Y33" s="2"/>
      <c r="Z33" s="19">
        <f t="shared" si="19"/>
        <v>-0.75059784606705848</v>
      </c>
    </row>
    <row r="34" spans="1:26" x14ac:dyDescent="0.25">
      <c r="A34" s="9"/>
      <c r="B34" s="11"/>
      <c r="C34" s="11"/>
      <c r="D34" s="3"/>
      <c r="E34" s="3"/>
      <c r="F34" s="8"/>
      <c r="G34" s="3"/>
      <c r="H34" s="3"/>
      <c r="I34" s="3"/>
      <c r="J34" s="8"/>
      <c r="K34" s="3"/>
      <c r="L34" s="3"/>
      <c r="M34" s="3"/>
      <c r="N34" s="8"/>
      <c r="O34" s="11"/>
      <c r="P34" s="3"/>
      <c r="Q34" s="3"/>
      <c r="R34" s="8"/>
      <c r="S34" s="3"/>
      <c r="T34" s="3"/>
      <c r="U34" s="3"/>
      <c r="V34" s="8"/>
      <c r="W34" s="3"/>
      <c r="X34" s="3"/>
      <c r="Y34" s="3"/>
      <c r="Z34" s="8"/>
    </row>
    <row r="35" spans="1:26" s="24" customFormat="1" x14ac:dyDescent="0.25">
      <c r="A35" s="11"/>
      <c r="B35" s="28" t="s">
        <v>107</v>
      </c>
      <c r="C35" s="28"/>
      <c r="D35" s="21">
        <f>D12-D31</f>
        <v>57357.460000000006</v>
      </c>
      <c r="E35" s="14"/>
      <c r="F35" s="22">
        <f>IF(D$12=0,0,D35/D$12)</f>
        <v>0.85956259274500646</v>
      </c>
      <c r="G35" s="14"/>
      <c r="H35" s="21">
        <f>H12-H31</f>
        <v>-37433.589999999997</v>
      </c>
      <c r="I35" s="14"/>
      <c r="J35" s="22">
        <f>IF(H$12=0,0,H35/H$12)</f>
        <v>-313.33045952958901</v>
      </c>
      <c r="K35" s="15"/>
      <c r="L35" s="21">
        <f>+D35-H35</f>
        <v>94791.05</v>
      </c>
      <c r="M35" s="15"/>
      <c r="N35" s="22">
        <f>IF(H35=0,0,L35/H35)</f>
        <v>-2.532245771778769</v>
      </c>
      <c r="O35" s="29"/>
      <c r="P35" s="21">
        <f>P12-P31</f>
        <v>532455.16</v>
      </c>
      <c r="Q35" s="14"/>
      <c r="R35" s="22">
        <f>IF(P$12=0,0,P35/P$12)</f>
        <v>0.90556580230260642</v>
      </c>
      <c r="S35" s="14"/>
      <c r="T35" s="21">
        <f>T12-T31</f>
        <v>4069554.91</v>
      </c>
      <c r="U35" s="14"/>
      <c r="V35" s="22">
        <f>IF(T$12=0,0,T35/T$12)</f>
        <v>0.58267425035666609</v>
      </c>
      <c r="W35" s="15"/>
      <c r="X35" s="21">
        <f>+P35-T35</f>
        <v>-3537099.75</v>
      </c>
      <c r="Y35" s="15"/>
      <c r="Z35" s="22">
        <f>IF(T35=0,0,X35/T35)</f>
        <v>-0.86916132801363277</v>
      </c>
    </row>
    <row r="36" spans="1:26" x14ac:dyDescent="0.25">
      <c r="A36" s="9"/>
      <c r="B36" s="11"/>
      <c r="C36" s="9"/>
      <c r="D36" s="1"/>
      <c r="E36" s="1"/>
      <c r="F36" s="5"/>
      <c r="G36" s="1"/>
      <c r="H36" s="1"/>
      <c r="I36" s="1"/>
      <c r="J36" s="5"/>
      <c r="K36" s="1"/>
      <c r="L36" s="1"/>
      <c r="M36" s="1"/>
      <c r="N36" s="5"/>
      <c r="O36" s="37"/>
      <c r="P36" s="1"/>
      <c r="Q36" s="1"/>
      <c r="R36" s="5"/>
      <c r="S36" s="1"/>
      <c r="T36" s="1"/>
      <c r="U36" s="1"/>
      <c r="V36" s="5"/>
      <c r="W36" s="1"/>
      <c r="X36" s="1"/>
      <c r="Y36" s="1"/>
      <c r="Z36" s="5"/>
    </row>
    <row r="37" spans="1:26" s="24" customFormat="1" x14ac:dyDescent="0.25">
      <c r="A37" s="11"/>
      <c r="B37" s="29" t="s">
        <v>294</v>
      </c>
      <c r="C37" s="11"/>
      <c r="D37" s="20">
        <f>SUM(OSRRefD22x_0)</f>
        <v>179847.78000000003</v>
      </c>
      <c r="E37" s="20"/>
      <c r="F37" s="32">
        <f t="shared" ref="F37:F47" si="20">IF(D$12=0,0,D37/D$12)</f>
        <v>2.6952104238268837</v>
      </c>
      <c r="G37" s="20"/>
      <c r="H37" s="20">
        <f>SUM(OSRRefH22x_0)</f>
        <v>210217.05999999997</v>
      </c>
      <c r="I37" s="20"/>
      <c r="J37" s="32">
        <f t="shared" ref="J37:J47" si="21">IF(H$12=0,0,H37/H$12)</f>
        <v>1759.5803130493009</v>
      </c>
      <c r="K37" s="4"/>
      <c r="L37" s="20">
        <f t="shared" ref="L37:L47" si="22">+D37-H37</f>
        <v>-30369.279999999941</v>
      </c>
      <c r="M37" s="4"/>
      <c r="N37" s="32">
        <f t="shared" ref="N37:N47" si="23">IF(H37=0,0,L37/H37)</f>
        <v>-0.14446629593240409</v>
      </c>
      <c r="O37" s="11"/>
      <c r="P37" s="20">
        <f>SUM(OSRRefP22x_0)</f>
        <v>1661607.3500000003</v>
      </c>
      <c r="Q37" s="20"/>
      <c r="R37" s="32">
        <f t="shared" ref="R37:R47" si="24">IF(P$12=0,0,P37/P$12)</f>
        <v>2.8259558852141802</v>
      </c>
      <c r="S37" s="20"/>
      <c r="T37" s="20">
        <f>SUM(OSRRefT22x_0)</f>
        <v>5936957.7800000003</v>
      </c>
      <c r="U37" s="20"/>
      <c r="V37" s="32">
        <f t="shared" ref="V37:V47" si="25">IF(T$12=0,0,T37/T$12)</f>
        <v>0.85004687253640632</v>
      </c>
      <c r="W37" s="4"/>
      <c r="X37" s="20">
        <f t="shared" ref="X37:X47" si="26">+P37-T37</f>
        <v>-4275350.43</v>
      </c>
      <c r="Y37" s="4"/>
      <c r="Z37" s="32">
        <f t="shared" ref="Z37:Z47" si="27">IF(T37=0,0,X37/T37)</f>
        <v>-0.72012478249424228</v>
      </c>
    </row>
    <row r="38" spans="1:26" s="27" customFormat="1" outlineLevel="1" collapsed="1" x14ac:dyDescent="0.25">
      <c r="A38" s="26"/>
      <c r="B38" s="12" t="str">
        <f>CONCATENATE("     ","*Benefits                                         ")</f>
        <v xml:space="preserve">     *Benefits                                         </v>
      </c>
      <c r="C38" s="12"/>
      <c r="D38" s="1">
        <f>SUM(OSRRefD22_0x_0)</f>
        <v>21021.899999999998</v>
      </c>
      <c r="E38" s="1"/>
      <c r="F38" s="5">
        <f t="shared" si="20"/>
        <v>0.31503554844350234</v>
      </c>
      <c r="G38" s="1"/>
      <c r="H38" s="1">
        <f>SUM(OSRRefH22_0x_0)</f>
        <v>26320.14</v>
      </c>
      <c r="I38" s="1"/>
      <c r="J38" s="5">
        <f t="shared" si="21"/>
        <v>220.30752490164895</v>
      </c>
      <c r="K38" s="1"/>
      <c r="L38" s="1">
        <f t="shared" si="22"/>
        <v>-5298.2400000000016</v>
      </c>
      <c r="M38" s="1"/>
      <c r="N38" s="5">
        <f t="shared" si="23"/>
        <v>-0.20129984111026772</v>
      </c>
      <c r="O38" s="12"/>
      <c r="P38" s="1">
        <f>SUM(OSRRefP22_0x_0)</f>
        <v>284168.28999999998</v>
      </c>
      <c r="Q38" s="1"/>
      <c r="R38" s="5">
        <f t="shared" si="24"/>
        <v>0.48329531734242132</v>
      </c>
      <c r="S38" s="1"/>
      <c r="T38" s="1">
        <f>SUM(OSRRefT22_0x_0)</f>
        <v>781747.87</v>
      </c>
      <c r="U38" s="1"/>
      <c r="V38" s="5">
        <f t="shared" si="25"/>
        <v>0.11192977222174166</v>
      </c>
      <c r="W38" s="1"/>
      <c r="X38" s="1">
        <f t="shared" si="26"/>
        <v>-497579.58</v>
      </c>
      <c r="Y38" s="1"/>
      <c r="Z38" s="5">
        <f t="shared" si="27"/>
        <v>-0.63649624014965334</v>
      </c>
    </row>
    <row r="39" spans="1:26" s="23" customFormat="1" hidden="1" outlineLevel="2" x14ac:dyDescent="0.25">
      <c r="A39" s="25"/>
      <c r="B39" s="10" t="str">
        <f>CONCATENATE("          ", "6111", " - ", "F.I.C.A.")</f>
        <v xml:space="preserve">          6111 - F.I.C.A.</v>
      </c>
      <c r="C39" s="10"/>
      <c r="D39" s="6">
        <v>2607.87</v>
      </c>
      <c r="E39" s="2"/>
      <c r="F39" s="7">
        <f t="shared" si="20"/>
        <v>3.9081707919805371E-2</v>
      </c>
      <c r="G39" s="2"/>
      <c r="H39" s="6">
        <v>3740.32</v>
      </c>
      <c r="I39" s="2"/>
      <c r="J39" s="7">
        <f t="shared" si="21"/>
        <v>31.30760860467063</v>
      </c>
      <c r="K39" s="2"/>
      <c r="L39" s="6">
        <f t="shared" si="22"/>
        <v>-1132.4500000000003</v>
      </c>
      <c r="M39" s="2"/>
      <c r="N39" s="7">
        <f t="shared" si="23"/>
        <v>-0.3027682123454678</v>
      </c>
      <c r="O39" s="10"/>
      <c r="P39" s="6">
        <v>34499.06</v>
      </c>
      <c r="Q39" s="2"/>
      <c r="R39" s="7">
        <f t="shared" si="24"/>
        <v>5.8673802593228234E-2</v>
      </c>
      <c r="S39" s="2"/>
      <c r="T39" s="6">
        <v>161110.72</v>
      </c>
      <c r="U39" s="2"/>
      <c r="V39" s="7">
        <f t="shared" si="25"/>
        <v>2.3067649921554377E-2</v>
      </c>
      <c r="W39" s="2"/>
      <c r="X39" s="6">
        <f t="shared" si="26"/>
        <v>-126611.66</v>
      </c>
      <c r="Y39" s="2"/>
      <c r="Z39" s="7">
        <f t="shared" si="27"/>
        <v>-0.78586738362288988</v>
      </c>
    </row>
    <row r="40" spans="1:26" s="23" customFormat="1" hidden="1" outlineLevel="2" x14ac:dyDescent="0.25">
      <c r="A40" s="25"/>
      <c r="B40" s="10" t="str">
        <f>CONCATENATE("          ", "6112", " - ", "COMPENSATION INSURANCE")</f>
        <v xml:space="preserve">          6112 - COMPENSATION INSURANCE</v>
      </c>
      <c r="C40" s="10"/>
      <c r="D40" s="6">
        <v>748.61</v>
      </c>
      <c r="E40" s="2"/>
      <c r="F40" s="7">
        <f t="shared" si="20"/>
        <v>1.1218717714397381E-2</v>
      </c>
      <c r="G40" s="2"/>
      <c r="H40" s="6">
        <v>1030.26</v>
      </c>
      <c r="I40" s="2"/>
      <c r="J40" s="7">
        <f t="shared" si="21"/>
        <v>8.6235875115091662</v>
      </c>
      <c r="K40" s="2"/>
      <c r="L40" s="6">
        <f t="shared" si="22"/>
        <v>-281.64999999999998</v>
      </c>
      <c r="M40" s="2"/>
      <c r="N40" s="7">
        <f t="shared" si="23"/>
        <v>-0.27337759400539668</v>
      </c>
      <c r="O40" s="10"/>
      <c r="P40" s="6">
        <v>9514.3700000000008</v>
      </c>
      <c r="Q40" s="2"/>
      <c r="R40" s="7">
        <f t="shared" si="24"/>
        <v>1.6181434137015123E-2</v>
      </c>
      <c r="S40" s="2"/>
      <c r="T40" s="6">
        <v>81411.14</v>
      </c>
      <c r="U40" s="2"/>
      <c r="V40" s="7">
        <f t="shared" si="25"/>
        <v>1.165635456929652E-2</v>
      </c>
      <c r="W40" s="2"/>
      <c r="X40" s="6">
        <f t="shared" si="26"/>
        <v>-71896.77</v>
      </c>
      <c r="Y40" s="2"/>
      <c r="Z40" s="7">
        <f t="shared" si="27"/>
        <v>-0.88313184166196423</v>
      </c>
    </row>
    <row r="41" spans="1:26" s="23" customFormat="1" hidden="1" outlineLevel="2" x14ac:dyDescent="0.25">
      <c r="A41" s="25"/>
      <c r="B41" s="10" t="str">
        <f>CONCATENATE("          ", "6113", " - ", "GROUP INSURANCE")</f>
        <v xml:space="preserve">          6113 - GROUP INSURANCE</v>
      </c>
      <c r="C41" s="10"/>
      <c r="D41" s="6">
        <v>8554.93</v>
      </c>
      <c r="E41" s="2"/>
      <c r="F41" s="7">
        <f t="shared" si="20"/>
        <v>0.12820473241932326</v>
      </c>
      <c r="G41" s="2"/>
      <c r="H41" s="6">
        <v>18239.099999999999</v>
      </c>
      <c r="I41" s="2"/>
      <c r="J41" s="7">
        <f t="shared" si="21"/>
        <v>152.66677827069557</v>
      </c>
      <c r="K41" s="2"/>
      <c r="L41" s="6">
        <f t="shared" si="22"/>
        <v>-9684.1699999999983</v>
      </c>
      <c r="M41" s="2"/>
      <c r="N41" s="7">
        <f t="shared" si="23"/>
        <v>-0.53095657132204988</v>
      </c>
      <c r="O41" s="10"/>
      <c r="P41" s="6">
        <v>130329.15</v>
      </c>
      <c r="Q41" s="2"/>
      <c r="R41" s="7">
        <f t="shared" si="24"/>
        <v>0.2216555123311543</v>
      </c>
      <c r="S41" s="2"/>
      <c r="T41" s="6">
        <v>313890.68</v>
      </c>
      <c r="U41" s="2"/>
      <c r="V41" s="7">
        <f t="shared" si="25"/>
        <v>4.4942511087273707E-2</v>
      </c>
      <c r="W41" s="2"/>
      <c r="X41" s="6">
        <f t="shared" si="26"/>
        <v>-183561.53</v>
      </c>
      <c r="Y41" s="2"/>
      <c r="Z41" s="7">
        <f t="shared" si="27"/>
        <v>-0.58479445773923588</v>
      </c>
    </row>
    <row r="42" spans="1:26" s="23" customFormat="1" hidden="1" outlineLevel="2" x14ac:dyDescent="0.25">
      <c r="A42" s="25"/>
      <c r="B42" s="10" t="str">
        <f>CONCATENATE("          ", "6114", " - ", "STATE UNEMPLOYMENT INSURANCE")</f>
        <v xml:space="preserve">          6114 - STATE UNEMPLOYMENT INSURANCE</v>
      </c>
      <c r="C42" s="10"/>
      <c r="D42" s="6">
        <v>87.06</v>
      </c>
      <c r="E42" s="2"/>
      <c r="F42" s="7">
        <f t="shared" si="20"/>
        <v>1.3046867717709301E-3</v>
      </c>
      <c r="G42" s="2"/>
      <c r="H42" s="6">
        <v>-7547.47</v>
      </c>
      <c r="I42" s="2"/>
      <c r="J42" s="7">
        <f t="shared" si="21"/>
        <v>-63.174604503222568</v>
      </c>
      <c r="K42" s="2"/>
      <c r="L42" s="6">
        <f t="shared" si="22"/>
        <v>7634.5300000000007</v>
      </c>
      <c r="M42" s="2"/>
      <c r="N42" s="7">
        <f t="shared" si="23"/>
        <v>-1.0115349911957252</v>
      </c>
      <c r="O42" s="10"/>
      <c r="P42" s="6">
        <v>1249.67</v>
      </c>
      <c r="Q42" s="2"/>
      <c r="R42" s="7">
        <f t="shared" si="24"/>
        <v>2.1253590934558662E-3</v>
      </c>
      <c r="S42" s="2"/>
      <c r="T42" s="6">
        <v>0</v>
      </c>
      <c r="U42" s="2"/>
      <c r="V42" s="7">
        <f t="shared" si="25"/>
        <v>0</v>
      </c>
      <c r="W42" s="2"/>
      <c r="X42" s="6">
        <f t="shared" si="26"/>
        <v>1249.67</v>
      </c>
      <c r="Y42" s="2"/>
      <c r="Z42" s="7">
        <f t="shared" si="27"/>
        <v>0</v>
      </c>
    </row>
    <row r="43" spans="1:26" s="23" customFormat="1" hidden="1" outlineLevel="2" x14ac:dyDescent="0.25">
      <c r="A43" s="25"/>
      <c r="B43" s="10" t="str">
        <f>CONCATENATE("          ", "6115", " - ", "P.E.R.S.")</f>
        <v xml:space="preserve">          6115 - P.E.R.S.</v>
      </c>
      <c r="C43" s="10"/>
      <c r="D43" s="6">
        <v>4175.47</v>
      </c>
      <c r="E43" s="2"/>
      <c r="F43" s="7">
        <f t="shared" si="20"/>
        <v>6.2573862565200616E-2</v>
      </c>
      <c r="G43" s="2"/>
      <c r="H43" s="6">
        <v>4349.3900000000003</v>
      </c>
      <c r="I43" s="2"/>
      <c r="J43" s="7">
        <f t="shared" si="21"/>
        <v>36.405708546078515</v>
      </c>
      <c r="K43" s="2"/>
      <c r="L43" s="6">
        <f t="shared" si="22"/>
        <v>-173.92000000000007</v>
      </c>
      <c r="M43" s="2"/>
      <c r="N43" s="7">
        <f t="shared" si="23"/>
        <v>-3.9987216598189643E-2</v>
      </c>
      <c r="O43" s="10"/>
      <c r="P43" s="6">
        <v>44915.6</v>
      </c>
      <c r="Q43" s="2"/>
      <c r="R43" s="7">
        <f t="shared" si="24"/>
        <v>7.6389589970173158E-2</v>
      </c>
      <c r="S43" s="2"/>
      <c r="T43" s="6">
        <v>96972.78</v>
      </c>
      <c r="U43" s="2"/>
      <c r="V43" s="7">
        <f t="shared" si="25"/>
        <v>1.3884452511663467E-2</v>
      </c>
      <c r="W43" s="2"/>
      <c r="X43" s="6">
        <f t="shared" si="26"/>
        <v>-52057.18</v>
      </c>
      <c r="Y43" s="2"/>
      <c r="Z43" s="7">
        <f t="shared" si="27"/>
        <v>-0.53682260114642477</v>
      </c>
    </row>
    <row r="44" spans="1:26" s="23" customFormat="1" hidden="1" outlineLevel="2" x14ac:dyDescent="0.25">
      <c r="A44" s="25"/>
      <c r="B44" s="10" t="str">
        <f>CONCATENATE("          ", "6117", " - ", "RETIREMENT STAFF HOURLY")</f>
        <v xml:space="preserve">          6117 - RETIREMENT STAFF HOURLY</v>
      </c>
      <c r="C44" s="10"/>
      <c r="D44" s="6"/>
      <c r="E44" s="2"/>
      <c r="F44" s="7">
        <f t="shared" si="20"/>
        <v>0</v>
      </c>
      <c r="G44" s="2"/>
      <c r="H44" s="6"/>
      <c r="I44" s="2"/>
      <c r="J44" s="7">
        <f t="shared" si="21"/>
        <v>0</v>
      </c>
      <c r="K44" s="2"/>
      <c r="L44" s="6">
        <f t="shared" si="22"/>
        <v>0</v>
      </c>
      <c r="M44" s="2"/>
      <c r="N44" s="7">
        <f t="shared" si="23"/>
        <v>0</v>
      </c>
      <c r="O44" s="10"/>
      <c r="P44" s="6"/>
      <c r="Q44" s="2"/>
      <c r="R44" s="7">
        <f t="shared" si="24"/>
        <v>0</v>
      </c>
      <c r="S44" s="2"/>
      <c r="T44" s="6">
        <v>1352.45</v>
      </c>
      <c r="U44" s="2"/>
      <c r="V44" s="7">
        <f t="shared" si="25"/>
        <v>1.9364225506785779E-4</v>
      </c>
      <c r="W44" s="2"/>
      <c r="X44" s="6">
        <f t="shared" si="26"/>
        <v>-1352.45</v>
      </c>
      <c r="Y44" s="2"/>
      <c r="Z44" s="7">
        <f t="shared" si="27"/>
        <v>-1</v>
      </c>
    </row>
    <row r="45" spans="1:26" s="23" customFormat="1" hidden="1" outlineLevel="2" x14ac:dyDescent="0.25">
      <c r="A45" s="25"/>
      <c r="B45" s="10" t="str">
        <f>CONCATENATE("          ", "6118", " - ", "VACATION")</f>
        <v xml:space="preserve">          6118 - VACATION</v>
      </c>
      <c r="C45" s="10"/>
      <c r="D45" s="6">
        <v>2596</v>
      </c>
      <c r="E45" s="2"/>
      <c r="F45" s="7">
        <f t="shared" si="20"/>
        <v>3.8903823334681079E-2</v>
      </c>
      <c r="G45" s="2"/>
      <c r="H45" s="6">
        <v>3509.82</v>
      </c>
      <c r="I45" s="2"/>
      <c r="J45" s="7">
        <f t="shared" si="21"/>
        <v>29.378253954967775</v>
      </c>
      <c r="K45" s="2"/>
      <c r="L45" s="6">
        <f t="shared" si="22"/>
        <v>-913.82000000000016</v>
      </c>
      <c r="M45" s="2"/>
      <c r="N45" s="7">
        <f t="shared" si="23"/>
        <v>-0.26036093019015222</v>
      </c>
      <c r="O45" s="10"/>
      <c r="P45" s="6">
        <v>35574.22</v>
      </c>
      <c r="Q45" s="2"/>
      <c r="R45" s="7">
        <f t="shared" si="24"/>
        <v>6.0502366200356532E-2</v>
      </c>
      <c r="S45" s="2"/>
      <c r="T45" s="6">
        <v>91985.75</v>
      </c>
      <c r="U45" s="2"/>
      <c r="V45" s="7">
        <f t="shared" si="25"/>
        <v>1.3170415219866316E-2</v>
      </c>
      <c r="W45" s="2"/>
      <c r="X45" s="6">
        <f t="shared" si="26"/>
        <v>-56411.53</v>
      </c>
      <c r="Y45" s="2"/>
      <c r="Z45" s="7">
        <f t="shared" si="27"/>
        <v>-0.61326379357672245</v>
      </c>
    </row>
    <row r="46" spans="1:26" s="23" customFormat="1" hidden="1" outlineLevel="2" x14ac:dyDescent="0.25">
      <c r="A46" s="25"/>
      <c r="B46" s="10" t="str">
        <f>CONCATENATE("          ", "6119", " - ", "SICK LEAVE")</f>
        <v xml:space="preserve">          6119 - SICK LEAVE</v>
      </c>
      <c r="C46" s="10"/>
      <c r="D46" s="6">
        <v>1510.2</v>
      </c>
      <c r="E46" s="2"/>
      <c r="F46" s="7">
        <f t="shared" si="20"/>
        <v>2.263195454546817E-2</v>
      </c>
      <c r="G46" s="2"/>
      <c r="H46" s="6">
        <v>2296.34</v>
      </c>
      <c r="I46" s="2"/>
      <c r="J46" s="7">
        <f t="shared" si="21"/>
        <v>19.221059680254459</v>
      </c>
      <c r="K46" s="2"/>
      <c r="L46" s="6">
        <f t="shared" si="22"/>
        <v>-786.1400000000001</v>
      </c>
      <c r="M46" s="2"/>
      <c r="N46" s="7">
        <f t="shared" si="23"/>
        <v>-0.34234477472848102</v>
      </c>
      <c r="O46" s="10"/>
      <c r="P46" s="6">
        <v>20922.669999999998</v>
      </c>
      <c r="Q46" s="2"/>
      <c r="R46" s="7">
        <f t="shared" si="24"/>
        <v>3.5583943716242079E-2</v>
      </c>
      <c r="S46" s="2"/>
      <c r="T46" s="6">
        <v>3228.11</v>
      </c>
      <c r="U46" s="2"/>
      <c r="V46" s="7">
        <f t="shared" si="25"/>
        <v>4.6219712374365217E-4</v>
      </c>
      <c r="W46" s="2"/>
      <c r="X46" s="6">
        <f t="shared" si="26"/>
        <v>17694.559999999998</v>
      </c>
      <c r="Y46" s="2"/>
      <c r="Z46" s="7">
        <f t="shared" si="27"/>
        <v>5.4813993327364923</v>
      </c>
    </row>
    <row r="47" spans="1:26" s="23" customFormat="1" hidden="1" outlineLevel="2" x14ac:dyDescent="0.25">
      <c r="A47" s="25"/>
      <c r="B47" s="10" t="str">
        <f>CONCATENATE("          ", "6156", " - ", "EMPLOYEE MEALS")</f>
        <v xml:space="preserve">          6156 - EMPLOYEE MEALS</v>
      </c>
      <c r="C47" s="10"/>
      <c r="D47" s="6">
        <v>741.76</v>
      </c>
      <c r="E47" s="2"/>
      <c r="F47" s="7">
        <f t="shared" si="20"/>
        <v>1.111606317285556E-2</v>
      </c>
      <c r="G47" s="2"/>
      <c r="H47" s="6">
        <v>702.38</v>
      </c>
      <c r="I47" s="2"/>
      <c r="J47" s="7">
        <f t="shared" si="21"/>
        <v>5.8791328366954048</v>
      </c>
      <c r="K47" s="2"/>
      <c r="L47" s="6">
        <f t="shared" si="22"/>
        <v>39.379999999999995</v>
      </c>
      <c r="M47" s="2"/>
      <c r="N47" s="7">
        <f t="shared" si="23"/>
        <v>5.606651670036162E-2</v>
      </c>
      <c r="O47" s="10"/>
      <c r="P47" s="6">
        <v>7163.55</v>
      </c>
      <c r="Q47" s="2"/>
      <c r="R47" s="7">
        <f t="shared" si="24"/>
        <v>1.2183309300796027E-2</v>
      </c>
      <c r="S47" s="2"/>
      <c r="T47" s="6">
        <v>31796.240000000002</v>
      </c>
      <c r="U47" s="2"/>
      <c r="V47" s="7">
        <f t="shared" si="25"/>
        <v>4.5525495332757755E-3</v>
      </c>
      <c r="W47" s="2"/>
      <c r="X47" s="6">
        <f t="shared" si="26"/>
        <v>-24632.690000000002</v>
      </c>
      <c r="Y47" s="2"/>
      <c r="Z47" s="7">
        <f t="shared" si="27"/>
        <v>-0.77470449336147928</v>
      </c>
    </row>
    <row r="48" spans="1:26" s="27" customFormat="1" outlineLevel="1" collapsed="1" x14ac:dyDescent="0.25">
      <c r="A48" s="26"/>
      <c r="B48" s="12" t="str">
        <f>CONCATENATE("     ","*Payroll                                          ")</f>
        <v xml:space="preserve">     *Payroll                                          </v>
      </c>
      <c r="C48" s="12"/>
      <c r="D48" s="1">
        <f>SUM(OSRRefD22_1x_0)</f>
        <v>29816.31</v>
      </c>
      <c r="E48" s="1"/>
      <c r="F48" s="5">
        <f t="shared" ref="F48:F55" si="28">IF(D$12=0,0,D48/D$12)</f>
        <v>0.44682914357938552</v>
      </c>
      <c r="G48" s="1"/>
      <c r="H48" s="1">
        <f>SUM(OSRRefH22_1x_0)</f>
        <v>40354.03</v>
      </c>
      <c r="I48" s="1"/>
      <c r="J48" s="5">
        <f t="shared" ref="J48:J55" si="29">IF(H$12=0,0,H48/H$12)</f>
        <v>337.775424792835</v>
      </c>
      <c r="K48" s="1"/>
      <c r="L48" s="1">
        <f t="shared" ref="L48:L55" si="30">+D48-H48</f>
        <v>-10537.719999999998</v>
      </c>
      <c r="M48" s="1"/>
      <c r="N48" s="5">
        <f t="shared" ref="N48:N55" si="31">IF(H48=0,0,L48/H48)</f>
        <v>-0.26113178782887353</v>
      </c>
      <c r="O48" s="12"/>
      <c r="P48" s="1">
        <f>SUM(OSRRefP22_1x_0)</f>
        <v>391291.29000000004</v>
      </c>
      <c r="Q48" s="1"/>
      <c r="R48" s="5">
        <f t="shared" ref="R48:R55" si="32">IF(P$12=0,0,P48/P$12)</f>
        <v>0.66548328870147844</v>
      </c>
      <c r="S48" s="1"/>
      <c r="T48" s="1">
        <f>SUM(OSRRefT22_1x_0)</f>
        <v>2681909.4400000004</v>
      </c>
      <c r="U48" s="1"/>
      <c r="V48" s="5">
        <f t="shared" ref="V48:V55" si="33">IF(T$12=0,0,T48/T$12)</f>
        <v>0.38399274786452414</v>
      </c>
      <c r="W48" s="1"/>
      <c r="X48" s="1">
        <f t="shared" ref="X48:X55" si="34">+P48-T48</f>
        <v>-2290618.1500000004</v>
      </c>
      <c r="Y48" s="1"/>
      <c r="Z48" s="5">
        <f t="shared" ref="Z48:Z55" si="35">IF(T48=0,0,X48/T48)</f>
        <v>-0.85409973798369565</v>
      </c>
    </row>
    <row r="49" spans="1:26" s="23" customFormat="1" hidden="1" outlineLevel="2" x14ac:dyDescent="0.25">
      <c r="A49" s="25"/>
      <c r="B49" s="10" t="str">
        <f>CONCATENATE("          ", "6001", " - ", "ADMINISTRATIVE SALARIES")</f>
        <v xml:space="preserve">          6001 - ADMINISTRATIVE SALARIES</v>
      </c>
      <c r="C49" s="10"/>
      <c r="D49" s="6">
        <v>11069.28</v>
      </c>
      <c r="E49" s="2"/>
      <c r="F49" s="7">
        <f t="shared" si="28"/>
        <v>0.16588494359095476</v>
      </c>
      <c r="G49" s="2"/>
      <c r="H49" s="6">
        <v>7748.5</v>
      </c>
      <c r="I49" s="2"/>
      <c r="J49" s="7">
        <f t="shared" si="29"/>
        <v>64.857286348037164</v>
      </c>
      <c r="K49" s="2"/>
      <c r="L49" s="6">
        <f t="shared" si="30"/>
        <v>3320.7800000000007</v>
      </c>
      <c r="M49" s="2"/>
      <c r="N49" s="7">
        <f t="shared" si="31"/>
        <v>0.42857069110150359</v>
      </c>
      <c r="O49" s="10"/>
      <c r="P49" s="6">
        <v>130427.41</v>
      </c>
      <c r="Q49" s="2"/>
      <c r="R49" s="7">
        <f t="shared" si="32"/>
        <v>0.22182262667695998</v>
      </c>
      <c r="S49" s="2"/>
      <c r="T49" s="6">
        <v>187186.24</v>
      </c>
      <c r="U49" s="2"/>
      <c r="V49" s="7">
        <f t="shared" si="33"/>
        <v>2.6801113262060142E-2</v>
      </c>
      <c r="W49" s="2"/>
      <c r="X49" s="6">
        <f t="shared" si="34"/>
        <v>-56758.829999999987</v>
      </c>
      <c r="Y49" s="2"/>
      <c r="Z49" s="7">
        <f t="shared" si="35"/>
        <v>-0.30322116625666495</v>
      </c>
    </row>
    <row r="50" spans="1:26" s="23" customFormat="1" hidden="1" outlineLevel="2" x14ac:dyDescent="0.25">
      <c r="A50" s="25"/>
      <c r="B50" s="10" t="str">
        <f>CONCATENATE("          ", "6002", " - ", "STAFF SALARIES")</f>
        <v xml:space="preserve">          6002 - STAFF SALARIES</v>
      </c>
      <c r="C50" s="10"/>
      <c r="D50" s="6">
        <v>12905.62</v>
      </c>
      <c r="E50" s="2"/>
      <c r="F50" s="7">
        <f t="shared" si="28"/>
        <v>0.19340445319897029</v>
      </c>
      <c r="G50" s="2"/>
      <c r="H50" s="6">
        <v>32605.53</v>
      </c>
      <c r="I50" s="2"/>
      <c r="J50" s="7">
        <f t="shared" si="29"/>
        <v>272.91813844479788</v>
      </c>
      <c r="K50" s="2"/>
      <c r="L50" s="6">
        <f t="shared" si="30"/>
        <v>-19699.909999999996</v>
      </c>
      <c r="M50" s="2"/>
      <c r="N50" s="7">
        <f t="shared" si="31"/>
        <v>-0.60418922802358976</v>
      </c>
      <c r="O50" s="10"/>
      <c r="P50" s="6">
        <v>216948.39</v>
      </c>
      <c r="Q50" s="2"/>
      <c r="R50" s="7">
        <f t="shared" si="32"/>
        <v>0.36897199540447456</v>
      </c>
      <c r="S50" s="2"/>
      <c r="T50" s="6">
        <v>797718.81</v>
      </c>
      <c r="U50" s="2"/>
      <c r="V50" s="7">
        <f t="shared" si="33"/>
        <v>0.11421647327328033</v>
      </c>
      <c r="W50" s="2"/>
      <c r="X50" s="6">
        <f t="shared" si="34"/>
        <v>-580770.42000000004</v>
      </c>
      <c r="Y50" s="2"/>
      <c r="Z50" s="7">
        <f t="shared" si="35"/>
        <v>-0.72803901916265457</v>
      </c>
    </row>
    <row r="51" spans="1:26" s="23" customFormat="1" hidden="1" outlineLevel="2" x14ac:dyDescent="0.25">
      <c r="A51" s="25"/>
      <c r="B51" s="10" t="str">
        <f>CONCATENATE("          ", "6004", " - ", "STAFF HOURLY")</f>
        <v xml:space="preserve">          6004 - STAFF HOURLY</v>
      </c>
      <c r="C51" s="10"/>
      <c r="D51" s="6">
        <v>4444.6899999999996</v>
      </c>
      <c r="E51" s="2"/>
      <c r="F51" s="7">
        <f t="shared" si="28"/>
        <v>6.6608410838761026E-2</v>
      </c>
      <c r="G51" s="2"/>
      <c r="H51" s="6"/>
      <c r="I51" s="2"/>
      <c r="J51" s="7">
        <f t="shared" si="29"/>
        <v>0</v>
      </c>
      <c r="K51" s="2"/>
      <c r="L51" s="6">
        <f t="shared" si="30"/>
        <v>4444.6899999999996</v>
      </c>
      <c r="M51" s="2"/>
      <c r="N51" s="7">
        <f t="shared" si="31"/>
        <v>0</v>
      </c>
      <c r="O51" s="10"/>
      <c r="P51" s="6">
        <v>35907.72</v>
      </c>
      <c r="Q51" s="2"/>
      <c r="R51" s="7">
        <f t="shared" si="32"/>
        <v>6.1069561746114637E-2</v>
      </c>
      <c r="S51" s="2"/>
      <c r="T51" s="6">
        <v>217791.13</v>
      </c>
      <c r="U51" s="2"/>
      <c r="V51" s="7">
        <f t="shared" si="33"/>
        <v>3.1183086655312192E-2</v>
      </c>
      <c r="W51" s="2"/>
      <c r="X51" s="6">
        <f t="shared" si="34"/>
        <v>-181883.41</v>
      </c>
      <c r="Y51" s="2"/>
      <c r="Z51" s="7">
        <f t="shared" si="35"/>
        <v>-0.83512772076622221</v>
      </c>
    </row>
    <row r="52" spans="1:26" s="23" customFormat="1" hidden="1" outlineLevel="2" x14ac:dyDescent="0.25">
      <c r="A52" s="25"/>
      <c r="B52" s="10" t="str">
        <f>CONCATENATE("          ", "6005", " - ", "TEMPORARY WAGES-HOURLY")</f>
        <v xml:space="preserve">          6005 - TEMPORARY WAGES-HOURLY</v>
      </c>
      <c r="C52" s="10"/>
      <c r="D52" s="6">
        <v>1311.04</v>
      </c>
      <c r="E52" s="2"/>
      <c r="F52" s="7">
        <f t="shared" si="28"/>
        <v>1.9647329947881462E-2</v>
      </c>
      <c r="G52" s="2"/>
      <c r="H52" s="6"/>
      <c r="I52" s="2"/>
      <c r="J52" s="7">
        <f t="shared" si="29"/>
        <v>0</v>
      </c>
      <c r="K52" s="2"/>
      <c r="L52" s="6">
        <f t="shared" si="30"/>
        <v>1311.04</v>
      </c>
      <c r="M52" s="2"/>
      <c r="N52" s="7">
        <f t="shared" si="31"/>
        <v>0</v>
      </c>
      <c r="O52" s="10"/>
      <c r="P52" s="6">
        <v>7774.4</v>
      </c>
      <c r="Q52" s="2"/>
      <c r="R52" s="7">
        <f t="shared" si="32"/>
        <v>1.3222204050800039E-2</v>
      </c>
      <c r="S52" s="2"/>
      <c r="T52" s="6">
        <v>505027.62</v>
      </c>
      <c r="U52" s="2"/>
      <c r="V52" s="7">
        <f t="shared" si="33"/>
        <v>7.2309281088656252E-2</v>
      </c>
      <c r="W52" s="2"/>
      <c r="X52" s="6">
        <f t="shared" si="34"/>
        <v>-497253.22</v>
      </c>
      <c r="Y52" s="2"/>
      <c r="Z52" s="7">
        <f t="shared" si="35"/>
        <v>-0.98460599046048214</v>
      </c>
    </row>
    <row r="53" spans="1:26" s="23" customFormat="1" hidden="1" outlineLevel="2" x14ac:dyDescent="0.25">
      <c r="A53" s="25"/>
      <c r="B53" s="10" t="str">
        <f>CONCATENATE("          ", "6006", " - ", "TEMPORARY PART TIME")</f>
        <v xml:space="preserve">          6006 - TEMPORARY PART TIME</v>
      </c>
      <c r="C53" s="10"/>
      <c r="D53" s="6"/>
      <c r="E53" s="2"/>
      <c r="F53" s="7">
        <f t="shared" si="28"/>
        <v>0</v>
      </c>
      <c r="G53" s="2"/>
      <c r="H53" s="6"/>
      <c r="I53" s="2"/>
      <c r="J53" s="7">
        <f t="shared" si="29"/>
        <v>0</v>
      </c>
      <c r="K53" s="2"/>
      <c r="L53" s="6">
        <f t="shared" si="30"/>
        <v>0</v>
      </c>
      <c r="M53" s="2"/>
      <c r="N53" s="7">
        <f t="shared" si="31"/>
        <v>0</v>
      </c>
      <c r="O53" s="10"/>
      <c r="P53" s="6"/>
      <c r="Q53" s="2"/>
      <c r="R53" s="7">
        <f t="shared" si="32"/>
        <v>0</v>
      </c>
      <c r="S53" s="2"/>
      <c r="T53" s="6">
        <v>33612.15</v>
      </c>
      <c r="U53" s="2"/>
      <c r="V53" s="7">
        <f t="shared" si="33"/>
        <v>4.8125494648076422E-3</v>
      </c>
      <c r="W53" s="2"/>
      <c r="X53" s="6">
        <f t="shared" si="34"/>
        <v>-33612.15</v>
      </c>
      <c r="Y53" s="2"/>
      <c r="Z53" s="7">
        <f t="shared" si="35"/>
        <v>-1</v>
      </c>
    </row>
    <row r="54" spans="1:26" s="23" customFormat="1" hidden="1" outlineLevel="2" x14ac:dyDescent="0.25">
      <c r="A54" s="25"/>
      <c r="B54" s="10" t="str">
        <f>CONCATENATE("          ", "6007", " - ", "STUDENT HOURLY")</f>
        <v xml:space="preserve">          6007 - STUDENT HOURLY</v>
      </c>
      <c r="C54" s="10"/>
      <c r="D54" s="6">
        <v>85.68</v>
      </c>
      <c r="E54" s="2"/>
      <c r="F54" s="7">
        <f t="shared" si="28"/>
        <v>1.2840060028179797E-3</v>
      </c>
      <c r="G54" s="2"/>
      <c r="H54" s="6"/>
      <c r="I54" s="2"/>
      <c r="J54" s="7">
        <f t="shared" si="29"/>
        <v>0</v>
      </c>
      <c r="K54" s="2"/>
      <c r="L54" s="6">
        <f t="shared" si="30"/>
        <v>85.68</v>
      </c>
      <c r="M54" s="2"/>
      <c r="N54" s="7">
        <f t="shared" si="31"/>
        <v>0</v>
      </c>
      <c r="O54" s="10"/>
      <c r="P54" s="6">
        <v>233.37</v>
      </c>
      <c r="Q54" s="2"/>
      <c r="R54" s="7">
        <f t="shared" si="32"/>
        <v>3.9690082312914248E-4</v>
      </c>
      <c r="S54" s="2"/>
      <c r="T54" s="6">
        <v>893279.31</v>
      </c>
      <c r="U54" s="2"/>
      <c r="V54" s="7">
        <f t="shared" si="33"/>
        <v>0.12789871713842288</v>
      </c>
      <c r="W54" s="2"/>
      <c r="X54" s="6">
        <f t="shared" si="34"/>
        <v>-893045.94000000006</v>
      </c>
      <c r="Y54" s="2"/>
      <c r="Z54" s="7">
        <f t="shared" si="35"/>
        <v>-0.99973874912651906</v>
      </c>
    </row>
    <row r="55" spans="1:26" s="23" customFormat="1" hidden="1" outlineLevel="2" x14ac:dyDescent="0.25">
      <c r="A55" s="25"/>
      <c r="B55" s="10" t="str">
        <f>CONCATENATE("          ", "6008", " - ", "STUDENT HOURLY-FICA EXEMPT")</f>
        <v xml:space="preserve">          6008 - STUDENT HOURLY-FICA EXEMPT</v>
      </c>
      <c r="C55" s="10"/>
      <c r="D55" s="6"/>
      <c r="E55" s="2"/>
      <c r="F55" s="7">
        <f t="shared" si="28"/>
        <v>0</v>
      </c>
      <c r="G55" s="2"/>
      <c r="H55" s="6"/>
      <c r="I55" s="2"/>
      <c r="J55" s="7">
        <f t="shared" si="29"/>
        <v>0</v>
      </c>
      <c r="K55" s="2"/>
      <c r="L55" s="6">
        <f t="shared" si="30"/>
        <v>0</v>
      </c>
      <c r="M55" s="2"/>
      <c r="N55" s="7">
        <f t="shared" si="31"/>
        <v>0</v>
      </c>
      <c r="O55" s="10"/>
      <c r="P55" s="6"/>
      <c r="Q55" s="2"/>
      <c r="R55" s="7">
        <f t="shared" si="32"/>
        <v>0</v>
      </c>
      <c r="S55" s="2"/>
      <c r="T55" s="6">
        <v>47294.18</v>
      </c>
      <c r="U55" s="2"/>
      <c r="V55" s="7">
        <f t="shared" si="33"/>
        <v>6.7715269819846784E-3</v>
      </c>
      <c r="W55" s="2"/>
      <c r="X55" s="6">
        <f t="shared" si="34"/>
        <v>-47294.18</v>
      </c>
      <c r="Y55" s="2"/>
      <c r="Z55" s="7">
        <f t="shared" si="35"/>
        <v>-1</v>
      </c>
    </row>
    <row r="56" spans="1:26" s="27" customFormat="1" outlineLevel="1" collapsed="1" x14ac:dyDescent="0.25">
      <c r="A56" s="26"/>
      <c r="B56" s="12" t="str">
        <f>CONCATENATE("     ","Advertising/Promo                                 ")</f>
        <v xml:space="preserve">     Advertising/Promo                                 </v>
      </c>
      <c r="C56" s="12"/>
      <c r="D56" s="1">
        <f>SUM(OSRRefD22_2x_0)</f>
        <v>38.29</v>
      </c>
      <c r="E56" s="1"/>
      <c r="F56" s="5">
        <f t="shared" ref="F56:F65" si="36">IF(D$12=0,0,D56/D$12)</f>
        <v>5.7381640812208723E-4</v>
      </c>
      <c r="G56" s="1"/>
      <c r="H56" s="1">
        <f>SUM(OSRRefH22_2x_0)</f>
        <v>0</v>
      </c>
      <c r="I56" s="1"/>
      <c r="J56" s="5">
        <f t="shared" ref="J56:J65" si="37">IF(H$12=0,0,H56/H$12)</f>
        <v>0</v>
      </c>
      <c r="K56" s="1"/>
      <c r="L56" s="1">
        <f t="shared" ref="L56:L65" si="38">+D56-H56</f>
        <v>38.29</v>
      </c>
      <c r="M56" s="1"/>
      <c r="N56" s="5">
        <f t="shared" ref="N56:N65" si="39">IF(H56=0,0,L56/H56)</f>
        <v>0</v>
      </c>
      <c r="O56" s="12"/>
      <c r="P56" s="1">
        <f>SUM(OSRRefP22_2x_0)</f>
        <v>485.74</v>
      </c>
      <c r="Q56" s="1"/>
      <c r="R56" s="5">
        <f t="shared" ref="R56:R65" si="40">IF(P$12=0,0,P56/P$12)</f>
        <v>8.2611563537194016E-4</v>
      </c>
      <c r="S56" s="1"/>
      <c r="T56" s="1">
        <f>SUM(OSRRefT22_2x_0)</f>
        <v>32110.92</v>
      </c>
      <c r="U56" s="1"/>
      <c r="V56" s="5">
        <f t="shared" ref="V56:V65" si="41">IF(T$12=0,0,T56/T$12)</f>
        <v>4.5976050583042445E-3</v>
      </c>
      <c r="W56" s="1"/>
      <c r="X56" s="1">
        <f t="shared" ref="X56:X65" si="42">+P56-T56</f>
        <v>-31625.179999999997</v>
      </c>
      <c r="Y56" s="1"/>
      <c r="Z56" s="5">
        <f t="shared" ref="Z56:Z65" si="43">IF(T56=0,0,X56/T56)</f>
        <v>-0.98487305876007281</v>
      </c>
    </row>
    <row r="57" spans="1:26" s="23" customFormat="1" hidden="1" outlineLevel="2" x14ac:dyDescent="0.25">
      <c r="A57" s="25"/>
      <c r="B57" s="10" t="str">
        <f>CONCATENATE("          ", "6362", " - ", "ADVERTISING EXPENSE")</f>
        <v xml:space="preserve">          6362 - ADVERTISING EXPENSE</v>
      </c>
      <c r="C57" s="10"/>
      <c r="D57" s="6">
        <v>38.29</v>
      </c>
      <c r="E57" s="2"/>
      <c r="F57" s="7">
        <f t="shared" si="36"/>
        <v>5.7381640812208723E-4</v>
      </c>
      <c r="G57" s="2"/>
      <c r="H57" s="6"/>
      <c r="I57" s="2"/>
      <c r="J57" s="7">
        <f t="shared" si="37"/>
        <v>0</v>
      </c>
      <c r="K57" s="2"/>
      <c r="L57" s="6">
        <f t="shared" si="38"/>
        <v>38.29</v>
      </c>
      <c r="M57" s="2"/>
      <c r="N57" s="7">
        <f t="shared" si="39"/>
        <v>0</v>
      </c>
      <c r="O57" s="10"/>
      <c r="P57" s="6">
        <v>485.74</v>
      </c>
      <c r="Q57" s="2"/>
      <c r="R57" s="7">
        <f t="shared" si="40"/>
        <v>8.2611563537194016E-4</v>
      </c>
      <c r="S57" s="2"/>
      <c r="T57" s="6">
        <v>32110.92</v>
      </c>
      <c r="U57" s="2"/>
      <c r="V57" s="7">
        <f t="shared" si="41"/>
        <v>4.5976050583042445E-3</v>
      </c>
      <c r="W57" s="2"/>
      <c r="X57" s="6">
        <f t="shared" si="42"/>
        <v>-31625.179999999997</v>
      </c>
      <c r="Y57" s="2"/>
      <c r="Z57" s="7">
        <f t="shared" si="43"/>
        <v>-0.98487305876007281</v>
      </c>
    </row>
    <row r="58" spans="1:26" s="27" customFormat="1" outlineLevel="1" collapsed="1" x14ac:dyDescent="0.25">
      <c r="A58" s="26"/>
      <c r="B58" s="12" t="str">
        <f>CONCATENATE("     ","Bad Debts/Over/Short                              ")</f>
        <v xml:space="preserve">     Bad Debts/Over/Short                              </v>
      </c>
      <c r="C58" s="12"/>
      <c r="D58" s="1">
        <f>SUM(OSRRefD22_3x_0)</f>
        <v>-2.67</v>
      </c>
      <c r="E58" s="1"/>
      <c r="F58" s="5">
        <f t="shared" si="36"/>
        <v>-4.0012792104621907E-5</v>
      </c>
      <c r="G58" s="1"/>
      <c r="H58" s="1">
        <f>SUM(OSRRefH22_3x_0)</f>
        <v>0</v>
      </c>
      <c r="I58" s="1"/>
      <c r="J58" s="5">
        <f t="shared" si="37"/>
        <v>0</v>
      </c>
      <c r="K58" s="1"/>
      <c r="L58" s="1">
        <f t="shared" si="38"/>
        <v>-2.67</v>
      </c>
      <c r="M58" s="1"/>
      <c r="N58" s="5">
        <f t="shared" si="39"/>
        <v>0</v>
      </c>
      <c r="O58" s="12"/>
      <c r="P58" s="1">
        <f>SUM(OSRRefP22_3x_0)</f>
        <v>16.84</v>
      </c>
      <c r="Q58" s="1"/>
      <c r="R58" s="5">
        <f t="shared" si="40"/>
        <v>2.8640398772313317E-5</v>
      </c>
      <c r="S58" s="1"/>
      <c r="T58" s="1">
        <f>SUM(OSRRefT22_3x_0)</f>
        <v>-689.57</v>
      </c>
      <c r="U58" s="1"/>
      <c r="V58" s="5">
        <f t="shared" si="41"/>
        <v>-9.8731849478459608E-5</v>
      </c>
      <c r="W58" s="1"/>
      <c r="X58" s="1">
        <f t="shared" si="42"/>
        <v>706.41000000000008</v>
      </c>
      <c r="Y58" s="1"/>
      <c r="Z58" s="5">
        <f t="shared" si="43"/>
        <v>-1.0244210159954754</v>
      </c>
    </row>
    <row r="59" spans="1:26" s="23" customFormat="1" hidden="1" outlineLevel="2" x14ac:dyDescent="0.25">
      <c r="A59" s="25"/>
      <c r="B59" s="10" t="str">
        <f>CONCATENATE("          ", "6272", " - ", "CASH (OVER/SHORT)")</f>
        <v xml:space="preserve">          6272 - CASH (OVER/SHORT)</v>
      </c>
      <c r="C59" s="10"/>
      <c r="D59" s="6">
        <v>-2.67</v>
      </c>
      <c r="E59" s="2"/>
      <c r="F59" s="7">
        <f t="shared" si="36"/>
        <v>-4.0012792104621907E-5</v>
      </c>
      <c r="G59" s="2"/>
      <c r="H59" s="6"/>
      <c r="I59" s="2"/>
      <c r="J59" s="7">
        <f t="shared" si="37"/>
        <v>0</v>
      </c>
      <c r="K59" s="2"/>
      <c r="L59" s="6">
        <f t="shared" si="38"/>
        <v>-2.67</v>
      </c>
      <c r="M59" s="2"/>
      <c r="N59" s="7">
        <f t="shared" si="39"/>
        <v>0</v>
      </c>
      <c r="O59" s="10"/>
      <c r="P59" s="6">
        <v>16.84</v>
      </c>
      <c r="Q59" s="2"/>
      <c r="R59" s="7">
        <f t="shared" si="40"/>
        <v>2.8640398772313317E-5</v>
      </c>
      <c r="S59" s="2"/>
      <c r="T59" s="6">
        <v>-689.57</v>
      </c>
      <c r="U59" s="2"/>
      <c r="V59" s="7">
        <f t="shared" si="41"/>
        <v>-9.8731849478459608E-5</v>
      </c>
      <c r="W59" s="2"/>
      <c r="X59" s="6">
        <f t="shared" si="42"/>
        <v>706.41000000000008</v>
      </c>
      <c r="Y59" s="2"/>
      <c r="Z59" s="7">
        <f t="shared" si="43"/>
        <v>-1.0244210159954754</v>
      </c>
    </row>
    <row r="60" spans="1:26" s="27" customFormat="1" outlineLevel="1" collapsed="1" x14ac:dyDescent="0.25">
      <c r="A60" s="26"/>
      <c r="B60" s="12" t="str">
        <f>CONCATENATE("     ","Bank/card Fees                                    ")</f>
        <v xml:space="preserve">     Bank/card Fees                                    </v>
      </c>
      <c r="C60" s="12"/>
      <c r="D60" s="1">
        <f>SUM(OSRRefD22_4x_0)</f>
        <v>929.58</v>
      </c>
      <c r="E60" s="1"/>
      <c r="F60" s="5">
        <f t="shared" si="36"/>
        <v>1.3930745799481063E-2</v>
      </c>
      <c r="G60" s="1"/>
      <c r="H60" s="1">
        <f>SUM(OSRRefH22_4x_0)</f>
        <v>339.09</v>
      </c>
      <c r="I60" s="1"/>
      <c r="J60" s="5">
        <f t="shared" si="37"/>
        <v>2.838285762116012</v>
      </c>
      <c r="K60" s="1"/>
      <c r="L60" s="1">
        <f t="shared" si="38"/>
        <v>590.49</v>
      </c>
      <c r="M60" s="1"/>
      <c r="N60" s="5">
        <f t="shared" si="39"/>
        <v>1.7413960895337524</v>
      </c>
      <c r="O60" s="12"/>
      <c r="P60" s="1">
        <f>SUM(OSRRefP22_4x_0)</f>
        <v>10415.42</v>
      </c>
      <c r="Q60" s="1"/>
      <c r="R60" s="5">
        <f t="shared" si="40"/>
        <v>1.7713882552323493E-2</v>
      </c>
      <c r="S60" s="1"/>
      <c r="T60" s="1">
        <f>SUM(OSRRefT22_4x_0)</f>
        <v>238904.25</v>
      </c>
      <c r="U60" s="1"/>
      <c r="V60" s="5">
        <f t="shared" si="41"/>
        <v>3.420603919944934E-2</v>
      </c>
      <c r="W60" s="1"/>
      <c r="X60" s="1">
        <f t="shared" si="42"/>
        <v>-228488.83</v>
      </c>
      <c r="Y60" s="1"/>
      <c r="Z60" s="5">
        <f t="shared" si="43"/>
        <v>-0.95640337080650506</v>
      </c>
    </row>
    <row r="61" spans="1:26" s="23" customFormat="1" hidden="1" outlineLevel="2" x14ac:dyDescent="0.25">
      <c r="A61" s="25"/>
      <c r="B61" s="10" t="str">
        <f>CONCATENATE("          ", "6381", " - ", "BANK/CREDIT CARD FEES")</f>
        <v xml:space="preserve">          6381 - BANK/CREDIT CARD FEES</v>
      </c>
      <c r="C61" s="10"/>
      <c r="D61" s="6">
        <v>929.58</v>
      </c>
      <c r="E61" s="2"/>
      <c r="F61" s="7">
        <f t="shared" si="36"/>
        <v>1.3930745799481063E-2</v>
      </c>
      <c r="G61" s="2"/>
      <c r="H61" s="6">
        <v>339.09</v>
      </c>
      <c r="I61" s="2"/>
      <c r="J61" s="7">
        <f t="shared" si="37"/>
        <v>2.838285762116012</v>
      </c>
      <c r="K61" s="2"/>
      <c r="L61" s="6">
        <f t="shared" si="38"/>
        <v>590.49</v>
      </c>
      <c r="M61" s="2"/>
      <c r="N61" s="7">
        <f t="shared" si="39"/>
        <v>1.7413960895337524</v>
      </c>
      <c r="O61" s="10"/>
      <c r="P61" s="6">
        <v>10415.42</v>
      </c>
      <c r="Q61" s="2"/>
      <c r="R61" s="7">
        <f t="shared" si="40"/>
        <v>1.7713882552323493E-2</v>
      </c>
      <c r="S61" s="2"/>
      <c r="T61" s="6">
        <v>238904.25</v>
      </c>
      <c r="U61" s="2"/>
      <c r="V61" s="7">
        <f t="shared" si="41"/>
        <v>3.420603919944934E-2</v>
      </c>
      <c r="W61" s="2"/>
      <c r="X61" s="6">
        <f t="shared" si="42"/>
        <v>-228488.83</v>
      </c>
      <c r="Y61" s="2"/>
      <c r="Z61" s="7">
        <f t="shared" si="43"/>
        <v>-0.95640337080650506</v>
      </c>
    </row>
    <row r="62" spans="1:26" s="27" customFormat="1" outlineLevel="1" collapsed="1" x14ac:dyDescent="0.25">
      <c r="A62" s="26"/>
      <c r="B62" s="12" t="str">
        <f>CONCATENATE("     ","Depreciation                                      ")</f>
        <v xml:space="preserve">     Depreciation                                      </v>
      </c>
      <c r="C62" s="12"/>
      <c r="D62" s="1">
        <f>SUM(OSRRefD22_5x_0)</f>
        <v>38304.71</v>
      </c>
      <c r="E62" s="1"/>
      <c r="F62" s="5">
        <f t="shared" si="36"/>
        <v>0.57403685313027408</v>
      </c>
      <c r="G62" s="1"/>
      <c r="H62" s="1">
        <f>SUM(OSRRefH22_5x_0)</f>
        <v>46728.3</v>
      </c>
      <c r="I62" s="1"/>
      <c r="J62" s="5">
        <f t="shared" si="37"/>
        <v>391.12999079266763</v>
      </c>
      <c r="K62" s="1"/>
      <c r="L62" s="1">
        <f t="shared" si="38"/>
        <v>-8423.5900000000038</v>
      </c>
      <c r="M62" s="1"/>
      <c r="N62" s="5">
        <f t="shared" si="39"/>
        <v>-0.18026741824547443</v>
      </c>
      <c r="O62" s="12"/>
      <c r="P62" s="1">
        <f>SUM(OSRRefP22_5x_0)</f>
        <v>545910.83000000007</v>
      </c>
      <c r="Q62" s="1"/>
      <c r="R62" s="5">
        <f t="shared" si="40"/>
        <v>0.92845034829718209</v>
      </c>
      <c r="S62" s="1"/>
      <c r="T62" s="1">
        <f>SUM(OSRRefT22_5x_0)</f>
        <v>581057.55999999994</v>
      </c>
      <c r="U62" s="1"/>
      <c r="V62" s="5">
        <f t="shared" si="41"/>
        <v>8.3195161553201266E-2</v>
      </c>
      <c r="W62" s="1"/>
      <c r="X62" s="1">
        <f t="shared" si="42"/>
        <v>-35146.729999999865</v>
      </c>
      <c r="Y62" s="1"/>
      <c r="Z62" s="5">
        <f t="shared" si="43"/>
        <v>-6.0487518654778138E-2</v>
      </c>
    </row>
    <row r="63" spans="1:26" s="23" customFormat="1" hidden="1" outlineLevel="2" x14ac:dyDescent="0.25">
      <c r="A63" s="25"/>
      <c r="B63" s="10" t="str">
        <f>CONCATENATE("          ", "6321", " - ", "BUILDING DEPRECIATION")</f>
        <v xml:space="preserve">          6321 - BUILDING DEPRECIATION</v>
      </c>
      <c r="C63" s="10"/>
      <c r="D63" s="6">
        <v>28664.01</v>
      </c>
      <c r="E63" s="2"/>
      <c r="F63" s="7">
        <f t="shared" si="36"/>
        <v>0.4295607015036717</v>
      </c>
      <c r="G63" s="2"/>
      <c r="H63" s="6">
        <v>29108.37</v>
      </c>
      <c r="I63" s="2"/>
      <c r="J63" s="7">
        <f t="shared" si="37"/>
        <v>243.64585251527581</v>
      </c>
      <c r="K63" s="2"/>
      <c r="L63" s="6">
        <f t="shared" si="38"/>
        <v>-444.36000000000058</v>
      </c>
      <c r="M63" s="2"/>
      <c r="N63" s="7">
        <f t="shared" si="39"/>
        <v>-1.5265712233285498E-2</v>
      </c>
      <c r="O63" s="10"/>
      <c r="P63" s="6">
        <v>344752.2</v>
      </c>
      <c r="Q63" s="2"/>
      <c r="R63" s="7">
        <f t="shared" si="40"/>
        <v>0.58633257040571951</v>
      </c>
      <c r="S63" s="2"/>
      <c r="T63" s="6">
        <v>349466.54</v>
      </c>
      <c r="U63" s="2"/>
      <c r="V63" s="7">
        <f t="shared" si="41"/>
        <v>5.0036222319761701E-2</v>
      </c>
      <c r="W63" s="2"/>
      <c r="X63" s="6">
        <f t="shared" si="42"/>
        <v>-4714.3399999999674</v>
      </c>
      <c r="Y63" s="2"/>
      <c r="Z63" s="7">
        <f t="shared" si="43"/>
        <v>-1.3490104088362702E-2</v>
      </c>
    </row>
    <row r="64" spans="1:26" s="23" customFormat="1" hidden="1" outlineLevel="2" x14ac:dyDescent="0.25">
      <c r="A64" s="25"/>
      <c r="B64" s="10" t="str">
        <f>CONCATENATE("          ", "6322", " - ", "EQUIPMENT DEPRECIATION EXPENSE")</f>
        <v xml:space="preserve">          6322 - EQUIPMENT DEPRECIATION EXPENSE</v>
      </c>
      <c r="C64" s="10"/>
      <c r="D64" s="6">
        <v>9640.7000000000007</v>
      </c>
      <c r="E64" s="2"/>
      <c r="F64" s="7">
        <f t="shared" si="36"/>
        <v>0.14447615162660243</v>
      </c>
      <c r="G64" s="2"/>
      <c r="H64" s="6">
        <v>17619.93</v>
      </c>
      <c r="I64" s="2"/>
      <c r="J64" s="7">
        <f t="shared" si="37"/>
        <v>147.48413827739182</v>
      </c>
      <c r="K64" s="2"/>
      <c r="L64" s="6">
        <f t="shared" si="38"/>
        <v>-7979.23</v>
      </c>
      <c r="M64" s="2"/>
      <c r="N64" s="7">
        <f t="shared" si="39"/>
        <v>-0.45285253687159932</v>
      </c>
      <c r="O64" s="10"/>
      <c r="P64" s="6">
        <v>201158.63</v>
      </c>
      <c r="Q64" s="2"/>
      <c r="R64" s="7">
        <f t="shared" si="40"/>
        <v>0.34211777789146253</v>
      </c>
      <c r="S64" s="2"/>
      <c r="T64" s="6">
        <v>227348.54</v>
      </c>
      <c r="U64" s="2"/>
      <c r="V64" s="7">
        <f t="shared" si="41"/>
        <v>3.2551505765081937E-2</v>
      </c>
      <c r="W64" s="2"/>
      <c r="X64" s="6">
        <f t="shared" si="42"/>
        <v>-26189.910000000003</v>
      </c>
      <c r="Y64" s="2"/>
      <c r="Z64" s="7">
        <f t="shared" si="43"/>
        <v>-0.11519717698648957</v>
      </c>
    </row>
    <row r="65" spans="1:26" s="23" customFormat="1" hidden="1" outlineLevel="2" x14ac:dyDescent="0.25">
      <c r="A65" s="25"/>
      <c r="B65" s="10" t="str">
        <f>CONCATENATE("          ", "6326", " - ", "VEHICLES DEPRECIATION EXPENSE")</f>
        <v xml:space="preserve">          6326 - VEHICLES DEPRECIATION EXPENSE</v>
      </c>
      <c r="C65" s="10"/>
      <c r="D65" s="6"/>
      <c r="E65" s="2"/>
      <c r="F65" s="7">
        <f t="shared" si="36"/>
        <v>0</v>
      </c>
      <c r="G65" s="2"/>
      <c r="H65" s="6"/>
      <c r="I65" s="2"/>
      <c r="J65" s="7">
        <f t="shared" si="37"/>
        <v>0</v>
      </c>
      <c r="K65" s="2"/>
      <c r="L65" s="6">
        <f t="shared" si="38"/>
        <v>0</v>
      </c>
      <c r="M65" s="2"/>
      <c r="N65" s="7">
        <f t="shared" si="39"/>
        <v>0</v>
      </c>
      <c r="O65" s="10"/>
      <c r="P65" s="6"/>
      <c r="Q65" s="2"/>
      <c r="R65" s="7">
        <f t="shared" si="40"/>
        <v>0</v>
      </c>
      <c r="S65" s="2"/>
      <c r="T65" s="6">
        <v>4242.4799999999996</v>
      </c>
      <c r="U65" s="2"/>
      <c r="V65" s="7">
        <f t="shared" si="41"/>
        <v>6.0743346835763631E-4</v>
      </c>
      <c r="W65" s="2"/>
      <c r="X65" s="6">
        <f t="shared" si="42"/>
        <v>-4242.4799999999996</v>
      </c>
      <c r="Y65" s="2"/>
      <c r="Z65" s="7">
        <f t="shared" si="43"/>
        <v>-1</v>
      </c>
    </row>
    <row r="66" spans="1:26" s="27" customFormat="1" outlineLevel="1" collapsed="1" x14ac:dyDescent="0.25">
      <c r="A66" s="26"/>
      <c r="B66" s="12" t="str">
        <f>CONCATENATE("     ","Discounts and Markdowns                           ")</f>
        <v xml:space="preserve">     Discounts and Markdowns                           </v>
      </c>
      <c r="C66" s="12"/>
      <c r="D66" s="1">
        <f>SUM(OSRRefD22_6x_0)</f>
        <v>0</v>
      </c>
      <c r="E66" s="1"/>
      <c r="F66" s="5">
        <f t="shared" ref="F66:F76" si="44">IF(D$12=0,0,D66/D$12)</f>
        <v>0</v>
      </c>
      <c r="G66" s="1"/>
      <c r="H66" s="1">
        <f>SUM(OSRRefH22_6x_0)</f>
        <v>0</v>
      </c>
      <c r="I66" s="1"/>
      <c r="J66" s="5">
        <f t="shared" ref="J66:J76" si="45">IF(H$12=0,0,H66/H$12)</f>
        <v>0</v>
      </c>
      <c r="K66" s="1"/>
      <c r="L66" s="1">
        <f t="shared" ref="L66:L76" si="46">+D66-H66</f>
        <v>0</v>
      </c>
      <c r="M66" s="1"/>
      <c r="N66" s="5">
        <f t="shared" ref="N66:N76" si="47">IF(H66=0,0,L66/H66)</f>
        <v>0</v>
      </c>
      <c r="O66" s="12"/>
      <c r="P66" s="1">
        <f>SUM(OSRRefP22_6x_0)</f>
        <v>0</v>
      </c>
      <c r="Q66" s="1"/>
      <c r="R66" s="5">
        <f t="shared" ref="R66:R76" si="48">IF(P$12=0,0,P66/P$12)</f>
        <v>0</v>
      </c>
      <c r="S66" s="1"/>
      <c r="T66" s="1">
        <f>SUM(OSRRefT22_6x_0)</f>
        <v>125.96</v>
      </c>
      <c r="U66" s="1"/>
      <c r="V66" s="5">
        <f t="shared" ref="V66:V76" si="49">IF(T$12=0,0,T66/T$12)</f>
        <v>1.8034809751449121E-5</v>
      </c>
      <c r="W66" s="1"/>
      <c r="X66" s="1">
        <f t="shared" ref="X66:X76" si="50">+P66-T66</f>
        <v>-125.96</v>
      </c>
      <c r="Y66" s="1"/>
      <c r="Z66" s="5">
        <f t="shared" ref="Z66:Z76" si="51">IF(T66=0,0,X66/T66)</f>
        <v>-1</v>
      </c>
    </row>
    <row r="67" spans="1:26" s="23" customFormat="1" hidden="1" outlineLevel="2" x14ac:dyDescent="0.25">
      <c r="A67" s="25"/>
      <c r="B67" s="10" t="str">
        <f>CONCATENATE("          ", "6382", " - ", "DISCOUNTS/MARK DOWNS")</f>
        <v xml:space="preserve">          6382 - DISCOUNTS/MARK DOWNS</v>
      </c>
      <c r="C67" s="10"/>
      <c r="D67" s="6"/>
      <c r="E67" s="2"/>
      <c r="F67" s="7">
        <f t="shared" si="44"/>
        <v>0</v>
      </c>
      <c r="G67" s="2"/>
      <c r="H67" s="6"/>
      <c r="I67" s="2"/>
      <c r="J67" s="7">
        <f t="shared" si="45"/>
        <v>0</v>
      </c>
      <c r="K67" s="2"/>
      <c r="L67" s="6">
        <f t="shared" si="46"/>
        <v>0</v>
      </c>
      <c r="M67" s="2"/>
      <c r="N67" s="7">
        <f t="shared" si="47"/>
        <v>0</v>
      </c>
      <c r="O67" s="10"/>
      <c r="P67" s="6"/>
      <c r="Q67" s="2"/>
      <c r="R67" s="7">
        <f t="shared" si="48"/>
        <v>0</v>
      </c>
      <c r="S67" s="2"/>
      <c r="T67" s="6">
        <v>125.96</v>
      </c>
      <c r="U67" s="2"/>
      <c r="V67" s="7">
        <f t="shared" si="49"/>
        <v>1.8034809751449121E-5</v>
      </c>
      <c r="W67" s="2"/>
      <c r="X67" s="6">
        <f t="shared" si="50"/>
        <v>-125.96</v>
      </c>
      <c r="Y67" s="2"/>
      <c r="Z67" s="7">
        <f t="shared" si="51"/>
        <v>-1</v>
      </c>
    </row>
    <row r="68" spans="1:26" s="27" customFormat="1" outlineLevel="1" collapsed="1" x14ac:dyDescent="0.25">
      <c r="A68" s="26"/>
      <c r="B68" s="12" t="str">
        <f>CONCATENATE("     ","Donations                                         ")</f>
        <v xml:space="preserve">     Donations                                         </v>
      </c>
      <c r="C68" s="12"/>
      <c r="D68" s="1">
        <f>SUM(OSRRefD22_7x_0)</f>
        <v>0</v>
      </c>
      <c r="E68" s="1"/>
      <c r="F68" s="5">
        <f t="shared" si="44"/>
        <v>0</v>
      </c>
      <c r="G68" s="1"/>
      <c r="H68" s="1">
        <f>SUM(OSRRefH22_7x_0)</f>
        <v>0</v>
      </c>
      <c r="I68" s="1"/>
      <c r="J68" s="5">
        <f t="shared" si="45"/>
        <v>0</v>
      </c>
      <c r="K68" s="1"/>
      <c r="L68" s="1">
        <f t="shared" si="46"/>
        <v>0</v>
      </c>
      <c r="M68" s="1"/>
      <c r="N68" s="5">
        <f t="shared" si="47"/>
        <v>0</v>
      </c>
      <c r="O68" s="12"/>
      <c r="P68" s="1">
        <f>SUM(OSRRefP22_7x_0)</f>
        <v>0</v>
      </c>
      <c r="Q68" s="1"/>
      <c r="R68" s="5">
        <f t="shared" si="48"/>
        <v>0</v>
      </c>
      <c r="S68" s="1"/>
      <c r="T68" s="1">
        <f>SUM(OSRRefT22_7x_0)</f>
        <v>236.68</v>
      </c>
      <c r="U68" s="1"/>
      <c r="V68" s="5">
        <f t="shared" si="49"/>
        <v>3.388757361045553E-5</v>
      </c>
      <c r="W68" s="1"/>
      <c r="X68" s="1">
        <f t="shared" si="50"/>
        <v>-236.68</v>
      </c>
      <c r="Y68" s="1"/>
      <c r="Z68" s="5">
        <f t="shared" si="51"/>
        <v>-1</v>
      </c>
    </row>
    <row r="69" spans="1:26" s="23" customFormat="1" hidden="1" outlineLevel="2" x14ac:dyDescent="0.25">
      <c r="A69" s="25"/>
      <c r="B69" s="10" t="str">
        <f>CONCATENATE("          ", "6399", " - ", "DONATION-ON CAMPUS")</f>
        <v xml:space="preserve">          6399 - DONATION-ON CAMPUS</v>
      </c>
      <c r="C69" s="10"/>
      <c r="D69" s="6"/>
      <c r="E69" s="2"/>
      <c r="F69" s="7">
        <f t="shared" si="44"/>
        <v>0</v>
      </c>
      <c r="G69" s="2"/>
      <c r="H69" s="6"/>
      <c r="I69" s="2"/>
      <c r="J69" s="7">
        <f t="shared" si="45"/>
        <v>0</v>
      </c>
      <c r="K69" s="2"/>
      <c r="L69" s="6">
        <f t="shared" si="46"/>
        <v>0</v>
      </c>
      <c r="M69" s="2"/>
      <c r="N69" s="7">
        <f t="shared" si="47"/>
        <v>0</v>
      </c>
      <c r="O69" s="10"/>
      <c r="P69" s="6"/>
      <c r="Q69" s="2"/>
      <c r="R69" s="7">
        <f t="shared" si="48"/>
        <v>0</v>
      </c>
      <c r="S69" s="2"/>
      <c r="T69" s="6">
        <v>236.68</v>
      </c>
      <c r="U69" s="2"/>
      <c r="V69" s="7">
        <f t="shared" si="49"/>
        <v>3.388757361045553E-5</v>
      </c>
      <c r="W69" s="2"/>
      <c r="X69" s="6">
        <f t="shared" si="50"/>
        <v>-236.68</v>
      </c>
      <c r="Y69" s="2"/>
      <c r="Z69" s="7">
        <f t="shared" si="51"/>
        <v>-1</v>
      </c>
    </row>
    <row r="70" spans="1:26" s="27" customFormat="1" outlineLevel="1" collapsed="1" x14ac:dyDescent="0.25">
      <c r="A70" s="26"/>
      <c r="B70" s="12" t="str">
        <f>CONCATENATE("     ","Employees' Appreciation                           ")</f>
        <v xml:space="preserve">     Employees' Appreciation                           </v>
      </c>
      <c r="C70" s="12"/>
      <c r="D70" s="1">
        <f>SUM(OSRRefD22_8x_0)</f>
        <v>0</v>
      </c>
      <c r="E70" s="1"/>
      <c r="F70" s="5">
        <f t="shared" si="44"/>
        <v>0</v>
      </c>
      <c r="G70" s="1"/>
      <c r="H70" s="1">
        <f>SUM(OSRRefH22_8x_0)</f>
        <v>0</v>
      </c>
      <c r="I70" s="1"/>
      <c r="J70" s="5">
        <f t="shared" si="45"/>
        <v>0</v>
      </c>
      <c r="K70" s="1"/>
      <c r="L70" s="1">
        <f t="shared" si="46"/>
        <v>0</v>
      </c>
      <c r="M70" s="1"/>
      <c r="N70" s="5">
        <f t="shared" si="47"/>
        <v>0</v>
      </c>
      <c r="O70" s="12"/>
      <c r="P70" s="1">
        <f>SUM(OSRRefP22_8x_0)</f>
        <v>10</v>
      </c>
      <c r="Q70" s="1"/>
      <c r="R70" s="5">
        <f t="shared" si="48"/>
        <v>1.7007362691397459E-5</v>
      </c>
      <c r="S70" s="1"/>
      <c r="T70" s="1">
        <f>SUM(OSRRefT22_8x_0)</f>
        <v>1836.65</v>
      </c>
      <c r="U70" s="1"/>
      <c r="V70" s="5">
        <f t="shared" si="49"/>
        <v>2.6296946117814412E-4</v>
      </c>
      <c r="W70" s="1"/>
      <c r="X70" s="1">
        <f t="shared" si="50"/>
        <v>-1826.65</v>
      </c>
      <c r="Y70" s="1"/>
      <c r="Z70" s="5">
        <f t="shared" si="51"/>
        <v>-0.99455530449459617</v>
      </c>
    </row>
    <row r="71" spans="1:26" s="23" customFormat="1" hidden="1" outlineLevel="2" x14ac:dyDescent="0.25">
      <c r="A71" s="25"/>
      <c r="B71" s="10" t="str">
        <f>CONCATENATE("          ", "6277", " - ", "EMPLOYEE APPRECIATION")</f>
        <v xml:space="preserve">          6277 - EMPLOYEE APPRECIATION</v>
      </c>
      <c r="C71" s="10"/>
      <c r="D71" s="6"/>
      <c r="E71" s="2"/>
      <c r="F71" s="7">
        <f t="shared" si="44"/>
        <v>0</v>
      </c>
      <c r="G71" s="2"/>
      <c r="H71" s="6"/>
      <c r="I71" s="2"/>
      <c r="J71" s="7">
        <f t="shared" si="45"/>
        <v>0</v>
      </c>
      <c r="K71" s="2"/>
      <c r="L71" s="6">
        <f t="shared" si="46"/>
        <v>0</v>
      </c>
      <c r="M71" s="2"/>
      <c r="N71" s="7">
        <f t="shared" si="47"/>
        <v>0</v>
      </c>
      <c r="O71" s="10"/>
      <c r="P71" s="6">
        <v>10</v>
      </c>
      <c r="Q71" s="2"/>
      <c r="R71" s="7">
        <f t="shared" si="48"/>
        <v>1.7007362691397459E-5</v>
      </c>
      <c r="S71" s="2"/>
      <c r="T71" s="6">
        <v>1836.65</v>
      </c>
      <c r="U71" s="2"/>
      <c r="V71" s="7">
        <f t="shared" si="49"/>
        <v>2.6296946117814412E-4</v>
      </c>
      <c r="W71" s="2"/>
      <c r="X71" s="6">
        <f t="shared" si="50"/>
        <v>-1826.65</v>
      </c>
      <c r="Y71" s="2"/>
      <c r="Z71" s="7">
        <f t="shared" si="51"/>
        <v>-0.99455530449459617</v>
      </c>
    </row>
    <row r="72" spans="1:26" s="27" customFormat="1" outlineLevel="1" collapsed="1" x14ac:dyDescent="0.25">
      <c r="A72" s="26"/>
      <c r="B72" s="12" t="str">
        <f>CONCATENATE("     ","Equipment Rental                                  ")</f>
        <v xml:space="preserve">     Equipment Rental                                  </v>
      </c>
      <c r="C72" s="12"/>
      <c r="D72" s="1">
        <f>SUM(OSRRefD22_9x_0)</f>
        <v>1075.32</v>
      </c>
      <c r="E72" s="1"/>
      <c r="F72" s="5">
        <f t="shared" si="44"/>
        <v>1.6114814833686153E-2</v>
      </c>
      <c r="G72" s="1"/>
      <c r="H72" s="1">
        <f>SUM(OSRRefH22_9x_0)</f>
        <v>1829.26</v>
      </c>
      <c r="I72" s="1"/>
      <c r="J72" s="5">
        <f t="shared" si="45"/>
        <v>15.311458943667866</v>
      </c>
      <c r="K72" s="1"/>
      <c r="L72" s="1">
        <f t="shared" si="46"/>
        <v>-753.94</v>
      </c>
      <c r="M72" s="1"/>
      <c r="N72" s="5">
        <f t="shared" si="47"/>
        <v>-0.41215573510599918</v>
      </c>
      <c r="O72" s="12"/>
      <c r="P72" s="1">
        <f>SUM(OSRRefP22_9x_0)</f>
        <v>8209.1</v>
      </c>
      <c r="Q72" s="1"/>
      <c r="R72" s="5">
        <f t="shared" si="48"/>
        <v>1.3961514106995088E-2</v>
      </c>
      <c r="S72" s="1"/>
      <c r="T72" s="1">
        <f>SUM(OSRRefT22_9x_0)</f>
        <v>29359.94</v>
      </c>
      <c r="U72" s="1"/>
      <c r="V72" s="5">
        <f t="shared" si="49"/>
        <v>4.2037228661000407E-3</v>
      </c>
      <c r="W72" s="1"/>
      <c r="X72" s="1">
        <f t="shared" si="50"/>
        <v>-21150.839999999997</v>
      </c>
      <c r="Y72" s="1"/>
      <c r="Z72" s="5">
        <f t="shared" si="51"/>
        <v>-0.7203979299685217</v>
      </c>
    </row>
    <row r="73" spans="1:26" s="23" customFormat="1" hidden="1" outlineLevel="2" x14ac:dyDescent="0.25">
      <c r="A73" s="25"/>
      <c r="B73" s="10" t="str">
        <f>CONCATENATE("          ", "6351", " - ", "EQUIPMENT RENTAL")</f>
        <v xml:space="preserve">          6351 - EQUIPMENT RENTAL</v>
      </c>
      <c r="C73" s="10"/>
      <c r="D73" s="6">
        <v>1075.32</v>
      </c>
      <c r="E73" s="2"/>
      <c r="F73" s="7">
        <f t="shared" si="44"/>
        <v>1.6114814833686153E-2</v>
      </c>
      <c r="G73" s="2"/>
      <c r="H73" s="6">
        <v>1829.26</v>
      </c>
      <c r="I73" s="2"/>
      <c r="J73" s="7">
        <f t="shared" si="45"/>
        <v>15.311458943667866</v>
      </c>
      <c r="K73" s="2"/>
      <c r="L73" s="6">
        <f t="shared" si="46"/>
        <v>-753.94</v>
      </c>
      <c r="M73" s="2"/>
      <c r="N73" s="7">
        <f t="shared" si="47"/>
        <v>-0.41215573510599918</v>
      </c>
      <c r="O73" s="10"/>
      <c r="P73" s="6">
        <v>8209.1</v>
      </c>
      <c r="Q73" s="2"/>
      <c r="R73" s="7">
        <f t="shared" si="48"/>
        <v>1.3961514106995088E-2</v>
      </c>
      <c r="S73" s="2"/>
      <c r="T73" s="6">
        <v>29359.94</v>
      </c>
      <c r="U73" s="2"/>
      <c r="V73" s="7">
        <f t="shared" si="49"/>
        <v>4.2037228661000407E-3</v>
      </c>
      <c r="W73" s="2"/>
      <c r="X73" s="6">
        <f t="shared" si="50"/>
        <v>-21150.839999999997</v>
      </c>
      <c r="Y73" s="2"/>
      <c r="Z73" s="7">
        <f t="shared" si="51"/>
        <v>-0.7203979299685217</v>
      </c>
    </row>
    <row r="74" spans="1:26" s="27" customFormat="1" outlineLevel="1" collapsed="1" x14ac:dyDescent="0.25">
      <c r="A74" s="26"/>
      <c r="B74" s="12" t="str">
        <f>CONCATENATE("     ","Freight out/Postage                               ")</f>
        <v xml:space="preserve">     Freight out/Postage                               </v>
      </c>
      <c r="C74" s="12"/>
      <c r="D74" s="1">
        <f>SUM(OSRRefD22_10x_0)</f>
        <v>0</v>
      </c>
      <c r="E74" s="1"/>
      <c r="F74" s="5">
        <f t="shared" si="44"/>
        <v>0</v>
      </c>
      <c r="G74" s="1"/>
      <c r="H74" s="1">
        <f>SUM(OSRRefH22_10x_0)</f>
        <v>0</v>
      </c>
      <c r="I74" s="1"/>
      <c r="J74" s="5">
        <f t="shared" si="45"/>
        <v>0</v>
      </c>
      <c r="K74" s="1"/>
      <c r="L74" s="1">
        <f t="shared" si="46"/>
        <v>0</v>
      </c>
      <c r="M74" s="1"/>
      <c r="N74" s="5">
        <f t="shared" si="47"/>
        <v>0</v>
      </c>
      <c r="O74" s="12"/>
      <c r="P74" s="1">
        <f>SUM(OSRRefP22_10x_0)</f>
        <v>277.65000000000003</v>
      </c>
      <c r="Q74" s="1"/>
      <c r="R74" s="5">
        <f t="shared" si="48"/>
        <v>4.7220942512665048E-4</v>
      </c>
      <c r="S74" s="1"/>
      <c r="T74" s="1">
        <f>SUM(OSRRefT22_10x_0)</f>
        <v>331.76</v>
      </c>
      <c r="U74" s="1"/>
      <c r="V74" s="5">
        <f t="shared" si="49"/>
        <v>4.7501020031285812E-5</v>
      </c>
      <c r="W74" s="1"/>
      <c r="X74" s="1">
        <f t="shared" si="50"/>
        <v>-54.109999999999957</v>
      </c>
      <c r="Y74" s="1"/>
      <c r="Z74" s="5">
        <f t="shared" si="51"/>
        <v>-0.16309983120327937</v>
      </c>
    </row>
    <row r="75" spans="1:26" s="23" customFormat="1" hidden="1" outlineLevel="2" x14ac:dyDescent="0.25">
      <c r="A75" s="25"/>
      <c r="B75" s="10" t="str">
        <f>CONCATENATE("          ", "6305", " - ", "FREIGHT OUT")</f>
        <v xml:space="preserve">          6305 - FREIGHT OUT</v>
      </c>
      <c r="C75" s="10"/>
      <c r="D75" s="6"/>
      <c r="E75" s="2"/>
      <c r="F75" s="7">
        <f t="shared" si="44"/>
        <v>0</v>
      </c>
      <c r="G75" s="2"/>
      <c r="H75" s="6"/>
      <c r="I75" s="2"/>
      <c r="J75" s="7">
        <f t="shared" si="45"/>
        <v>0</v>
      </c>
      <c r="K75" s="2"/>
      <c r="L75" s="6">
        <f t="shared" si="46"/>
        <v>0</v>
      </c>
      <c r="M75" s="2"/>
      <c r="N75" s="7">
        <f t="shared" si="47"/>
        <v>0</v>
      </c>
      <c r="O75" s="10"/>
      <c r="P75" s="6">
        <v>280.10000000000002</v>
      </c>
      <c r="Q75" s="2"/>
      <c r="R75" s="7">
        <f t="shared" si="48"/>
        <v>4.7637622898604284E-4</v>
      </c>
      <c r="S75" s="2"/>
      <c r="T75" s="6">
        <v>331.18</v>
      </c>
      <c r="U75" s="2"/>
      <c r="V75" s="7">
        <f t="shared" si="49"/>
        <v>4.7417976289972378E-5</v>
      </c>
      <c r="W75" s="2"/>
      <c r="X75" s="6">
        <f t="shared" si="50"/>
        <v>-51.079999999999984</v>
      </c>
      <c r="Y75" s="2"/>
      <c r="Z75" s="7">
        <f t="shared" si="51"/>
        <v>-0.15423636693037013</v>
      </c>
    </row>
    <row r="76" spans="1:26" s="23" customFormat="1" hidden="1" outlineLevel="2" x14ac:dyDescent="0.25">
      <c r="A76" s="25"/>
      <c r="B76" s="10" t="str">
        <f>CONCATENATE("          ", "6307", " - ", "POSTAGE")</f>
        <v xml:space="preserve">          6307 - POSTAGE</v>
      </c>
      <c r="C76" s="10"/>
      <c r="D76" s="6"/>
      <c r="E76" s="2"/>
      <c r="F76" s="7">
        <f t="shared" si="44"/>
        <v>0</v>
      </c>
      <c r="G76" s="2"/>
      <c r="H76" s="6"/>
      <c r="I76" s="2"/>
      <c r="J76" s="7">
        <f t="shared" si="45"/>
        <v>0</v>
      </c>
      <c r="K76" s="2"/>
      <c r="L76" s="6">
        <f t="shared" si="46"/>
        <v>0</v>
      </c>
      <c r="M76" s="2"/>
      <c r="N76" s="7">
        <f t="shared" si="47"/>
        <v>0</v>
      </c>
      <c r="O76" s="10"/>
      <c r="P76" s="6">
        <v>-2.4500000000000002</v>
      </c>
      <c r="Q76" s="2"/>
      <c r="R76" s="7">
        <f t="shared" si="48"/>
        <v>-4.1668038593923772E-6</v>
      </c>
      <c r="S76" s="2"/>
      <c r="T76" s="6">
        <v>0.57999999999999996</v>
      </c>
      <c r="U76" s="2"/>
      <c r="V76" s="7">
        <f t="shared" si="49"/>
        <v>8.3043741313436733E-8</v>
      </c>
      <c r="W76" s="2"/>
      <c r="X76" s="6">
        <f t="shared" si="50"/>
        <v>-3.0300000000000002</v>
      </c>
      <c r="Y76" s="2"/>
      <c r="Z76" s="7">
        <f t="shared" si="51"/>
        <v>-5.224137931034484</v>
      </c>
    </row>
    <row r="77" spans="1:26" s="27" customFormat="1" outlineLevel="1" collapsed="1" x14ac:dyDescent="0.25">
      <c r="A77" s="26"/>
      <c r="B77" s="12" t="str">
        <f>CONCATENATE("     ","General                                           ")</f>
        <v xml:space="preserve">     General                                           </v>
      </c>
      <c r="C77" s="12"/>
      <c r="D77" s="1">
        <f>SUM(OSRRefD22_11x_0)</f>
        <v>0</v>
      </c>
      <c r="E77" s="1"/>
      <c r="F77" s="5">
        <f t="shared" ref="F77:F79" si="52">IF(D$12=0,0,D77/D$12)</f>
        <v>0</v>
      </c>
      <c r="G77" s="1"/>
      <c r="H77" s="1">
        <f>SUM(OSRRefH22_11x_0)</f>
        <v>4574.0600000000004</v>
      </c>
      <c r="I77" s="1"/>
      <c r="J77" s="5">
        <f t="shared" ref="J77:J79" si="53">IF(H$12=0,0,H77/H$12)</f>
        <v>38.286264334142466</v>
      </c>
      <c r="K77" s="1"/>
      <c r="L77" s="1">
        <f t="shared" ref="L77:L79" si="54">+D77-H77</f>
        <v>-4574.0600000000004</v>
      </c>
      <c r="M77" s="1"/>
      <c r="N77" s="5">
        <f t="shared" ref="N77:N79" si="55">IF(H77=0,0,L77/H77)</f>
        <v>-1</v>
      </c>
      <c r="O77" s="12"/>
      <c r="P77" s="1">
        <f>SUM(OSRRefP22_11x_0)</f>
        <v>10538.97</v>
      </c>
      <c r="Q77" s="1"/>
      <c r="R77" s="5">
        <f t="shared" ref="R77:R79" si="56">IF(P$12=0,0,P77/P$12)</f>
        <v>1.7924008518375705E-2</v>
      </c>
      <c r="S77" s="1"/>
      <c r="T77" s="1">
        <f>SUM(OSRRefT22_11x_0)</f>
        <v>98942.55</v>
      </c>
      <c r="U77" s="1"/>
      <c r="V77" s="5">
        <f t="shared" ref="V77:V79" si="57">IF(T$12=0,0,T77/T$12)</f>
        <v>1.4166481943261689E-2</v>
      </c>
      <c r="W77" s="1"/>
      <c r="X77" s="1">
        <f t="shared" ref="X77:X79" si="58">+P77-T77</f>
        <v>-88403.58</v>
      </c>
      <c r="Y77" s="1"/>
      <c r="Z77" s="5">
        <f t="shared" ref="Z77:Z79" si="59">IF(T77=0,0,X77/T77)</f>
        <v>-0.89348394598683778</v>
      </c>
    </row>
    <row r="78" spans="1:26" s="23" customFormat="1" hidden="1" outlineLevel="2" x14ac:dyDescent="0.25">
      <c r="A78" s="25"/>
      <c r="B78" s="10" t="str">
        <f>CONCATENATE("          ", "6269", " - ", "ENTERTAINMENT")</f>
        <v xml:space="preserve">          6269 - ENTERTAINMENT</v>
      </c>
      <c r="C78" s="10"/>
      <c r="D78" s="6"/>
      <c r="E78" s="2"/>
      <c r="F78" s="7">
        <f t="shared" si="52"/>
        <v>0</v>
      </c>
      <c r="G78" s="2"/>
      <c r="H78" s="6"/>
      <c r="I78" s="2"/>
      <c r="J78" s="7">
        <f t="shared" si="53"/>
        <v>0</v>
      </c>
      <c r="K78" s="2"/>
      <c r="L78" s="6">
        <f t="shared" si="54"/>
        <v>0</v>
      </c>
      <c r="M78" s="2"/>
      <c r="N78" s="7">
        <f t="shared" si="55"/>
        <v>0</v>
      </c>
      <c r="O78" s="10"/>
      <c r="P78" s="6"/>
      <c r="Q78" s="2"/>
      <c r="R78" s="7">
        <f t="shared" si="56"/>
        <v>0</v>
      </c>
      <c r="S78" s="2"/>
      <c r="T78" s="6">
        <v>10050</v>
      </c>
      <c r="U78" s="2"/>
      <c r="V78" s="7">
        <f t="shared" si="57"/>
        <v>1.4389475865517916E-3</v>
      </c>
      <c r="W78" s="2"/>
      <c r="X78" s="6">
        <f t="shared" si="58"/>
        <v>-10050</v>
      </c>
      <c r="Y78" s="2"/>
      <c r="Z78" s="7">
        <f t="shared" si="59"/>
        <v>-1</v>
      </c>
    </row>
    <row r="79" spans="1:26" s="23" customFormat="1" hidden="1" outlineLevel="2" x14ac:dyDescent="0.25">
      <c r="A79" s="25"/>
      <c r="B79" s="10" t="str">
        <f>CONCATENATE("          ", "6279", " - ", "GENERAL EXPENSE")</f>
        <v xml:space="preserve">          6279 - GENERAL EXPENSE</v>
      </c>
      <c r="C79" s="10"/>
      <c r="D79" s="6"/>
      <c r="E79" s="2"/>
      <c r="F79" s="7">
        <f t="shared" si="52"/>
        <v>0</v>
      </c>
      <c r="G79" s="2"/>
      <c r="H79" s="6">
        <v>4574.0600000000004</v>
      </c>
      <c r="I79" s="2"/>
      <c r="J79" s="7">
        <f t="shared" si="53"/>
        <v>38.286264334142466</v>
      </c>
      <c r="K79" s="2"/>
      <c r="L79" s="6">
        <f t="shared" si="54"/>
        <v>-4574.0600000000004</v>
      </c>
      <c r="M79" s="2"/>
      <c r="N79" s="7">
        <f t="shared" si="55"/>
        <v>-1</v>
      </c>
      <c r="O79" s="10"/>
      <c r="P79" s="6">
        <v>10538.97</v>
      </c>
      <c r="Q79" s="2"/>
      <c r="R79" s="7">
        <f t="shared" si="56"/>
        <v>1.7924008518375705E-2</v>
      </c>
      <c r="S79" s="2"/>
      <c r="T79" s="6">
        <v>88892.55</v>
      </c>
      <c r="U79" s="2"/>
      <c r="V79" s="7">
        <f t="shared" si="57"/>
        <v>1.2727534356709898E-2</v>
      </c>
      <c r="W79" s="2"/>
      <c r="X79" s="6">
        <f t="shared" si="58"/>
        <v>-78353.58</v>
      </c>
      <c r="Y79" s="2"/>
      <c r="Z79" s="7">
        <f t="shared" si="59"/>
        <v>-0.88144147062942846</v>
      </c>
    </row>
    <row r="80" spans="1:26" s="27" customFormat="1" outlineLevel="1" collapsed="1" x14ac:dyDescent="0.25">
      <c r="A80" s="26"/>
      <c r="B80" s="12" t="str">
        <f>CONCATENATE("     ","Insurance                                         ")</f>
        <v xml:space="preserve">     Insurance                                         </v>
      </c>
      <c r="C80" s="12"/>
      <c r="D80" s="1">
        <f>SUM(OSRRefD22_12x_0)</f>
        <v>9577.66</v>
      </c>
      <c r="E80" s="1"/>
      <c r="F80" s="5">
        <f t="shared" ref="F80:F92" si="60">IF(D$12=0,0,D80/D$12)</f>
        <v>0.1435314301231285</v>
      </c>
      <c r="G80" s="1"/>
      <c r="H80" s="1">
        <f>SUM(OSRRefH22_12x_0)</f>
        <v>4483.67</v>
      </c>
      <c r="I80" s="1"/>
      <c r="J80" s="5">
        <f t="shared" ref="J80:J92" si="61">IF(H$12=0,0,H80/H$12)</f>
        <v>37.529672721185236</v>
      </c>
      <c r="K80" s="1"/>
      <c r="L80" s="1">
        <f t="shared" ref="L80:L92" si="62">+D80-H80</f>
        <v>5093.99</v>
      </c>
      <c r="M80" s="1"/>
      <c r="N80" s="5">
        <f t="shared" ref="N80:N92" si="63">IF(H80=0,0,L80/H80)</f>
        <v>1.1361206333204719</v>
      </c>
      <c r="O80" s="12"/>
      <c r="P80" s="1">
        <f>SUM(OSRRefP22_12x_0)</f>
        <v>65010.03</v>
      </c>
      <c r="Q80" s="1"/>
      <c r="R80" s="5">
        <f t="shared" ref="R80:R92" si="64">IF(P$12=0,0,P80/P$12)</f>
        <v>0.11056491587886294</v>
      </c>
      <c r="S80" s="1"/>
      <c r="T80" s="1">
        <f>SUM(OSRRefT22_12x_0)</f>
        <v>59565.04</v>
      </c>
      <c r="U80" s="1"/>
      <c r="V80" s="5">
        <f t="shared" ref="V80:V92" si="65">IF(T$12=0,0,T80/T$12)</f>
        <v>8.528454781180193E-3</v>
      </c>
      <c r="W80" s="1"/>
      <c r="X80" s="1">
        <f t="shared" ref="X80:X92" si="66">+P80-T80</f>
        <v>5444.989999999998</v>
      </c>
      <c r="Y80" s="1"/>
      <c r="Z80" s="5">
        <f t="shared" ref="Z80:Z92" si="67">IF(T80=0,0,X80/T80)</f>
        <v>9.1412513111717844E-2</v>
      </c>
    </row>
    <row r="81" spans="1:26" s="23" customFormat="1" hidden="1" outlineLevel="2" x14ac:dyDescent="0.25">
      <c r="A81" s="25"/>
      <c r="B81" s="10" t="str">
        <f>CONCATENATE("          ", "6314", " - ", "LIABILITY INSURANCE")</f>
        <v xml:space="preserve">          6314 - LIABILITY INSURANCE</v>
      </c>
      <c r="C81" s="10"/>
      <c r="D81" s="6">
        <v>9577.66</v>
      </c>
      <c r="E81" s="2"/>
      <c r="F81" s="7">
        <f t="shared" si="60"/>
        <v>0.1435314301231285</v>
      </c>
      <c r="G81" s="2"/>
      <c r="H81" s="6">
        <v>4483.67</v>
      </c>
      <c r="I81" s="2"/>
      <c r="J81" s="7">
        <f t="shared" si="61"/>
        <v>37.529672721185236</v>
      </c>
      <c r="K81" s="2"/>
      <c r="L81" s="6">
        <f t="shared" si="62"/>
        <v>5093.99</v>
      </c>
      <c r="M81" s="2"/>
      <c r="N81" s="7">
        <f t="shared" si="63"/>
        <v>1.1361206333204719</v>
      </c>
      <c r="O81" s="10"/>
      <c r="P81" s="6">
        <v>65010.03</v>
      </c>
      <c r="Q81" s="2"/>
      <c r="R81" s="7">
        <f t="shared" si="64"/>
        <v>0.11056491587886294</v>
      </c>
      <c r="S81" s="2"/>
      <c r="T81" s="6">
        <v>59565.04</v>
      </c>
      <c r="U81" s="2"/>
      <c r="V81" s="7">
        <f t="shared" si="65"/>
        <v>8.528454781180193E-3</v>
      </c>
      <c r="W81" s="2"/>
      <c r="X81" s="6">
        <f t="shared" si="66"/>
        <v>5444.989999999998</v>
      </c>
      <c r="Y81" s="2"/>
      <c r="Z81" s="7">
        <f t="shared" si="67"/>
        <v>9.1412513111717844E-2</v>
      </c>
    </row>
    <row r="82" spans="1:26" s="27" customFormat="1" outlineLevel="1" collapsed="1" x14ac:dyDescent="0.25">
      <c r="A82" s="26"/>
      <c r="B82" s="12" t="str">
        <f>CONCATENATE("     ","Interest                                          ")</f>
        <v xml:space="preserve">     Interest                                          </v>
      </c>
      <c r="C82" s="12"/>
      <c r="D82" s="1">
        <f>SUM(OSRRefD22_13x_0)</f>
        <v>-1254.77</v>
      </c>
      <c r="E82" s="1"/>
      <c r="F82" s="5">
        <f t="shared" si="60"/>
        <v>-1.8804064100792672E-2</v>
      </c>
      <c r="G82" s="1"/>
      <c r="H82" s="1">
        <f>SUM(OSRRefH22_13x_0)</f>
        <v>-879.77</v>
      </c>
      <c r="I82" s="1"/>
      <c r="J82" s="5">
        <f t="shared" si="61"/>
        <v>-7.3639407382606512</v>
      </c>
      <c r="K82" s="1"/>
      <c r="L82" s="1">
        <f t="shared" si="62"/>
        <v>-375</v>
      </c>
      <c r="M82" s="1"/>
      <c r="N82" s="5">
        <f t="shared" si="63"/>
        <v>0.42624776930334063</v>
      </c>
      <c r="O82" s="12"/>
      <c r="P82" s="1">
        <f>SUM(OSRRefP22_13x_0)</f>
        <v>122716.23</v>
      </c>
      <c r="Q82" s="1"/>
      <c r="R82" s="5">
        <f t="shared" si="64"/>
        <v>0.20870794317309493</v>
      </c>
      <c r="S82" s="1"/>
      <c r="T82" s="1">
        <f>SUM(OSRRefT22_13x_0)</f>
        <v>126739.28</v>
      </c>
      <c r="U82" s="1"/>
      <c r="V82" s="5">
        <f t="shared" si="65"/>
        <v>1.814638617684694E-2</v>
      </c>
      <c r="W82" s="1"/>
      <c r="X82" s="1">
        <f t="shared" si="66"/>
        <v>-4023.0500000000029</v>
      </c>
      <c r="Y82" s="1"/>
      <c r="Z82" s="5">
        <f t="shared" si="67"/>
        <v>-3.1742724118363326E-2</v>
      </c>
    </row>
    <row r="83" spans="1:26" s="23" customFormat="1" hidden="1" outlineLevel="2" x14ac:dyDescent="0.25">
      <c r="A83" s="25"/>
      <c r="B83" s="10" t="str">
        <f>CONCATENATE("          ", "6401", " - ", "INTEREST EXPENSE")</f>
        <v xml:space="preserve">          6401 - INTEREST EXPENSE</v>
      </c>
      <c r="C83" s="10"/>
      <c r="D83" s="6">
        <v>-1254.77</v>
      </c>
      <c r="E83" s="2"/>
      <c r="F83" s="7">
        <f t="shared" si="60"/>
        <v>-1.8804064100792672E-2</v>
      </c>
      <c r="G83" s="2"/>
      <c r="H83" s="6">
        <v>-879.77</v>
      </c>
      <c r="I83" s="2"/>
      <c r="J83" s="7">
        <f t="shared" si="61"/>
        <v>-7.3639407382606512</v>
      </c>
      <c r="K83" s="2"/>
      <c r="L83" s="6">
        <f t="shared" si="62"/>
        <v>-375</v>
      </c>
      <c r="M83" s="2"/>
      <c r="N83" s="7">
        <f t="shared" si="63"/>
        <v>0.42624776930334063</v>
      </c>
      <c r="O83" s="10"/>
      <c r="P83" s="6">
        <v>122716.23</v>
      </c>
      <c r="Q83" s="2"/>
      <c r="R83" s="7">
        <f t="shared" si="64"/>
        <v>0.20870794317309493</v>
      </c>
      <c r="S83" s="2"/>
      <c r="T83" s="6">
        <v>126739.28</v>
      </c>
      <c r="U83" s="2"/>
      <c r="V83" s="7">
        <f t="shared" si="65"/>
        <v>1.814638617684694E-2</v>
      </c>
      <c r="W83" s="2"/>
      <c r="X83" s="6">
        <f t="shared" si="66"/>
        <v>-4023.0500000000029</v>
      </c>
      <c r="Y83" s="2"/>
      <c r="Z83" s="7">
        <f t="shared" si="67"/>
        <v>-3.1742724118363326E-2</v>
      </c>
    </row>
    <row r="84" spans="1:26" s="27" customFormat="1" outlineLevel="1" collapsed="1" x14ac:dyDescent="0.25">
      <c r="A84" s="26"/>
      <c r="B84" s="12" t="str">
        <f>CONCATENATE("     ","Professional Services                             ")</f>
        <v xml:space="preserve">     Professional Services                             </v>
      </c>
      <c r="C84" s="12"/>
      <c r="D84" s="1">
        <f>SUM(OSRRefD22_14x_0)</f>
        <v>0</v>
      </c>
      <c r="E84" s="1"/>
      <c r="F84" s="5">
        <f t="shared" si="60"/>
        <v>0</v>
      </c>
      <c r="G84" s="1"/>
      <c r="H84" s="1">
        <f>SUM(OSRRefH22_14x_0)</f>
        <v>0</v>
      </c>
      <c r="I84" s="1"/>
      <c r="J84" s="5">
        <f t="shared" si="61"/>
        <v>0</v>
      </c>
      <c r="K84" s="1"/>
      <c r="L84" s="1">
        <f t="shared" si="62"/>
        <v>0</v>
      </c>
      <c r="M84" s="1"/>
      <c r="N84" s="5">
        <f t="shared" si="63"/>
        <v>0</v>
      </c>
      <c r="O84" s="12"/>
      <c r="P84" s="1">
        <f>SUM(OSRRefP22_14x_0)</f>
        <v>0</v>
      </c>
      <c r="Q84" s="1"/>
      <c r="R84" s="5">
        <f t="shared" si="64"/>
        <v>0</v>
      </c>
      <c r="S84" s="1"/>
      <c r="T84" s="1">
        <f>SUM(OSRRefT22_14x_0)</f>
        <v>125</v>
      </c>
      <c r="U84" s="1"/>
      <c r="V84" s="5">
        <f t="shared" si="65"/>
        <v>1.789735804168895E-5</v>
      </c>
      <c r="W84" s="1"/>
      <c r="X84" s="1">
        <f t="shared" si="66"/>
        <v>-125</v>
      </c>
      <c r="Y84" s="1"/>
      <c r="Z84" s="5">
        <f t="shared" si="67"/>
        <v>-1</v>
      </c>
    </row>
    <row r="85" spans="1:26" s="23" customFormat="1" hidden="1" outlineLevel="2" x14ac:dyDescent="0.25">
      <c r="A85" s="25"/>
      <c r="B85" s="10" t="str">
        <f>CONCATENATE("          ", "6336", " - ", "PROFESSIONAL SERVICES")</f>
        <v xml:space="preserve">          6336 - PROFESSIONAL SERVICES</v>
      </c>
      <c r="C85" s="10"/>
      <c r="D85" s="6"/>
      <c r="E85" s="2"/>
      <c r="F85" s="7">
        <f t="shared" si="60"/>
        <v>0</v>
      </c>
      <c r="G85" s="2"/>
      <c r="H85" s="6"/>
      <c r="I85" s="2"/>
      <c r="J85" s="7">
        <f t="shared" si="61"/>
        <v>0</v>
      </c>
      <c r="K85" s="2"/>
      <c r="L85" s="6">
        <f t="shared" si="62"/>
        <v>0</v>
      </c>
      <c r="M85" s="2"/>
      <c r="N85" s="7">
        <f t="shared" si="63"/>
        <v>0</v>
      </c>
      <c r="O85" s="10"/>
      <c r="P85" s="6"/>
      <c r="Q85" s="2"/>
      <c r="R85" s="7">
        <f t="shared" si="64"/>
        <v>0</v>
      </c>
      <c r="S85" s="2"/>
      <c r="T85" s="6">
        <v>125</v>
      </c>
      <c r="U85" s="2"/>
      <c r="V85" s="7">
        <f t="shared" si="65"/>
        <v>1.789735804168895E-5</v>
      </c>
      <c r="W85" s="2"/>
      <c r="X85" s="6">
        <f t="shared" si="66"/>
        <v>-125</v>
      </c>
      <c r="Y85" s="2"/>
      <c r="Z85" s="7">
        <f t="shared" si="67"/>
        <v>-1</v>
      </c>
    </row>
    <row r="86" spans="1:26" s="27" customFormat="1" outlineLevel="1" collapsed="1" x14ac:dyDescent="0.25">
      <c r="A86" s="26"/>
      <c r="B86" s="12" t="str">
        <f>CONCATENATE("     ","Rent                                              ")</f>
        <v xml:space="preserve">     Rent                                              </v>
      </c>
      <c r="C86" s="12"/>
      <c r="D86" s="1">
        <f>SUM(OSRRefD22_15x_0)</f>
        <v>7400</v>
      </c>
      <c r="E86" s="1"/>
      <c r="F86" s="5">
        <f t="shared" si="60"/>
        <v>0.1108968769940832</v>
      </c>
      <c r="G86" s="1"/>
      <c r="H86" s="1">
        <f>SUM(OSRRefH22_15x_0)</f>
        <v>3000</v>
      </c>
      <c r="I86" s="1"/>
      <c r="J86" s="5">
        <f t="shared" si="61"/>
        <v>25.110906503724784</v>
      </c>
      <c r="K86" s="1"/>
      <c r="L86" s="1">
        <f t="shared" si="62"/>
        <v>4400</v>
      </c>
      <c r="M86" s="1"/>
      <c r="N86" s="5">
        <f t="shared" si="63"/>
        <v>1.4666666666666666</v>
      </c>
      <c r="O86" s="12"/>
      <c r="P86" s="1">
        <f>SUM(OSRRefP22_15x_0)</f>
        <v>22200</v>
      </c>
      <c r="Q86" s="1"/>
      <c r="R86" s="5">
        <f t="shared" si="64"/>
        <v>3.7756345174902353E-2</v>
      </c>
      <c r="S86" s="1"/>
      <c r="T86" s="1">
        <f>SUM(OSRRefT22_15x_0)</f>
        <v>36000</v>
      </c>
      <c r="U86" s="1"/>
      <c r="V86" s="5">
        <f t="shared" si="65"/>
        <v>5.1544391160064183E-3</v>
      </c>
      <c r="W86" s="1"/>
      <c r="X86" s="1">
        <f t="shared" si="66"/>
        <v>-13800</v>
      </c>
      <c r="Y86" s="1"/>
      <c r="Z86" s="5">
        <f t="shared" si="67"/>
        <v>-0.38333333333333336</v>
      </c>
    </row>
    <row r="87" spans="1:26" s="23" customFormat="1" hidden="1" outlineLevel="2" x14ac:dyDescent="0.25">
      <c r="A87" s="25"/>
      <c r="B87" s="10" t="str">
        <f>CONCATENATE("          ", "6273", " - ", "RENT")</f>
        <v xml:space="preserve">          6273 - RENT</v>
      </c>
      <c r="C87" s="10"/>
      <c r="D87" s="6">
        <v>7400</v>
      </c>
      <c r="E87" s="2"/>
      <c r="F87" s="7">
        <f t="shared" si="60"/>
        <v>0.1108968769940832</v>
      </c>
      <c r="G87" s="2"/>
      <c r="H87" s="6">
        <v>3000</v>
      </c>
      <c r="I87" s="2"/>
      <c r="J87" s="7">
        <f t="shared" si="61"/>
        <v>25.110906503724784</v>
      </c>
      <c r="K87" s="2"/>
      <c r="L87" s="6">
        <f t="shared" si="62"/>
        <v>4400</v>
      </c>
      <c r="M87" s="2"/>
      <c r="N87" s="7">
        <f t="shared" si="63"/>
        <v>1.4666666666666666</v>
      </c>
      <c r="O87" s="10"/>
      <c r="P87" s="6">
        <v>22200</v>
      </c>
      <c r="Q87" s="2"/>
      <c r="R87" s="7">
        <f t="shared" si="64"/>
        <v>3.7756345174902353E-2</v>
      </c>
      <c r="S87" s="2"/>
      <c r="T87" s="6">
        <v>36000</v>
      </c>
      <c r="U87" s="2"/>
      <c r="V87" s="7">
        <f t="shared" si="65"/>
        <v>5.1544391160064183E-3</v>
      </c>
      <c r="W87" s="2"/>
      <c r="X87" s="6">
        <f t="shared" si="66"/>
        <v>-13800</v>
      </c>
      <c r="Y87" s="2"/>
      <c r="Z87" s="7">
        <f t="shared" si="67"/>
        <v>-0.38333333333333336</v>
      </c>
    </row>
    <row r="88" spans="1:26" s="27" customFormat="1" outlineLevel="1" collapsed="1" x14ac:dyDescent="0.25">
      <c r="A88" s="26"/>
      <c r="B88" s="12" t="str">
        <f>CONCATENATE("     ","Repair and Maintenance                            ")</f>
        <v xml:space="preserve">     Repair and Maintenance                            </v>
      </c>
      <c r="C88" s="12"/>
      <c r="D88" s="1">
        <f>SUM(OSRRefD22_16x_0)</f>
        <v>29773.040000000001</v>
      </c>
      <c r="E88" s="1"/>
      <c r="F88" s="5">
        <f t="shared" si="60"/>
        <v>0.44618069657025933</v>
      </c>
      <c r="G88" s="1"/>
      <c r="H88" s="1">
        <f>SUM(OSRRefH22_16x_0)</f>
        <v>7992.74</v>
      </c>
      <c r="I88" s="1"/>
      <c r="J88" s="5">
        <f t="shared" si="61"/>
        <v>66.901648949527072</v>
      </c>
      <c r="K88" s="1"/>
      <c r="L88" s="1">
        <f t="shared" si="62"/>
        <v>21780.300000000003</v>
      </c>
      <c r="M88" s="1"/>
      <c r="N88" s="5">
        <f t="shared" si="63"/>
        <v>2.7250104469806353</v>
      </c>
      <c r="O88" s="12"/>
      <c r="P88" s="1">
        <f>SUM(OSRRefP22_16x_0)</f>
        <v>85122.180000000008</v>
      </c>
      <c r="Q88" s="1"/>
      <c r="R88" s="5">
        <f t="shared" si="64"/>
        <v>0.1447703788342419</v>
      </c>
      <c r="S88" s="1"/>
      <c r="T88" s="1">
        <f>SUM(OSRRefT22_16x_0)</f>
        <v>251979.42</v>
      </c>
      <c r="U88" s="1"/>
      <c r="V88" s="5">
        <f t="shared" si="65"/>
        <v>3.6078127191016947E-2</v>
      </c>
      <c r="W88" s="1"/>
      <c r="X88" s="1">
        <f t="shared" si="66"/>
        <v>-166857.24</v>
      </c>
      <c r="Y88" s="1"/>
      <c r="Z88" s="5">
        <f t="shared" si="67"/>
        <v>-0.6621859832838729</v>
      </c>
    </row>
    <row r="89" spans="1:26" s="23" customFormat="1" hidden="1" outlineLevel="2" x14ac:dyDescent="0.25">
      <c r="A89" s="25"/>
      <c r="B89" s="10" t="str">
        <f>CONCATENATE("          ", "6371", " - ", "COMPUTER SOFTWARE MAINTENANCE")</f>
        <v xml:space="preserve">          6371 - COMPUTER SOFTWARE MAINTENANCE</v>
      </c>
      <c r="C89" s="10"/>
      <c r="D89" s="6">
        <v>30321</v>
      </c>
      <c r="E89" s="2"/>
      <c r="F89" s="7">
        <f t="shared" si="60"/>
        <v>0.45439246045102655</v>
      </c>
      <c r="G89" s="2"/>
      <c r="H89" s="6"/>
      <c r="I89" s="2"/>
      <c r="J89" s="7">
        <f t="shared" si="61"/>
        <v>0</v>
      </c>
      <c r="K89" s="2"/>
      <c r="L89" s="6">
        <f t="shared" si="62"/>
        <v>30321</v>
      </c>
      <c r="M89" s="2"/>
      <c r="N89" s="7">
        <f t="shared" si="63"/>
        <v>0</v>
      </c>
      <c r="O89" s="10"/>
      <c r="P89" s="6">
        <v>39280.47</v>
      </c>
      <c r="Q89" s="2"/>
      <c r="R89" s="7">
        <f t="shared" si="64"/>
        <v>6.6805719997855714E-2</v>
      </c>
      <c r="S89" s="2"/>
      <c r="T89" s="6">
        <v>12244.62</v>
      </c>
      <c r="U89" s="2"/>
      <c r="V89" s="7">
        <f t="shared" si="65"/>
        <v>1.753170785795403E-3</v>
      </c>
      <c r="W89" s="2"/>
      <c r="X89" s="6">
        <f t="shared" si="66"/>
        <v>27035.85</v>
      </c>
      <c r="Y89" s="2"/>
      <c r="Z89" s="7">
        <f t="shared" si="67"/>
        <v>2.2079778710976736</v>
      </c>
    </row>
    <row r="90" spans="1:26" s="23" customFormat="1" hidden="1" outlineLevel="2" x14ac:dyDescent="0.25">
      <c r="A90" s="25"/>
      <c r="B90" s="10" t="str">
        <f>CONCATENATE("          ", "6372", " - ", "COMPUTER HARDWARE MAINTENANCE")</f>
        <v xml:space="preserve">          6372 - COMPUTER HARDWARE MAINTENANCE</v>
      </c>
      <c r="C90" s="10"/>
      <c r="D90" s="6">
        <v>10.039999999999999</v>
      </c>
      <c r="E90" s="2"/>
      <c r="F90" s="7">
        <f t="shared" si="60"/>
        <v>1.5046008716494528E-4</v>
      </c>
      <c r="G90" s="2"/>
      <c r="H90" s="6"/>
      <c r="I90" s="2"/>
      <c r="J90" s="7">
        <f t="shared" si="61"/>
        <v>0</v>
      </c>
      <c r="K90" s="2"/>
      <c r="L90" s="6">
        <f t="shared" si="62"/>
        <v>10.039999999999999</v>
      </c>
      <c r="M90" s="2"/>
      <c r="N90" s="7">
        <f t="shared" si="63"/>
        <v>0</v>
      </c>
      <c r="O90" s="10"/>
      <c r="P90" s="6">
        <v>110.04</v>
      </c>
      <c r="Q90" s="2"/>
      <c r="R90" s="7">
        <f t="shared" si="64"/>
        <v>1.8714901905613764E-4</v>
      </c>
      <c r="S90" s="2"/>
      <c r="T90" s="6">
        <v>8142.87</v>
      </c>
      <c r="U90" s="2"/>
      <c r="V90" s="7">
        <f t="shared" si="65"/>
        <v>1.1658868790154217E-3</v>
      </c>
      <c r="W90" s="2"/>
      <c r="X90" s="6">
        <f t="shared" si="66"/>
        <v>-8032.83</v>
      </c>
      <c r="Y90" s="2"/>
      <c r="Z90" s="7">
        <f t="shared" si="67"/>
        <v>-0.98648633712683609</v>
      </c>
    </row>
    <row r="91" spans="1:26" s="23" customFormat="1" hidden="1" outlineLevel="2" x14ac:dyDescent="0.25">
      <c r="A91" s="25"/>
      <c r="B91" s="10" t="str">
        <f>CONCATENATE("          ", "6373", " - ", "MAINTENANCE CONTRACTS")</f>
        <v xml:space="preserve">          6373 - MAINTENANCE CONTRACTS</v>
      </c>
      <c r="C91" s="10"/>
      <c r="D91" s="6">
        <v>-4364.7</v>
      </c>
      <c r="E91" s="2"/>
      <c r="F91" s="7">
        <f t="shared" si="60"/>
        <v>-6.540967554271282E-2</v>
      </c>
      <c r="G91" s="2"/>
      <c r="H91" s="6">
        <v>7992.74</v>
      </c>
      <c r="I91" s="2"/>
      <c r="J91" s="7">
        <f t="shared" si="61"/>
        <v>66.901648949527072</v>
      </c>
      <c r="K91" s="2"/>
      <c r="L91" s="6">
        <f t="shared" si="62"/>
        <v>-12357.439999999999</v>
      </c>
      <c r="M91" s="2"/>
      <c r="N91" s="7">
        <f t="shared" si="63"/>
        <v>-1.5460830703863755</v>
      </c>
      <c r="O91" s="10"/>
      <c r="P91" s="6">
        <v>15117.15</v>
      </c>
      <c r="Q91" s="2"/>
      <c r="R91" s="7">
        <f t="shared" si="64"/>
        <v>2.5710285291025908E-2</v>
      </c>
      <c r="S91" s="2"/>
      <c r="T91" s="6">
        <v>102134.05</v>
      </c>
      <c r="U91" s="2"/>
      <c r="V91" s="7">
        <f t="shared" si="65"/>
        <v>1.4623437288782092E-2</v>
      </c>
      <c r="W91" s="2"/>
      <c r="X91" s="6">
        <f t="shared" si="66"/>
        <v>-87016.900000000009</v>
      </c>
      <c r="Y91" s="2"/>
      <c r="Z91" s="7">
        <f t="shared" si="67"/>
        <v>-0.85198716784461215</v>
      </c>
    </row>
    <row r="92" spans="1:26" s="23" customFormat="1" hidden="1" outlineLevel="2" x14ac:dyDescent="0.25">
      <c r="A92" s="25"/>
      <c r="B92" s="10" t="str">
        <f>CONCATENATE("          ", "6375", " - ", "OUTSIDE REPAIRS &amp; MAINTENANCE")</f>
        <v xml:space="preserve">          6375 - OUTSIDE REPAIRS &amp; MAINTENANCE</v>
      </c>
      <c r="C92" s="10"/>
      <c r="D92" s="6">
        <v>3806.7</v>
      </c>
      <c r="E92" s="2"/>
      <c r="F92" s="7">
        <f t="shared" si="60"/>
        <v>5.7047451574780604E-2</v>
      </c>
      <c r="G92" s="2"/>
      <c r="H92" s="6"/>
      <c r="I92" s="2"/>
      <c r="J92" s="7">
        <f t="shared" si="61"/>
        <v>0</v>
      </c>
      <c r="K92" s="2"/>
      <c r="L92" s="6">
        <f t="shared" si="62"/>
        <v>3806.7</v>
      </c>
      <c r="M92" s="2"/>
      <c r="N92" s="7">
        <f t="shared" si="63"/>
        <v>0</v>
      </c>
      <c r="O92" s="10"/>
      <c r="P92" s="6">
        <v>30614.52</v>
      </c>
      <c r="Q92" s="2"/>
      <c r="R92" s="7">
        <f t="shared" si="64"/>
        <v>5.2067224526304128E-2</v>
      </c>
      <c r="S92" s="2"/>
      <c r="T92" s="6">
        <v>129457.88</v>
      </c>
      <c r="U92" s="2"/>
      <c r="V92" s="7">
        <f t="shared" si="65"/>
        <v>1.8535632237424028E-2</v>
      </c>
      <c r="W92" s="2"/>
      <c r="X92" s="6">
        <f t="shared" si="66"/>
        <v>-98843.36</v>
      </c>
      <c r="Y92" s="2"/>
      <c r="Z92" s="7">
        <f t="shared" si="67"/>
        <v>-0.76351752400085648</v>
      </c>
    </row>
    <row r="93" spans="1:26" s="27" customFormat="1" outlineLevel="1" collapsed="1" x14ac:dyDescent="0.25">
      <c r="A93" s="26"/>
      <c r="B93" s="12" t="str">
        <f>CONCATENATE("     ","Royalty &amp; Commissions                             ")</f>
        <v xml:space="preserve">     Royalty &amp; Commissions                             </v>
      </c>
      <c r="C93" s="12"/>
      <c r="D93" s="1">
        <f>SUM(OSRRefD22_17x_0)</f>
        <v>0</v>
      </c>
      <c r="E93" s="1"/>
      <c r="F93" s="5">
        <f t="shared" ref="F93:F95" si="68">IF(D$12=0,0,D93/D$12)</f>
        <v>0</v>
      </c>
      <c r="G93" s="1"/>
      <c r="H93" s="1">
        <f>SUM(OSRRefH22_17x_0)</f>
        <v>0</v>
      </c>
      <c r="I93" s="1"/>
      <c r="J93" s="5">
        <f t="shared" ref="J93:J95" si="69">IF(H$12=0,0,H93/H$12)</f>
        <v>0</v>
      </c>
      <c r="K93" s="1"/>
      <c r="L93" s="1">
        <f t="shared" ref="L93:L95" si="70">+D93-H93</f>
        <v>0</v>
      </c>
      <c r="M93" s="1"/>
      <c r="N93" s="5">
        <f t="shared" ref="N93:N95" si="71">IF(H93=0,0,L93/H93)</f>
        <v>0</v>
      </c>
      <c r="O93" s="12"/>
      <c r="P93" s="1">
        <f>SUM(OSRRefP22_17x_0)</f>
        <v>185.7</v>
      </c>
      <c r="Q93" s="1"/>
      <c r="R93" s="5">
        <f t="shared" ref="R93:R95" si="72">IF(P$12=0,0,P93/P$12)</f>
        <v>3.1582672517925075E-4</v>
      </c>
      <c r="S93" s="1"/>
      <c r="T93" s="1">
        <f>SUM(OSRRefT22_17x_0)</f>
        <v>258319.61</v>
      </c>
      <c r="U93" s="1"/>
      <c r="V93" s="5">
        <f t="shared" ref="V93:V95" si="73">IF(T$12=0,0,T93/T$12)</f>
        <v>3.6985908394875623E-2</v>
      </c>
      <c r="W93" s="1"/>
      <c r="X93" s="1">
        <f t="shared" ref="X93:X95" si="74">+P93-T93</f>
        <v>-258133.90999999997</v>
      </c>
      <c r="Y93" s="1"/>
      <c r="Z93" s="5">
        <f t="shared" ref="Z93:Z95" si="75">IF(T93=0,0,X93/T93)</f>
        <v>-0.99928112310172656</v>
      </c>
    </row>
    <row r="94" spans="1:26" s="23" customFormat="1" hidden="1" outlineLevel="2" x14ac:dyDescent="0.25">
      <c r="A94" s="25"/>
      <c r="B94" s="10" t="str">
        <f>CONCATENATE("          ", "6254", " - ", "ROYALTY &amp; COMMISSIONS")</f>
        <v xml:space="preserve">          6254 - ROYALTY &amp; COMMISSIONS</v>
      </c>
      <c r="C94" s="10"/>
      <c r="D94" s="6"/>
      <c r="E94" s="2"/>
      <c r="F94" s="7">
        <f t="shared" si="68"/>
        <v>0</v>
      </c>
      <c r="G94" s="2"/>
      <c r="H94" s="6"/>
      <c r="I94" s="2"/>
      <c r="J94" s="7">
        <f t="shared" si="69"/>
        <v>0</v>
      </c>
      <c r="K94" s="2"/>
      <c r="L94" s="6">
        <f t="shared" si="70"/>
        <v>0</v>
      </c>
      <c r="M94" s="2"/>
      <c r="N94" s="7">
        <f t="shared" si="71"/>
        <v>0</v>
      </c>
      <c r="O94" s="10"/>
      <c r="P94" s="6">
        <v>185.7</v>
      </c>
      <c r="Q94" s="2"/>
      <c r="R94" s="7">
        <f t="shared" si="72"/>
        <v>3.1582672517925075E-4</v>
      </c>
      <c r="S94" s="2"/>
      <c r="T94" s="6">
        <v>153649.65</v>
      </c>
      <c r="U94" s="2"/>
      <c r="V94" s="7">
        <f t="shared" si="73"/>
        <v>2.1999382392241543E-2</v>
      </c>
      <c r="W94" s="2"/>
      <c r="X94" s="6">
        <f t="shared" si="74"/>
        <v>-153463.94999999998</v>
      </c>
      <c r="Y94" s="2"/>
      <c r="Z94" s="7">
        <f t="shared" si="75"/>
        <v>-0.9987914062934734</v>
      </c>
    </row>
    <row r="95" spans="1:26" s="23" customFormat="1" hidden="1" outlineLevel="2" x14ac:dyDescent="0.25">
      <c r="A95" s="25"/>
      <c r="B95" s="10" t="str">
        <f>CONCATENATE("          ", "6259", " - ", "ROYALTY &amp; COMMISSIONS")</f>
        <v xml:space="preserve">          6259 - ROYALTY &amp; COMMISSIONS</v>
      </c>
      <c r="C95" s="10"/>
      <c r="D95" s="6"/>
      <c r="E95" s="2"/>
      <c r="F95" s="7">
        <f t="shared" si="68"/>
        <v>0</v>
      </c>
      <c r="G95" s="2"/>
      <c r="H95" s="6"/>
      <c r="I95" s="2"/>
      <c r="J95" s="7">
        <f t="shared" si="69"/>
        <v>0</v>
      </c>
      <c r="K95" s="2"/>
      <c r="L95" s="6">
        <f t="shared" si="70"/>
        <v>0</v>
      </c>
      <c r="M95" s="2"/>
      <c r="N95" s="7">
        <f t="shared" si="71"/>
        <v>0</v>
      </c>
      <c r="O95" s="10"/>
      <c r="P95" s="6"/>
      <c r="Q95" s="2"/>
      <c r="R95" s="7">
        <f t="shared" si="72"/>
        <v>0</v>
      </c>
      <c r="S95" s="2"/>
      <c r="T95" s="6">
        <v>104669.96</v>
      </c>
      <c r="U95" s="2"/>
      <c r="V95" s="7">
        <f t="shared" si="73"/>
        <v>1.4986526002634087E-2</v>
      </c>
      <c r="W95" s="2"/>
      <c r="X95" s="6">
        <f t="shared" si="74"/>
        <v>-104669.96</v>
      </c>
      <c r="Y95" s="2"/>
      <c r="Z95" s="7">
        <f t="shared" si="75"/>
        <v>-1</v>
      </c>
    </row>
    <row r="96" spans="1:26" s="27" customFormat="1" outlineLevel="1" collapsed="1" x14ac:dyDescent="0.25">
      <c r="A96" s="26"/>
      <c r="B96" s="12" t="str">
        <f>CONCATENATE("     ","Services                                          ")</f>
        <v xml:space="preserve">     Services                                          </v>
      </c>
      <c r="C96" s="12"/>
      <c r="D96" s="1">
        <f>SUM(OSRRefD22_18x_0)</f>
        <v>1336.2299999999998</v>
      </c>
      <c r="E96" s="1"/>
      <c r="F96" s="5">
        <f t="shared" ref="F96:F101" si="76">IF(D$12=0,0,D96/D$12)</f>
        <v>2.0024828911595103E-2</v>
      </c>
      <c r="G96" s="1"/>
      <c r="H96" s="1">
        <f>SUM(OSRRefH22_18x_0)</f>
        <v>33139.81</v>
      </c>
      <c r="I96" s="1"/>
      <c r="J96" s="5">
        <f t="shared" ref="J96:J101" si="77">IF(H$12=0,0,H96/H$12)</f>
        <v>277.39022348706789</v>
      </c>
      <c r="K96" s="1"/>
      <c r="L96" s="1">
        <f t="shared" ref="L96:L101" si="78">+D96-H96</f>
        <v>-31803.579999999998</v>
      </c>
      <c r="M96" s="1"/>
      <c r="N96" s="5">
        <f t="shared" ref="N96:N101" si="79">IF(H96=0,0,L96/H96)</f>
        <v>-0.95967900841917919</v>
      </c>
      <c r="O96" s="12"/>
      <c r="P96" s="1">
        <f>SUM(OSRRefP22_18x_0)</f>
        <v>68438.540000000008</v>
      </c>
      <c r="Q96" s="1"/>
      <c r="R96" s="5">
        <f t="shared" ref="R96:R101" si="80">IF(P$12=0,0,P96/P$12)</f>
        <v>0.11639590718497127</v>
      </c>
      <c r="S96" s="1"/>
      <c r="T96" s="1">
        <f>SUM(OSRRefT22_18x_0)</f>
        <v>268160.99</v>
      </c>
      <c r="U96" s="1"/>
      <c r="V96" s="5">
        <f t="shared" ref="V96:V101" si="81">IF(T$12=0,0,T96/T$12)</f>
        <v>3.8394986006750162E-2</v>
      </c>
      <c r="W96" s="1"/>
      <c r="X96" s="1">
        <f t="shared" ref="X96:X101" si="82">+P96-T96</f>
        <v>-199722.44999999998</v>
      </c>
      <c r="Y96" s="1"/>
      <c r="Z96" s="5">
        <f t="shared" ref="Z96:Z101" si="83">IF(T96=0,0,X96/T96)</f>
        <v>-0.74478562299460482</v>
      </c>
    </row>
    <row r="97" spans="1:26" s="23" customFormat="1" hidden="1" outlineLevel="2" x14ac:dyDescent="0.25">
      <c r="A97" s="25"/>
      <c r="B97" s="10" t="str">
        <f>CONCATENATE("          ", "6282", " - ", "JANITORIAL/EXTERMINATOR EXPENS")</f>
        <v xml:space="preserve">          6282 - JANITORIAL/EXTERMINATOR EXPENS</v>
      </c>
      <c r="C97" s="10"/>
      <c r="D97" s="6">
        <v>1881.85</v>
      </c>
      <c r="E97" s="2"/>
      <c r="F97" s="7">
        <f t="shared" si="76"/>
        <v>2.8201525401529114E-2</v>
      </c>
      <c r="G97" s="2"/>
      <c r="H97" s="6">
        <v>2492.3000000000002</v>
      </c>
      <c r="I97" s="2"/>
      <c r="J97" s="7">
        <f t="shared" si="77"/>
        <v>20.861304093077763</v>
      </c>
      <c r="K97" s="2"/>
      <c r="L97" s="6">
        <f t="shared" si="78"/>
        <v>-610.45000000000027</v>
      </c>
      <c r="M97" s="2"/>
      <c r="N97" s="7">
        <f t="shared" si="79"/>
        <v>-0.24493439794567276</v>
      </c>
      <c r="O97" s="10"/>
      <c r="P97" s="6">
        <v>15054.44</v>
      </c>
      <c r="Q97" s="2"/>
      <c r="R97" s="7">
        <f t="shared" si="80"/>
        <v>2.5603632119588157E-2</v>
      </c>
      <c r="S97" s="2"/>
      <c r="T97" s="6">
        <v>21589.13</v>
      </c>
      <c r="U97" s="2"/>
      <c r="V97" s="7">
        <f t="shared" si="81"/>
        <v>3.0911071153485454E-3</v>
      </c>
      <c r="W97" s="2"/>
      <c r="X97" s="6">
        <f t="shared" si="82"/>
        <v>-6534.6900000000005</v>
      </c>
      <c r="Y97" s="2"/>
      <c r="Z97" s="7">
        <f t="shared" si="83"/>
        <v>-0.30268426749943145</v>
      </c>
    </row>
    <row r="98" spans="1:26" s="23" customFormat="1" hidden="1" outlineLevel="2" x14ac:dyDescent="0.25">
      <c r="A98" s="25"/>
      <c r="B98" s="10" t="str">
        <f>CONCATENATE("          ", "6283", " - ", "PLANT SERVICE")</f>
        <v xml:space="preserve">          6283 - PLANT SERVICE</v>
      </c>
      <c r="C98" s="10"/>
      <c r="D98" s="6"/>
      <c r="E98" s="2"/>
      <c r="F98" s="7">
        <f t="shared" si="76"/>
        <v>0</v>
      </c>
      <c r="G98" s="2"/>
      <c r="H98" s="6"/>
      <c r="I98" s="2"/>
      <c r="J98" s="7">
        <f t="shared" si="77"/>
        <v>0</v>
      </c>
      <c r="K98" s="2"/>
      <c r="L98" s="6">
        <f t="shared" si="78"/>
        <v>0</v>
      </c>
      <c r="M98" s="2"/>
      <c r="N98" s="7">
        <f t="shared" si="79"/>
        <v>0</v>
      </c>
      <c r="O98" s="10"/>
      <c r="P98" s="6"/>
      <c r="Q98" s="2"/>
      <c r="R98" s="7">
        <f t="shared" si="80"/>
        <v>0</v>
      </c>
      <c r="S98" s="2"/>
      <c r="T98" s="6">
        <v>1798.02</v>
      </c>
      <c r="U98" s="2"/>
      <c r="V98" s="7">
        <f t="shared" si="81"/>
        <v>2.5743846164894056E-4</v>
      </c>
      <c r="W98" s="2"/>
      <c r="X98" s="6">
        <f t="shared" si="82"/>
        <v>-1798.02</v>
      </c>
      <c r="Y98" s="2"/>
      <c r="Z98" s="7">
        <f t="shared" si="83"/>
        <v>-1</v>
      </c>
    </row>
    <row r="99" spans="1:26" s="23" customFormat="1" hidden="1" outlineLevel="2" x14ac:dyDescent="0.25">
      <c r="A99" s="25"/>
      <c r="B99" s="10" t="str">
        <f>CONCATENATE("          ", "6284", " - ", "TRASH REMOVAL EXPENSE")</f>
        <v xml:space="preserve">          6284 - TRASH REMOVAL EXPENSE</v>
      </c>
      <c r="C99" s="10"/>
      <c r="D99" s="6">
        <v>-4050</v>
      </c>
      <c r="E99" s="2"/>
      <c r="F99" s="7">
        <f t="shared" si="76"/>
        <v>-6.0693561057572558E-2</v>
      </c>
      <c r="G99" s="2"/>
      <c r="H99" s="6">
        <v>16376</v>
      </c>
      <c r="I99" s="2"/>
      <c r="J99" s="7">
        <f t="shared" si="77"/>
        <v>137.07206830166569</v>
      </c>
      <c r="K99" s="2"/>
      <c r="L99" s="6">
        <f t="shared" si="78"/>
        <v>-20426</v>
      </c>
      <c r="M99" s="2"/>
      <c r="N99" s="7">
        <f t="shared" si="79"/>
        <v>-1.2473131411822178</v>
      </c>
      <c r="O99" s="10"/>
      <c r="P99" s="6">
        <v>28545</v>
      </c>
      <c r="Q99" s="2"/>
      <c r="R99" s="7">
        <f t="shared" si="80"/>
        <v>4.8547516802594046E-2</v>
      </c>
      <c r="S99" s="2"/>
      <c r="T99" s="6">
        <v>68095</v>
      </c>
      <c r="U99" s="2"/>
      <c r="V99" s="7">
        <f t="shared" si="81"/>
        <v>9.7497647667904724E-3</v>
      </c>
      <c r="W99" s="2"/>
      <c r="X99" s="6">
        <f t="shared" si="82"/>
        <v>-39550</v>
      </c>
      <c r="Y99" s="2"/>
      <c r="Z99" s="7">
        <f t="shared" si="83"/>
        <v>-0.58080622659519787</v>
      </c>
    </row>
    <row r="100" spans="1:26" s="23" customFormat="1" hidden="1" outlineLevel="2" x14ac:dyDescent="0.25">
      <c r="A100" s="25"/>
      <c r="B100" s="10" t="str">
        <f>CONCATENATE("          ", "6285", " - ", "JANITORIAL SERVICES")</f>
        <v xml:space="preserve">          6285 - JANITORIAL SERVICES</v>
      </c>
      <c r="C100" s="10"/>
      <c r="D100" s="6">
        <v>3385.52</v>
      </c>
      <c r="E100" s="2"/>
      <c r="F100" s="7">
        <f t="shared" si="76"/>
        <v>5.0735620946082235E-2</v>
      </c>
      <c r="G100" s="2"/>
      <c r="H100" s="6">
        <v>14271.51</v>
      </c>
      <c r="I100" s="2"/>
      <c r="J100" s="7">
        <f t="shared" si="77"/>
        <v>119.45685109232444</v>
      </c>
      <c r="K100" s="2"/>
      <c r="L100" s="6">
        <f t="shared" si="78"/>
        <v>-10885.99</v>
      </c>
      <c r="M100" s="2"/>
      <c r="N100" s="7">
        <f t="shared" si="79"/>
        <v>-0.76277772989683634</v>
      </c>
      <c r="O100" s="10"/>
      <c r="P100" s="6">
        <v>23815.53</v>
      </c>
      <c r="Q100" s="2"/>
      <c r="R100" s="7">
        <f t="shared" si="80"/>
        <v>4.0503935639785688E-2</v>
      </c>
      <c r="S100" s="2"/>
      <c r="T100" s="6">
        <v>143481.06</v>
      </c>
      <c r="U100" s="2"/>
      <c r="V100" s="7">
        <f t="shared" si="81"/>
        <v>2.0543455224168439E-2</v>
      </c>
      <c r="W100" s="2"/>
      <c r="X100" s="6">
        <f t="shared" si="82"/>
        <v>-119665.53</v>
      </c>
      <c r="Y100" s="2"/>
      <c r="Z100" s="7">
        <f t="shared" si="83"/>
        <v>-0.83401621092010336</v>
      </c>
    </row>
    <row r="101" spans="1:26" s="23" customFormat="1" hidden="1" outlineLevel="2" x14ac:dyDescent="0.25">
      <c r="A101" s="25"/>
      <c r="B101" s="10" t="str">
        <f>CONCATENATE("          ", "6286", " - ", "LAUNDRY EXPENSE")</f>
        <v xml:space="preserve">          6286 - LAUNDRY EXPENSE</v>
      </c>
      <c r="C101" s="10"/>
      <c r="D101" s="6">
        <v>118.86</v>
      </c>
      <c r="E101" s="2"/>
      <c r="F101" s="7">
        <f t="shared" si="76"/>
        <v>1.7812436215563147E-3</v>
      </c>
      <c r="G101" s="2"/>
      <c r="H101" s="6"/>
      <c r="I101" s="2"/>
      <c r="J101" s="7">
        <f t="shared" si="77"/>
        <v>0</v>
      </c>
      <c r="K101" s="2"/>
      <c r="L101" s="6">
        <f t="shared" si="78"/>
        <v>118.86</v>
      </c>
      <c r="M101" s="2"/>
      <c r="N101" s="7">
        <f t="shared" si="79"/>
        <v>0</v>
      </c>
      <c r="O101" s="10"/>
      <c r="P101" s="6">
        <v>1023.57</v>
      </c>
      <c r="Q101" s="2"/>
      <c r="R101" s="7">
        <f t="shared" si="80"/>
        <v>1.7408226230033698E-3</v>
      </c>
      <c r="S101" s="2"/>
      <c r="T101" s="6">
        <v>33197.78</v>
      </c>
      <c r="U101" s="2"/>
      <c r="V101" s="7">
        <f t="shared" si="81"/>
        <v>4.7532204387937651E-3</v>
      </c>
      <c r="W101" s="2"/>
      <c r="X101" s="6">
        <f t="shared" si="82"/>
        <v>-32174.21</v>
      </c>
      <c r="Y101" s="2"/>
      <c r="Z101" s="7">
        <f t="shared" si="83"/>
        <v>-0.96916751662309952</v>
      </c>
    </row>
    <row r="102" spans="1:26" s="27" customFormat="1" outlineLevel="1" collapsed="1" x14ac:dyDescent="0.25">
      <c r="A102" s="26"/>
      <c r="B102" s="12" t="str">
        <f>CONCATENATE("     ","Subscriptions &amp; Dues                              ")</f>
        <v xml:space="preserve">     Subscriptions &amp; Dues                              </v>
      </c>
      <c r="C102" s="12"/>
      <c r="D102" s="1">
        <f>SUM(OSRRefD22_19x_0)</f>
        <v>130.66999999999999</v>
      </c>
      <c r="E102" s="1"/>
      <c r="F102" s="5">
        <f t="shared" ref="F102:F104" si="84">IF(D$12=0,0,D102/D$12)</f>
        <v>1.9582290428130878E-3</v>
      </c>
      <c r="G102" s="1"/>
      <c r="H102" s="1">
        <f>SUM(OSRRefH22_19x_0)</f>
        <v>0</v>
      </c>
      <c r="I102" s="1"/>
      <c r="J102" s="5">
        <f t="shared" ref="J102:J104" si="85">IF(H$12=0,0,H102/H$12)</f>
        <v>0</v>
      </c>
      <c r="K102" s="1"/>
      <c r="L102" s="1">
        <f t="shared" ref="L102:L104" si="86">+D102-H102</f>
        <v>130.66999999999999</v>
      </c>
      <c r="M102" s="1"/>
      <c r="N102" s="5">
        <f t="shared" ref="N102:N104" si="87">IF(H102=0,0,L102/H102)</f>
        <v>0</v>
      </c>
      <c r="O102" s="12"/>
      <c r="P102" s="1">
        <f>SUM(OSRRefP22_19x_0)</f>
        <v>1178.92</v>
      </c>
      <c r="Q102" s="1"/>
      <c r="R102" s="5">
        <f t="shared" ref="R102:R104" si="88">IF(P$12=0,0,P102/P$12)</f>
        <v>2.0050320024142293E-3</v>
      </c>
      <c r="S102" s="1"/>
      <c r="T102" s="1">
        <f>SUM(OSRRefT22_19x_0)</f>
        <v>8711.75</v>
      </c>
      <c r="U102" s="1"/>
      <c r="V102" s="5">
        <f t="shared" ref="V102:V104" si="89">IF(T$12=0,0,T102/T$12)</f>
        <v>1.2473384713574697E-3</v>
      </c>
      <c r="W102" s="1"/>
      <c r="X102" s="1">
        <f t="shared" ref="X102:X104" si="90">+P102-T102</f>
        <v>-7532.83</v>
      </c>
      <c r="Y102" s="1"/>
      <c r="Z102" s="5">
        <f t="shared" ref="Z102:Z104" si="91">IF(T102=0,0,X102/T102)</f>
        <v>-0.86467472092289144</v>
      </c>
    </row>
    <row r="103" spans="1:26" s="23" customFormat="1" hidden="1" outlineLevel="2" x14ac:dyDescent="0.25">
      <c r="A103" s="25"/>
      <c r="B103" s="10" t="str">
        <f>CONCATENATE("          ", "6258", " - ", "MEMBERSHIP DUES")</f>
        <v xml:space="preserve">          6258 - MEMBERSHIP DUES</v>
      </c>
      <c r="C103" s="10"/>
      <c r="D103" s="6"/>
      <c r="E103" s="2"/>
      <c r="F103" s="7">
        <f t="shared" si="84"/>
        <v>0</v>
      </c>
      <c r="G103" s="2"/>
      <c r="H103" s="6"/>
      <c r="I103" s="2"/>
      <c r="J103" s="7">
        <f t="shared" si="85"/>
        <v>0</v>
      </c>
      <c r="K103" s="2"/>
      <c r="L103" s="6">
        <f t="shared" si="86"/>
        <v>0</v>
      </c>
      <c r="M103" s="2"/>
      <c r="N103" s="7">
        <f t="shared" si="87"/>
        <v>0</v>
      </c>
      <c r="O103" s="10"/>
      <c r="P103" s="6"/>
      <c r="Q103" s="2"/>
      <c r="R103" s="7">
        <f t="shared" si="88"/>
        <v>0</v>
      </c>
      <c r="S103" s="2"/>
      <c r="T103" s="6">
        <v>3730</v>
      </c>
      <c r="U103" s="2"/>
      <c r="V103" s="7">
        <f t="shared" si="89"/>
        <v>5.340571639639983E-4</v>
      </c>
      <c r="W103" s="2"/>
      <c r="X103" s="6">
        <f t="shared" si="90"/>
        <v>-3730</v>
      </c>
      <c r="Y103" s="2"/>
      <c r="Z103" s="7">
        <f t="shared" si="91"/>
        <v>-1</v>
      </c>
    </row>
    <row r="104" spans="1:26" s="23" customFormat="1" hidden="1" outlineLevel="2" x14ac:dyDescent="0.25">
      <c r="A104" s="25"/>
      <c r="B104" s="10" t="str">
        <f>CONCATENATE("          ", "6275", " - ", "SUBSCRIPTIONS")</f>
        <v xml:space="preserve">          6275 - SUBSCRIPTIONS</v>
      </c>
      <c r="C104" s="10"/>
      <c r="D104" s="6">
        <v>130.66999999999999</v>
      </c>
      <c r="E104" s="2"/>
      <c r="F104" s="7">
        <f t="shared" si="84"/>
        <v>1.9582290428130878E-3</v>
      </c>
      <c r="G104" s="2"/>
      <c r="H104" s="6"/>
      <c r="I104" s="2"/>
      <c r="J104" s="7">
        <f t="shared" si="85"/>
        <v>0</v>
      </c>
      <c r="K104" s="2"/>
      <c r="L104" s="6">
        <f t="shared" si="86"/>
        <v>130.66999999999999</v>
      </c>
      <c r="M104" s="2"/>
      <c r="N104" s="7">
        <f t="shared" si="87"/>
        <v>0</v>
      </c>
      <c r="O104" s="10"/>
      <c r="P104" s="6">
        <v>1178.92</v>
      </c>
      <c r="Q104" s="2"/>
      <c r="R104" s="7">
        <f t="shared" si="88"/>
        <v>2.0050320024142293E-3</v>
      </c>
      <c r="S104" s="2"/>
      <c r="T104" s="6">
        <v>4981.75</v>
      </c>
      <c r="U104" s="2"/>
      <c r="V104" s="7">
        <f t="shared" si="89"/>
        <v>7.1328130739347143E-4</v>
      </c>
      <c r="W104" s="2"/>
      <c r="X104" s="6">
        <f t="shared" si="90"/>
        <v>-3802.83</v>
      </c>
      <c r="Y104" s="2"/>
      <c r="Z104" s="7">
        <f t="shared" si="91"/>
        <v>-0.76335223566015953</v>
      </c>
    </row>
    <row r="105" spans="1:26" s="27" customFormat="1" outlineLevel="1" collapsed="1" x14ac:dyDescent="0.25">
      <c r="A105" s="26"/>
      <c r="B105" s="12" t="str">
        <f>CONCATENATE("     ","Supplies                                          ")</f>
        <v xml:space="preserve">     Supplies                                          </v>
      </c>
      <c r="C105" s="12"/>
      <c r="D105" s="1">
        <f>SUM(OSRRefD22_20x_0)</f>
        <v>1120.47</v>
      </c>
      <c r="E105" s="1"/>
      <c r="F105" s="5">
        <f t="shared" ref="F105:F115" si="92">IF(D$12=0,0,D105/D$12)</f>
        <v>1.679143564399465E-2</v>
      </c>
      <c r="G105" s="1"/>
      <c r="H105" s="1">
        <f>SUM(OSRRefH22_20x_0)</f>
        <v>184.39999999999995</v>
      </c>
      <c r="I105" s="1"/>
      <c r="J105" s="5">
        <f t="shared" ref="J105:J115" si="93">IF(H$12=0,0,H105/H$12)</f>
        <v>1.543483719762283</v>
      </c>
      <c r="K105" s="1"/>
      <c r="L105" s="1">
        <f t="shared" ref="L105:L115" si="94">+D105-H105</f>
        <v>936.07</v>
      </c>
      <c r="M105" s="1"/>
      <c r="N105" s="5">
        <f t="shared" ref="N105:N115" si="95">IF(H105=0,0,L105/H105)</f>
        <v>5.0763015184381794</v>
      </c>
      <c r="O105" s="12"/>
      <c r="P105" s="1">
        <f>SUM(OSRRefP22_20x_0)</f>
        <v>-18437.830000000002</v>
      </c>
      <c r="Q105" s="1"/>
      <c r="R105" s="5">
        <f t="shared" ref="R105:R115" si="96">IF(P$12=0,0,P105/P$12)</f>
        <v>-3.1357886205232881E-2</v>
      </c>
      <c r="S105" s="1"/>
      <c r="T105" s="1">
        <f>SUM(OSRRefT22_20x_0)</f>
        <v>219299.43999999997</v>
      </c>
      <c r="U105" s="1"/>
      <c r="V105" s="5">
        <f t="shared" ref="V105:V115" si="97">IF(T$12=0,0,T105/T$12)</f>
        <v>3.1399044768175066E-2</v>
      </c>
      <c r="W105" s="1"/>
      <c r="X105" s="1">
        <f t="shared" ref="X105:X115" si="98">+P105-T105</f>
        <v>-237737.26999999996</v>
      </c>
      <c r="Y105" s="1"/>
      <c r="Z105" s="5">
        <f t="shared" ref="Z105:Z115" si="99">IF(T105=0,0,X105/T105)</f>
        <v>-1.0840760468882182</v>
      </c>
    </row>
    <row r="106" spans="1:26" s="23" customFormat="1" hidden="1" outlineLevel="2" x14ac:dyDescent="0.25">
      <c r="A106" s="25"/>
      <c r="B106" s="10" t="str">
        <f>CONCATENATE("          ", "6234", " - ", "EXPENDABLE SUPPLIES &amp; EQUIPMEN")</f>
        <v xml:space="preserve">          6234 - EXPENDABLE SUPPLIES &amp; EQUIPMEN</v>
      </c>
      <c r="C106" s="10"/>
      <c r="D106" s="6">
        <v>-1048.8</v>
      </c>
      <c r="E106" s="2"/>
      <c r="F106" s="7">
        <f t="shared" si="92"/>
        <v>-1.5717384404242495E-2</v>
      </c>
      <c r="G106" s="2"/>
      <c r="H106" s="6">
        <v>1048.8</v>
      </c>
      <c r="I106" s="2"/>
      <c r="J106" s="7">
        <f t="shared" si="93"/>
        <v>8.7787729137021842</v>
      </c>
      <c r="K106" s="2"/>
      <c r="L106" s="6">
        <f t="shared" si="94"/>
        <v>-2097.6</v>
      </c>
      <c r="M106" s="2"/>
      <c r="N106" s="7">
        <f t="shared" si="95"/>
        <v>-2</v>
      </c>
      <c r="O106" s="10"/>
      <c r="P106" s="6">
        <v>-394.97</v>
      </c>
      <c r="Q106" s="2"/>
      <c r="R106" s="7">
        <f t="shared" si="96"/>
        <v>-6.7173980422212539E-4</v>
      </c>
      <c r="S106" s="2"/>
      <c r="T106" s="6">
        <v>16827.75</v>
      </c>
      <c r="U106" s="2"/>
      <c r="V106" s="7">
        <f t="shared" si="97"/>
        <v>2.40937813428825E-3</v>
      </c>
      <c r="W106" s="2"/>
      <c r="X106" s="6">
        <f t="shared" si="98"/>
        <v>-17222.72</v>
      </c>
      <c r="Y106" s="2"/>
      <c r="Z106" s="7">
        <f t="shared" si="99"/>
        <v>-1.0234713494079721</v>
      </c>
    </row>
    <row r="107" spans="1:26" s="23" customFormat="1" hidden="1" outlineLevel="2" x14ac:dyDescent="0.25">
      <c r="A107" s="25"/>
      <c r="B107" s="10" t="str">
        <f>CONCATENATE("          ", "6235", " - ", "COVID-19 EXPENSES")</f>
        <v xml:space="preserve">          6235 - COVID-19 EXPENSES</v>
      </c>
      <c r="C107" s="10"/>
      <c r="D107" s="6"/>
      <c r="E107" s="2"/>
      <c r="F107" s="7">
        <f t="shared" si="92"/>
        <v>0</v>
      </c>
      <c r="G107" s="2"/>
      <c r="H107" s="6"/>
      <c r="I107" s="2"/>
      <c r="J107" s="7">
        <f t="shared" si="93"/>
        <v>0</v>
      </c>
      <c r="K107" s="2"/>
      <c r="L107" s="6">
        <f t="shared" si="94"/>
        <v>0</v>
      </c>
      <c r="M107" s="2"/>
      <c r="N107" s="7">
        <f t="shared" si="95"/>
        <v>0</v>
      </c>
      <c r="O107" s="10"/>
      <c r="P107" s="6">
        <v>7154.58</v>
      </c>
      <c r="Q107" s="2"/>
      <c r="R107" s="7">
        <f t="shared" si="96"/>
        <v>1.2168053696461843E-2</v>
      </c>
      <c r="S107" s="2"/>
      <c r="T107" s="6">
        <v>1095.08</v>
      </c>
      <c r="U107" s="2"/>
      <c r="V107" s="7">
        <f t="shared" si="97"/>
        <v>1.5679231075434188E-4</v>
      </c>
      <c r="W107" s="2"/>
      <c r="X107" s="6">
        <f t="shared" si="98"/>
        <v>6059.5</v>
      </c>
      <c r="Y107" s="2"/>
      <c r="Z107" s="7">
        <f t="shared" si="99"/>
        <v>5.5333856887168062</v>
      </c>
    </row>
    <row r="108" spans="1:26" s="23" customFormat="1" hidden="1" outlineLevel="2" x14ac:dyDescent="0.25">
      <c r="A108" s="25"/>
      <c r="B108" s="10" t="str">
        <f>CONCATENATE("          ", "6237", " - ", "JANITORIAL SUPPLIES")</f>
        <v xml:space="preserve">          6237 - JANITORIAL SUPPLIES</v>
      </c>
      <c r="C108" s="10"/>
      <c r="D108" s="6">
        <v>363.7</v>
      </c>
      <c r="E108" s="2"/>
      <c r="F108" s="7">
        <f t="shared" si="92"/>
        <v>5.4504316436146021E-3</v>
      </c>
      <c r="G108" s="2"/>
      <c r="H108" s="6"/>
      <c r="I108" s="2"/>
      <c r="J108" s="7">
        <f t="shared" si="93"/>
        <v>0</v>
      </c>
      <c r="K108" s="2"/>
      <c r="L108" s="6">
        <f t="shared" si="94"/>
        <v>363.7</v>
      </c>
      <c r="M108" s="2"/>
      <c r="N108" s="7">
        <f t="shared" si="95"/>
        <v>0</v>
      </c>
      <c r="O108" s="10"/>
      <c r="P108" s="6">
        <v>1010.18</v>
      </c>
      <c r="Q108" s="2"/>
      <c r="R108" s="7">
        <f t="shared" si="96"/>
        <v>1.7180497643595883E-3</v>
      </c>
      <c r="S108" s="2"/>
      <c r="T108" s="6">
        <v>52899.67</v>
      </c>
      <c r="U108" s="2"/>
      <c r="V108" s="7">
        <f t="shared" si="97"/>
        <v>7.5741146742175341E-3</v>
      </c>
      <c r="W108" s="2"/>
      <c r="X108" s="6">
        <f t="shared" si="98"/>
        <v>-51889.49</v>
      </c>
      <c r="Y108" s="2"/>
      <c r="Z108" s="7">
        <f t="shared" si="99"/>
        <v>-0.98090385062893581</v>
      </c>
    </row>
    <row r="109" spans="1:26" s="23" customFormat="1" hidden="1" outlineLevel="2" x14ac:dyDescent="0.25">
      <c r="A109" s="25"/>
      <c r="B109" s="10" t="str">
        <f>CONCATENATE("          ", "6239", " - ", "KITCHEN SUPPLIES")</f>
        <v xml:space="preserve">          6239 - KITCHEN SUPPLIES</v>
      </c>
      <c r="C109" s="10"/>
      <c r="D109" s="6">
        <v>1798.78</v>
      </c>
      <c r="E109" s="2"/>
      <c r="F109" s="7">
        <f t="shared" si="92"/>
        <v>2.6956633026948239E-2</v>
      </c>
      <c r="G109" s="2"/>
      <c r="H109" s="6"/>
      <c r="I109" s="2"/>
      <c r="J109" s="7">
        <f t="shared" si="93"/>
        <v>0</v>
      </c>
      <c r="K109" s="2"/>
      <c r="L109" s="6">
        <f t="shared" si="94"/>
        <v>1798.78</v>
      </c>
      <c r="M109" s="2"/>
      <c r="N109" s="7">
        <f t="shared" si="95"/>
        <v>0</v>
      </c>
      <c r="O109" s="10"/>
      <c r="P109" s="6">
        <v>1818.61</v>
      </c>
      <c r="Q109" s="2"/>
      <c r="R109" s="7">
        <f t="shared" si="96"/>
        <v>3.0929759864202328E-3</v>
      </c>
      <c r="S109" s="2"/>
      <c r="T109" s="6">
        <v>45966.83</v>
      </c>
      <c r="U109" s="2"/>
      <c r="V109" s="7">
        <f t="shared" si="97"/>
        <v>6.5814785164115914E-3</v>
      </c>
      <c r="W109" s="2"/>
      <c r="X109" s="6">
        <f t="shared" si="98"/>
        <v>-44148.22</v>
      </c>
      <c r="Y109" s="2"/>
      <c r="Z109" s="7">
        <f t="shared" si="99"/>
        <v>-0.96043647125546838</v>
      </c>
    </row>
    <row r="110" spans="1:26" s="23" customFormat="1" hidden="1" outlineLevel="2" x14ac:dyDescent="0.25">
      <c r="A110" s="25"/>
      <c r="B110" s="10" t="str">
        <f>CONCATENATE("          ", "6241", " - ", "OFFICE EXPENSE")</f>
        <v xml:space="preserve">          6241 - OFFICE EXPENSE</v>
      </c>
      <c r="C110" s="10"/>
      <c r="D110" s="6">
        <v>6.79</v>
      </c>
      <c r="E110" s="2"/>
      <c r="F110" s="7">
        <f t="shared" si="92"/>
        <v>1.0175537767430066E-4</v>
      </c>
      <c r="G110" s="2"/>
      <c r="H110" s="6">
        <v>-834.5</v>
      </c>
      <c r="I110" s="2"/>
      <c r="J110" s="7">
        <f t="shared" si="93"/>
        <v>-6.9850171591194439</v>
      </c>
      <c r="K110" s="2"/>
      <c r="L110" s="6">
        <f t="shared" si="94"/>
        <v>841.29</v>
      </c>
      <c r="M110" s="2"/>
      <c r="N110" s="7">
        <f t="shared" si="95"/>
        <v>-1.008136608747753</v>
      </c>
      <c r="O110" s="10"/>
      <c r="P110" s="6">
        <v>-28402.84</v>
      </c>
      <c r="Q110" s="2"/>
      <c r="R110" s="7">
        <f t="shared" si="96"/>
        <v>-4.8305740134573137E-2</v>
      </c>
      <c r="S110" s="2"/>
      <c r="T110" s="6">
        <v>19301.78</v>
      </c>
      <c r="U110" s="2"/>
      <c r="V110" s="7">
        <f t="shared" si="97"/>
        <v>2.7636069400152874E-3</v>
      </c>
      <c r="W110" s="2"/>
      <c r="X110" s="6">
        <f t="shared" si="98"/>
        <v>-47704.619999999995</v>
      </c>
      <c r="Y110" s="2"/>
      <c r="Z110" s="7">
        <f t="shared" si="99"/>
        <v>-2.4715140261675348</v>
      </c>
    </row>
    <row r="111" spans="1:26" s="23" customFormat="1" hidden="1" outlineLevel="2" x14ac:dyDescent="0.25">
      <c r="A111" s="25"/>
      <c r="B111" s="10" t="str">
        <f>CONCATENATE("          ", "6243", " - ", "PAPER SUPPLIES")</f>
        <v xml:space="preserve">          6243 - PAPER SUPPLIES</v>
      </c>
      <c r="C111" s="10"/>
      <c r="D111" s="6"/>
      <c r="E111" s="2"/>
      <c r="F111" s="7">
        <f t="shared" si="92"/>
        <v>0</v>
      </c>
      <c r="G111" s="2"/>
      <c r="H111" s="6"/>
      <c r="I111" s="2"/>
      <c r="J111" s="7">
        <f t="shared" si="93"/>
        <v>0</v>
      </c>
      <c r="K111" s="2"/>
      <c r="L111" s="6">
        <f t="shared" si="94"/>
        <v>0</v>
      </c>
      <c r="M111" s="2"/>
      <c r="N111" s="7">
        <f t="shared" si="95"/>
        <v>0</v>
      </c>
      <c r="O111" s="10"/>
      <c r="P111" s="6">
        <v>255.33</v>
      </c>
      <c r="Q111" s="2"/>
      <c r="R111" s="7">
        <f t="shared" si="96"/>
        <v>4.3424899159945129E-4</v>
      </c>
      <c r="S111" s="2"/>
      <c r="T111" s="6">
        <v>34117.769999999997</v>
      </c>
      <c r="U111" s="2"/>
      <c r="V111" s="7">
        <f t="shared" si="97"/>
        <v>4.8849435621919519E-3</v>
      </c>
      <c r="W111" s="2"/>
      <c r="X111" s="6">
        <f t="shared" si="98"/>
        <v>-33862.439999999995</v>
      </c>
      <c r="Y111" s="2"/>
      <c r="Z111" s="7">
        <f t="shared" si="99"/>
        <v>-0.9925162166225987</v>
      </c>
    </row>
    <row r="112" spans="1:26" s="23" customFormat="1" hidden="1" outlineLevel="2" x14ac:dyDescent="0.25">
      <c r="A112" s="25"/>
      <c r="B112" s="10" t="str">
        <f>CONCATENATE("          ", "6245", " - ", "PRINTING")</f>
        <v xml:space="preserve">          6245 - PRINTING</v>
      </c>
      <c r="C112" s="10"/>
      <c r="D112" s="6"/>
      <c r="E112" s="2"/>
      <c r="F112" s="7">
        <f t="shared" si="92"/>
        <v>0</v>
      </c>
      <c r="G112" s="2"/>
      <c r="H112" s="6"/>
      <c r="I112" s="2"/>
      <c r="J112" s="7">
        <f t="shared" si="93"/>
        <v>0</v>
      </c>
      <c r="K112" s="2"/>
      <c r="L112" s="6">
        <f t="shared" si="94"/>
        <v>0</v>
      </c>
      <c r="M112" s="2"/>
      <c r="N112" s="7">
        <f t="shared" si="95"/>
        <v>0</v>
      </c>
      <c r="O112" s="10"/>
      <c r="P112" s="6"/>
      <c r="Q112" s="2"/>
      <c r="R112" s="7">
        <f t="shared" si="96"/>
        <v>0</v>
      </c>
      <c r="S112" s="2"/>
      <c r="T112" s="6">
        <v>613.02</v>
      </c>
      <c r="U112" s="2"/>
      <c r="V112" s="7">
        <f t="shared" si="97"/>
        <v>8.777150741372929E-5</v>
      </c>
      <c r="W112" s="2"/>
      <c r="X112" s="6">
        <f t="shared" si="98"/>
        <v>-613.02</v>
      </c>
      <c r="Y112" s="2"/>
      <c r="Z112" s="7">
        <f t="shared" si="99"/>
        <v>-1</v>
      </c>
    </row>
    <row r="113" spans="1:26" s="23" customFormat="1" hidden="1" outlineLevel="2" x14ac:dyDescent="0.25">
      <c r="A113" s="25"/>
      <c r="B113" s="10" t="str">
        <f>CONCATENATE("          ", "6246", " - ", "REPLACEMENTS")</f>
        <v xml:space="preserve">          6246 - REPLACEMENTS</v>
      </c>
      <c r="C113" s="10"/>
      <c r="D113" s="6"/>
      <c r="E113" s="2"/>
      <c r="F113" s="7">
        <f t="shared" si="92"/>
        <v>0</v>
      </c>
      <c r="G113" s="2"/>
      <c r="H113" s="6"/>
      <c r="I113" s="2"/>
      <c r="J113" s="7">
        <f t="shared" si="93"/>
        <v>0</v>
      </c>
      <c r="K113" s="2"/>
      <c r="L113" s="6">
        <f t="shared" si="94"/>
        <v>0</v>
      </c>
      <c r="M113" s="2"/>
      <c r="N113" s="7">
        <f t="shared" si="95"/>
        <v>0</v>
      </c>
      <c r="O113" s="10"/>
      <c r="P113" s="6"/>
      <c r="Q113" s="2"/>
      <c r="R113" s="7">
        <f t="shared" si="96"/>
        <v>0</v>
      </c>
      <c r="S113" s="2"/>
      <c r="T113" s="6">
        <v>25.87</v>
      </c>
      <c r="U113" s="2"/>
      <c r="V113" s="7">
        <f t="shared" si="97"/>
        <v>3.7040372203079455E-6</v>
      </c>
      <c r="W113" s="2"/>
      <c r="X113" s="6">
        <f t="shared" si="98"/>
        <v>-25.87</v>
      </c>
      <c r="Y113" s="2"/>
      <c r="Z113" s="7">
        <f t="shared" si="99"/>
        <v>-1</v>
      </c>
    </row>
    <row r="114" spans="1:26" s="23" customFormat="1" hidden="1" outlineLevel="2" x14ac:dyDescent="0.25">
      <c r="A114" s="25"/>
      <c r="B114" s="10" t="str">
        <f>CONCATENATE("          ", "6247", " - ", "STORE SUPPLIES")</f>
        <v xml:space="preserve">          6247 - STORE SUPPLIES</v>
      </c>
      <c r="C114" s="10"/>
      <c r="D114" s="6"/>
      <c r="E114" s="2"/>
      <c r="F114" s="7">
        <f t="shared" si="92"/>
        <v>0</v>
      </c>
      <c r="G114" s="2"/>
      <c r="H114" s="6">
        <v>-29.9</v>
      </c>
      <c r="I114" s="2"/>
      <c r="J114" s="7">
        <f t="shared" si="93"/>
        <v>-0.25027203482045701</v>
      </c>
      <c r="K114" s="2"/>
      <c r="L114" s="6">
        <f t="shared" si="94"/>
        <v>29.9</v>
      </c>
      <c r="M114" s="2"/>
      <c r="N114" s="7">
        <f t="shared" si="95"/>
        <v>-1</v>
      </c>
      <c r="O114" s="10"/>
      <c r="P114" s="6">
        <v>121.28</v>
      </c>
      <c r="Q114" s="2"/>
      <c r="R114" s="7">
        <f t="shared" si="96"/>
        <v>2.0626529472126838E-4</v>
      </c>
      <c r="S114" s="2"/>
      <c r="T114" s="6">
        <v>43533.599999999999</v>
      </c>
      <c r="U114" s="2"/>
      <c r="V114" s="7">
        <f t="shared" si="97"/>
        <v>6.2330914083493609E-3</v>
      </c>
      <c r="W114" s="2"/>
      <c r="X114" s="6">
        <f t="shared" si="98"/>
        <v>-43412.32</v>
      </c>
      <c r="Y114" s="2"/>
      <c r="Z114" s="7">
        <f t="shared" si="99"/>
        <v>-0.99721410588602832</v>
      </c>
    </row>
    <row r="115" spans="1:26" s="23" customFormat="1" hidden="1" outlineLevel="2" x14ac:dyDescent="0.25">
      <c r="A115" s="25"/>
      <c r="B115" s="10" t="str">
        <f>CONCATENATE("          ", "6248", " - ", "UNIFORMS")</f>
        <v xml:space="preserve">          6248 - UNIFORMS</v>
      </c>
      <c r="C115" s="10"/>
      <c r="D115" s="6"/>
      <c r="E115" s="2"/>
      <c r="F115" s="7">
        <f t="shared" si="92"/>
        <v>0</v>
      </c>
      <c r="G115" s="2"/>
      <c r="H115" s="6"/>
      <c r="I115" s="2"/>
      <c r="J115" s="7">
        <f t="shared" si="93"/>
        <v>0</v>
      </c>
      <c r="K115" s="2"/>
      <c r="L115" s="6">
        <f t="shared" si="94"/>
        <v>0</v>
      </c>
      <c r="M115" s="2"/>
      <c r="N115" s="7">
        <f t="shared" si="95"/>
        <v>0</v>
      </c>
      <c r="O115" s="10"/>
      <c r="P115" s="6"/>
      <c r="Q115" s="2"/>
      <c r="R115" s="7">
        <f t="shared" si="96"/>
        <v>0</v>
      </c>
      <c r="S115" s="2"/>
      <c r="T115" s="6">
        <v>4918.07</v>
      </c>
      <c r="U115" s="2"/>
      <c r="V115" s="7">
        <f t="shared" si="97"/>
        <v>7.0416367731271335E-4</v>
      </c>
      <c r="W115" s="2"/>
      <c r="X115" s="6">
        <f t="shared" si="98"/>
        <v>-4918.07</v>
      </c>
      <c r="Y115" s="2"/>
      <c r="Z115" s="7">
        <f t="shared" si="99"/>
        <v>-1</v>
      </c>
    </row>
    <row r="116" spans="1:26" s="27" customFormat="1" outlineLevel="1" collapsed="1" x14ac:dyDescent="0.25">
      <c r="A116" s="26"/>
      <c r="B116" s="12" t="str">
        <f>CONCATENATE("     ","Telephone/Data Lines                              ")</f>
        <v xml:space="preserve">     Telephone/Data Lines                              </v>
      </c>
      <c r="C116" s="12"/>
      <c r="D116" s="1">
        <f>SUM(OSRRefD22_21x_0)</f>
        <v>1175.05</v>
      </c>
      <c r="E116" s="1"/>
      <c r="F116" s="5">
        <f t="shared" ref="F116:F123" si="100">IF(D$12=0,0,D116/D$12)</f>
        <v>1.7609375042148306E-2</v>
      </c>
      <c r="G116" s="1"/>
      <c r="H116" s="1">
        <f>SUM(OSRRefH22_21x_0)</f>
        <v>709.33</v>
      </c>
      <c r="I116" s="1"/>
      <c r="J116" s="5">
        <f t="shared" ref="J116:J123" si="101">IF(H$12=0,0,H116/H$12)</f>
        <v>5.9373064367623671</v>
      </c>
      <c r="K116" s="1"/>
      <c r="L116" s="1">
        <f t="shared" ref="L116:L123" si="102">+D116-H116</f>
        <v>465.71999999999991</v>
      </c>
      <c r="M116" s="1"/>
      <c r="N116" s="5">
        <f t="shared" ref="N116:N123" si="103">IF(H116=0,0,L116/H116)</f>
        <v>0.65656323572949105</v>
      </c>
      <c r="O116" s="12"/>
      <c r="P116" s="1">
        <f>SUM(OSRRefP22_21x_0)</f>
        <v>10975.25</v>
      </c>
      <c r="Q116" s="1"/>
      <c r="R116" s="5">
        <f t="shared" ref="R116:R123" si="104">IF(P$12=0,0,P116/P$12)</f>
        <v>1.8666005737875996E-2</v>
      </c>
      <c r="S116" s="1"/>
      <c r="T116" s="1">
        <f>SUM(OSRRefT22_21x_0)</f>
        <v>25695.17</v>
      </c>
      <c r="U116" s="1"/>
      <c r="V116" s="5">
        <f t="shared" ref="V116:V123" si="105">IF(T$12=0,0,T116/T$12)</f>
        <v>3.6790052594565174E-3</v>
      </c>
      <c r="W116" s="1"/>
      <c r="X116" s="1">
        <f t="shared" ref="X116:X123" si="106">+P116-T116</f>
        <v>-14719.919999999998</v>
      </c>
      <c r="Y116" s="1"/>
      <c r="Z116" s="5">
        <f t="shared" ref="Z116:Z123" si="107">IF(T116=0,0,X116/T116)</f>
        <v>-0.57286719644197714</v>
      </c>
    </row>
    <row r="117" spans="1:26" s="23" customFormat="1" hidden="1" outlineLevel="2" x14ac:dyDescent="0.25">
      <c r="A117" s="25"/>
      <c r="B117" s="10" t="str">
        <f>CONCATENATE("          ", "6309", " - ", "TELEPHONE")</f>
        <v xml:space="preserve">          6309 - TELEPHONE</v>
      </c>
      <c r="C117" s="10"/>
      <c r="D117" s="6">
        <v>1175.05</v>
      </c>
      <c r="E117" s="2"/>
      <c r="F117" s="7">
        <f t="shared" si="100"/>
        <v>1.7609375042148306E-2</v>
      </c>
      <c r="G117" s="2"/>
      <c r="H117" s="6">
        <v>709.33</v>
      </c>
      <c r="I117" s="2"/>
      <c r="J117" s="7">
        <f t="shared" si="101"/>
        <v>5.9373064367623671</v>
      </c>
      <c r="K117" s="2"/>
      <c r="L117" s="6">
        <f t="shared" si="102"/>
        <v>465.71999999999991</v>
      </c>
      <c r="M117" s="2"/>
      <c r="N117" s="7">
        <f t="shared" si="103"/>
        <v>0.65656323572949105</v>
      </c>
      <c r="O117" s="10"/>
      <c r="P117" s="6">
        <v>10975.25</v>
      </c>
      <c r="Q117" s="2"/>
      <c r="R117" s="7">
        <f t="shared" si="104"/>
        <v>1.8666005737875996E-2</v>
      </c>
      <c r="S117" s="2"/>
      <c r="T117" s="6">
        <v>25695.17</v>
      </c>
      <c r="U117" s="2"/>
      <c r="V117" s="7">
        <f t="shared" si="105"/>
        <v>3.6790052594565174E-3</v>
      </c>
      <c r="W117" s="2"/>
      <c r="X117" s="6">
        <f t="shared" si="106"/>
        <v>-14719.919999999998</v>
      </c>
      <c r="Y117" s="2"/>
      <c r="Z117" s="7">
        <f t="shared" si="107"/>
        <v>-0.57286719644197714</v>
      </c>
    </row>
    <row r="118" spans="1:26" s="27" customFormat="1" outlineLevel="1" collapsed="1" x14ac:dyDescent="0.25">
      <c r="A118" s="26"/>
      <c r="B118" s="12" t="str">
        <f>CONCATENATE("     ","Training                                          ")</f>
        <v xml:space="preserve">     Training                                          </v>
      </c>
      <c r="C118" s="12"/>
      <c r="D118" s="1">
        <f>SUM(OSRRefD22_22x_0)</f>
        <v>12.99</v>
      </c>
      <c r="E118" s="1"/>
      <c r="F118" s="5">
        <f t="shared" si="100"/>
        <v>1.94668977317992E-4</v>
      </c>
      <c r="G118" s="1"/>
      <c r="H118" s="1">
        <f>SUM(OSRRefH22_22x_0)</f>
        <v>0</v>
      </c>
      <c r="I118" s="1"/>
      <c r="J118" s="5">
        <f t="shared" si="101"/>
        <v>0</v>
      </c>
      <c r="K118" s="1"/>
      <c r="L118" s="1">
        <f t="shared" si="102"/>
        <v>12.99</v>
      </c>
      <c r="M118" s="1"/>
      <c r="N118" s="5">
        <f t="shared" si="103"/>
        <v>0</v>
      </c>
      <c r="O118" s="12"/>
      <c r="P118" s="1">
        <f>SUM(OSRRefP22_22x_0)</f>
        <v>412.99</v>
      </c>
      <c r="Q118" s="1"/>
      <c r="R118" s="5">
        <f t="shared" si="104"/>
        <v>7.0238707179202367E-4</v>
      </c>
      <c r="S118" s="1"/>
      <c r="T118" s="1">
        <f>SUM(OSRRefT22_22x_0)</f>
        <v>2233.0100000000002</v>
      </c>
      <c r="U118" s="1"/>
      <c r="V118" s="5">
        <f t="shared" si="105"/>
        <v>3.1971983584537479E-4</v>
      </c>
      <c r="W118" s="1"/>
      <c r="X118" s="1">
        <f t="shared" si="106"/>
        <v>-1820.0200000000002</v>
      </c>
      <c r="Y118" s="1"/>
      <c r="Z118" s="5">
        <f t="shared" si="107"/>
        <v>-0.81505232847143538</v>
      </c>
    </row>
    <row r="119" spans="1:26" s="23" customFormat="1" hidden="1" outlineLevel="2" x14ac:dyDescent="0.25">
      <c r="A119" s="25"/>
      <c r="B119" s="10" t="str">
        <f>CONCATENATE("          ", "6376", " - ", "TRAINING")</f>
        <v xml:space="preserve">          6376 - TRAINING</v>
      </c>
      <c r="C119" s="10"/>
      <c r="D119" s="6">
        <v>12.99</v>
      </c>
      <c r="E119" s="2"/>
      <c r="F119" s="7">
        <f t="shared" si="100"/>
        <v>1.94668977317992E-4</v>
      </c>
      <c r="G119" s="2"/>
      <c r="H119" s="6"/>
      <c r="I119" s="2"/>
      <c r="J119" s="7">
        <f t="shared" si="101"/>
        <v>0</v>
      </c>
      <c r="K119" s="2"/>
      <c r="L119" s="6">
        <f t="shared" si="102"/>
        <v>12.99</v>
      </c>
      <c r="M119" s="2"/>
      <c r="N119" s="7">
        <f t="shared" si="103"/>
        <v>0</v>
      </c>
      <c r="O119" s="10"/>
      <c r="P119" s="6">
        <v>412.99</v>
      </c>
      <c r="Q119" s="2"/>
      <c r="R119" s="7">
        <f t="shared" si="104"/>
        <v>7.0238707179202367E-4</v>
      </c>
      <c r="S119" s="2"/>
      <c r="T119" s="6">
        <v>2233.0100000000002</v>
      </c>
      <c r="U119" s="2"/>
      <c r="V119" s="7">
        <f t="shared" si="105"/>
        <v>3.1971983584537479E-4</v>
      </c>
      <c r="W119" s="2"/>
      <c r="X119" s="6">
        <f t="shared" si="106"/>
        <v>-1820.0200000000002</v>
      </c>
      <c r="Y119" s="2"/>
      <c r="Z119" s="7">
        <f t="shared" si="107"/>
        <v>-0.81505232847143538</v>
      </c>
    </row>
    <row r="120" spans="1:26" s="27" customFormat="1" outlineLevel="1" collapsed="1" x14ac:dyDescent="0.25">
      <c r="A120" s="26"/>
      <c r="B120" s="12" t="str">
        <f>CONCATENATE("     ","Travel                                            ")</f>
        <v xml:space="preserve">     Travel                                            </v>
      </c>
      <c r="C120" s="12"/>
      <c r="D120" s="1">
        <f>SUM(OSRRefD22_23x_0)</f>
        <v>0</v>
      </c>
      <c r="E120" s="1"/>
      <c r="F120" s="5">
        <f t="shared" si="100"/>
        <v>0</v>
      </c>
      <c r="G120" s="1"/>
      <c r="H120" s="1">
        <f>SUM(OSRRefH22_23x_0)</f>
        <v>0</v>
      </c>
      <c r="I120" s="1"/>
      <c r="J120" s="5">
        <f t="shared" si="101"/>
        <v>0</v>
      </c>
      <c r="K120" s="1"/>
      <c r="L120" s="1">
        <f t="shared" si="102"/>
        <v>0</v>
      </c>
      <c r="M120" s="1"/>
      <c r="N120" s="5">
        <f t="shared" si="103"/>
        <v>0</v>
      </c>
      <c r="O120" s="12"/>
      <c r="P120" s="1">
        <f>SUM(OSRRefP22_23x_0)</f>
        <v>332.21</v>
      </c>
      <c r="Q120" s="1"/>
      <c r="R120" s="5">
        <f t="shared" si="104"/>
        <v>5.6500159597091496E-4</v>
      </c>
      <c r="S120" s="1"/>
      <c r="T120" s="1">
        <f>SUM(OSRRefT22_23x_0)</f>
        <v>6407.32</v>
      </c>
      <c r="U120" s="1"/>
      <c r="V120" s="5">
        <f t="shared" si="105"/>
        <v>9.1739280102139554E-4</v>
      </c>
      <c r="W120" s="1"/>
      <c r="X120" s="1">
        <f t="shared" si="106"/>
        <v>-6075.11</v>
      </c>
      <c r="Y120" s="1"/>
      <c r="Z120" s="5">
        <f t="shared" si="107"/>
        <v>-0.94815148923418835</v>
      </c>
    </row>
    <row r="121" spans="1:26" s="23" customFormat="1" hidden="1" outlineLevel="2" x14ac:dyDescent="0.25">
      <c r="A121" s="25"/>
      <c r="B121" s="10" t="str">
        <f>CONCATENATE("          ", "6292", " - ", "TRAVEL/CONFERENCE")</f>
        <v xml:space="preserve">          6292 - TRAVEL/CONFERENCE</v>
      </c>
      <c r="C121" s="10"/>
      <c r="D121" s="6"/>
      <c r="E121" s="2"/>
      <c r="F121" s="7">
        <f t="shared" si="100"/>
        <v>0</v>
      </c>
      <c r="G121" s="2"/>
      <c r="H121" s="6"/>
      <c r="I121" s="2"/>
      <c r="J121" s="7">
        <f t="shared" si="101"/>
        <v>0</v>
      </c>
      <c r="K121" s="2"/>
      <c r="L121" s="6">
        <f t="shared" si="102"/>
        <v>0</v>
      </c>
      <c r="M121" s="2"/>
      <c r="N121" s="7">
        <f t="shared" si="103"/>
        <v>0</v>
      </c>
      <c r="O121" s="10"/>
      <c r="P121" s="6"/>
      <c r="Q121" s="2"/>
      <c r="R121" s="7">
        <f t="shared" si="104"/>
        <v>0</v>
      </c>
      <c r="S121" s="2"/>
      <c r="T121" s="6">
        <v>4995.68</v>
      </c>
      <c r="U121" s="2"/>
      <c r="V121" s="7">
        <f t="shared" si="105"/>
        <v>7.1527578897363732E-4</v>
      </c>
      <c r="W121" s="2"/>
      <c r="X121" s="6">
        <f t="shared" si="106"/>
        <v>-4995.68</v>
      </c>
      <c r="Y121" s="2"/>
      <c r="Z121" s="7">
        <f t="shared" si="107"/>
        <v>-1</v>
      </c>
    </row>
    <row r="122" spans="1:26" s="23" customFormat="1" hidden="1" outlineLevel="2" x14ac:dyDescent="0.25">
      <c r="A122" s="25"/>
      <c r="B122" s="10" t="str">
        <f>CONCATENATE("          ", "6294", " - ", "TRAVEL OPERATIONAL")</f>
        <v xml:space="preserve">          6294 - TRAVEL OPERATIONAL</v>
      </c>
      <c r="C122" s="10"/>
      <c r="D122" s="6"/>
      <c r="E122" s="2"/>
      <c r="F122" s="7">
        <f t="shared" si="100"/>
        <v>0</v>
      </c>
      <c r="G122" s="2"/>
      <c r="H122" s="6"/>
      <c r="I122" s="2"/>
      <c r="J122" s="7">
        <f t="shared" si="101"/>
        <v>0</v>
      </c>
      <c r="K122" s="2"/>
      <c r="L122" s="6">
        <f t="shared" si="102"/>
        <v>0</v>
      </c>
      <c r="M122" s="2"/>
      <c r="N122" s="7">
        <f t="shared" si="103"/>
        <v>0</v>
      </c>
      <c r="O122" s="10"/>
      <c r="P122" s="6"/>
      <c r="Q122" s="2"/>
      <c r="R122" s="7">
        <f t="shared" si="104"/>
        <v>0</v>
      </c>
      <c r="S122" s="2"/>
      <c r="T122" s="6">
        <v>56.99</v>
      </c>
      <c r="U122" s="2"/>
      <c r="V122" s="7">
        <f t="shared" si="105"/>
        <v>8.1597634783668272E-6</v>
      </c>
      <c r="W122" s="2"/>
      <c r="X122" s="6">
        <f t="shared" si="106"/>
        <v>-56.99</v>
      </c>
      <c r="Y122" s="2"/>
      <c r="Z122" s="7">
        <f t="shared" si="107"/>
        <v>-1</v>
      </c>
    </row>
    <row r="123" spans="1:26" s="23" customFormat="1" hidden="1" outlineLevel="2" x14ac:dyDescent="0.25">
      <c r="A123" s="25"/>
      <c r="B123" s="10" t="str">
        <f>CONCATENATE("          ", "6298", " - ", "VEHICLE MILEAGE")</f>
        <v xml:space="preserve">          6298 - VEHICLE MILEAGE</v>
      </c>
      <c r="C123" s="10"/>
      <c r="D123" s="6"/>
      <c r="E123" s="2"/>
      <c r="F123" s="7">
        <f t="shared" si="100"/>
        <v>0</v>
      </c>
      <c r="G123" s="2"/>
      <c r="H123" s="6"/>
      <c r="I123" s="2"/>
      <c r="J123" s="7">
        <f t="shared" si="101"/>
        <v>0</v>
      </c>
      <c r="K123" s="2"/>
      <c r="L123" s="6">
        <f t="shared" si="102"/>
        <v>0</v>
      </c>
      <c r="M123" s="2"/>
      <c r="N123" s="7">
        <f t="shared" si="103"/>
        <v>0</v>
      </c>
      <c r="O123" s="10"/>
      <c r="P123" s="6">
        <v>332.21</v>
      </c>
      <c r="Q123" s="2"/>
      <c r="R123" s="7">
        <f t="shared" si="104"/>
        <v>5.6500159597091496E-4</v>
      </c>
      <c r="S123" s="2"/>
      <c r="T123" s="6">
        <v>1354.65</v>
      </c>
      <c r="U123" s="2"/>
      <c r="V123" s="7">
        <f t="shared" si="105"/>
        <v>1.9395724856939152E-4</v>
      </c>
      <c r="W123" s="2"/>
      <c r="X123" s="6">
        <f t="shared" si="106"/>
        <v>-1022.44</v>
      </c>
      <c r="Y123" s="2"/>
      <c r="Z123" s="7">
        <f t="shared" si="107"/>
        <v>-0.75476322297272358</v>
      </c>
    </row>
    <row r="124" spans="1:26" s="27" customFormat="1" outlineLevel="1" collapsed="1" x14ac:dyDescent="0.25">
      <c r="A124" s="26"/>
      <c r="B124" s="12" t="str">
        <f>CONCATENATE("     ","Utilities                                         ")</f>
        <v xml:space="preserve">     Utilities                                         </v>
      </c>
      <c r="C124" s="12"/>
      <c r="D124" s="1">
        <f>SUM(OSRRefD22_24x_0)</f>
        <v>39393</v>
      </c>
      <c r="E124" s="1"/>
      <c r="F124" s="5">
        <f t="shared" ref="F124:F125" si="108">IF(D$12=0,0,D124/D$12)</f>
        <v>0.59034603721998913</v>
      </c>
      <c r="G124" s="1"/>
      <c r="H124" s="1">
        <f>SUM(OSRRefH22_24x_0)</f>
        <v>41442</v>
      </c>
      <c r="I124" s="1"/>
      <c r="J124" s="5">
        <f t="shared" ref="J124:J125" si="109">IF(H$12=0,0,H124/H$12)</f>
        <v>346.88206244245418</v>
      </c>
      <c r="K124" s="1"/>
      <c r="L124" s="1">
        <f t="shared" ref="L124:L125" si="110">+D124-H124</f>
        <v>-2049</v>
      </c>
      <c r="M124" s="1"/>
      <c r="N124" s="5">
        <f t="shared" ref="N124:N125" si="111">IF(H124=0,0,L124/H124)</f>
        <v>-4.9442594469378889E-2</v>
      </c>
      <c r="O124" s="12"/>
      <c r="P124" s="1">
        <f>SUM(OSRRefP22_24x_0)</f>
        <v>52149</v>
      </c>
      <c r="Q124" s="1"/>
      <c r="R124" s="5">
        <f t="shared" ref="R124:R125" si="112">IF(P$12=0,0,P124/P$12)</f>
        <v>8.8691695699368606E-2</v>
      </c>
      <c r="S124" s="1"/>
      <c r="T124" s="1">
        <f>SUM(OSRRefT22_24x_0)</f>
        <v>227847.74</v>
      </c>
      <c r="U124" s="1"/>
      <c r="V124" s="5">
        <f t="shared" ref="V124:V125" si="113">IF(T$12=0,0,T124/T$12)</f>
        <v>3.2622980654157224E-2</v>
      </c>
      <c r="W124" s="1"/>
      <c r="X124" s="1">
        <f t="shared" ref="X124:X125" si="114">+P124-T124</f>
        <v>-175698.74</v>
      </c>
      <c r="Y124" s="1"/>
      <c r="Z124" s="5">
        <f t="shared" ref="Z124:Z125" si="115">IF(T124=0,0,X124/T124)</f>
        <v>-0.77112347043688034</v>
      </c>
    </row>
    <row r="125" spans="1:26" s="23" customFormat="1" hidden="1" outlineLevel="2" x14ac:dyDescent="0.25">
      <c r="A125" s="25"/>
      <c r="B125" s="10" t="str">
        <f>CONCATENATE("          ", "6274", " - ", "UTILITIES")</f>
        <v xml:space="preserve">          6274 - UTILITIES</v>
      </c>
      <c r="C125" s="10"/>
      <c r="D125" s="6">
        <v>39393</v>
      </c>
      <c r="E125" s="2"/>
      <c r="F125" s="7">
        <f t="shared" si="108"/>
        <v>0.59034603721998913</v>
      </c>
      <c r="G125" s="2"/>
      <c r="H125" s="6">
        <v>41442</v>
      </c>
      <c r="I125" s="2"/>
      <c r="J125" s="7">
        <f t="shared" si="109"/>
        <v>346.88206244245418</v>
      </c>
      <c r="K125" s="2"/>
      <c r="L125" s="6">
        <f t="shared" si="110"/>
        <v>-2049</v>
      </c>
      <c r="M125" s="2"/>
      <c r="N125" s="7">
        <f t="shared" si="111"/>
        <v>-4.9442594469378889E-2</v>
      </c>
      <c r="O125" s="10"/>
      <c r="P125" s="6">
        <v>52149</v>
      </c>
      <c r="Q125" s="2"/>
      <c r="R125" s="7">
        <f t="shared" si="112"/>
        <v>8.8691695699368606E-2</v>
      </c>
      <c r="S125" s="2"/>
      <c r="T125" s="6">
        <v>227847.74</v>
      </c>
      <c r="U125" s="2"/>
      <c r="V125" s="7">
        <f t="shared" si="113"/>
        <v>3.2622980654157224E-2</v>
      </c>
      <c r="W125" s="2"/>
      <c r="X125" s="6">
        <f t="shared" si="114"/>
        <v>-175698.74</v>
      </c>
      <c r="Y125" s="2"/>
      <c r="Z125" s="7">
        <f t="shared" si="115"/>
        <v>-0.77112347043688034</v>
      </c>
    </row>
    <row r="126" spans="1:26" s="52" customFormat="1" x14ac:dyDescent="0.25">
      <c r="A126" s="37"/>
      <c r="B126" s="37"/>
      <c r="C126" s="37"/>
      <c r="D126" s="1"/>
      <c r="E126" s="1"/>
      <c r="F126" s="5"/>
      <c r="G126" s="1"/>
      <c r="H126" s="1"/>
      <c r="I126" s="1"/>
      <c r="J126" s="5"/>
      <c r="K126" s="1"/>
      <c r="L126" s="1"/>
      <c r="M126" s="1"/>
      <c r="N126" s="5"/>
      <c r="O126" s="37"/>
      <c r="P126" s="1"/>
      <c r="Q126" s="1"/>
      <c r="R126" s="5"/>
      <c r="S126" s="1"/>
      <c r="T126" s="1"/>
      <c r="U126" s="1"/>
      <c r="V126" s="5"/>
      <c r="W126" s="1"/>
      <c r="X126" s="1"/>
      <c r="Y126" s="1"/>
      <c r="Z126" s="5"/>
    </row>
    <row r="127" spans="1:26" s="24" customFormat="1" collapsed="1" x14ac:dyDescent="0.25">
      <c r="A127" s="11"/>
      <c r="B127" s="29" t="s">
        <v>292</v>
      </c>
      <c r="C127" s="11"/>
      <c r="D127" s="4">
        <f>SUM(OSRRefD25x_0)</f>
        <v>1026.5</v>
      </c>
      <c r="E127" s="4"/>
      <c r="F127" s="13">
        <f t="shared" ref="F127:F130" si="116">IF(D$12=0,0,D127/D$12)</f>
        <v>1.5383195166814379E-2</v>
      </c>
      <c r="G127" s="4"/>
      <c r="H127" s="4">
        <f>SUM(OSRRefH25x_0)</f>
        <v>43261.639999999992</v>
      </c>
      <c r="I127" s="4"/>
      <c r="J127" s="13">
        <f t="shared" ref="J127:J130" si="117">IF(H$12=0,0,H127/H$12)</f>
        <v>362.11299907926667</v>
      </c>
      <c r="K127" s="4"/>
      <c r="L127" s="4">
        <f t="shared" ref="L127:L130" si="118">+D127-H127</f>
        <v>-42235.139999999992</v>
      </c>
      <c r="M127" s="4"/>
      <c r="N127" s="13">
        <f t="shared" ref="N127:N130" si="119">IF(H127=0,0,L127/H127)</f>
        <v>-0.97627228186448778</v>
      </c>
      <c r="O127" s="11"/>
      <c r="P127" s="4">
        <f>SUM(OSRRefP25x_0)</f>
        <v>23513.16</v>
      </c>
      <c r="Q127" s="4"/>
      <c r="R127" s="13">
        <f t="shared" ref="R127:R130" si="120">IF(P$12=0,0,P127/P$12)</f>
        <v>3.9989684014085904E-2</v>
      </c>
      <c r="S127" s="4"/>
      <c r="T127" s="4">
        <f>SUM(OSRRefT25x_0)</f>
        <v>730460.52</v>
      </c>
      <c r="U127" s="4"/>
      <c r="V127" s="13">
        <f t="shared" ref="V127:V130" si="121">IF(T$12=0,0,T127/T$12)</f>
        <v>0.10458650769406634</v>
      </c>
      <c r="W127" s="4"/>
      <c r="X127" s="4">
        <f t="shared" ref="X127:X130" si="122">+P127-T127</f>
        <v>-706947.36</v>
      </c>
      <c r="Y127" s="4"/>
      <c r="Z127" s="13">
        <f t="shared" ref="Z127:Z130" si="123">IF(T127=0,0,X127/T127)</f>
        <v>-0.96781049850579193</v>
      </c>
    </row>
    <row r="128" spans="1:26" s="23" customFormat="1" hidden="1" outlineLevel="1" x14ac:dyDescent="0.25">
      <c r="A128" s="44"/>
      <c r="B128" s="10" t="str">
        <f>CONCATENATE("          ", "9150", " - ", "MISC. INCOME")</f>
        <v xml:space="preserve">          9150 - MISC. INCOME</v>
      </c>
      <c r="C128" s="10"/>
      <c r="D128" s="2">
        <f>--449.64</f>
        <v>449.64</v>
      </c>
      <c r="E128" s="2"/>
      <c r="F128" s="19">
        <f t="shared" si="116"/>
        <v>6.7383340231918333E-3</v>
      </c>
      <c r="G128" s="2"/>
      <c r="H128" s="2">
        <f>--16951.85</f>
        <v>16951.849999999999</v>
      </c>
      <c r="I128" s="2"/>
      <c r="J128" s="19">
        <f t="shared" si="117"/>
        <v>141.89210680505565</v>
      </c>
      <c r="K128" s="2"/>
      <c r="L128" s="2">
        <f t="shared" si="118"/>
        <v>-16502.21</v>
      </c>
      <c r="M128" s="2"/>
      <c r="N128" s="19">
        <f t="shared" si="119"/>
        <v>-0.97347546138032137</v>
      </c>
      <c r="O128" s="10"/>
      <c r="P128" s="2">
        <f>--5799.56</f>
        <v>5799.56</v>
      </c>
      <c r="Q128" s="2"/>
      <c r="R128" s="19">
        <f t="shared" si="120"/>
        <v>9.863522037052104E-3</v>
      </c>
      <c r="S128" s="2"/>
      <c r="T128" s="2">
        <f>--330936.39</f>
        <v>330936.39</v>
      </c>
      <c r="U128" s="2"/>
      <c r="V128" s="19">
        <f t="shared" si="121"/>
        <v>4.7383096486832088E-2</v>
      </c>
      <c r="W128" s="2"/>
      <c r="X128" s="2">
        <f t="shared" si="122"/>
        <v>-325136.83</v>
      </c>
      <c r="Y128" s="2"/>
      <c r="Z128" s="19">
        <f t="shared" si="123"/>
        <v>-0.98247530288222462</v>
      </c>
    </row>
    <row r="129" spans="1:26" s="23" customFormat="1" hidden="1" outlineLevel="1" x14ac:dyDescent="0.25">
      <c r="A129" s="44"/>
      <c r="B129" s="10" t="str">
        <f>CONCATENATE("          ", "9160", " - ", "MISC. INCOME")</f>
        <v xml:space="preserve">          9160 - MISC. INCOME</v>
      </c>
      <c r="C129" s="10"/>
      <c r="D129" s="2">
        <f>0</f>
        <v>0</v>
      </c>
      <c r="E129" s="2"/>
      <c r="F129" s="19">
        <f t="shared" si="116"/>
        <v>0</v>
      </c>
      <c r="G129" s="2"/>
      <c r="H129" s="2">
        <f>--25000.02</f>
        <v>25000.02</v>
      </c>
      <c r="I129" s="2"/>
      <c r="J129" s="19">
        <f t="shared" si="117"/>
        <v>209.2577216037499</v>
      </c>
      <c r="K129" s="2"/>
      <c r="L129" s="2">
        <f t="shared" si="118"/>
        <v>-25000.02</v>
      </c>
      <c r="M129" s="2"/>
      <c r="N129" s="19">
        <f t="shared" si="119"/>
        <v>-1</v>
      </c>
      <c r="O129" s="10"/>
      <c r="P129" s="2">
        <f>--13615.06</f>
        <v>13615.06</v>
      </c>
      <c r="Q129" s="2"/>
      <c r="R129" s="19">
        <f t="shared" si="120"/>
        <v>2.3155626348513786E-2</v>
      </c>
      <c r="S129" s="2"/>
      <c r="T129" s="2">
        <f>--155089.34</f>
        <v>155089.34</v>
      </c>
      <c r="U129" s="2"/>
      <c r="V129" s="19">
        <f t="shared" si="121"/>
        <v>2.2205515571433854E-2</v>
      </c>
      <c r="W129" s="2"/>
      <c r="X129" s="2">
        <f t="shared" si="122"/>
        <v>-141474.28</v>
      </c>
      <c r="Y129" s="2"/>
      <c r="Z129" s="19">
        <f t="shared" si="123"/>
        <v>-0.91221150338250201</v>
      </c>
    </row>
    <row r="130" spans="1:26" s="23" customFormat="1" hidden="1" outlineLevel="1" x14ac:dyDescent="0.25">
      <c r="A130" s="44"/>
      <c r="B130" s="10" t="str">
        <f>CONCATENATE("          ", "9165", " - ", "OTHER INCOME")</f>
        <v xml:space="preserve">          9165 - OTHER INCOME</v>
      </c>
      <c r="C130" s="10"/>
      <c r="D130" s="2">
        <f>--576.86</f>
        <v>576.86</v>
      </c>
      <c r="E130" s="2"/>
      <c r="F130" s="19">
        <f t="shared" si="116"/>
        <v>8.6448611436225446E-3</v>
      </c>
      <c r="G130" s="2"/>
      <c r="H130" s="2">
        <f>--1309.77</f>
        <v>1309.77</v>
      </c>
      <c r="I130" s="2"/>
      <c r="J130" s="19">
        <f t="shared" si="117"/>
        <v>10.963170670461203</v>
      </c>
      <c r="K130" s="2"/>
      <c r="L130" s="2">
        <f t="shared" si="118"/>
        <v>-732.91</v>
      </c>
      <c r="M130" s="2"/>
      <c r="N130" s="19">
        <f t="shared" si="119"/>
        <v>-0.55957152782549602</v>
      </c>
      <c r="O130" s="10"/>
      <c r="P130" s="2">
        <f>--4098.54</f>
        <v>4098.54</v>
      </c>
      <c r="Q130" s="2"/>
      <c r="R130" s="19">
        <f t="shared" si="120"/>
        <v>6.9705356285200137E-3</v>
      </c>
      <c r="S130" s="2"/>
      <c r="T130" s="2">
        <f>--244434.79</f>
        <v>244434.79</v>
      </c>
      <c r="U130" s="2"/>
      <c r="V130" s="19">
        <f t="shared" si="121"/>
        <v>3.49978956358004E-2</v>
      </c>
      <c r="W130" s="2"/>
      <c r="X130" s="2">
        <f t="shared" si="122"/>
        <v>-240336.25</v>
      </c>
      <c r="Y130" s="2"/>
      <c r="Z130" s="19">
        <f t="shared" si="123"/>
        <v>-0.98323258321779805</v>
      </c>
    </row>
    <row r="131" spans="1:26" x14ac:dyDescent="0.25">
      <c r="A131" s="9"/>
      <c r="B131" s="11"/>
      <c r="C131" s="11"/>
      <c r="D131" s="3"/>
      <c r="E131" s="3"/>
      <c r="F131" s="8"/>
      <c r="G131" s="3"/>
      <c r="H131" s="3"/>
      <c r="I131" s="3"/>
      <c r="J131" s="8"/>
      <c r="K131" s="3"/>
      <c r="L131" s="3"/>
      <c r="M131" s="3"/>
      <c r="N131" s="8"/>
      <c r="O131" s="11"/>
      <c r="P131" s="3"/>
      <c r="Q131" s="3"/>
      <c r="R131" s="8"/>
      <c r="S131" s="3"/>
      <c r="T131" s="3"/>
      <c r="U131" s="3"/>
      <c r="V131" s="8"/>
      <c r="W131" s="3"/>
      <c r="X131" s="3"/>
      <c r="Y131" s="3"/>
      <c r="Z131" s="8"/>
    </row>
    <row r="132" spans="1:26" s="24" customFormat="1" x14ac:dyDescent="0.25">
      <c r="A132" s="11"/>
      <c r="B132" s="28" t="s">
        <v>276</v>
      </c>
      <c r="C132" s="28"/>
      <c r="D132" s="21">
        <f>+D35-D37+D127</f>
        <v>-121463.82000000002</v>
      </c>
      <c r="E132" s="14"/>
      <c r="F132" s="22">
        <f>IF(D$12=0,0,D132/D$12)</f>
        <v>-1.8202646359150627</v>
      </c>
      <c r="G132" s="14"/>
      <c r="H132" s="21">
        <f>+H35-H37+H127</f>
        <v>-204389.00999999998</v>
      </c>
      <c r="I132" s="14"/>
      <c r="J132" s="22">
        <f>IF(H$12=0,0,H132/H$12)</f>
        <v>-1710.7977734996232</v>
      </c>
      <c r="K132" s="15"/>
      <c r="L132" s="21">
        <f>+D132-H132</f>
        <v>82925.189999999959</v>
      </c>
      <c r="M132" s="15"/>
      <c r="N132" s="22">
        <f>IF(H132=0,0,L132/H132)</f>
        <v>-0.40572235268422685</v>
      </c>
      <c r="O132" s="29"/>
      <c r="P132" s="21">
        <f>+P35-P37+P127</f>
        <v>-1105639.0300000005</v>
      </c>
      <c r="Q132" s="14"/>
      <c r="R132" s="22">
        <f>IF(P$12=0,0,P132/P$12)</f>
        <v>-1.8804003988974882</v>
      </c>
      <c r="S132" s="14"/>
      <c r="T132" s="21">
        <f>+T35-T37+T127</f>
        <v>-1136942.3500000001</v>
      </c>
      <c r="U132" s="14"/>
      <c r="V132" s="22">
        <f>IF(T$12=0,0,T132/T$12)</f>
        <v>-0.16278611448567387</v>
      </c>
      <c r="W132" s="15"/>
      <c r="X132" s="21">
        <f>+P132-T132</f>
        <v>31303.3199999996</v>
      </c>
      <c r="Y132" s="15"/>
      <c r="Z132" s="22">
        <f>IF(T132=0,0,X132/T132)</f>
        <v>-2.7532899975095129E-2</v>
      </c>
    </row>
    <row r="133" spans="1:26" x14ac:dyDescent="0.25">
      <c r="A133" s="9"/>
      <c r="B133" s="11"/>
      <c r="C133" s="9"/>
      <c r="D133" s="3"/>
      <c r="E133" s="3"/>
      <c r="F133" s="8"/>
      <c r="G133" s="3"/>
      <c r="H133" s="3"/>
      <c r="I133" s="3"/>
      <c r="J133" s="8"/>
      <c r="K133" s="3"/>
      <c r="L133" s="3"/>
      <c r="M133" s="3"/>
      <c r="N133" s="8"/>
      <c r="P133" s="3"/>
      <c r="Q133" s="3"/>
      <c r="R133" s="8"/>
      <c r="S133" s="3"/>
      <c r="T133" s="3"/>
      <c r="U133" s="3"/>
      <c r="V133" s="8"/>
      <c r="W133" s="3"/>
      <c r="X133" s="3"/>
      <c r="Y133" s="3"/>
      <c r="Z133" s="8"/>
    </row>
    <row r="134" spans="1:26" s="24" customFormat="1" x14ac:dyDescent="0.25">
      <c r="A134" s="51"/>
      <c r="B134" s="11" t="s">
        <v>127</v>
      </c>
      <c r="C134" s="11"/>
      <c r="D134" s="4">
        <v>51363.29</v>
      </c>
      <c r="E134" s="4"/>
      <c r="F134" s="13">
        <f>IF(D$12=0,0,D134/D$12)</f>
        <v>0.76973357474884108</v>
      </c>
      <c r="G134" s="4"/>
      <c r="H134" s="4">
        <v>230509.38</v>
      </c>
      <c r="I134" s="4"/>
      <c r="J134" s="13">
        <f>IF(H$12=0,0,H134/H$12)</f>
        <v>1929.4331631371892</v>
      </c>
      <c r="K134" s="4"/>
      <c r="L134" s="4">
        <f>+D134-H134</f>
        <v>-179146.09</v>
      </c>
      <c r="M134" s="4"/>
      <c r="N134" s="13">
        <f>IF(H134=0,0,L134/H134)</f>
        <v>-0.77717483774412999</v>
      </c>
      <c r="O134" s="11"/>
      <c r="P134" s="4">
        <v>162749.89000000001</v>
      </c>
      <c r="Q134" s="4"/>
      <c r="R134" s="13">
        <f>IF(P$12=0,0,P134/P$12)</f>
        <v>0.27679464072150406</v>
      </c>
      <c r="S134" s="4"/>
      <c r="T134" s="4">
        <v>1057576.6200000001</v>
      </c>
      <c r="U134" s="4"/>
      <c r="V134" s="13">
        <f>IF(T$12=0,0,T134/T$12)</f>
        <v>0.15142261939727378</v>
      </c>
      <c r="W134" s="4"/>
      <c r="X134" s="4">
        <f>+P134-T134</f>
        <v>-894826.7300000001</v>
      </c>
      <c r="Y134" s="4"/>
      <c r="Z134" s="13">
        <f>IF(T134=0,0,X134/T134)</f>
        <v>-0.84611054469036961</v>
      </c>
    </row>
    <row r="135" spans="1:26" x14ac:dyDescent="0.25">
      <c r="A135" s="9"/>
      <c r="B135" s="11"/>
      <c r="C135" s="11"/>
      <c r="D135" s="3"/>
      <c r="E135" s="3"/>
      <c r="F135" s="8"/>
      <c r="G135" s="3"/>
      <c r="H135" s="3"/>
      <c r="I135" s="3"/>
      <c r="J135" s="8"/>
      <c r="K135" s="3"/>
      <c r="L135" s="3"/>
      <c r="M135" s="3"/>
      <c r="N135" s="8"/>
      <c r="O135" s="11"/>
      <c r="P135" s="3"/>
      <c r="Q135" s="3"/>
      <c r="R135" s="8"/>
      <c r="S135" s="3"/>
      <c r="T135" s="3"/>
      <c r="U135" s="3"/>
      <c r="V135" s="8"/>
      <c r="W135" s="3"/>
      <c r="X135" s="3"/>
      <c r="Y135" s="3"/>
      <c r="Z135" s="8"/>
    </row>
    <row r="136" spans="1:26" s="24" customFormat="1" ht="15.75" thickBot="1" x14ac:dyDescent="0.3">
      <c r="A136" s="11"/>
      <c r="B136" s="28" t="s">
        <v>125</v>
      </c>
      <c r="C136" s="28"/>
      <c r="D136" s="34">
        <f>+D132-D134</f>
        <v>-172827.11000000002</v>
      </c>
      <c r="E136" s="14"/>
      <c r="F136" s="31">
        <f>IF(D$12=0,0,D136/D$12)</f>
        <v>-2.5899982106639037</v>
      </c>
      <c r="G136" s="14"/>
      <c r="H136" s="34">
        <f>+H132-H134</f>
        <v>-434898.39</v>
      </c>
      <c r="I136" s="14"/>
      <c r="J136" s="31">
        <f>IF(H$12=0,0,H136/H$12)</f>
        <v>-3640.2309366368127</v>
      </c>
      <c r="K136" s="15"/>
      <c r="L136" s="34">
        <f>D136-H136</f>
        <v>262071.28</v>
      </c>
      <c r="M136" s="15"/>
      <c r="N136" s="31">
        <f>IF(H136=0,0,L136/H136)</f>
        <v>-0.60260347250308277</v>
      </c>
      <c r="O136" s="29"/>
      <c r="P136" s="34">
        <f>+P132-P134</f>
        <v>-1268388.9200000004</v>
      </c>
      <c r="Q136" s="14"/>
      <c r="R136" s="31">
        <f>IF(P$12=0,0,P136/P$12)</f>
        <v>-2.1571950396189923</v>
      </c>
      <c r="S136" s="14"/>
      <c r="T136" s="34">
        <f>+T132-T134</f>
        <v>-2194518.9700000002</v>
      </c>
      <c r="U136" s="14"/>
      <c r="V136" s="31">
        <f>IF(T$12=0,0,T136/T$12)</f>
        <v>-0.31420873388294768</v>
      </c>
      <c r="W136" s="15"/>
      <c r="X136" s="34">
        <f>P136-T136</f>
        <v>926130.04999999981</v>
      </c>
      <c r="Y136" s="15"/>
      <c r="Z136" s="31">
        <f>IF(T136=0,0,X136/T136)</f>
        <v>-0.42201961462196874</v>
      </c>
    </row>
    <row r="137" spans="1:26" ht="15.75" thickTop="1" x14ac:dyDescent="0.25">
      <c r="A137" s="9"/>
      <c r="B137" s="9"/>
      <c r="C137" s="9"/>
      <c r="D137" s="3"/>
      <c r="E137" s="3"/>
      <c r="F137" s="8"/>
      <c r="G137" s="3"/>
      <c r="H137" s="3"/>
      <c r="I137" s="3"/>
      <c r="J137" s="8"/>
      <c r="K137" s="3"/>
      <c r="L137" s="3"/>
      <c r="M137" s="3"/>
      <c r="N137" s="8"/>
      <c r="P137" s="3"/>
      <c r="Q137" s="3"/>
      <c r="R137" s="8"/>
      <c r="S137" s="3"/>
      <c r="T137" s="3"/>
      <c r="U137" s="3"/>
      <c r="V137" s="8"/>
      <c r="W137" s="3"/>
      <c r="X137" s="3"/>
      <c r="Y137" s="3"/>
      <c r="Z137" s="8"/>
    </row>
    <row r="138" spans="1:26" x14ac:dyDescent="0.25">
      <c r="A138" s="9"/>
      <c r="B138" s="9"/>
      <c r="C138" s="9"/>
      <c r="D138" s="3"/>
      <c r="E138" s="3"/>
      <c r="F138" s="8"/>
      <c r="G138" s="3"/>
      <c r="H138" s="3"/>
      <c r="I138" s="3"/>
      <c r="J138" s="8"/>
      <c r="K138" s="3"/>
      <c r="L138" s="3"/>
      <c r="M138" s="3"/>
      <c r="N138" s="8"/>
      <c r="P138" s="3"/>
      <c r="Q138" s="3"/>
      <c r="R138" s="8"/>
      <c r="S138" s="3"/>
      <c r="T138" s="3"/>
      <c r="U138" s="3"/>
      <c r="V138" s="8"/>
      <c r="W138" s="3"/>
      <c r="X138" s="3"/>
      <c r="Y138" s="3"/>
      <c r="Z138" s="8"/>
    </row>
    <row r="139" spans="1:26" s="24" customFormat="1" ht="15.75" thickBot="1" x14ac:dyDescent="0.3">
      <c r="A139" s="11"/>
      <c r="B139" s="28" t="s">
        <v>293</v>
      </c>
      <c r="C139" s="28"/>
      <c r="D139" s="33">
        <f>SUM(D136:D138)</f>
        <v>-172827.11000000002</v>
      </c>
      <c r="E139" s="14"/>
      <c r="F139" s="35">
        <f>IF(D$12=0,0,D139/D$12)</f>
        <v>-2.5899982106639037</v>
      </c>
      <c r="G139" s="14"/>
      <c r="H139" s="33">
        <f>SUM(H136:H138)</f>
        <v>-434898.39</v>
      </c>
      <c r="I139" s="14"/>
      <c r="J139" s="35">
        <f>IF(H$12=0,0,H139/H$12)</f>
        <v>-3640.2309366368127</v>
      </c>
      <c r="K139" s="15"/>
      <c r="L139" s="33">
        <f>+D139-H139</f>
        <v>262071.28</v>
      </c>
      <c r="M139" s="15"/>
      <c r="N139" s="35">
        <f>IF(H139=0,0,L139/H139)</f>
        <v>-0.60260347250308277</v>
      </c>
      <c r="O139" s="29"/>
      <c r="P139" s="33">
        <f>SUM(P136:P138)</f>
        <v>-1268388.9200000004</v>
      </c>
      <c r="Q139" s="14"/>
      <c r="R139" s="35">
        <f>IF(P$12=0,0,P139/P$12)</f>
        <v>-2.1571950396189923</v>
      </c>
      <c r="S139" s="14"/>
      <c r="T139" s="33">
        <f>SUM(T136:T138)</f>
        <v>-2194518.9700000002</v>
      </c>
      <c r="U139" s="14"/>
      <c r="V139" s="35">
        <f>IF(T$12=0,0,T139/T$12)</f>
        <v>-0.31420873388294768</v>
      </c>
      <c r="W139" s="15"/>
      <c r="X139" s="33">
        <f>+P139-T139</f>
        <v>926130.04999999981</v>
      </c>
      <c r="Y139" s="15"/>
      <c r="Z139" s="35">
        <f>IF(T139=0,0,X139/T139)</f>
        <v>-0.42201961462196874</v>
      </c>
    </row>
    <row r="140" spans="1:26" ht="15.75" thickTop="1" x14ac:dyDescent="0.25">
      <c r="A140" s="9"/>
      <c r="C140" s="9"/>
      <c r="D140" s="18"/>
      <c r="E140" s="18"/>
      <c r="G140" s="18"/>
      <c r="H140" s="18"/>
      <c r="I140" s="18"/>
      <c r="J140" s="43"/>
      <c r="K140" s="18"/>
      <c r="L140" s="18"/>
      <c r="M140" s="18"/>
      <c r="P140" s="18"/>
      <c r="Q140" s="18"/>
      <c r="R140" s="43"/>
      <c r="S140" s="18"/>
      <c r="T140" s="18"/>
      <c r="U140" s="18"/>
      <c r="V140" s="43"/>
      <c r="W140" s="18"/>
      <c r="X140" s="18"/>
    </row>
    <row r="141" spans="1:26" x14ac:dyDescent="0.25">
      <c r="A141" s="9"/>
      <c r="B141" s="56">
        <v>44454.69847653935</v>
      </c>
      <c r="D141" s="18"/>
      <c r="E141" s="18"/>
      <c r="G141" s="18"/>
      <c r="H141" s="18"/>
      <c r="I141" s="18"/>
      <c r="J141" s="43"/>
      <c r="K141" s="18"/>
      <c r="L141" s="18"/>
      <c r="M141" s="18"/>
      <c r="P141" s="18"/>
      <c r="Q141" s="18"/>
      <c r="R141" s="43"/>
      <c r="S141" s="18"/>
      <c r="T141" s="18"/>
      <c r="U141" s="18"/>
      <c r="V141" s="43"/>
      <c r="W141" s="18"/>
      <c r="X141" s="18"/>
    </row>
    <row r="142" spans="1:26" x14ac:dyDescent="0.25">
      <c r="A142" s="9"/>
      <c r="B142" s="55" t="s">
        <v>56</v>
      </c>
      <c r="D142" s="18"/>
      <c r="E142" s="18"/>
      <c r="G142" s="18"/>
      <c r="H142" s="18"/>
      <c r="I142" s="18"/>
      <c r="J142" s="43"/>
      <c r="K142" s="18"/>
      <c r="L142" s="18"/>
      <c r="M142" s="18"/>
      <c r="P142" s="18"/>
      <c r="Q142" s="18"/>
      <c r="R142" s="43"/>
      <c r="S142" s="18"/>
      <c r="T142" s="18"/>
      <c r="U142" s="18"/>
      <c r="V142" s="43"/>
      <c r="W142" s="18"/>
      <c r="X142" s="18"/>
    </row>
    <row r="143" spans="1:26" x14ac:dyDescent="0.25">
      <c r="A143" s="9"/>
      <c r="B143" s="60"/>
      <c r="D143" s="18"/>
      <c r="E143" s="18"/>
      <c r="G143" s="18"/>
      <c r="H143" s="18"/>
      <c r="I143" s="18"/>
      <c r="J143" s="43"/>
      <c r="K143" s="18"/>
      <c r="L143" s="18"/>
      <c r="M143" s="18"/>
      <c r="P143" s="18"/>
      <c r="Q143" s="18"/>
      <c r="R143" s="43"/>
      <c r="S143" s="18"/>
      <c r="T143" s="18"/>
      <c r="U143" s="18"/>
      <c r="V143" s="43"/>
      <c r="W143" s="18"/>
      <c r="X143" s="18"/>
    </row>
    <row r="144" spans="1:26" x14ac:dyDescent="0.25">
      <c r="D144" s="18"/>
      <c r="E144" s="18"/>
      <c r="G144" s="18"/>
      <c r="H144" s="18"/>
      <c r="I144" s="18"/>
      <c r="J144" s="43"/>
      <c r="K144" s="18"/>
      <c r="L144" s="18"/>
      <c r="M144" s="18"/>
      <c r="P144" s="18"/>
      <c r="Q144" s="18"/>
      <c r="R144" s="43"/>
      <c r="S144" s="18"/>
      <c r="T144" s="18"/>
      <c r="U144" s="18"/>
      <c r="V144" s="43"/>
      <c r="W144" s="18"/>
      <c r="X144" s="18"/>
    </row>
  </sheetData>
  <pageMargins left="0.25" right="0.25" top="0.75" bottom="0.75" header="0.3" footer="0.3"/>
  <pageSetup scale="55" fitToWidth="2" orientation="landscape"/>
  <drawing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tabColor rgb="FFFFFF00"/>
    <outlinePr summaryBelow="0" summaryRight="0"/>
  </sheetPr>
  <dimension ref="A2:Z136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62" t="s">
        <v>23</v>
      </c>
    </row>
    <row r="3" spans="1:26" x14ac:dyDescent="0.25">
      <c r="D3" s="62" t="s">
        <v>236</v>
      </c>
      <c r="E3" s="17"/>
      <c r="F3" s="46"/>
      <c r="G3" s="17"/>
      <c r="H3" s="17"/>
      <c r="I3" s="17"/>
      <c r="J3" s="38"/>
      <c r="K3" s="17"/>
      <c r="L3" s="17"/>
      <c r="M3" s="17"/>
      <c r="N3" s="46"/>
      <c r="O3" s="53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2" t="str">
        <f>CONCATENATE("Period ",RIGHT(202112,2),", ",2021)</f>
        <v>Period 12, 2021</v>
      </c>
      <c r="E4" s="17"/>
      <c r="F4" s="46"/>
      <c r="G4" s="17"/>
      <c r="H4" s="17"/>
      <c r="I4" s="17"/>
      <c r="J4" s="38"/>
      <c r="K4" s="17"/>
      <c r="L4" s="17"/>
      <c r="M4" s="17"/>
      <c r="N4" s="46"/>
      <c r="O4" s="53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4"/>
      <c r="D5" s="63">
        <v>44377</v>
      </c>
      <c r="E5" s="17"/>
      <c r="F5" s="46"/>
      <c r="G5" s="17"/>
      <c r="H5" s="17"/>
      <c r="I5" s="17"/>
      <c r="J5" s="38"/>
      <c r="K5" s="17"/>
      <c r="L5" s="17"/>
      <c r="M5" s="17"/>
      <c r="N5" s="46"/>
      <c r="O5" s="53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4"/>
      <c r="B6" s="48"/>
      <c r="C6" s="48"/>
      <c r="D6" s="24" t="s">
        <v>105</v>
      </c>
      <c r="E6" s="17"/>
      <c r="F6" s="46"/>
      <c r="G6" s="17"/>
      <c r="H6" s="17"/>
      <c r="I6" s="17"/>
      <c r="J6" s="38"/>
      <c r="K6" s="17"/>
      <c r="L6" s="17"/>
      <c r="M6" s="17"/>
      <c r="N6" s="46"/>
      <c r="O6" s="54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9"/>
    </row>
    <row r="8" spans="1:26" x14ac:dyDescent="0.25">
      <c r="B8" s="59"/>
    </row>
    <row r="9" spans="1:26" x14ac:dyDescent="0.25">
      <c r="B9" s="9"/>
      <c r="C9" s="9"/>
      <c r="D9" s="16" t="s">
        <v>291</v>
      </c>
      <c r="E9" s="16"/>
      <c r="F9" s="39"/>
      <c r="G9" s="16"/>
      <c r="H9" s="16"/>
      <c r="I9" s="16"/>
      <c r="J9" s="49"/>
      <c r="K9" s="16"/>
      <c r="L9" s="16"/>
      <c r="M9" s="16"/>
      <c r="N9" s="39"/>
      <c r="P9" s="16" t="s">
        <v>39</v>
      </c>
      <c r="Q9" s="16"/>
      <c r="R9" s="39"/>
      <c r="S9" s="16"/>
      <c r="T9" s="16"/>
      <c r="U9" s="16"/>
      <c r="V9" s="49"/>
      <c r="W9" s="16"/>
      <c r="X9" s="16"/>
      <c r="Y9" s="16"/>
      <c r="Z9" s="39"/>
    </row>
    <row r="10" spans="1:26" x14ac:dyDescent="0.25">
      <c r="A10" s="11"/>
      <c r="B10" s="58"/>
      <c r="C10" s="11"/>
      <c r="D10" s="42" t="s">
        <v>57</v>
      </c>
      <c r="E10" s="36"/>
      <c r="F10" s="30" t="s">
        <v>40</v>
      </c>
      <c r="G10" s="36"/>
      <c r="H10" s="50" t="s">
        <v>237</v>
      </c>
      <c r="I10" s="36"/>
      <c r="J10" s="30" t="s">
        <v>40</v>
      </c>
      <c r="K10" s="11"/>
      <c r="L10" s="42" t="s">
        <v>126</v>
      </c>
      <c r="M10" s="11"/>
      <c r="N10" s="30" t="s">
        <v>257</v>
      </c>
      <c r="O10" s="11"/>
      <c r="P10" s="61" t="s">
        <v>57</v>
      </c>
      <c r="Q10" s="36"/>
      <c r="R10" s="30" t="s">
        <v>40</v>
      </c>
      <c r="S10" s="36"/>
      <c r="T10" s="50" t="s">
        <v>237</v>
      </c>
      <c r="U10" s="36"/>
      <c r="V10" s="30" t="s">
        <v>40</v>
      </c>
      <c r="W10" s="11"/>
      <c r="X10" s="42" t="s">
        <v>126</v>
      </c>
      <c r="Y10" s="11"/>
      <c r="Z10" s="30" t="s">
        <v>257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4" customFormat="1" collapsed="1" x14ac:dyDescent="0.25">
      <c r="A12" s="11"/>
      <c r="B12" s="29" t="s">
        <v>139</v>
      </c>
      <c r="C12" s="11"/>
      <c r="D12" s="4">
        <f>SUM(OSRRefD13x_0)</f>
        <v>66694.61</v>
      </c>
      <c r="E12" s="4"/>
      <c r="F12" s="13"/>
      <c r="G12" s="4"/>
      <c r="H12" s="4">
        <f>SUM(OSRRefH13x_0)</f>
        <v>0</v>
      </c>
      <c r="I12" s="4"/>
      <c r="J12" s="13"/>
      <c r="K12" s="4"/>
      <c r="L12" s="4">
        <f t="shared" ref="L12:L22" si="0">+D12-H12</f>
        <v>66694.61</v>
      </c>
      <c r="M12" s="4"/>
      <c r="N12" s="13">
        <f t="shared" ref="N12:N22" si="1">IF(H12=0,0,L12/H12)</f>
        <v>0</v>
      </c>
      <c r="O12" s="11"/>
      <c r="P12" s="4">
        <f>SUM(OSRRefP13x_0)</f>
        <v>585069.67000000004</v>
      </c>
      <c r="Q12" s="4"/>
      <c r="R12" s="13"/>
      <c r="S12" s="4"/>
      <c r="T12" s="4">
        <f>SUM(OSRRefT13x_0)</f>
        <v>4619542.3499999996</v>
      </c>
      <c r="U12" s="4"/>
      <c r="V12" s="13"/>
      <c r="W12" s="4"/>
      <c r="X12" s="4">
        <f t="shared" ref="X12:X22" si="2">+P12-T12</f>
        <v>-4034472.6799999997</v>
      </c>
      <c r="Y12" s="4"/>
      <c r="Z12" s="13">
        <f t="shared" ref="Z12:Z22" si="3">IF(T12=0,0,X12/T12)</f>
        <v>-0.87334899743910777</v>
      </c>
    </row>
    <row r="13" spans="1:26" s="23" customFormat="1" hidden="1" outlineLevel="1" x14ac:dyDescent="0.25">
      <c r="A13" s="44"/>
      <c r="B13" s="10" t="str">
        <f>CONCATENATE("          ", "4051", " - ", "TAXABLE SALES-FOOD")</f>
        <v xml:space="preserve">          4051 - TAXABLE SALES-FOOD</v>
      </c>
      <c r="C13" s="10"/>
      <c r="D13" s="2">
        <f>--9799.52</f>
        <v>9799.52</v>
      </c>
      <c r="E13" s="2"/>
      <c r="F13" s="19"/>
      <c r="G13" s="2"/>
      <c r="H13" s="2">
        <f t="shared" ref="H13:H22" si="4">0</f>
        <v>0</v>
      </c>
      <c r="I13" s="2"/>
      <c r="J13" s="19"/>
      <c r="K13" s="2"/>
      <c r="L13" s="2">
        <f t="shared" si="0"/>
        <v>9799.52</v>
      </c>
      <c r="M13" s="2"/>
      <c r="N13" s="19">
        <f t="shared" si="1"/>
        <v>0</v>
      </c>
      <c r="O13" s="10"/>
      <c r="P13" s="2">
        <f>--49082.44</f>
        <v>49082.44</v>
      </c>
      <c r="Q13" s="2"/>
      <c r="R13" s="19"/>
      <c r="S13" s="2"/>
      <c r="T13" s="2">
        <f>--454738.68</f>
        <v>454738.68</v>
      </c>
      <c r="U13" s="2"/>
      <c r="V13" s="19"/>
      <c r="W13" s="2"/>
      <c r="X13" s="2">
        <f t="shared" si="2"/>
        <v>-405656.24</v>
      </c>
      <c r="Y13" s="2"/>
      <c r="Z13" s="19">
        <f t="shared" si="3"/>
        <v>-0.8920645149429558</v>
      </c>
    </row>
    <row r="14" spans="1:26" s="23" customFormat="1" hidden="1" outlineLevel="1" x14ac:dyDescent="0.25">
      <c r="A14" s="44"/>
      <c r="B14" s="10" t="str">
        <f>CONCATENATE("          ", "4052", " - ", "TAXABLE SALES-FOOD")</f>
        <v xml:space="preserve">          4052 - TAXABLE SALES-FOOD</v>
      </c>
      <c r="C14" s="10"/>
      <c r="D14" s="2">
        <f>--61213.59</f>
        <v>61213.59</v>
      </c>
      <c r="E14" s="2"/>
      <c r="F14" s="19"/>
      <c r="G14" s="2"/>
      <c r="H14" s="2">
        <f t="shared" si="4"/>
        <v>0</v>
      </c>
      <c r="I14" s="2"/>
      <c r="J14" s="19"/>
      <c r="K14" s="2"/>
      <c r="L14" s="2">
        <f t="shared" si="0"/>
        <v>61213.59</v>
      </c>
      <c r="M14" s="2"/>
      <c r="N14" s="19">
        <f t="shared" si="1"/>
        <v>0</v>
      </c>
      <c r="O14" s="10"/>
      <c r="P14" s="2">
        <f>--489866.6</f>
        <v>489866.6</v>
      </c>
      <c r="Q14" s="2"/>
      <c r="R14" s="19"/>
      <c r="S14" s="2"/>
      <c r="T14" s="2">
        <f>--836487.29</f>
        <v>836487.29</v>
      </c>
      <c r="U14" s="2"/>
      <c r="V14" s="19"/>
      <c r="W14" s="2"/>
      <c r="X14" s="2">
        <f t="shared" si="2"/>
        <v>-346620.69000000006</v>
      </c>
      <c r="Y14" s="2"/>
      <c r="Z14" s="19">
        <f t="shared" si="3"/>
        <v>-0.41437651730488345</v>
      </c>
    </row>
    <row r="15" spans="1:26" s="23" customFormat="1" hidden="1" outlineLevel="1" x14ac:dyDescent="0.25">
      <c r="A15" s="44"/>
      <c r="B15" s="10" t="str">
        <f>CONCATENATE("          ", "4053", " - ", "TAXABLE SALES-FOOD")</f>
        <v xml:space="preserve">          4053 - TAXABLE SALES-FOOD</v>
      </c>
      <c r="C15" s="10"/>
      <c r="D15" s="2">
        <f t="shared" ref="D15:D17" si="5">0</f>
        <v>0</v>
      </c>
      <c r="E15" s="2"/>
      <c r="F15" s="19"/>
      <c r="G15" s="2"/>
      <c r="H15" s="2">
        <f t="shared" si="4"/>
        <v>0</v>
      </c>
      <c r="I15" s="2"/>
      <c r="J15" s="19"/>
      <c r="K15" s="2"/>
      <c r="L15" s="2">
        <f t="shared" si="0"/>
        <v>0</v>
      </c>
      <c r="M15" s="2"/>
      <c r="N15" s="19">
        <f t="shared" si="1"/>
        <v>0</v>
      </c>
      <c r="O15" s="10"/>
      <c r="P15" s="2">
        <f t="shared" ref="P15:P16" si="6">0</f>
        <v>0</v>
      </c>
      <c r="Q15" s="2"/>
      <c r="R15" s="19"/>
      <c r="S15" s="2"/>
      <c r="T15" s="2">
        <f>--253270.4</f>
        <v>253270.39999999999</v>
      </c>
      <c r="U15" s="2"/>
      <c r="V15" s="19"/>
      <c r="W15" s="2"/>
      <c r="X15" s="2">
        <f t="shared" si="2"/>
        <v>-253270.39999999999</v>
      </c>
      <c r="Y15" s="2"/>
      <c r="Z15" s="19">
        <f t="shared" si="3"/>
        <v>-1</v>
      </c>
    </row>
    <row r="16" spans="1:26" s="23" customFormat="1" hidden="1" outlineLevel="1" x14ac:dyDescent="0.25">
      <c r="A16" s="44"/>
      <c r="B16" s="10" t="str">
        <f>CONCATENATE("          ", "4055", " - ", "TAXABLE SALES-FOOD")</f>
        <v xml:space="preserve">          4055 - TAXABLE SALES-FOOD</v>
      </c>
      <c r="C16" s="10"/>
      <c r="D16" s="2">
        <f t="shared" si="5"/>
        <v>0</v>
      </c>
      <c r="E16" s="2"/>
      <c r="F16" s="19"/>
      <c r="G16" s="2"/>
      <c r="H16" s="2">
        <f t="shared" si="4"/>
        <v>0</v>
      </c>
      <c r="I16" s="2"/>
      <c r="J16" s="19"/>
      <c r="K16" s="2"/>
      <c r="L16" s="2">
        <f t="shared" si="0"/>
        <v>0</v>
      </c>
      <c r="M16" s="2"/>
      <c r="N16" s="19">
        <f t="shared" si="1"/>
        <v>0</v>
      </c>
      <c r="O16" s="10"/>
      <c r="P16" s="2">
        <f t="shared" si="6"/>
        <v>0</v>
      </c>
      <c r="Q16" s="2"/>
      <c r="R16" s="19"/>
      <c r="S16" s="2"/>
      <c r="T16" s="2">
        <f>--381406.04</f>
        <v>381406.04</v>
      </c>
      <c r="U16" s="2"/>
      <c r="V16" s="19"/>
      <c r="W16" s="2"/>
      <c r="X16" s="2">
        <f t="shared" si="2"/>
        <v>-381406.04</v>
      </c>
      <c r="Y16" s="2"/>
      <c r="Z16" s="19">
        <f t="shared" si="3"/>
        <v>-1</v>
      </c>
    </row>
    <row r="17" spans="1:26" s="23" customFormat="1" hidden="1" outlineLevel="1" x14ac:dyDescent="0.25">
      <c r="A17" s="44"/>
      <c r="B17" s="10" t="str">
        <f>CONCATENATE("          ", "4058", " - ", "TAXABLE SALES-FOOD")</f>
        <v xml:space="preserve">          4058 - TAXABLE SALES-FOOD</v>
      </c>
      <c r="C17" s="10"/>
      <c r="D17" s="2">
        <f t="shared" si="5"/>
        <v>0</v>
      </c>
      <c r="E17" s="2"/>
      <c r="F17" s="19"/>
      <c r="G17" s="2"/>
      <c r="H17" s="2">
        <f t="shared" si="4"/>
        <v>0</v>
      </c>
      <c r="I17" s="2"/>
      <c r="J17" s="19"/>
      <c r="K17" s="2"/>
      <c r="L17" s="2">
        <f t="shared" si="0"/>
        <v>0</v>
      </c>
      <c r="M17" s="2"/>
      <c r="N17" s="19">
        <f t="shared" si="1"/>
        <v>0</v>
      </c>
      <c r="O17" s="10"/>
      <c r="P17" s="2">
        <f>--974.91</f>
        <v>974.91</v>
      </c>
      <c r="Q17" s="2"/>
      <c r="R17" s="19"/>
      <c r="S17" s="2"/>
      <c r="T17" s="2">
        <f>--117077.57</f>
        <v>117077.57</v>
      </c>
      <c r="U17" s="2"/>
      <c r="V17" s="19"/>
      <c r="W17" s="2"/>
      <c r="X17" s="2">
        <f t="shared" si="2"/>
        <v>-116102.66</v>
      </c>
      <c r="Y17" s="2"/>
      <c r="Z17" s="19">
        <f t="shared" si="3"/>
        <v>-0.99167295665600164</v>
      </c>
    </row>
    <row r="18" spans="1:26" s="23" customFormat="1" hidden="1" outlineLevel="1" x14ac:dyDescent="0.25">
      <c r="A18" s="44"/>
      <c r="B18" s="10" t="str">
        <f>CONCATENATE("          ", "4151", " - ", "NON-TAXABLE SALES-FOOD")</f>
        <v xml:space="preserve">          4151 - NON-TAXABLE SALES-FOOD</v>
      </c>
      <c r="C18" s="10"/>
      <c r="D18" s="2">
        <f>--7262.45</f>
        <v>7262.45</v>
      </c>
      <c r="E18" s="2"/>
      <c r="F18" s="19"/>
      <c r="G18" s="2"/>
      <c r="H18" s="2">
        <f t="shared" si="4"/>
        <v>0</v>
      </c>
      <c r="I18" s="2"/>
      <c r="J18" s="19"/>
      <c r="K18" s="2"/>
      <c r="L18" s="2">
        <f t="shared" si="0"/>
        <v>7262.45</v>
      </c>
      <c r="M18" s="2"/>
      <c r="N18" s="19">
        <f t="shared" si="1"/>
        <v>0</v>
      </c>
      <c r="O18" s="10"/>
      <c r="P18" s="2">
        <f>--45145.72</f>
        <v>45145.72</v>
      </c>
      <c r="Q18" s="2"/>
      <c r="R18" s="19"/>
      <c r="S18" s="2"/>
      <c r="T18" s="2">
        <f>--1363402.11</f>
        <v>1363402.11</v>
      </c>
      <c r="U18" s="2"/>
      <c r="V18" s="19"/>
      <c r="W18" s="2"/>
      <c r="X18" s="2">
        <f t="shared" si="2"/>
        <v>-1318256.3900000001</v>
      </c>
      <c r="Y18" s="2"/>
      <c r="Z18" s="19">
        <f t="shared" si="3"/>
        <v>-0.96688745039422008</v>
      </c>
    </row>
    <row r="19" spans="1:26" s="23" customFormat="1" hidden="1" outlineLevel="1" x14ac:dyDescent="0.25">
      <c r="A19" s="44"/>
      <c r="B19" s="10" t="str">
        <f>CONCATENATE("          ", "4152", " - ", "NON-TAXABLE SALES-FOOD")</f>
        <v xml:space="preserve">          4152 - NON-TAXABLE SALES-FOOD</v>
      </c>
      <c r="C19" s="10"/>
      <c r="D19" s="2">
        <f>-11580.95</f>
        <v>-11580.95</v>
      </c>
      <c r="E19" s="2"/>
      <c r="F19" s="19"/>
      <c r="G19" s="2"/>
      <c r="H19" s="2">
        <f t="shared" si="4"/>
        <v>0</v>
      </c>
      <c r="I19" s="2"/>
      <c r="J19" s="19"/>
      <c r="K19" s="2"/>
      <c r="L19" s="2">
        <f t="shared" si="0"/>
        <v>-11580.95</v>
      </c>
      <c r="M19" s="2"/>
      <c r="N19" s="19">
        <f t="shared" si="1"/>
        <v>0</v>
      </c>
      <c r="O19" s="10"/>
      <c r="P19" s="2">
        <f t="shared" ref="P19:P22" si="7">0</f>
        <v>0</v>
      </c>
      <c r="Q19" s="2"/>
      <c r="R19" s="19"/>
      <c r="S19" s="2"/>
      <c r="T19" s="2">
        <f>--51415.27</f>
        <v>51415.27</v>
      </c>
      <c r="U19" s="2"/>
      <c r="V19" s="19"/>
      <c r="W19" s="2"/>
      <c r="X19" s="2">
        <f t="shared" si="2"/>
        <v>-51415.27</v>
      </c>
      <c r="Y19" s="2"/>
      <c r="Z19" s="19">
        <f t="shared" si="3"/>
        <v>-1</v>
      </c>
    </row>
    <row r="20" spans="1:26" s="23" customFormat="1" hidden="1" outlineLevel="1" x14ac:dyDescent="0.25">
      <c r="A20" s="44"/>
      <c r="B20" s="10" t="str">
        <f>CONCATENATE("          ", "4153", " - ", "NON-TAXABLE SALES-FOOD")</f>
        <v xml:space="preserve">          4153 - NON-TAXABLE SALES-FOOD</v>
      </c>
      <c r="C20" s="10"/>
      <c r="D20" s="2">
        <f t="shared" ref="D20:D22" si="8">0</f>
        <v>0</v>
      </c>
      <c r="E20" s="2"/>
      <c r="F20" s="19"/>
      <c r="G20" s="2"/>
      <c r="H20" s="2">
        <f t="shared" si="4"/>
        <v>0</v>
      </c>
      <c r="I20" s="2"/>
      <c r="J20" s="19"/>
      <c r="K20" s="2"/>
      <c r="L20" s="2">
        <f t="shared" si="0"/>
        <v>0</v>
      </c>
      <c r="M20" s="2"/>
      <c r="N20" s="19">
        <f t="shared" si="1"/>
        <v>0</v>
      </c>
      <c r="O20" s="10"/>
      <c r="P20" s="2">
        <f t="shared" si="7"/>
        <v>0</v>
      </c>
      <c r="Q20" s="2"/>
      <c r="R20" s="19"/>
      <c r="S20" s="2"/>
      <c r="T20" s="2">
        <f>-498.41</f>
        <v>-498.41</v>
      </c>
      <c r="U20" s="2"/>
      <c r="V20" s="19"/>
      <c r="W20" s="2"/>
      <c r="X20" s="2">
        <f t="shared" si="2"/>
        <v>498.41</v>
      </c>
      <c r="Y20" s="2"/>
      <c r="Z20" s="19">
        <f t="shared" si="3"/>
        <v>-1</v>
      </c>
    </row>
    <row r="21" spans="1:26" s="23" customFormat="1" hidden="1" outlineLevel="1" x14ac:dyDescent="0.25">
      <c r="A21" s="44"/>
      <c r="B21" s="10" t="str">
        <f>CONCATENATE("          ", "4155", " - ", "NON-TAXABLE SALES-FOOD")</f>
        <v xml:space="preserve">          4155 - NON-TAXABLE SALES-FOOD</v>
      </c>
      <c r="C21" s="10"/>
      <c r="D21" s="2">
        <f t="shared" si="8"/>
        <v>0</v>
      </c>
      <c r="E21" s="2"/>
      <c r="F21" s="19"/>
      <c r="G21" s="2"/>
      <c r="H21" s="2">
        <f t="shared" si="4"/>
        <v>0</v>
      </c>
      <c r="I21" s="2"/>
      <c r="J21" s="19"/>
      <c r="K21" s="2"/>
      <c r="L21" s="2">
        <f t="shared" si="0"/>
        <v>0</v>
      </c>
      <c r="M21" s="2"/>
      <c r="N21" s="19">
        <f t="shared" si="1"/>
        <v>0</v>
      </c>
      <c r="O21" s="10"/>
      <c r="P21" s="2">
        <f t="shared" si="7"/>
        <v>0</v>
      </c>
      <c r="Q21" s="2"/>
      <c r="R21" s="19"/>
      <c r="S21" s="2"/>
      <c r="T21" s="2">
        <f>--687389.73</f>
        <v>687389.73</v>
      </c>
      <c r="U21" s="2"/>
      <c r="V21" s="19"/>
      <c r="W21" s="2"/>
      <c r="X21" s="2">
        <f t="shared" si="2"/>
        <v>-687389.73</v>
      </c>
      <c r="Y21" s="2"/>
      <c r="Z21" s="19">
        <f t="shared" si="3"/>
        <v>-1</v>
      </c>
    </row>
    <row r="22" spans="1:26" s="23" customFormat="1" hidden="1" outlineLevel="1" x14ac:dyDescent="0.25">
      <c r="A22" s="44"/>
      <c r="B22" s="10" t="str">
        <f>CONCATENATE("          ", "4158", " - ", "NON-TAXABLE SALES-FOOD")</f>
        <v xml:space="preserve">          4158 - NON-TAXABLE SALES-FOOD</v>
      </c>
      <c r="C22" s="10"/>
      <c r="D22" s="2">
        <f t="shared" si="8"/>
        <v>0</v>
      </c>
      <c r="E22" s="2"/>
      <c r="F22" s="19"/>
      <c r="G22" s="2"/>
      <c r="H22" s="2">
        <f t="shared" si="4"/>
        <v>0</v>
      </c>
      <c r="I22" s="2"/>
      <c r="J22" s="19"/>
      <c r="K22" s="2"/>
      <c r="L22" s="2">
        <f t="shared" si="0"/>
        <v>0</v>
      </c>
      <c r="M22" s="2"/>
      <c r="N22" s="19">
        <f t="shared" si="1"/>
        <v>0</v>
      </c>
      <c r="O22" s="10"/>
      <c r="P22" s="2">
        <f t="shared" si="7"/>
        <v>0</v>
      </c>
      <c r="Q22" s="2"/>
      <c r="R22" s="19"/>
      <c r="S22" s="2"/>
      <c r="T22" s="2">
        <f>--474853.67</f>
        <v>474853.67</v>
      </c>
      <c r="U22" s="2"/>
      <c r="V22" s="19"/>
      <c r="W22" s="2"/>
      <c r="X22" s="2">
        <f t="shared" si="2"/>
        <v>-474853.67</v>
      </c>
      <c r="Y22" s="2"/>
      <c r="Z22" s="19">
        <f t="shared" si="3"/>
        <v>-1</v>
      </c>
    </row>
    <row r="23" spans="1:26" x14ac:dyDescent="0.25">
      <c r="A23" s="9"/>
      <c r="B23" s="11"/>
      <c r="C23" s="9"/>
      <c r="D23" s="3"/>
      <c r="E23" s="3"/>
      <c r="F23" s="8"/>
      <c r="G23" s="3"/>
      <c r="H23" s="3"/>
      <c r="I23" s="3"/>
      <c r="J23" s="8"/>
      <c r="K23" s="3"/>
      <c r="L23" s="3"/>
      <c r="M23" s="3"/>
      <c r="N23" s="8"/>
      <c r="P23" s="3"/>
      <c r="Q23" s="3"/>
      <c r="R23" s="8"/>
      <c r="S23" s="3"/>
      <c r="T23" s="3"/>
      <c r="U23" s="3"/>
      <c r="V23" s="8"/>
      <c r="W23" s="3"/>
      <c r="X23" s="3"/>
      <c r="Y23" s="3"/>
      <c r="Z23" s="8"/>
    </row>
    <row r="24" spans="1:26" s="24" customFormat="1" collapsed="1" x14ac:dyDescent="0.25">
      <c r="A24" s="11"/>
      <c r="B24" s="29" t="s">
        <v>256</v>
      </c>
      <c r="C24" s="11"/>
      <c r="D24" s="4">
        <f>SUM(OSRRefD16x_0)</f>
        <v>5421.68</v>
      </c>
      <c r="E24" s="4"/>
      <c r="F24" s="13">
        <f t="shared" ref="F24:F26" si="9">IF(D$12=0,0,D24/D$12)</f>
        <v>8.1291126824191637E-2</v>
      </c>
      <c r="G24" s="4"/>
      <c r="H24" s="4">
        <f>SUM(OSRRefH16x_0)</f>
        <v>33964</v>
      </c>
      <c r="I24" s="4"/>
      <c r="J24" s="13">
        <f t="shared" ref="J24:J26" si="10">IF(H$12=0,0,H24/H$12)</f>
        <v>0</v>
      </c>
      <c r="K24" s="4"/>
      <c r="L24" s="4">
        <f t="shared" ref="L24:L26" si="11">+D24-H24</f>
        <v>-28542.32</v>
      </c>
      <c r="M24" s="4"/>
      <c r="N24" s="13">
        <f t="shared" ref="N24:N26" si="12">IF(H24=0,0,L24/H24)</f>
        <v>-0.84036980332116362</v>
      </c>
      <c r="O24" s="11"/>
      <c r="P24" s="4">
        <f>SUM(OSRRefP16x_0)</f>
        <v>23185.120000000003</v>
      </c>
      <c r="Q24" s="4"/>
      <c r="R24" s="13">
        <f t="shared" ref="R24:R26" si="13">IF(P$12=0,0,P24/P$12)</f>
        <v>3.9627964307225157E-2</v>
      </c>
      <c r="S24" s="4"/>
      <c r="T24" s="4">
        <f>SUM(OSRRefT16x_0)</f>
        <v>1678796.26</v>
      </c>
      <c r="U24" s="4"/>
      <c r="V24" s="13">
        <f t="shared" ref="V24:V26" si="14">IF(T$12=0,0,T24/T$12)</f>
        <v>0.36341181286063978</v>
      </c>
      <c r="W24" s="4"/>
      <c r="X24" s="4">
        <f t="shared" ref="X24:X26" si="15">+P24-T24</f>
        <v>-1655611.14</v>
      </c>
      <c r="Y24" s="4"/>
      <c r="Z24" s="13">
        <f t="shared" ref="Z24:Z26" si="16">IF(T24=0,0,X24/T24)</f>
        <v>-0.98618943790117797</v>
      </c>
    </row>
    <row r="25" spans="1:26" s="23" customFormat="1" hidden="1" outlineLevel="1" x14ac:dyDescent="0.25">
      <c r="A25" s="44"/>
      <c r="B25" s="10" t="str">
        <f>CONCATENATE("          ", "5053", " - ", "PURCHASES @ COST-FOOD")</f>
        <v xml:space="preserve">          5053 - PURCHASES @ COST-FOOD</v>
      </c>
      <c r="C25" s="10"/>
      <c r="D25" s="2">
        <v>5530.68</v>
      </c>
      <c r="E25" s="2"/>
      <c r="F25" s="19">
        <f t="shared" si="9"/>
        <v>8.2925441801069089E-2</v>
      </c>
      <c r="G25" s="2"/>
      <c r="H25" s="2">
        <v>1754</v>
      </c>
      <c r="I25" s="2"/>
      <c r="J25" s="19">
        <f t="shared" si="10"/>
        <v>0</v>
      </c>
      <c r="K25" s="2"/>
      <c r="L25" s="2">
        <f t="shared" si="11"/>
        <v>3776.6800000000003</v>
      </c>
      <c r="M25" s="2"/>
      <c r="N25" s="19">
        <f t="shared" si="12"/>
        <v>2.1531812998859752</v>
      </c>
      <c r="O25" s="10"/>
      <c r="P25" s="2">
        <v>17658.11</v>
      </c>
      <c r="Q25" s="2"/>
      <c r="R25" s="19">
        <f t="shared" si="13"/>
        <v>3.0181209017380785E-2</v>
      </c>
      <c r="S25" s="2"/>
      <c r="T25" s="2">
        <v>1603213.27</v>
      </c>
      <c r="U25" s="2"/>
      <c r="V25" s="19">
        <f t="shared" si="14"/>
        <v>0.34705023756303482</v>
      </c>
      <c r="W25" s="2"/>
      <c r="X25" s="2">
        <f t="shared" si="15"/>
        <v>-1585555.16</v>
      </c>
      <c r="Y25" s="2"/>
      <c r="Z25" s="19">
        <f t="shared" si="16"/>
        <v>-0.98898580099701883</v>
      </c>
    </row>
    <row r="26" spans="1:26" s="23" customFormat="1" hidden="1" outlineLevel="1" x14ac:dyDescent="0.25">
      <c r="A26" s="44"/>
      <c r="B26" s="10" t="str">
        <f>CONCATENATE("          ", "5059", " - ", "PURCHASES @ COST-FOOD")</f>
        <v xml:space="preserve">          5059 - PURCHASES @ COST-FOOD</v>
      </c>
      <c r="C26" s="10"/>
      <c r="D26" s="2">
        <v>-109</v>
      </c>
      <c r="E26" s="2"/>
      <c r="F26" s="19">
        <f t="shared" si="9"/>
        <v>-1.6343149768774418E-3</v>
      </c>
      <c r="G26" s="2"/>
      <c r="H26" s="2">
        <v>32210</v>
      </c>
      <c r="I26" s="2"/>
      <c r="J26" s="19">
        <f t="shared" si="10"/>
        <v>0</v>
      </c>
      <c r="K26" s="2"/>
      <c r="L26" s="2">
        <f t="shared" si="11"/>
        <v>-32319</v>
      </c>
      <c r="M26" s="2"/>
      <c r="N26" s="19">
        <f t="shared" si="12"/>
        <v>-1.0033840422229121</v>
      </c>
      <c r="O26" s="10"/>
      <c r="P26" s="2">
        <v>5527.01</v>
      </c>
      <c r="Q26" s="2"/>
      <c r="R26" s="19">
        <f t="shared" si="13"/>
        <v>9.4467552898443701E-3</v>
      </c>
      <c r="S26" s="2"/>
      <c r="T26" s="2">
        <v>75582.990000000005</v>
      </c>
      <c r="U26" s="2"/>
      <c r="V26" s="19">
        <f t="shared" si="14"/>
        <v>1.6361575297604968E-2</v>
      </c>
      <c r="W26" s="2"/>
      <c r="X26" s="2">
        <f t="shared" si="15"/>
        <v>-70055.98000000001</v>
      </c>
      <c r="Y26" s="2"/>
      <c r="Z26" s="19">
        <f t="shared" si="16"/>
        <v>-0.92687494897992262</v>
      </c>
    </row>
    <row r="27" spans="1:26" x14ac:dyDescent="0.25">
      <c r="A27" s="9"/>
      <c r="B27" s="11"/>
      <c r="C27" s="11"/>
      <c r="D27" s="3"/>
      <c r="E27" s="3"/>
      <c r="F27" s="8"/>
      <c r="G27" s="3"/>
      <c r="H27" s="3"/>
      <c r="I27" s="3"/>
      <c r="J27" s="8"/>
      <c r="K27" s="3"/>
      <c r="L27" s="3"/>
      <c r="M27" s="3"/>
      <c r="N27" s="8"/>
      <c r="O27" s="11"/>
      <c r="P27" s="3"/>
      <c r="Q27" s="3"/>
      <c r="R27" s="8"/>
      <c r="S27" s="3"/>
      <c r="T27" s="3"/>
      <c r="U27" s="3"/>
      <c r="V27" s="8"/>
      <c r="W27" s="3"/>
      <c r="X27" s="3"/>
      <c r="Y27" s="3"/>
      <c r="Z27" s="8"/>
    </row>
    <row r="28" spans="1:26" s="24" customFormat="1" x14ac:dyDescent="0.25">
      <c r="A28" s="11"/>
      <c r="B28" s="28" t="s">
        <v>107</v>
      </c>
      <c r="C28" s="28"/>
      <c r="D28" s="21">
        <f>D12-D24</f>
        <v>61272.93</v>
      </c>
      <c r="E28" s="14"/>
      <c r="F28" s="22">
        <f>IF(D$12=0,0,D28/D$12)</f>
        <v>0.9187088731758084</v>
      </c>
      <c r="G28" s="14"/>
      <c r="H28" s="21">
        <f>H12-H24</f>
        <v>-33964</v>
      </c>
      <c r="I28" s="14"/>
      <c r="J28" s="22">
        <f>IF(H$12=0,0,H28/H$12)</f>
        <v>0</v>
      </c>
      <c r="K28" s="15"/>
      <c r="L28" s="21">
        <f>+D28-H28</f>
        <v>95236.93</v>
      </c>
      <c r="M28" s="15"/>
      <c r="N28" s="22">
        <f>IF(H28=0,0,L28/H28)</f>
        <v>-2.8040551760687786</v>
      </c>
      <c r="O28" s="29"/>
      <c r="P28" s="21">
        <f>P12-P24</f>
        <v>561884.55000000005</v>
      </c>
      <c r="Q28" s="14"/>
      <c r="R28" s="22">
        <f>IF(P$12=0,0,P28/P$12)</f>
        <v>0.96037203569277485</v>
      </c>
      <c r="S28" s="14"/>
      <c r="T28" s="21">
        <f>T12-T24</f>
        <v>2940746.09</v>
      </c>
      <c r="U28" s="14"/>
      <c r="V28" s="22">
        <f>IF(T$12=0,0,T28/T$12)</f>
        <v>0.63658818713936027</v>
      </c>
      <c r="W28" s="15"/>
      <c r="X28" s="21">
        <f>+P28-T28</f>
        <v>-2378861.54</v>
      </c>
      <c r="Y28" s="15"/>
      <c r="Z28" s="22">
        <f>IF(T28=0,0,X28/T28)</f>
        <v>-0.80893129403089681</v>
      </c>
    </row>
    <row r="29" spans="1:26" x14ac:dyDescent="0.25">
      <c r="A29" s="9"/>
      <c r="B29" s="11"/>
      <c r="C29" s="9"/>
      <c r="D29" s="1"/>
      <c r="E29" s="1"/>
      <c r="F29" s="5"/>
      <c r="G29" s="1"/>
      <c r="H29" s="1"/>
      <c r="I29" s="1"/>
      <c r="J29" s="5"/>
      <c r="K29" s="1"/>
      <c r="L29" s="1"/>
      <c r="M29" s="1"/>
      <c r="N29" s="5"/>
      <c r="O29" s="37"/>
      <c r="P29" s="1"/>
      <c r="Q29" s="1"/>
      <c r="R29" s="5"/>
      <c r="S29" s="1"/>
      <c r="T29" s="1"/>
      <c r="U29" s="1"/>
      <c r="V29" s="5"/>
      <c r="W29" s="1"/>
      <c r="X29" s="1"/>
      <c r="Y29" s="1"/>
      <c r="Z29" s="5"/>
    </row>
    <row r="30" spans="1:26" s="24" customFormat="1" x14ac:dyDescent="0.25">
      <c r="A30" s="11"/>
      <c r="B30" s="29" t="s">
        <v>294</v>
      </c>
      <c r="C30" s="11"/>
      <c r="D30" s="20">
        <f>SUM(OSRRefD22x_0)</f>
        <v>172353.82</v>
      </c>
      <c r="E30" s="20"/>
      <c r="F30" s="32">
        <f t="shared" ref="F30:F40" si="17">IF(D$12=0,0,D30/D$12)</f>
        <v>2.5842241224590712</v>
      </c>
      <c r="G30" s="20"/>
      <c r="H30" s="20">
        <f>SUM(OSRRefH22x_0)</f>
        <v>168236.21000000002</v>
      </c>
      <c r="I30" s="20"/>
      <c r="J30" s="32">
        <f t="shared" ref="J30:J40" si="18">IF(H$12=0,0,H30/H$12)</f>
        <v>0</v>
      </c>
      <c r="K30" s="4"/>
      <c r="L30" s="20">
        <f t="shared" ref="L30:L40" si="19">+D30-H30</f>
        <v>4117.609999999986</v>
      </c>
      <c r="M30" s="4"/>
      <c r="N30" s="32">
        <f t="shared" ref="N30:N40" si="20">IF(H30=0,0,L30/H30)</f>
        <v>2.447517095160421E-2</v>
      </c>
      <c r="O30" s="11"/>
      <c r="P30" s="20">
        <f>SUM(OSRRefP22x_0)</f>
        <v>1406084.9600000002</v>
      </c>
      <c r="Q30" s="20"/>
      <c r="R30" s="32">
        <f t="shared" ref="R30:R40" si="21">IF(P$12=0,0,P30/P$12)</f>
        <v>2.4032778181784744</v>
      </c>
      <c r="S30" s="20"/>
      <c r="T30" s="20">
        <f>SUM(OSRRefT22x_0)</f>
        <v>4863298.62</v>
      </c>
      <c r="U30" s="20"/>
      <c r="V30" s="32">
        <f t="shared" ref="V30:V40" si="22">IF(T$12=0,0,T30/T$12)</f>
        <v>1.0527663243524545</v>
      </c>
      <c r="W30" s="4"/>
      <c r="X30" s="20">
        <f t="shared" ref="X30:X40" si="23">+P30-T30</f>
        <v>-3457213.66</v>
      </c>
      <c r="Y30" s="4"/>
      <c r="Z30" s="32">
        <f t="shared" ref="Z30:Z40" si="24">IF(T30=0,0,X30/T30)</f>
        <v>-0.71087834207474598</v>
      </c>
    </row>
    <row r="31" spans="1:26" s="27" customFormat="1" outlineLevel="1" collapsed="1" x14ac:dyDescent="0.25">
      <c r="A31" s="26"/>
      <c r="B31" s="12" t="str">
        <f>CONCATENATE("     ","*Benefits                                         ")</f>
        <v xml:space="preserve">     *Benefits                                         </v>
      </c>
      <c r="C31" s="12"/>
      <c r="D31" s="1">
        <f>SUM(OSRRefD22_0x_0)</f>
        <v>21021.899999999998</v>
      </c>
      <c r="E31" s="1"/>
      <c r="F31" s="5">
        <f t="shared" si="17"/>
        <v>0.31519638543504486</v>
      </c>
      <c r="G31" s="1"/>
      <c r="H31" s="1">
        <f>SUM(OSRRefH22_0x_0)</f>
        <v>18939.369999999995</v>
      </c>
      <c r="I31" s="1"/>
      <c r="J31" s="5">
        <f t="shared" si="18"/>
        <v>0</v>
      </c>
      <c r="K31" s="1"/>
      <c r="L31" s="1">
        <f t="shared" si="19"/>
        <v>2082.5300000000025</v>
      </c>
      <c r="M31" s="1"/>
      <c r="N31" s="5">
        <f t="shared" si="20"/>
        <v>0.10995772298656201</v>
      </c>
      <c r="O31" s="12"/>
      <c r="P31" s="1">
        <f>SUM(OSRRefP22_0x_0)</f>
        <v>249143.03</v>
      </c>
      <c r="Q31" s="1"/>
      <c r="R31" s="5">
        <f t="shared" si="21"/>
        <v>0.42583480698973847</v>
      </c>
      <c r="S31" s="1"/>
      <c r="T31" s="1">
        <f>SUM(OSRRefT22_0x_0)</f>
        <v>637018.50999999989</v>
      </c>
      <c r="U31" s="1"/>
      <c r="V31" s="5">
        <f t="shared" si="22"/>
        <v>0.13789645418014188</v>
      </c>
      <c r="W31" s="1"/>
      <c r="X31" s="1">
        <f t="shared" si="23"/>
        <v>-387875.47999999986</v>
      </c>
      <c r="Y31" s="1"/>
      <c r="Z31" s="5">
        <f t="shared" si="24"/>
        <v>-0.60889200849124447</v>
      </c>
    </row>
    <row r="32" spans="1:26" s="23" customFormat="1" hidden="1" outlineLevel="2" x14ac:dyDescent="0.25">
      <c r="A32" s="25"/>
      <c r="B32" s="10" t="str">
        <f>CONCATENATE("          ", "6111", " - ", "F.I.C.A.")</f>
        <v xml:space="preserve">          6111 - F.I.C.A.</v>
      </c>
      <c r="C32" s="10"/>
      <c r="D32" s="6">
        <v>2607.87</v>
      </c>
      <c r="E32" s="2"/>
      <c r="F32" s="7">
        <f t="shared" si="17"/>
        <v>3.9101660538985082E-2</v>
      </c>
      <c r="G32" s="2"/>
      <c r="H32" s="6">
        <v>2746.16</v>
      </c>
      <c r="I32" s="2"/>
      <c r="J32" s="7">
        <f t="shared" si="18"/>
        <v>0</v>
      </c>
      <c r="K32" s="2"/>
      <c r="L32" s="6">
        <f t="shared" si="19"/>
        <v>-138.28999999999996</v>
      </c>
      <c r="M32" s="2"/>
      <c r="N32" s="7">
        <f t="shared" si="20"/>
        <v>-5.0357590235091898E-2</v>
      </c>
      <c r="O32" s="10"/>
      <c r="P32" s="6">
        <v>30589.38</v>
      </c>
      <c r="Q32" s="2"/>
      <c r="R32" s="7">
        <f t="shared" si="21"/>
        <v>5.2283311831905419E-2</v>
      </c>
      <c r="S32" s="2"/>
      <c r="T32" s="6">
        <v>137065.68</v>
      </c>
      <c r="U32" s="2"/>
      <c r="V32" s="7">
        <f t="shared" si="22"/>
        <v>2.9670835250595766E-2</v>
      </c>
      <c r="W32" s="2"/>
      <c r="X32" s="6">
        <f t="shared" si="23"/>
        <v>-106476.29999999999</v>
      </c>
      <c r="Y32" s="2"/>
      <c r="Z32" s="7">
        <f t="shared" si="24"/>
        <v>-0.77682684680804115</v>
      </c>
    </row>
    <row r="33" spans="1:26" s="23" customFormat="1" hidden="1" outlineLevel="2" x14ac:dyDescent="0.25">
      <c r="A33" s="25"/>
      <c r="B33" s="10" t="str">
        <f>CONCATENATE("          ", "6112", " - ", "COMPENSATION INSURANCE")</f>
        <v xml:space="preserve">          6112 - COMPENSATION INSURANCE</v>
      </c>
      <c r="C33" s="10"/>
      <c r="D33" s="6">
        <v>748.61</v>
      </c>
      <c r="E33" s="2"/>
      <c r="F33" s="7">
        <f t="shared" si="17"/>
        <v>1.1224445273763503E-2</v>
      </c>
      <c r="G33" s="2"/>
      <c r="H33" s="6">
        <v>783.34</v>
      </c>
      <c r="I33" s="2"/>
      <c r="J33" s="7">
        <f t="shared" si="18"/>
        <v>0</v>
      </c>
      <c r="K33" s="2"/>
      <c r="L33" s="6">
        <f t="shared" si="19"/>
        <v>-34.730000000000018</v>
      </c>
      <c r="M33" s="2"/>
      <c r="N33" s="7">
        <f t="shared" si="20"/>
        <v>-4.433579288686907E-2</v>
      </c>
      <c r="O33" s="10"/>
      <c r="P33" s="6">
        <v>8683.7000000000007</v>
      </c>
      <c r="Q33" s="2"/>
      <c r="R33" s="7">
        <f t="shared" si="21"/>
        <v>1.4842164010997186E-2</v>
      </c>
      <c r="S33" s="2"/>
      <c r="T33" s="6">
        <v>71894.929999999993</v>
      </c>
      <c r="U33" s="2"/>
      <c r="V33" s="7">
        <f t="shared" si="22"/>
        <v>1.5563214827979659E-2</v>
      </c>
      <c r="W33" s="2"/>
      <c r="X33" s="6">
        <f t="shared" si="23"/>
        <v>-63211.229999999996</v>
      </c>
      <c r="Y33" s="2"/>
      <c r="Z33" s="7">
        <f t="shared" si="24"/>
        <v>-0.87921679595487479</v>
      </c>
    </row>
    <row r="34" spans="1:26" s="23" customFormat="1" hidden="1" outlineLevel="2" x14ac:dyDescent="0.25">
      <c r="A34" s="25"/>
      <c r="B34" s="10" t="str">
        <f>CONCATENATE("          ", "6113", " - ", "GROUP INSURANCE")</f>
        <v xml:space="preserve">          6113 - GROUP INSURANCE</v>
      </c>
      <c r="C34" s="10"/>
      <c r="D34" s="6">
        <v>8554.93</v>
      </c>
      <c r="E34" s="2"/>
      <c r="F34" s="7">
        <f t="shared" si="17"/>
        <v>0.12827018555172601</v>
      </c>
      <c r="G34" s="2"/>
      <c r="H34" s="6">
        <v>13618.53</v>
      </c>
      <c r="I34" s="2"/>
      <c r="J34" s="7">
        <f t="shared" si="18"/>
        <v>0</v>
      </c>
      <c r="K34" s="2"/>
      <c r="L34" s="6">
        <f t="shared" si="19"/>
        <v>-5063.6000000000004</v>
      </c>
      <c r="M34" s="2"/>
      <c r="N34" s="7">
        <f t="shared" si="20"/>
        <v>-0.37181692884621176</v>
      </c>
      <c r="O34" s="10"/>
      <c r="P34" s="6">
        <v>112261.43</v>
      </c>
      <c r="Q34" s="2"/>
      <c r="R34" s="7">
        <f t="shared" si="21"/>
        <v>0.19187702893571629</v>
      </c>
      <c r="S34" s="2"/>
      <c r="T34" s="6">
        <v>249331.83</v>
      </c>
      <c r="U34" s="2"/>
      <c r="V34" s="7">
        <f t="shared" si="22"/>
        <v>5.3973275079943796E-2</v>
      </c>
      <c r="W34" s="2"/>
      <c r="X34" s="6">
        <f t="shared" si="23"/>
        <v>-137070.39999999999</v>
      </c>
      <c r="Y34" s="2"/>
      <c r="Z34" s="7">
        <f t="shared" si="24"/>
        <v>-0.54975090825748163</v>
      </c>
    </row>
    <row r="35" spans="1:26" s="23" customFormat="1" hidden="1" outlineLevel="2" x14ac:dyDescent="0.25">
      <c r="A35" s="25"/>
      <c r="B35" s="10" t="str">
        <f>CONCATENATE("          ", "6114", " - ", "STATE UNEMPLOYMENT INSURANCE")</f>
        <v xml:space="preserve">          6114 - STATE UNEMPLOYMENT INSURANCE</v>
      </c>
      <c r="C35" s="10"/>
      <c r="D35" s="6">
        <v>87.06</v>
      </c>
      <c r="E35" s="2"/>
      <c r="F35" s="7">
        <f t="shared" si="17"/>
        <v>1.305352861348166E-3</v>
      </c>
      <c r="G35" s="2"/>
      <c r="H35" s="6">
        <v>-6145.79</v>
      </c>
      <c r="I35" s="2"/>
      <c r="J35" s="7">
        <f t="shared" si="18"/>
        <v>0</v>
      </c>
      <c r="K35" s="2"/>
      <c r="L35" s="6">
        <f t="shared" si="19"/>
        <v>6232.85</v>
      </c>
      <c r="M35" s="2"/>
      <c r="N35" s="7">
        <f t="shared" si="20"/>
        <v>-1.0141657947961125</v>
      </c>
      <c r="O35" s="10"/>
      <c r="P35" s="6">
        <v>1117.52</v>
      </c>
      <c r="Q35" s="2"/>
      <c r="R35" s="7">
        <f t="shared" si="21"/>
        <v>1.9100631212005913E-3</v>
      </c>
      <c r="S35" s="2"/>
      <c r="T35" s="6">
        <v>0</v>
      </c>
      <c r="U35" s="2"/>
      <c r="V35" s="7">
        <f t="shared" si="22"/>
        <v>0</v>
      </c>
      <c r="W35" s="2"/>
      <c r="X35" s="6">
        <f t="shared" si="23"/>
        <v>1117.52</v>
      </c>
      <c r="Y35" s="2"/>
      <c r="Z35" s="7">
        <f t="shared" si="24"/>
        <v>0</v>
      </c>
    </row>
    <row r="36" spans="1:26" s="23" customFormat="1" hidden="1" outlineLevel="2" x14ac:dyDescent="0.25">
      <c r="A36" s="25"/>
      <c r="B36" s="10" t="str">
        <f>CONCATENATE("          ", "6115", " - ", "P.E.R.S.")</f>
        <v xml:space="preserve">          6115 - P.E.R.S.</v>
      </c>
      <c r="C36" s="10"/>
      <c r="D36" s="6">
        <v>4175.47</v>
      </c>
      <c r="E36" s="2"/>
      <c r="F36" s="7">
        <f t="shared" si="17"/>
        <v>6.2605808775251862E-2</v>
      </c>
      <c r="G36" s="2"/>
      <c r="H36" s="6">
        <v>3064.65</v>
      </c>
      <c r="I36" s="2"/>
      <c r="J36" s="7">
        <f t="shared" si="18"/>
        <v>0</v>
      </c>
      <c r="K36" s="2"/>
      <c r="L36" s="6">
        <f t="shared" si="19"/>
        <v>1110.8200000000002</v>
      </c>
      <c r="M36" s="2"/>
      <c r="N36" s="7">
        <f t="shared" si="20"/>
        <v>0.36246227138498693</v>
      </c>
      <c r="O36" s="10"/>
      <c r="P36" s="6">
        <v>39390.11</v>
      </c>
      <c r="Q36" s="2"/>
      <c r="R36" s="7">
        <f t="shared" si="21"/>
        <v>6.7325503302880146E-2</v>
      </c>
      <c r="S36" s="2"/>
      <c r="T36" s="6">
        <v>78997.83</v>
      </c>
      <c r="U36" s="2"/>
      <c r="V36" s="7">
        <f t="shared" si="22"/>
        <v>1.7100791380340957E-2</v>
      </c>
      <c r="W36" s="2"/>
      <c r="X36" s="6">
        <f t="shared" si="23"/>
        <v>-39607.72</v>
      </c>
      <c r="Y36" s="2"/>
      <c r="Z36" s="7">
        <f t="shared" si="24"/>
        <v>-0.50137731631362537</v>
      </c>
    </row>
    <row r="37" spans="1:26" s="23" customFormat="1" hidden="1" outlineLevel="2" x14ac:dyDescent="0.25">
      <c r="A37" s="25"/>
      <c r="B37" s="10" t="str">
        <f>CONCATENATE("          ", "6117", " - ", "RETIREMENT STAFF HOURLY")</f>
        <v xml:space="preserve">          6117 - RETIREMENT STAFF HOURLY</v>
      </c>
      <c r="C37" s="10"/>
      <c r="D37" s="6"/>
      <c r="E37" s="2"/>
      <c r="F37" s="7">
        <f t="shared" si="17"/>
        <v>0</v>
      </c>
      <c r="G37" s="2"/>
      <c r="H37" s="6"/>
      <c r="I37" s="2"/>
      <c r="J37" s="7">
        <f t="shared" si="18"/>
        <v>0</v>
      </c>
      <c r="K37" s="2"/>
      <c r="L37" s="6">
        <f t="shared" si="19"/>
        <v>0</v>
      </c>
      <c r="M37" s="2"/>
      <c r="N37" s="7">
        <f t="shared" si="20"/>
        <v>0</v>
      </c>
      <c r="O37" s="10"/>
      <c r="P37" s="6"/>
      <c r="Q37" s="2"/>
      <c r="R37" s="7">
        <f t="shared" si="21"/>
        <v>0</v>
      </c>
      <c r="S37" s="2"/>
      <c r="T37" s="6">
        <v>1352.45</v>
      </c>
      <c r="U37" s="2"/>
      <c r="V37" s="7">
        <f t="shared" si="22"/>
        <v>2.9276709629039339E-4</v>
      </c>
      <c r="W37" s="2"/>
      <c r="X37" s="6">
        <f t="shared" si="23"/>
        <v>-1352.45</v>
      </c>
      <c r="Y37" s="2"/>
      <c r="Z37" s="7">
        <f t="shared" si="24"/>
        <v>-1</v>
      </c>
    </row>
    <row r="38" spans="1:26" s="23" customFormat="1" hidden="1" outlineLevel="2" x14ac:dyDescent="0.25">
      <c r="A38" s="25"/>
      <c r="B38" s="10" t="str">
        <f>CONCATENATE("          ", "6118", " - ", "VACATION")</f>
        <v xml:space="preserve">          6118 - VACATION</v>
      </c>
      <c r="C38" s="10"/>
      <c r="D38" s="6">
        <v>2596</v>
      </c>
      <c r="E38" s="2"/>
      <c r="F38" s="7">
        <f t="shared" si="17"/>
        <v>3.8923685137374667E-2</v>
      </c>
      <c r="G38" s="2"/>
      <c r="H38" s="6">
        <v>2558.84</v>
      </c>
      <c r="I38" s="2"/>
      <c r="J38" s="7">
        <f t="shared" si="18"/>
        <v>0</v>
      </c>
      <c r="K38" s="2"/>
      <c r="L38" s="6">
        <f t="shared" si="19"/>
        <v>37.159999999999854</v>
      </c>
      <c r="M38" s="2"/>
      <c r="N38" s="7">
        <f t="shared" si="20"/>
        <v>1.4522205374310176E-2</v>
      </c>
      <c r="O38" s="10"/>
      <c r="P38" s="6">
        <v>32188.22</v>
      </c>
      <c r="Q38" s="2"/>
      <c r="R38" s="7">
        <f t="shared" si="21"/>
        <v>5.5016046208650672E-2</v>
      </c>
      <c r="S38" s="2"/>
      <c r="T38" s="6">
        <v>78006.8</v>
      </c>
      <c r="U38" s="2"/>
      <c r="V38" s="7">
        <f t="shared" si="22"/>
        <v>1.6886261471333847E-2</v>
      </c>
      <c r="W38" s="2"/>
      <c r="X38" s="6">
        <f t="shared" si="23"/>
        <v>-45818.58</v>
      </c>
      <c r="Y38" s="2"/>
      <c r="Z38" s="7">
        <f t="shared" si="24"/>
        <v>-0.58736648599865648</v>
      </c>
    </row>
    <row r="39" spans="1:26" s="23" customFormat="1" hidden="1" outlineLevel="2" x14ac:dyDescent="0.25">
      <c r="A39" s="25"/>
      <c r="B39" s="10" t="str">
        <f>CONCATENATE("          ", "6119", " - ", "SICK LEAVE")</f>
        <v xml:space="preserve">          6119 - SICK LEAVE</v>
      </c>
      <c r="C39" s="10"/>
      <c r="D39" s="6">
        <v>1510.2</v>
      </c>
      <c r="E39" s="2"/>
      <c r="F39" s="7">
        <f t="shared" si="17"/>
        <v>2.2643508973213877E-2</v>
      </c>
      <c r="G39" s="2"/>
      <c r="H39" s="6">
        <v>1655.82</v>
      </c>
      <c r="I39" s="2"/>
      <c r="J39" s="7">
        <f t="shared" si="18"/>
        <v>0</v>
      </c>
      <c r="K39" s="2"/>
      <c r="L39" s="6">
        <f t="shared" si="19"/>
        <v>-145.61999999999989</v>
      </c>
      <c r="M39" s="2"/>
      <c r="N39" s="7">
        <f t="shared" si="20"/>
        <v>-8.7944341776279966E-2</v>
      </c>
      <c r="O39" s="10"/>
      <c r="P39" s="6">
        <v>18475.490000000002</v>
      </c>
      <c r="Q39" s="2"/>
      <c r="R39" s="7">
        <f t="shared" si="21"/>
        <v>3.1578273404601544E-2</v>
      </c>
      <c r="S39" s="2"/>
      <c r="T39" s="6">
        <v>-6285.35</v>
      </c>
      <c r="U39" s="2"/>
      <c r="V39" s="7">
        <f t="shared" si="22"/>
        <v>-1.3606001468955038E-3</v>
      </c>
      <c r="W39" s="2"/>
      <c r="X39" s="6">
        <f t="shared" si="23"/>
        <v>24760.840000000004</v>
      </c>
      <c r="Y39" s="2"/>
      <c r="Z39" s="7">
        <f t="shared" si="24"/>
        <v>-3.939452854654077</v>
      </c>
    </row>
    <row r="40" spans="1:26" s="23" customFormat="1" hidden="1" outlineLevel="2" x14ac:dyDescent="0.25">
      <c r="A40" s="25"/>
      <c r="B40" s="10" t="str">
        <f>CONCATENATE("          ", "6156", " - ", "EMPLOYEE MEALS")</f>
        <v xml:space="preserve">          6156 - EMPLOYEE MEALS</v>
      </c>
      <c r="C40" s="10"/>
      <c r="D40" s="6">
        <v>741.76</v>
      </c>
      <c r="E40" s="2"/>
      <c r="F40" s="7">
        <f t="shared" si="17"/>
        <v>1.1121738323381754E-2</v>
      </c>
      <c r="G40" s="2"/>
      <c r="H40" s="6">
        <v>657.82</v>
      </c>
      <c r="I40" s="2"/>
      <c r="J40" s="7">
        <f t="shared" si="18"/>
        <v>0</v>
      </c>
      <c r="K40" s="2"/>
      <c r="L40" s="6">
        <f t="shared" si="19"/>
        <v>83.939999999999941</v>
      </c>
      <c r="M40" s="2"/>
      <c r="N40" s="7">
        <f t="shared" si="20"/>
        <v>0.12760329573439533</v>
      </c>
      <c r="O40" s="10"/>
      <c r="P40" s="6">
        <v>6437.18</v>
      </c>
      <c r="Q40" s="2"/>
      <c r="R40" s="7">
        <f t="shared" si="21"/>
        <v>1.100241617378662E-2</v>
      </c>
      <c r="S40" s="2"/>
      <c r="T40" s="6">
        <v>26654.34</v>
      </c>
      <c r="U40" s="2"/>
      <c r="V40" s="7">
        <f t="shared" si="22"/>
        <v>5.7699092205529849E-3</v>
      </c>
      <c r="W40" s="2"/>
      <c r="X40" s="6">
        <f t="shared" si="23"/>
        <v>-20217.16</v>
      </c>
      <c r="Y40" s="2"/>
      <c r="Z40" s="7">
        <f t="shared" si="24"/>
        <v>-0.75849411390415222</v>
      </c>
    </row>
    <row r="41" spans="1:26" s="27" customFormat="1" outlineLevel="1" collapsed="1" x14ac:dyDescent="0.25">
      <c r="A41" s="26"/>
      <c r="B41" s="12" t="str">
        <f>CONCATENATE("     ","*Payroll                                          ")</f>
        <v xml:space="preserve">     *Payroll                                          </v>
      </c>
      <c r="C41" s="12"/>
      <c r="D41" s="1">
        <f>SUM(OSRRefD22_1x_0)</f>
        <v>29816.31</v>
      </c>
      <c r="E41" s="1"/>
      <c r="F41" s="5">
        <f t="shared" ref="F41:F48" si="25">IF(D$12=0,0,D41/D$12)</f>
        <v>0.44705726594697837</v>
      </c>
      <c r="G41" s="1"/>
      <c r="H41" s="1">
        <f>SUM(OSRRefH22_1x_0)</f>
        <v>30621.22</v>
      </c>
      <c r="I41" s="1"/>
      <c r="J41" s="5">
        <f t="shared" ref="J41:J48" si="26">IF(H$12=0,0,H41/H$12)</f>
        <v>0</v>
      </c>
      <c r="K41" s="1"/>
      <c r="L41" s="1">
        <f t="shared" ref="L41:L48" si="27">+D41-H41</f>
        <v>-804.90999999999985</v>
      </c>
      <c r="M41" s="1"/>
      <c r="N41" s="5">
        <f t="shared" ref="N41:N48" si="28">IF(H41=0,0,L41/H41)</f>
        <v>-2.62860199560958E-2</v>
      </c>
      <c r="O41" s="12"/>
      <c r="P41" s="1">
        <f>SUM(OSRRefP22_1x_0)</f>
        <v>349330.91</v>
      </c>
      <c r="Q41" s="1"/>
      <c r="R41" s="5">
        <f t="shared" ref="R41:R48" si="29">IF(P$12=0,0,P41/P$12)</f>
        <v>0.59707574655168838</v>
      </c>
      <c r="S41" s="1"/>
      <c r="T41" s="1">
        <f>SUM(OSRRefT22_1x_0)</f>
        <v>2164366.9900000002</v>
      </c>
      <c r="U41" s="1"/>
      <c r="V41" s="5">
        <f t="shared" ref="V41:V48" si="30">IF(T$12=0,0,T41/T$12)</f>
        <v>0.46852411473184141</v>
      </c>
      <c r="W41" s="1"/>
      <c r="X41" s="1">
        <f t="shared" ref="X41:X48" si="31">+P41-T41</f>
        <v>-1815036.0800000003</v>
      </c>
      <c r="Y41" s="1"/>
      <c r="Z41" s="5">
        <f t="shared" ref="Z41:Z48" si="32">IF(T41=0,0,X41/T41)</f>
        <v>-0.83859903998997887</v>
      </c>
    </row>
    <row r="42" spans="1:26" s="23" customFormat="1" hidden="1" outlineLevel="2" x14ac:dyDescent="0.25">
      <c r="A42" s="25"/>
      <c r="B42" s="10" t="str">
        <f>CONCATENATE("          ", "6001", " - ", "ADMINISTRATIVE SALARIES")</f>
        <v xml:space="preserve">          6001 - ADMINISTRATIVE SALARIES</v>
      </c>
      <c r="C42" s="10"/>
      <c r="D42" s="6">
        <v>11069.28</v>
      </c>
      <c r="E42" s="2"/>
      <c r="F42" s="7">
        <f t="shared" si="25"/>
        <v>0.16596963382798102</v>
      </c>
      <c r="G42" s="2"/>
      <c r="H42" s="6">
        <v>7748.5</v>
      </c>
      <c r="I42" s="2"/>
      <c r="J42" s="7">
        <f t="shared" si="26"/>
        <v>0</v>
      </c>
      <c r="K42" s="2"/>
      <c r="L42" s="6">
        <f t="shared" si="27"/>
        <v>3320.7800000000007</v>
      </c>
      <c r="M42" s="2"/>
      <c r="N42" s="7">
        <f t="shared" si="28"/>
        <v>0.42857069110150359</v>
      </c>
      <c r="O42" s="10"/>
      <c r="P42" s="6">
        <v>130427.41</v>
      </c>
      <c r="Q42" s="2"/>
      <c r="R42" s="7">
        <f t="shared" si="29"/>
        <v>0.22292628841963386</v>
      </c>
      <c r="S42" s="2"/>
      <c r="T42" s="6">
        <v>187186.24</v>
      </c>
      <c r="U42" s="2"/>
      <c r="V42" s="7">
        <f t="shared" si="30"/>
        <v>4.0520516063674579E-2</v>
      </c>
      <c r="W42" s="2"/>
      <c r="X42" s="6">
        <f t="shared" si="31"/>
        <v>-56758.829999999987</v>
      </c>
      <c r="Y42" s="2"/>
      <c r="Z42" s="7">
        <f t="shared" si="32"/>
        <v>-0.30322116625666495</v>
      </c>
    </row>
    <row r="43" spans="1:26" s="23" customFormat="1" hidden="1" outlineLevel="2" x14ac:dyDescent="0.25">
      <c r="A43" s="25"/>
      <c r="B43" s="10" t="str">
        <f>CONCATENATE("          ", "6002", " - ", "STAFF SALARIES")</f>
        <v xml:space="preserve">          6002 - STAFF SALARIES</v>
      </c>
      <c r="C43" s="10"/>
      <c r="D43" s="6">
        <v>12905.62</v>
      </c>
      <c r="E43" s="2"/>
      <c r="F43" s="7">
        <f t="shared" si="25"/>
        <v>0.19350319313659681</v>
      </c>
      <c r="G43" s="2"/>
      <c r="H43" s="6">
        <v>22872.720000000001</v>
      </c>
      <c r="I43" s="2"/>
      <c r="J43" s="7">
        <f t="shared" si="26"/>
        <v>0</v>
      </c>
      <c r="K43" s="2"/>
      <c r="L43" s="6">
        <f t="shared" si="27"/>
        <v>-9967.1</v>
      </c>
      <c r="M43" s="2"/>
      <c r="N43" s="7">
        <f t="shared" si="28"/>
        <v>-0.43576365207111351</v>
      </c>
      <c r="O43" s="10"/>
      <c r="P43" s="6">
        <v>177119.97</v>
      </c>
      <c r="Q43" s="2"/>
      <c r="R43" s="7">
        <f t="shared" si="29"/>
        <v>0.3027331257831225</v>
      </c>
      <c r="S43" s="2"/>
      <c r="T43" s="6">
        <v>626772.43999999994</v>
      </c>
      <c r="U43" s="2"/>
      <c r="V43" s="7">
        <f t="shared" si="30"/>
        <v>0.13567847040086126</v>
      </c>
      <c r="W43" s="2"/>
      <c r="X43" s="6">
        <f t="shared" si="31"/>
        <v>-449652.47</v>
      </c>
      <c r="Y43" s="2"/>
      <c r="Z43" s="7">
        <f t="shared" si="32"/>
        <v>-0.7174094476776931</v>
      </c>
    </row>
    <row r="44" spans="1:26" s="23" customFormat="1" hidden="1" outlineLevel="2" x14ac:dyDescent="0.25">
      <c r="A44" s="25"/>
      <c r="B44" s="10" t="str">
        <f>CONCATENATE("          ", "6004", " - ", "STAFF HOURLY")</f>
        <v xml:space="preserve">          6004 - STAFF HOURLY</v>
      </c>
      <c r="C44" s="10"/>
      <c r="D44" s="6">
        <v>4444.6899999999996</v>
      </c>
      <c r="E44" s="2"/>
      <c r="F44" s="7">
        <f t="shared" si="25"/>
        <v>6.664241683098529E-2</v>
      </c>
      <c r="G44" s="2"/>
      <c r="H44" s="6"/>
      <c r="I44" s="2"/>
      <c r="J44" s="7">
        <f t="shared" si="26"/>
        <v>0</v>
      </c>
      <c r="K44" s="2"/>
      <c r="L44" s="6">
        <f t="shared" si="27"/>
        <v>4444.6899999999996</v>
      </c>
      <c r="M44" s="2"/>
      <c r="N44" s="7">
        <f t="shared" si="28"/>
        <v>0</v>
      </c>
      <c r="O44" s="10"/>
      <c r="P44" s="6">
        <v>35907.72</v>
      </c>
      <c r="Q44" s="2"/>
      <c r="R44" s="7">
        <f t="shared" si="29"/>
        <v>6.1373408742928001E-2</v>
      </c>
      <c r="S44" s="2"/>
      <c r="T44" s="6">
        <v>221154.82</v>
      </c>
      <c r="U44" s="2"/>
      <c r="V44" s="7">
        <f t="shared" si="30"/>
        <v>4.7873750957170037E-2</v>
      </c>
      <c r="W44" s="2"/>
      <c r="X44" s="6">
        <f t="shared" si="31"/>
        <v>-185247.1</v>
      </c>
      <c r="Y44" s="2"/>
      <c r="Z44" s="7">
        <f t="shared" si="32"/>
        <v>-0.83763537236041252</v>
      </c>
    </row>
    <row r="45" spans="1:26" s="23" customFormat="1" hidden="1" outlineLevel="2" x14ac:dyDescent="0.25">
      <c r="A45" s="25"/>
      <c r="B45" s="10" t="str">
        <f>CONCATENATE("          ", "6005", " - ", "TEMPORARY WAGES-HOURLY")</f>
        <v xml:space="preserve">          6005 - TEMPORARY WAGES-HOURLY</v>
      </c>
      <c r="C45" s="10"/>
      <c r="D45" s="6">
        <v>1311.04</v>
      </c>
      <c r="E45" s="2"/>
      <c r="F45" s="7">
        <f t="shared" si="25"/>
        <v>1.9657360617297261E-2</v>
      </c>
      <c r="G45" s="2"/>
      <c r="H45" s="6"/>
      <c r="I45" s="2"/>
      <c r="J45" s="7">
        <f t="shared" si="26"/>
        <v>0</v>
      </c>
      <c r="K45" s="2"/>
      <c r="L45" s="6">
        <f t="shared" si="27"/>
        <v>1311.04</v>
      </c>
      <c r="M45" s="2"/>
      <c r="N45" s="7">
        <f t="shared" si="28"/>
        <v>0</v>
      </c>
      <c r="O45" s="10"/>
      <c r="P45" s="6">
        <v>5642.44</v>
      </c>
      <c r="Q45" s="2"/>
      <c r="R45" s="7">
        <f t="shared" si="29"/>
        <v>9.6440480327753091E-3</v>
      </c>
      <c r="S45" s="2"/>
      <c r="T45" s="6">
        <v>437740.4</v>
      </c>
      <c r="U45" s="2"/>
      <c r="V45" s="7">
        <f t="shared" si="30"/>
        <v>9.4758390947536186E-2</v>
      </c>
      <c r="W45" s="2"/>
      <c r="X45" s="6">
        <f t="shared" si="31"/>
        <v>-432097.96</v>
      </c>
      <c r="Y45" s="2"/>
      <c r="Z45" s="7">
        <f t="shared" si="32"/>
        <v>-0.98711007711419829</v>
      </c>
    </row>
    <row r="46" spans="1:26" s="23" customFormat="1" hidden="1" outlineLevel="2" x14ac:dyDescent="0.25">
      <c r="A46" s="25"/>
      <c r="B46" s="10" t="str">
        <f>CONCATENATE("          ", "6006", " - ", "TEMPORARY PART TIME")</f>
        <v xml:space="preserve">          6006 - TEMPORARY PART TIME</v>
      </c>
      <c r="C46" s="10"/>
      <c r="D46" s="6"/>
      <c r="E46" s="2"/>
      <c r="F46" s="7">
        <f t="shared" si="25"/>
        <v>0</v>
      </c>
      <c r="G46" s="2"/>
      <c r="H46" s="6"/>
      <c r="I46" s="2"/>
      <c r="J46" s="7">
        <f t="shared" si="26"/>
        <v>0</v>
      </c>
      <c r="K46" s="2"/>
      <c r="L46" s="6">
        <f t="shared" si="27"/>
        <v>0</v>
      </c>
      <c r="M46" s="2"/>
      <c r="N46" s="7">
        <f t="shared" si="28"/>
        <v>0</v>
      </c>
      <c r="O46" s="10"/>
      <c r="P46" s="6"/>
      <c r="Q46" s="2"/>
      <c r="R46" s="7">
        <f t="shared" si="29"/>
        <v>0</v>
      </c>
      <c r="S46" s="2"/>
      <c r="T46" s="6">
        <v>11826.56</v>
      </c>
      <c r="U46" s="2"/>
      <c r="V46" s="7">
        <f t="shared" si="30"/>
        <v>2.5601150728708009E-3</v>
      </c>
      <c r="W46" s="2"/>
      <c r="X46" s="6">
        <f t="shared" si="31"/>
        <v>-11826.56</v>
      </c>
      <c r="Y46" s="2"/>
      <c r="Z46" s="7">
        <f t="shared" si="32"/>
        <v>-1</v>
      </c>
    </row>
    <row r="47" spans="1:26" s="23" customFormat="1" hidden="1" outlineLevel="2" x14ac:dyDescent="0.25">
      <c r="A47" s="25"/>
      <c r="B47" s="10" t="str">
        <f>CONCATENATE("          ", "6007", " - ", "STUDENT HOURLY")</f>
        <v xml:space="preserve">          6007 - STUDENT HOURLY</v>
      </c>
      <c r="C47" s="10"/>
      <c r="D47" s="6">
        <v>85.68</v>
      </c>
      <c r="E47" s="2"/>
      <c r="F47" s="7">
        <f t="shared" si="25"/>
        <v>1.2846615341179746E-3</v>
      </c>
      <c r="G47" s="2"/>
      <c r="H47" s="6"/>
      <c r="I47" s="2"/>
      <c r="J47" s="7">
        <f t="shared" si="26"/>
        <v>0</v>
      </c>
      <c r="K47" s="2"/>
      <c r="L47" s="6">
        <f t="shared" si="27"/>
        <v>85.68</v>
      </c>
      <c r="M47" s="2"/>
      <c r="N47" s="7">
        <f t="shared" si="28"/>
        <v>0</v>
      </c>
      <c r="O47" s="10"/>
      <c r="P47" s="6">
        <v>233.37</v>
      </c>
      <c r="Q47" s="2"/>
      <c r="R47" s="7">
        <f t="shared" si="29"/>
        <v>3.9887557322874039E-4</v>
      </c>
      <c r="S47" s="2"/>
      <c r="T47" s="6">
        <v>643229.24</v>
      </c>
      <c r="U47" s="2"/>
      <c r="V47" s="7">
        <f t="shared" si="30"/>
        <v>0.13924090121178348</v>
      </c>
      <c r="W47" s="2"/>
      <c r="X47" s="6">
        <f t="shared" si="31"/>
        <v>-642995.87</v>
      </c>
      <c r="Y47" s="2"/>
      <c r="Z47" s="7">
        <f t="shared" si="32"/>
        <v>-0.99963719000087747</v>
      </c>
    </row>
    <row r="48" spans="1:26" s="23" customFormat="1" hidden="1" outlineLevel="2" x14ac:dyDescent="0.25">
      <c r="A48" s="25"/>
      <c r="B48" s="10" t="str">
        <f>CONCATENATE("          ", "6008", " - ", "STUDENT HOURLY-FICA EXEMPT")</f>
        <v xml:space="preserve">          6008 - STUDENT HOURLY-FICA EXEMPT</v>
      </c>
      <c r="C48" s="10"/>
      <c r="D48" s="6"/>
      <c r="E48" s="2"/>
      <c r="F48" s="7">
        <f t="shared" si="25"/>
        <v>0</v>
      </c>
      <c r="G48" s="2"/>
      <c r="H48" s="6"/>
      <c r="I48" s="2"/>
      <c r="J48" s="7">
        <f t="shared" si="26"/>
        <v>0</v>
      </c>
      <c r="K48" s="2"/>
      <c r="L48" s="6">
        <f t="shared" si="27"/>
        <v>0</v>
      </c>
      <c r="M48" s="2"/>
      <c r="N48" s="7">
        <f t="shared" si="28"/>
        <v>0</v>
      </c>
      <c r="O48" s="10"/>
      <c r="P48" s="6"/>
      <c r="Q48" s="2"/>
      <c r="R48" s="7">
        <f t="shared" si="29"/>
        <v>0</v>
      </c>
      <c r="S48" s="2"/>
      <c r="T48" s="6">
        <v>36457.29</v>
      </c>
      <c r="U48" s="2"/>
      <c r="V48" s="7">
        <f t="shared" si="30"/>
        <v>7.89197007794506E-3</v>
      </c>
      <c r="W48" s="2"/>
      <c r="X48" s="6">
        <f t="shared" si="31"/>
        <v>-36457.29</v>
      </c>
      <c r="Y48" s="2"/>
      <c r="Z48" s="7">
        <f t="shared" si="32"/>
        <v>-1</v>
      </c>
    </row>
    <row r="49" spans="1:26" s="27" customFormat="1" outlineLevel="1" collapsed="1" x14ac:dyDescent="0.25">
      <c r="A49" s="26"/>
      <c r="B49" s="12" t="str">
        <f>CONCATENATE("     ","Advertising/Promo                                 ")</f>
        <v xml:space="preserve">     Advertising/Promo                                 </v>
      </c>
      <c r="C49" s="12"/>
      <c r="D49" s="1">
        <f>SUM(OSRRefD22_2x_0)</f>
        <v>38.29</v>
      </c>
      <c r="E49" s="1"/>
      <c r="F49" s="5">
        <f t="shared" ref="F49:F58" si="33">IF(D$12=0,0,D49/D$12)</f>
        <v>5.7410936206089217E-4</v>
      </c>
      <c r="G49" s="1"/>
      <c r="H49" s="1">
        <f>SUM(OSRRefH22_2x_0)</f>
        <v>0</v>
      </c>
      <c r="I49" s="1"/>
      <c r="J49" s="5">
        <f t="shared" ref="J49:J58" si="34">IF(H$12=0,0,H49/H$12)</f>
        <v>0</v>
      </c>
      <c r="K49" s="1"/>
      <c r="L49" s="1">
        <f t="shared" ref="L49:L58" si="35">+D49-H49</f>
        <v>38.29</v>
      </c>
      <c r="M49" s="1"/>
      <c r="N49" s="5">
        <f t="shared" ref="N49:N58" si="36">IF(H49=0,0,L49/H49)</f>
        <v>0</v>
      </c>
      <c r="O49" s="12"/>
      <c r="P49" s="1">
        <f>SUM(OSRRefP22_2x_0)</f>
        <v>485.74</v>
      </c>
      <c r="Q49" s="1"/>
      <c r="R49" s="5">
        <f t="shared" ref="R49:R58" si="37">IF(P$12=0,0,P49/P$12)</f>
        <v>8.3022591138590379E-4</v>
      </c>
      <c r="S49" s="1"/>
      <c r="T49" s="1">
        <f>SUM(OSRRefT22_2x_0)</f>
        <v>28503.73</v>
      </c>
      <c r="U49" s="1"/>
      <c r="V49" s="5">
        <f t="shared" ref="V49:V58" si="38">IF(T$12=0,0,T49/T$12)</f>
        <v>6.1702497434621426E-3</v>
      </c>
      <c r="W49" s="1"/>
      <c r="X49" s="1">
        <f t="shared" ref="X49:X58" si="39">+P49-T49</f>
        <v>-28017.989999999998</v>
      </c>
      <c r="Y49" s="1"/>
      <c r="Z49" s="5">
        <f t="shared" ref="Z49:Z58" si="40">IF(T49=0,0,X49/T49)</f>
        <v>-0.98295872154275943</v>
      </c>
    </row>
    <row r="50" spans="1:26" s="23" customFormat="1" hidden="1" outlineLevel="2" x14ac:dyDescent="0.25">
      <c r="A50" s="25"/>
      <c r="B50" s="10" t="str">
        <f>CONCATENATE("          ", "6362", " - ", "ADVERTISING EXPENSE")</f>
        <v xml:space="preserve">          6362 - ADVERTISING EXPENSE</v>
      </c>
      <c r="C50" s="10"/>
      <c r="D50" s="6">
        <v>38.29</v>
      </c>
      <c r="E50" s="2"/>
      <c r="F50" s="7">
        <f t="shared" si="33"/>
        <v>5.7410936206089217E-4</v>
      </c>
      <c r="G50" s="2"/>
      <c r="H50" s="6"/>
      <c r="I50" s="2"/>
      <c r="J50" s="7">
        <f t="shared" si="34"/>
        <v>0</v>
      </c>
      <c r="K50" s="2"/>
      <c r="L50" s="6">
        <f t="shared" si="35"/>
        <v>38.29</v>
      </c>
      <c r="M50" s="2"/>
      <c r="N50" s="7">
        <f t="shared" si="36"/>
        <v>0</v>
      </c>
      <c r="O50" s="10"/>
      <c r="P50" s="6">
        <v>485.74</v>
      </c>
      <c r="Q50" s="2"/>
      <c r="R50" s="7">
        <f t="shared" si="37"/>
        <v>8.3022591138590379E-4</v>
      </c>
      <c r="S50" s="2"/>
      <c r="T50" s="6">
        <v>28503.73</v>
      </c>
      <c r="U50" s="2"/>
      <c r="V50" s="7">
        <f t="shared" si="38"/>
        <v>6.1702497434621426E-3</v>
      </c>
      <c r="W50" s="2"/>
      <c r="X50" s="6">
        <f t="shared" si="39"/>
        <v>-28017.989999999998</v>
      </c>
      <c r="Y50" s="2"/>
      <c r="Z50" s="7">
        <f t="shared" si="40"/>
        <v>-0.98295872154275943</v>
      </c>
    </row>
    <row r="51" spans="1:26" s="27" customFormat="1" outlineLevel="1" collapsed="1" x14ac:dyDescent="0.25">
      <c r="A51" s="26"/>
      <c r="B51" s="12" t="str">
        <f>CONCATENATE("     ","Bad Debts/Over/Short                              ")</f>
        <v xml:space="preserve">     Bad Debts/Over/Short                              </v>
      </c>
      <c r="C51" s="12"/>
      <c r="D51" s="1">
        <f>SUM(OSRRefD22_3x_0)</f>
        <v>-2.67</v>
      </c>
      <c r="E51" s="1"/>
      <c r="F51" s="5">
        <f t="shared" si="33"/>
        <v>-4.0033220075805223E-5</v>
      </c>
      <c r="G51" s="1"/>
      <c r="H51" s="1">
        <f>SUM(OSRRefH22_3x_0)</f>
        <v>0</v>
      </c>
      <c r="I51" s="1"/>
      <c r="J51" s="5">
        <f t="shared" si="34"/>
        <v>0</v>
      </c>
      <c r="K51" s="1"/>
      <c r="L51" s="1">
        <f t="shared" si="35"/>
        <v>-2.67</v>
      </c>
      <c r="M51" s="1"/>
      <c r="N51" s="5">
        <f t="shared" si="36"/>
        <v>0</v>
      </c>
      <c r="O51" s="12"/>
      <c r="P51" s="1">
        <f>SUM(OSRRefP22_3x_0)</f>
        <v>13.53</v>
      </c>
      <c r="Q51" s="1"/>
      <c r="R51" s="5">
        <f t="shared" si="37"/>
        <v>2.3125451025345408E-5</v>
      </c>
      <c r="S51" s="1"/>
      <c r="T51" s="1">
        <f>SUM(OSRRefT22_3x_0)</f>
        <v>-260.64999999999998</v>
      </c>
      <c r="U51" s="1"/>
      <c r="V51" s="5">
        <f t="shared" si="38"/>
        <v>-5.6423338125691175E-5</v>
      </c>
      <c r="W51" s="1"/>
      <c r="X51" s="1">
        <f t="shared" si="39"/>
        <v>274.17999999999995</v>
      </c>
      <c r="Y51" s="1"/>
      <c r="Z51" s="5">
        <f t="shared" si="40"/>
        <v>-1.0519086898139267</v>
      </c>
    </row>
    <row r="52" spans="1:26" s="23" customFormat="1" hidden="1" outlineLevel="2" x14ac:dyDescent="0.25">
      <c r="A52" s="25"/>
      <c r="B52" s="10" t="str">
        <f>CONCATENATE("          ", "6272", " - ", "CASH (OVER/SHORT)")</f>
        <v xml:space="preserve">          6272 - CASH (OVER/SHORT)</v>
      </c>
      <c r="C52" s="10"/>
      <c r="D52" s="6">
        <v>-2.67</v>
      </c>
      <c r="E52" s="2"/>
      <c r="F52" s="7">
        <f t="shared" si="33"/>
        <v>-4.0033220075805223E-5</v>
      </c>
      <c r="G52" s="2"/>
      <c r="H52" s="6"/>
      <c r="I52" s="2"/>
      <c r="J52" s="7">
        <f t="shared" si="34"/>
        <v>0</v>
      </c>
      <c r="K52" s="2"/>
      <c r="L52" s="6">
        <f t="shared" si="35"/>
        <v>-2.67</v>
      </c>
      <c r="M52" s="2"/>
      <c r="N52" s="7">
        <f t="shared" si="36"/>
        <v>0</v>
      </c>
      <c r="O52" s="10"/>
      <c r="P52" s="6">
        <v>13.53</v>
      </c>
      <c r="Q52" s="2"/>
      <c r="R52" s="7">
        <f t="shared" si="37"/>
        <v>2.3125451025345408E-5</v>
      </c>
      <c r="S52" s="2"/>
      <c r="T52" s="6">
        <v>-260.64999999999998</v>
      </c>
      <c r="U52" s="2"/>
      <c r="V52" s="7">
        <f t="shared" si="38"/>
        <v>-5.6423338125691175E-5</v>
      </c>
      <c r="W52" s="2"/>
      <c r="X52" s="6">
        <f t="shared" si="39"/>
        <v>274.17999999999995</v>
      </c>
      <c r="Y52" s="2"/>
      <c r="Z52" s="7">
        <f t="shared" si="40"/>
        <v>-1.0519086898139267</v>
      </c>
    </row>
    <row r="53" spans="1:26" s="27" customFormat="1" outlineLevel="1" collapsed="1" x14ac:dyDescent="0.25">
      <c r="A53" s="26"/>
      <c r="B53" s="12" t="str">
        <f>CONCATENATE("     ","Bank/card Fees                                    ")</f>
        <v xml:space="preserve">     Bank/card Fees                                    </v>
      </c>
      <c r="C53" s="12"/>
      <c r="D53" s="1">
        <f>SUM(OSRRefD22_4x_0)</f>
        <v>829.57</v>
      </c>
      <c r="E53" s="1"/>
      <c r="F53" s="5">
        <f t="shared" si="33"/>
        <v>1.2438336471268069E-2</v>
      </c>
      <c r="G53" s="1"/>
      <c r="H53" s="1">
        <f>SUM(OSRRefH22_4x_0)</f>
        <v>279.08999999999997</v>
      </c>
      <c r="I53" s="1"/>
      <c r="J53" s="5">
        <f t="shared" si="34"/>
        <v>0</v>
      </c>
      <c r="K53" s="1"/>
      <c r="L53" s="1">
        <f t="shared" si="35"/>
        <v>550.48</v>
      </c>
      <c r="M53" s="1"/>
      <c r="N53" s="5">
        <f t="shared" si="36"/>
        <v>1.9724103335841487</v>
      </c>
      <c r="O53" s="12"/>
      <c r="P53" s="1">
        <f>SUM(OSRRefP22_4x_0)</f>
        <v>7847.7</v>
      </c>
      <c r="Q53" s="1"/>
      <c r="R53" s="5">
        <f t="shared" si="37"/>
        <v>1.3413274354146574E-2</v>
      </c>
      <c r="S53" s="1"/>
      <c r="T53" s="1">
        <f>SUM(OSRRefT22_4x_0)</f>
        <v>149623.62</v>
      </c>
      <c r="U53" s="1"/>
      <c r="V53" s="5">
        <f t="shared" si="38"/>
        <v>3.2389273366007783E-2</v>
      </c>
      <c r="W53" s="1"/>
      <c r="X53" s="1">
        <f t="shared" si="39"/>
        <v>-141775.91999999998</v>
      </c>
      <c r="Y53" s="1"/>
      <c r="Z53" s="5">
        <f t="shared" si="40"/>
        <v>-0.94755039344723768</v>
      </c>
    </row>
    <row r="54" spans="1:26" s="23" customFormat="1" hidden="1" outlineLevel="2" x14ac:dyDescent="0.25">
      <c r="A54" s="25"/>
      <c r="B54" s="10" t="str">
        <f>CONCATENATE("          ", "6381", " - ", "BANK/CREDIT CARD FEES")</f>
        <v xml:space="preserve">          6381 - BANK/CREDIT CARD FEES</v>
      </c>
      <c r="C54" s="10"/>
      <c r="D54" s="6">
        <v>829.57</v>
      </c>
      <c r="E54" s="2"/>
      <c r="F54" s="7">
        <f t="shared" si="33"/>
        <v>1.2438336471268069E-2</v>
      </c>
      <c r="G54" s="2"/>
      <c r="H54" s="6">
        <v>279.08999999999997</v>
      </c>
      <c r="I54" s="2"/>
      <c r="J54" s="7">
        <f t="shared" si="34"/>
        <v>0</v>
      </c>
      <c r="K54" s="2"/>
      <c r="L54" s="6">
        <f t="shared" si="35"/>
        <v>550.48</v>
      </c>
      <c r="M54" s="2"/>
      <c r="N54" s="7">
        <f t="shared" si="36"/>
        <v>1.9724103335841487</v>
      </c>
      <c r="O54" s="10"/>
      <c r="P54" s="6">
        <v>7847.7</v>
      </c>
      <c r="Q54" s="2"/>
      <c r="R54" s="7">
        <f t="shared" si="37"/>
        <v>1.3413274354146574E-2</v>
      </c>
      <c r="S54" s="2"/>
      <c r="T54" s="6">
        <v>149623.62</v>
      </c>
      <c r="U54" s="2"/>
      <c r="V54" s="7">
        <f t="shared" si="38"/>
        <v>3.2389273366007783E-2</v>
      </c>
      <c r="W54" s="2"/>
      <c r="X54" s="6">
        <f t="shared" si="39"/>
        <v>-141775.91999999998</v>
      </c>
      <c r="Y54" s="2"/>
      <c r="Z54" s="7">
        <f t="shared" si="40"/>
        <v>-0.94755039344723768</v>
      </c>
    </row>
    <row r="55" spans="1:26" s="27" customFormat="1" outlineLevel="1" collapsed="1" x14ac:dyDescent="0.25">
      <c r="A55" s="26"/>
      <c r="B55" s="12" t="str">
        <f>CONCATENATE("     ","Depreciation                                      ")</f>
        <v xml:space="preserve">     Depreciation                                      </v>
      </c>
      <c r="C55" s="12"/>
      <c r="D55" s="1">
        <f>SUM(OSRRefD22_5x_0)</f>
        <v>31043.919999999998</v>
      </c>
      <c r="E55" s="1"/>
      <c r="F55" s="5">
        <f t="shared" si="33"/>
        <v>0.46546370088977201</v>
      </c>
      <c r="G55" s="1"/>
      <c r="H55" s="1">
        <f>SUM(OSRRefH22_5x_0)</f>
        <v>37737.599999999999</v>
      </c>
      <c r="I55" s="1"/>
      <c r="J55" s="5">
        <f t="shared" si="34"/>
        <v>0</v>
      </c>
      <c r="K55" s="1"/>
      <c r="L55" s="1">
        <f t="shared" si="35"/>
        <v>-6693.68</v>
      </c>
      <c r="M55" s="1"/>
      <c r="N55" s="5">
        <f t="shared" si="36"/>
        <v>-0.17737428983295175</v>
      </c>
      <c r="O55" s="12"/>
      <c r="P55" s="1">
        <f>SUM(OSRRefP22_5x_0)</f>
        <v>437795.77</v>
      </c>
      <c r="Q55" s="1"/>
      <c r="R55" s="5">
        <f t="shared" si="37"/>
        <v>0.7482797219688383</v>
      </c>
      <c r="S55" s="1"/>
      <c r="T55" s="1">
        <f>SUM(OSRRefT22_5x_0)</f>
        <v>477347.9</v>
      </c>
      <c r="U55" s="1"/>
      <c r="V55" s="5">
        <f t="shared" si="38"/>
        <v>0.10333229221288556</v>
      </c>
      <c r="W55" s="1"/>
      <c r="X55" s="1">
        <f t="shared" si="39"/>
        <v>-39552.130000000005</v>
      </c>
      <c r="Y55" s="1"/>
      <c r="Z55" s="5">
        <f t="shared" si="40"/>
        <v>-8.2858078981807609E-2</v>
      </c>
    </row>
    <row r="56" spans="1:26" s="23" customFormat="1" hidden="1" outlineLevel="2" x14ac:dyDescent="0.25">
      <c r="A56" s="25"/>
      <c r="B56" s="10" t="str">
        <f>CONCATENATE("          ", "6321", " - ", "BUILDING DEPRECIATION")</f>
        <v xml:space="preserve">          6321 - BUILDING DEPRECIATION</v>
      </c>
      <c r="C56" s="10"/>
      <c r="D56" s="6">
        <v>23583.53</v>
      </c>
      <c r="E56" s="2"/>
      <c r="F56" s="7">
        <f t="shared" si="33"/>
        <v>0.35360473657466474</v>
      </c>
      <c r="G56" s="2"/>
      <c r="H56" s="6">
        <v>24027.89</v>
      </c>
      <c r="I56" s="2"/>
      <c r="J56" s="7">
        <f t="shared" si="34"/>
        <v>0</v>
      </c>
      <c r="K56" s="2"/>
      <c r="L56" s="6">
        <f t="shared" si="35"/>
        <v>-444.36000000000058</v>
      </c>
      <c r="M56" s="2"/>
      <c r="N56" s="7">
        <f t="shared" si="36"/>
        <v>-1.8493509001414631E-2</v>
      </c>
      <c r="O56" s="10"/>
      <c r="P56" s="6">
        <v>283786.11</v>
      </c>
      <c r="Q56" s="2"/>
      <c r="R56" s="7">
        <f t="shared" si="37"/>
        <v>0.48504669537903061</v>
      </c>
      <c r="S56" s="2"/>
      <c r="T56" s="6">
        <v>288500.45</v>
      </c>
      <c r="U56" s="2"/>
      <c r="V56" s="7">
        <f t="shared" si="38"/>
        <v>6.245217126324213E-2</v>
      </c>
      <c r="W56" s="2"/>
      <c r="X56" s="6">
        <f t="shared" si="39"/>
        <v>-4714.3400000000256</v>
      </c>
      <c r="Y56" s="2"/>
      <c r="Z56" s="7">
        <f t="shared" si="40"/>
        <v>-1.6340841062812989E-2</v>
      </c>
    </row>
    <row r="57" spans="1:26" s="23" customFormat="1" hidden="1" outlineLevel="2" x14ac:dyDescent="0.25">
      <c r="A57" s="25"/>
      <c r="B57" s="10" t="str">
        <f>CONCATENATE("          ", "6322", " - ", "EQUIPMENT DEPRECIATION EXPENSE")</f>
        <v xml:space="preserve">          6322 - EQUIPMENT DEPRECIATION EXPENSE</v>
      </c>
      <c r="C57" s="10"/>
      <c r="D57" s="6">
        <v>7460.39</v>
      </c>
      <c r="E57" s="2"/>
      <c r="F57" s="7">
        <f t="shared" si="33"/>
        <v>0.11185896431510732</v>
      </c>
      <c r="G57" s="2"/>
      <c r="H57" s="6">
        <v>13709.71</v>
      </c>
      <c r="I57" s="2"/>
      <c r="J57" s="7">
        <f t="shared" si="34"/>
        <v>0</v>
      </c>
      <c r="K57" s="2"/>
      <c r="L57" s="6">
        <f t="shared" si="35"/>
        <v>-6249.3199999999988</v>
      </c>
      <c r="M57" s="2"/>
      <c r="N57" s="7">
        <f t="shared" si="36"/>
        <v>-0.45583166967062028</v>
      </c>
      <c r="O57" s="10"/>
      <c r="P57" s="6">
        <v>154009.66</v>
      </c>
      <c r="Q57" s="2"/>
      <c r="R57" s="7">
        <f t="shared" si="37"/>
        <v>0.26323302658980768</v>
      </c>
      <c r="S57" s="2"/>
      <c r="T57" s="6">
        <v>184604.97</v>
      </c>
      <c r="U57" s="2"/>
      <c r="V57" s="7">
        <f t="shared" si="38"/>
        <v>3.9961744262394308E-2</v>
      </c>
      <c r="W57" s="2"/>
      <c r="X57" s="6">
        <f t="shared" si="39"/>
        <v>-30595.309999999998</v>
      </c>
      <c r="Y57" s="2"/>
      <c r="Z57" s="7">
        <f t="shared" si="40"/>
        <v>-0.16573394529952254</v>
      </c>
    </row>
    <row r="58" spans="1:26" s="23" customFormat="1" hidden="1" outlineLevel="2" x14ac:dyDescent="0.25">
      <c r="A58" s="25"/>
      <c r="B58" s="10" t="str">
        <f>CONCATENATE("          ", "6326", " - ", "VEHICLES DEPRECIATION EXPENSE")</f>
        <v xml:space="preserve">          6326 - VEHICLES DEPRECIATION EXPENSE</v>
      </c>
      <c r="C58" s="10"/>
      <c r="D58" s="6"/>
      <c r="E58" s="2"/>
      <c r="F58" s="7">
        <f t="shared" si="33"/>
        <v>0</v>
      </c>
      <c r="G58" s="2"/>
      <c r="H58" s="6"/>
      <c r="I58" s="2"/>
      <c r="J58" s="7">
        <f t="shared" si="34"/>
        <v>0</v>
      </c>
      <c r="K58" s="2"/>
      <c r="L58" s="6">
        <f t="shared" si="35"/>
        <v>0</v>
      </c>
      <c r="M58" s="2"/>
      <c r="N58" s="7">
        <f t="shared" si="36"/>
        <v>0</v>
      </c>
      <c r="O58" s="10"/>
      <c r="P58" s="6"/>
      <c r="Q58" s="2"/>
      <c r="R58" s="7">
        <f t="shared" si="37"/>
        <v>0</v>
      </c>
      <c r="S58" s="2"/>
      <c r="T58" s="6">
        <v>4242.4799999999996</v>
      </c>
      <c r="U58" s="2"/>
      <c r="V58" s="7">
        <f t="shared" si="38"/>
        <v>9.1837668724911682E-4</v>
      </c>
      <c r="W58" s="2"/>
      <c r="X58" s="6">
        <f t="shared" si="39"/>
        <v>-4242.4799999999996</v>
      </c>
      <c r="Y58" s="2"/>
      <c r="Z58" s="7">
        <f t="shared" si="40"/>
        <v>-1</v>
      </c>
    </row>
    <row r="59" spans="1:26" s="27" customFormat="1" outlineLevel="1" collapsed="1" x14ac:dyDescent="0.25">
      <c r="A59" s="26"/>
      <c r="B59" s="12" t="str">
        <f>CONCATENATE("     ","Discounts and Markdowns                           ")</f>
        <v xml:space="preserve">     Discounts and Markdowns                           </v>
      </c>
      <c r="C59" s="12"/>
      <c r="D59" s="1">
        <f>SUM(OSRRefD22_6x_0)</f>
        <v>0</v>
      </c>
      <c r="E59" s="1"/>
      <c r="F59" s="5">
        <f t="shared" ref="F59:F71" si="41">IF(D$12=0,0,D59/D$12)</f>
        <v>0</v>
      </c>
      <c r="G59" s="1"/>
      <c r="H59" s="1">
        <f>SUM(OSRRefH22_6x_0)</f>
        <v>0</v>
      </c>
      <c r="I59" s="1"/>
      <c r="J59" s="5">
        <f t="shared" ref="J59:J71" si="42">IF(H$12=0,0,H59/H$12)</f>
        <v>0</v>
      </c>
      <c r="K59" s="1"/>
      <c r="L59" s="1">
        <f t="shared" ref="L59:L71" si="43">+D59-H59</f>
        <v>0</v>
      </c>
      <c r="M59" s="1"/>
      <c r="N59" s="5">
        <f t="shared" ref="N59:N71" si="44">IF(H59=0,0,L59/H59)</f>
        <v>0</v>
      </c>
      <c r="O59" s="12"/>
      <c r="P59" s="1">
        <f>SUM(OSRRefP22_6x_0)</f>
        <v>0</v>
      </c>
      <c r="Q59" s="1"/>
      <c r="R59" s="5">
        <f t="shared" ref="R59:R71" si="45">IF(P$12=0,0,P59/P$12)</f>
        <v>0</v>
      </c>
      <c r="S59" s="1"/>
      <c r="T59" s="1">
        <f>SUM(OSRRefT22_6x_0)</f>
        <v>0.09</v>
      </c>
      <c r="U59" s="1"/>
      <c r="V59" s="5">
        <f t="shared" ref="V59:V71" si="46">IF(T$12=0,0,T59/T$12)</f>
        <v>1.9482449381592965E-8</v>
      </c>
      <c r="W59" s="1"/>
      <c r="X59" s="1">
        <f t="shared" ref="X59:X71" si="47">+P59-T59</f>
        <v>-0.09</v>
      </c>
      <c r="Y59" s="1"/>
      <c r="Z59" s="5">
        <f t="shared" ref="Z59:Z71" si="48">IF(T59=0,0,X59/T59)</f>
        <v>-1</v>
      </c>
    </row>
    <row r="60" spans="1:26" s="23" customFormat="1" hidden="1" outlineLevel="2" x14ac:dyDescent="0.25">
      <c r="A60" s="25"/>
      <c r="B60" s="10" t="str">
        <f>CONCATENATE("          ", "6382", " - ", "DISCOUNTS/MARK DOWNS")</f>
        <v xml:space="preserve">          6382 - DISCOUNTS/MARK DOWNS</v>
      </c>
      <c r="C60" s="10"/>
      <c r="D60" s="6"/>
      <c r="E60" s="2"/>
      <c r="F60" s="7">
        <f t="shared" si="41"/>
        <v>0</v>
      </c>
      <c r="G60" s="2"/>
      <c r="H60" s="6"/>
      <c r="I60" s="2"/>
      <c r="J60" s="7">
        <f t="shared" si="42"/>
        <v>0</v>
      </c>
      <c r="K60" s="2"/>
      <c r="L60" s="6">
        <f t="shared" si="43"/>
        <v>0</v>
      </c>
      <c r="M60" s="2"/>
      <c r="N60" s="7">
        <f t="shared" si="44"/>
        <v>0</v>
      </c>
      <c r="O60" s="10"/>
      <c r="P60" s="6"/>
      <c r="Q60" s="2"/>
      <c r="R60" s="7">
        <f t="shared" si="45"/>
        <v>0</v>
      </c>
      <c r="S60" s="2"/>
      <c r="T60" s="6">
        <v>0.09</v>
      </c>
      <c r="U60" s="2"/>
      <c r="V60" s="7">
        <f t="shared" si="46"/>
        <v>1.9482449381592965E-8</v>
      </c>
      <c r="W60" s="2"/>
      <c r="X60" s="6">
        <f t="shared" si="47"/>
        <v>-0.09</v>
      </c>
      <c r="Y60" s="2"/>
      <c r="Z60" s="7">
        <f t="shared" si="48"/>
        <v>-1</v>
      </c>
    </row>
    <row r="61" spans="1:26" s="27" customFormat="1" outlineLevel="1" collapsed="1" x14ac:dyDescent="0.25">
      <c r="A61" s="26"/>
      <c r="B61" s="12" t="str">
        <f>CONCATENATE("     ","Donations                                         ")</f>
        <v xml:space="preserve">     Donations                                         </v>
      </c>
      <c r="C61" s="12"/>
      <c r="D61" s="1">
        <f>SUM(OSRRefD22_7x_0)</f>
        <v>0</v>
      </c>
      <c r="E61" s="1"/>
      <c r="F61" s="5">
        <f t="shared" si="41"/>
        <v>0</v>
      </c>
      <c r="G61" s="1"/>
      <c r="H61" s="1">
        <f>SUM(OSRRefH22_7x_0)</f>
        <v>0</v>
      </c>
      <c r="I61" s="1"/>
      <c r="J61" s="5">
        <f t="shared" si="42"/>
        <v>0</v>
      </c>
      <c r="K61" s="1"/>
      <c r="L61" s="1">
        <f t="shared" si="43"/>
        <v>0</v>
      </c>
      <c r="M61" s="1"/>
      <c r="N61" s="5">
        <f t="shared" si="44"/>
        <v>0</v>
      </c>
      <c r="O61" s="12"/>
      <c r="P61" s="1">
        <f>SUM(OSRRefP22_7x_0)</f>
        <v>0</v>
      </c>
      <c r="Q61" s="1"/>
      <c r="R61" s="5">
        <f t="shared" si="45"/>
        <v>0</v>
      </c>
      <c r="S61" s="1"/>
      <c r="T61" s="1">
        <f>SUM(OSRRefT22_7x_0)</f>
        <v>236.68</v>
      </c>
      <c r="U61" s="1"/>
      <c r="V61" s="5">
        <f t="shared" si="46"/>
        <v>5.123451244039359E-5</v>
      </c>
      <c r="W61" s="1"/>
      <c r="X61" s="1">
        <f t="shared" si="47"/>
        <v>-236.68</v>
      </c>
      <c r="Y61" s="1"/>
      <c r="Z61" s="5">
        <f t="shared" si="48"/>
        <v>-1</v>
      </c>
    </row>
    <row r="62" spans="1:26" s="23" customFormat="1" hidden="1" outlineLevel="2" x14ac:dyDescent="0.25">
      <c r="A62" s="25"/>
      <c r="B62" s="10" t="str">
        <f>CONCATENATE("          ", "6399", " - ", "DONATION-ON CAMPUS")</f>
        <v xml:space="preserve">          6399 - DONATION-ON CAMPUS</v>
      </c>
      <c r="C62" s="10"/>
      <c r="D62" s="6"/>
      <c r="E62" s="2"/>
      <c r="F62" s="7">
        <f t="shared" si="41"/>
        <v>0</v>
      </c>
      <c r="G62" s="2"/>
      <c r="H62" s="6"/>
      <c r="I62" s="2"/>
      <c r="J62" s="7">
        <f t="shared" si="42"/>
        <v>0</v>
      </c>
      <c r="K62" s="2"/>
      <c r="L62" s="6">
        <f t="shared" si="43"/>
        <v>0</v>
      </c>
      <c r="M62" s="2"/>
      <c r="N62" s="7">
        <f t="shared" si="44"/>
        <v>0</v>
      </c>
      <c r="O62" s="10"/>
      <c r="P62" s="6"/>
      <c r="Q62" s="2"/>
      <c r="R62" s="7">
        <f t="shared" si="45"/>
        <v>0</v>
      </c>
      <c r="S62" s="2"/>
      <c r="T62" s="6">
        <v>236.68</v>
      </c>
      <c r="U62" s="2"/>
      <c r="V62" s="7">
        <f t="shared" si="46"/>
        <v>5.123451244039359E-5</v>
      </c>
      <c r="W62" s="2"/>
      <c r="X62" s="6">
        <f t="shared" si="47"/>
        <v>-236.68</v>
      </c>
      <c r="Y62" s="2"/>
      <c r="Z62" s="7">
        <f t="shared" si="48"/>
        <v>-1</v>
      </c>
    </row>
    <row r="63" spans="1:26" s="27" customFormat="1" outlineLevel="1" collapsed="1" x14ac:dyDescent="0.25">
      <c r="A63" s="26"/>
      <c r="B63" s="12" t="str">
        <f>CONCATENATE("     ","Employees' Appreciation                           ")</f>
        <v xml:space="preserve">     Employees' Appreciation                           </v>
      </c>
      <c r="C63" s="12"/>
      <c r="D63" s="1">
        <f>SUM(OSRRefD22_8x_0)</f>
        <v>0</v>
      </c>
      <c r="E63" s="1"/>
      <c r="F63" s="5">
        <f t="shared" si="41"/>
        <v>0</v>
      </c>
      <c r="G63" s="1"/>
      <c r="H63" s="1">
        <f>SUM(OSRRefH22_8x_0)</f>
        <v>0</v>
      </c>
      <c r="I63" s="1"/>
      <c r="J63" s="5">
        <f t="shared" si="42"/>
        <v>0</v>
      </c>
      <c r="K63" s="1"/>
      <c r="L63" s="1">
        <f t="shared" si="43"/>
        <v>0</v>
      </c>
      <c r="M63" s="1"/>
      <c r="N63" s="5">
        <f t="shared" si="44"/>
        <v>0</v>
      </c>
      <c r="O63" s="12"/>
      <c r="P63" s="1">
        <f>SUM(OSRRefP22_8x_0)</f>
        <v>10</v>
      </c>
      <c r="Q63" s="1"/>
      <c r="R63" s="5">
        <f t="shared" si="45"/>
        <v>1.7091981541275246E-5</v>
      </c>
      <c r="S63" s="1"/>
      <c r="T63" s="1">
        <f>SUM(OSRRefT22_8x_0)</f>
        <v>1672.81</v>
      </c>
      <c r="U63" s="1"/>
      <c r="V63" s="5">
        <f t="shared" si="46"/>
        <v>3.6211595722247249E-4</v>
      </c>
      <c r="W63" s="1"/>
      <c r="X63" s="1">
        <f t="shared" si="47"/>
        <v>-1662.81</v>
      </c>
      <c r="Y63" s="1"/>
      <c r="Z63" s="5">
        <f t="shared" si="48"/>
        <v>-0.99402203477980167</v>
      </c>
    </row>
    <row r="64" spans="1:26" s="23" customFormat="1" hidden="1" outlineLevel="2" x14ac:dyDescent="0.25">
      <c r="A64" s="25"/>
      <c r="B64" s="10" t="str">
        <f>CONCATENATE("          ", "6277", " - ", "EMPLOYEE APPRECIATION")</f>
        <v xml:space="preserve">          6277 - EMPLOYEE APPRECIATION</v>
      </c>
      <c r="C64" s="10"/>
      <c r="D64" s="6"/>
      <c r="E64" s="2"/>
      <c r="F64" s="7">
        <f t="shared" si="41"/>
        <v>0</v>
      </c>
      <c r="G64" s="2"/>
      <c r="H64" s="6"/>
      <c r="I64" s="2"/>
      <c r="J64" s="7">
        <f t="shared" si="42"/>
        <v>0</v>
      </c>
      <c r="K64" s="2"/>
      <c r="L64" s="6">
        <f t="shared" si="43"/>
        <v>0</v>
      </c>
      <c r="M64" s="2"/>
      <c r="N64" s="7">
        <f t="shared" si="44"/>
        <v>0</v>
      </c>
      <c r="O64" s="10"/>
      <c r="P64" s="6">
        <v>10</v>
      </c>
      <c r="Q64" s="2"/>
      <c r="R64" s="7">
        <f t="shared" si="45"/>
        <v>1.7091981541275246E-5</v>
      </c>
      <c r="S64" s="2"/>
      <c r="T64" s="6">
        <v>1672.81</v>
      </c>
      <c r="U64" s="2"/>
      <c r="V64" s="7">
        <f t="shared" si="46"/>
        <v>3.6211595722247249E-4</v>
      </c>
      <c r="W64" s="2"/>
      <c r="X64" s="6">
        <f t="shared" si="47"/>
        <v>-1662.81</v>
      </c>
      <c r="Y64" s="2"/>
      <c r="Z64" s="7">
        <f t="shared" si="48"/>
        <v>-0.99402203477980167</v>
      </c>
    </row>
    <row r="65" spans="1:26" s="27" customFormat="1" outlineLevel="1" collapsed="1" x14ac:dyDescent="0.25">
      <c r="A65" s="26"/>
      <c r="B65" s="12" t="str">
        <f>CONCATENATE("     ","Equipment Rental                                  ")</f>
        <v xml:space="preserve">     Equipment Rental                                  </v>
      </c>
      <c r="C65" s="12"/>
      <c r="D65" s="1">
        <f>SUM(OSRRefD22_9x_0)</f>
        <v>1075.32</v>
      </c>
      <c r="E65" s="1"/>
      <c r="F65" s="5">
        <f t="shared" si="41"/>
        <v>1.612304202693441E-2</v>
      </c>
      <c r="G65" s="1"/>
      <c r="H65" s="1">
        <f>SUM(OSRRefH22_9x_0)</f>
        <v>1792.99</v>
      </c>
      <c r="I65" s="1"/>
      <c r="J65" s="5">
        <f t="shared" si="42"/>
        <v>0</v>
      </c>
      <c r="K65" s="1"/>
      <c r="L65" s="1">
        <f t="shared" si="43"/>
        <v>-717.67000000000007</v>
      </c>
      <c r="M65" s="1"/>
      <c r="N65" s="5">
        <f t="shared" si="44"/>
        <v>-0.40026436287988226</v>
      </c>
      <c r="O65" s="12"/>
      <c r="P65" s="1">
        <f>SUM(OSRRefP22_9x_0)</f>
        <v>7591.75</v>
      </c>
      <c r="Q65" s="1"/>
      <c r="R65" s="5">
        <f t="shared" si="45"/>
        <v>1.2975805086597635E-2</v>
      </c>
      <c r="S65" s="1"/>
      <c r="T65" s="1">
        <f>SUM(OSRRefT22_9x_0)</f>
        <v>28337.55</v>
      </c>
      <c r="U65" s="1"/>
      <c r="V65" s="5">
        <f t="shared" si="46"/>
        <v>6.1342764830373299E-3</v>
      </c>
      <c r="W65" s="1"/>
      <c r="X65" s="1">
        <f t="shared" si="47"/>
        <v>-20745.8</v>
      </c>
      <c r="Y65" s="1"/>
      <c r="Z65" s="5">
        <f t="shared" si="48"/>
        <v>-0.73209575280855266</v>
      </c>
    </row>
    <row r="66" spans="1:26" s="23" customFormat="1" hidden="1" outlineLevel="2" x14ac:dyDescent="0.25">
      <c r="A66" s="25"/>
      <c r="B66" s="10" t="str">
        <f>CONCATENATE("          ", "6351", " - ", "EQUIPMENT RENTAL")</f>
        <v xml:space="preserve">          6351 - EQUIPMENT RENTAL</v>
      </c>
      <c r="C66" s="10"/>
      <c r="D66" s="6">
        <v>1075.32</v>
      </c>
      <c r="E66" s="2"/>
      <c r="F66" s="7">
        <f t="shared" si="41"/>
        <v>1.612304202693441E-2</v>
      </c>
      <c r="G66" s="2"/>
      <c r="H66" s="6">
        <v>1792.99</v>
      </c>
      <c r="I66" s="2"/>
      <c r="J66" s="7">
        <f t="shared" si="42"/>
        <v>0</v>
      </c>
      <c r="K66" s="2"/>
      <c r="L66" s="6">
        <f t="shared" si="43"/>
        <v>-717.67000000000007</v>
      </c>
      <c r="M66" s="2"/>
      <c r="N66" s="7">
        <f t="shared" si="44"/>
        <v>-0.40026436287988226</v>
      </c>
      <c r="O66" s="10"/>
      <c r="P66" s="6">
        <v>7591.75</v>
      </c>
      <c r="Q66" s="2"/>
      <c r="R66" s="7">
        <f t="shared" si="45"/>
        <v>1.2975805086597635E-2</v>
      </c>
      <c r="S66" s="2"/>
      <c r="T66" s="6">
        <v>28337.55</v>
      </c>
      <c r="U66" s="2"/>
      <c r="V66" s="7">
        <f t="shared" si="46"/>
        <v>6.1342764830373299E-3</v>
      </c>
      <c r="W66" s="2"/>
      <c r="X66" s="6">
        <f t="shared" si="47"/>
        <v>-20745.8</v>
      </c>
      <c r="Y66" s="2"/>
      <c r="Z66" s="7">
        <f t="shared" si="48"/>
        <v>-0.73209575280855266</v>
      </c>
    </row>
    <row r="67" spans="1:26" s="27" customFormat="1" outlineLevel="1" collapsed="1" x14ac:dyDescent="0.25">
      <c r="A67" s="26"/>
      <c r="B67" s="12" t="str">
        <f>CONCATENATE("     ","Freight out/Postage                               ")</f>
        <v xml:space="preserve">     Freight out/Postage                               </v>
      </c>
      <c r="C67" s="12"/>
      <c r="D67" s="1">
        <f>SUM(OSRRefD22_10x_0)</f>
        <v>0</v>
      </c>
      <c r="E67" s="1"/>
      <c r="F67" s="5">
        <f t="shared" si="41"/>
        <v>0</v>
      </c>
      <c r="G67" s="1"/>
      <c r="H67" s="1">
        <f>SUM(OSRRefH22_10x_0)</f>
        <v>0</v>
      </c>
      <c r="I67" s="1"/>
      <c r="J67" s="5">
        <f t="shared" si="42"/>
        <v>0</v>
      </c>
      <c r="K67" s="1"/>
      <c r="L67" s="1">
        <f t="shared" si="43"/>
        <v>0</v>
      </c>
      <c r="M67" s="1"/>
      <c r="N67" s="5">
        <f t="shared" si="44"/>
        <v>0</v>
      </c>
      <c r="O67" s="12"/>
      <c r="P67" s="1">
        <f>SUM(OSRRefP22_10x_0)</f>
        <v>-2.4500000000000002</v>
      </c>
      <c r="Q67" s="1"/>
      <c r="R67" s="5">
        <f t="shared" si="45"/>
        <v>-4.1875354776124353E-6</v>
      </c>
      <c r="S67" s="1"/>
      <c r="T67" s="1">
        <f>SUM(OSRRefT22_10x_0)</f>
        <v>0.57999999999999996</v>
      </c>
      <c r="U67" s="1"/>
      <c r="V67" s="5">
        <f t="shared" si="46"/>
        <v>1.2555356268137687E-7</v>
      </c>
      <c r="W67" s="1"/>
      <c r="X67" s="1">
        <f t="shared" si="47"/>
        <v>-3.0300000000000002</v>
      </c>
      <c r="Y67" s="1"/>
      <c r="Z67" s="5">
        <f t="shared" si="48"/>
        <v>-5.224137931034484</v>
      </c>
    </row>
    <row r="68" spans="1:26" s="23" customFormat="1" hidden="1" outlineLevel="2" x14ac:dyDescent="0.25">
      <c r="A68" s="25"/>
      <c r="B68" s="10" t="str">
        <f>CONCATENATE("          ", "6307", " - ", "POSTAGE")</f>
        <v xml:space="preserve">          6307 - POSTAGE</v>
      </c>
      <c r="C68" s="10"/>
      <c r="D68" s="6"/>
      <c r="E68" s="2"/>
      <c r="F68" s="7">
        <f t="shared" si="41"/>
        <v>0</v>
      </c>
      <c r="G68" s="2"/>
      <c r="H68" s="6"/>
      <c r="I68" s="2"/>
      <c r="J68" s="7">
        <f t="shared" si="42"/>
        <v>0</v>
      </c>
      <c r="K68" s="2"/>
      <c r="L68" s="6">
        <f t="shared" si="43"/>
        <v>0</v>
      </c>
      <c r="M68" s="2"/>
      <c r="N68" s="7">
        <f t="shared" si="44"/>
        <v>0</v>
      </c>
      <c r="O68" s="10"/>
      <c r="P68" s="6">
        <v>-2.4500000000000002</v>
      </c>
      <c r="Q68" s="2"/>
      <c r="R68" s="7">
        <f t="shared" si="45"/>
        <v>-4.1875354776124353E-6</v>
      </c>
      <c r="S68" s="2"/>
      <c r="T68" s="6">
        <v>0.57999999999999996</v>
      </c>
      <c r="U68" s="2"/>
      <c r="V68" s="7">
        <f t="shared" si="46"/>
        <v>1.2555356268137687E-7</v>
      </c>
      <c r="W68" s="2"/>
      <c r="X68" s="6">
        <f t="shared" si="47"/>
        <v>-3.0300000000000002</v>
      </c>
      <c r="Y68" s="2"/>
      <c r="Z68" s="7">
        <f t="shared" si="48"/>
        <v>-5.224137931034484</v>
      </c>
    </row>
    <row r="69" spans="1:26" s="27" customFormat="1" outlineLevel="1" collapsed="1" x14ac:dyDescent="0.25">
      <c r="A69" s="26"/>
      <c r="B69" s="12" t="str">
        <f>CONCATENATE("     ","General                                           ")</f>
        <v xml:space="preserve">     General                                           </v>
      </c>
      <c r="C69" s="12"/>
      <c r="D69" s="1">
        <f>SUM(OSRRefD22_11x_0)</f>
        <v>0</v>
      </c>
      <c r="E69" s="1"/>
      <c r="F69" s="5">
        <f t="shared" si="41"/>
        <v>0</v>
      </c>
      <c r="G69" s="1"/>
      <c r="H69" s="1">
        <f>SUM(OSRRefH22_11x_0)</f>
        <v>4574.0600000000004</v>
      </c>
      <c r="I69" s="1"/>
      <c r="J69" s="5">
        <f t="shared" si="42"/>
        <v>0</v>
      </c>
      <c r="K69" s="1"/>
      <c r="L69" s="1">
        <f t="shared" si="43"/>
        <v>-4574.0600000000004</v>
      </c>
      <c r="M69" s="1"/>
      <c r="N69" s="5">
        <f t="shared" si="44"/>
        <v>-1</v>
      </c>
      <c r="O69" s="12"/>
      <c r="P69" s="1">
        <f>SUM(OSRRefP22_11x_0)</f>
        <v>7630.48</v>
      </c>
      <c r="Q69" s="1"/>
      <c r="R69" s="5">
        <f t="shared" si="45"/>
        <v>1.3042002331106993E-2</v>
      </c>
      <c r="S69" s="1"/>
      <c r="T69" s="1">
        <f>SUM(OSRRefT22_11x_0)</f>
        <v>88161.41</v>
      </c>
      <c r="U69" s="1"/>
      <c r="V69" s="5">
        <f t="shared" si="46"/>
        <v>1.9084446752609598E-2</v>
      </c>
      <c r="W69" s="1"/>
      <c r="X69" s="1">
        <f t="shared" si="47"/>
        <v>-80530.930000000008</v>
      </c>
      <c r="Y69" s="1"/>
      <c r="Z69" s="5">
        <f t="shared" si="48"/>
        <v>-0.9134487526912286</v>
      </c>
    </row>
    <row r="70" spans="1:26" s="23" customFormat="1" hidden="1" outlineLevel="2" x14ac:dyDescent="0.25">
      <c r="A70" s="25"/>
      <c r="B70" s="10" t="str">
        <f>CONCATENATE("          ", "6269", " - ", "ENTERTAINMENT")</f>
        <v xml:space="preserve">          6269 - ENTERTAINMENT</v>
      </c>
      <c r="C70" s="10"/>
      <c r="D70" s="6"/>
      <c r="E70" s="2"/>
      <c r="F70" s="7">
        <f t="shared" si="41"/>
        <v>0</v>
      </c>
      <c r="G70" s="2"/>
      <c r="H70" s="6"/>
      <c r="I70" s="2"/>
      <c r="J70" s="7">
        <f t="shared" si="42"/>
        <v>0</v>
      </c>
      <c r="K70" s="2"/>
      <c r="L70" s="6">
        <f t="shared" si="43"/>
        <v>0</v>
      </c>
      <c r="M70" s="2"/>
      <c r="N70" s="7">
        <f t="shared" si="44"/>
        <v>0</v>
      </c>
      <c r="O70" s="10"/>
      <c r="P70" s="6"/>
      <c r="Q70" s="2"/>
      <c r="R70" s="7">
        <f t="shared" si="45"/>
        <v>0</v>
      </c>
      <c r="S70" s="2"/>
      <c r="T70" s="6">
        <v>10050</v>
      </c>
      <c r="U70" s="2"/>
      <c r="V70" s="7">
        <f t="shared" si="46"/>
        <v>2.1755401809445477E-3</v>
      </c>
      <c r="W70" s="2"/>
      <c r="X70" s="6">
        <f t="shared" si="47"/>
        <v>-10050</v>
      </c>
      <c r="Y70" s="2"/>
      <c r="Z70" s="7">
        <f t="shared" si="48"/>
        <v>-1</v>
      </c>
    </row>
    <row r="71" spans="1:26" s="23" customFormat="1" hidden="1" outlineLevel="2" x14ac:dyDescent="0.25">
      <c r="A71" s="25"/>
      <c r="B71" s="10" t="str">
        <f>CONCATENATE("          ", "6279", " - ", "GENERAL EXPENSE")</f>
        <v xml:space="preserve">          6279 - GENERAL EXPENSE</v>
      </c>
      <c r="C71" s="10"/>
      <c r="D71" s="6"/>
      <c r="E71" s="2"/>
      <c r="F71" s="7">
        <f t="shared" si="41"/>
        <v>0</v>
      </c>
      <c r="G71" s="2"/>
      <c r="H71" s="6">
        <v>4574.0600000000004</v>
      </c>
      <c r="I71" s="2"/>
      <c r="J71" s="7">
        <f t="shared" si="42"/>
        <v>0</v>
      </c>
      <c r="K71" s="2"/>
      <c r="L71" s="6">
        <f t="shared" si="43"/>
        <v>-4574.0600000000004</v>
      </c>
      <c r="M71" s="2"/>
      <c r="N71" s="7">
        <f t="shared" si="44"/>
        <v>-1</v>
      </c>
      <c r="O71" s="10"/>
      <c r="P71" s="6">
        <v>7630.48</v>
      </c>
      <c r="Q71" s="2"/>
      <c r="R71" s="7">
        <f t="shared" si="45"/>
        <v>1.3042002331106993E-2</v>
      </c>
      <c r="S71" s="2"/>
      <c r="T71" s="6">
        <v>78111.41</v>
      </c>
      <c r="U71" s="2"/>
      <c r="V71" s="7">
        <f t="shared" si="46"/>
        <v>1.690890657166505E-2</v>
      </c>
      <c r="W71" s="2"/>
      <c r="X71" s="6">
        <f t="shared" si="47"/>
        <v>-70480.930000000008</v>
      </c>
      <c r="Y71" s="2"/>
      <c r="Z71" s="7">
        <f t="shared" si="48"/>
        <v>-0.90231286312716674</v>
      </c>
    </row>
    <row r="72" spans="1:26" s="27" customFormat="1" outlineLevel="1" collapsed="1" x14ac:dyDescent="0.25">
      <c r="A72" s="26"/>
      <c r="B72" s="12" t="str">
        <f>CONCATENATE("     ","Insurance                                         ")</f>
        <v xml:space="preserve">     Insurance                                         </v>
      </c>
      <c r="C72" s="12"/>
      <c r="D72" s="1">
        <f>SUM(OSRRefD22_12x_0)</f>
        <v>9054.81</v>
      </c>
      <c r="E72" s="1"/>
      <c r="F72" s="5">
        <f t="shared" ref="F72:F84" si="49">IF(D$12=0,0,D72/D$12)</f>
        <v>0.13576524399797824</v>
      </c>
      <c r="G72" s="1"/>
      <c r="H72" s="1">
        <f>SUM(OSRRefH22_12x_0)</f>
        <v>4240.13</v>
      </c>
      <c r="I72" s="1"/>
      <c r="J72" s="5">
        <f t="shared" ref="J72:J84" si="50">IF(H$12=0,0,H72/H$12)</f>
        <v>0</v>
      </c>
      <c r="K72" s="1"/>
      <c r="L72" s="1">
        <f t="shared" ref="L72:L84" si="51">+D72-H72</f>
        <v>4814.6799999999994</v>
      </c>
      <c r="M72" s="1"/>
      <c r="N72" s="5">
        <f t="shared" ref="N72:N84" si="52">IF(H72=0,0,L72/H72)</f>
        <v>1.1355029209010099</v>
      </c>
      <c r="O72" s="12"/>
      <c r="P72" s="1">
        <f>SUM(OSRRefP22_12x_0)</f>
        <v>61808.24</v>
      </c>
      <c r="Q72" s="1"/>
      <c r="R72" s="5">
        <f t="shared" ref="R72:R84" si="53">IF(P$12=0,0,P72/P$12)</f>
        <v>0.10564252971787103</v>
      </c>
      <c r="S72" s="1"/>
      <c r="T72" s="1">
        <f>SUM(OSRRefT22_12x_0)</f>
        <v>56642.559999999998</v>
      </c>
      <c r="U72" s="1"/>
      <c r="V72" s="5">
        <f t="shared" ref="V72:V84" si="54">IF(T$12=0,0,T72/T$12)</f>
        <v>1.2261508978264914E-2</v>
      </c>
      <c r="W72" s="1"/>
      <c r="X72" s="1">
        <f t="shared" ref="X72:X84" si="55">+P72-T72</f>
        <v>5165.68</v>
      </c>
      <c r="Y72" s="1"/>
      <c r="Z72" s="5">
        <f t="shared" ref="Z72:Z84" si="56">IF(T72=0,0,X72/T72)</f>
        <v>9.1197855464159816E-2</v>
      </c>
    </row>
    <row r="73" spans="1:26" s="23" customFormat="1" hidden="1" outlineLevel="2" x14ac:dyDescent="0.25">
      <c r="A73" s="25"/>
      <c r="B73" s="10" t="str">
        <f>CONCATENATE("          ", "6314", " - ", "LIABILITY INSURANCE")</f>
        <v xml:space="preserve">          6314 - LIABILITY INSURANCE</v>
      </c>
      <c r="C73" s="10"/>
      <c r="D73" s="6">
        <v>9054.81</v>
      </c>
      <c r="E73" s="2"/>
      <c r="F73" s="7">
        <f t="shared" si="49"/>
        <v>0.13576524399797824</v>
      </c>
      <c r="G73" s="2"/>
      <c r="H73" s="6">
        <v>4240.13</v>
      </c>
      <c r="I73" s="2"/>
      <c r="J73" s="7">
        <f t="shared" si="50"/>
        <v>0</v>
      </c>
      <c r="K73" s="2"/>
      <c r="L73" s="6">
        <f t="shared" si="51"/>
        <v>4814.6799999999994</v>
      </c>
      <c r="M73" s="2"/>
      <c r="N73" s="7">
        <f t="shared" si="52"/>
        <v>1.1355029209010099</v>
      </c>
      <c r="O73" s="10"/>
      <c r="P73" s="6">
        <v>61808.24</v>
      </c>
      <c r="Q73" s="2"/>
      <c r="R73" s="7">
        <f t="shared" si="53"/>
        <v>0.10564252971787103</v>
      </c>
      <c r="S73" s="2"/>
      <c r="T73" s="6">
        <v>56642.559999999998</v>
      </c>
      <c r="U73" s="2"/>
      <c r="V73" s="7">
        <f t="shared" si="54"/>
        <v>1.2261508978264914E-2</v>
      </c>
      <c r="W73" s="2"/>
      <c r="X73" s="6">
        <f t="shared" si="55"/>
        <v>5165.68</v>
      </c>
      <c r="Y73" s="2"/>
      <c r="Z73" s="7">
        <f t="shared" si="56"/>
        <v>9.1197855464159816E-2</v>
      </c>
    </row>
    <row r="74" spans="1:26" s="27" customFormat="1" outlineLevel="1" collapsed="1" x14ac:dyDescent="0.25">
      <c r="A74" s="26"/>
      <c r="B74" s="12" t="str">
        <f>CONCATENATE("     ","Interest                                          ")</f>
        <v xml:space="preserve">     Interest                                          </v>
      </c>
      <c r="C74" s="12"/>
      <c r="D74" s="1">
        <f>SUM(OSRRefD22_13x_0)</f>
        <v>-815.7</v>
      </c>
      <c r="E74" s="1"/>
      <c r="F74" s="5">
        <f t="shared" si="49"/>
        <v>-1.223037363888926E-2</v>
      </c>
      <c r="G74" s="1"/>
      <c r="H74" s="1">
        <f>SUM(OSRRefH22_13x_0)</f>
        <v>-571.70000000000005</v>
      </c>
      <c r="I74" s="1"/>
      <c r="J74" s="5">
        <f t="shared" si="50"/>
        <v>0</v>
      </c>
      <c r="K74" s="1"/>
      <c r="L74" s="1">
        <f t="shared" si="51"/>
        <v>-244</v>
      </c>
      <c r="M74" s="1"/>
      <c r="N74" s="5">
        <f t="shared" si="52"/>
        <v>0.42679727129613432</v>
      </c>
      <c r="O74" s="12"/>
      <c r="P74" s="1">
        <f>SUM(OSRRefP22_13x_0)</f>
        <v>79764.45</v>
      </c>
      <c r="Q74" s="1"/>
      <c r="R74" s="5">
        <f t="shared" si="53"/>
        <v>0.13633325070499722</v>
      </c>
      <c r="S74" s="1"/>
      <c r="T74" s="1">
        <f>SUM(OSRRefT22_13x_0)</f>
        <v>82378.58</v>
      </c>
      <c r="U74" s="1"/>
      <c r="V74" s="5">
        <f t="shared" si="54"/>
        <v>1.7832627944194518E-2</v>
      </c>
      <c r="W74" s="1"/>
      <c r="X74" s="1">
        <f t="shared" si="55"/>
        <v>-2614.1300000000047</v>
      </c>
      <c r="Y74" s="1"/>
      <c r="Z74" s="5">
        <f t="shared" si="56"/>
        <v>-3.1733127713539179E-2</v>
      </c>
    </row>
    <row r="75" spans="1:26" s="23" customFormat="1" hidden="1" outlineLevel="2" x14ac:dyDescent="0.25">
      <c r="A75" s="25"/>
      <c r="B75" s="10" t="str">
        <f>CONCATENATE("          ", "6401", " - ", "INTEREST EXPENSE")</f>
        <v xml:space="preserve">          6401 - INTEREST EXPENSE</v>
      </c>
      <c r="C75" s="10"/>
      <c r="D75" s="6">
        <v>-815.7</v>
      </c>
      <c r="E75" s="2"/>
      <c r="F75" s="7">
        <f t="shared" si="49"/>
        <v>-1.223037363888926E-2</v>
      </c>
      <c r="G75" s="2"/>
      <c r="H75" s="6">
        <v>-571.70000000000005</v>
      </c>
      <c r="I75" s="2"/>
      <c r="J75" s="7">
        <f t="shared" si="50"/>
        <v>0</v>
      </c>
      <c r="K75" s="2"/>
      <c r="L75" s="6">
        <f t="shared" si="51"/>
        <v>-244</v>
      </c>
      <c r="M75" s="2"/>
      <c r="N75" s="7">
        <f t="shared" si="52"/>
        <v>0.42679727129613432</v>
      </c>
      <c r="O75" s="10"/>
      <c r="P75" s="6">
        <v>79764.45</v>
      </c>
      <c r="Q75" s="2"/>
      <c r="R75" s="7">
        <f t="shared" si="53"/>
        <v>0.13633325070499722</v>
      </c>
      <c r="S75" s="2"/>
      <c r="T75" s="6">
        <v>82378.58</v>
      </c>
      <c r="U75" s="2"/>
      <c r="V75" s="7">
        <f t="shared" si="54"/>
        <v>1.7832627944194518E-2</v>
      </c>
      <c r="W75" s="2"/>
      <c r="X75" s="6">
        <f t="shared" si="55"/>
        <v>-2614.1300000000047</v>
      </c>
      <c r="Y75" s="2"/>
      <c r="Z75" s="7">
        <f t="shared" si="56"/>
        <v>-3.1733127713539179E-2</v>
      </c>
    </row>
    <row r="76" spans="1:26" s="27" customFormat="1" outlineLevel="1" collapsed="1" x14ac:dyDescent="0.25">
      <c r="A76" s="26"/>
      <c r="B76" s="12" t="str">
        <f>CONCATENATE("     ","Professional Services                             ")</f>
        <v xml:space="preserve">     Professional Services                             </v>
      </c>
      <c r="C76" s="12"/>
      <c r="D76" s="1">
        <f>SUM(OSRRefD22_14x_0)</f>
        <v>0</v>
      </c>
      <c r="E76" s="1"/>
      <c r="F76" s="5">
        <f t="shared" si="49"/>
        <v>0</v>
      </c>
      <c r="G76" s="1"/>
      <c r="H76" s="1">
        <f>SUM(OSRRefH22_14x_0)</f>
        <v>0</v>
      </c>
      <c r="I76" s="1"/>
      <c r="J76" s="5">
        <f t="shared" si="50"/>
        <v>0</v>
      </c>
      <c r="K76" s="1"/>
      <c r="L76" s="1">
        <f t="shared" si="51"/>
        <v>0</v>
      </c>
      <c r="M76" s="1"/>
      <c r="N76" s="5">
        <f t="shared" si="52"/>
        <v>0</v>
      </c>
      <c r="O76" s="12"/>
      <c r="P76" s="1">
        <f>SUM(OSRRefP22_14x_0)</f>
        <v>0</v>
      </c>
      <c r="Q76" s="1"/>
      <c r="R76" s="5">
        <f t="shared" si="53"/>
        <v>0</v>
      </c>
      <c r="S76" s="1"/>
      <c r="T76" s="1">
        <f>SUM(OSRRefT22_14x_0)</f>
        <v>125</v>
      </c>
      <c r="U76" s="1"/>
      <c r="V76" s="5">
        <f t="shared" si="54"/>
        <v>2.7058957474434672E-5</v>
      </c>
      <c r="W76" s="1"/>
      <c r="X76" s="1">
        <f t="shared" si="55"/>
        <v>-125</v>
      </c>
      <c r="Y76" s="1"/>
      <c r="Z76" s="5">
        <f t="shared" si="56"/>
        <v>-1</v>
      </c>
    </row>
    <row r="77" spans="1:26" s="23" customFormat="1" hidden="1" outlineLevel="2" x14ac:dyDescent="0.25">
      <c r="A77" s="25"/>
      <c r="B77" s="10" t="str">
        <f>CONCATENATE("          ", "6336", " - ", "PROFESSIONAL SERVICES")</f>
        <v xml:space="preserve">          6336 - PROFESSIONAL SERVICES</v>
      </c>
      <c r="C77" s="10"/>
      <c r="D77" s="6"/>
      <c r="E77" s="2"/>
      <c r="F77" s="7">
        <f t="shared" si="49"/>
        <v>0</v>
      </c>
      <c r="G77" s="2"/>
      <c r="H77" s="6"/>
      <c r="I77" s="2"/>
      <c r="J77" s="7">
        <f t="shared" si="50"/>
        <v>0</v>
      </c>
      <c r="K77" s="2"/>
      <c r="L77" s="6">
        <f t="shared" si="51"/>
        <v>0</v>
      </c>
      <c r="M77" s="2"/>
      <c r="N77" s="7">
        <f t="shared" si="52"/>
        <v>0</v>
      </c>
      <c r="O77" s="10"/>
      <c r="P77" s="6"/>
      <c r="Q77" s="2"/>
      <c r="R77" s="7">
        <f t="shared" si="53"/>
        <v>0</v>
      </c>
      <c r="S77" s="2"/>
      <c r="T77" s="6">
        <v>125</v>
      </c>
      <c r="U77" s="2"/>
      <c r="V77" s="7">
        <f t="shared" si="54"/>
        <v>2.7058957474434672E-5</v>
      </c>
      <c r="W77" s="2"/>
      <c r="X77" s="6">
        <f t="shared" si="55"/>
        <v>-125</v>
      </c>
      <c r="Y77" s="2"/>
      <c r="Z77" s="7">
        <f t="shared" si="56"/>
        <v>-1</v>
      </c>
    </row>
    <row r="78" spans="1:26" s="27" customFormat="1" outlineLevel="1" collapsed="1" x14ac:dyDescent="0.25">
      <c r="A78" s="26"/>
      <c r="B78" s="12" t="str">
        <f>CONCATENATE("     ","Rent                                              ")</f>
        <v xml:space="preserve">     Rent                                              </v>
      </c>
      <c r="C78" s="12"/>
      <c r="D78" s="1">
        <f>SUM(OSRRefD22_15x_0)</f>
        <v>7400</v>
      </c>
      <c r="E78" s="1"/>
      <c r="F78" s="5">
        <f t="shared" si="49"/>
        <v>0.11095349384305568</v>
      </c>
      <c r="G78" s="1"/>
      <c r="H78" s="1">
        <f>SUM(OSRRefH22_15x_0)</f>
        <v>1850</v>
      </c>
      <c r="I78" s="1"/>
      <c r="J78" s="5">
        <f t="shared" si="50"/>
        <v>0</v>
      </c>
      <c r="K78" s="1"/>
      <c r="L78" s="1">
        <f t="shared" si="51"/>
        <v>5550</v>
      </c>
      <c r="M78" s="1"/>
      <c r="N78" s="5">
        <f t="shared" si="52"/>
        <v>3</v>
      </c>
      <c r="O78" s="12"/>
      <c r="P78" s="1">
        <f>SUM(OSRRefP22_15x_0)</f>
        <v>22200</v>
      </c>
      <c r="Q78" s="1"/>
      <c r="R78" s="5">
        <f t="shared" si="53"/>
        <v>3.7944199021631042E-2</v>
      </c>
      <c r="S78" s="1"/>
      <c r="T78" s="1">
        <f>SUM(OSRRefT22_15x_0)</f>
        <v>22200</v>
      </c>
      <c r="U78" s="1"/>
      <c r="V78" s="5">
        <f t="shared" si="54"/>
        <v>4.8056708474595979E-3</v>
      </c>
      <c r="W78" s="1"/>
      <c r="X78" s="1">
        <f t="shared" si="55"/>
        <v>0</v>
      </c>
      <c r="Y78" s="1"/>
      <c r="Z78" s="5">
        <f t="shared" si="56"/>
        <v>0</v>
      </c>
    </row>
    <row r="79" spans="1:26" s="23" customFormat="1" hidden="1" outlineLevel="2" x14ac:dyDescent="0.25">
      <c r="A79" s="25"/>
      <c r="B79" s="10" t="str">
        <f>CONCATENATE("          ", "6273", " - ", "RENT")</f>
        <v xml:space="preserve">          6273 - RENT</v>
      </c>
      <c r="C79" s="10"/>
      <c r="D79" s="6">
        <v>7400</v>
      </c>
      <c r="E79" s="2"/>
      <c r="F79" s="7">
        <f t="shared" si="49"/>
        <v>0.11095349384305568</v>
      </c>
      <c r="G79" s="2"/>
      <c r="H79" s="6">
        <v>1850</v>
      </c>
      <c r="I79" s="2"/>
      <c r="J79" s="7">
        <f t="shared" si="50"/>
        <v>0</v>
      </c>
      <c r="K79" s="2"/>
      <c r="L79" s="6">
        <f t="shared" si="51"/>
        <v>5550</v>
      </c>
      <c r="M79" s="2"/>
      <c r="N79" s="7">
        <f t="shared" si="52"/>
        <v>3</v>
      </c>
      <c r="O79" s="10"/>
      <c r="P79" s="6">
        <v>22200</v>
      </c>
      <c r="Q79" s="2"/>
      <c r="R79" s="7">
        <f t="shared" si="53"/>
        <v>3.7944199021631042E-2</v>
      </c>
      <c r="S79" s="2"/>
      <c r="T79" s="6">
        <v>22200</v>
      </c>
      <c r="U79" s="2"/>
      <c r="V79" s="7">
        <f t="shared" si="54"/>
        <v>4.8056708474595979E-3</v>
      </c>
      <c r="W79" s="2"/>
      <c r="X79" s="6">
        <f t="shared" si="55"/>
        <v>0</v>
      </c>
      <c r="Y79" s="2"/>
      <c r="Z79" s="7">
        <f t="shared" si="56"/>
        <v>0</v>
      </c>
    </row>
    <row r="80" spans="1:26" s="27" customFormat="1" outlineLevel="1" collapsed="1" x14ac:dyDescent="0.25">
      <c r="A80" s="26"/>
      <c r="B80" s="12" t="str">
        <f>CONCATENATE("     ","Repair and Maintenance                            ")</f>
        <v xml:space="preserve">     Repair and Maintenance                            </v>
      </c>
      <c r="C80" s="12"/>
      <c r="D80" s="1">
        <f>SUM(OSRRefD22_16x_0)</f>
        <v>29388.65</v>
      </c>
      <c r="E80" s="1"/>
      <c r="F80" s="5">
        <f t="shared" si="49"/>
        <v>0.44064505362577278</v>
      </c>
      <c r="G80" s="1"/>
      <c r="H80" s="1">
        <f>SUM(OSRRefH22_16x_0)</f>
        <v>7691.29</v>
      </c>
      <c r="I80" s="1"/>
      <c r="J80" s="5">
        <f t="shared" si="50"/>
        <v>0</v>
      </c>
      <c r="K80" s="1"/>
      <c r="L80" s="1">
        <f t="shared" si="51"/>
        <v>21697.360000000001</v>
      </c>
      <c r="M80" s="1"/>
      <c r="N80" s="5">
        <f t="shared" si="52"/>
        <v>2.8210300222719469</v>
      </c>
      <c r="O80" s="12"/>
      <c r="P80" s="1">
        <f>SUM(OSRRefP22_16x_0)</f>
        <v>81706.36</v>
      </c>
      <c r="Q80" s="1"/>
      <c r="R80" s="5">
        <f t="shared" si="53"/>
        <v>0.13965235969247899</v>
      </c>
      <c r="S80" s="1"/>
      <c r="T80" s="1">
        <f>SUM(OSRRefT22_16x_0)</f>
        <v>234062.56</v>
      </c>
      <c r="U80" s="1"/>
      <c r="V80" s="5">
        <f t="shared" si="54"/>
        <v>5.066791085917851E-2</v>
      </c>
      <c r="W80" s="1"/>
      <c r="X80" s="1">
        <f t="shared" si="55"/>
        <v>-152356.20000000001</v>
      </c>
      <c r="Y80" s="1"/>
      <c r="Z80" s="5">
        <f t="shared" si="56"/>
        <v>-0.65092084782803372</v>
      </c>
    </row>
    <row r="81" spans="1:26" s="23" customFormat="1" hidden="1" outlineLevel="2" x14ac:dyDescent="0.25">
      <c r="A81" s="25"/>
      <c r="B81" s="10" t="str">
        <f>CONCATENATE("          ", "6371", " - ", "COMPUTER SOFTWARE MAINTENANCE")</f>
        <v xml:space="preserve">          6371 - COMPUTER SOFTWARE MAINTENANCE</v>
      </c>
      <c r="C81" s="10"/>
      <c r="D81" s="6">
        <v>30321</v>
      </c>
      <c r="E81" s="2"/>
      <c r="F81" s="7">
        <f t="shared" si="49"/>
        <v>0.45462444416422854</v>
      </c>
      <c r="G81" s="2"/>
      <c r="H81" s="6"/>
      <c r="I81" s="2"/>
      <c r="J81" s="7">
        <f t="shared" si="50"/>
        <v>0</v>
      </c>
      <c r="K81" s="2"/>
      <c r="L81" s="6">
        <f t="shared" si="51"/>
        <v>30321</v>
      </c>
      <c r="M81" s="2"/>
      <c r="N81" s="7">
        <f t="shared" si="52"/>
        <v>0</v>
      </c>
      <c r="O81" s="10"/>
      <c r="P81" s="6">
        <v>39280.47</v>
      </c>
      <c r="Q81" s="2"/>
      <c r="R81" s="7">
        <f t="shared" si="53"/>
        <v>6.7138106817261609E-2</v>
      </c>
      <c r="S81" s="2"/>
      <c r="T81" s="6">
        <v>10932.69</v>
      </c>
      <c r="U81" s="2"/>
      <c r="V81" s="7">
        <f t="shared" si="54"/>
        <v>2.3666175503294176E-3</v>
      </c>
      <c r="W81" s="2"/>
      <c r="X81" s="6">
        <f t="shared" si="55"/>
        <v>28347.78</v>
      </c>
      <c r="Y81" s="2"/>
      <c r="Z81" s="7">
        <f t="shared" si="56"/>
        <v>2.5929373283245019</v>
      </c>
    </row>
    <row r="82" spans="1:26" s="23" customFormat="1" hidden="1" outlineLevel="2" x14ac:dyDescent="0.25">
      <c r="A82" s="25"/>
      <c r="B82" s="10" t="str">
        <f>CONCATENATE("          ", "6372", " - ", "COMPUTER HARDWARE MAINTENANCE")</f>
        <v xml:space="preserve">          6372 - COMPUTER HARDWARE MAINTENANCE</v>
      </c>
      <c r="C82" s="10"/>
      <c r="D82" s="6">
        <v>10.039999999999999</v>
      </c>
      <c r="E82" s="2"/>
      <c r="F82" s="7">
        <f t="shared" si="49"/>
        <v>1.5053690245733499E-4</v>
      </c>
      <c r="G82" s="2"/>
      <c r="H82" s="6"/>
      <c r="I82" s="2"/>
      <c r="J82" s="7">
        <f t="shared" si="50"/>
        <v>0</v>
      </c>
      <c r="K82" s="2"/>
      <c r="L82" s="6">
        <f t="shared" si="51"/>
        <v>10.039999999999999</v>
      </c>
      <c r="M82" s="2"/>
      <c r="N82" s="7">
        <f t="shared" si="52"/>
        <v>0</v>
      </c>
      <c r="O82" s="10"/>
      <c r="P82" s="6">
        <v>110.04</v>
      </c>
      <c r="Q82" s="2"/>
      <c r="R82" s="7">
        <f t="shared" si="53"/>
        <v>1.8808016488019281E-4</v>
      </c>
      <c r="S82" s="2"/>
      <c r="T82" s="6">
        <v>8142.87</v>
      </c>
      <c r="U82" s="2"/>
      <c r="V82" s="7">
        <f t="shared" si="54"/>
        <v>1.7627005843987987E-3</v>
      </c>
      <c r="W82" s="2"/>
      <c r="X82" s="6">
        <f t="shared" si="55"/>
        <v>-8032.83</v>
      </c>
      <c r="Y82" s="2"/>
      <c r="Z82" s="7">
        <f t="shared" si="56"/>
        <v>-0.98648633712683609</v>
      </c>
    </row>
    <row r="83" spans="1:26" s="23" customFormat="1" hidden="1" outlineLevel="2" x14ac:dyDescent="0.25">
      <c r="A83" s="25"/>
      <c r="B83" s="10" t="str">
        <f>CONCATENATE("          ", "6373", " - ", "MAINTENANCE CONTRACTS")</f>
        <v xml:space="preserve">          6373 - MAINTENANCE CONTRACTS</v>
      </c>
      <c r="C83" s="10"/>
      <c r="D83" s="6">
        <v>-4664.09</v>
      </c>
      <c r="E83" s="2"/>
      <c r="F83" s="7">
        <f t="shared" si="49"/>
        <v>-6.9932037986278048E-2</v>
      </c>
      <c r="G83" s="2"/>
      <c r="H83" s="6">
        <v>7691.29</v>
      </c>
      <c r="I83" s="2"/>
      <c r="J83" s="7">
        <f t="shared" si="50"/>
        <v>0</v>
      </c>
      <c r="K83" s="2"/>
      <c r="L83" s="6">
        <f t="shared" si="51"/>
        <v>-12355.380000000001</v>
      </c>
      <c r="M83" s="2"/>
      <c r="N83" s="7">
        <f t="shared" si="52"/>
        <v>-1.606411928298114</v>
      </c>
      <c r="O83" s="10"/>
      <c r="P83" s="6">
        <v>13559.71</v>
      </c>
      <c r="Q83" s="2"/>
      <c r="R83" s="7">
        <f t="shared" si="53"/>
        <v>2.3176231302504534E-2</v>
      </c>
      <c r="S83" s="2"/>
      <c r="T83" s="6">
        <v>100948.53</v>
      </c>
      <c r="U83" s="2"/>
      <c r="V83" s="7">
        <f t="shared" si="54"/>
        <v>2.185249584301354E-2</v>
      </c>
      <c r="W83" s="2"/>
      <c r="X83" s="6">
        <f t="shared" si="55"/>
        <v>-87388.82</v>
      </c>
      <c r="Y83" s="2"/>
      <c r="Z83" s="7">
        <f t="shared" si="56"/>
        <v>-0.86567699400872911</v>
      </c>
    </row>
    <row r="84" spans="1:26" s="23" customFormat="1" hidden="1" outlineLevel="2" x14ac:dyDescent="0.25">
      <c r="A84" s="25"/>
      <c r="B84" s="10" t="str">
        <f>CONCATENATE("          ", "6375", " - ", "OUTSIDE REPAIRS &amp; MAINTENANCE")</f>
        <v xml:space="preserve">          6375 - OUTSIDE REPAIRS &amp; MAINTENANCE</v>
      </c>
      <c r="C84" s="10"/>
      <c r="D84" s="6">
        <v>3721.7</v>
      </c>
      <c r="E84" s="2"/>
      <c r="F84" s="7">
        <f t="shared" si="49"/>
        <v>5.5802110545364908E-2</v>
      </c>
      <c r="G84" s="2"/>
      <c r="H84" s="6"/>
      <c r="I84" s="2"/>
      <c r="J84" s="7">
        <f t="shared" si="50"/>
        <v>0</v>
      </c>
      <c r="K84" s="2"/>
      <c r="L84" s="6">
        <f t="shared" si="51"/>
        <v>3721.7</v>
      </c>
      <c r="M84" s="2"/>
      <c r="N84" s="7">
        <f t="shared" si="52"/>
        <v>0</v>
      </c>
      <c r="O84" s="10"/>
      <c r="P84" s="6">
        <v>28756.14</v>
      </c>
      <c r="Q84" s="2"/>
      <c r="R84" s="7">
        <f t="shared" si="53"/>
        <v>4.9149941407832673E-2</v>
      </c>
      <c r="S84" s="2"/>
      <c r="T84" s="6">
        <v>114038.47</v>
      </c>
      <c r="U84" s="2"/>
      <c r="V84" s="7">
        <f t="shared" si="54"/>
        <v>2.4686096881436755E-2</v>
      </c>
      <c r="W84" s="2"/>
      <c r="X84" s="6">
        <f t="shared" si="55"/>
        <v>-85282.33</v>
      </c>
      <c r="Y84" s="2"/>
      <c r="Z84" s="7">
        <f t="shared" si="56"/>
        <v>-0.74783825142515503</v>
      </c>
    </row>
    <row r="85" spans="1:26" s="27" customFormat="1" outlineLevel="1" collapsed="1" x14ac:dyDescent="0.25">
      <c r="A85" s="26"/>
      <c r="B85" s="12" t="str">
        <f>CONCATENATE("     ","Royalty &amp; Commissions                             ")</f>
        <v xml:space="preserve">     Royalty &amp; Commissions                             </v>
      </c>
      <c r="C85" s="12"/>
      <c r="D85" s="1">
        <f>SUM(OSRRefD22_17x_0)</f>
        <v>0</v>
      </c>
      <c r="E85" s="1"/>
      <c r="F85" s="5">
        <f t="shared" ref="F85:F87" si="57">IF(D$12=0,0,D85/D$12)</f>
        <v>0</v>
      </c>
      <c r="G85" s="1"/>
      <c r="H85" s="1">
        <f>SUM(OSRRefH22_17x_0)</f>
        <v>0</v>
      </c>
      <c r="I85" s="1"/>
      <c r="J85" s="5">
        <f t="shared" ref="J85:J87" si="58">IF(H$12=0,0,H85/H$12)</f>
        <v>0</v>
      </c>
      <c r="K85" s="1"/>
      <c r="L85" s="1">
        <f t="shared" ref="L85:L87" si="59">+D85-H85</f>
        <v>0</v>
      </c>
      <c r="M85" s="1"/>
      <c r="N85" s="5">
        <f t="shared" ref="N85:N87" si="60">IF(H85=0,0,L85/H85)</f>
        <v>0</v>
      </c>
      <c r="O85" s="12"/>
      <c r="P85" s="1">
        <f>SUM(OSRRefP22_17x_0)</f>
        <v>0</v>
      </c>
      <c r="Q85" s="1"/>
      <c r="R85" s="5">
        <f t="shared" ref="R85:R87" si="61">IF(P$12=0,0,P85/P$12)</f>
        <v>0</v>
      </c>
      <c r="S85" s="1"/>
      <c r="T85" s="1">
        <f>SUM(OSRRefT22_17x_0)</f>
        <v>233763.47</v>
      </c>
      <c r="U85" s="1"/>
      <c r="V85" s="5">
        <f t="shared" ref="V85:V87" si="62">IF(T$12=0,0,T85/T$12)</f>
        <v>5.0603166350450285E-2</v>
      </c>
      <c r="W85" s="1"/>
      <c r="X85" s="1">
        <f t="shared" ref="X85:X87" si="63">+P85-T85</f>
        <v>-233763.47</v>
      </c>
      <c r="Y85" s="1"/>
      <c r="Z85" s="5">
        <f t="shared" ref="Z85:Z87" si="64">IF(T85=0,0,X85/T85)</f>
        <v>-1</v>
      </c>
    </row>
    <row r="86" spans="1:26" s="23" customFormat="1" hidden="1" outlineLevel="2" x14ac:dyDescent="0.25">
      <c r="A86" s="25"/>
      <c r="B86" s="10" t="str">
        <f>CONCATENATE("          ", "6254", " - ", "ROYALTY &amp; COMMISSIONS")</f>
        <v xml:space="preserve">          6254 - ROYALTY &amp; COMMISSIONS</v>
      </c>
      <c r="C86" s="10"/>
      <c r="D86" s="6"/>
      <c r="E86" s="2"/>
      <c r="F86" s="7">
        <f t="shared" si="57"/>
        <v>0</v>
      </c>
      <c r="G86" s="2"/>
      <c r="H86" s="6"/>
      <c r="I86" s="2"/>
      <c r="J86" s="7">
        <f t="shared" si="58"/>
        <v>0</v>
      </c>
      <c r="K86" s="2"/>
      <c r="L86" s="6">
        <f t="shared" si="59"/>
        <v>0</v>
      </c>
      <c r="M86" s="2"/>
      <c r="N86" s="7">
        <f t="shared" si="60"/>
        <v>0</v>
      </c>
      <c r="O86" s="10"/>
      <c r="P86" s="6"/>
      <c r="Q86" s="2"/>
      <c r="R86" s="7">
        <f t="shared" si="61"/>
        <v>0</v>
      </c>
      <c r="S86" s="2"/>
      <c r="T86" s="6">
        <v>129093.51</v>
      </c>
      <c r="U86" s="2"/>
      <c r="V86" s="7">
        <f t="shared" si="62"/>
        <v>2.7945086378524057E-2</v>
      </c>
      <c r="W86" s="2"/>
      <c r="X86" s="6">
        <f t="shared" si="63"/>
        <v>-129093.51</v>
      </c>
      <c r="Y86" s="2"/>
      <c r="Z86" s="7">
        <f t="shared" si="64"/>
        <v>-1</v>
      </c>
    </row>
    <row r="87" spans="1:26" s="23" customFormat="1" hidden="1" outlineLevel="2" x14ac:dyDescent="0.25">
      <c r="A87" s="25"/>
      <c r="B87" s="10" t="str">
        <f>CONCATENATE("          ", "6259", " - ", "ROYALTY &amp; COMMISSIONS")</f>
        <v xml:space="preserve">          6259 - ROYALTY &amp; COMMISSIONS</v>
      </c>
      <c r="C87" s="10"/>
      <c r="D87" s="6"/>
      <c r="E87" s="2"/>
      <c r="F87" s="7">
        <f t="shared" si="57"/>
        <v>0</v>
      </c>
      <c r="G87" s="2"/>
      <c r="H87" s="6"/>
      <c r="I87" s="2"/>
      <c r="J87" s="7">
        <f t="shared" si="58"/>
        <v>0</v>
      </c>
      <c r="K87" s="2"/>
      <c r="L87" s="6">
        <f t="shared" si="59"/>
        <v>0</v>
      </c>
      <c r="M87" s="2"/>
      <c r="N87" s="7">
        <f t="shared" si="60"/>
        <v>0</v>
      </c>
      <c r="O87" s="10"/>
      <c r="P87" s="6"/>
      <c r="Q87" s="2"/>
      <c r="R87" s="7">
        <f t="shared" si="61"/>
        <v>0</v>
      </c>
      <c r="S87" s="2"/>
      <c r="T87" s="6">
        <v>104669.96</v>
      </c>
      <c r="U87" s="2"/>
      <c r="V87" s="7">
        <f t="shared" si="62"/>
        <v>2.2658079971926228E-2</v>
      </c>
      <c r="W87" s="2"/>
      <c r="X87" s="6">
        <f t="shared" si="63"/>
        <v>-104669.96</v>
      </c>
      <c r="Y87" s="2"/>
      <c r="Z87" s="7">
        <f t="shared" si="64"/>
        <v>-1</v>
      </c>
    </row>
    <row r="88" spans="1:26" s="27" customFormat="1" outlineLevel="1" collapsed="1" x14ac:dyDescent="0.25">
      <c r="A88" s="26"/>
      <c r="B88" s="12" t="str">
        <f>CONCATENATE("     ","Services                                          ")</f>
        <v xml:space="preserve">     Services                                          </v>
      </c>
      <c r="C88" s="12"/>
      <c r="D88" s="1">
        <f>SUM(OSRRefD22_18x_0)</f>
        <v>1038.5799999999997</v>
      </c>
      <c r="E88" s="1"/>
      <c r="F88" s="5">
        <f t="shared" ref="F88:F93" si="65">IF(D$12=0,0,D88/D$12)</f>
        <v>1.5572172923719018E-2</v>
      </c>
      <c r="G88" s="1"/>
      <c r="H88" s="1">
        <f>SUM(OSRRefH22_18x_0)</f>
        <v>21774.940000000002</v>
      </c>
      <c r="I88" s="1"/>
      <c r="J88" s="5">
        <f t="shared" ref="J88:J93" si="66">IF(H$12=0,0,H88/H$12)</f>
        <v>0</v>
      </c>
      <c r="K88" s="1"/>
      <c r="L88" s="1">
        <f t="shared" ref="L88:L93" si="67">+D88-H88</f>
        <v>-20736.360000000004</v>
      </c>
      <c r="M88" s="1"/>
      <c r="N88" s="5">
        <f t="shared" ref="N88:N93" si="68">IF(H88=0,0,L88/H88)</f>
        <v>-0.95230388694526835</v>
      </c>
      <c r="O88" s="12"/>
      <c r="P88" s="1">
        <f>SUM(OSRRefP22_18x_0)</f>
        <v>65085.43</v>
      </c>
      <c r="Q88" s="1"/>
      <c r="R88" s="5">
        <f t="shared" ref="R88:R93" si="69">IF(P$12=0,0,P88/P$12)</f>
        <v>0.11124389681659622</v>
      </c>
      <c r="S88" s="1"/>
      <c r="T88" s="1">
        <f>SUM(OSRRefT22_18x_0)</f>
        <v>239690.97999999998</v>
      </c>
      <c r="U88" s="1"/>
      <c r="V88" s="5">
        <f t="shared" ref="V88:V93" si="70">IF(T$12=0,0,T88/T$12)</f>
        <v>5.1886304278604571E-2</v>
      </c>
      <c r="W88" s="1"/>
      <c r="X88" s="1">
        <f t="shared" ref="X88:X93" si="71">+P88-T88</f>
        <v>-174605.55</v>
      </c>
      <c r="Y88" s="1"/>
      <c r="Z88" s="5">
        <f t="shared" ref="Z88:Z93" si="72">IF(T88=0,0,X88/T88)</f>
        <v>-0.72846107934474635</v>
      </c>
    </row>
    <row r="89" spans="1:26" s="23" customFormat="1" hidden="1" outlineLevel="2" x14ac:dyDescent="0.25">
      <c r="A89" s="25"/>
      <c r="B89" s="10" t="str">
        <f>CONCATENATE("          ", "6282", " - ", "JANITORIAL/EXTERMINATOR EXPENS")</f>
        <v xml:space="preserve">          6282 - JANITORIAL/EXTERMINATOR EXPENS</v>
      </c>
      <c r="C89" s="10"/>
      <c r="D89" s="6">
        <v>1393.2</v>
      </c>
      <c r="E89" s="2"/>
      <c r="F89" s="7">
        <f t="shared" si="65"/>
        <v>2.0889244273262862E-2</v>
      </c>
      <c r="G89" s="2"/>
      <c r="H89" s="6">
        <v>1909.6</v>
      </c>
      <c r="I89" s="2"/>
      <c r="J89" s="7">
        <f t="shared" si="66"/>
        <v>0</v>
      </c>
      <c r="K89" s="2"/>
      <c r="L89" s="6">
        <f t="shared" si="67"/>
        <v>-516.39999999999986</v>
      </c>
      <c r="M89" s="2"/>
      <c r="N89" s="7">
        <f t="shared" si="68"/>
        <v>-0.27042312526183487</v>
      </c>
      <c r="O89" s="10"/>
      <c r="P89" s="6">
        <v>12158.73</v>
      </c>
      <c r="Q89" s="2"/>
      <c r="R89" s="7">
        <f t="shared" si="69"/>
        <v>2.0781678872534955E-2</v>
      </c>
      <c r="S89" s="2"/>
      <c r="T89" s="6">
        <v>14588.34</v>
      </c>
      <c r="U89" s="2"/>
      <c r="V89" s="7">
        <f t="shared" si="70"/>
        <v>3.1579621734607543E-3</v>
      </c>
      <c r="W89" s="2"/>
      <c r="X89" s="6">
        <f t="shared" si="71"/>
        <v>-2429.6100000000006</v>
      </c>
      <c r="Y89" s="2"/>
      <c r="Z89" s="7">
        <f t="shared" si="72"/>
        <v>-0.16654465141338909</v>
      </c>
    </row>
    <row r="90" spans="1:26" s="23" customFormat="1" hidden="1" outlineLevel="2" x14ac:dyDescent="0.25">
      <c r="A90" s="25"/>
      <c r="B90" s="10" t="str">
        <f>CONCATENATE("          ", "6283", " - ", "PLANT SERVICE")</f>
        <v xml:space="preserve">          6283 - PLANT SERVICE</v>
      </c>
      <c r="C90" s="10"/>
      <c r="D90" s="6"/>
      <c r="E90" s="2"/>
      <c r="F90" s="7">
        <f t="shared" si="65"/>
        <v>0</v>
      </c>
      <c r="G90" s="2"/>
      <c r="H90" s="6"/>
      <c r="I90" s="2"/>
      <c r="J90" s="7">
        <f t="shared" si="66"/>
        <v>0</v>
      </c>
      <c r="K90" s="2"/>
      <c r="L90" s="6">
        <f t="shared" si="67"/>
        <v>0</v>
      </c>
      <c r="M90" s="2"/>
      <c r="N90" s="7">
        <f t="shared" si="68"/>
        <v>0</v>
      </c>
      <c r="O90" s="10"/>
      <c r="P90" s="6"/>
      <c r="Q90" s="2"/>
      <c r="R90" s="7">
        <f t="shared" si="69"/>
        <v>0</v>
      </c>
      <c r="S90" s="2"/>
      <c r="T90" s="6">
        <v>1798.02</v>
      </c>
      <c r="U90" s="2"/>
      <c r="V90" s="7">
        <f t="shared" si="70"/>
        <v>3.8922037374546423E-4</v>
      </c>
      <c r="W90" s="2"/>
      <c r="X90" s="6">
        <f t="shared" si="71"/>
        <v>-1798.02</v>
      </c>
      <c r="Y90" s="2"/>
      <c r="Z90" s="7">
        <f t="shared" si="72"/>
        <v>-1</v>
      </c>
    </row>
    <row r="91" spans="1:26" s="23" customFormat="1" hidden="1" outlineLevel="2" x14ac:dyDescent="0.25">
      <c r="A91" s="25"/>
      <c r="B91" s="10" t="str">
        <f>CONCATENATE("          ", "6284", " - ", "TRASH REMOVAL EXPENSE")</f>
        <v xml:space="preserve">          6284 - TRASH REMOVAL EXPENSE</v>
      </c>
      <c r="C91" s="10"/>
      <c r="D91" s="6">
        <v>-3859</v>
      </c>
      <c r="E91" s="2"/>
      <c r="F91" s="7">
        <f t="shared" si="65"/>
        <v>-5.786074766761512E-2</v>
      </c>
      <c r="G91" s="2"/>
      <c r="H91" s="6">
        <v>13638</v>
      </c>
      <c r="I91" s="2"/>
      <c r="J91" s="7">
        <f t="shared" si="66"/>
        <v>0</v>
      </c>
      <c r="K91" s="2"/>
      <c r="L91" s="6">
        <f t="shared" si="67"/>
        <v>-17497</v>
      </c>
      <c r="M91" s="2"/>
      <c r="N91" s="7">
        <f t="shared" si="68"/>
        <v>-1.2829593782079485</v>
      </c>
      <c r="O91" s="10"/>
      <c r="P91" s="6">
        <v>27283</v>
      </c>
      <c r="Q91" s="2"/>
      <c r="R91" s="7">
        <f t="shared" si="69"/>
        <v>4.663205323906125E-2</v>
      </c>
      <c r="S91" s="2"/>
      <c r="T91" s="6">
        <v>62179</v>
      </c>
      <c r="U91" s="2"/>
      <c r="V91" s="7">
        <f t="shared" si="70"/>
        <v>1.3459991334422989E-2</v>
      </c>
      <c r="W91" s="2"/>
      <c r="X91" s="6">
        <f t="shared" si="71"/>
        <v>-34896</v>
      </c>
      <c r="Y91" s="2"/>
      <c r="Z91" s="7">
        <f t="shared" si="72"/>
        <v>-0.56121841779378889</v>
      </c>
    </row>
    <row r="92" spans="1:26" s="23" customFormat="1" hidden="1" outlineLevel="2" x14ac:dyDescent="0.25">
      <c r="A92" s="25"/>
      <c r="B92" s="10" t="str">
        <f>CONCATENATE("          ", "6285", " - ", "JANITORIAL SERVICES")</f>
        <v xml:space="preserve">          6285 - JANITORIAL SERVICES</v>
      </c>
      <c r="C92" s="10"/>
      <c r="D92" s="6">
        <v>3385.52</v>
      </c>
      <c r="E92" s="2"/>
      <c r="F92" s="7">
        <f t="shared" si="65"/>
        <v>5.0761523307505656E-2</v>
      </c>
      <c r="G92" s="2"/>
      <c r="H92" s="6">
        <v>6227.34</v>
      </c>
      <c r="I92" s="2"/>
      <c r="J92" s="7">
        <f t="shared" si="66"/>
        <v>0</v>
      </c>
      <c r="K92" s="2"/>
      <c r="L92" s="6">
        <f t="shared" si="67"/>
        <v>-2841.82</v>
      </c>
      <c r="M92" s="2"/>
      <c r="N92" s="7">
        <f t="shared" si="68"/>
        <v>-0.45634572706805798</v>
      </c>
      <c r="O92" s="10"/>
      <c r="P92" s="6">
        <v>24620.13</v>
      </c>
      <c r="Q92" s="2"/>
      <c r="R92" s="7">
        <f t="shared" si="69"/>
        <v>4.2080680750379691E-2</v>
      </c>
      <c r="S92" s="2"/>
      <c r="T92" s="6">
        <v>134115.01</v>
      </c>
      <c r="U92" s="2"/>
      <c r="V92" s="7">
        <f t="shared" si="70"/>
        <v>2.9032098818187049E-2</v>
      </c>
      <c r="W92" s="2"/>
      <c r="X92" s="6">
        <f t="shared" si="71"/>
        <v>-109494.88</v>
      </c>
      <c r="Y92" s="2"/>
      <c r="Z92" s="7">
        <f t="shared" si="72"/>
        <v>-0.81642524576481035</v>
      </c>
    </row>
    <row r="93" spans="1:26" s="23" customFormat="1" hidden="1" outlineLevel="2" x14ac:dyDescent="0.25">
      <c r="A93" s="25"/>
      <c r="B93" s="10" t="str">
        <f>CONCATENATE("          ", "6286", " - ", "LAUNDRY EXPENSE")</f>
        <v xml:space="preserve">          6286 - LAUNDRY EXPENSE</v>
      </c>
      <c r="C93" s="10"/>
      <c r="D93" s="6">
        <v>118.86</v>
      </c>
      <c r="E93" s="2"/>
      <c r="F93" s="7">
        <f t="shared" si="65"/>
        <v>1.7821530105656214E-3</v>
      </c>
      <c r="G93" s="2"/>
      <c r="H93" s="6"/>
      <c r="I93" s="2"/>
      <c r="J93" s="7">
        <f t="shared" si="66"/>
        <v>0</v>
      </c>
      <c r="K93" s="2"/>
      <c r="L93" s="6">
        <f t="shared" si="67"/>
        <v>118.86</v>
      </c>
      <c r="M93" s="2"/>
      <c r="N93" s="7">
        <f t="shared" si="68"/>
        <v>0</v>
      </c>
      <c r="O93" s="10"/>
      <c r="P93" s="6">
        <v>1023.57</v>
      </c>
      <c r="Q93" s="2"/>
      <c r="R93" s="7">
        <f t="shared" si="69"/>
        <v>1.7494839546203103E-3</v>
      </c>
      <c r="S93" s="2"/>
      <c r="T93" s="6">
        <v>27010.61</v>
      </c>
      <c r="U93" s="2"/>
      <c r="V93" s="7">
        <f t="shared" si="70"/>
        <v>5.8470315787883193E-3</v>
      </c>
      <c r="W93" s="2"/>
      <c r="X93" s="6">
        <f t="shared" si="71"/>
        <v>-25987.040000000001</v>
      </c>
      <c r="Y93" s="2"/>
      <c r="Z93" s="7">
        <f t="shared" si="72"/>
        <v>-0.96210489137416744</v>
      </c>
    </row>
    <row r="94" spans="1:26" s="27" customFormat="1" outlineLevel="1" collapsed="1" x14ac:dyDescent="0.25">
      <c r="A94" s="26"/>
      <c r="B94" s="12" t="str">
        <f>CONCATENATE("     ","Subscriptions &amp; Dues                              ")</f>
        <v xml:space="preserve">     Subscriptions &amp; Dues                              </v>
      </c>
      <c r="C94" s="12"/>
      <c r="D94" s="1">
        <f>SUM(OSRRefD22_19x_0)</f>
        <v>130.66999999999999</v>
      </c>
      <c r="E94" s="1"/>
      <c r="F94" s="5">
        <f t="shared" ref="F94:F96" si="73">IF(D$12=0,0,D94/D$12)</f>
        <v>1.9592287892529845E-3</v>
      </c>
      <c r="G94" s="1"/>
      <c r="H94" s="1">
        <f>SUM(OSRRefH22_19x_0)</f>
        <v>0</v>
      </c>
      <c r="I94" s="1"/>
      <c r="J94" s="5">
        <f t="shared" ref="J94:J96" si="74">IF(H$12=0,0,H94/H$12)</f>
        <v>0</v>
      </c>
      <c r="K94" s="1"/>
      <c r="L94" s="1">
        <f t="shared" ref="L94:L96" si="75">+D94-H94</f>
        <v>130.66999999999999</v>
      </c>
      <c r="M94" s="1"/>
      <c r="N94" s="5">
        <f t="shared" ref="N94:N96" si="76">IF(H94=0,0,L94/H94)</f>
        <v>0</v>
      </c>
      <c r="O94" s="12"/>
      <c r="P94" s="1">
        <f>SUM(OSRRefP22_19x_0)</f>
        <v>1178.92</v>
      </c>
      <c r="Q94" s="1"/>
      <c r="R94" s="5">
        <f t="shared" ref="R94:R96" si="77">IF(P$12=0,0,P94/P$12)</f>
        <v>2.0150078878640215E-3</v>
      </c>
      <c r="S94" s="1"/>
      <c r="T94" s="1">
        <f>SUM(OSRRefT22_19x_0)</f>
        <v>7300.55</v>
      </c>
      <c r="U94" s="1"/>
      <c r="V94" s="5">
        <f t="shared" ref="V94:V96" si="78">IF(T$12=0,0,T94/T$12)</f>
        <v>1.5803621759198725E-3</v>
      </c>
      <c r="W94" s="1"/>
      <c r="X94" s="1">
        <f t="shared" ref="X94:X96" si="79">+P94-T94</f>
        <v>-6121.63</v>
      </c>
      <c r="Y94" s="1"/>
      <c r="Z94" s="5">
        <f t="shared" ref="Z94:Z96" si="80">IF(T94=0,0,X94/T94)</f>
        <v>-0.83851627617097346</v>
      </c>
    </row>
    <row r="95" spans="1:26" s="23" customFormat="1" hidden="1" outlineLevel="2" x14ac:dyDescent="0.25">
      <c r="A95" s="25"/>
      <c r="B95" s="10" t="str">
        <f>CONCATENATE("          ", "6258", " - ", "MEMBERSHIP DUES")</f>
        <v xml:space="preserve">          6258 - MEMBERSHIP DUES</v>
      </c>
      <c r="C95" s="10"/>
      <c r="D95" s="6"/>
      <c r="E95" s="2"/>
      <c r="F95" s="7">
        <f t="shared" si="73"/>
        <v>0</v>
      </c>
      <c r="G95" s="2"/>
      <c r="H95" s="6"/>
      <c r="I95" s="2"/>
      <c r="J95" s="7">
        <f t="shared" si="74"/>
        <v>0</v>
      </c>
      <c r="K95" s="2"/>
      <c r="L95" s="6">
        <f t="shared" si="75"/>
        <v>0</v>
      </c>
      <c r="M95" s="2"/>
      <c r="N95" s="7">
        <f t="shared" si="76"/>
        <v>0</v>
      </c>
      <c r="O95" s="10"/>
      <c r="P95" s="6"/>
      <c r="Q95" s="2"/>
      <c r="R95" s="7">
        <f t="shared" si="77"/>
        <v>0</v>
      </c>
      <c r="S95" s="2"/>
      <c r="T95" s="6">
        <v>3730</v>
      </c>
      <c r="U95" s="2"/>
      <c r="V95" s="7">
        <f t="shared" si="78"/>
        <v>8.0743929103713067E-4</v>
      </c>
      <c r="W95" s="2"/>
      <c r="X95" s="6">
        <f t="shared" si="79"/>
        <v>-3730</v>
      </c>
      <c r="Y95" s="2"/>
      <c r="Z95" s="7">
        <f t="shared" si="80"/>
        <v>-1</v>
      </c>
    </row>
    <row r="96" spans="1:26" s="23" customFormat="1" hidden="1" outlineLevel="2" x14ac:dyDescent="0.25">
      <c r="A96" s="25"/>
      <c r="B96" s="10" t="str">
        <f>CONCATENATE("          ", "6275", " - ", "SUBSCRIPTIONS")</f>
        <v xml:space="preserve">          6275 - SUBSCRIPTIONS</v>
      </c>
      <c r="C96" s="10"/>
      <c r="D96" s="6">
        <v>130.66999999999999</v>
      </c>
      <c r="E96" s="2"/>
      <c r="F96" s="7">
        <f t="shared" si="73"/>
        <v>1.9592287892529845E-3</v>
      </c>
      <c r="G96" s="2"/>
      <c r="H96" s="6"/>
      <c r="I96" s="2"/>
      <c r="J96" s="7">
        <f t="shared" si="74"/>
        <v>0</v>
      </c>
      <c r="K96" s="2"/>
      <c r="L96" s="6">
        <f t="shared" si="75"/>
        <v>130.66999999999999</v>
      </c>
      <c r="M96" s="2"/>
      <c r="N96" s="7">
        <f t="shared" si="76"/>
        <v>0</v>
      </c>
      <c r="O96" s="10"/>
      <c r="P96" s="6">
        <v>1178.92</v>
      </c>
      <c r="Q96" s="2"/>
      <c r="R96" s="7">
        <f t="shared" si="77"/>
        <v>2.0150078878640215E-3</v>
      </c>
      <c r="S96" s="2"/>
      <c r="T96" s="6">
        <v>3570.55</v>
      </c>
      <c r="U96" s="2"/>
      <c r="V96" s="7">
        <f t="shared" si="78"/>
        <v>7.7292288488274184E-4</v>
      </c>
      <c r="W96" s="2"/>
      <c r="X96" s="6">
        <f t="shared" si="79"/>
        <v>-2391.63</v>
      </c>
      <c r="Y96" s="2"/>
      <c r="Z96" s="7">
        <f t="shared" si="80"/>
        <v>-0.66982117600929825</v>
      </c>
    </row>
    <row r="97" spans="1:26" s="27" customFormat="1" outlineLevel="1" collapsed="1" x14ac:dyDescent="0.25">
      <c r="A97" s="26"/>
      <c r="B97" s="12" t="str">
        <f>CONCATENATE("     ","Supplies                                          ")</f>
        <v xml:space="preserve">     Supplies                                          </v>
      </c>
      <c r="C97" s="12"/>
      <c r="D97" s="1">
        <f>SUM(OSRRefD22_20x_0)</f>
        <v>1113.68</v>
      </c>
      <c r="E97" s="1"/>
      <c r="F97" s="5">
        <f t="shared" ref="F97:F107" si="81">IF(D$12=0,0,D97/D$12)</f>
        <v>1.6698200949072196E-2</v>
      </c>
      <c r="G97" s="1"/>
      <c r="H97" s="1">
        <f>SUM(OSRRefH22_20x_0)</f>
        <v>214.29999999999995</v>
      </c>
      <c r="I97" s="1"/>
      <c r="J97" s="5">
        <f t="shared" ref="J97:J107" si="82">IF(H$12=0,0,H97/H$12)</f>
        <v>0</v>
      </c>
      <c r="K97" s="1"/>
      <c r="L97" s="1">
        <f t="shared" ref="L97:L107" si="83">+D97-H97</f>
        <v>899.38000000000011</v>
      </c>
      <c r="M97" s="1"/>
      <c r="N97" s="5">
        <f t="shared" ref="N97:N107" si="84">IF(H97=0,0,L97/H97)</f>
        <v>4.1968268782081211</v>
      </c>
      <c r="O97" s="12"/>
      <c r="P97" s="1">
        <f>SUM(OSRRefP22_20x_0)</f>
        <v>-19538.71</v>
      </c>
      <c r="Q97" s="1"/>
      <c r="R97" s="5">
        <f t="shared" ref="R97:R107" si="85">IF(P$12=0,0,P97/P$12)</f>
        <v>-3.3395527066033007E-2</v>
      </c>
      <c r="S97" s="1"/>
      <c r="T97" s="1">
        <f>SUM(OSRRefT22_20x_0)</f>
        <v>169157.28</v>
      </c>
      <c r="U97" s="1"/>
      <c r="V97" s="5">
        <f t="shared" ref="V97:V107" si="86">IF(T$12=0,0,T97/T$12)</f>
        <v>3.6617757168088308E-2</v>
      </c>
      <c r="W97" s="1"/>
      <c r="X97" s="1">
        <f t="shared" ref="X97:X107" si="87">+P97-T97</f>
        <v>-188695.99</v>
      </c>
      <c r="Y97" s="1"/>
      <c r="Z97" s="5">
        <f t="shared" ref="Z97:Z107" si="88">IF(T97=0,0,X97/T97)</f>
        <v>-1.115506172716894</v>
      </c>
    </row>
    <row r="98" spans="1:26" s="23" customFormat="1" hidden="1" outlineLevel="2" x14ac:dyDescent="0.25">
      <c r="A98" s="25"/>
      <c r="B98" s="10" t="str">
        <f>CONCATENATE("          ", "6234", " - ", "EXPENDABLE SUPPLIES &amp; EQUIPMEN")</f>
        <v xml:space="preserve">          6234 - EXPENDABLE SUPPLIES &amp; EQUIPMEN</v>
      </c>
      <c r="C98" s="10"/>
      <c r="D98" s="6">
        <v>-1048.8</v>
      </c>
      <c r="E98" s="2"/>
      <c r="F98" s="7">
        <f t="shared" si="81"/>
        <v>-1.5725408694945514E-2</v>
      </c>
      <c r="G98" s="2"/>
      <c r="H98" s="6">
        <v>1048.8</v>
      </c>
      <c r="I98" s="2"/>
      <c r="J98" s="7">
        <f t="shared" si="82"/>
        <v>0</v>
      </c>
      <c r="K98" s="2"/>
      <c r="L98" s="6">
        <f t="shared" si="83"/>
        <v>-2097.6</v>
      </c>
      <c r="M98" s="2"/>
      <c r="N98" s="7">
        <f t="shared" si="84"/>
        <v>-2</v>
      </c>
      <c r="O98" s="10"/>
      <c r="P98" s="6">
        <v>-711.64</v>
      </c>
      <c r="Q98" s="2"/>
      <c r="R98" s="7">
        <f t="shared" si="85"/>
        <v>-1.2163337744033117E-3</v>
      </c>
      <c r="S98" s="2"/>
      <c r="T98" s="6">
        <v>15735.29</v>
      </c>
      <c r="U98" s="2"/>
      <c r="V98" s="7">
        <f t="shared" si="86"/>
        <v>3.4062443436631775E-3</v>
      </c>
      <c r="W98" s="2"/>
      <c r="X98" s="6">
        <f t="shared" si="87"/>
        <v>-16446.93</v>
      </c>
      <c r="Y98" s="2"/>
      <c r="Z98" s="7">
        <f t="shared" si="88"/>
        <v>-1.045225731460939</v>
      </c>
    </row>
    <row r="99" spans="1:26" s="23" customFormat="1" hidden="1" outlineLevel="2" x14ac:dyDescent="0.25">
      <c r="A99" s="25"/>
      <c r="B99" s="10" t="str">
        <f>CONCATENATE("          ", "6235", " - ", "COVID-19 EXPENSES")</f>
        <v xml:space="preserve">          6235 - COVID-19 EXPENSES</v>
      </c>
      <c r="C99" s="10"/>
      <c r="D99" s="6"/>
      <c r="E99" s="2"/>
      <c r="F99" s="7">
        <f t="shared" si="81"/>
        <v>0</v>
      </c>
      <c r="G99" s="2"/>
      <c r="H99" s="6"/>
      <c r="I99" s="2"/>
      <c r="J99" s="7">
        <f t="shared" si="82"/>
        <v>0</v>
      </c>
      <c r="K99" s="2"/>
      <c r="L99" s="6">
        <f t="shared" si="83"/>
        <v>0</v>
      </c>
      <c r="M99" s="2"/>
      <c r="N99" s="7">
        <f t="shared" si="84"/>
        <v>0</v>
      </c>
      <c r="O99" s="10"/>
      <c r="P99" s="6">
        <v>6947.31</v>
      </c>
      <c r="Q99" s="2"/>
      <c r="R99" s="7">
        <f t="shared" si="85"/>
        <v>1.1874329428151694E-2</v>
      </c>
      <c r="S99" s="2"/>
      <c r="T99" s="6">
        <v>1095.08</v>
      </c>
      <c r="U99" s="2"/>
      <c r="V99" s="7">
        <f t="shared" si="86"/>
        <v>2.3705378520883134E-4</v>
      </c>
      <c r="W99" s="2"/>
      <c r="X99" s="6">
        <f t="shared" si="87"/>
        <v>5852.2300000000005</v>
      </c>
      <c r="Y99" s="2"/>
      <c r="Z99" s="7">
        <f t="shared" si="88"/>
        <v>5.3441118457099028</v>
      </c>
    </row>
    <row r="100" spans="1:26" s="23" customFormat="1" hidden="1" outlineLevel="2" x14ac:dyDescent="0.25">
      <c r="A100" s="25"/>
      <c r="B100" s="10" t="str">
        <f>CONCATENATE("          ", "6237", " - ", "JANITORIAL SUPPLIES")</f>
        <v xml:space="preserve">          6237 - JANITORIAL SUPPLIES</v>
      </c>
      <c r="C100" s="10"/>
      <c r="D100" s="6">
        <v>363.7</v>
      </c>
      <c r="E100" s="2"/>
      <c r="F100" s="7">
        <f t="shared" si="81"/>
        <v>5.4532142852323443E-3</v>
      </c>
      <c r="G100" s="2"/>
      <c r="H100" s="6"/>
      <c r="I100" s="2"/>
      <c r="J100" s="7">
        <f t="shared" si="82"/>
        <v>0</v>
      </c>
      <c r="K100" s="2"/>
      <c r="L100" s="6">
        <f t="shared" si="83"/>
        <v>363.7</v>
      </c>
      <c r="M100" s="2"/>
      <c r="N100" s="7">
        <f t="shared" si="84"/>
        <v>0</v>
      </c>
      <c r="O100" s="10"/>
      <c r="P100" s="6">
        <v>692.61</v>
      </c>
      <c r="Q100" s="2"/>
      <c r="R100" s="7">
        <f t="shared" si="85"/>
        <v>1.1838077335302648E-3</v>
      </c>
      <c r="S100" s="2"/>
      <c r="T100" s="6">
        <v>48480.7</v>
      </c>
      <c r="U100" s="2"/>
      <c r="V100" s="7">
        <f t="shared" si="86"/>
        <v>1.0494697597046599E-2</v>
      </c>
      <c r="W100" s="2"/>
      <c r="X100" s="6">
        <f t="shared" si="87"/>
        <v>-47788.09</v>
      </c>
      <c r="Y100" s="2"/>
      <c r="Z100" s="7">
        <f t="shared" si="88"/>
        <v>-0.98571369637814632</v>
      </c>
    </row>
    <row r="101" spans="1:26" s="23" customFormat="1" hidden="1" outlineLevel="2" x14ac:dyDescent="0.25">
      <c r="A101" s="25"/>
      <c r="B101" s="10" t="str">
        <f>CONCATENATE("          ", "6239", " - ", "KITCHEN SUPPLIES")</f>
        <v xml:space="preserve">          6239 - KITCHEN SUPPLIES</v>
      </c>
      <c r="C101" s="10"/>
      <c r="D101" s="6">
        <v>1798.78</v>
      </c>
      <c r="E101" s="2"/>
      <c r="F101" s="7">
        <f t="shared" si="81"/>
        <v>2.6970395358785364E-2</v>
      </c>
      <c r="G101" s="2"/>
      <c r="H101" s="6"/>
      <c r="I101" s="2"/>
      <c r="J101" s="7">
        <f t="shared" si="82"/>
        <v>0</v>
      </c>
      <c r="K101" s="2"/>
      <c r="L101" s="6">
        <f t="shared" si="83"/>
        <v>1798.78</v>
      </c>
      <c r="M101" s="2"/>
      <c r="N101" s="7">
        <f t="shared" si="84"/>
        <v>0</v>
      </c>
      <c r="O101" s="10"/>
      <c r="P101" s="6">
        <v>1818.61</v>
      </c>
      <c r="Q101" s="2"/>
      <c r="R101" s="7">
        <f t="shared" si="85"/>
        <v>3.1083648550778572E-3</v>
      </c>
      <c r="S101" s="2"/>
      <c r="T101" s="6">
        <v>45525.63</v>
      </c>
      <c r="U101" s="2"/>
      <c r="V101" s="7">
        <f t="shared" si="86"/>
        <v>9.8550086893347787E-3</v>
      </c>
      <c r="W101" s="2"/>
      <c r="X101" s="6">
        <f t="shared" si="87"/>
        <v>-43707.02</v>
      </c>
      <c r="Y101" s="2"/>
      <c r="Z101" s="7">
        <f t="shared" si="88"/>
        <v>-0.96005305143498287</v>
      </c>
    </row>
    <row r="102" spans="1:26" s="23" customFormat="1" hidden="1" outlineLevel="2" x14ac:dyDescent="0.25">
      <c r="A102" s="25"/>
      <c r="B102" s="10" t="str">
        <f>CONCATENATE("          ", "6241", " - ", "OFFICE EXPENSE")</f>
        <v xml:space="preserve">          6241 - OFFICE EXPENSE</v>
      </c>
      <c r="C102" s="10"/>
      <c r="D102" s="6"/>
      <c r="E102" s="2"/>
      <c r="F102" s="7">
        <f t="shared" si="81"/>
        <v>0</v>
      </c>
      <c r="G102" s="2"/>
      <c r="H102" s="6">
        <v>-834.5</v>
      </c>
      <c r="I102" s="2"/>
      <c r="J102" s="7">
        <f t="shared" si="82"/>
        <v>0</v>
      </c>
      <c r="K102" s="2"/>
      <c r="L102" s="6">
        <f t="shared" si="83"/>
        <v>834.5</v>
      </c>
      <c r="M102" s="2"/>
      <c r="N102" s="7">
        <f t="shared" si="84"/>
        <v>-1</v>
      </c>
      <c r="O102" s="10"/>
      <c r="P102" s="6">
        <v>-28540.93</v>
      </c>
      <c r="Q102" s="2"/>
      <c r="R102" s="7">
        <f t="shared" si="85"/>
        <v>-4.878210487308289E-2</v>
      </c>
      <c r="S102" s="2"/>
      <c r="T102" s="6">
        <v>16924.57</v>
      </c>
      <c r="U102" s="2"/>
      <c r="V102" s="7">
        <f t="shared" si="86"/>
        <v>3.6636897592247425E-3</v>
      </c>
      <c r="W102" s="2"/>
      <c r="X102" s="6">
        <f t="shared" si="87"/>
        <v>-45465.5</v>
      </c>
      <c r="Y102" s="2"/>
      <c r="Z102" s="7">
        <f t="shared" si="88"/>
        <v>-2.6863607169931054</v>
      </c>
    </row>
    <row r="103" spans="1:26" s="23" customFormat="1" hidden="1" outlineLevel="2" x14ac:dyDescent="0.25">
      <c r="A103" s="25"/>
      <c r="B103" s="10" t="str">
        <f>CONCATENATE("          ", "6243", " - ", "PAPER SUPPLIES")</f>
        <v xml:space="preserve">          6243 - PAPER SUPPLIES</v>
      </c>
      <c r="C103" s="10"/>
      <c r="D103" s="6"/>
      <c r="E103" s="2"/>
      <c r="F103" s="7">
        <f t="shared" si="81"/>
        <v>0</v>
      </c>
      <c r="G103" s="2"/>
      <c r="H103" s="6"/>
      <c r="I103" s="2"/>
      <c r="J103" s="7">
        <f t="shared" si="82"/>
        <v>0</v>
      </c>
      <c r="K103" s="2"/>
      <c r="L103" s="6">
        <f t="shared" si="83"/>
        <v>0</v>
      </c>
      <c r="M103" s="2"/>
      <c r="N103" s="7">
        <f t="shared" si="84"/>
        <v>0</v>
      </c>
      <c r="O103" s="10"/>
      <c r="P103" s="6">
        <v>255.33</v>
      </c>
      <c r="Q103" s="2"/>
      <c r="R103" s="7">
        <f t="shared" si="85"/>
        <v>4.3640956469338088E-4</v>
      </c>
      <c r="S103" s="2"/>
      <c r="T103" s="6">
        <v>29152.85</v>
      </c>
      <c r="U103" s="2"/>
      <c r="V103" s="7">
        <f t="shared" si="86"/>
        <v>6.3107658272685821E-3</v>
      </c>
      <c r="W103" s="2"/>
      <c r="X103" s="6">
        <f t="shared" si="87"/>
        <v>-28897.519999999997</v>
      </c>
      <c r="Y103" s="2"/>
      <c r="Z103" s="7">
        <f t="shared" si="88"/>
        <v>-0.99124167962995036</v>
      </c>
    </row>
    <row r="104" spans="1:26" s="23" customFormat="1" hidden="1" outlineLevel="2" x14ac:dyDescent="0.25">
      <c r="A104" s="25"/>
      <c r="B104" s="10" t="str">
        <f>CONCATENATE("          ", "6245", " - ", "PRINTING")</f>
        <v xml:space="preserve">          6245 - PRINTING</v>
      </c>
      <c r="C104" s="10"/>
      <c r="D104" s="6"/>
      <c r="E104" s="2"/>
      <c r="F104" s="7">
        <f t="shared" si="81"/>
        <v>0</v>
      </c>
      <c r="G104" s="2"/>
      <c r="H104" s="6"/>
      <c r="I104" s="2"/>
      <c r="J104" s="7">
        <f t="shared" si="82"/>
        <v>0</v>
      </c>
      <c r="K104" s="2"/>
      <c r="L104" s="6">
        <f t="shared" si="83"/>
        <v>0</v>
      </c>
      <c r="M104" s="2"/>
      <c r="N104" s="7">
        <f t="shared" si="84"/>
        <v>0</v>
      </c>
      <c r="O104" s="10"/>
      <c r="P104" s="6"/>
      <c r="Q104" s="2"/>
      <c r="R104" s="7">
        <f t="shared" si="85"/>
        <v>0</v>
      </c>
      <c r="S104" s="2"/>
      <c r="T104" s="6">
        <v>531.28</v>
      </c>
      <c r="U104" s="2"/>
      <c r="V104" s="7">
        <f t="shared" si="86"/>
        <v>1.1500706341614121E-4</v>
      </c>
      <c r="W104" s="2"/>
      <c r="X104" s="6">
        <f t="shared" si="87"/>
        <v>-531.28</v>
      </c>
      <c r="Y104" s="2"/>
      <c r="Z104" s="7">
        <f t="shared" si="88"/>
        <v>-1</v>
      </c>
    </row>
    <row r="105" spans="1:26" s="23" customFormat="1" hidden="1" outlineLevel="2" x14ac:dyDescent="0.25">
      <c r="A105" s="25"/>
      <c r="B105" s="10" t="str">
        <f>CONCATENATE("          ", "6246", " - ", "REPLACEMENTS")</f>
        <v xml:space="preserve">          6246 - REPLACEMENTS</v>
      </c>
      <c r="C105" s="10"/>
      <c r="D105" s="6"/>
      <c r="E105" s="2"/>
      <c r="F105" s="7">
        <f t="shared" si="81"/>
        <v>0</v>
      </c>
      <c r="G105" s="2"/>
      <c r="H105" s="6"/>
      <c r="I105" s="2"/>
      <c r="J105" s="7">
        <f t="shared" si="82"/>
        <v>0</v>
      </c>
      <c r="K105" s="2"/>
      <c r="L105" s="6">
        <f t="shared" si="83"/>
        <v>0</v>
      </c>
      <c r="M105" s="2"/>
      <c r="N105" s="7">
        <f t="shared" si="84"/>
        <v>0</v>
      </c>
      <c r="O105" s="10"/>
      <c r="P105" s="6"/>
      <c r="Q105" s="2"/>
      <c r="R105" s="7">
        <f t="shared" si="85"/>
        <v>0</v>
      </c>
      <c r="S105" s="2"/>
      <c r="T105" s="6">
        <v>25.87</v>
      </c>
      <c r="U105" s="2"/>
      <c r="V105" s="7">
        <f t="shared" si="86"/>
        <v>5.600121838909E-6</v>
      </c>
      <c r="W105" s="2"/>
      <c r="X105" s="6">
        <f t="shared" si="87"/>
        <v>-25.87</v>
      </c>
      <c r="Y105" s="2"/>
      <c r="Z105" s="7">
        <f t="shared" si="88"/>
        <v>-1</v>
      </c>
    </row>
    <row r="106" spans="1:26" s="23" customFormat="1" hidden="1" outlineLevel="2" x14ac:dyDescent="0.25">
      <c r="A106" s="25"/>
      <c r="B106" s="10" t="str">
        <f>CONCATENATE("          ", "6247", " - ", "STORE SUPPLIES")</f>
        <v xml:space="preserve">          6247 - STORE SUPPLIES</v>
      </c>
      <c r="C106" s="10"/>
      <c r="D106" s="6"/>
      <c r="E106" s="2"/>
      <c r="F106" s="7">
        <f t="shared" si="81"/>
        <v>0</v>
      </c>
      <c r="G106" s="2"/>
      <c r="H106" s="6"/>
      <c r="I106" s="2"/>
      <c r="J106" s="7">
        <f t="shared" si="82"/>
        <v>0</v>
      </c>
      <c r="K106" s="2"/>
      <c r="L106" s="6">
        <f t="shared" si="83"/>
        <v>0</v>
      </c>
      <c r="M106" s="2"/>
      <c r="N106" s="7">
        <f t="shared" si="84"/>
        <v>0</v>
      </c>
      <c r="O106" s="10"/>
      <c r="P106" s="6"/>
      <c r="Q106" s="2"/>
      <c r="R106" s="7">
        <f t="shared" si="85"/>
        <v>0</v>
      </c>
      <c r="S106" s="2"/>
      <c r="T106" s="6">
        <v>6962.12</v>
      </c>
      <c r="U106" s="2"/>
      <c r="V106" s="7">
        <f t="shared" si="86"/>
        <v>1.507101672095289E-3</v>
      </c>
      <c r="W106" s="2"/>
      <c r="X106" s="6">
        <f t="shared" si="87"/>
        <v>-6962.12</v>
      </c>
      <c r="Y106" s="2"/>
      <c r="Z106" s="7">
        <f t="shared" si="88"/>
        <v>-1</v>
      </c>
    </row>
    <row r="107" spans="1:26" s="23" customFormat="1" hidden="1" outlineLevel="2" x14ac:dyDescent="0.25">
      <c r="A107" s="25"/>
      <c r="B107" s="10" t="str">
        <f>CONCATENATE("          ", "6248", " - ", "UNIFORMS")</f>
        <v xml:space="preserve">          6248 - UNIFORMS</v>
      </c>
      <c r="C107" s="10"/>
      <c r="D107" s="6"/>
      <c r="E107" s="2"/>
      <c r="F107" s="7">
        <f t="shared" si="81"/>
        <v>0</v>
      </c>
      <c r="G107" s="2"/>
      <c r="H107" s="6"/>
      <c r="I107" s="2"/>
      <c r="J107" s="7">
        <f t="shared" si="82"/>
        <v>0</v>
      </c>
      <c r="K107" s="2"/>
      <c r="L107" s="6">
        <f t="shared" si="83"/>
        <v>0</v>
      </c>
      <c r="M107" s="2"/>
      <c r="N107" s="7">
        <f t="shared" si="84"/>
        <v>0</v>
      </c>
      <c r="O107" s="10"/>
      <c r="P107" s="6"/>
      <c r="Q107" s="2"/>
      <c r="R107" s="7">
        <f t="shared" si="85"/>
        <v>0</v>
      </c>
      <c r="S107" s="2"/>
      <c r="T107" s="6">
        <v>4723.8900000000003</v>
      </c>
      <c r="U107" s="2"/>
      <c r="V107" s="7">
        <f t="shared" si="86"/>
        <v>1.0225883089912578E-3</v>
      </c>
      <c r="W107" s="2"/>
      <c r="X107" s="6">
        <f t="shared" si="87"/>
        <v>-4723.8900000000003</v>
      </c>
      <c r="Y107" s="2"/>
      <c r="Z107" s="7">
        <f t="shared" si="88"/>
        <v>-1</v>
      </c>
    </row>
    <row r="108" spans="1:26" s="27" customFormat="1" outlineLevel="1" collapsed="1" x14ac:dyDescent="0.25">
      <c r="A108" s="26"/>
      <c r="B108" s="12" t="str">
        <f>CONCATENATE("     ","Telephone/Data Lines                              ")</f>
        <v xml:space="preserve">     Telephone/Data Lines                              </v>
      </c>
      <c r="C108" s="12"/>
      <c r="D108" s="1">
        <f>SUM(OSRRefD22_21x_0)</f>
        <v>999.5</v>
      </c>
      <c r="E108" s="1"/>
      <c r="F108" s="5">
        <f t="shared" ref="F108:F115" si="89">IF(D$12=0,0,D108/D$12)</f>
        <v>1.4986218526504615E-2</v>
      </c>
      <c r="G108" s="1"/>
      <c r="H108" s="1">
        <f>SUM(OSRRefH22_21x_0)</f>
        <v>358.92</v>
      </c>
      <c r="I108" s="1"/>
      <c r="J108" s="5">
        <f t="shared" ref="J108:J115" si="90">IF(H$12=0,0,H108/H$12)</f>
        <v>0</v>
      </c>
      <c r="K108" s="1"/>
      <c r="L108" s="1">
        <f t="shared" ref="L108:L115" si="91">+D108-H108</f>
        <v>640.57999999999993</v>
      </c>
      <c r="M108" s="1"/>
      <c r="N108" s="5">
        <f t="shared" ref="N108:N115" si="92">IF(H108=0,0,L108/H108)</f>
        <v>1.7847431182436195</v>
      </c>
      <c r="O108" s="12"/>
      <c r="P108" s="1">
        <f>SUM(OSRRefP22_21x_0)</f>
        <v>7244.61</v>
      </c>
      <c r="Q108" s="1"/>
      <c r="R108" s="5">
        <f t="shared" ref="R108:R115" si="93">IF(P$12=0,0,P108/P$12)</f>
        <v>1.2382474039373806E-2</v>
      </c>
      <c r="S108" s="1"/>
      <c r="T108" s="1">
        <f>SUM(OSRRefT22_21x_0)</f>
        <v>20968.09</v>
      </c>
      <c r="U108" s="1"/>
      <c r="V108" s="5">
        <f t="shared" ref="V108:V115" si="94">IF(T$12=0,0,T108/T$12)</f>
        <v>4.5389972450409514E-3</v>
      </c>
      <c r="W108" s="1"/>
      <c r="X108" s="1">
        <f t="shared" ref="X108:X115" si="95">+P108-T108</f>
        <v>-13723.48</v>
      </c>
      <c r="Y108" s="1"/>
      <c r="Z108" s="5">
        <f t="shared" ref="Z108:Z115" si="96">IF(T108=0,0,X108/T108)</f>
        <v>-0.65449356617603227</v>
      </c>
    </row>
    <row r="109" spans="1:26" s="23" customFormat="1" hidden="1" outlineLevel="2" x14ac:dyDescent="0.25">
      <c r="A109" s="25"/>
      <c r="B109" s="10" t="str">
        <f>CONCATENATE("          ", "6309", " - ", "TELEPHONE")</f>
        <v xml:space="preserve">          6309 - TELEPHONE</v>
      </c>
      <c r="C109" s="10"/>
      <c r="D109" s="6">
        <v>999.5</v>
      </c>
      <c r="E109" s="2"/>
      <c r="F109" s="7">
        <f t="shared" si="89"/>
        <v>1.4986218526504615E-2</v>
      </c>
      <c r="G109" s="2"/>
      <c r="H109" s="6">
        <v>358.92</v>
      </c>
      <c r="I109" s="2"/>
      <c r="J109" s="7">
        <f t="shared" si="90"/>
        <v>0</v>
      </c>
      <c r="K109" s="2"/>
      <c r="L109" s="6">
        <f t="shared" si="91"/>
        <v>640.57999999999993</v>
      </c>
      <c r="M109" s="2"/>
      <c r="N109" s="7">
        <f t="shared" si="92"/>
        <v>1.7847431182436195</v>
      </c>
      <c r="O109" s="10"/>
      <c r="P109" s="6">
        <v>7244.61</v>
      </c>
      <c r="Q109" s="2"/>
      <c r="R109" s="7">
        <f t="shared" si="93"/>
        <v>1.2382474039373806E-2</v>
      </c>
      <c r="S109" s="2"/>
      <c r="T109" s="6">
        <v>20968.09</v>
      </c>
      <c r="U109" s="2"/>
      <c r="V109" s="7">
        <f t="shared" si="94"/>
        <v>4.5389972450409514E-3</v>
      </c>
      <c r="W109" s="2"/>
      <c r="X109" s="6">
        <f t="shared" si="95"/>
        <v>-13723.48</v>
      </c>
      <c r="Y109" s="2"/>
      <c r="Z109" s="7">
        <f t="shared" si="96"/>
        <v>-0.65449356617603227</v>
      </c>
    </row>
    <row r="110" spans="1:26" s="27" customFormat="1" outlineLevel="1" collapsed="1" x14ac:dyDescent="0.25">
      <c r="A110" s="26"/>
      <c r="B110" s="12" t="str">
        <f>CONCATENATE("     ","Training                                          ")</f>
        <v xml:space="preserve">     Training                                          </v>
      </c>
      <c r="C110" s="12"/>
      <c r="D110" s="1">
        <f>SUM(OSRRefD22_22x_0)</f>
        <v>12.99</v>
      </c>
      <c r="E110" s="1"/>
      <c r="F110" s="5">
        <f t="shared" si="89"/>
        <v>1.9476836284071532E-4</v>
      </c>
      <c r="G110" s="1"/>
      <c r="H110" s="1">
        <f>SUM(OSRRefH22_22x_0)</f>
        <v>0</v>
      </c>
      <c r="I110" s="1"/>
      <c r="J110" s="5">
        <f t="shared" si="90"/>
        <v>0</v>
      </c>
      <c r="K110" s="1"/>
      <c r="L110" s="1">
        <f t="shared" si="91"/>
        <v>12.99</v>
      </c>
      <c r="M110" s="1"/>
      <c r="N110" s="5">
        <f t="shared" si="92"/>
        <v>0</v>
      </c>
      <c r="O110" s="12"/>
      <c r="P110" s="1">
        <f>SUM(OSRRefP22_22x_0)</f>
        <v>412.99</v>
      </c>
      <c r="Q110" s="1"/>
      <c r="R110" s="5">
        <f t="shared" si="93"/>
        <v>7.0588174567312633E-4</v>
      </c>
      <c r="S110" s="1"/>
      <c r="T110" s="1">
        <f>SUM(OSRRefT22_22x_0)</f>
        <v>2123.0100000000002</v>
      </c>
      <c r="U110" s="1"/>
      <c r="V110" s="5">
        <f t="shared" si="94"/>
        <v>4.5957149846239645E-4</v>
      </c>
      <c r="W110" s="1"/>
      <c r="X110" s="1">
        <f t="shared" si="95"/>
        <v>-1710.0200000000002</v>
      </c>
      <c r="Y110" s="1"/>
      <c r="Z110" s="5">
        <f t="shared" si="96"/>
        <v>-0.80546959270092933</v>
      </c>
    </row>
    <row r="111" spans="1:26" s="23" customFormat="1" hidden="1" outlineLevel="2" x14ac:dyDescent="0.25">
      <c r="A111" s="25"/>
      <c r="B111" s="10" t="str">
        <f>CONCATENATE("          ", "6376", " - ", "TRAINING")</f>
        <v xml:space="preserve">          6376 - TRAINING</v>
      </c>
      <c r="C111" s="10"/>
      <c r="D111" s="6">
        <v>12.99</v>
      </c>
      <c r="E111" s="2"/>
      <c r="F111" s="7">
        <f t="shared" si="89"/>
        <v>1.9476836284071532E-4</v>
      </c>
      <c r="G111" s="2"/>
      <c r="H111" s="6"/>
      <c r="I111" s="2"/>
      <c r="J111" s="7">
        <f t="shared" si="90"/>
        <v>0</v>
      </c>
      <c r="K111" s="2"/>
      <c r="L111" s="6">
        <f t="shared" si="91"/>
        <v>12.99</v>
      </c>
      <c r="M111" s="2"/>
      <c r="N111" s="7">
        <f t="shared" si="92"/>
        <v>0</v>
      </c>
      <c r="O111" s="10"/>
      <c r="P111" s="6">
        <v>412.99</v>
      </c>
      <c r="Q111" s="2"/>
      <c r="R111" s="7">
        <f t="shared" si="93"/>
        <v>7.0588174567312633E-4</v>
      </c>
      <c r="S111" s="2"/>
      <c r="T111" s="6">
        <v>2123.0100000000002</v>
      </c>
      <c r="U111" s="2"/>
      <c r="V111" s="7">
        <f t="shared" si="94"/>
        <v>4.5957149846239645E-4</v>
      </c>
      <c r="W111" s="2"/>
      <c r="X111" s="6">
        <f t="shared" si="95"/>
        <v>-1710.0200000000002</v>
      </c>
      <c r="Y111" s="2"/>
      <c r="Z111" s="7">
        <f t="shared" si="96"/>
        <v>-0.80546959270092933</v>
      </c>
    </row>
    <row r="112" spans="1:26" s="27" customFormat="1" outlineLevel="1" collapsed="1" x14ac:dyDescent="0.25">
      <c r="A112" s="26"/>
      <c r="B112" s="12" t="str">
        <f>CONCATENATE("     ","Travel                                            ")</f>
        <v xml:space="preserve">     Travel                                            </v>
      </c>
      <c r="C112" s="12"/>
      <c r="D112" s="1">
        <f>SUM(OSRRefD22_23x_0)</f>
        <v>0</v>
      </c>
      <c r="E112" s="1"/>
      <c r="F112" s="5">
        <f t="shared" si="89"/>
        <v>0</v>
      </c>
      <c r="G112" s="1"/>
      <c r="H112" s="1">
        <f>SUM(OSRRefH22_23x_0)</f>
        <v>0</v>
      </c>
      <c r="I112" s="1"/>
      <c r="J112" s="5">
        <f t="shared" si="90"/>
        <v>0</v>
      </c>
      <c r="K112" s="1"/>
      <c r="L112" s="1">
        <f t="shared" si="91"/>
        <v>0</v>
      </c>
      <c r="M112" s="1"/>
      <c r="N112" s="5">
        <f t="shared" si="92"/>
        <v>0</v>
      </c>
      <c r="O112" s="12"/>
      <c r="P112" s="1">
        <f>SUM(OSRRefP22_23x_0)</f>
        <v>332.21</v>
      </c>
      <c r="Q112" s="1"/>
      <c r="R112" s="5">
        <f t="shared" si="93"/>
        <v>5.6781271878270491E-4</v>
      </c>
      <c r="S112" s="1"/>
      <c r="T112" s="1">
        <f>SUM(OSRRefT22_23x_0)</f>
        <v>6341.32</v>
      </c>
      <c r="U112" s="1"/>
      <c r="V112" s="5">
        <f t="shared" si="94"/>
        <v>1.3727160656942566E-3</v>
      </c>
      <c r="W112" s="1"/>
      <c r="X112" s="1">
        <f t="shared" si="95"/>
        <v>-6009.11</v>
      </c>
      <c r="Y112" s="1"/>
      <c r="Z112" s="5">
        <f t="shared" si="96"/>
        <v>-0.94761185368346024</v>
      </c>
    </row>
    <row r="113" spans="1:26" s="23" customFormat="1" hidden="1" outlineLevel="2" x14ac:dyDescent="0.25">
      <c r="A113" s="25"/>
      <c r="B113" s="10" t="str">
        <f>CONCATENATE("          ", "6292", " - ", "TRAVEL/CONFERENCE")</f>
        <v xml:space="preserve">          6292 - TRAVEL/CONFERENCE</v>
      </c>
      <c r="C113" s="10"/>
      <c r="D113" s="6"/>
      <c r="E113" s="2"/>
      <c r="F113" s="7">
        <f t="shared" si="89"/>
        <v>0</v>
      </c>
      <c r="G113" s="2"/>
      <c r="H113" s="6"/>
      <c r="I113" s="2"/>
      <c r="J113" s="7">
        <f t="shared" si="90"/>
        <v>0</v>
      </c>
      <c r="K113" s="2"/>
      <c r="L113" s="6">
        <f t="shared" si="91"/>
        <v>0</v>
      </c>
      <c r="M113" s="2"/>
      <c r="N113" s="7">
        <f t="shared" si="92"/>
        <v>0</v>
      </c>
      <c r="O113" s="10"/>
      <c r="P113" s="6"/>
      <c r="Q113" s="2"/>
      <c r="R113" s="7">
        <f t="shared" si="93"/>
        <v>0</v>
      </c>
      <c r="S113" s="2"/>
      <c r="T113" s="6">
        <v>4995.68</v>
      </c>
      <c r="U113" s="2"/>
      <c r="V113" s="7">
        <f t="shared" si="94"/>
        <v>1.0814231414070705E-3</v>
      </c>
      <c r="W113" s="2"/>
      <c r="X113" s="6">
        <f t="shared" si="95"/>
        <v>-4995.68</v>
      </c>
      <c r="Y113" s="2"/>
      <c r="Z113" s="7">
        <f t="shared" si="96"/>
        <v>-1</v>
      </c>
    </row>
    <row r="114" spans="1:26" s="23" customFormat="1" hidden="1" outlineLevel="2" x14ac:dyDescent="0.25">
      <c r="A114" s="25"/>
      <c r="B114" s="10" t="str">
        <f>CONCATENATE("          ", "6294", " - ", "TRAVEL OPERATIONAL")</f>
        <v xml:space="preserve">          6294 - TRAVEL OPERATIONAL</v>
      </c>
      <c r="C114" s="10"/>
      <c r="D114" s="6"/>
      <c r="E114" s="2"/>
      <c r="F114" s="7">
        <f t="shared" si="89"/>
        <v>0</v>
      </c>
      <c r="G114" s="2"/>
      <c r="H114" s="6"/>
      <c r="I114" s="2"/>
      <c r="J114" s="7">
        <f t="shared" si="90"/>
        <v>0</v>
      </c>
      <c r="K114" s="2"/>
      <c r="L114" s="6">
        <f t="shared" si="91"/>
        <v>0</v>
      </c>
      <c r="M114" s="2"/>
      <c r="N114" s="7">
        <f t="shared" si="92"/>
        <v>0</v>
      </c>
      <c r="O114" s="10"/>
      <c r="P114" s="6"/>
      <c r="Q114" s="2"/>
      <c r="R114" s="7">
        <f t="shared" si="93"/>
        <v>0</v>
      </c>
      <c r="S114" s="2"/>
      <c r="T114" s="6">
        <v>56.99</v>
      </c>
      <c r="U114" s="2"/>
      <c r="V114" s="7">
        <f t="shared" si="94"/>
        <v>1.2336719891744256E-5</v>
      </c>
      <c r="W114" s="2"/>
      <c r="X114" s="6">
        <f t="shared" si="95"/>
        <v>-56.99</v>
      </c>
      <c r="Y114" s="2"/>
      <c r="Z114" s="7">
        <f t="shared" si="96"/>
        <v>-1</v>
      </c>
    </row>
    <row r="115" spans="1:26" s="23" customFormat="1" hidden="1" outlineLevel="2" x14ac:dyDescent="0.25">
      <c r="A115" s="25"/>
      <c r="B115" s="10" t="str">
        <f>CONCATENATE("          ", "6298", " - ", "VEHICLE MILEAGE")</f>
        <v xml:space="preserve">          6298 - VEHICLE MILEAGE</v>
      </c>
      <c r="C115" s="10"/>
      <c r="D115" s="6"/>
      <c r="E115" s="2"/>
      <c r="F115" s="7">
        <f t="shared" si="89"/>
        <v>0</v>
      </c>
      <c r="G115" s="2"/>
      <c r="H115" s="6"/>
      <c r="I115" s="2"/>
      <c r="J115" s="7">
        <f t="shared" si="90"/>
        <v>0</v>
      </c>
      <c r="K115" s="2"/>
      <c r="L115" s="6">
        <f t="shared" si="91"/>
        <v>0</v>
      </c>
      <c r="M115" s="2"/>
      <c r="N115" s="7">
        <f t="shared" si="92"/>
        <v>0</v>
      </c>
      <c r="O115" s="10"/>
      <c r="P115" s="6">
        <v>332.21</v>
      </c>
      <c r="Q115" s="2"/>
      <c r="R115" s="7">
        <f t="shared" si="93"/>
        <v>5.6781271878270491E-4</v>
      </c>
      <c r="S115" s="2"/>
      <c r="T115" s="6">
        <v>1288.6500000000001</v>
      </c>
      <c r="U115" s="2"/>
      <c r="V115" s="7">
        <f t="shared" si="94"/>
        <v>2.7895620439544194E-4</v>
      </c>
      <c r="W115" s="2"/>
      <c r="X115" s="6">
        <f t="shared" si="95"/>
        <v>-956.44</v>
      </c>
      <c r="Y115" s="2"/>
      <c r="Z115" s="7">
        <f t="shared" si="96"/>
        <v>-0.74220308074341368</v>
      </c>
    </row>
    <row r="116" spans="1:26" s="27" customFormat="1" outlineLevel="1" collapsed="1" x14ac:dyDescent="0.25">
      <c r="A116" s="26"/>
      <c r="B116" s="12" t="str">
        <f>CONCATENATE("     ","Utilities                                         ")</f>
        <v xml:space="preserve">     Utilities                                         </v>
      </c>
      <c r="C116" s="12"/>
      <c r="D116" s="1">
        <f>SUM(OSRRefD22_24x_0)</f>
        <v>40208</v>
      </c>
      <c r="E116" s="1"/>
      <c r="F116" s="5">
        <f t="shared" ref="F116:F117" si="97">IF(D$12=0,0,D116/D$12)</f>
        <v>0.60286730816778145</v>
      </c>
      <c r="G116" s="1"/>
      <c r="H116" s="1">
        <f>SUM(OSRRefH22_24x_0)</f>
        <v>38734</v>
      </c>
      <c r="I116" s="1"/>
      <c r="J116" s="5">
        <f t="shared" ref="J116:J117" si="98">IF(H$12=0,0,H116/H$12)</f>
        <v>0</v>
      </c>
      <c r="K116" s="1"/>
      <c r="L116" s="1">
        <f t="shared" ref="L116:L117" si="99">+D116-H116</f>
        <v>1474</v>
      </c>
      <c r="M116" s="1"/>
      <c r="N116" s="5">
        <f t="shared" ref="N116:N117" si="100">IF(H116=0,0,L116/H116)</f>
        <v>3.805442247121392E-2</v>
      </c>
      <c r="O116" s="12"/>
      <c r="P116" s="1">
        <f>SUM(OSRRefP22_24x_0)</f>
        <v>46044</v>
      </c>
      <c r="Q116" s="1"/>
      <c r="R116" s="5">
        <f t="shared" ref="R116:R117" si="101">IF(P$12=0,0,P116/P$12)</f>
        <v>7.8698319808647735E-2</v>
      </c>
      <c r="S116" s="1"/>
      <c r="T116" s="1">
        <f>SUM(OSRRefT22_24x_0)</f>
        <v>213536</v>
      </c>
      <c r="U116" s="1"/>
      <c r="V116" s="5">
        <f t="shared" ref="V116:V117" si="102">IF(T$12=0,0,T116/T$12)</f>
        <v>4.6224492346087054E-2</v>
      </c>
      <c r="W116" s="1"/>
      <c r="X116" s="1">
        <f t="shared" ref="X116:X117" si="103">+P116-T116</f>
        <v>-167492</v>
      </c>
      <c r="Y116" s="1"/>
      <c r="Z116" s="5">
        <f t="shared" ref="Z116:Z117" si="104">IF(T116=0,0,X116/T116)</f>
        <v>-0.78437359508466953</v>
      </c>
    </row>
    <row r="117" spans="1:26" s="23" customFormat="1" hidden="1" outlineLevel="2" x14ac:dyDescent="0.25">
      <c r="A117" s="25"/>
      <c r="B117" s="10" t="str">
        <f>CONCATENATE("          ", "6274", " - ", "UTILITIES")</f>
        <v xml:space="preserve">          6274 - UTILITIES</v>
      </c>
      <c r="C117" s="10"/>
      <c r="D117" s="6">
        <v>40208</v>
      </c>
      <c r="E117" s="2"/>
      <c r="F117" s="7">
        <f t="shared" si="97"/>
        <v>0.60286730816778145</v>
      </c>
      <c r="G117" s="2"/>
      <c r="H117" s="6">
        <v>38734</v>
      </c>
      <c r="I117" s="2"/>
      <c r="J117" s="7">
        <f t="shared" si="98"/>
        <v>0</v>
      </c>
      <c r="K117" s="2"/>
      <c r="L117" s="6">
        <f t="shared" si="99"/>
        <v>1474</v>
      </c>
      <c r="M117" s="2"/>
      <c r="N117" s="7">
        <f t="shared" si="100"/>
        <v>3.805442247121392E-2</v>
      </c>
      <c r="O117" s="10"/>
      <c r="P117" s="6">
        <v>46044</v>
      </c>
      <c r="Q117" s="2"/>
      <c r="R117" s="7">
        <f t="shared" si="101"/>
        <v>7.8698319808647735E-2</v>
      </c>
      <c r="S117" s="2"/>
      <c r="T117" s="6">
        <v>213536</v>
      </c>
      <c r="U117" s="2"/>
      <c r="V117" s="7">
        <f t="shared" si="102"/>
        <v>4.6224492346087054E-2</v>
      </c>
      <c r="W117" s="2"/>
      <c r="X117" s="6">
        <f t="shared" si="103"/>
        <v>-167492</v>
      </c>
      <c r="Y117" s="2"/>
      <c r="Z117" s="7">
        <f t="shared" si="104"/>
        <v>-0.78437359508466953</v>
      </c>
    </row>
    <row r="118" spans="1:26" s="52" customFormat="1" x14ac:dyDescent="0.25">
      <c r="A118" s="37"/>
      <c r="B118" s="37"/>
      <c r="C118" s="37"/>
      <c r="D118" s="1"/>
      <c r="E118" s="1"/>
      <c r="F118" s="5"/>
      <c r="G118" s="1"/>
      <c r="H118" s="1"/>
      <c r="I118" s="1"/>
      <c r="J118" s="5"/>
      <c r="K118" s="1"/>
      <c r="L118" s="1"/>
      <c r="M118" s="1"/>
      <c r="N118" s="5"/>
      <c r="O118" s="37"/>
      <c r="P118" s="1"/>
      <c r="Q118" s="1"/>
      <c r="R118" s="5"/>
      <c r="S118" s="1"/>
      <c r="T118" s="1"/>
      <c r="U118" s="1"/>
      <c r="V118" s="5"/>
      <c r="W118" s="1"/>
      <c r="X118" s="1"/>
      <c r="Y118" s="1"/>
      <c r="Z118" s="5"/>
    </row>
    <row r="119" spans="1:26" s="24" customFormat="1" collapsed="1" x14ac:dyDescent="0.25">
      <c r="A119" s="11"/>
      <c r="B119" s="29" t="s">
        <v>292</v>
      </c>
      <c r="C119" s="11"/>
      <c r="D119" s="4">
        <f>SUM(OSRRefD25x_0)</f>
        <v>1026.5</v>
      </c>
      <c r="E119" s="4"/>
      <c r="F119" s="13">
        <f t="shared" ref="F119:F122" si="105">IF(D$12=0,0,D119/D$12)</f>
        <v>1.5391048841877926E-2</v>
      </c>
      <c r="G119" s="4"/>
      <c r="H119" s="4">
        <f>SUM(OSRRefH25x_0)</f>
        <v>43261.639999999992</v>
      </c>
      <c r="I119" s="4"/>
      <c r="J119" s="13">
        <f t="shared" ref="J119:J122" si="106">IF(H$12=0,0,H119/H$12)</f>
        <v>0</v>
      </c>
      <c r="K119" s="4"/>
      <c r="L119" s="4">
        <f t="shared" ref="L119:L122" si="107">+D119-H119</f>
        <v>-42235.139999999992</v>
      </c>
      <c r="M119" s="4"/>
      <c r="N119" s="13">
        <f t="shared" ref="N119:N122" si="108">IF(H119=0,0,L119/H119)</f>
        <v>-0.97627228186448778</v>
      </c>
      <c r="O119" s="11"/>
      <c r="P119" s="4">
        <f>SUM(OSRRefP25x_0)</f>
        <v>23513.16</v>
      </c>
      <c r="Q119" s="4"/>
      <c r="R119" s="13">
        <f t="shared" ref="R119:R122" si="109">IF(P$12=0,0,P119/P$12)</f>
        <v>4.0188649669705145E-2</v>
      </c>
      <c r="S119" s="4"/>
      <c r="T119" s="4">
        <f>SUM(OSRRefT25x_0)</f>
        <v>730460.52</v>
      </c>
      <c r="U119" s="4"/>
      <c r="V119" s="13">
        <f t="shared" ref="V119:V122" si="110">IF(T$12=0,0,T119/T$12)</f>
        <v>0.15812400117946751</v>
      </c>
      <c r="W119" s="4"/>
      <c r="X119" s="4">
        <f t="shared" ref="X119:X122" si="111">+P119-T119</f>
        <v>-706947.36</v>
      </c>
      <c r="Y119" s="4"/>
      <c r="Z119" s="13">
        <f t="shared" ref="Z119:Z122" si="112">IF(T119=0,0,X119/T119)</f>
        <v>-0.96781049850579193</v>
      </c>
    </row>
    <row r="120" spans="1:26" s="23" customFormat="1" hidden="1" outlineLevel="1" x14ac:dyDescent="0.25">
      <c r="A120" s="44"/>
      <c r="B120" s="10" t="str">
        <f>CONCATENATE("          ", "9150", " - ", "MISC. INCOME")</f>
        <v xml:space="preserve">          9150 - MISC. INCOME</v>
      </c>
      <c r="C120" s="10"/>
      <c r="D120" s="2">
        <f>--449.64</f>
        <v>449.64</v>
      </c>
      <c r="E120" s="2"/>
      <c r="F120" s="19">
        <f t="shared" si="105"/>
        <v>6.7417741853502099E-3</v>
      </c>
      <c r="G120" s="2"/>
      <c r="H120" s="2">
        <f>--16951.85</f>
        <v>16951.849999999999</v>
      </c>
      <c r="I120" s="2"/>
      <c r="J120" s="19">
        <f t="shared" si="106"/>
        <v>0</v>
      </c>
      <c r="K120" s="2"/>
      <c r="L120" s="2">
        <f t="shared" si="107"/>
        <v>-16502.21</v>
      </c>
      <c r="M120" s="2"/>
      <c r="N120" s="19">
        <f t="shared" si="108"/>
        <v>-0.97347546138032137</v>
      </c>
      <c r="O120" s="10"/>
      <c r="P120" s="2">
        <f>--5799.56</f>
        <v>5799.56</v>
      </c>
      <c r="Q120" s="2"/>
      <c r="R120" s="19">
        <f t="shared" si="109"/>
        <v>9.9125972467518277E-3</v>
      </c>
      <c r="S120" s="2"/>
      <c r="T120" s="2">
        <f>--330936.39</f>
        <v>330936.39</v>
      </c>
      <c r="U120" s="2"/>
      <c r="V120" s="19">
        <f t="shared" si="110"/>
        <v>7.1638349630023426E-2</v>
      </c>
      <c r="W120" s="2"/>
      <c r="X120" s="2">
        <f t="shared" si="111"/>
        <v>-325136.83</v>
      </c>
      <c r="Y120" s="2"/>
      <c r="Z120" s="19">
        <f t="shared" si="112"/>
        <v>-0.98247530288222462</v>
      </c>
    </row>
    <row r="121" spans="1:26" s="23" customFormat="1" hidden="1" outlineLevel="1" x14ac:dyDescent="0.25">
      <c r="A121" s="44"/>
      <c r="B121" s="10" t="str">
        <f>CONCATENATE("          ", "9160", " - ", "MISC. INCOME")</f>
        <v xml:space="preserve">          9160 - MISC. INCOME</v>
      </c>
      <c r="C121" s="10"/>
      <c r="D121" s="2">
        <f>0</f>
        <v>0</v>
      </c>
      <c r="E121" s="2"/>
      <c r="F121" s="19">
        <f t="shared" si="105"/>
        <v>0</v>
      </c>
      <c r="G121" s="2"/>
      <c r="H121" s="2">
        <f>--25000.02</f>
        <v>25000.02</v>
      </c>
      <c r="I121" s="2"/>
      <c r="J121" s="19">
        <f t="shared" si="106"/>
        <v>0</v>
      </c>
      <c r="K121" s="2"/>
      <c r="L121" s="2">
        <f t="shared" si="107"/>
        <v>-25000.02</v>
      </c>
      <c r="M121" s="2"/>
      <c r="N121" s="19">
        <f t="shared" si="108"/>
        <v>-1</v>
      </c>
      <c r="O121" s="10"/>
      <c r="P121" s="2">
        <f>--13615.06</f>
        <v>13615.06</v>
      </c>
      <c r="Q121" s="2"/>
      <c r="R121" s="19">
        <f t="shared" si="109"/>
        <v>2.3270835420335492E-2</v>
      </c>
      <c r="S121" s="2"/>
      <c r="T121" s="2">
        <f>--155089.34</f>
        <v>155089.34</v>
      </c>
      <c r="U121" s="2"/>
      <c r="V121" s="19">
        <f t="shared" si="110"/>
        <v>3.3572446846385121E-2</v>
      </c>
      <c r="W121" s="2"/>
      <c r="X121" s="2">
        <f t="shared" si="111"/>
        <v>-141474.28</v>
      </c>
      <c r="Y121" s="2"/>
      <c r="Z121" s="19">
        <f t="shared" si="112"/>
        <v>-0.91221150338250201</v>
      </c>
    </row>
    <row r="122" spans="1:26" s="23" customFormat="1" hidden="1" outlineLevel="1" x14ac:dyDescent="0.25">
      <c r="A122" s="44"/>
      <c r="B122" s="10" t="str">
        <f>CONCATENATE("          ", "9165", " - ", "OTHER INCOME")</f>
        <v xml:space="preserve">          9165 - OTHER INCOME</v>
      </c>
      <c r="C122" s="10"/>
      <c r="D122" s="2">
        <f>--576.86</f>
        <v>576.86</v>
      </c>
      <c r="E122" s="2"/>
      <c r="F122" s="19">
        <f t="shared" si="105"/>
        <v>8.6492746565277161E-3</v>
      </c>
      <c r="G122" s="2"/>
      <c r="H122" s="2">
        <f>--1309.77</f>
        <v>1309.77</v>
      </c>
      <c r="I122" s="2"/>
      <c r="J122" s="19">
        <f t="shared" si="106"/>
        <v>0</v>
      </c>
      <c r="K122" s="2"/>
      <c r="L122" s="2">
        <f t="shared" si="107"/>
        <v>-732.91</v>
      </c>
      <c r="M122" s="2"/>
      <c r="N122" s="19">
        <f t="shared" si="108"/>
        <v>-0.55957152782549602</v>
      </c>
      <c r="O122" s="10"/>
      <c r="P122" s="2">
        <f>--4098.54</f>
        <v>4098.54</v>
      </c>
      <c r="Q122" s="2"/>
      <c r="R122" s="19">
        <f t="shared" si="109"/>
        <v>7.0052170026178246E-3</v>
      </c>
      <c r="S122" s="2"/>
      <c r="T122" s="2">
        <f>--244434.79</f>
        <v>244434.79</v>
      </c>
      <c r="U122" s="2"/>
      <c r="V122" s="19">
        <f t="shared" si="110"/>
        <v>5.2913204703058957E-2</v>
      </c>
      <c r="W122" s="2"/>
      <c r="X122" s="2">
        <f t="shared" si="111"/>
        <v>-240336.25</v>
      </c>
      <c r="Y122" s="2"/>
      <c r="Z122" s="19">
        <f t="shared" si="112"/>
        <v>-0.98323258321779805</v>
      </c>
    </row>
    <row r="123" spans="1:26" x14ac:dyDescent="0.25">
      <c r="A123" s="9"/>
      <c r="B123" s="11"/>
      <c r="C123" s="11"/>
      <c r="D123" s="3"/>
      <c r="E123" s="3"/>
      <c r="F123" s="8"/>
      <c r="G123" s="3"/>
      <c r="H123" s="3"/>
      <c r="I123" s="3"/>
      <c r="J123" s="8"/>
      <c r="K123" s="3"/>
      <c r="L123" s="3"/>
      <c r="M123" s="3"/>
      <c r="N123" s="8"/>
      <c r="O123" s="11"/>
      <c r="P123" s="3"/>
      <c r="Q123" s="3"/>
      <c r="R123" s="8"/>
      <c r="S123" s="3"/>
      <c r="T123" s="3"/>
      <c r="U123" s="3"/>
      <c r="V123" s="8"/>
      <c r="W123" s="3"/>
      <c r="X123" s="3"/>
      <c r="Y123" s="3"/>
      <c r="Z123" s="8"/>
    </row>
    <row r="124" spans="1:26" s="24" customFormat="1" x14ac:dyDescent="0.25">
      <c r="A124" s="11"/>
      <c r="B124" s="28" t="s">
        <v>276</v>
      </c>
      <c r="C124" s="28"/>
      <c r="D124" s="21">
        <f>+D28-D30+D119</f>
        <v>-110054.39000000001</v>
      </c>
      <c r="E124" s="14"/>
      <c r="F124" s="22">
        <f>IF(D$12=0,0,D124/D$12)</f>
        <v>-1.6501242004413852</v>
      </c>
      <c r="G124" s="14"/>
      <c r="H124" s="21">
        <f>+H28-H30+H119</f>
        <v>-158938.57000000004</v>
      </c>
      <c r="I124" s="14"/>
      <c r="J124" s="22">
        <f>IF(H$12=0,0,H124/H$12)</f>
        <v>0</v>
      </c>
      <c r="K124" s="15"/>
      <c r="L124" s="21">
        <f>+D124-H124</f>
        <v>48884.180000000022</v>
      </c>
      <c r="M124" s="15"/>
      <c r="N124" s="22">
        <f>IF(H124=0,0,L124/H124)</f>
        <v>-0.30756650195103685</v>
      </c>
      <c r="O124" s="29"/>
      <c r="P124" s="21">
        <f>+P28-P30+P119</f>
        <v>-820687.25000000012</v>
      </c>
      <c r="Q124" s="14"/>
      <c r="R124" s="22">
        <f>IF(P$12=0,0,P124/P$12)</f>
        <v>-1.4027171328159944</v>
      </c>
      <c r="S124" s="14"/>
      <c r="T124" s="21">
        <f>+T28-T30+T119</f>
        <v>-1192092.0100000002</v>
      </c>
      <c r="U124" s="14"/>
      <c r="V124" s="22">
        <f>IF(T$12=0,0,T124/T$12)</f>
        <v>-0.25805413603362687</v>
      </c>
      <c r="W124" s="15"/>
      <c r="X124" s="21">
        <f>+P124-T124</f>
        <v>371404.76000000013</v>
      </c>
      <c r="Y124" s="15"/>
      <c r="Z124" s="22">
        <f>IF(T124=0,0,X124/T124)</f>
        <v>-0.31155712552758413</v>
      </c>
    </row>
    <row r="125" spans="1:26" x14ac:dyDescent="0.25">
      <c r="A125" s="9"/>
      <c r="B125" s="11"/>
      <c r="C125" s="9"/>
      <c r="D125" s="3"/>
      <c r="E125" s="3"/>
      <c r="F125" s="8"/>
      <c r="G125" s="3"/>
      <c r="H125" s="3"/>
      <c r="I125" s="3"/>
      <c r="J125" s="8"/>
      <c r="K125" s="3"/>
      <c r="L125" s="3"/>
      <c r="M125" s="3"/>
      <c r="N125" s="8"/>
      <c r="P125" s="3"/>
      <c r="Q125" s="3"/>
      <c r="R125" s="8"/>
      <c r="S125" s="3"/>
      <c r="T125" s="3"/>
      <c r="U125" s="3"/>
      <c r="V125" s="8"/>
      <c r="W125" s="3"/>
      <c r="X125" s="3"/>
      <c r="Y125" s="3"/>
      <c r="Z125" s="8"/>
    </row>
    <row r="126" spans="1:26" s="24" customFormat="1" x14ac:dyDescent="0.25">
      <c r="A126" s="51"/>
      <c r="B126" s="11" t="s">
        <v>127</v>
      </c>
      <c r="C126" s="11"/>
      <c r="D126" s="4">
        <v>51172.32</v>
      </c>
      <c r="E126" s="4"/>
      <c r="F126" s="13">
        <f>IF(D$12=0,0,D126/D$12)</f>
        <v>0.76726320162903716</v>
      </c>
      <c r="G126" s="4"/>
      <c r="H126" s="4">
        <v>152454.35</v>
      </c>
      <c r="I126" s="4"/>
      <c r="J126" s="13">
        <f>IF(H$12=0,0,H126/H$12)</f>
        <v>0</v>
      </c>
      <c r="K126" s="4"/>
      <c r="L126" s="4">
        <f>+D126-H126</f>
        <v>-101282.03</v>
      </c>
      <c r="M126" s="4"/>
      <c r="N126" s="13">
        <f>IF(H126=0,0,L126/H126)</f>
        <v>-0.66434332637933913</v>
      </c>
      <c r="O126" s="11"/>
      <c r="P126" s="4">
        <v>161944.15</v>
      </c>
      <c r="Q126" s="4"/>
      <c r="R126" s="13">
        <f>IF(P$12=0,0,P126/P$12)</f>
        <v>0.27679464225175093</v>
      </c>
      <c r="S126" s="4"/>
      <c r="T126" s="4">
        <v>699503.21</v>
      </c>
      <c r="U126" s="4"/>
      <c r="V126" s="13">
        <f>IF(T$12=0,0,T126/T$12)</f>
        <v>0.15142262090096437</v>
      </c>
      <c r="W126" s="4"/>
      <c r="X126" s="4">
        <f>+P126-T126</f>
        <v>-537559.05999999994</v>
      </c>
      <c r="Y126" s="4"/>
      <c r="Z126" s="13">
        <f>IF(T126=0,0,X126/T126)</f>
        <v>-0.76848690944534759</v>
      </c>
    </row>
    <row r="127" spans="1:26" x14ac:dyDescent="0.25">
      <c r="A127" s="9"/>
      <c r="B127" s="11"/>
      <c r="C127" s="11"/>
      <c r="D127" s="3"/>
      <c r="E127" s="3"/>
      <c r="F127" s="8"/>
      <c r="G127" s="3"/>
      <c r="H127" s="3"/>
      <c r="I127" s="3"/>
      <c r="J127" s="8"/>
      <c r="K127" s="3"/>
      <c r="L127" s="3"/>
      <c r="M127" s="3"/>
      <c r="N127" s="8"/>
      <c r="O127" s="11"/>
      <c r="P127" s="3"/>
      <c r="Q127" s="3"/>
      <c r="R127" s="8"/>
      <c r="S127" s="3"/>
      <c r="T127" s="3"/>
      <c r="U127" s="3"/>
      <c r="V127" s="8"/>
      <c r="W127" s="3"/>
      <c r="X127" s="3"/>
      <c r="Y127" s="3"/>
      <c r="Z127" s="8"/>
    </row>
    <row r="128" spans="1:26" s="24" customFormat="1" ht="15.75" thickBot="1" x14ac:dyDescent="0.3">
      <c r="A128" s="11"/>
      <c r="B128" s="28" t="s">
        <v>125</v>
      </c>
      <c r="C128" s="28"/>
      <c r="D128" s="34">
        <f>+D124-D126</f>
        <v>-161226.71000000002</v>
      </c>
      <c r="E128" s="14"/>
      <c r="F128" s="31">
        <f>IF(D$12=0,0,D128/D$12)</f>
        <v>-2.4173874020704225</v>
      </c>
      <c r="G128" s="14"/>
      <c r="H128" s="34">
        <f>+H124-H126</f>
        <v>-311392.92000000004</v>
      </c>
      <c r="I128" s="14"/>
      <c r="J128" s="31">
        <f>IF(H$12=0,0,H128/H$12)</f>
        <v>0</v>
      </c>
      <c r="K128" s="15"/>
      <c r="L128" s="34">
        <f>D128-H128</f>
        <v>150166.21000000002</v>
      </c>
      <c r="M128" s="15"/>
      <c r="N128" s="31">
        <f>IF(H128=0,0,L128/H128)</f>
        <v>-0.48224028343354758</v>
      </c>
      <c r="O128" s="29"/>
      <c r="P128" s="34">
        <f>+P124-P126</f>
        <v>-982631.40000000014</v>
      </c>
      <c r="Q128" s="14"/>
      <c r="R128" s="31">
        <f>IF(P$12=0,0,P128/P$12)</f>
        <v>-1.6795117750677455</v>
      </c>
      <c r="S128" s="14"/>
      <c r="T128" s="34">
        <f>+T124-T126</f>
        <v>-1891595.2200000002</v>
      </c>
      <c r="U128" s="14"/>
      <c r="V128" s="31">
        <f>IF(T$12=0,0,T128/T$12)</f>
        <v>-0.40947675693459124</v>
      </c>
      <c r="W128" s="15"/>
      <c r="X128" s="34">
        <f>P128-T128</f>
        <v>908963.82000000007</v>
      </c>
      <c r="Y128" s="15"/>
      <c r="Z128" s="31">
        <f>IF(T128=0,0,X128/T128)</f>
        <v>-0.48052765749746396</v>
      </c>
    </row>
    <row r="129" spans="1:26" ht="15.75" thickTop="1" x14ac:dyDescent="0.25">
      <c r="A129" s="9"/>
      <c r="B129" s="9"/>
      <c r="C129" s="9"/>
      <c r="D129" s="3"/>
      <c r="E129" s="3"/>
      <c r="F129" s="8"/>
      <c r="G129" s="3"/>
      <c r="H129" s="3"/>
      <c r="I129" s="3"/>
      <c r="J129" s="8"/>
      <c r="K129" s="3"/>
      <c r="L129" s="3"/>
      <c r="M129" s="3"/>
      <c r="N129" s="8"/>
      <c r="P129" s="3"/>
      <c r="Q129" s="3"/>
      <c r="R129" s="8"/>
      <c r="S129" s="3"/>
      <c r="T129" s="3"/>
      <c r="U129" s="3"/>
      <c r="V129" s="8"/>
      <c r="W129" s="3"/>
      <c r="X129" s="3"/>
      <c r="Y129" s="3"/>
      <c r="Z129" s="8"/>
    </row>
    <row r="130" spans="1:26" x14ac:dyDescent="0.25">
      <c r="A130" s="9"/>
      <c r="B130" s="9"/>
      <c r="C130" s="9"/>
      <c r="D130" s="3"/>
      <c r="E130" s="3"/>
      <c r="F130" s="8"/>
      <c r="G130" s="3"/>
      <c r="H130" s="3"/>
      <c r="I130" s="3"/>
      <c r="J130" s="8"/>
      <c r="K130" s="3"/>
      <c r="L130" s="3"/>
      <c r="M130" s="3"/>
      <c r="N130" s="8"/>
      <c r="P130" s="3"/>
      <c r="Q130" s="3"/>
      <c r="R130" s="8"/>
      <c r="S130" s="3"/>
      <c r="T130" s="3"/>
      <c r="U130" s="3"/>
      <c r="V130" s="8"/>
      <c r="W130" s="3"/>
      <c r="X130" s="3"/>
      <c r="Y130" s="3"/>
      <c r="Z130" s="8"/>
    </row>
    <row r="131" spans="1:26" s="24" customFormat="1" ht="15.75" thickBot="1" x14ac:dyDescent="0.3">
      <c r="A131" s="11"/>
      <c r="B131" s="28" t="s">
        <v>293</v>
      </c>
      <c r="C131" s="28"/>
      <c r="D131" s="33">
        <f>SUM(D128:D130)</f>
        <v>-161226.71000000002</v>
      </c>
      <c r="E131" s="14"/>
      <c r="F131" s="35">
        <f>IF(D$12=0,0,D131/D$12)</f>
        <v>-2.4173874020704225</v>
      </c>
      <c r="G131" s="14"/>
      <c r="H131" s="33">
        <f>SUM(H128:H130)</f>
        <v>-311392.92000000004</v>
      </c>
      <c r="I131" s="14"/>
      <c r="J131" s="35">
        <f>IF(H$12=0,0,H131/H$12)</f>
        <v>0</v>
      </c>
      <c r="K131" s="15"/>
      <c r="L131" s="33">
        <f>+D131-H131</f>
        <v>150166.21000000002</v>
      </c>
      <c r="M131" s="15"/>
      <c r="N131" s="35">
        <f>IF(H131=0,0,L131/H131)</f>
        <v>-0.48224028343354758</v>
      </c>
      <c r="O131" s="29"/>
      <c r="P131" s="33">
        <f>SUM(P128:P130)</f>
        <v>-982631.40000000014</v>
      </c>
      <c r="Q131" s="14"/>
      <c r="R131" s="35">
        <f>IF(P$12=0,0,P131/P$12)</f>
        <v>-1.6795117750677455</v>
      </c>
      <c r="S131" s="14"/>
      <c r="T131" s="33">
        <f>SUM(T128:T130)</f>
        <v>-1891595.2200000002</v>
      </c>
      <c r="U131" s="14"/>
      <c r="V131" s="35">
        <f>IF(T$12=0,0,T131/T$12)</f>
        <v>-0.40947675693459124</v>
      </c>
      <c r="W131" s="15"/>
      <c r="X131" s="33">
        <f>+P131-T131</f>
        <v>908963.82000000007</v>
      </c>
      <c r="Y131" s="15"/>
      <c r="Z131" s="35">
        <f>IF(T131=0,0,X131/T131)</f>
        <v>-0.48052765749746396</v>
      </c>
    </row>
    <row r="132" spans="1:26" ht="15.75" thickTop="1" x14ac:dyDescent="0.25">
      <c r="A132" s="9"/>
      <c r="C132" s="9"/>
      <c r="D132" s="18"/>
      <c r="E132" s="18"/>
      <c r="G132" s="18"/>
      <c r="H132" s="18"/>
      <c r="I132" s="18"/>
      <c r="J132" s="43"/>
      <c r="K132" s="18"/>
      <c r="L132" s="18"/>
      <c r="M132" s="18"/>
      <c r="P132" s="18"/>
      <c r="Q132" s="18"/>
      <c r="R132" s="43"/>
      <c r="S132" s="18"/>
      <c r="T132" s="18"/>
      <c r="U132" s="18"/>
      <c r="V132" s="43"/>
      <c r="W132" s="18"/>
      <c r="X132" s="18"/>
    </row>
    <row r="133" spans="1:26" x14ac:dyDescent="0.25">
      <c r="A133" s="9"/>
      <c r="B133" s="56">
        <v>44454.698524386571</v>
      </c>
      <c r="D133" s="18"/>
      <c r="E133" s="18"/>
      <c r="G133" s="18"/>
      <c r="H133" s="18"/>
      <c r="I133" s="18"/>
      <c r="J133" s="43"/>
      <c r="K133" s="18"/>
      <c r="L133" s="18"/>
      <c r="M133" s="18"/>
      <c r="P133" s="18"/>
      <c r="Q133" s="18"/>
      <c r="R133" s="43"/>
      <c r="S133" s="18"/>
      <c r="T133" s="18"/>
      <c r="U133" s="18"/>
      <c r="V133" s="43"/>
      <c r="W133" s="18"/>
      <c r="X133" s="18"/>
    </row>
    <row r="134" spans="1:26" x14ac:dyDescent="0.25">
      <c r="A134" s="9"/>
      <c r="B134" s="55" t="s">
        <v>56</v>
      </c>
      <c r="D134" s="18"/>
      <c r="E134" s="18"/>
      <c r="G134" s="18"/>
      <c r="H134" s="18"/>
      <c r="I134" s="18"/>
      <c r="J134" s="43"/>
      <c r="K134" s="18"/>
      <c r="L134" s="18"/>
      <c r="M134" s="18"/>
      <c r="P134" s="18"/>
      <c r="Q134" s="18"/>
      <c r="R134" s="43"/>
      <c r="S134" s="18"/>
      <c r="T134" s="18"/>
      <c r="U134" s="18"/>
      <c r="V134" s="43"/>
      <c r="W134" s="18"/>
      <c r="X134" s="18"/>
    </row>
    <row r="135" spans="1:26" x14ac:dyDescent="0.25">
      <c r="A135" s="9"/>
      <c r="B135" s="60"/>
      <c r="D135" s="18"/>
      <c r="E135" s="18"/>
      <c r="G135" s="18"/>
      <c r="H135" s="18"/>
      <c r="I135" s="18"/>
      <c r="J135" s="43"/>
      <c r="K135" s="18"/>
      <c r="L135" s="18"/>
      <c r="M135" s="18"/>
      <c r="P135" s="18"/>
      <c r="Q135" s="18"/>
      <c r="R135" s="43"/>
      <c r="S135" s="18"/>
      <c r="T135" s="18"/>
      <c r="U135" s="18"/>
      <c r="V135" s="43"/>
      <c r="W135" s="18"/>
      <c r="X135" s="18"/>
    </row>
    <row r="136" spans="1:26" x14ac:dyDescent="0.25">
      <c r="D136" s="18"/>
      <c r="E136" s="18"/>
      <c r="G136" s="18"/>
      <c r="H136" s="18"/>
      <c r="I136" s="18"/>
      <c r="J136" s="43"/>
      <c r="K136" s="18"/>
      <c r="L136" s="18"/>
      <c r="M136" s="18"/>
      <c r="P136" s="18"/>
      <c r="Q136" s="18"/>
      <c r="R136" s="43"/>
      <c r="S136" s="18"/>
      <c r="T136" s="18"/>
      <c r="U136" s="18"/>
      <c r="V136" s="43"/>
      <c r="W136" s="18"/>
      <c r="X136" s="18"/>
    </row>
  </sheetData>
  <pageMargins left="0.25" right="0.25" top="0.75" bottom="0.75" header="0.3" footer="0.3"/>
  <pageSetup scale="55" fitToWidth="2" orientation="landscape"/>
  <drawing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>
    <tabColor rgb="FF92D050"/>
    <outlinePr summaryBelow="0" summaryRight="0"/>
  </sheetPr>
  <dimension ref="A2:Z95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62" t="s">
        <v>23</v>
      </c>
    </row>
    <row r="3" spans="1:26" x14ac:dyDescent="0.25">
      <c r="D3" s="62" t="s">
        <v>236</v>
      </c>
      <c r="E3" s="17"/>
      <c r="F3" s="46"/>
      <c r="G3" s="17"/>
      <c r="H3" s="17"/>
      <c r="I3" s="17"/>
      <c r="J3" s="38"/>
      <c r="K3" s="17"/>
      <c r="L3" s="17"/>
      <c r="M3" s="17"/>
      <c r="N3" s="46"/>
      <c r="O3" s="53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2" t="str">
        <f>CONCATENATE("Period ",RIGHT(202112,2),", ",2021)</f>
        <v>Period 12, 2021</v>
      </c>
      <c r="E4" s="17"/>
      <c r="F4" s="46"/>
      <c r="G4" s="17"/>
      <c r="H4" s="17"/>
      <c r="I4" s="17"/>
      <c r="J4" s="38"/>
      <c r="K4" s="17"/>
      <c r="L4" s="17"/>
      <c r="M4" s="17"/>
      <c r="N4" s="46"/>
      <c r="O4" s="53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4"/>
      <c r="D5" s="63">
        <v>44377</v>
      </c>
      <c r="E5" s="17"/>
      <c r="F5" s="46"/>
      <c r="G5" s="17"/>
      <c r="H5" s="17"/>
      <c r="I5" s="17"/>
      <c r="J5" s="38"/>
      <c r="K5" s="17"/>
      <c r="L5" s="17"/>
      <c r="M5" s="17"/>
      <c r="N5" s="46"/>
      <c r="O5" s="53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4"/>
      <c r="B6" s="48"/>
      <c r="C6" s="48"/>
      <c r="D6" s="24" t="str">
        <f>CONCATENATE("Department ","405", " - ", "Caffeine Lab")</f>
        <v>Department 405 - Caffeine Lab</v>
      </c>
      <c r="E6" s="17"/>
      <c r="F6" s="46"/>
      <c r="G6" s="17"/>
      <c r="H6" s="17"/>
      <c r="I6" s="17"/>
      <c r="J6" s="38"/>
      <c r="K6" s="17"/>
      <c r="L6" s="17"/>
      <c r="M6" s="17"/>
      <c r="N6" s="46"/>
      <c r="O6" s="54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9"/>
    </row>
    <row r="8" spans="1:26" x14ac:dyDescent="0.25">
      <c r="B8" s="59"/>
    </row>
    <row r="9" spans="1:26" x14ac:dyDescent="0.25">
      <c r="B9" s="9"/>
      <c r="C9" s="9"/>
      <c r="D9" s="16" t="s">
        <v>291</v>
      </c>
      <c r="E9" s="16"/>
      <c r="F9" s="39"/>
      <c r="G9" s="16"/>
      <c r="H9" s="16"/>
      <c r="I9" s="16"/>
      <c r="J9" s="49"/>
      <c r="K9" s="16"/>
      <c r="L9" s="16"/>
      <c r="M9" s="16"/>
      <c r="N9" s="39"/>
      <c r="P9" s="16" t="s">
        <v>39</v>
      </c>
      <c r="Q9" s="16"/>
      <c r="R9" s="39"/>
      <c r="S9" s="16"/>
      <c r="T9" s="16"/>
      <c r="U9" s="16"/>
      <c r="V9" s="49"/>
      <c r="W9" s="16"/>
      <c r="X9" s="16"/>
      <c r="Y9" s="16"/>
      <c r="Z9" s="39"/>
    </row>
    <row r="10" spans="1:26" x14ac:dyDescent="0.25">
      <c r="A10" s="11"/>
      <c r="B10" s="58"/>
      <c r="C10" s="11"/>
      <c r="D10" s="42" t="s">
        <v>57</v>
      </c>
      <c r="E10" s="36"/>
      <c r="F10" s="30" t="s">
        <v>40</v>
      </c>
      <c r="G10" s="36"/>
      <c r="H10" s="50" t="s">
        <v>237</v>
      </c>
      <c r="I10" s="36"/>
      <c r="J10" s="30" t="s">
        <v>40</v>
      </c>
      <c r="K10" s="11"/>
      <c r="L10" s="42" t="s">
        <v>126</v>
      </c>
      <c r="M10" s="11"/>
      <c r="N10" s="30" t="s">
        <v>257</v>
      </c>
      <c r="O10" s="11"/>
      <c r="P10" s="61" t="s">
        <v>57</v>
      </c>
      <c r="Q10" s="36"/>
      <c r="R10" s="30" t="s">
        <v>40</v>
      </c>
      <c r="S10" s="36"/>
      <c r="T10" s="50" t="s">
        <v>237</v>
      </c>
      <c r="U10" s="36"/>
      <c r="V10" s="30" t="s">
        <v>40</v>
      </c>
      <c r="W10" s="11"/>
      <c r="X10" s="42" t="s">
        <v>126</v>
      </c>
      <c r="Y10" s="11"/>
      <c r="Z10" s="30" t="s">
        <v>257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4" customFormat="1" collapsed="1" x14ac:dyDescent="0.25">
      <c r="A12" s="11"/>
      <c r="B12" s="29" t="s">
        <v>139</v>
      </c>
      <c r="C12" s="11"/>
      <c r="D12" s="4">
        <f>SUM(OSRRefD13x_0)</f>
        <v>0</v>
      </c>
      <c r="E12" s="4"/>
      <c r="F12" s="13"/>
      <c r="G12" s="4"/>
      <c r="H12" s="4">
        <f>SUM(OSRRefH13x_0)</f>
        <v>0</v>
      </c>
      <c r="I12" s="4"/>
      <c r="J12" s="13"/>
      <c r="K12" s="4"/>
      <c r="L12" s="4">
        <f t="shared" ref="L12:L14" si="0">+D12-H12</f>
        <v>0</v>
      </c>
      <c r="M12" s="4"/>
      <c r="N12" s="13">
        <f t="shared" ref="N12:N14" si="1">IF(H12=0,0,L12/H12)</f>
        <v>0</v>
      </c>
      <c r="O12" s="11"/>
      <c r="P12" s="4">
        <f>SUM(OSRRefP13x_0)</f>
        <v>0</v>
      </c>
      <c r="Q12" s="4"/>
      <c r="R12" s="13"/>
      <c r="S12" s="4"/>
      <c r="T12" s="4">
        <f>SUM(OSRRefT13x_0)</f>
        <v>721341.64</v>
      </c>
      <c r="U12" s="4"/>
      <c r="V12" s="13"/>
      <c r="W12" s="4"/>
      <c r="X12" s="4">
        <f t="shared" ref="X12:X14" si="2">+P12-T12</f>
        <v>-721341.64</v>
      </c>
      <c r="Y12" s="4"/>
      <c r="Z12" s="13">
        <f t="shared" ref="Z12:Z14" si="3">IF(T12=0,0,X12/T12)</f>
        <v>-1</v>
      </c>
    </row>
    <row r="13" spans="1:26" s="23" customFormat="1" hidden="1" outlineLevel="1" x14ac:dyDescent="0.25">
      <c r="A13" s="44"/>
      <c r="B13" s="10" t="str">
        <f>CONCATENATE("          ", "4051", " - ", "TAXABLE SALES-FOOD")</f>
        <v xml:space="preserve">          4051 - TAXABLE SALES-FOOD</v>
      </c>
      <c r="C13" s="10"/>
      <c r="D13" s="2">
        <f t="shared" ref="D13:D14" si="4">0</f>
        <v>0</v>
      </c>
      <c r="E13" s="2"/>
      <c r="F13" s="19"/>
      <c r="G13" s="2"/>
      <c r="H13" s="2">
        <f t="shared" ref="H13:H14" si="5">0</f>
        <v>0</v>
      </c>
      <c r="I13" s="2"/>
      <c r="J13" s="19"/>
      <c r="K13" s="2"/>
      <c r="L13" s="2">
        <f t="shared" si="0"/>
        <v>0</v>
      </c>
      <c r="M13" s="2"/>
      <c r="N13" s="19">
        <f t="shared" si="1"/>
        <v>0</v>
      </c>
      <c r="O13" s="10"/>
      <c r="P13" s="2">
        <f t="shared" ref="P13:P14" si="6">0</f>
        <v>0</v>
      </c>
      <c r="Q13" s="2"/>
      <c r="R13" s="19"/>
      <c r="S13" s="2"/>
      <c r="T13" s="2">
        <f>--149614.63</f>
        <v>149614.63</v>
      </c>
      <c r="U13" s="2"/>
      <c r="V13" s="19"/>
      <c r="W13" s="2"/>
      <c r="X13" s="2">
        <f t="shared" si="2"/>
        <v>-149614.63</v>
      </c>
      <c r="Y13" s="2"/>
      <c r="Z13" s="19">
        <f t="shared" si="3"/>
        <v>-1</v>
      </c>
    </row>
    <row r="14" spans="1:26" s="23" customFormat="1" hidden="1" outlineLevel="1" x14ac:dyDescent="0.25">
      <c r="A14" s="44"/>
      <c r="B14" s="10" t="str">
        <f>CONCATENATE("          ", "4151", " - ", "NON-TAXABLE SALES-FOOD")</f>
        <v xml:space="preserve">          4151 - NON-TAXABLE SALES-FOOD</v>
      </c>
      <c r="C14" s="10"/>
      <c r="D14" s="2">
        <f t="shared" si="4"/>
        <v>0</v>
      </c>
      <c r="E14" s="2"/>
      <c r="F14" s="19"/>
      <c r="G14" s="2"/>
      <c r="H14" s="2">
        <f t="shared" si="5"/>
        <v>0</v>
      </c>
      <c r="I14" s="2"/>
      <c r="J14" s="19"/>
      <c r="K14" s="2"/>
      <c r="L14" s="2">
        <f t="shared" si="0"/>
        <v>0</v>
      </c>
      <c r="M14" s="2"/>
      <c r="N14" s="19">
        <f t="shared" si="1"/>
        <v>0</v>
      </c>
      <c r="O14" s="10"/>
      <c r="P14" s="2">
        <f t="shared" si="6"/>
        <v>0</v>
      </c>
      <c r="Q14" s="2"/>
      <c r="R14" s="19"/>
      <c r="S14" s="2"/>
      <c r="T14" s="2">
        <f>--571727.01</f>
        <v>571727.01</v>
      </c>
      <c r="U14" s="2"/>
      <c r="V14" s="19"/>
      <c r="W14" s="2"/>
      <c r="X14" s="2">
        <f t="shared" si="2"/>
        <v>-571727.01</v>
      </c>
      <c r="Y14" s="2"/>
      <c r="Z14" s="19">
        <f t="shared" si="3"/>
        <v>-1</v>
      </c>
    </row>
    <row r="15" spans="1:26" x14ac:dyDescent="0.25">
      <c r="A15" s="9"/>
      <c r="B15" s="11"/>
      <c r="C15" s="9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4" customFormat="1" collapsed="1" x14ac:dyDescent="0.25">
      <c r="A16" s="11"/>
      <c r="B16" s="29" t="s">
        <v>256</v>
      </c>
      <c r="C16" s="11"/>
      <c r="D16" s="4">
        <f>SUM(OSRRefD16x_0)</f>
        <v>0</v>
      </c>
      <c r="E16" s="4"/>
      <c r="F16" s="13">
        <f t="shared" ref="F16:F18" si="7">IF(D$12=0,0,D16/D$12)</f>
        <v>0</v>
      </c>
      <c r="G16" s="4"/>
      <c r="H16" s="4">
        <f>SUM(OSRRefH16x_0)</f>
        <v>8120</v>
      </c>
      <c r="I16" s="4"/>
      <c r="J16" s="13">
        <f t="shared" ref="J16:J18" si="8">IF(H$12=0,0,H16/H$12)</f>
        <v>0</v>
      </c>
      <c r="K16" s="4"/>
      <c r="L16" s="4">
        <f t="shared" ref="L16:L18" si="9">+D16-H16</f>
        <v>-8120</v>
      </c>
      <c r="M16" s="4"/>
      <c r="N16" s="13">
        <f t="shared" ref="N16:N18" si="10">IF(H16=0,0,L16/H16)</f>
        <v>-1</v>
      </c>
      <c r="O16" s="11"/>
      <c r="P16" s="4">
        <f>SUM(OSRRefP16x_0)</f>
        <v>-2369.5500000000002</v>
      </c>
      <c r="Q16" s="4"/>
      <c r="R16" s="13">
        <f t="shared" ref="R16:R18" si="11">IF(P$12=0,0,P16/P$12)</f>
        <v>0</v>
      </c>
      <c r="S16" s="4"/>
      <c r="T16" s="4">
        <f>SUM(OSRRefT16x_0)</f>
        <v>302808.14</v>
      </c>
      <c r="U16" s="4"/>
      <c r="V16" s="13">
        <f t="shared" ref="V16:V18" si="12">IF(T$12=0,0,T16/T$12)</f>
        <v>0.41978463907892521</v>
      </c>
      <c r="W16" s="4"/>
      <c r="X16" s="4">
        <f t="shared" ref="X16:X18" si="13">+P16-T16</f>
        <v>-305177.69</v>
      </c>
      <c r="Y16" s="4"/>
      <c r="Z16" s="13">
        <f t="shared" ref="Z16:Z18" si="14">IF(T16=0,0,X16/T16)</f>
        <v>-1.0078252519895932</v>
      </c>
    </row>
    <row r="17" spans="1:26" s="23" customFormat="1" hidden="1" outlineLevel="1" x14ac:dyDescent="0.25">
      <c r="A17" s="44"/>
      <c r="B17" s="10" t="str">
        <f>CONCATENATE("          ", "5053", " - ", "PURCHASES @ COST-FOOD")</f>
        <v xml:space="preserve">          5053 - PURCHASES @ COST-FOOD</v>
      </c>
      <c r="C17" s="10"/>
      <c r="D17" s="2"/>
      <c r="E17" s="2"/>
      <c r="F17" s="19">
        <f t="shared" si="7"/>
        <v>0</v>
      </c>
      <c r="G17" s="2"/>
      <c r="H17" s="2"/>
      <c r="I17" s="2"/>
      <c r="J17" s="19">
        <f t="shared" si="8"/>
        <v>0</v>
      </c>
      <c r="K17" s="2"/>
      <c r="L17" s="2">
        <f t="shared" si="9"/>
        <v>0</v>
      </c>
      <c r="M17" s="2"/>
      <c r="N17" s="19">
        <f t="shared" si="10"/>
        <v>0</v>
      </c>
      <c r="O17" s="10"/>
      <c r="P17" s="2">
        <v>-2369.5500000000002</v>
      </c>
      <c r="Q17" s="2"/>
      <c r="R17" s="19">
        <f t="shared" si="11"/>
        <v>0</v>
      </c>
      <c r="S17" s="2"/>
      <c r="T17" s="2">
        <v>288904.14</v>
      </c>
      <c r="U17" s="2"/>
      <c r="V17" s="19">
        <f t="shared" si="12"/>
        <v>0.40050944515001241</v>
      </c>
      <c r="W17" s="2"/>
      <c r="X17" s="2">
        <f t="shared" si="13"/>
        <v>-291273.69</v>
      </c>
      <c r="Y17" s="2"/>
      <c r="Z17" s="19">
        <f t="shared" si="14"/>
        <v>-1.008201855466661</v>
      </c>
    </row>
    <row r="18" spans="1:26" s="23" customFormat="1" hidden="1" outlineLevel="1" x14ac:dyDescent="0.25">
      <c r="A18" s="44"/>
      <c r="B18" s="10" t="str">
        <f>CONCATENATE("          ", "5059", " - ", "PURCHASES @ COST-FOOD")</f>
        <v xml:space="preserve">          5059 - PURCHASES @ COST-FOOD</v>
      </c>
      <c r="C18" s="10"/>
      <c r="D18" s="2"/>
      <c r="E18" s="2"/>
      <c r="F18" s="19">
        <f t="shared" si="7"/>
        <v>0</v>
      </c>
      <c r="G18" s="2"/>
      <c r="H18" s="2">
        <v>8120</v>
      </c>
      <c r="I18" s="2"/>
      <c r="J18" s="19">
        <f t="shared" si="8"/>
        <v>0</v>
      </c>
      <c r="K18" s="2"/>
      <c r="L18" s="2">
        <f t="shared" si="9"/>
        <v>-8120</v>
      </c>
      <c r="M18" s="2"/>
      <c r="N18" s="19">
        <f t="shared" si="10"/>
        <v>-1</v>
      </c>
      <c r="O18" s="10"/>
      <c r="P18" s="2"/>
      <c r="Q18" s="2"/>
      <c r="R18" s="19">
        <f t="shared" si="11"/>
        <v>0</v>
      </c>
      <c r="S18" s="2"/>
      <c r="T18" s="2">
        <v>13904</v>
      </c>
      <c r="U18" s="2"/>
      <c r="V18" s="19">
        <f t="shared" si="12"/>
        <v>1.9275193928912797E-2</v>
      </c>
      <c r="W18" s="2"/>
      <c r="X18" s="2">
        <f t="shared" si="13"/>
        <v>-13904</v>
      </c>
      <c r="Y18" s="2"/>
      <c r="Z18" s="19">
        <f t="shared" si="14"/>
        <v>-1</v>
      </c>
    </row>
    <row r="19" spans="1:26" x14ac:dyDescent="0.25">
      <c r="A19" s="9"/>
      <c r="B19" s="11"/>
      <c r="C19" s="11"/>
      <c r="D19" s="3"/>
      <c r="E19" s="3"/>
      <c r="F19" s="8"/>
      <c r="G19" s="3"/>
      <c r="H19" s="3"/>
      <c r="I19" s="3"/>
      <c r="J19" s="8"/>
      <c r="K19" s="3"/>
      <c r="L19" s="3"/>
      <c r="M19" s="3"/>
      <c r="N19" s="8"/>
      <c r="O19" s="11"/>
      <c r="P19" s="3"/>
      <c r="Q19" s="3"/>
      <c r="R19" s="8"/>
      <c r="S19" s="3"/>
      <c r="T19" s="3"/>
      <c r="U19" s="3"/>
      <c r="V19" s="8"/>
      <c r="W19" s="3"/>
      <c r="X19" s="3"/>
      <c r="Y19" s="3"/>
      <c r="Z19" s="8"/>
    </row>
    <row r="20" spans="1:26" s="24" customFormat="1" x14ac:dyDescent="0.25">
      <c r="A20" s="11"/>
      <c r="B20" s="28" t="s">
        <v>107</v>
      </c>
      <c r="C20" s="28"/>
      <c r="D20" s="21">
        <f>D12-D16</f>
        <v>0</v>
      </c>
      <c r="E20" s="14"/>
      <c r="F20" s="22">
        <f>IF(D$12=0,0,D20/D$12)</f>
        <v>0</v>
      </c>
      <c r="G20" s="14"/>
      <c r="H20" s="21">
        <f>H12-H16</f>
        <v>-8120</v>
      </c>
      <c r="I20" s="14"/>
      <c r="J20" s="22">
        <f>IF(H$12=0,0,H20/H$12)</f>
        <v>0</v>
      </c>
      <c r="K20" s="15"/>
      <c r="L20" s="21">
        <f>+D20-H20</f>
        <v>8120</v>
      </c>
      <c r="M20" s="15"/>
      <c r="N20" s="22">
        <f>IF(H20=0,0,L20/H20)</f>
        <v>-1</v>
      </c>
      <c r="O20" s="29"/>
      <c r="P20" s="21">
        <f>P12-P16</f>
        <v>2369.5500000000002</v>
      </c>
      <c r="Q20" s="14"/>
      <c r="R20" s="22">
        <f>IF(P$12=0,0,P20/P$12)</f>
        <v>0</v>
      </c>
      <c r="S20" s="14"/>
      <c r="T20" s="21">
        <f>T12-T16</f>
        <v>418533.5</v>
      </c>
      <c r="U20" s="14"/>
      <c r="V20" s="22">
        <f>IF(T$12=0,0,T20/T$12)</f>
        <v>0.58021536092107473</v>
      </c>
      <c r="W20" s="15"/>
      <c r="X20" s="21">
        <f>+P20-T20</f>
        <v>-416163.95</v>
      </c>
      <c r="Y20" s="15"/>
      <c r="Z20" s="22">
        <f>IF(T20=0,0,X20/T20)</f>
        <v>-0.99433844602642329</v>
      </c>
    </row>
    <row r="21" spans="1:26" x14ac:dyDescent="0.25">
      <c r="A21" s="9"/>
      <c r="B21" s="11"/>
      <c r="C21" s="9"/>
      <c r="D21" s="1"/>
      <c r="E21" s="1"/>
      <c r="F21" s="5"/>
      <c r="G21" s="1"/>
      <c r="H21" s="1"/>
      <c r="I21" s="1"/>
      <c r="J21" s="5"/>
      <c r="K21" s="1"/>
      <c r="L21" s="1"/>
      <c r="M21" s="1"/>
      <c r="N21" s="5"/>
      <c r="O21" s="37"/>
      <c r="P21" s="1"/>
      <c r="Q21" s="1"/>
      <c r="R21" s="5"/>
      <c r="S21" s="1"/>
      <c r="T21" s="1"/>
      <c r="U21" s="1"/>
      <c r="V21" s="5"/>
      <c r="W21" s="1"/>
      <c r="X21" s="1"/>
      <c r="Y21" s="1"/>
      <c r="Z21" s="5"/>
    </row>
    <row r="22" spans="1:26" s="24" customFormat="1" x14ac:dyDescent="0.25">
      <c r="A22" s="11"/>
      <c r="B22" s="29" t="s">
        <v>294</v>
      </c>
      <c r="C22" s="11"/>
      <c r="D22" s="20">
        <f>SUM(OSRRefD22x_0)</f>
        <v>6378.7999999999993</v>
      </c>
      <c r="E22" s="20"/>
      <c r="F22" s="32">
        <f t="shared" ref="F22:F31" si="15">IF(D$12=0,0,D22/D$12)</f>
        <v>0</v>
      </c>
      <c r="G22" s="20"/>
      <c r="H22" s="20">
        <f>SUM(OSRRefH22x_0)</f>
        <v>9648.9399999999987</v>
      </c>
      <c r="I22" s="20"/>
      <c r="J22" s="32">
        <f t="shared" ref="J22:J31" si="16">IF(H$12=0,0,H22/H$12)</f>
        <v>0</v>
      </c>
      <c r="K22" s="4"/>
      <c r="L22" s="20">
        <f t="shared" ref="L22:L31" si="17">+D22-H22</f>
        <v>-3270.1399999999994</v>
      </c>
      <c r="M22" s="4"/>
      <c r="N22" s="32">
        <f t="shared" ref="N22:N31" si="18">IF(H22=0,0,L22/H22)</f>
        <v>-0.33891183902065924</v>
      </c>
      <c r="O22" s="11"/>
      <c r="P22" s="20">
        <f>SUM(OSRRefP22x_0)</f>
        <v>88309.239999999991</v>
      </c>
      <c r="Q22" s="20"/>
      <c r="R22" s="32">
        <f t="shared" ref="R22:R31" si="19">IF(P$12=0,0,P22/P$12)</f>
        <v>0</v>
      </c>
      <c r="S22" s="20"/>
      <c r="T22" s="20">
        <f>SUM(OSRRefT22x_0)</f>
        <v>535433.79999999993</v>
      </c>
      <c r="U22" s="20"/>
      <c r="V22" s="32">
        <f t="shared" ref="V22:V31" si="20">IF(T$12=0,0,T22/T$12)</f>
        <v>0.74227490873811186</v>
      </c>
      <c r="W22" s="4"/>
      <c r="X22" s="20">
        <f t="shared" ref="X22:X31" si="21">+P22-T22</f>
        <v>-447124.55999999994</v>
      </c>
      <c r="Y22" s="4"/>
      <c r="Z22" s="32">
        <f t="shared" ref="Z22:Z31" si="22">IF(T22=0,0,X22/T22)</f>
        <v>-0.83506973224327641</v>
      </c>
    </row>
    <row r="23" spans="1:26" s="27" customFormat="1" outlineLevel="1" collapsed="1" x14ac:dyDescent="0.25">
      <c r="A23" s="26"/>
      <c r="B23" s="12" t="str">
        <f>CONCATENATE("     ","*Benefits                                         ")</f>
        <v xml:space="preserve">     *Benefits                                         </v>
      </c>
      <c r="C23" s="12"/>
      <c r="D23" s="1">
        <f>SUM(OSRRefD22_0x_0)</f>
        <v>0</v>
      </c>
      <c r="E23" s="1"/>
      <c r="F23" s="5">
        <f t="shared" si="15"/>
        <v>0</v>
      </c>
      <c r="G23" s="1"/>
      <c r="H23" s="1">
        <f>SUM(OSRRefH22_0x_0)</f>
        <v>-699.48</v>
      </c>
      <c r="I23" s="1"/>
      <c r="J23" s="5">
        <f t="shared" si="16"/>
        <v>0</v>
      </c>
      <c r="K23" s="1"/>
      <c r="L23" s="1">
        <f t="shared" si="17"/>
        <v>699.48</v>
      </c>
      <c r="M23" s="1"/>
      <c r="N23" s="5">
        <f t="shared" si="18"/>
        <v>-1</v>
      </c>
      <c r="O23" s="12"/>
      <c r="P23" s="1">
        <f>SUM(OSRRefP22_0x_0)</f>
        <v>0.83</v>
      </c>
      <c r="Q23" s="1"/>
      <c r="R23" s="5">
        <f t="shared" si="19"/>
        <v>0</v>
      </c>
      <c r="S23" s="1"/>
      <c r="T23" s="1">
        <f>SUM(OSRRefT22_0x_0)</f>
        <v>43327.49</v>
      </c>
      <c r="U23" s="1"/>
      <c r="V23" s="5">
        <f t="shared" si="20"/>
        <v>6.0065144721161527E-2</v>
      </c>
      <c r="W23" s="1"/>
      <c r="X23" s="1">
        <f t="shared" si="21"/>
        <v>-43326.659999999996</v>
      </c>
      <c r="Y23" s="1"/>
      <c r="Z23" s="5">
        <f t="shared" si="22"/>
        <v>-0.99998084357067529</v>
      </c>
    </row>
    <row r="24" spans="1:26" s="23" customFormat="1" hidden="1" outlineLevel="2" x14ac:dyDescent="0.25">
      <c r="A24" s="25"/>
      <c r="B24" s="10" t="str">
        <f>CONCATENATE("          ", "6111", " - ", "F.I.C.A.")</f>
        <v xml:space="preserve">          6111 - F.I.C.A.</v>
      </c>
      <c r="C24" s="10"/>
      <c r="D24" s="6"/>
      <c r="E24" s="2"/>
      <c r="F24" s="7">
        <f t="shared" si="15"/>
        <v>0</v>
      </c>
      <c r="G24" s="2"/>
      <c r="H24" s="6"/>
      <c r="I24" s="2"/>
      <c r="J24" s="7">
        <f t="shared" si="16"/>
        <v>0</v>
      </c>
      <c r="K24" s="2"/>
      <c r="L24" s="6">
        <f t="shared" si="17"/>
        <v>0</v>
      </c>
      <c r="M24" s="2"/>
      <c r="N24" s="7">
        <f t="shared" si="18"/>
        <v>0</v>
      </c>
      <c r="O24" s="10"/>
      <c r="P24" s="6">
        <v>0.83</v>
      </c>
      <c r="Q24" s="2"/>
      <c r="R24" s="7">
        <f t="shared" si="19"/>
        <v>0</v>
      </c>
      <c r="S24" s="2"/>
      <c r="T24" s="6">
        <v>9200.35</v>
      </c>
      <c r="U24" s="2"/>
      <c r="V24" s="7">
        <f t="shared" si="20"/>
        <v>1.2754497300336079E-2</v>
      </c>
      <c r="W24" s="2"/>
      <c r="X24" s="6">
        <f t="shared" si="21"/>
        <v>-9199.52</v>
      </c>
      <c r="Y24" s="2"/>
      <c r="Z24" s="7">
        <f t="shared" si="22"/>
        <v>-0.99990978604074843</v>
      </c>
    </row>
    <row r="25" spans="1:26" s="23" customFormat="1" hidden="1" outlineLevel="2" x14ac:dyDescent="0.25">
      <c r="A25" s="25"/>
      <c r="B25" s="10" t="str">
        <f>CONCATENATE("          ", "6112", " - ", "COMPENSATION INSURANCE")</f>
        <v xml:space="preserve">          6112 - COMPENSATION INSURANCE</v>
      </c>
      <c r="C25" s="10"/>
      <c r="D25" s="6"/>
      <c r="E25" s="2"/>
      <c r="F25" s="7">
        <f t="shared" si="15"/>
        <v>0</v>
      </c>
      <c r="G25" s="2"/>
      <c r="H25" s="6"/>
      <c r="I25" s="2"/>
      <c r="J25" s="7">
        <f t="shared" si="16"/>
        <v>0</v>
      </c>
      <c r="K25" s="2"/>
      <c r="L25" s="6">
        <f t="shared" si="17"/>
        <v>0</v>
      </c>
      <c r="M25" s="2"/>
      <c r="N25" s="7">
        <f t="shared" si="18"/>
        <v>0</v>
      </c>
      <c r="O25" s="10"/>
      <c r="P25" s="6"/>
      <c r="Q25" s="2"/>
      <c r="R25" s="7">
        <f t="shared" si="19"/>
        <v>0</v>
      </c>
      <c r="S25" s="2"/>
      <c r="T25" s="6">
        <v>8884.57</v>
      </c>
      <c r="U25" s="2"/>
      <c r="V25" s="7">
        <f t="shared" si="20"/>
        <v>1.2316729698288316E-2</v>
      </c>
      <c r="W25" s="2"/>
      <c r="X25" s="6">
        <f t="shared" si="21"/>
        <v>-8884.57</v>
      </c>
      <c r="Y25" s="2"/>
      <c r="Z25" s="7">
        <f t="shared" si="22"/>
        <v>-1</v>
      </c>
    </row>
    <row r="26" spans="1:26" s="23" customFormat="1" hidden="1" outlineLevel="2" x14ac:dyDescent="0.25">
      <c r="A26" s="25"/>
      <c r="B26" s="10" t="str">
        <f>CONCATENATE("          ", "6113", " - ", "GROUP INSURANCE")</f>
        <v xml:space="preserve">          6113 - GROUP INSURANCE</v>
      </c>
      <c r="C26" s="10"/>
      <c r="D26" s="6"/>
      <c r="E26" s="2"/>
      <c r="F26" s="7">
        <f t="shared" si="15"/>
        <v>0</v>
      </c>
      <c r="G26" s="2"/>
      <c r="H26" s="6"/>
      <c r="I26" s="2"/>
      <c r="J26" s="7">
        <f t="shared" si="16"/>
        <v>0</v>
      </c>
      <c r="K26" s="2"/>
      <c r="L26" s="6">
        <f t="shared" si="17"/>
        <v>0</v>
      </c>
      <c r="M26" s="2"/>
      <c r="N26" s="7">
        <f t="shared" si="18"/>
        <v>0</v>
      </c>
      <c r="O26" s="10"/>
      <c r="P26" s="6"/>
      <c r="Q26" s="2"/>
      <c r="R26" s="7">
        <f t="shared" si="19"/>
        <v>0</v>
      </c>
      <c r="S26" s="2"/>
      <c r="T26" s="6">
        <v>12146.21</v>
      </c>
      <c r="U26" s="2"/>
      <c r="V26" s="7">
        <f t="shared" si="20"/>
        <v>1.6838359698741361E-2</v>
      </c>
      <c r="W26" s="2"/>
      <c r="X26" s="6">
        <f t="shared" si="21"/>
        <v>-12146.21</v>
      </c>
      <c r="Y26" s="2"/>
      <c r="Z26" s="7">
        <f t="shared" si="22"/>
        <v>-1</v>
      </c>
    </row>
    <row r="27" spans="1:26" s="23" customFormat="1" hidden="1" outlineLevel="2" x14ac:dyDescent="0.25">
      <c r="A27" s="25"/>
      <c r="B27" s="10" t="str">
        <f>CONCATENATE("          ", "6114", " - ", "STATE UNEMPLOYMENT INSURANCE")</f>
        <v xml:space="preserve">          6114 - STATE UNEMPLOYMENT INSURANCE</v>
      </c>
      <c r="C27" s="10"/>
      <c r="D27" s="6"/>
      <c r="E27" s="2"/>
      <c r="F27" s="7">
        <f t="shared" si="15"/>
        <v>0</v>
      </c>
      <c r="G27" s="2"/>
      <c r="H27" s="6">
        <v>-699.48</v>
      </c>
      <c r="I27" s="2"/>
      <c r="J27" s="7">
        <f t="shared" si="16"/>
        <v>0</v>
      </c>
      <c r="K27" s="2"/>
      <c r="L27" s="6">
        <f t="shared" si="17"/>
        <v>699.48</v>
      </c>
      <c r="M27" s="2"/>
      <c r="N27" s="7">
        <f t="shared" si="18"/>
        <v>-1</v>
      </c>
      <c r="O27" s="10"/>
      <c r="P27" s="6"/>
      <c r="Q27" s="2"/>
      <c r="R27" s="7">
        <f t="shared" si="19"/>
        <v>0</v>
      </c>
      <c r="S27" s="2"/>
      <c r="T27" s="6">
        <v>0</v>
      </c>
      <c r="U27" s="2"/>
      <c r="V27" s="7">
        <f t="shared" si="20"/>
        <v>0</v>
      </c>
      <c r="W27" s="2"/>
      <c r="X27" s="6">
        <f t="shared" si="21"/>
        <v>0</v>
      </c>
      <c r="Y27" s="2"/>
      <c r="Z27" s="7">
        <f t="shared" si="22"/>
        <v>0</v>
      </c>
    </row>
    <row r="28" spans="1:26" s="23" customFormat="1" hidden="1" outlineLevel="2" x14ac:dyDescent="0.25">
      <c r="A28" s="25"/>
      <c r="B28" s="10" t="str">
        <f>CONCATENATE("          ", "6115", " - ", "P.E.R.S.")</f>
        <v xml:space="preserve">          6115 - P.E.R.S.</v>
      </c>
      <c r="C28" s="10"/>
      <c r="D28" s="6">
        <v>0</v>
      </c>
      <c r="E28" s="2"/>
      <c r="F28" s="7">
        <f t="shared" si="15"/>
        <v>0</v>
      </c>
      <c r="G28" s="2"/>
      <c r="H28" s="6"/>
      <c r="I28" s="2"/>
      <c r="J28" s="7">
        <f t="shared" si="16"/>
        <v>0</v>
      </c>
      <c r="K28" s="2"/>
      <c r="L28" s="6">
        <f t="shared" si="17"/>
        <v>0</v>
      </c>
      <c r="M28" s="2"/>
      <c r="N28" s="7">
        <f t="shared" si="18"/>
        <v>0</v>
      </c>
      <c r="O28" s="10"/>
      <c r="P28" s="6">
        <v>0</v>
      </c>
      <c r="Q28" s="2"/>
      <c r="R28" s="7">
        <f t="shared" si="19"/>
        <v>0</v>
      </c>
      <c r="S28" s="2"/>
      <c r="T28" s="6">
        <v>6335.08</v>
      </c>
      <c r="U28" s="2"/>
      <c r="V28" s="7">
        <f t="shared" si="20"/>
        <v>8.7823572752572555E-3</v>
      </c>
      <c r="W28" s="2"/>
      <c r="X28" s="6">
        <f t="shared" si="21"/>
        <v>-6335.08</v>
      </c>
      <c r="Y28" s="2"/>
      <c r="Z28" s="7">
        <f t="shared" si="22"/>
        <v>-1</v>
      </c>
    </row>
    <row r="29" spans="1:26" s="23" customFormat="1" hidden="1" outlineLevel="2" x14ac:dyDescent="0.25">
      <c r="A29" s="25"/>
      <c r="B29" s="10" t="str">
        <f>CONCATENATE("          ", "6118", " - ", "VACATION")</f>
        <v xml:space="preserve">          6118 - VACATION</v>
      </c>
      <c r="C29" s="10"/>
      <c r="D29" s="6"/>
      <c r="E29" s="2"/>
      <c r="F29" s="7">
        <f t="shared" si="15"/>
        <v>0</v>
      </c>
      <c r="G29" s="2"/>
      <c r="H29" s="6"/>
      <c r="I29" s="2"/>
      <c r="J29" s="7">
        <f t="shared" si="16"/>
        <v>0</v>
      </c>
      <c r="K29" s="2"/>
      <c r="L29" s="6">
        <f t="shared" si="17"/>
        <v>0</v>
      </c>
      <c r="M29" s="2"/>
      <c r="N29" s="7">
        <f t="shared" si="18"/>
        <v>0</v>
      </c>
      <c r="O29" s="10"/>
      <c r="P29" s="6"/>
      <c r="Q29" s="2"/>
      <c r="R29" s="7">
        <f t="shared" si="19"/>
        <v>0</v>
      </c>
      <c r="S29" s="2"/>
      <c r="T29" s="6">
        <v>3696.18</v>
      </c>
      <c r="U29" s="2"/>
      <c r="V29" s="7">
        <f t="shared" si="20"/>
        <v>5.1240352629580623E-3</v>
      </c>
      <c r="W29" s="2"/>
      <c r="X29" s="6">
        <f t="shared" si="21"/>
        <v>-3696.18</v>
      </c>
      <c r="Y29" s="2"/>
      <c r="Z29" s="7">
        <f t="shared" si="22"/>
        <v>-1</v>
      </c>
    </row>
    <row r="30" spans="1:26" s="23" customFormat="1" hidden="1" outlineLevel="2" x14ac:dyDescent="0.25">
      <c r="A30" s="25"/>
      <c r="B30" s="10" t="str">
        <f>CONCATENATE("          ", "6119", " - ", "SICK LEAVE")</f>
        <v xml:space="preserve">          6119 - SICK LEAVE</v>
      </c>
      <c r="C30" s="10"/>
      <c r="D30" s="6"/>
      <c r="E30" s="2"/>
      <c r="F30" s="7">
        <f t="shared" si="15"/>
        <v>0</v>
      </c>
      <c r="G30" s="2"/>
      <c r="H30" s="6"/>
      <c r="I30" s="2"/>
      <c r="J30" s="7">
        <f t="shared" si="16"/>
        <v>0</v>
      </c>
      <c r="K30" s="2"/>
      <c r="L30" s="6">
        <f t="shared" si="17"/>
        <v>0</v>
      </c>
      <c r="M30" s="2"/>
      <c r="N30" s="7">
        <f t="shared" si="18"/>
        <v>0</v>
      </c>
      <c r="O30" s="10"/>
      <c r="P30" s="6"/>
      <c r="Q30" s="2"/>
      <c r="R30" s="7">
        <f t="shared" si="19"/>
        <v>0</v>
      </c>
      <c r="S30" s="2"/>
      <c r="T30" s="6">
        <v>508.77</v>
      </c>
      <c r="U30" s="2"/>
      <c r="V30" s="7">
        <f t="shared" si="20"/>
        <v>7.0531073181911411E-4</v>
      </c>
      <c r="W30" s="2"/>
      <c r="X30" s="6">
        <f t="shared" si="21"/>
        <v>-508.77</v>
      </c>
      <c r="Y30" s="2"/>
      <c r="Z30" s="7">
        <f t="shared" si="22"/>
        <v>-1</v>
      </c>
    </row>
    <row r="31" spans="1:26" s="23" customFormat="1" hidden="1" outlineLevel="2" x14ac:dyDescent="0.25">
      <c r="A31" s="25"/>
      <c r="B31" s="10" t="str">
        <f>CONCATENATE("          ", "6156", " - ", "EMPLOYEE MEALS")</f>
        <v xml:space="preserve">          6156 - EMPLOYEE MEALS</v>
      </c>
      <c r="C31" s="10"/>
      <c r="D31" s="6"/>
      <c r="E31" s="2"/>
      <c r="F31" s="7">
        <f t="shared" si="15"/>
        <v>0</v>
      </c>
      <c r="G31" s="2"/>
      <c r="H31" s="6"/>
      <c r="I31" s="2"/>
      <c r="J31" s="7">
        <f t="shared" si="16"/>
        <v>0</v>
      </c>
      <c r="K31" s="2"/>
      <c r="L31" s="6">
        <f t="shared" si="17"/>
        <v>0</v>
      </c>
      <c r="M31" s="2"/>
      <c r="N31" s="7">
        <f t="shared" si="18"/>
        <v>0</v>
      </c>
      <c r="O31" s="10"/>
      <c r="P31" s="6"/>
      <c r="Q31" s="2"/>
      <c r="R31" s="7">
        <f t="shared" si="19"/>
        <v>0</v>
      </c>
      <c r="S31" s="2"/>
      <c r="T31" s="6">
        <v>2556.33</v>
      </c>
      <c r="U31" s="2"/>
      <c r="V31" s="7">
        <f t="shared" si="20"/>
        <v>3.5438547537613384E-3</v>
      </c>
      <c r="W31" s="2"/>
      <c r="X31" s="6">
        <f t="shared" si="21"/>
        <v>-2556.33</v>
      </c>
      <c r="Y31" s="2"/>
      <c r="Z31" s="7">
        <f t="shared" si="22"/>
        <v>-1</v>
      </c>
    </row>
    <row r="32" spans="1:26" s="27" customFormat="1" outlineLevel="1" collapsed="1" x14ac:dyDescent="0.25">
      <c r="A32" s="26"/>
      <c r="B32" s="12" t="str">
        <f>CONCATENATE("     ","*Payroll                                          ")</f>
        <v xml:space="preserve">     *Payroll                                          </v>
      </c>
      <c r="C32" s="12"/>
      <c r="D32" s="1">
        <f>SUM(OSRRefD22_1x_0)</f>
        <v>0</v>
      </c>
      <c r="E32" s="1"/>
      <c r="F32" s="5">
        <f t="shared" ref="F32:F36" si="23">IF(D$12=0,0,D32/D$12)</f>
        <v>0</v>
      </c>
      <c r="G32" s="1"/>
      <c r="H32" s="1">
        <f>SUM(OSRRefH22_1x_0)</f>
        <v>0</v>
      </c>
      <c r="I32" s="1"/>
      <c r="J32" s="5">
        <f t="shared" ref="J32:J36" si="24">IF(H$12=0,0,H32/H$12)</f>
        <v>0</v>
      </c>
      <c r="K32" s="1"/>
      <c r="L32" s="1">
        <f t="shared" ref="L32:L36" si="25">+D32-H32</f>
        <v>0</v>
      </c>
      <c r="M32" s="1"/>
      <c r="N32" s="5">
        <f t="shared" ref="N32:N36" si="26">IF(H32=0,0,L32/H32)</f>
        <v>0</v>
      </c>
      <c r="O32" s="12"/>
      <c r="P32" s="1">
        <f>SUM(OSRRefP22_1x_0)</f>
        <v>0</v>
      </c>
      <c r="Q32" s="1"/>
      <c r="R32" s="5">
        <f t="shared" ref="R32:R36" si="27">IF(P$12=0,0,P32/P$12)</f>
        <v>0</v>
      </c>
      <c r="S32" s="1"/>
      <c r="T32" s="1">
        <f>SUM(OSRRefT22_1x_0)</f>
        <v>247791.51</v>
      </c>
      <c r="U32" s="1"/>
      <c r="V32" s="5">
        <f t="shared" ref="V32:V36" si="28">IF(T$12=0,0,T32/T$12)</f>
        <v>0.34351477338809944</v>
      </c>
      <c r="W32" s="1"/>
      <c r="X32" s="1">
        <f t="shared" ref="X32:X36" si="29">+P32-T32</f>
        <v>-247791.51</v>
      </c>
      <c r="Y32" s="1"/>
      <c r="Z32" s="5">
        <f t="shared" ref="Z32:Z36" si="30">IF(T32=0,0,X32/T32)</f>
        <v>-1</v>
      </c>
    </row>
    <row r="33" spans="1:26" s="23" customFormat="1" hidden="1" outlineLevel="2" x14ac:dyDescent="0.25">
      <c r="A33" s="25"/>
      <c r="B33" s="10" t="str">
        <f>CONCATENATE("          ", "6002", " - ", "STAFF SALARIES")</f>
        <v xml:space="preserve">          6002 - STAFF SALARIES</v>
      </c>
      <c r="C33" s="10"/>
      <c r="D33" s="6"/>
      <c r="E33" s="2"/>
      <c r="F33" s="7">
        <f t="shared" si="23"/>
        <v>0</v>
      </c>
      <c r="G33" s="2"/>
      <c r="H33" s="6"/>
      <c r="I33" s="2"/>
      <c r="J33" s="7">
        <f t="shared" si="24"/>
        <v>0</v>
      </c>
      <c r="K33" s="2"/>
      <c r="L33" s="6">
        <f t="shared" si="25"/>
        <v>0</v>
      </c>
      <c r="M33" s="2"/>
      <c r="N33" s="7">
        <f t="shared" si="26"/>
        <v>0</v>
      </c>
      <c r="O33" s="10"/>
      <c r="P33" s="6"/>
      <c r="Q33" s="2"/>
      <c r="R33" s="7">
        <f t="shared" si="27"/>
        <v>0</v>
      </c>
      <c r="S33" s="2"/>
      <c r="T33" s="6">
        <v>97485.84</v>
      </c>
      <c r="U33" s="2"/>
      <c r="V33" s="7">
        <f t="shared" si="28"/>
        <v>0.13514517198813034</v>
      </c>
      <c r="W33" s="2"/>
      <c r="X33" s="6">
        <f t="shared" si="29"/>
        <v>-97485.84</v>
      </c>
      <c r="Y33" s="2"/>
      <c r="Z33" s="7">
        <f t="shared" si="30"/>
        <v>-1</v>
      </c>
    </row>
    <row r="34" spans="1:26" s="23" customFormat="1" hidden="1" outlineLevel="2" x14ac:dyDescent="0.25">
      <c r="A34" s="25"/>
      <c r="B34" s="10" t="str">
        <f>CONCATENATE("          ", "6005", " - ", "TEMPORARY WAGES-HOURLY")</f>
        <v xml:space="preserve">          6005 - TEMPORARY WAGES-HOURLY</v>
      </c>
      <c r="C34" s="10"/>
      <c r="D34" s="6"/>
      <c r="E34" s="2"/>
      <c r="F34" s="7">
        <f t="shared" si="23"/>
        <v>0</v>
      </c>
      <c r="G34" s="2"/>
      <c r="H34" s="6"/>
      <c r="I34" s="2"/>
      <c r="J34" s="7">
        <f t="shared" si="24"/>
        <v>0</v>
      </c>
      <c r="K34" s="2"/>
      <c r="L34" s="6">
        <f t="shared" si="25"/>
        <v>0</v>
      </c>
      <c r="M34" s="2"/>
      <c r="N34" s="7">
        <f t="shared" si="26"/>
        <v>0</v>
      </c>
      <c r="O34" s="10"/>
      <c r="P34" s="6"/>
      <c r="Q34" s="2"/>
      <c r="R34" s="7">
        <f t="shared" si="27"/>
        <v>0</v>
      </c>
      <c r="S34" s="2"/>
      <c r="T34" s="6">
        <v>45.5</v>
      </c>
      <c r="U34" s="2"/>
      <c r="V34" s="7">
        <f t="shared" si="28"/>
        <v>6.3076907635610771E-5</v>
      </c>
      <c r="W34" s="2"/>
      <c r="X34" s="6">
        <f t="shared" si="29"/>
        <v>-45.5</v>
      </c>
      <c r="Y34" s="2"/>
      <c r="Z34" s="7">
        <f t="shared" si="30"/>
        <v>-1</v>
      </c>
    </row>
    <row r="35" spans="1:26" s="23" customFormat="1" hidden="1" outlineLevel="2" x14ac:dyDescent="0.25">
      <c r="A35" s="25"/>
      <c r="B35" s="10" t="str">
        <f>CONCATENATE("          ", "6007", " - ", "STUDENT HOURLY")</f>
        <v xml:space="preserve">          6007 - STUDENT HOURLY</v>
      </c>
      <c r="C35" s="10"/>
      <c r="D35" s="6"/>
      <c r="E35" s="2"/>
      <c r="F35" s="7">
        <f t="shared" si="23"/>
        <v>0</v>
      </c>
      <c r="G35" s="2"/>
      <c r="H35" s="6"/>
      <c r="I35" s="2"/>
      <c r="J35" s="7">
        <f t="shared" si="24"/>
        <v>0</v>
      </c>
      <c r="K35" s="2"/>
      <c r="L35" s="6">
        <f t="shared" si="25"/>
        <v>0</v>
      </c>
      <c r="M35" s="2"/>
      <c r="N35" s="7">
        <f t="shared" si="26"/>
        <v>0</v>
      </c>
      <c r="O35" s="10"/>
      <c r="P35" s="6"/>
      <c r="Q35" s="2"/>
      <c r="R35" s="7">
        <f t="shared" si="27"/>
        <v>0</v>
      </c>
      <c r="S35" s="2"/>
      <c r="T35" s="6">
        <v>142995.32</v>
      </c>
      <c r="U35" s="2"/>
      <c r="V35" s="7">
        <f t="shared" si="28"/>
        <v>0.19823522180141992</v>
      </c>
      <c r="W35" s="2"/>
      <c r="X35" s="6">
        <f t="shared" si="29"/>
        <v>-142995.32</v>
      </c>
      <c r="Y35" s="2"/>
      <c r="Z35" s="7">
        <f t="shared" si="30"/>
        <v>-1</v>
      </c>
    </row>
    <row r="36" spans="1:26" s="23" customFormat="1" hidden="1" outlineLevel="2" x14ac:dyDescent="0.25">
      <c r="A36" s="25"/>
      <c r="B36" s="10" t="str">
        <f>CONCATENATE("          ", "6008", " - ", "STUDENT HOURLY-FICA EXEMPT")</f>
        <v xml:space="preserve">          6008 - STUDENT HOURLY-FICA EXEMPT</v>
      </c>
      <c r="C36" s="10"/>
      <c r="D36" s="6"/>
      <c r="E36" s="2"/>
      <c r="F36" s="7">
        <f t="shared" si="23"/>
        <v>0</v>
      </c>
      <c r="G36" s="2"/>
      <c r="H36" s="6"/>
      <c r="I36" s="2"/>
      <c r="J36" s="7">
        <f t="shared" si="24"/>
        <v>0</v>
      </c>
      <c r="K36" s="2"/>
      <c r="L36" s="6">
        <f t="shared" si="25"/>
        <v>0</v>
      </c>
      <c r="M36" s="2"/>
      <c r="N36" s="7">
        <f t="shared" si="26"/>
        <v>0</v>
      </c>
      <c r="O36" s="10"/>
      <c r="P36" s="6"/>
      <c r="Q36" s="2"/>
      <c r="R36" s="7">
        <f t="shared" si="27"/>
        <v>0</v>
      </c>
      <c r="S36" s="2"/>
      <c r="T36" s="6">
        <v>7264.85</v>
      </c>
      <c r="U36" s="2"/>
      <c r="V36" s="7">
        <f t="shared" si="28"/>
        <v>1.007130269091356E-2</v>
      </c>
      <c r="W36" s="2"/>
      <c r="X36" s="6">
        <f t="shared" si="29"/>
        <v>-7264.85</v>
      </c>
      <c r="Y36" s="2"/>
      <c r="Z36" s="7">
        <f t="shared" si="30"/>
        <v>-1</v>
      </c>
    </row>
    <row r="37" spans="1:26" s="27" customFormat="1" outlineLevel="1" collapsed="1" x14ac:dyDescent="0.25">
      <c r="A37" s="26"/>
      <c r="B37" s="12" t="str">
        <f>CONCATENATE("     ","Advertising/Promo                                 ")</f>
        <v xml:space="preserve">     Advertising/Promo                                 </v>
      </c>
      <c r="C37" s="12"/>
      <c r="D37" s="1">
        <f>SUM(OSRRefD22_2x_0)</f>
        <v>0</v>
      </c>
      <c r="E37" s="1"/>
      <c r="F37" s="5">
        <f t="shared" ref="F37:F45" si="31">IF(D$12=0,0,D37/D$12)</f>
        <v>0</v>
      </c>
      <c r="G37" s="1"/>
      <c r="H37" s="1">
        <f>SUM(OSRRefH22_2x_0)</f>
        <v>0</v>
      </c>
      <c r="I37" s="1"/>
      <c r="J37" s="5">
        <f t="shared" ref="J37:J45" si="32">IF(H$12=0,0,H37/H$12)</f>
        <v>0</v>
      </c>
      <c r="K37" s="1"/>
      <c r="L37" s="1">
        <f t="shared" ref="L37:L45" si="33">+D37-H37</f>
        <v>0</v>
      </c>
      <c r="M37" s="1"/>
      <c r="N37" s="5">
        <f t="shared" ref="N37:N45" si="34">IF(H37=0,0,L37/H37)</f>
        <v>0</v>
      </c>
      <c r="O37" s="12"/>
      <c r="P37" s="1">
        <f>SUM(OSRRefP22_2x_0)</f>
        <v>0</v>
      </c>
      <c r="Q37" s="1"/>
      <c r="R37" s="5">
        <f t="shared" ref="R37:R45" si="35">IF(P$12=0,0,P37/P$12)</f>
        <v>0</v>
      </c>
      <c r="S37" s="1"/>
      <c r="T37" s="1">
        <f>SUM(OSRRefT22_2x_0)</f>
        <v>1426.98</v>
      </c>
      <c r="U37" s="1"/>
      <c r="V37" s="5">
        <f t="shared" ref="V37:V45" si="36">IF(T$12=0,0,T37/T$12)</f>
        <v>1.9782304540189861E-3</v>
      </c>
      <c r="W37" s="1"/>
      <c r="X37" s="1">
        <f t="shared" ref="X37:X45" si="37">+P37-T37</f>
        <v>-1426.98</v>
      </c>
      <c r="Y37" s="1"/>
      <c r="Z37" s="5">
        <f t="shared" ref="Z37:Z45" si="38">IF(T37=0,0,X37/T37)</f>
        <v>-1</v>
      </c>
    </row>
    <row r="38" spans="1:26" s="23" customFormat="1" hidden="1" outlineLevel="2" x14ac:dyDescent="0.25">
      <c r="A38" s="25"/>
      <c r="B38" s="10" t="str">
        <f>CONCATENATE("          ", "6362", " - ", "ADVERTISING EXPENSE")</f>
        <v xml:space="preserve">          6362 - ADVERTISING EXPENSE</v>
      </c>
      <c r="C38" s="10"/>
      <c r="D38" s="6"/>
      <c r="E38" s="2"/>
      <c r="F38" s="7">
        <f t="shared" si="31"/>
        <v>0</v>
      </c>
      <c r="G38" s="2"/>
      <c r="H38" s="6"/>
      <c r="I38" s="2"/>
      <c r="J38" s="7">
        <f t="shared" si="32"/>
        <v>0</v>
      </c>
      <c r="K38" s="2"/>
      <c r="L38" s="6">
        <f t="shared" si="33"/>
        <v>0</v>
      </c>
      <c r="M38" s="2"/>
      <c r="N38" s="7">
        <f t="shared" si="34"/>
        <v>0</v>
      </c>
      <c r="O38" s="10"/>
      <c r="P38" s="6"/>
      <c r="Q38" s="2"/>
      <c r="R38" s="7">
        <f t="shared" si="35"/>
        <v>0</v>
      </c>
      <c r="S38" s="2"/>
      <c r="T38" s="6">
        <v>1426.98</v>
      </c>
      <c r="U38" s="2"/>
      <c r="V38" s="7">
        <f t="shared" si="36"/>
        <v>1.9782304540189861E-3</v>
      </c>
      <c r="W38" s="2"/>
      <c r="X38" s="6">
        <f t="shared" si="37"/>
        <v>-1426.98</v>
      </c>
      <c r="Y38" s="2"/>
      <c r="Z38" s="7">
        <f t="shared" si="38"/>
        <v>-1</v>
      </c>
    </row>
    <row r="39" spans="1:26" s="27" customFormat="1" outlineLevel="1" collapsed="1" x14ac:dyDescent="0.25">
      <c r="A39" s="26"/>
      <c r="B39" s="12" t="str">
        <f>CONCATENATE("     ","Bad Debts/Over/Short                              ")</f>
        <v xml:space="preserve">     Bad Debts/Over/Short                              </v>
      </c>
      <c r="C39" s="12"/>
      <c r="D39" s="1">
        <f>SUM(OSRRefD22_3x_0)</f>
        <v>0</v>
      </c>
      <c r="E39" s="1"/>
      <c r="F39" s="5">
        <f t="shared" si="31"/>
        <v>0</v>
      </c>
      <c r="G39" s="1"/>
      <c r="H39" s="1">
        <f>SUM(OSRRefH22_3x_0)</f>
        <v>0</v>
      </c>
      <c r="I39" s="1"/>
      <c r="J39" s="5">
        <f t="shared" si="32"/>
        <v>0</v>
      </c>
      <c r="K39" s="1"/>
      <c r="L39" s="1">
        <f t="shared" si="33"/>
        <v>0</v>
      </c>
      <c r="M39" s="1"/>
      <c r="N39" s="5">
        <f t="shared" si="34"/>
        <v>0</v>
      </c>
      <c r="O39" s="12"/>
      <c r="P39" s="1">
        <f>SUM(OSRRefP22_3x_0)</f>
        <v>0</v>
      </c>
      <c r="Q39" s="1"/>
      <c r="R39" s="5">
        <f t="shared" si="35"/>
        <v>0</v>
      </c>
      <c r="S39" s="1"/>
      <c r="T39" s="1">
        <f>SUM(OSRRefT22_3x_0)</f>
        <v>195.92</v>
      </c>
      <c r="U39" s="1"/>
      <c r="V39" s="5">
        <f t="shared" si="36"/>
        <v>2.7160500536195303E-4</v>
      </c>
      <c r="W39" s="1"/>
      <c r="X39" s="1">
        <f t="shared" si="37"/>
        <v>-195.92</v>
      </c>
      <c r="Y39" s="1"/>
      <c r="Z39" s="5">
        <f t="shared" si="38"/>
        <v>-1</v>
      </c>
    </row>
    <row r="40" spans="1:26" s="23" customFormat="1" hidden="1" outlineLevel="2" x14ac:dyDescent="0.25">
      <c r="A40" s="25"/>
      <c r="B40" s="10" t="str">
        <f>CONCATENATE("          ", "6272", " - ", "CASH (OVER/SHORT)")</f>
        <v xml:space="preserve">          6272 - CASH (OVER/SHORT)</v>
      </c>
      <c r="C40" s="10"/>
      <c r="D40" s="6"/>
      <c r="E40" s="2"/>
      <c r="F40" s="7">
        <f t="shared" si="31"/>
        <v>0</v>
      </c>
      <c r="G40" s="2"/>
      <c r="H40" s="6"/>
      <c r="I40" s="2"/>
      <c r="J40" s="7">
        <f t="shared" si="32"/>
        <v>0</v>
      </c>
      <c r="K40" s="2"/>
      <c r="L40" s="6">
        <f t="shared" si="33"/>
        <v>0</v>
      </c>
      <c r="M40" s="2"/>
      <c r="N40" s="7">
        <f t="shared" si="34"/>
        <v>0</v>
      </c>
      <c r="O40" s="10"/>
      <c r="P40" s="6"/>
      <c r="Q40" s="2"/>
      <c r="R40" s="7">
        <f t="shared" si="35"/>
        <v>0</v>
      </c>
      <c r="S40" s="2"/>
      <c r="T40" s="6">
        <v>195.92</v>
      </c>
      <c r="U40" s="2"/>
      <c r="V40" s="7">
        <f t="shared" si="36"/>
        <v>2.7160500536195303E-4</v>
      </c>
      <c r="W40" s="2"/>
      <c r="X40" s="6">
        <f t="shared" si="37"/>
        <v>-195.92</v>
      </c>
      <c r="Y40" s="2"/>
      <c r="Z40" s="7">
        <f t="shared" si="38"/>
        <v>-1</v>
      </c>
    </row>
    <row r="41" spans="1:26" s="27" customFormat="1" outlineLevel="1" collapsed="1" x14ac:dyDescent="0.25">
      <c r="A41" s="26"/>
      <c r="B41" s="12" t="str">
        <f>CONCATENATE("     ","Bank/card Fees                                    ")</f>
        <v xml:space="preserve">     Bank/card Fees                                    </v>
      </c>
      <c r="C41" s="12"/>
      <c r="D41" s="1">
        <f>SUM(OSRRefD22_4x_0)</f>
        <v>0</v>
      </c>
      <c r="E41" s="1"/>
      <c r="F41" s="5">
        <f t="shared" si="31"/>
        <v>0</v>
      </c>
      <c r="G41" s="1"/>
      <c r="H41" s="1">
        <f>SUM(OSRRefH22_4x_0)</f>
        <v>0</v>
      </c>
      <c r="I41" s="1"/>
      <c r="J41" s="5">
        <f t="shared" si="32"/>
        <v>0</v>
      </c>
      <c r="K41" s="1"/>
      <c r="L41" s="1">
        <f t="shared" si="33"/>
        <v>0</v>
      </c>
      <c r="M41" s="1"/>
      <c r="N41" s="5">
        <f t="shared" si="34"/>
        <v>0</v>
      </c>
      <c r="O41" s="12"/>
      <c r="P41" s="1">
        <f>SUM(OSRRefP22_4x_0)</f>
        <v>0</v>
      </c>
      <c r="Q41" s="1"/>
      <c r="R41" s="5">
        <f t="shared" si="35"/>
        <v>0</v>
      </c>
      <c r="S41" s="1"/>
      <c r="T41" s="1">
        <f>SUM(OSRRefT22_4x_0)</f>
        <v>25022.13</v>
      </c>
      <c r="U41" s="1"/>
      <c r="V41" s="5">
        <f t="shared" si="36"/>
        <v>3.4688320502335064E-2</v>
      </c>
      <c r="W41" s="1"/>
      <c r="X41" s="1">
        <f t="shared" si="37"/>
        <v>-25022.13</v>
      </c>
      <c r="Y41" s="1"/>
      <c r="Z41" s="5">
        <f t="shared" si="38"/>
        <v>-1</v>
      </c>
    </row>
    <row r="42" spans="1:26" s="23" customFormat="1" hidden="1" outlineLevel="2" x14ac:dyDescent="0.25">
      <c r="A42" s="25"/>
      <c r="B42" s="10" t="str">
        <f>CONCATENATE("          ", "6381", " - ", "BANK/CREDIT CARD FEES")</f>
        <v xml:space="preserve">          6381 - BANK/CREDIT CARD FEES</v>
      </c>
      <c r="C42" s="10"/>
      <c r="D42" s="6"/>
      <c r="E42" s="2"/>
      <c r="F42" s="7">
        <f t="shared" si="31"/>
        <v>0</v>
      </c>
      <c r="G42" s="2"/>
      <c r="H42" s="6"/>
      <c r="I42" s="2"/>
      <c r="J42" s="7">
        <f t="shared" si="32"/>
        <v>0</v>
      </c>
      <c r="K42" s="2"/>
      <c r="L42" s="6">
        <f t="shared" si="33"/>
        <v>0</v>
      </c>
      <c r="M42" s="2"/>
      <c r="N42" s="7">
        <f t="shared" si="34"/>
        <v>0</v>
      </c>
      <c r="O42" s="10"/>
      <c r="P42" s="6"/>
      <c r="Q42" s="2"/>
      <c r="R42" s="7">
        <f t="shared" si="35"/>
        <v>0</v>
      </c>
      <c r="S42" s="2"/>
      <c r="T42" s="6">
        <v>25022.13</v>
      </c>
      <c r="U42" s="2"/>
      <c r="V42" s="7">
        <f t="shared" si="36"/>
        <v>3.4688320502335064E-2</v>
      </c>
      <c r="W42" s="2"/>
      <c r="X42" s="6">
        <f t="shared" si="37"/>
        <v>-25022.13</v>
      </c>
      <c r="Y42" s="2"/>
      <c r="Z42" s="7">
        <f t="shared" si="38"/>
        <v>-1</v>
      </c>
    </row>
    <row r="43" spans="1:26" s="27" customFormat="1" outlineLevel="1" collapsed="1" x14ac:dyDescent="0.25">
      <c r="A43" s="26"/>
      <c r="B43" s="12" t="str">
        <f>CONCATENATE("     ","Depreciation                                      ")</f>
        <v xml:space="preserve">     Depreciation                                      </v>
      </c>
      <c r="C43" s="12"/>
      <c r="D43" s="1">
        <f>SUM(OSRRefD22_5x_0)</f>
        <v>4002.66</v>
      </c>
      <c r="E43" s="1"/>
      <c r="F43" s="5">
        <f t="shared" si="31"/>
        <v>0</v>
      </c>
      <c r="G43" s="1"/>
      <c r="H43" s="1">
        <f>SUM(OSRRefH22_5x_0)</f>
        <v>5330.02</v>
      </c>
      <c r="I43" s="1"/>
      <c r="J43" s="5">
        <f t="shared" si="32"/>
        <v>0</v>
      </c>
      <c r="K43" s="1"/>
      <c r="L43" s="1">
        <f t="shared" si="33"/>
        <v>-1327.3600000000006</v>
      </c>
      <c r="M43" s="1"/>
      <c r="N43" s="5">
        <f t="shared" si="34"/>
        <v>-0.24903471281533662</v>
      </c>
      <c r="O43" s="12"/>
      <c r="P43" s="1">
        <f>SUM(OSRRefP22_5x_0)</f>
        <v>61856.89</v>
      </c>
      <c r="Q43" s="1"/>
      <c r="R43" s="5">
        <f t="shared" si="35"/>
        <v>0</v>
      </c>
      <c r="S43" s="1"/>
      <c r="T43" s="1">
        <f>SUM(OSRRefT22_5x_0)</f>
        <v>66609.78</v>
      </c>
      <c r="U43" s="1"/>
      <c r="V43" s="5">
        <f t="shared" si="36"/>
        <v>9.2341515179963821E-2</v>
      </c>
      <c r="W43" s="1"/>
      <c r="X43" s="1">
        <f t="shared" si="37"/>
        <v>-4752.8899999999994</v>
      </c>
      <c r="Y43" s="1"/>
      <c r="Z43" s="5">
        <f t="shared" si="38"/>
        <v>-7.1354236570065233E-2</v>
      </c>
    </row>
    <row r="44" spans="1:26" s="23" customFormat="1" hidden="1" outlineLevel="2" x14ac:dyDescent="0.25">
      <c r="A44" s="25"/>
      <c r="B44" s="10" t="str">
        <f>CONCATENATE("          ", "6321", " - ", "BUILDING DEPRECIATION")</f>
        <v xml:space="preserve">          6321 - BUILDING DEPRECIATION</v>
      </c>
      <c r="C44" s="10"/>
      <c r="D44" s="6">
        <v>4626.5</v>
      </c>
      <c r="E44" s="2"/>
      <c r="F44" s="7">
        <f t="shared" si="31"/>
        <v>0</v>
      </c>
      <c r="G44" s="2"/>
      <c r="H44" s="6">
        <v>4626.5</v>
      </c>
      <c r="I44" s="2"/>
      <c r="J44" s="7">
        <f t="shared" si="32"/>
        <v>0</v>
      </c>
      <c r="K44" s="2"/>
      <c r="L44" s="6">
        <f t="shared" si="33"/>
        <v>0</v>
      </c>
      <c r="M44" s="2"/>
      <c r="N44" s="7">
        <f t="shared" si="34"/>
        <v>0</v>
      </c>
      <c r="O44" s="10"/>
      <c r="P44" s="6">
        <v>55518</v>
      </c>
      <c r="Q44" s="2"/>
      <c r="R44" s="7">
        <f t="shared" si="35"/>
        <v>0</v>
      </c>
      <c r="S44" s="2"/>
      <c r="T44" s="6">
        <v>55518</v>
      </c>
      <c r="U44" s="2"/>
      <c r="V44" s="7">
        <f t="shared" si="36"/>
        <v>7.6964917760743712E-2</v>
      </c>
      <c r="W44" s="2"/>
      <c r="X44" s="6">
        <f t="shared" si="37"/>
        <v>0</v>
      </c>
      <c r="Y44" s="2"/>
      <c r="Z44" s="7">
        <f t="shared" si="38"/>
        <v>0</v>
      </c>
    </row>
    <row r="45" spans="1:26" s="23" customFormat="1" hidden="1" outlineLevel="2" x14ac:dyDescent="0.25">
      <c r="A45" s="25"/>
      <c r="B45" s="10" t="str">
        <f>CONCATENATE("          ", "6322", " - ", "EQUIPMENT DEPRECIATION EXPENSE")</f>
        <v xml:space="preserve">          6322 - EQUIPMENT DEPRECIATION EXPENSE</v>
      </c>
      <c r="C45" s="10"/>
      <c r="D45" s="6">
        <v>-623.84</v>
      </c>
      <c r="E45" s="2"/>
      <c r="F45" s="7">
        <f t="shared" si="31"/>
        <v>0</v>
      </c>
      <c r="G45" s="2"/>
      <c r="H45" s="6">
        <v>703.52</v>
      </c>
      <c r="I45" s="2"/>
      <c r="J45" s="7">
        <f t="shared" si="32"/>
        <v>0</v>
      </c>
      <c r="K45" s="2"/>
      <c r="L45" s="6">
        <f t="shared" si="33"/>
        <v>-1327.3600000000001</v>
      </c>
      <c r="M45" s="2"/>
      <c r="N45" s="7">
        <f t="shared" si="34"/>
        <v>-1.8867409597452811</v>
      </c>
      <c r="O45" s="10"/>
      <c r="P45" s="6">
        <v>6338.89</v>
      </c>
      <c r="Q45" s="2"/>
      <c r="R45" s="7">
        <f t="shared" si="35"/>
        <v>0</v>
      </c>
      <c r="S45" s="2"/>
      <c r="T45" s="6">
        <v>11091.78</v>
      </c>
      <c r="U45" s="2"/>
      <c r="V45" s="7">
        <f t="shared" si="36"/>
        <v>1.5376597419220109E-2</v>
      </c>
      <c r="W45" s="2"/>
      <c r="X45" s="6">
        <f t="shared" si="37"/>
        <v>-4752.8900000000003</v>
      </c>
      <c r="Y45" s="2"/>
      <c r="Z45" s="7">
        <f t="shared" si="38"/>
        <v>-0.42850561406735438</v>
      </c>
    </row>
    <row r="46" spans="1:26" s="27" customFormat="1" outlineLevel="1" collapsed="1" x14ac:dyDescent="0.25">
      <c r="A46" s="26"/>
      <c r="B46" s="12" t="str">
        <f>CONCATENATE("     ","Employees' Appreciation                           ")</f>
        <v xml:space="preserve">     Employees' Appreciation                           </v>
      </c>
      <c r="C46" s="12"/>
      <c r="D46" s="1">
        <f>SUM(OSRRefD22_6x_0)</f>
        <v>0</v>
      </c>
      <c r="E46" s="1"/>
      <c r="F46" s="5">
        <f t="shared" ref="F46:F56" si="39">IF(D$12=0,0,D46/D$12)</f>
        <v>0</v>
      </c>
      <c r="G46" s="1"/>
      <c r="H46" s="1">
        <f>SUM(OSRRefH22_6x_0)</f>
        <v>0</v>
      </c>
      <c r="I46" s="1"/>
      <c r="J46" s="5">
        <f t="shared" ref="J46:J56" si="40">IF(H$12=0,0,H46/H$12)</f>
        <v>0</v>
      </c>
      <c r="K46" s="1"/>
      <c r="L46" s="1">
        <f t="shared" ref="L46:L56" si="41">+D46-H46</f>
        <v>0</v>
      </c>
      <c r="M46" s="1"/>
      <c r="N46" s="5">
        <f t="shared" ref="N46:N56" si="42">IF(H46=0,0,L46/H46)</f>
        <v>0</v>
      </c>
      <c r="O46" s="12"/>
      <c r="P46" s="1">
        <f>SUM(OSRRefP22_6x_0)</f>
        <v>0</v>
      </c>
      <c r="Q46" s="1"/>
      <c r="R46" s="5">
        <f t="shared" ref="R46:R56" si="43">IF(P$12=0,0,P46/P$12)</f>
        <v>0</v>
      </c>
      <c r="S46" s="1"/>
      <c r="T46" s="1">
        <f>SUM(OSRRefT22_6x_0)</f>
        <v>186.48</v>
      </c>
      <c r="U46" s="1"/>
      <c r="V46" s="5">
        <f t="shared" ref="V46:V56" si="44">IF(T$12=0,0,T46/T$12)</f>
        <v>2.585182799096417E-4</v>
      </c>
      <c r="W46" s="1"/>
      <c r="X46" s="1">
        <f t="shared" ref="X46:X56" si="45">+P46-T46</f>
        <v>-186.48</v>
      </c>
      <c r="Y46" s="1"/>
      <c r="Z46" s="5">
        <f t="shared" ref="Z46:Z56" si="46">IF(T46=0,0,X46/T46)</f>
        <v>-1</v>
      </c>
    </row>
    <row r="47" spans="1:26" s="23" customFormat="1" hidden="1" outlineLevel="2" x14ac:dyDescent="0.25">
      <c r="A47" s="25"/>
      <c r="B47" s="10" t="str">
        <f>CONCATENATE("          ", "6277", " - ", "EMPLOYEE APPRECIATION")</f>
        <v xml:space="preserve">          6277 - EMPLOYEE APPRECIATION</v>
      </c>
      <c r="C47" s="10"/>
      <c r="D47" s="6"/>
      <c r="E47" s="2"/>
      <c r="F47" s="7">
        <f t="shared" si="39"/>
        <v>0</v>
      </c>
      <c r="G47" s="2"/>
      <c r="H47" s="6"/>
      <c r="I47" s="2"/>
      <c r="J47" s="7">
        <f t="shared" si="40"/>
        <v>0</v>
      </c>
      <c r="K47" s="2"/>
      <c r="L47" s="6">
        <f t="shared" si="41"/>
        <v>0</v>
      </c>
      <c r="M47" s="2"/>
      <c r="N47" s="7">
        <f t="shared" si="42"/>
        <v>0</v>
      </c>
      <c r="O47" s="10"/>
      <c r="P47" s="6"/>
      <c r="Q47" s="2"/>
      <c r="R47" s="7">
        <f t="shared" si="43"/>
        <v>0</v>
      </c>
      <c r="S47" s="2"/>
      <c r="T47" s="6">
        <v>186.48</v>
      </c>
      <c r="U47" s="2"/>
      <c r="V47" s="7">
        <f t="shared" si="44"/>
        <v>2.585182799096417E-4</v>
      </c>
      <c r="W47" s="2"/>
      <c r="X47" s="6">
        <f t="shared" si="45"/>
        <v>-186.48</v>
      </c>
      <c r="Y47" s="2"/>
      <c r="Z47" s="7">
        <f t="shared" si="46"/>
        <v>-1</v>
      </c>
    </row>
    <row r="48" spans="1:26" s="27" customFormat="1" outlineLevel="1" collapsed="1" x14ac:dyDescent="0.25">
      <c r="A48" s="26"/>
      <c r="B48" s="12" t="str">
        <f>CONCATENATE("     ","Equipment Rental                                  ")</f>
        <v xml:space="preserve">     Equipment Rental                                  </v>
      </c>
      <c r="C48" s="12"/>
      <c r="D48" s="1">
        <f>SUM(OSRRefD22_7x_0)</f>
        <v>0</v>
      </c>
      <c r="E48" s="1"/>
      <c r="F48" s="5">
        <f t="shared" si="39"/>
        <v>0</v>
      </c>
      <c r="G48" s="1"/>
      <c r="H48" s="1">
        <f>SUM(OSRRefH22_7x_0)</f>
        <v>0</v>
      </c>
      <c r="I48" s="1"/>
      <c r="J48" s="5">
        <f t="shared" si="40"/>
        <v>0</v>
      </c>
      <c r="K48" s="1"/>
      <c r="L48" s="1">
        <f t="shared" si="41"/>
        <v>0</v>
      </c>
      <c r="M48" s="1"/>
      <c r="N48" s="5">
        <f t="shared" si="42"/>
        <v>0</v>
      </c>
      <c r="O48" s="12"/>
      <c r="P48" s="1">
        <f>SUM(OSRRefP22_7x_0)</f>
        <v>96.3</v>
      </c>
      <c r="Q48" s="1"/>
      <c r="R48" s="5">
        <f t="shared" si="43"/>
        <v>0</v>
      </c>
      <c r="S48" s="1"/>
      <c r="T48" s="1">
        <f>SUM(OSRRefT22_7x_0)</f>
        <v>3521.32</v>
      </c>
      <c r="U48" s="1"/>
      <c r="V48" s="5">
        <f t="shared" si="44"/>
        <v>4.8816258548445924E-3</v>
      </c>
      <c r="W48" s="1"/>
      <c r="X48" s="1">
        <f t="shared" si="45"/>
        <v>-3425.02</v>
      </c>
      <c r="Y48" s="1"/>
      <c r="Z48" s="5">
        <f t="shared" si="46"/>
        <v>-0.97265230084172971</v>
      </c>
    </row>
    <row r="49" spans="1:26" s="23" customFormat="1" hidden="1" outlineLevel="2" x14ac:dyDescent="0.25">
      <c r="A49" s="25"/>
      <c r="B49" s="10" t="str">
        <f>CONCATENATE("          ", "6351", " - ", "EQUIPMENT RENTAL")</f>
        <v xml:space="preserve">          6351 - EQUIPMENT RENTAL</v>
      </c>
      <c r="C49" s="10"/>
      <c r="D49" s="6"/>
      <c r="E49" s="2"/>
      <c r="F49" s="7">
        <f t="shared" si="39"/>
        <v>0</v>
      </c>
      <c r="G49" s="2"/>
      <c r="H49" s="6"/>
      <c r="I49" s="2"/>
      <c r="J49" s="7">
        <f t="shared" si="40"/>
        <v>0</v>
      </c>
      <c r="K49" s="2"/>
      <c r="L49" s="6">
        <f t="shared" si="41"/>
        <v>0</v>
      </c>
      <c r="M49" s="2"/>
      <c r="N49" s="7">
        <f t="shared" si="42"/>
        <v>0</v>
      </c>
      <c r="O49" s="10"/>
      <c r="P49" s="6">
        <v>96.3</v>
      </c>
      <c r="Q49" s="2"/>
      <c r="R49" s="7">
        <f t="shared" si="43"/>
        <v>0</v>
      </c>
      <c r="S49" s="2"/>
      <c r="T49" s="6">
        <v>3521.32</v>
      </c>
      <c r="U49" s="2"/>
      <c r="V49" s="7">
        <f t="shared" si="44"/>
        <v>4.8816258548445924E-3</v>
      </c>
      <c r="W49" s="2"/>
      <c r="X49" s="6">
        <f t="shared" si="45"/>
        <v>-3425.02</v>
      </c>
      <c r="Y49" s="2"/>
      <c r="Z49" s="7">
        <f t="shared" si="46"/>
        <v>-0.97265230084172971</v>
      </c>
    </row>
    <row r="50" spans="1:26" s="27" customFormat="1" outlineLevel="1" collapsed="1" x14ac:dyDescent="0.25">
      <c r="A50" s="26"/>
      <c r="B50" s="12" t="str">
        <f>CONCATENATE("     ","General                                           ")</f>
        <v xml:space="preserve">     General                                           </v>
      </c>
      <c r="C50" s="12"/>
      <c r="D50" s="1">
        <f>SUM(OSRRefD22_8x_0)</f>
        <v>0</v>
      </c>
      <c r="E50" s="1"/>
      <c r="F50" s="5">
        <f t="shared" si="39"/>
        <v>0</v>
      </c>
      <c r="G50" s="1"/>
      <c r="H50" s="1">
        <f>SUM(OSRRefH22_8x_0)</f>
        <v>0</v>
      </c>
      <c r="I50" s="1"/>
      <c r="J50" s="5">
        <f t="shared" si="40"/>
        <v>0</v>
      </c>
      <c r="K50" s="1"/>
      <c r="L50" s="1">
        <f t="shared" si="41"/>
        <v>0</v>
      </c>
      <c r="M50" s="1"/>
      <c r="N50" s="5">
        <f t="shared" si="42"/>
        <v>0</v>
      </c>
      <c r="O50" s="12"/>
      <c r="P50" s="1">
        <f>SUM(OSRRefP22_8x_0)</f>
        <v>0</v>
      </c>
      <c r="Q50" s="1"/>
      <c r="R50" s="5">
        <f t="shared" si="43"/>
        <v>0</v>
      </c>
      <c r="S50" s="1"/>
      <c r="T50" s="1">
        <f>SUM(OSRRefT22_8x_0)</f>
        <v>9308.4599999999991</v>
      </c>
      <c r="U50" s="1"/>
      <c r="V50" s="5">
        <f t="shared" si="44"/>
        <v>1.2904370805489614E-2</v>
      </c>
      <c r="W50" s="1"/>
      <c r="X50" s="1">
        <f t="shared" si="45"/>
        <v>-9308.4599999999991</v>
      </c>
      <c r="Y50" s="1"/>
      <c r="Z50" s="5">
        <f t="shared" si="46"/>
        <v>-1</v>
      </c>
    </row>
    <row r="51" spans="1:26" s="23" customFormat="1" hidden="1" outlineLevel="2" x14ac:dyDescent="0.25">
      <c r="A51" s="25"/>
      <c r="B51" s="10" t="str">
        <f>CONCATENATE("          ", "6279", " - ", "GENERAL EXPENSE")</f>
        <v xml:space="preserve">          6279 - GENERAL EXPENSE</v>
      </c>
      <c r="C51" s="10"/>
      <c r="D51" s="6"/>
      <c r="E51" s="2"/>
      <c r="F51" s="7">
        <f t="shared" si="39"/>
        <v>0</v>
      </c>
      <c r="G51" s="2"/>
      <c r="H51" s="6"/>
      <c r="I51" s="2"/>
      <c r="J51" s="7">
        <f t="shared" si="40"/>
        <v>0</v>
      </c>
      <c r="K51" s="2"/>
      <c r="L51" s="6">
        <f t="shared" si="41"/>
        <v>0</v>
      </c>
      <c r="M51" s="2"/>
      <c r="N51" s="7">
        <f t="shared" si="42"/>
        <v>0</v>
      </c>
      <c r="O51" s="10"/>
      <c r="P51" s="6">
        <v>0</v>
      </c>
      <c r="Q51" s="2"/>
      <c r="R51" s="7">
        <f t="shared" si="43"/>
        <v>0</v>
      </c>
      <c r="S51" s="2"/>
      <c r="T51" s="6">
        <v>9308.4599999999991</v>
      </c>
      <c r="U51" s="2"/>
      <c r="V51" s="7">
        <f t="shared" si="44"/>
        <v>1.2904370805489614E-2</v>
      </c>
      <c r="W51" s="2"/>
      <c r="X51" s="6">
        <f t="shared" si="45"/>
        <v>-9308.4599999999991</v>
      </c>
      <c r="Y51" s="2"/>
      <c r="Z51" s="7">
        <f t="shared" si="46"/>
        <v>-1</v>
      </c>
    </row>
    <row r="52" spans="1:26" s="27" customFormat="1" outlineLevel="1" collapsed="1" x14ac:dyDescent="0.25">
      <c r="A52" s="26"/>
      <c r="B52" s="12" t="str">
        <f>CONCATENATE("     ","Rent                                              ")</f>
        <v xml:space="preserve">     Rent                                              </v>
      </c>
      <c r="C52" s="12"/>
      <c r="D52" s="1">
        <f>SUM(OSRRefD22_9x_0)</f>
        <v>7400</v>
      </c>
      <c r="E52" s="1"/>
      <c r="F52" s="5">
        <f t="shared" si="39"/>
        <v>0</v>
      </c>
      <c r="G52" s="1"/>
      <c r="H52" s="1">
        <f>SUM(OSRRefH22_9x_0)</f>
        <v>1850</v>
      </c>
      <c r="I52" s="1"/>
      <c r="J52" s="5">
        <f t="shared" si="40"/>
        <v>0</v>
      </c>
      <c r="K52" s="1"/>
      <c r="L52" s="1">
        <f t="shared" si="41"/>
        <v>5550</v>
      </c>
      <c r="M52" s="1"/>
      <c r="N52" s="5">
        <f t="shared" si="42"/>
        <v>3</v>
      </c>
      <c r="O52" s="12"/>
      <c r="P52" s="1">
        <f>SUM(OSRRefP22_9x_0)</f>
        <v>22200</v>
      </c>
      <c r="Q52" s="1"/>
      <c r="R52" s="5">
        <f t="shared" si="43"/>
        <v>0</v>
      </c>
      <c r="S52" s="1"/>
      <c r="T52" s="1">
        <f>SUM(OSRRefT22_9x_0)</f>
        <v>22200</v>
      </c>
      <c r="U52" s="1"/>
      <c r="V52" s="5">
        <f t="shared" si="44"/>
        <v>3.0775985703528772E-2</v>
      </c>
      <c r="W52" s="1"/>
      <c r="X52" s="1">
        <f t="shared" si="45"/>
        <v>0</v>
      </c>
      <c r="Y52" s="1"/>
      <c r="Z52" s="5">
        <f t="shared" si="46"/>
        <v>0</v>
      </c>
    </row>
    <row r="53" spans="1:26" s="23" customFormat="1" hidden="1" outlineLevel="2" x14ac:dyDescent="0.25">
      <c r="A53" s="25"/>
      <c r="B53" s="10" t="str">
        <f>CONCATENATE("          ", "6273", " - ", "RENT")</f>
        <v xml:space="preserve">          6273 - RENT</v>
      </c>
      <c r="C53" s="10"/>
      <c r="D53" s="6">
        <v>7400</v>
      </c>
      <c r="E53" s="2"/>
      <c r="F53" s="7">
        <f t="shared" si="39"/>
        <v>0</v>
      </c>
      <c r="G53" s="2"/>
      <c r="H53" s="6">
        <v>1850</v>
      </c>
      <c r="I53" s="2"/>
      <c r="J53" s="7">
        <f t="shared" si="40"/>
        <v>0</v>
      </c>
      <c r="K53" s="2"/>
      <c r="L53" s="6">
        <f t="shared" si="41"/>
        <v>5550</v>
      </c>
      <c r="M53" s="2"/>
      <c r="N53" s="7">
        <f t="shared" si="42"/>
        <v>3</v>
      </c>
      <c r="O53" s="10"/>
      <c r="P53" s="6">
        <v>22200</v>
      </c>
      <c r="Q53" s="2"/>
      <c r="R53" s="7">
        <f t="shared" si="43"/>
        <v>0</v>
      </c>
      <c r="S53" s="2"/>
      <c r="T53" s="6">
        <v>22200</v>
      </c>
      <c r="U53" s="2"/>
      <c r="V53" s="7">
        <f t="shared" si="44"/>
        <v>3.0775985703528772E-2</v>
      </c>
      <c r="W53" s="2"/>
      <c r="X53" s="6">
        <f t="shared" si="45"/>
        <v>0</v>
      </c>
      <c r="Y53" s="2"/>
      <c r="Z53" s="7">
        <f t="shared" si="46"/>
        <v>0</v>
      </c>
    </row>
    <row r="54" spans="1:26" s="27" customFormat="1" outlineLevel="1" collapsed="1" x14ac:dyDescent="0.25">
      <c r="A54" s="26"/>
      <c r="B54" s="12" t="str">
        <f>CONCATENATE("     ","Repair and Maintenance                            ")</f>
        <v xml:space="preserve">     Repair and Maintenance                            </v>
      </c>
      <c r="C54" s="12"/>
      <c r="D54" s="1">
        <f>SUM(OSRRefD22_10x_0)</f>
        <v>-4667.8600000000006</v>
      </c>
      <c r="E54" s="1"/>
      <c r="F54" s="5">
        <f t="shared" si="39"/>
        <v>0</v>
      </c>
      <c r="G54" s="1"/>
      <c r="H54" s="1">
        <f>SUM(OSRRefH22_10x_0)</f>
        <v>1870.35</v>
      </c>
      <c r="I54" s="1"/>
      <c r="J54" s="5">
        <f t="shared" si="40"/>
        <v>0</v>
      </c>
      <c r="K54" s="1"/>
      <c r="L54" s="1">
        <f t="shared" si="41"/>
        <v>-6538.2100000000009</v>
      </c>
      <c r="M54" s="1"/>
      <c r="N54" s="5">
        <f t="shared" si="42"/>
        <v>-3.4957147058037275</v>
      </c>
      <c r="O54" s="12"/>
      <c r="P54" s="1">
        <f>SUM(OSRRefP22_10x_0)</f>
        <v>1719.79</v>
      </c>
      <c r="Q54" s="1"/>
      <c r="R54" s="5">
        <f t="shared" si="43"/>
        <v>0</v>
      </c>
      <c r="S54" s="1"/>
      <c r="T54" s="1">
        <f>SUM(OSRRefT22_10x_0)</f>
        <v>31084.47</v>
      </c>
      <c r="U54" s="1"/>
      <c r="V54" s="5">
        <f t="shared" si="44"/>
        <v>4.3092576771250862E-2</v>
      </c>
      <c r="W54" s="1"/>
      <c r="X54" s="1">
        <f t="shared" si="45"/>
        <v>-29364.68</v>
      </c>
      <c r="Y54" s="1"/>
      <c r="Z54" s="5">
        <f t="shared" si="46"/>
        <v>-0.94467365858256547</v>
      </c>
    </row>
    <row r="55" spans="1:26" s="23" customFormat="1" hidden="1" outlineLevel="2" x14ac:dyDescent="0.25">
      <c r="A55" s="25"/>
      <c r="B55" s="10" t="str">
        <f>CONCATENATE("          ", "6373", " - ", "MAINTENANCE CONTRACTS")</f>
        <v xml:space="preserve">          6373 - MAINTENANCE CONTRACTS</v>
      </c>
      <c r="C55" s="10"/>
      <c r="D55" s="6">
        <v>-5478.14</v>
      </c>
      <c r="E55" s="2"/>
      <c r="F55" s="7">
        <f t="shared" si="39"/>
        <v>0</v>
      </c>
      <c r="G55" s="2"/>
      <c r="H55" s="6">
        <v>1870.35</v>
      </c>
      <c r="I55" s="2"/>
      <c r="J55" s="7">
        <f t="shared" si="40"/>
        <v>0</v>
      </c>
      <c r="K55" s="2"/>
      <c r="L55" s="6">
        <f t="shared" si="41"/>
        <v>-7348.49</v>
      </c>
      <c r="M55" s="2"/>
      <c r="N55" s="7">
        <f t="shared" si="42"/>
        <v>-3.9289384339829443</v>
      </c>
      <c r="O55" s="10"/>
      <c r="P55" s="6">
        <v>367.51</v>
      </c>
      <c r="Q55" s="2"/>
      <c r="R55" s="7">
        <f t="shared" si="43"/>
        <v>0</v>
      </c>
      <c r="S55" s="2"/>
      <c r="T55" s="6">
        <v>21857.11</v>
      </c>
      <c r="U55" s="2"/>
      <c r="V55" s="7">
        <f t="shared" si="44"/>
        <v>3.0300635354975486E-2</v>
      </c>
      <c r="W55" s="2"/>
      <c r="X55" s="6">
        <f t="shared" si="45"/>
        <v>-21489.600000000002</v>
      </c>
      <c r="Y55" s="2"/>
      <c r="Z55" s="7">
        <f t="shared" si="46"/>
        <v>-0.98318579171720333</v>
      </c>
    </row>
    <row r="56" spans="1:26" s="23" customFormat="1" hidden="1" outlineLevel="2" x14ac:dyDescent="0.25">
      <c r="A56" s="25"/>
      <c r="B56" s="10" t="str">
        <f>CONCATENATE("          ", "6375", " - ", "OUTSIDE REPAIRS &amp; MAINTENANCE")</f>
        <v xml:space="preserve">          6375 - OUTSIDE REPAIRS &amp; MAINTENANCE</v>
      </c>
      <c r="C56" s="10"/>
      <c r="D56" s="6">
        <v>810.28</v>
      </c>
      <c r="E56" s="2"/>
      <c r="F56" s="7">
        <f t="shared" si="39"/>
        <v>0</v>
      </c>
      <c r="G56" s="2"/>
      <c r="H56" s="6"/>
      <c r="I56" s="2"/>
      <c r="J56" s="7">
        <f t="shared" si="40"/>
        <v>0</v>
      </c>
      <c r="K56" s="2"/>
      <c r="L56" s="6">
        <f t="shared" si="41"/>
        <v>810.28</v>
      </c>
      <c r="M56" s="2"/>
      <c r="N56" s="7">
        <f t="shared" si="42"/>
        <v>0</v>
      </c>
      <c r="O56" s="10"/>
      <c r="P56" s="6">
        <v>1352.28</v>
      </c>
      <c r="Q56" s="2"/>
      <c r="R56" s="7">
        <f t="shared" si="43"/>
        <v>0</v>
      </c>
      <c r="S56" s="2"/>
      <c r="T56" s="6">
        <v>9227.36</v>
      </c>
      <c r="U56" s="2"/>
      <c r="V56" s="7">
        <f t="shared" si="44"/>
        <v>1.2791941416275373E-2</v>
      </c>
      <c r="W56" s="2"/>
      <c r="X56" s="6">
        <f t="shared" si="45"/>
        <v>-7875.0800000000008</v>
      </c>
      <c r="Y56" s="2"/>
      <c r="Z56" s="7">
        <f t="shared" si="46"/>
        <v>-0.85344887378405099</v>
      </c>
    </row>
    <row r="57" spans="1:26" s="27" customFormat="1" outlineLevel="1" collapsed="1" x14ac:dyDescent="0.25">
      <c r="A57" s="26"/>
      <c r="B57" s="12" t="str">
        <f>CONCATENATE("     ","Royalty &amp; Commissions                             ")</f>
        <v xml:space="preserve">     Royalty &amp; Commissions                             </v>
      </c>
      <c r="C57" s="12"/>
      <c r="D57" s="1">
        <f>SUM(OSRRefD22_11x_0)</f>
        <v>0</v>
      </c>
      <c r="E57" s="1"/>
      <c r="F57" s="5">
        <f t="shared" ref="F57:F62" si="47">IF(D$12=0,0,D57/D$12)</f>
        <v>0</v>
      </c>
      <c r="G57" s="1"/>
      <c r="H57" s="1">
        <f>SUM(OSRRefH22_11x_0)</f>
        <v>0</v>
      </c>
      <c r="I57" s="1"/>
      <c r="J57" s="5">
        <f t="shared" ref="J57:J62" si="48">IF(H$12=0,0,H57/H$12)</f>
        <v>0</v>
      </c>
      <c r="K57" s="1"/>
      <c r="L57" s="1">
        <f t="shared" ref="L57:L62" si="49">+D57-H57</f>
        <v>0</v>
      </c>
      <c r="M57" s="1"/>
      <c r="N57" s="5">
        <f t="shared" ref="N57:N62" si="50">IF(H57=0,0,L57/H57)</f>
        <v>0</v>
      </c>
      <c r="O57" s="12"/>
      <c r="P57" s="1">
        <f>SUM(OSRRefP22_11x_0)</f>
        <v>0</v>
      </c>
      <c r="Q57" s="1"/>
      <c r="R57" s="5">
        <f t="shared" ref="R57:R62" si="51">IF(P$12=0,0,P57/P$12)</f>
        <v>0</v>
      </c>
      <c r="S57" s="1"/>
      <c r="T57" s="1">
        <f>SUM(OSRRefT22_11x_0)</f>
        <v>60535.32</v>
      </c>
      <c r="U57" s="1"/>
      <c r="V57" s="5">
        <f t="shared" ref="V57:V62" si="52">IF(T$12=0,0,T57/T$12)</f>
        <v>8.3920456886420691E-2</v>
      </c>
      <c r="W57" s="1"/>
      <c r="X57" s="1">
        <f t="shared" ref="X57:X62" si="53">+P57-T57</f>
        <v>-60535.32</v>
      </c>
      <c r="Y57" s="1"/>
      <c r="Z57" s="5">
        <f t="shared" ref="Z57:Z62" si="54">IF(T57=0,0,X57/T57)</f>
        <v>-1</v>
      </c>
    </row>
    <row r="58" spans="1:26" s="23" customFormat="1" hidden="1" outlineLevel="2" x14ac:dyDescent="0.25">
      <c r="A58" s="25"/>
      <c r="B58" s="10" t="str">
        <f>CONCATENATE("          ", "6259", " - ", "ROYALTY &amp; COMMISSIONS")</f>
        <v xml:space="preserve">          6259 - ROYALTY &amp; COMMISSIONS</v>
      </c>
      <c r="C58" s="10"/>
      <c r="D58" s="6"/>
      <c r="E58" s="2"/>
      <c r="F58" s="7">
        <f t="shared" si="47"/>
        <v>0</v>
      </c>
      <c r="G58" s="2"/>
      <c r="H58" s="6"/>
      <c r="I58" s="2"/>
      <c r="J58" s="7">
        <f t="shared" si="48"/>
        <v>0</v>
      </c>
      <c r="K58" s="2"/>
      <c r="L58" s="6">
        <f t="shared" si="49"/>
        <v>0</v>
      </c>
      <c r="M58" s="2"/>
      <c r="N58" s="7">
        <f t="shared" si="50"/>
        <v>0</v>
      </c>
      <c r="O58" s="10"/>
      <c r="P58" s="6"/>
      <c r="Q58" s="2"/>
      <c r="R58" s="7">
        <f t="shared" si="51"/>
        <v>0</v>
      </c>
      <c r="S58" s="2"/>
      <c r="T58" s="6">
        <v>60535.32</v>
      </c>
      <c r="U58" s="2"/>
      <c r="V58" s="7">
        <f t="shared" si="52"/>
        <v>8.3920456886420691E-2</v>
      </c>
      <c r="W58" s="2"/>
      <c r="X58" s="6">
        <f t="shared" si="53"/>
        <v>-60535.32</v>
      </c>
      <c r="Y58" s="2"/>
      <c r="Z58" s="7">
        <f t="shared" si="54"/>
        <v>-1</v>
      </c>
    </row>
    <row r="59" spans="1:26" s="27" customFormat="1" outlineLevel="1" collapsed="1" x14ac:dyDescent="0.25">
      <c r="A59" s="26"/>
      <c r="B59" s="12" t="str">
        <f>CONCATENATE("     ","Services                                          ")</f>
        <v xml:space="preserve">     Services                                          </v>
      </c>
      <c r="C59" s="12"/>
      <c r="D59" s="1">
        <f>SUM(OSRRefD22_12x_0)</f>
        <v>-77</v>
      </c>
      <c r="E59" s="1"/>
      <c r="F59" s="5">
        <f t="shared" si="47"/>
        <v>0</v>
      </c>
      <c r="G59" s="1"/>
      <c r="H59" s="1">
        <f>SUM(OSRRefH22_12x_0)</f>
        <v>438</v>
      </c>
      <c r="I59" s="1"/>
      <c r="J59" s="5">
        <f t="shared" si="48"/>
        <v>0</v>
      </c>
      <c r="K59" s="1"/>
      <c r="L59" s="1">
        <f t="shared" si="49"/>
        <v>-515</v>
      </c>
      <c r="M59" s="1"/>
      <c r="N59" s="5">
        <f t="shared" si="50"/>
        <v>-1.1757990867579908</v>
      </c>
      <c r="O59" s="12"/>
      <c r="P59" s="1">
        <f>SUM(OSRRefP22_12x_0)</f>
        <v>615</v>
      </c>
      <c r="Q59" s="1"/>
      <c r="R59" s="5">
        <f t="shared" si="51"/>
        <v>0</v>
      </c>
      <c r="S59" s="1"/>
      <c r="T59" s="1">
        <f>SUM(OSRRefT22_12x_0)</f>
        <v>4346.3899999999994</v>
      </c>
      <c r="U59" s="1"/>
      <c r="V59" s="5">
        <f t="shared" si="52"/>
        <v>6.025425067655874E-3</v>
      </c>
      <c r="W59" s="1"/>
      <c r="X59" s="1">
        <f t="shared" si="53"/>
        <v>-3731.3899999999994</v>
      </c>
      <c r="Y59" s="1"/>
      <c r="Z59" s="5">
        <f t="shared" si="54"/>
        <v>-0.85850326362797635</v>
      </c>
    </row>
    <row r="60" spans="1:26" s="23" customFormat="1" hidden="1" outlineLevel="2" x14ac:dyDescent="0.25">
      <c r="A60" s="25"/>
      <c r="B60" s="10" t="str">
        <f>CONCATENATE("          ", "6282", " - ", "JANITORIAL/EXTERMINATOR EXPENS")</f>
        <v xml:space="preserve">          6282 - JANITORIAL/EXTERMINATOR EXPENS</v>
      </c>
      <c r="C60" s="10"/>
      <c r="D60" s="6"/>
      <c r="E60" s="2"/>
      <c r="F60" s="7">
        <f t="shared" si="47"/>
        <v>0</v>
      </c>
      <c r="G60" s="2"/>
      <c r="H60" s="6"/>
      <c r="I60" s="2"/>
      <c r="J60" s="7">
        <f t="shared" si="48"/>
        <v>0</v>
      </c>
      <c r="K60" s="2"/>
      <c r="L60" s="6">
        <f t="shared" si="49"/>
        <v>0</v>
      </c>
      <c r="M60" s="2"/>
      <c r="N60" s="7">
        <f t="shared" si="50"/>
        <v>0</v>
      </c>
      <c r="O60" s="10"/>
      <c r="P60" s="6"/>
      <c r="Q60" s="2"/>
      <c r="R60" s="7">
        <f t="shared" si="51"/>
        <v>0</v>
      </c>
      <c r="S60" s="2"/>
      <c r="T60" s="6">
        <v>872.64</v>
      </c>
      <c r="U60" s="2"/>
      <c r="V60" s="7">
        <f t="shared" si="52"/>
        <v>1.2097457731678985E-3</v>
      </c>
      <c r="W60" s="2"/>
      <c r="X60" s="6">
        <f t="shared" si="53"/>
        <v>-872.64</v>
      </c>
      <c r="Y60" s="2"/>
      <c r="Z60" s="7">
        <f t="shared" si="54"/>
        <v>-1</v>
      </c>
    </row>
    <row r="61" spans="1:26" s="23" customFormat="1" hidden="1" outlineLevel="2" x14ac:dyDescent="0.25">
      <c r="A61" s="25"/>
      <c r="B61" s="10" t="str">
        <f>CONCATENATE("          ", "6284", " - ", "TRASH REMOVAL EXPENSE")</f>
        <v xml:space="preserve">          6284 - TRASH REMOVAL EXPENSE</v>
      </c>
      <c r="C61" s="10"/>
      <c r="D61" s="6">
        <v>-77</v>
      </c>
      <c r="E61" s="2"/>
      <c r="F61" s="7">
        <f t="shared" si="47"/>
        <v>0</v>
      </c>
      <c r="G61" s="2"/>
      <c r="H61" s="6">
        <v>438</v>
      </c>
      <c r="I61" s="2"/>
      <c r="J61" s="7">
        <f t="shared" si="48"/>
        <v>0</v>
      </c>
      <c r="K61" s="2"/>
      <c r="L61" s="6">
        <f t="shared" si="49"/>
        <v>-515</v>
      </c>
      <c r="M61" s="2"/>
      <c r="N61" s="7">
        <f t="shared" si="50"/>
        <v>-1.1757990867579908</v>
      </c>
      <c r="O61" s="10"/>
      <c r="P61" s="6">
        <v>615</v>
      </c>
      <c r="Q61" s="2"/>
      <c r="R61" s="7">
        <f t="shared" si="51"/>
        <v>0</v>
      </c>
      <c r="S61" s="2"/>
      <c r="T61" s="6">
        <v>1607</v>
      </c>
      <c r="U61" s="2"/>
      <c r="V61" s="7">
        <f t="shared" si="52"/>
        <v>2.2277931993500335E-3</v>
      </c>
      <c r="W61" s="2"/>
      <c r="X61" s="6">
        <f t="shared" si="53"/>
        <v>-992</v>
      </c>
      <c r="Y61" s="2"/>
      <c r="Z61" s="7">
        <f t="shared" si="54"/>
        <v>-0.61729931549471062</v>
      </c>
    </row>
    <row r="62" spans="1:26" s="23" customFormat="1" hidden="1" outlineLevel="2" x14ac:dyDescent="0.25">
      <c r="A62" s="25"/>
      <c r="B62" s="10" t="str">
        <f>CONCATENATE("          ", "6286", " - ", "LAUNDRY EXPENSE")</f>
        <v xml:space="preserve">          6286 - LAUNDRY EXPENSE</v>
      </c>
      <c r="C62" s="10"/>
      <c r="D62" s="6"/>
      <c r="E62" s="2"/>
      <c r="F62" s="7">
        <f t="shared" si="47"/>
        <v>0</v>
      </c>
      <c r="G62" s="2"/>
      <c r="H62" s="6"/>
      <c r="I62" s="2"/>
      <c r="J62" s="7">
        <f t="shared" si="48"/>
        <v>0</v>
      </c>
      <c r="K62" s="2"/>
      <c r="L62" s="6">
        <f t="shared" si="49"/>
        <v>0</v>
      </c>
      <c r="M62" s="2"/>
      <c r="N62" s="7">
        <f t="shared" si="50"/>
        <v>0</v>
      </c>
      <c r="O62" s="10"/>
      <c r="P62" s="6"/>
      <c r="Q62" s="2"/>
      <c r="R62" s="7">
        <f t="shared" si="51"/>
        <v>0</v>
      </c>
      <c r="S62" s="2"/>
      <c r="T62" s="6">
        <v>1866.75</v>
      </c>
      <c r="U62" s="2"/>
      <c r="V62" s="7">
        <f t="shared" si="52"/>
        <v>2.5878860951379433E-3</v>
      </c>
      <c r="W62" s="2"/>
      <c r="X62" s="6">
        <f t="shared" si="53"/>
        <v>-1866.75</v>
      </c>
      <c r="Y62" s="2"/>
      <c r="Z62" s="7">
        <f t="shared" si="54"/>
        <v>-1</v>
      </c>
    </row>
    <row r="63" spans="1:26" s="27" customFormat="1" outlineLevel="1" collapsed="1" x14ac:dyDescent="0.25">
      <c r="A63" s="26"/>
      <c r="B63" s="12" t="str">
        <f>CONCATENATE("     ","Subscriptions &amp; Dues                              ")</f>
        <v xml:space="preserve">     Subscriptions &amp; Dues                              </v>
      </c>
      <c r="C63" s="12"/>
      <c r="D63" s="1">
        <f>SUM(OSRRefD22_13x_0)</f>
        <v>0</v>
      </c>
      <c r="E63" s="1"/>
      <c r="F63" s="5">
        <f t="shared" ref="F63:F65" si="55">IF(D$12=0,0,D63/D$12)</f>
        <v>0</v>
      </c>
      <c r="G63" s="1"/>
      <c r="H63" s="1">
        <f>SUM(OSRRefH22_13x_0)</f>
        <v>0</v>
      </c>
      <c r="I63" s="1"/>
      <c r="J63" s="5">
        <f t="shared" ref="J63:J65" si="56">IF(H$12=0,0,H63/H$12)</f>
        <v>0</v>
      </c>
      <c r="K63" s="1"/>
      <c r="L63" s="1">
        <f t="shared" ref="L63:L65" si="57">+D63-H63</f>
        <v>0</v>
      </c>
      <c r="M63" s="1"/>
      <c r="N63" s="5">
        <f t="shared" ref="N63:N65" si="58">IF(H63=0,0,L63/H63)</f>
        <v>0</v>
      </c>
      <c r="O63" s="12"/>
      <c r="P63" s="1">
        <f>SUM(OSRRefP22_13x_0)</f>
        <v>0</v>
      </c>
      <c r="Q63" s="1"/>
      <c r="R63" s="5">
        <f t="shared" ref="R63:R65" si="59">IF(P$12=0,0,P63/P$12)</f>
        <v>0</v>
      </c>
      <c r="S63" s="1"/>
      <c r="T63" s="1">
        <f>SUM(OSRRefT22_13x_0)</f>
        <v>1101.72</v>
      </c>
      <c r="U63" s="1"/>
      <c r="V63" s="5">
        <f t="shared" ref="V63:V65" si="60">IF(T$12=0,0,T63/T$12)</f>
        <v>1.5273206742924198E-3</v>
      </c>
      <c r="W63" s="1"/>
      <c r="X63" s="1">
        <f t="shared" ref="X63:X65" si="61">+P63-T63</f>
        <v>-1101.72</v>
      </c>
      <c r="Y63" s="1"/>
      <c r="Z63" s="5">
        <f t="shared" ref="Z63:Z65" si="62">IF(T63=0,0,X63/T63)</f>
        <v>-1</v>
      </c>
    </row>
    <row r="64" spans="1:26" s="23" customFormat="1" hidden="1" outlineLevel="2" x14ac:dyDescent="0.25">
      <c r="A64" s="25"/>
      <c r="B64" s="10" t="str">
        <f>CONCATENATE("          ", "6258", " - ", "MEMBERSHIP DUES")</f>
        <v xml:space="preserve">          6258 - MEMBERSHIP DUES</v>
      </c>
      <c r="C64" s="10"/>
      <c r="D64" s="6"/>
      <c r="E64" s="2"/>
      <c r="F64" s="7">
        <f t="shared" si="55"/>
        <v>0</v>
      </c>
      <c r="G64" s="2"/>
      <c r="H64" s="6"/>
      <c r="I64" s="2"/>
      <c r="J64" s="7">
        <f t="shared" si="56"/>
        <v>0</v>
      </c>
      <c r="K64" s="2"/>
      <c r="L64" s="6">
        <f t="shared" si="57"/>
        <v>0</v>
      </c>
      <c r="M64" s="2"/>
      <c r="N64" s="7">
        <f t="shared" si="58"/>
        <v>0</v>
      </c>
      <c r="O64" s="10"/>
      <c r="P64" s="6"/>
      <c r="Q64" s="2"/>
      <c r="R64" s="7">
        <f t="shared" si="59"/>
        <v>0</v>
      </c>
      <c r="S64" s="2"/>
      <c r="T64" s="6">
        <v>979</v>
      </c>
      <c r="U64" s="2"/>
      <c r="V64" s="7">
        <f t="shared" si="60"/>
        <v>1.3571932434123725E-3</v>
      </c>
      <c r="W64" s="2"/>
      <c r="X64" s="6">
        <f t="shared" si="61"/>
        <v>-979</v>
      </c>
      <c r="Y64" s="2"/>
      <c r="Z64" s="7">
        <f t="shared" si="62"/>
        <v>-1</v>
      </c>
    </row>
    <row r="65" spans="1:26" s="23" customFormat="1" hidden="1" outlineLevel="2" x14ac:dyDescent="0.25">
      <c r="A65" s="25"/>
      <c r="B65" s="10" t="str">
        <f>CONCATENATE("          ", "6275", " - ", "SUBSCRIPTIONS")</f>
        <v xml:space="preserve">          6275 - SUBSCRIPTIONS</v>
      </c>
      <c r="C65" s="10"/>
      <c r="D65" s="6"/>
      <c r="E65" s="2"/>
      <c r="F65" s="7">
        <f t="shared" si="55"/>
        <v>0</v>
      </c>
      <c r="G65" s="2"/>
      <c r="H65" s="6"/>
      <c r="I65" s="2"/>
      <c r="J65" s="7">
        <f t="shared" si="56"/>
        <v>0</v>
      </c>
      <c r="K65" s="2"/>
      <c r="L65" s="6">
        <f t="shared" si="57"/>
        <v>0</v>
      </c>
      <c r="M65" s="2"/>
      <c r="N65" s="7">
        <f t="shared" si="58"/>
        <v>0</v>
      </c>
      <c r="O65" s="10"/>
      <c r="P65" s="6"/>
      <c r="Q65" s="2"/>
      <c r="R65" s="7">
        <f t="shared" si="59"/>
        <v>0</v>
      </c>
      <c r="S65" s="2"/>
      <c r="T65" s="6">
        <v>122.72</v>
      </c>
      <c r="U65" s="2"/>
      <c r="V65" s="7">
        <f t="shared" si="60"/>
        <v>1.7012743088004736E-4</v>
      </c>
      <c r="W65" s="2"/>
      <c r="X65" s="6">
        <f t="shared" si="61"/>
        <v>-122.72</v>
      </c>
      <c r="Y65" s="2"/>
      <c r="Z65" s="7">
        <f t="shared" si="62"/>
        <v>-1</v>
      </c>
    </row>
    <row r="66" spans="1:26" s="27" customFormat="1" outlineLevel="1" collapsed="1" x14ac:dyDescent="0.25">
      <c r="A66" s="26"/>
      <c r="B66" s="12" t="str">
        <f>CONCATENATE("     ","Supplies                                          ")</f>
        <v xml:space="preserve">     Supplies                                          </v>
      </c>
      <c r="C66" s="12"/>
      <c r="D66" s="1">
        <f>SUM(OSRRefD22_14x_0)</f>
        <v>0</v>
      </c>
      <c r="E66" s="1"/>
      <c r="F66" s="5">
        <f t="shared" ref="F66:F73" si="63">IF(D$12=0,0,D66/D$12)</f>
        <v>0</v>
      </c>
      <c r="G66" s="1"/>
      <c r="H66" s="1">
        <f>SUM(OSRRefH22_14x_0)</f>
        <v>0</v>
      </c>
      <c r="I66" s="1"/>
      <c r="J66" s="5">
        <f t="shared" ref="J66:J73" si="64">IF(H$12=0,0,H66/H$12)</f>
        <v>0</v>
      </c>
      <c r="K66" s="1"/>
      <c r="L66" s="1">
        <f t="shared" ref="L66:L73" si="65">+D66-H66</f>
        <v>0</v>
      </c>
      <c r="M66" s="1"/>
      <c r="N66" s="5">
        <f t="shared" ref="N66:N73" si="66">IF(H66=0,0,L66/H66)</f>
        <v>0</v>
      </c>
      <c r="O66" s="12"/>
      <c r="P66" s="1">
        <f>SUM(OSRRefP22_14x_0)</f>
        <v>72</v>
      </c>
      <c r="Q66" s="1"/>
      <c r="R66" s="5">
        <f t="shared" ref="R66:R73" si="67">IF(P$12=0,0,P66/P$12)</f>
        <v>0</v>
      </c>
      <c r="S66" s="1"/>
      <c r="T66" s="1">
        <f>SUM(OSRRefT22_14x_0)</f>
        <v>11997.33</v>
      </c>
      <c r="U66" s="1"/>
      <c r="V66" s="5">
        <f t="shared" ref="V66:V73" si="68">IF(T$12=0,0,T66/T$12)</f>
        <v>1.6631966511734993E-2</v>
      </c>
      <c r="W66" s="1"/>
      <c r="X66" s="1">
        <f t="shared" ref="X66:X73" si="69">+P66-T66</f>
        <v>-11925.33</v>
      </c>
      <c r="Y66" s="1"/>
      <c r="Z66" s="5">
        <f t="shared" ref="Z66:Z73" si="70">IF(T66=0,0,X66/T66)</f>
        <v>-0.99399866470289644</v>
      </c>
    </row>
    <row r="67" spans="1:26" s="23" customFormat="1" hidden="1" outlineLevel="2" x14ac:dyDescent="0.25">
      <c r="A67" s="25"/>
      <c r="B67" s="10" t="str">
        <f>CONCATENATE("          ", "6237", " - ", "JANITORIAL SUPPLIES")</f>
        <v xml:space="preserve">          6237 - JANITORIAL SUPPLIES</v>
      </c>
      <c r="C67" s="10"/>
      <c r="D67" s="6"/>
      <c r="E67" s="2"/>
      <c r="F67" s="7">
        <f t="shared" si="63"/>
        <v>0</v>
      </c>
      <c r="G67" s="2"/>
      <c r="H67" s="6"/>
      <c r="I67" s="2"/>
      <c r="J67" s="7">
        <f t="shared" si="64"/>
        <v>0</v>
      </c>
      <c r="K67" s="2"/>
      <c r="L67" s="6">
        <f t="shared" si="65"/>
        <v>0</v>
      </c>
      <c r="M67" s="2"/>
      <c r="N67" s="7">
        <f t="shared" si="66"/>
        <v>0</v>
      </c>
      <c r="O67" s="10"/>
      <c r="P67" s="6">
        <v>72</v>
      </c>
      <c r="Q67" s="2"/>
      <c r="R67" s="7">
        <f t="shared" si="67"/>
        <v>0</v>
      </c>
      <c r="S67" s="2"/>
      <c r="T67" s="6">
        <v>2140.12</v>
      </c>
      <c r="U67" s="2"/>
      <c r="V67" s="7">
        <f t="shared" si="68"/>
        <v>2.9668604740466665E-3</v>
      </c>
      <c r="W67" s="2"/>
      <c r="X67" s="6">
        <f t="shared" si="69"/>
        <v>-2068.12</v>
      </c>
      <c r="Y67" s="2"/>
      <c r="Z67" s="7">
        <f t="shared" si="70"/>
        <v>-0.96635702670878265</v>
      </c>
    </row>
    <row r="68" spans="1:26" s="23" customFormat="1" hidden="1" outlineLevel="2" x14ac:dyDescent="0.25">
      <c r="A68" s="25"/>
      <c r="B68" s="10" t="str">
        <f>CONCATENATE("          ", "6239", " - ", "KITCHEN SUPPLIES")</f>
        <v xml:space="preserve">          6239 - KITCHEN SUPPLIES</v>
      </c>
      <c r="C68" s="10"/>
      <c r="D68" s="6"/>
      <c r="E68" s="2"/>
      <c r="F68" s="7">
        <f t="shared" si="63"/>
        <v>0</v>
      </c>
      <c r="G68" s="2"/>
      <c r="H68" s="6"/>
      <c r="I68" s="2"/>
      <c r="J68" s="7">
        <f t="shared" si="64"/>
        <v>0</v>
      </c>
      <c r="K68" s="2"/>
      <c r="L68" s="6">
        <f t="shared" si="65"/>
        <v>0</v>
      </c>
      <c r="M68" s="2"/>
      <c r="N68" s="7">
        <f t="shared" si="66"/>
        <v>0</v>
      </c>
      <c r="O68" s="10"/>
      <c r="P68" s="6"/>
      <c r="Q68" s="2"/>
      <c r="R68" s="7">
        <f t="shared" si="67"/>
        <v>0</v>
      </c>
      <c r="S68" s="2"/>
      <c r="T68" s="6">
        <v>4435.24</v>
      </c>
      <c r="U68" s="2"/>
      <c r="V68" s="7">
        <f t="shared" si="68"/>
        <v>6.1485983257531058E-3</v>
      </c>
      <c r="W68" s="2"/>
      <c r="X68" s="6">
        <f t="shared" si="69"/>
        <v>-4435.24</v>
      </c>
      <c r="Y68" s="2"/>
      <c r="Z68" s="7">
        <f t="shared" si="70"/>
        <v>-1</v>
      </c>
    </row>
    <row r="69" spans="1:26" s="23" customFormat="1" hidden="1" outlineLevel="2" x14ac:dyDescent="0.25">
      <c r="A69" s="25"/>
      <c r="B69" s="10" t="str">
        <f>CONCATENATE("          ", "6241", " - ", "OFFICE EXPENSE")</f>
        <v xml:space="preserve">          6241 - OFFICE EXPENSE</v>
      </c>
      <c r="C69" s="10"/>
      <c r="D69" s="6"/>
      <c r="E69" s="2"/>
      <c r="F69" s="7">
        <f t="shared" si="63"/>
        <v>0</v>
      </c>
      <c r="G69" s="2"/>
      <c r="H69" s="6"/>
      <c r="I69" s="2"/>
      <c r="J69" s="7">
        <f t="shared" si="64"/>
        <v>0</v>
      </c>
      <c r="K69" s="2"/>
      <c r="L69" s="6">
        <f t="shared" si="65"/>
        <v>0</v>
      </c>
      <c r="M69" s="2"/>
      <c r="N69" s="7">
        <f t="shared" si="66"/>
        <v>0</v>
      </c>
      <c r="O69" s="10"/>
      <c r="P69" s="6"/>
      <c r="Q69" s="2"/>
      <c r="R69" s="7">
        <f t="shared" si="67"/>
        <v>0</v>
      </c>
      <c r="S69" s="2"/>
      <c r="T69" s="6">
        <v>1415.33</v>
      </c>
      <c r="U69" s="2"/>
      <c r="V69" s="7">
        <f t="shared" si="68"/>
        <v>1.9620799930529448E-3</v>
      </c>
      <c r="W69" s="2"/>
      <c r="X69" s="6">
        <f t="shared" si="69"/>
        <v>-1415.33</v>
      </c>
      <c r="Y69" s="2"/>
      <c r="Z69" s="7">
        <f t="shared" si="70"/>
        <v>-1</v>
      </c>
    </row>
    <row r="70" spans="1:26" s="23" customFormat="1" hidden="1" outlineLevel="2" x14ac:dyDescent="0.25">
      <c r="A70" s="25"/>
      <c r="B70" s="10" t="str">
        <f>CONCATENATE("          ", "6243", " - ", "PAPER SUPPLIES")</f>
        <v xml:space="preserve">          6243 - PAPER SUPPLIES</v>
      </c>
      <c r="C70" s="10"/>
      <c r="D70" s="6"/>
      <c r="E70" s="2"/>
      <c r="F70" s="7">
        <f t="shared" si="63"/>
        <v>0</v>
      </c>
      <c r="G70" s="2"/>
      <c r="H70" s="6"/>
      <c r="I70" s="2"/>
      <c r="J70" s="7">
        <f t="shared" si="64"/>
        <v>0</v>
      </c>
      <c r="K70" s="2"/>
      <c r="L70" s="6">
        <f t="shared" si="65"/>
        <v>0</v>
      </c>
      <c r="M70" s="2"/>
      <c r="N70" s="7">
        <f t="shared" si="66"/>
        <v>0</v>
      </c>
      <c r="O70" s="10"/>
      <c r="P70" s="6"/>
      <c r="Q70" s="2"/>
      <c r="R70" s="7">
        <f t="shared" si="67"/>
        <v>0</v>
      </c>
      <c r="S70" s="2"/>
      <c r="T70" s="6">
        <v>5057.43</v>
      </c>
      <c r="U70" s="2"/>
      <c r="V70" s="7">
        <f t="shared" si="68"/>
        <v>7.0111438457926816E-3</v>
      </c>
      <c r="W70" s="2"/>
      <c r="X70" s="6">
        <f t="shared" si="69"/>
        <v>-5057.43</v>
      </c>
      <c r="Y70" s="2"/>
      <c r="Z70" s="7">
        <f t="shared" si="70"/>
        <v>-1</v>
      </c>
    </row>
    <row r="71" spans="1:26" s="23" customFormat="1" hidden="1" outlineLevel="2" x14ac:dyDescent="0.25">
      <c r="A71" s="25"/>
      <c r="B71" s="10" t="str">
        <f>CONCATENATE("          ", "6245", " - ", "PRINTING")</f>
        <v xml:space="preserve">          6245 - PRINTING</v>
      </c>
      <c r="C71" s="10"/>
      <c r="D71" s="6"/>
      <c r="E71" s="2"/>
      <c r="F71" s="7">
        <f t="shared" si="63"/>
        <v>0</v>
      </c>
      <c r="G71" s="2"/>
      <c r="H71" s="6"/>
      <c r="I71" s="2"/>
      <c r="J71" s="7">
        <f t="shared" si="64"/>
        <v>0</v>
      </c>
      <c r="K71" s="2"/>
      <c r="L71" s="6">
        <f t="shared" si="65"/>
        <v>0</v>
      </c>
      <c r="M71" s="2"/>
      <c r="N71" s="7">
        <f t="shared" si="66"/>
        <v>0</v>
      </c>
      <c r="O71" s="10"/>
      <c r="P71" s="6"/>
      <c r="Q71" s="2"/>
      <c r="R71" s="7">
        <f t="shared" si="67"/>
        <v>0</v>
      </c>
      <c r="S71" s="2"/>
      <c r="T71" s="6">
        <v>66.930000000000007</v>
      </c>
      <c r="U71" s="2"/>
      <c r="V71" s="7">
        <f t="shared" si="68"/>
        <v>9.2785437979152295E-5</v>
      </c>
      <c r="W71" s="2"/>
      <c r="X71" s="6">
        <f t="shared" si="69"/>
        <v>-66.930000000000007</v>
      </c>
      <c r="Y71" s="2"/>
      <c r="Z71" s="7">
        <f t="shared" si="70"/>
        <v>-1</v>
      </c>
    </row>
    <row r="72" spans="1:26" s="23" customFormat="1" hidden="1" outlineLevel="2" x14ac:dyDescent="0.25">
      <c r="A72" s="25"/>
      <c r="B72" s="10" t="str">
        <f>CONCATENATE("          ", "6247", " - ", "STORE SUPPLIES")</f>
        <v xml:space="preserve">          6247 - STORE SUPPLIES</v>
      </c>
      <c r="C72" s="10"/>
      <c r="D72" s="6"/>
      <c r="E72" s="2"/>
      <c r="F72" s="7">
        <f t="shared" si="63"/>
        <v>0</v>
      </c>
      <c r="G72" s="2"/>
      <c r="H72" s="6"/>
      <c r="I72" s="2"/>
      <c r="J72" s="7">
        <f t="shared" si="64"/>
        <v>0</v>
      </c>
      <c r="K72" s="2"/>
      <c r="L72" s="6">
        <f t="shared" si="65"/>
        <v>0</v>
      </c>
      <c r="M72" s="2"/>
      <c r="N72" s="7">
        <f t="shared" si="66"/>
        <v>0</v>
      </c>
      <c r="O72" s="10"/>
      <c r="P72" s="6"/>
      <c r="Q72" s="2"/>
      <c r="R72" s="7">
        <f t="shared" si="67"/>
        <v>0</v>
      </c>
      <c r="S72" s="2"/>
      <c r="T72" s="6">
        <v>-1251.8</v>
      </c>
      <c r="U72" s="2"/>
      <c r="V72" s="7">
        <f t="shared" si="68"/>
        <v>-1.7353774280935729E-3</v>
      </c>
      <c r="W72" s="2"/>
      <c r="X72" s="6">
        <f t="shared" si="69"/>
        <v>1251.8</v>
      </c>
      <c r="Y72" s="2"/>
      <c r="Z72" s="7">
        <f t="shared" si="70"/>
        <v>-1</v>
      </c>
    </row>
    <row r="73" spans="1:26" s="23" customFormat="1" hidden="1" outlineLevel="2" x14ac:dyDescent="0.25">
      <c r="A73" s="25"/>
      <c r="B73" s="10" t="str">
        <f>CONCATENATE("          ", "6248", " - ", "UNIFORMS")</f>
        <v xml:space="preserve">          6248 - UNIFORMS</v>
      </c>
      <c r="C73" s="10"/>
      <c r="D73" s="6"/>
      <c r="E73" s="2"/>
      <c r="F73" s="7">
        <f t="shared" si="63"/>
        <v>0</v>
      </c>
      <c r="G73" s="2"/>
      <c r="H73" s="6"/>
      <c r="I73" s="2"/>
      <c r="J73" s="7">
        <f t="shared" si="64"/>
        <v>0</v>
      </c>
      <c r="K73" s="2"/>
      <c r="L73" s="6">
        <f t="shared" si="65"/>
        <v>0</v>
      </c>
      <c r="M73" s="2"/>
      <c r="N73" s="7">
        <f t="shared" si="66"/>
        <v>0</v>
      </c>
      <c r="O73" s="10"/>
      <c r="P73" s="6"/>
      <c r="Q73" s="2"/>
      <c r="R73" s="7">
        <f t="shared" si="67"/>
        <v>0</v>
      </c>
      <c r="S73" s="2"/>
      <c r="T73" s="6">
        <v>134.08000000000001</v>
      </c>
      <c r="U73" s="2"/>
      <c r="V73" s="7">
        <f t="shared" si="68"/>
        <v>1.8587586320401524E-4</v>
      </c>
      <c r="W73" s="2"/>
      <c r="X73" s="6">
        <f t="shared" si="69"/>
        <v>-134.08000000000001</v>
      </c>
      <c r="Y73" s="2"/>
      <c r="Z73" s="7">
        <f t="shared" si="70"/>
        <v>-1</v>
      </c>
    </row>
    <row r="74" spans="1:26" s="27" customFormat="1" outlineLevel="1" collapsed="1" x14ac:dyDescent="0.25">
      <c r="A74" s="26"/>
      <c r="B74" s="12" t="str">
        <f>CONCATENATE("     ","Telephone/Data Lines                              ")</f>
        <v xml:space="preserve">     Telephone/Data Lines                              </v>
      </c>
      <c r="C74" s="12"/>
      <c r="D74" s="1">
        <f>SUM(OSRRefD22_15x_0)</f>
        <v>0</v>
      </c>
      <c r="E74" s="1"/>
      <c r="F74" s="5">
        <f t="shared" ref="F74:F79" si="71">IF(D$12=0,0,D74/D$12)</f>
        <v>0</v>
      </c>
      <c r="G74" s="1"/>
      <c r="H74" s="1">
        <f>SUM(OSRRefH22_15x_0)</f>
        <v>-3.95</v>
      </c>
      <c r="I74" s="1"/>
      <c r="J74" s="5">
        <f t="shared" ref="J74:J79" si="72">IF(H$12=0,0,H74/H$12)</f>
        <v>0</v>
      </c>
      <c r="K74" s="1"/>
      <c r="L74" s="1">
        <f t="shared" ref="L74:L79" si="73">+D74-H74</f>
        <v>3.95</v>
      </c>
      <c r="M74" s="1"/>
      <c r="N74" s="5">
        <f t="shared" ref="N74:N79" si="74">IF(H74=0,0,L74/H74)</f>
        <v>-1</v>
      </c>
      <c r="O74" s="12"/>
      <c r="P74" s="1">
        <f>SUM(OSRRefP22_15x_0)</f>
        <v>77.430000000000007</v>
      </c>
      <c r="Q74" s="1"/>
      <c r="R74" s="5">
        <f t="shared" ref="R74:R79" si="75">IF(P$12=0,0,P74/P$12)</f>
        <v>0</v>
      </c>
      <c r="S74" s="1"/>
      <c r="T74" s="1">
        <f>SUM(OSRRefT22_15x_0)</f>
        <v>1504.85</v>
      </c>
      <c r="U74" s="1"/>
      <c r="V74" s="5">
        <f t="shared" ref="V74:V79" si="76">IF(T$12=0,0,T74/T$12)</f>
        <v>2.0861820759439311E-3</v>
      </c>
      <c r="W74" s="1"/>
      <c r="X74" s="1">
        <f t="shared" ref="X74:X79" si="77">+P74-T74</f>
        <v>-1427.4199999999998</v>
      </c>
      <c r="Y74" s="1"/>
      <c r="Z74" s="5">
        <f t="shared" ref="Z74:Z79" si="78">IF(T74=0,0,X74/T74)</f>
        <v>-0.94854636674751636</v>
      </c>
    </row>
    <row r="75" spans="1:26" s="23" customFormat="1" hidden="1" outlineLevel="2" x14ac:dyDescent="0.25">
      <c r="A75" s="25"/>
      <c r="B75" s="10" t="str">
        <f>CONCATENATE("          ", "6309", " - ", "TELEPHONE")</f>
        <v xml:space="preserve">          6309 - TELEPHONE</v>
      </c>
      <c r="C75" s="10"/>
      <c r="D75" s="6"/>
      <c r="E75" s="2"/>
      <c r="F75" s="7">
        <f t="shared" si="71"/>
        <v>0</v>
      </c>
      <c r="G75" s="2"/>
      <c r="H75" s="6">
        <v>-3.95</v>
      </c>
      <c r="I75" s="2"/>
      <c r="J75" s="7">
        <f t="shared" si="72"/>
        <v>0</v>
      </c>
      <c r="K75" s="2"/>
      <c r="L75" s="6">
        <f t="shared" si="73"/>
        <v>3.95</v>
      </c>
      <c r="M75" s="2"/>
      <c r="N75" s="7">
        <f t="shared" si="74"/>
        <v>-1</v>
      </c>
      <c r="O75" s="10"/>
      <c r="P75" s="6">
        <v>77.430000000000007</v>
      </c>
      <c r="Q75" s="2"/>
      <c r="R75" s="7">
        <f t="shared" si="75"/>
        <v>0</v>
      </c>
      <c r="S75" s="2"/>
      <c r="T75" s="6">
        <v>1504.85</v>
      </c>
      <c r="U75" s="2"/>
      <c r="V75" s="7">
        <f t="shared" si="76"/>
        <v>2.0861820759439311E-3</v>
      </c>
      <c r="W75" s="2"/>
      <c r="X75" s="6">
        <f t="shared" si="77"/>
        <v>-1427.4199999999998</v>
      </c>
      <c r="Y75" s="2"/>
      <c r="Z75" s="7">
        <f t="shared" si="78"/>
        <v>-0.94854636674751636</v>
      </c>
    </row>
    <row r="76" spans="1:26" s="27" customFormat="1" outlineLevel="1" collapsed="1" x14ac:dyDescent="0.25">
      <c r="A76" s="26"/>
      <c r="B76" s="12" t="str">
        <f>CONCATENATE("     ","Training                                          ")</f>
        <v xml:space="preserve">     Training                                          </v>
      </c>
      <c r="C76" s="12"/>
      <c r="D76" s="1">
        <f>SUM(OSRRefD22_16x_0)</f>
        <v>0</v>
      </c>
      <c r="E76" s="1"/>
      <c r="F76" s="5">
        <f t="shared" si="71"/>
        <v>0</v>
      </c>
      <c r="G76" s="1"/>
      <c r="H76" s="1">
        <f>SUM(OSRRefH22_16x_0)</f>
        <v>0</v>
      </c>
      <c r="I76" s="1"/>
      <c r="J76" s="5">
        <f t="shared" si="72"/>
        <v>0</v>
      </c>
      <c r="K76" s="1"/>
      <c r="L76" s="1">
        <f t="shared" si="73"/>
        <v>0</v>
      </c>
      <c r="M76" s="1"/>
      <c r="N76" s="5">
        <f t="shared" si="74"/>
        <v>0</v>
      </c>
      <c r="O76" s="12"/>
      <c r="P76" s="1">
        <f>SUM(OSRRefP22_16x_0)</f>
        <v>0</v>
      </c>
      <c r="Q76" s="1"/>
      <c r="R76" s="5">
        <f t="shared" si="75"/>
        <v>0</v>
      </c>
      <c r="S76" s="1"/>
      <c r="T76" s="1">
        <f>SUM(OSRRefT22_16x_0)</f>
        <v>585.65</v>
      </c>
      <c r="U76" s="1"/>
      <c r="V76" s="5">
        <f t="shared" si="76"/>
        <v>8.1188991113836147E-4</v>
      </c>
      <c r="W76" s="1"/>
      <c r="X76" s="1">
        <f t="shared" si="77"/>
        <v>-585.65</v>
      </c>
      <c r="Y76" s="1"/>
      <c r="Z76" s="5">
        <f t="shared" si="78"/>
        <v>-1</v>
      </c>
    </row>
    <row r="77" spans="1:26" s="23" customFormat="1" hidden="1" outlineLevel="2" x14ac:dyDescent="0.25">
      <c r="A77" s="25"/>
      <c r="B77" s="10" t="str">
        <f>CONCATENATE("          ", "6376", " - ", "TRAINING")</f>
        <v xml:space="preserve">          6376 - TRAINING</v>
      </c>
      <c r="C77" s="10"/>
      <c r="D77" s="6"/>
      <c r="E77" s="2"/>
      <c r="F77" s="7">
        <f t="shared" si="71"/>
        <v>0</v>
      </c>
      <c r="G77" s="2"/>
      <c r="H77" s="6"/>
      <c r="I77" s="2"/>
      <c r="J77" s="7">
        <f t="shared" si="72"/>
        <v>0</v>
      </c>
      <c r="K77" s="2"/>
      <c r="L77" s="6">
        <f t="shared" si="73"/>
        <v>0</v>
      </c>
      <c r="M77" s="2"/>
      <c r="N77" s="7">
        <f t="shared" si="74"/>
        <v>0</v>
      </c>
      <c r="O77" s="10"/>
      <c r="P77" s="6"/>
      <c r="Q77" s="2"/>
      <c r="R77" s="7">
        <f t="shared" si="75"/>
        <v>0</v>
      </c>
      <c r="S77" s="2"/>
      <c r="T77" s="6">
        <v>585.65</v>
      </c>
      <c r="U77" s="2"/>
      <c r="V77" s="7">
        <f t="shared" si="76"/>
        <v>8.1188991113836147E-4</v>
      </c>
      <c r="W77" s="2"/>
      <c r="X77" s="6">
        <f t="shared" si="77"/>
        <v>-585.65</v>
      </c>
      <c r="Y77" s="2"/>
      <c r="Z77" s="7">
        <f t="shared" si="78"/>
        <v>-1</v>
      </c>
    </row>
    <row r="78" spans="1:26" s="27" customFormat="1" outlineLevel="1" collapsed="1" x14ac:dyDescent="0.25">
      <c r="A78" s="26"/>
      <c r="B78" s="12" t="str">
        <f>CONCATENATE("     ","Utilities                                         ")</f>
        <v xml:space="preserve">     Utilities                                         </v>
      </c>
      <c r="C78" s="12"/>
      <c r="D78" s="1">
        <f>SUM(OSRRefD22_17x_0)</f>
        <v>-279</v>
      </c>
      <c r="E78" s="1"/>
      <c r="F78" s="5">
        <f t="shared" si="71"/>
        <v>0</v>
      </c>
      <c r="G78" s="1"/>
      <c r="H78" s="1">
        <f>SUM(OSRRefH22_17x_0)</f>
        <v>864</v>
      </c>
      <c r="I78" s="1"/>
      <c r="J78" s="5">
        <f t="shared" si="72"/>
        <v>0</v>
      </c>
      <c r="K78" s="1"/>
      <c r="L78" s="1">
        <f t="shared" si="73"/>
        <v>-1143</v>
      </c>
      <c r="M78" s="1"/>
      <c r="N78" s="5">
        <f t="shared" si="74"/>
        <v>-1.3229166666666667</v>
      </c>
      <c r="O78" s="12"/>
      <c r="P78" s="1">
        <f>SUM(OSRRefP22_17x_0)</f>
        <v>1671</v>
      </c>
      <c r="Q78" s="1"/>
      <c r="R78" s="5">
        <f t="shared" si="75"/>
        <v>0</v>
      </c>
      <c r="S78" s="1"/>
      <c r="T78" s="1">
        <f>SUM(OSRRefT22_17x_0)</f>
        <v>4688</v>
      </c>
      <c r="U78" s="1"/>
      <c r="V78" s="5">
        <f t="shared" si="76"/>
        <v>6.4990009449613917E-3</v>
      </c>
      <c r="W78" s="1"/>
      <c r="X78" s="1">
        <f t="shared" si="77"/>
        <v>-3017</v>
      </c>
      <c r="Y78" s="1"/>
      <c r="Z78" s="5">
        <f t="shared" si="78"/>
        <v>-0.64355802047781574</v>
      </c>
    </row>
    <row r="79" spans="1:26" s="23" customFormat="1" hidden="1" outlineLevel="2" x14ac:dyDescent="0.25">
      <c r="A79" s="25"/>
      <c r="B79" s="10" t="str">
        <f>CONCATENATE("          ", "6274", " - ", "UTILITIES")</f>
        <v xml:space="preserve">          6274 - UTILITIES</v>
      </c>
      <c r="C79" s="10"/>
      <c r="D79" s="6">
        <v>-279</v>
      </c>
      <c r="E79" s="2"/>
      <c r="F79" s="7">
        <f t="shared" si="71"/>
        <v>0</v>
      </c>
      <c r="G79" s="2"/>
      <c r="H79" s="6">
        <v>864</v>
      </c>
      <c r="I79" s="2"/>
      <c r="J79" s="7">
        <f t="shared" si="72"/>
        <v>0</v>
      </c>
      <c r="K79" s="2"/>
      <c r="L79" s="6">
        <f t="shared" si="73"/>
        <v>-1143</v>
      </c>
      <c r="M79" s="2"/>
      <c r="N79" s="7">
        <f t="shared" si="74"/>
        <v>-1.3229166666666667</v>
      </c>
      <c r="O79" s="10"/>
      <c r="P79" s="6">
        <v>1671</v>
      </c>
      <c r="Q79" s="2"/>
      <c r="R79" s="7">
        <f t="shared" si="75"/>
        <v>0</v>
      </c>
      <c r="S79" s="2"/>
      <c r="T79" s="6">
        <v>4688</v>
      </c>
      <c r="U79" s="2"/>
      <c r="V79" s="7">
        <f t="shared" si="76"/>
        <v>6.4990009449613917E-3</v>
      </c>
      <c r="W79" s="2"/>
      <c r="X79" s="6">
        <f t="shared" si="77"/>
        <v>-3017</v>
      </c>
      <c r="Y79" s="2"/>
      <c r="Z79" s="7">
        <f t="shared" si="78"/>
        <v>-0.64355802047781574</v>
      </c>
    </row>
    <row r="80" spans="1:26" s="52" customFormat="1" x14ac:dyDescent="0.25">
      <c r="A80" s="37"/>
      <c r="B80" s="37"/>
      <c r="C80" s="37"/>
      <c r="D80" s="1"/>
      <c r="E80" s="1"/>
      <c r="F80" s="5"/>
      <c r="G80" s="1"/>
      <c r="H80" s="1"/>
      <c r="I80" s="1"/>
      <c r="J80" s="5"/>
      <c r="K80" s="1"/>
      <c r="L80" s="1"/>
      <c r="M80" s="1"/>
      <c r="N80" s="5"/>
      <c r="O80" s="37"/>
      <c r="P80" s="1"/>
      <c r="Q80" s="1"/>
      <c r="R80" s="5"/>
      <c r="S80" s="1"/>
      <c r="T80" s="1"/>
      <c r="U80" s="1"/>
      <c r="V80" s="5"/>
      <c r="W80" s="1"/>
      <c r="X80" s="1"/>
      <c r="Y80" s="1"/>
      <c r="Z80" s="5"/>
    </row>
    <row r="81" spans="1:26" s="24" customFormat="1" x14ac:dyDescent="0.25">
      <c r="A81" s="11"/>
      <c r="B81" s="29" t="s">
        <v>292</v>
      </c>
      <c r="C81" s="11"/>
      <c r="D81" s="4">
        <f>SUM(0)</f>
        <v>0</v>
      </c>
      <c r="E81" s="4"/>
      <c r="F81" s="13">
        <f>IF(D$12=0,0,D81/D$12)</f>
        <v>0</v>
      </c>
      <c r="G81" s="4"/>
      <c r="H81" s="4">
        <f>SUM(0)</f>
        <v>0</v>
      </c>
      <c r="I81" s="4"/>
      <c r="J81" s="13">
        <f>IF(H$12=0,0,H81/H$12)</f>
        <v>0</v>
      </c>
      <c r="K81" s="4"/>
      <c r="L81" s="4">
        <f>+D81-H81</f>
        <v>0</v>
      </c>
      <c r="M81" s="4"/>
      <c r="N81" s="13">
        <f>IF(H81=0,0,L81/H81)</f>
        <v>0</v>
      </c>
      <c r="O81" s="11"/>
      <c r="P81" s="4">
        <f>SUM(0)</f>
        <v>0</v>
      </c>
      <c r="Q81" s="4"/>
      <c r="R81" s="13">
        <f>IF(P$12=0,0,P81/P$12)</f>
        <v>0</v>
      </c>
      <c r="S81" s="4"/>
      <c r="T81" s="4">
        <f>SUM(0)</f>
        <v>0</v>
      </c>
      <c r="U81" s="4"/>
      <c r="V81" s="13">
        <f>IF(T$12=0,0,T81/T$12)</f>
        <v>0</v>
      </c>
      <c r="W81" s="4"/>
      <c r="X81" s="4">
        <f>+P81-T81</f>
        <v>0</v>
      </c>
      <c r="Y81" s="4"/>
      <c r="Z81" s="13">
        <f>IF(T81=0,0,X81/T81)</f>
        <v>0</v>
      </c>
    </row>
    <row r="82" spans="1:26" x14ac:dyDescent="0.25">
      <c r="A82" s="9"/>
      <c r="B82" s="11"/>
      <c r="C82" s="11"/>
      <c r="D82" s="3"/>
      <c r="E82" s="3"/>
      <c r="F82" s="8"/>
      <c r="G82" s="3"/>
      <c r="H82" s="3"/>
      <c r="I82" s="3"/>
      <c r="J82" s="8"/>
      <c r="K82" s="3"/>
      <c r="L82" s="3"/>
      <c r="M82" s="3"/>
      <c r="N82" s="8"/>
      <c r="O82" s="11"/>
      <c r="P82" s="3"/>
      <c r="Q82" s="3"/>
      <c r="R82" s="8"/>
      <c r="S82" s="3"/>
      <c r="T82" s="3"/>
      <c r="U82" s="3"/>
      <c r="V82" s="8"/>
      <c r="W82" s="3"/>
      <c r="X82" s="3"/>
      <c r="Y82" s="3"/>
      <c r="Z82" s="8"/>
    </row>
    <row r="83" spans="1:26" s="24" customFormat="1" x14ac:dyDescent="0.25">
      <c r="A83" s="11"/>
      <c r="B83" s="28" t="s">
        <v>276</v>
      </c>
      <c r="C83" s="28"/>
      <c r="D83" s="21">
        <f>+D20-D22+D81</f>
        <v>-6378.7999999999993</v>
      </c>
      <c r="E83" s="14"/>
      <c r="F83" s="22">
        <f>IF(D$12=0,0,D83/D$12)</f>
        <v>0</v>
      </c>
      <c r="G83" s="14"/>
      <c r="H83" s="21">
        <f>+H20-H22+H81</f>
        <v>-17768.939999999999</v>
      </c>
      <c r="I83" s="14"/>
      <c r="J83" s="22">
        <f>IF(H$12=0,0,H83/H$12)</f>
        <v>0</v>
      </c>
      <c r="K83" s="15"/>
      <c r="L83" s="21">
        <f>+D83-H83</f>
        <v>11390.14</v>
      </c>
      <c r="M83" s="15"/>
      <c r="N83" s="22">
        <f>IF(H83=0,0,L83/H83)</f>
        <v>-0.64101403910418964</v>
      </c>
      <c r="O83" s="29"/>
      <c r="P83" s="21">
        <f>+P20-P22+P81</f>
        <v>-85939.689999999988</v>
      </c>
      <c r="Q83" s="14"/>
      <c r="R83" s="22">
        <f>IF(P$12=0,0,P83/P$12)</f>
        <v>0</v>
      </c>
      <c r="S83" s="14"/>
      <c r="T83" s="21">
        <f>+T20-T22+T81</f>
        <v>-116900.29999999993</v>
      </c>
      <c r="U83" s="14"/>
      <c r="V83" s="22">
        <f>IF(T$12=0,0,T83/T$12)</f>
        <v>-0.16205954781703705</v>
      </c>
      <c r="W83" s="15"/>
      <c r="X83" s="21">
        <f>+P83-T83</f>
        <v>30960.609999999942</v>
      </c>
      <c r="Y83" s="15"/>
      <c r="Z83" s="22">
        <f>IF(T83=0,0,X83/T83)</f>
        <v>-0.26484628354247131</v>
      </c>
    </row>
    <row r="84" spans="1:26" x14ac:dyDescent="0.25">
      <c r="A84" s="9"/>
      <c r="B84" s="11"/>
      <c r="C84" s="9"/>
      <c r="D84" s="3"/>
      <c r="E84" s="3"/>
      <c r="F84" s="8"/>
      <c r="G84" s="3"/>
      <c r="H84" s="3"/>
      <c r="I84" s="3"/>
      <c r="J84" s="8"/>
      <c r="K84" s="3"/>
      <c r="L84" s="3"/>
      <c r="M84" s="3"/>
      <c r="N84" s="8"/>
      <c r="P84" s="3"/>
      <c r="Q84" s="3"/>
      <c r="R84" s="8"/>
      <c r="S84" s="3"/>
      <c r="T84" s="3"/>
      <c r="U84" s="3"/>
      <c r="V84" s="8"/>
      <c r="W84" s="3"/>
      <c r="X84" s="3"/>
      <c r="Y84" s="3"/>
      <c r="Z84" s="8"/>
    </row>
    <row r="85" spans="1:26" s="24" customFormat="1" x14ac:dyDescent="0.25">
      <c r="A85" s="51"/>
      <c r="B85" s="11" t="s">
        <v>127</v>
      </c>
      <c r="C85" s="11"/>
      <c r="D85" s="4"/>
      <c r="E85" s="4"/>
      <c r="F85" s="13">
        <f>IF(D$12=0,0,D85/D$12)</f>
        <v>0</v>
      </c>
      <c r="G85" s="4"/>
      <c r="H85" s="4">
        <v>23805.75</v>
      </c>
      <c r="I85" s="4"/>
      <c r="J85" s="13">
        <f>IF(H$12=0,0,H85/H$12)</f>
        <v>0</v>
      </c>
      <c r="K85" s="4"/>
      <c r="L85" s="4">
        <f>+D85-H85</f>
        <v>-23805.75</v>
      </c>
      <c r="M85" s="4"/>
      <c r="N85" s="13">
        <f>IF(H85=0,0,L85/H85)</f>
        <v>-1</v>
      </c>
      <c r="O85" s="11"/>
      <c r="P85" s="4"/>
      <c r="Q85" s="4"/>
      <c r="R85" s="13">
        <f>IF(P$12=0,0,P85/P$12)</f>
        <v>0</v>
      </c>
      <c r="S85" s="4"/>
      <c r="T85" s="4">
        <v>109227.44</v>
      </c>
      <c r="U85" s="4"/>
      <c r="V85" s="13">
        <f>IF(T$12=0,0,T85/T$12)</f>
        <v>0.15142261855283995</v>
      </c>
      <c r="W85" s="4"/>
      <c r="X85" s="4">
        <f>+P85-T85</f>
        <v>-109227.44</v>
      </c>
      <c r="Y85" s="4"/>
      <c r="Z85" s="13">
        <f>IF(T85=0,0,X85/T85)</f>
        <v>-1</v>
      </c>
    </row>
    <row r="86" spans="1:26" x14ac:dyDescent="0.25">
      <c r="A86" s="9"/>
      <c r="B86" s="11"/>
      <c r="C86" s="11"/>
      <c r="D86" s="3"/>
      <c r="E86" s="3"/>
      <c r="F86" s="8"/>
      <c r="G86" s="3"/>
      <c r="H86" s="3"/>
      <c r="I86" s="3"/>
      <c r="J86" s="8"/>
      <c r="K86" s="3"/>
      <c r="L86" s="3"/>
      <c r="M86" s="3"/>
      <c r="N86" s="8"/>
      <c r="O86" s="11"/>
      <c r="P86" s="3"/>
      <c r="Q86" s="3"/>
      <c r="R86" s="8"/>
      <c r="S86" s="3"/>
      <c r="T86" s="3"/>
      <c r="U86" s="3"/>
      <c r="V86" s="8"/>
      <c r="W86" s="3"/>
      <c r="X86" s="3"/>
      <c r="Y86" s="3"/>
      <c r="Z86" s="8"/>
    </row>
    <row r="87" spans="1:26" s="24" customFormat="1" ht="15.75" thickBot="1" x14ac:dyDescent="0.3">
      <c r="A87" s="11"/>
      <c r="B87" s="28" t="s">
        <v>125</v>
      </c>
      <c r="C87" s="28"/>
      <c r="D87" s="34">
        <f>+D83-D85</f>
        <v>-6378.7999999999993</v>
      </c>
      <c r="E87" s="14"/>
      <c r="F87" s="31">
        <f>IF(D$12=0,0,D87/D$12)</f>
        <v>0</v>
      </c>
      <c r="G87" s="14"/>
      <c r="H87" s="34">
        <f>+H83-H85</f>
        <v>-41574.69</v>
      </c>
      <c r="I87" s="14"/>
      <c r="J87" s="31">
        <f>IF(H$12=0,0,H87/H$12)</f>
        <v>0</v>
      </c>
      <c r="K87" s="15"/>
      <c r="L87" s="34">
        <f>D87-H87</f>
        <v>35195.89</v>
      </c>
      <c r="M87" s="15"/>
      <c r="N87" s="31">
        <f>IF(H87=0,0,L87/H87)</f>
        <v>-0.84657011272964389</v>
      </c>
      <c r="O87" s="29"/>
      <c r="P87" s="34">
        <f>+P83-P85</f>
        <v>-85939.689999999988</v>
      </c>
      <c r="Q87" s="14"/>
      <c r="R87" s="31">
        <f>IF(P$12=0,0,P87/P$12)</f>
        <v>0</v>
      </c>
      <c r="S87" s="14"/>
      <c r="T87" s="34">
        <f>+T83-T85</f>
        <v>-226127.73999999993</v>
      </c>
      <c r="U87" s="14"/>
      <c r="V87" s="31">
        <f>IF(T$12=0,0,T87/T$12)</f>
        <v>-0.31348216636987702</v>
      </c>
      <c r="W87" s="15"/>
      <c r="X87" s="34">
        <f>P87-T87</f>
        <v>140188.04999999993</v>
      </c>
      <c r="Y87" s="15"/>
      <c r="Z87" s="31">
        <f>IF(T87=0,0,X87/T87)</f>
        <v>-0.61995069689371141</v>
      </c>
    </row>
    <row r="88" spans="1:26" ht="15.75" thickTop="1" x14ac:dyDescent="0.25">
      <c r="A88" s="9"/>
      <c r="B88" s="9"/>
      <c r="C88" s="9"/>
      <c r="D88" s="3"/>
      <c r="E88" s="3"/>
      <c r="F88" s="8"/>
      <c r="G88" s="3"/>
      <c r="H88" s="3"/>
      <c r="I88" s="3"/>
      <c r="J88" s="8"/>
      <c r="K88" s="3"/>
      <c r="L88" s="3"/>
      <c r="M88" s="3"/>
      <c r="N88" s="8"/>
      <c r="P88" s="3"/>
      <c r="Q88" s="3"/>
      <c r="R88" s="8"/>
      <c r="S88" s="3"/>
      <c r="T88" s="3"/>
      <c r="U88" s="3"/>
      <c r="V88" s="8"/>
      <c r="W88" s="3"/>
      <c r="X88" s="3"/>
      <c r="Y88" s="3"/>
      <c r="Z88" s="8"/>
    </row>
    <row r="89" spans="1:26" x14ac:dyDescent="0.25">
      <c r="A89" s="9"/>
      <c r="B89" s="9"/>
      <c r="C89" s="9"/>
      <c r="D89" s="3"/>
      <c r="E89" s="3"/>
      <c r="F89" s="8"/>
      <c r="G89" s="3"/>
      <c r="H89" s="3"/>
      <c r="I89" s="3"/>
      <c r="J89" s="8"/>
      <c r="K89" s="3"/>
      <c r="L89" s="3"/>
      <c r="M89" s="3"/>
      <c r="N89" s="8"/>
      <c r="P89" s="3"/>
      <c r="Q89" s="3"/>
      <c r="R89" s="8"/>
      <c r="S89" s="3"/>
      <c r="T89" s="3"/>
      <c r="U89" s="3"/>
      <c r="V89" s="8"/>
      <c r="W89" s="3"/>
      <c r="X89" s="3"/>
      <c r="Y89" s="3"/>
      <c r="Z89" s="8"/>
    </row>
    <row r="90" spans="1:26" s="24" customFormat="1" ht="15.75" thickBot="1" x14ac:dyDescent="0.3">
      <c r="A90" s="11"/>
      <c r="B90" s="28" t="s">
        <v>293</v>
      </c>
      <c r="C90" s="28"/>
      <c r="D90" s="33">
        <f>SUM(D87:D89)</f>
        <v>-6378.7999999999993</v>
      </c>
      <c r="E90" s="14"/>
      <c r="F90" s="35">
        <f>IF(D$12=0,0,D90/D$12)</f>
        <v>0</v>
      </c>
      <c r="G90" s="14"/>
      <c r="H90" s="33">
        <f>SUM(H87:H89)</f>
        <v>-41574.69</v>
      </c>
      <c r="I90" s="14"/>
      <c r="J90" s="35">
        <f>IF(H$12=0,0,H90/H$12)</f>
        <v>0</v>
      </c>
      <c r="K90" s="15"/>
      <c r="L90" s="33">
        <f>+D90-H90</f>
        <v>35195.89</v>
      </c>
      <c r="M90" s="15"/>
      <c r="N90" s="35">
        <f>IF(H90=0,0,L90/H90)</f>
        <v>-0.84657011272964389</v>
      </c>
      <c r="O90" s="29"/>
      <c r="P90" s="33">
        <f>SUM(P87:P89)</f>
        <v>-85939.689999999988</v>
      </c>
      <c r="Q90" s="14"/>
      <c r="R90" s="35">
        <f>IF(P$12=0,0,P90/P$12)</f>
        <v>0</v>
      </c>
      <c r="S90" s="14"/>
      <c r="T90" s="33">
        <f>SUM(T87:T89)</f>
        <v>-226127.73999999993</v>
      </c>
      <c r="U90" s="14"/>
      <c r="V90" s="35">
        <f>IF(T$12=0,0,T90/T$12)</f>
        <v>-0.31348216636987702</v>
      </c>
      <c r="W90" s="15"/>
      <c r="X90" s="33">
        <f>+P90-T90</f>
        <v>140188.04999999993</v>
      </c>
      <c r="Y90" s="15"/>
      <c r="Z90" s="35">
        <f>IF(T90=0,0,X90/T90)</f>
        <v>-0.61995069689371141</v>
      </c>
    </row>
    <row r="91" spans="1:26" ht="15.75" thickTop="1" x14ac:dyDescent="0.25">
      <c r="A91" s="9"/>
      <c r="C91" s="9"/>
      <c r="D91" s="18"/>
      <c r="E91" s="18"/>
      <c r="G91" s="18"/>
      <c r="H91" s="18"/>
      <c r="I91" s="18"/>
      <c r="J91" s="43"/>
      <c r="K91" s="18"/>
      <c r="L91" s="18"/>
      <c r="M91" s="18"/>
      <c r="P91" s="18"/>
      <c r="Q91" s="18"/>
      <c r="R91" s="43"/>
      <c r="S91" s="18"/>
      <c r="T91" s="18"/>
      <c r="U91" s="18"/>
      <c r="V91" s="43"/>
      <c r="W91" s="18"/>
      <c r="X91" s="18"/>
    </row>
    <row r="92" spans="1:26" x14ac:dyDescent="0.25">
      <c r="A92" s="9"/>
      <c r="B92" s="56">
        <v>44454.698585613427</v>
      </c>
      <c r="D92" s="18"/>
      <c r="E92" s="18"/>
      <c r="G92" s="18"/>
      <c r="H92" s="18"/>
      <c r="I92" s="18"/>
      <c r="J92" s="43"/>
      <c r="K92" s="18"/>
      <c r="L92" s="18"/>
      <c r="M92" s="18"/>
      <c r="P92" s="18"/>
      <c r="Q92" s="18"/>
      <c r="R92" s="43"/>
      <c r="S92" s="18"/>
      <c r="T92" s="18"/>
      <c r="U92" s="18"/>
      <c r="V92" s="43"/>
      <c r="W92" s="18"/>
      <c r="X92" s="18"/>
    </row>
    <row r="93" spans="1:26" x14ac:dyDescent="0.25">
      <c r="A93" s="9"/>
      <c r="B93" s="55" t="s">
        <v>56</v>
      </c>
      <c r="D93" s="18"/>
      <c r="E93" s="18"/>
      <c r="G93" s="18"/>
      <c r="H93" s="18"/>
      <c r="I93" s="18"/>
      <c r="J93" s="43"/>
      <c r="K93" s="18"/>
      <c r="L93" s="18"/>
      <c r="M93" s="18"/>
      <c r="P93" s="18"/>
      <c r="Q93" s="18"/>
      <c r="R93" s="43"/>
      <c r="S93" s="18"/>
      <c r="T93" s="18"/>
      <c r="U93" s="18"/>
      <c r="V93" s="43"/>
      <c r="W93" s="18"/>
      <c r="X93" s="18"/>
    </row>
    <row r="94" spans="1:26" x14ac:dyDescent="0.25">
      <c r="A94" s="9"/>
      <c r="B94" s="60"/>
      <c r="D94" s="18"/>
      <c r="E94" s="18"/>
      <c r="G94" s="18"/>
      <c r="H94" s="18"/>
      <c r="I94" s="18"/>
      <c r="J94" s="43"/>
      <c r="K94" s="18"/>
      <c r="L94" s="18"/>
      <c r="M94" s="18"/>
      <c r="P94" s="18"/>
      <c r="Q94" s="18"/>
      <c r="R94" s="43"/>
      <c r="S94" s="18"/>
      <c r="T94" s="18"/>
      <c r="U94" s="18"/>
      <c r="V94" s="43"/>
      <c r="W94" s="18"/>
      <c r="X94" s="18"/>
    </row>
    <row r="95" spans="1:26" x14ac:dyDescent="0.25">
      <c r="D95" s="18"/>
      <c r="E95" s="18"/>
      <c r="G95" s="18"/>
      <c r="H95" s="18"/>
      <c r="I95" s="18"/>
      <c r="J95" s="43"/>
      <c r="K95" s="18"/>
      <c r="L95" s="18"/>
      <c r="M95" s="18"/>
      <c r="P95" s="18"/>
      <c r="Q95" s="18"/>
      <c r="R95" s="43"/>
      <c r="S95" s="18"/>
      <c r="T95" s="18"/>
      <c r="U95" s="18"/>
      <c r="V95" s="43"/>
      <c r="W95" s="18"/>
      <c r="X95" s="18"/>
    </row>
  </sheetData>
  <pageMargins left="0.25" right="0.25" top="0.75" bottom="0.75" header="0.3" footer="0.3"/>
  <pageSetup scale="55" fitToWidth="2" orientation="landscape"/>
  <drawing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>
    <tabColor rgb="FF92D050"/>
    <outlinePr summaryBelow="0" summaryRight="0"/>
  </sheetPr>
  <dimension ref="A2:Z88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62" t="s">
        <v>23</v>
      </c>
    </row>
    <row r="3" spans="1:26" x14ac:dyDescent="0.25">
      <c r="D3" s="62" t="s">
        <v>236</v>
      </c>
      <c r="E3" s="17"/>
      <c r="F3" s="46"/>
      <c r="G3" s="17"/>
      <c r="H3" s="17"/>
      <c r="I3" s="17"/>
      <c r="J3" s="38"/>
      <c r="K3" s="17"/>
      <c r="L3" s="17"/>
      <c r="M3" s="17"/>
      <c r="N3" s="46"/>
      <c r="O3" s="53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2" t="str">
        <f>CONCATENATE("Period ",RIGHT(202112,2),", ",2021)</f>
        <v>Period 12, 2021</v>
      </c>
      <c r="E4" s="17"/>
      <c r="F4" s="46"/>
      <c r="G4" s="17"/>
      <c r="H4" s="17"/>
      <c r="I4" s="17"/>
      <c r="J4" s="38"/>
      <c r="K4" s="17"/>
      <c r="L4" s="17"/>
      <c r="M4" s="17"/>
      <c r="N4" s="46"/>
      <c r="O4" s="53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4"/>
      <c r="D5" s="63">
        <v>44377</v>
      </c>
      <c r="E5" s="17"/>
      <c r="F5" s="46"/>
      <c r="G5" s="17"/>
      <c r="H5" s="17"/>
      <c r="I5" s="17"/>
      <c r="J5" s="38"/>
      <c r="K5" s="17"/>
      <c r="L5" s="17"/>
      <c r="M5" s="17"/>
      <c r="N5" s="46"/>
      <c r="O5" s="53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4"/>
      <c r="B6" s="48"/>
      <c r="C6" s="48"/>
      <c r="D6" s="24" t="str">
        <f>CONCATENATE("Department ","406", " - ", "OPA! Greek")</f>
        <v>Department 406 - OPA! Greek</v>
      </c>
      <c r="E6" s="17"/>
      <c r="F6" s="46"/>
      <c r="G6" s="17"/>
      <c r="H6" s="17"/>
      <c r="I6" s="17"/>
      <c r="J6" s="38"/>
      <c r="K6" s="17"/>
      <c r="L6" s="17"/>
      <c r="M6" s="17"/>
      <c r="N6" s="46"/>
      <c r="O6" s="54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9"/>
    </row>
    <row r="8" spans="1:26" x14ac:dyDescent="0.25">
      <c r="B8" s="59"/>
    </row>
    <row r="9" spans="1:26" x14ac:dyDescent="0.25">
      <c r="B9" s="9"/>
      <c r="C9" s="9"/>
      <c r="D9" s="16" t="s">
        <v>291</v>
      </c>
      <c r="E9" s="16"/>
      <c r="F9" s="39"/>
      <c r="G9" s="16"/>
      <c r="H9" s="16"/>
      <c r="I9" s="16"/>
      <c r="J9" s="49"/>
      <c r="K9" s="16"/>
      <c r="L9" s="16"/>
      <c r="M9" s="16"/>
      <c r="N9" s="39"/>
      <c r="P9" s="16" t="s">
        <v>39</v>
      </c>
      <c r="Q9" s="16"/>
      <c r="R9" s="39"/>
      <c r="S9" s="16"/>
      <c r="T9" s="16"/>
      <c r="U9" s="16"/>
      <c r="V9" s="49"/>
      <c r="W9" s="16"/>
      <c r="X9" s="16"/>
      <c r="Y9" s="16"/>
      <c r="Z9" s="39"/>
    </row>
    <row r="10" spans="1:26" x14ac:dyDescent="0.25">
      <c r="A10" s="11"/>
      <c r="B10" s="58"/>
      <c r="C10" s="11"/>
      <c r="D10" s="42" t="s">
        <v>57</v>
      </c>
      <c r="E10" s="36"/>
      <c r="F10" s="30" t="s">
        <v>40</v>
      </c>
      <c r="G10" s="36"/>
      <c r="H10" s="50" t="s">
        <v>237</v>
      </c>
      <c r="I10" s="36"/>
      <c r="J10" s="30" t="s">
        <v>40</v>
      </c>
      <c r="K10" s="11"/>
      <c r="L10" s="42" t="s">
        <v>126</v>
      </c>
      <c r="M10" s="11"/>
      <c r="N10" s="30" t="s">
        <v>257</v>
      </c>
      <c r="O10" s="11"/>
      <c r="P10" s="61" t="s">
        <v>57</v>
      </c>
      <c r="Q10" s="36"/>
      <c r="R10" s="30" t="s">
        <v>40</v>
      </c>
      <c r="S10" s="36"/>
      <c r="T10" s="50" t="s">
        <v>237</v>
      </c>
      <c r="U10" s="36"/>
      <c r="V10" s="30" t="s">
        <v>40</v>
      </c>
      <c r="W10" s="11"/>
      <c r="X10" s="42" t="s">
        <v>126</v>
      </c>
      <c r="Y10" s="11"/>
      <c r="Z10" s="30" t="s">
        <v>257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4" customFormat="1" collapsed="1" x14ac:dyDescent="0.25">
      <c r="A12" s="11"/>
      <c r="B12" s="29" t="s">
        <v>139</v>
      </c>
      <c r="C12" s="11"/>
      <c r="D12" s="4">
        <f>SUM(OSRRefD13x_0)</f>
        <v>0</v>
      </c>
      <c r="E12" s="4"/>
      <c r="F12" s="13"/>
      <c r="G12" s="4"/>
      <c r="H12" s="4">
        <f>SUM(OSRRefH13x_0)</f>
        <v>0</v>
      </c>
      <c r="I12" s="4"/>
      <c r="J12" s="13"/>
      <c r="K12" s="4"/>
      <c r="L12" s="4">
        <f t="shared" ref="L12:L14" si="0">+D12-H12</f>
        <v>0</v>
      </c>
      <c r="M12" s="4"/>
      <c r="N12" s="13">
        <f t="shared" ref="N12:N14" si="1">IF(H12=0,0,L12/H12)</f>
        <v>0</v>
      </c>
      <c r="O12" s="11"/>
      <c r="P12" s="4">
        <f>SUM(OSRRefP13x_0)</f>
        <v>0</v>
      </c>
      <c r="Q12" s="4"/>
      <c r="R12" s="13"/>
      <c r="S12" s="4"/>
      <c r="T12" s="4">
        <f>SUM(OSRRefT13x_0)</f>
        <v>189965.58000000002</v>
      </c>
      <c r="U12" s="4"/>
      <c r="V12" s="13"/>
      <c r="W12" s="4"/>
      <c r="X12" s="4">
        <f t="shared" ref="X12:X14" si="2">+P12-T12</f>
        <v>-189965.58000000002</v>
      </c>
      <c r="Y12" s="4"/>
      <c r="Z12" s="13">
        <f t="shared" ref="Z12:Z14" si="3">IF(T12=0,0,X12/T12)</f>
        <v>-1</v>
      </c>
    </row>
    <row r="13" spans="1:26" s="23" customFormat="1" hidden="1" outlineLevel="1" x14ac:dyDescent="0.25">
      <c r="A13" s="44"/>
      <c r="B13" s="10" t="str">
        <f>CONCATENATE("          ", "4051", " - ", "TAXABLE SALES-FOOD")</f>
        <v xml:space="preserve">          4051 - TAXABLE SALES-FOOD</v>
      </c>
      <c r="C13" s="10"/>
      <c r="D13" s="2">
        <f t="shared" ref="D13:D14" si="4">0</f>
        <v>0</v>
      </c>
      <c r="E13" s="2"/>
      <c r="F13" s="19"/>
      <c r="G13" s="2"/>
      <c r="H13" s="2">
        <f t="shared" ref="H13:H14" si="5">0</f>
        <v>0</v>
      </c>
      <c r="I13" s="2"/>
      <c r="J13" s="19"/>
      <c r="K13" s="2"/>
      <c r="L13" s="2">
        <f t="shared" si="0"/>
        <v>0</v>
      </c>
      <c r="M13" s="2"/>
      <c r="N13" s="19">
        <f t="shared" si="1"/>
        <v>0</v>
      </c>
      <c r="O13" s="10"/>
      <c r="P13" s="2">
        <f t="shared" ref="P13:P14" si="6">0</f>
        <v>0</v>
      </c>
      <c r="Q13" s="2"/>
      <c r="R13" s="19"/>
      <c r="S13" s="2"/>
      <c r="T13" s="2">
        <f>--43841.85</f>
        <v>43841.85</v>
      </c>
      <c r="U13" s="2"/>
      <c r="V13" s="19"/>
      <c r="W13" s="2"/>
      <c r="X13" s="2">
        <f t="shared" si="2"/>
        <v>-43841.85</v>
      </c>
      <c r="Y13" s="2"/>
      <c r="Z13" s="19">
        <f t="shared" si="3"/>
        <v>-1</v>
      </c>
    </row>
    <row r="14" spans="1:26" s="23" customFormat="1" hidden="1" outlineLevel="1" x14ac:dyDescent="0.25">
      <c r="A14" s="44"/>
      <c r="B14" s="10" t="str">
        <f>CONCATENATE("          ", "4151", " - ", "NON-TAXABLE SALES-FOOD")</f>
        <v xml:space="preserve">          4151 - NON-TAXABLE SALES-FOOD</v>
      </c>
      <c r="C14" s="10"/>
      <c r="D14" s="2">
        <f t="shared" si="4"/>
        <v>0</v>
      </c>
      <c r="E14" s="2"/>
      <c r="F14" s="19"/>
      <c r="G14" s="2"/>
      <c r="H14" s="2">
        <f t="shared" si="5"/>
        <v>0</v>
      </c>
      <c r="I14" s="2"/>
      <c r="J14" s="19"/>
      <c r="K14" s="2"/>
      <c r="L14" s="2">
        <f t="shared" si="0"/>
        <v>0</v>
      </c>
      <c r="M14" s="2"/>
      <c r="N14" s="19">
        <f t="shared" si="1"/>
        <v>0</v>
      </c>
      <c r="O14" s="10"/>
      <c r="P14" s="2">
        <f t="shared" si="6"/>
        <v>0</v>
      </c>
      <c r="Q14" s="2"/>
      <c r="R14" s="19"/>
      <c r="S14" s="2"/>
      <c r="T14" s="2">
        <f>--146123.73</f>
        <v>146123.73000000001</v>
      </c>
      <c r="U14" s="2"/>
      <c r="V14" s="19"/>
      <c r="W14" s="2"/>
      <c r="X14" s="2">
        <f t="shared" si="2"/>
        <v>-146123.73000000001</v>
      </c>
      <c r="Y14" s="2"/>
      <c r="Z14" s="19">
        <f t="shared" si="3"/>
        <v>-1</v>
      </c>
    </row>
    <row r="15" spans="1:26" x14ac:dyDescent="0.25">
      <c r="A15" s="9"/>
      <c r="B15" s="11"/>
      <c r="C15" s="9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4" customFormat="1" collapsed="1" x14ac:dyDescent="0.25">
      <c r="A16" s="11"/>
      <c r="B16" s="29" t="s">
        <v>256</v>
      </c>
      <c r="C16" s="11"/>
      <c r="D16" s="4">
        <f>SUM(OSRRefD16x_0)</f>
        <v>0</v>
      </c>
      <c r="E16" s="4"/>
      <c r="F16" s="13">
        <f t="shared" ref="F16:F18" si="7">IF(D$12=0,0,D16/D$12)</f>
        <v>0</v>
      </c>
      <c r="G16" s="4"/>
      <c r="H16" s="4">
        <f>SUM(OSRRefH16x_0)</f>
        <v>3474</v>
      </c>
      <c r="I16" s="4"/>
      <c r="J16" s="13">
        <f t="shared" ref="J16:J18" si="8">IF(H$12=0,0,H16/H$12)</f>
        <v>0</v>
      </c>
      <c r="K16" s="4"/>
      <c r="L16" s="4">
        <f t="shared" ref="L16:L18" si="9">+D16-H16</f>
        <v>-3474</v>
      </c>
      <c r="M16" s="4"/>
      <c r="N16" s="13">
        <f t="shared" ref="N16:N18" si="10">IF(H16=0,0,L16/H16)</f>
        <v>-1</v>
      </c>
      <c r="O16" s="11"/>
      <c r="P16" s="4">
        <f>SUM(OSRRefP16x_0)</f>
        <v>0</v>
      </c>
      <c r="Q16" s="4"/>
      <c r="R16" s="13">
        <f t="shared" ref="R16:R18" si="11">IF(P$12=0,0,P16/P$12)</f>
        <v>0</v>
      </c>
      <c r="S16" s="4"/>
      <c r="T16" s="4">
        <f>SUM(OSRRefT16x_0)</f>
        <v>74645.56</v>
      </c>
      <c r="U16" s="4"/>
      <c r="V16" s="13">
        <f t="shared" ref="V16:V18" si="12">IF(T$12=0,0,T16/T$12)</f>
        <v>0.39294255306671866</v>
      </c>
      <c r="W16" s="4"/>
      <c r="X16" s="4">
        <f t="shared" ref="X16:X18" si="13">+P16-T16</f>
        <v>-74645.56</v>
      </c>
      <c r="Y16" s="4"/>
      <c r="Z16" s="13">
        <f t="shared" ref="Z16:Z18" si="14">IF(T16=0,0,X16/T16)</f>
        <v>-1</v>
      </c>
    </row>
    <row r="17" spans="1:26" s="23" customFormat="1" hidden="1" outlineLevel="1" x14ac:dyDescent="0.25">
      <c r="A17" s="44"/>
      <c r="B17" s="10" t="str">
        <f>CONCATENATE("          ", "5053", " - ", "PURCHASES @ COST-FOOD")</f>
        <v xml:space="preserve">          5053 - PURCHASES @ COST-FOOD</v>
      </c>
      <c r="C17" s="10"/>
      <c r="D17" s="2"/>
      <c r="E17" s="2"/>
      <c r="F17" s="19">
        <f t="shared" si="7"/>
        <v>0</v>
      </c>
      <c r="G17" s="2"/>
      <c r="H17" s="2"/>
      <c r="I17" s="2"/>
      <c r="J17" s="19">
        <f t="shared" si="8"/>
        <v>0</v>
      </c>
      <c r="K17" s="2"/>
      <c r="L17" s="2">
        <f t="shared" si="9"/>
        <v>0</v>
      </c>
      <c r="M17" s="2"/>
      <c r="N17" s="19">
        <f t="shared" si="10"/>
        <v>0</v>
      </c>
      <c r="O17" s="10"/>
      <c r="P17" s="2"/>
      <c r="Q17" s="2"/>
      <c r="R17" s="19">
        <f t="shared" si="11"/>
        <v>0</v>
      </c>
      <c r="S17" s="2"/>
      <c r="T17" s="2">
        <v>69616.179999999993</v>
      </c>
      <c r="U17" s="2"/>
      <c r="V17" s="19">
        <f t="shared" si="12"/>
        <v>0.36646733581946783</v>
      </c>
      <c r="W17" s="2"/>
      <c r="X17" s="2">
        <f t="shared" si="13"/>
        <v>-69616.179999999993</v>
      </c>
      <c r="Y17" s="2"/>
      <c r="Z17" s="19">
        <f t="shared" si="14"/>
        <v>-1</v>
      </c>
    </row>
    <row r="18" spans="1:26" s="23" customFormat="1" hidden="1" outlineLevel="1" x14ac:dyDescent="0.25">
      <c r="A18" s="44"/>
      <c r="B18" s="10" t="str">
        <f>CONCATENATE("          ", "5059", " - ", "PURCHASES @ COST-FOOD")</f>
        <v xml:space="preserve">          5059 - PURCHASES @ COST-FOOD</v>
      </c>
      <c r="C18" s="10"/>
      <c r="D18" s="2"/>
      <c r="E18" s="2"/>
      <c r="F18" s="19">
        <f t="shared" si="7"/>
        <v>0</v>
      </c>
      <c r="G18" s="2"/>
      <c r="H18" s="2">
        <v>3474</v>
      </c>
      <c r="I18" s="2"/>
      <c r="J18" s="19">
        <f t="shared" si="8"/>
        <v>0</v>
      </c>
      <c r="K18" s="2"/>
      <c r="L18" s="2">
        <f t="shared" si="9"/>
        <v>-3474</v>
      </c>
      <c r="M18" s="2"/>
      <c r="N18" s="19">
        <f t="shared" si="10"/>
        <v>-1</v>
      </c>
      <c r="O18" s="10"/>
      <c r="P18" s="2"/>
      <c r="Q18" s="2"/>
      <c r="R18" s="19">
        <f t="shared" si="11"/>
        <v>0</v>
      </c>
      <c r="S18" s="2"/>
      <c r="T18" s="2">
        <v>5029.38</v>
      </c>
      <c r="U18" s="2"/>
      <c r="V18" s="19">
        <f t="shared" si="12"/>
        <v>2.6475217247250788E-2</v>
      </c>
      <c r="W18" s="2"/>
      <c r="X18" s="2">
        <f t="shared" si="13"/>
        <v>-5029.38</v>
      </c>
      <c r="Y18" s="2"/>
      <c r="Z18" s="19">
        <f t="shared" si="14"/>
        <v>-1</v>
      </c>
    </row>
    <row r="19" spans="1:26" x14ac:dyDescent="0.25">
      <c r="A19" s="9"/>
      <c r="B19" s="11"/>
      <c r="C19" s="11"/>
      <c r="D19" s="3"/>
      <c r="E19" s="3"/>
      <c r="F19" s="8"/>
      <c r="G19" s="3"/>
      <c r="H19" s="3"/>
      <c r="I19" s="3"/>
      <c r="J19" s="8"/>
      <c r="K19" s="3"/>
      <c r="L19" s="3"/>
      <c r="M19" s="3"/>
      <c r="N19" s="8"/>
      <c r="O19" s="11"/>
      <c r="P19" s="3"/>
      <c r="Q19" s="3"/>
      <c r="R19" s="8"/>
      <c r="S19" s="3"/>
      <c r="T19" s="3"/>
      <c r="U19" s="3"/>
      <c r="V19" s="8"/>
      <c r="W19" s="3"/>
      <c r="X19" s="3"/>
      <c r="Y19" s="3"/>
      <c r="Z19" s="8"/>
    </row>
    <row r="20" spans="1:26" s="24" customFormat="1" x14ac:dyDescent="0.25">
      <c r="A20" s="11"/>
      <c r="B20" s="28" t="s">
        <v>107</v>
      </c>
      <c r="C20" s="28"/>
      <c r="D20" s="21">
        <f>D12-D16</f>
        <v>0</v>
      </c>
      <c r="E20" s="14"/>
      <c r="F20" s="22">
        <f>IF(D$12=0,0,D20/D$12)</f>
        <v>0</v>
      </c>
      <c r="G20" s="14"/>
      <c r="H20" s="21">
        <f>H12-H16</f>
        <v>-3474</v>
      </c>
      <c r="I20" s="14"/>
      <c r="J20" s="22">
        <f>IF(H$12=0,0,H20/H$12)</f>
        <v>0</v>
      </c>
      <c r="K20" s="15"/>
      <c r="L20" s="21">
        <f>+D20-H20</f>
        <v>3474</v>
      </c>
      <c r="M20" s="15"/>
      <c r="N20" s="22">
        <f>IF(H20=0,0,L20/H20)</f>
        <v>-1</v>
      </c>
      <c r="O20" s="29"/>
      <c r="P20" s="21">
        <f>P12-P16</f>
        <v>0</v>
      </c>
      <c r="Q20" s="14"/>
      <c r="R20" s="22">
        <f>IF(P$12=0,0,P20/P$12)</f>
        <v>0</v>
      </c>
      <c r="S20" s="14"/>
      <c r="T20" s="21">
        <f>T12-T16</f>
        <v>115320.02000000002</v>
      </c>
      <c r="U20" s="14"/>
      <c r="V20" s="22">
        <f>IF(T$12=0,0,T20/T$12)</f>
        <v>0.60705744693328134</v>
      </c>
      <c r="W20" s="15"/>
      <c r="X20" s="21">
        <f>+P20-T20</f>
        <v>-115320.02000000002</v>
      </c>
      <c r="Y20" s="15"/>
      <c r="Z20" s="22">
        <f>IF(T20=0,0,X20/T20)</f>
        <v>-1</v>
      </c>
    </row>
    <row r="21" spans="1:26" x14ac:dyDescent="0.25">
      <c r="A21" s="9"/>
      <c r="B21" s="11"/>
      <c r="C21" s="9"/>
      <c r="D21" s="1"/>
      <c r="E21" s="1"/>
      <c r="F21" s="5"/>
      <c r="G21" s="1"/>
      <c r="H21" s="1"/>
      <c r="I21" s="1"/>
      <c r="J21" s="5"/>
      <c r="K21" s="1"/>
      <c r="L21" s="1"/>
      <c r="M21" s="1"/>
      <c r="N21" s="5"/>
      <c r="O21" s="37"/>
      <c r="P21" s="1"/>
      <c r="Q21" s="1"/>
      <c r="R21" s="5"/>
      <c r="S21" s="1"/>
      <c r="T21" s="1"/>
      <c r="U21" s="1"/>
      <c r="V21" s="5"/>
      <c r="W21" s="1"/>
      <c r="X21" s="1"/>
      <c r="Y21" s="1"/>
      <c r="Z21" s="5"/>
    </row>
    <row r="22" spans="1:26" s="24" customFormat="1" x14ac:dyDescent="0.25">
      <c r="A22" s="11"/>
      <c r="B22" s="29" t="s">
        <v>294</v>
      </c>
      <c r="C22" s="11"/>
      <c r="D22" s="20">
        <f>SUM(OSRRefD22x_0)</f>
        <v>76.760000000000005</v>
      </c>
      <c r="E22" s="20"/>
      <c r="F22" s="32">
        <f t="shared" ref="F22:F31" si="15">IF(D$12=0,0,D22/D$12)</f>
        <v>0</v>
      </c>
      <c r="G22" s="20"/>
      <c r="H22" s="20">
        <f>SUM(OSRRefH22x_0)</f>
        <v>620.99999999999989</v>
      </c>
      <c r="I22" s="20"/>
      <c r="J22" s="32">
        <f t="shared" ref="J22:J31" si="16">IF(H$12=0,0,H22/H$12)</f>
        <v>0</v>
      </c>
      <c r="K22" s="4"/>
      <c r="L22" s="20">
        <f t="shared" ref="L22:L31" si="17">+D22-H22</f>
        <v>-544.2399999999999</v>
      </c>
      <c r="M22" s="4"/>
      <c r="N22" s="32">
        <f t="shared" ref="N22:N31" si="18">IF(H22=0,0,L22/H22)</f>
        <v>-0.87639291465378422</v>
      </c>
      <c r="O22" s="11"/>
      <c r="P22" s="20">
        <f>SUM(OSRRefP22x_0)</f>
        <v>2488.2999999999997</v>
      </c>
      <c r="Q22" s="20"/>
      <c r="R22" s="32">
        <f t="shared" ref="R22:R31" si="19">IF(P$12=0,0,P22/P$12)</f>
        <v>0</v>
      </c>
      <c r="S22" s="20"/>
      <c r="T22" s="20">
        <f>SUM(OSRRefT22x_0)</f>
        <v>186226.26000000007</v>
      </c>
      <c r="U22" s="20"/>
      <c r="V22" s="32">
        <f t="shared" ref="V22:V31" si="20">IF(T$12=0,0,T22/T$12)</f>
        <v>0.98031580247326933</v>
      </c>
      <c r="W22" s="4"/>
      <c r="X22" s="20">
        <f t="shared" ref="X22:X31" si="21">+P22-T22</f>
        <v>-183737.96000000008</v>
      </c>
      <c r="Y22" s="4"/>
      <c r="Z22" s="32">
        <f t="shared" ref="Z22:Z31" si="22">IF(T22=0,0,X22/T22)</f>
        <v>-0.98663829687606897</v>
      </c>
    </row>
    <row r="23" spans="1:26" s="27" customFormat="1" outlineLevel="1" collapsed="1" x14ac:dyDescent="0.25">
      <c r="A23" s="26"/>
      <c r="B23" s="12" t="str">
        <f>CONCATENATE("     ","*Benefits                                         ")</f>
        <v xml:space="preserve">     *Benefits                                         </v>
      </c>
      <c r="C23" s="12"/>
      <c r="D23" s="1">
        <f>SUM(OSRRefD22_0x_0)</f>
        <v>0</v>
      </c>
      <c r="E23" s="1"/>
      <c r="F23" s="5">
        <f t="shared" si="15"/>
        <v>0</v>
      </c>
      <c r="G23" s="1"/>
      <c r="H23" s="1">
        <f>SUM(OSRRefH22_0x_0)</f>
        <v>341.15999999999997</v>
      </c>
      <c r="I23" s="1"/>
      <c r="J23" s="5">
        <f t="shared" si="16"/>
        <v>0</v>
      </c>
      <c r="K23" s="1"/>
      <c r="L23" s="1">
        <f t="shared" si="17"/>
        <v>-341.15999999999997</v>
      </c>
      <c r="M23" s="1"/>
      <c r="N23" s="5">
        <f t="shared" si="18"/>
        <v>-1</v>
      </c>
      <c r="O23" s="12"/>
      <c r="P23" s="1">
        <f>SUM(OSRRefP22_0x_0)</f>
        <v>660.8</v>
      </c>
      <c r="Q23" s="1"/>
      <c r="R23" s="5">
        <f t="shared" si="19"/>
        <v>0</v>
      </c>
      <c r="S23" s="1"/>
      <c r="T23" s="1">
        <f>SUM(OSRRefT22_0x_0)</f>
        <v>21100.66</v>
      </c>
      <c r="U23" s="1"/>
      <c r="V23" s="5">
        <f t="shared" si="20"/>
        <v>0.11107622759870497</v>
      </c>
      <c r="W23" s="1"/>
      <c r="X23" s="1">
        <f t="shared" si="21"/>
        <v>-20439.86</v>
      </c>
      <c r="Y23" s="1"/>
      <c r="Z23" s="5">
        <f t="shared" si="22"/>
        <v>-0.96868344402497364</v>
      </c>
    </row>
    <row r="24" spans="1:26" s="23" customFormat="1" hidden="1" outlineLevel="2" x14ac:dyDescent="0.25">
      <c r="A24" s="25"/>
      <c r="B24" s="10" t="str">
        <f>CONCATENATE("          ", "6111", " - ", "F.I.C.A.")</f>
        <v xml:space="preserve">          6111 - F.I.C.A.</v>
      </c>
      <c r="C24" s="10"/>
      <c r="D24" s="6"/>
      <c r="E24" s="2"/>
      <c r="F24" s="7">
        <f t="shared" si="15"/>
        <v>0</v>
      </c>
      <c r="G24" s="2"/>
      <c r="H24" s="6"/>
      <c r="I24" s="2"/>
      <c r="J24" s="7">
        <f t="shared" si="16"/>
        <v>0</v>
      </c>
      <c r="K24" s="2"/>
      <c r="L24" s="6">
        <f t="shared" si="17"/>
        <v>0</v>
      </c>
      <c r="M24" s="2"/>
      <c r="N24" s="7">
        <f t="shared" si="18"/>
        <v>0</v>
      </c>
      <c r="O24" s="10"/>
      <c r="P24" s="6"/>
      <c r="Q24" s="2"/>
      <c r="R24" s="7">
        <f t="shared" si="19"/>
        <v>0</v>
      </c>
      <c r="S24" s="2"/>
      <c r="T24" s="6">
        <v>6831.57</v>
      </c>
      <c r="U24" s="2"/>
      <c r="V24" s="7">
        <f t="shared" si="20"/>
        <v>3.5962146405680434E-2</v>
      </c>
      <c r="W24" s="2"/>
      <c r="X24" s="6">
        <f t="shared" si="21"/>
        <v>-6831.57</v>
      </c>
      <c r="Y24" s="2"/>
      <c r="Z24" s="7">
        <f t="shared" si="22"/>
        <v>-1</v>
      </c>
    </row>
    <row r="25" spans="1:26" s="23" customFormat="1" hidden="1" outlineLevel="2" x14ac:dyDescent="0.25">
      <c r="A25" s="25"/>
      <c r="B25" s="10" t="str">
        <f>CONCATENATE("          ", "6112", " - ", "COMPENSATION INSURANCE")</f>
        <v xml:space="preserve">          6112 - COMPENSATION INSURANCE</v>
      </c>
      <c r="C25" s="10"/>
      <c r="D25" s="6"/>
      <c r="E25" s="2"/>
      <c r="F25" s="7">
        <f t="shared" si="15"/>
        <v>0</v>
      </c>
      <c r="G25" s="2"/>
      <c r="H25" s="6"/>
      <c r="I25" s="2"/>
      <c r="J25" s="7">
        <f t="shared" si="16"/>
        <v>0</v>
      </c>
      <c r="K25" s="2"/>
      <c r="L25" s="6">
        <f t="shared" si="17"/>
        <v>0</v>
      </c>
      <c r="M25" s="2"/>
      <c r="N25" s="7">
        <f t="shared" si="18"/>
        <v>0</v>
      </c>
      <c r="O25" s="10"/>
      <c r="P25" s="6"/>
      <c r="Q25" s="2"/>
      <c r="R25" s="7">
        <f t="shared" si="19"/>
        <v>0</v>
      </c>
      <c r="S25" s="2"/>
      <c r="T25" s="6">
        <v>4016.54</v>
      </c>
      <c r="U25" s="2"/>
      <c r="V25" s="7">
        <f t="shared" si="20"/>
        <v>2.1143514525105021E-2</v>
      </c>
      <c r="W25" s="2"/>
      <c r="X25" s="6">
        <f t="shared" si="21"/>
        <v>-4016.54</v>
      </c>
      <c r="Y25" s="2"/>
      <c r="Z25" s="7">
        <f t="shared" si="22"/>
        <v>-1</v>
      </c>
    </row>
    <row r="26" spans="1:26" s="23" customFormat="1" hidden="1" outlineLevel="2" x14ac:dyDescent="0.25">
      <c r="A26" s="25"/>
      <c r="B26" s="10" t="str">
        <f>CONCATENATE("          ", "6113", " - ", "GROUP INSURANCE")</f>
        <v xml:space="preserve">          6113 - GROUP INSURANCE</v>
      </c>
      <c r="C26" s="10"/>
      <c r="D26" s="6"/>
      <c r="E26" s="2"/>
      <c r="F26" s="7">
        <f t="shared" si="15"/>
        <v>0</v>
      </c>
      <c r="G26" s="2"/>
      <c r="H26" s="6">
        <v>660.8</v>
      </c>
      <c r="I26" s="2"/>
      <c r="J26" s="7">
        <f t="shared" si="16"/>
        <v>0</v>
      </c>
      <c r="K26" s="2"/>
      <c r="L26" s="6">
        <f t="shared" si="17"/>
        <v>-660.8</v>
      </c>
      <c r="M26" s="2"/>
      <c r="N26" s="7">
        <f t="shared" si="18"/>
        <v>-1</v>
      </c>
      <c r="O26" s="10"/>
      <c r="P26" s="6">
        <v>660.8</v>
      </c>
      <c r="Q26" s="2"/>
      <c r="R26" s="7">
        <f t="shared" si="19"/>
        <v>0</v>
      </c>
      <c r="S26" s="2"/>
      <c r="T26" s="6">
        <v>2264.3200000000002</v>
      </c>
      <c r="U26" s="2"/>
      <c r="V26" s="7">
        <f t="shared" si="20"/>
        <v>1.1919633019834435E-2</v>
      </c>
      <c r="W26" s="2"/>
      <c r="X26" s="6">
        <f t="shared" si="21"/>
        <v>-1603.5200000000002</v>
      </c>
      <c r="Y26" s="2"/>
      <c r="Z26" s="7">
        <f t="shared" si="22"/>
        <v>-0.70816845675522899</v>
      </c>
    </row>
    <row r="27" spans="1:26" s="23" customFormat="1" hidden="1" outlineLevel="2" x14ac:dyDescent="0.25">
      <c r="A27" s="25"/>
      <c r="B27" s="10" t="str">
        <f>CONCATENATE("          ", "6114", " - ", "STATE UNEMPLOYMENT INSURANCE")</f>
        <v xml:space="preserve">          6114 - STATE UNEMPLOYMENT INSURANCE</v>
      </c>
      <c r="C27" s="10"/>
      <c r="D27" s="6"/>
      <c r="E27" s="2"/>
      <c r="F27" s="7">
        <f t="shared" si="15"/>
        <v>0</v>
      </c>
      <c r="G27" s="2"/>
      <c r="H27" s="6">
        <v>-319.64</v>
      </c>
      <c r="I27" s="2"/>
      <c r="J27" s="7">
        <f t="shared" si="16"/>
        <v>0</v>
      </c>
      <c r="K27" s="2"/>
      <c r="L27" s="6">
        <f t="shared" si="17"/>
        <v>319.64</v>
      </c>
      <c r="M27" s="2"/>
      <c r="N27" s="7">
        <f t="shared" si="18"/>
        <v>-1</v>
      </c>
      <c r="O27" s="10"/>
      <c r="P27" s="6"/>
      <c r="Q27" s="2"/>
      <c r="R27" s="7">
        <f t="shared" si="19"/>
        <v>0</v>
      </c>
      <c r="S27" s="2"/>
      <c r="T27" s="6">
        <v>0</v>
      </c>
      <c r="U27" s="2"/>
      <c r="V27" s="7">
        <f t="shared" si="20"/>
        <v>0</v>
      </c>
      <c r="W27" s="2"/>
      <c r="X27" s="6">
        <f t="shared" si="21"/>
        <v>0</v>
      </c>
      <c r="Y27" s="2"/>
      <c r="Z27" s="7">
        <f t="shared" si="22"/>
        <v>0</v>
      </c>
    </row>
    <row r="28" spans="1:26" s="23" customFormat="1" hidden="1" outlineLevel="2" x14ac:dyDescent="0.25">
      <c r="A28" s="25"/>
      <c r="B28" s="10" t="str">
        <f>CONCATENATE("          ", "6115", " - ", "P.E.R.S.")</f>
        <v xml:space="preserve">          6115 - P.E.R.S.</v>
      </c>
      <c r="C28" s="10"/>
      <c r="D28" s="6"/>
      <c r="E28" s="2"/>
      <c r="F28" s="7">
        <f t="shared" si="15"/>
        <v>0</v>
      </c>
      <c r="G28" s="2"/>
      <c r="H28" s="6"/>
      <c r="I28" s="2"/>
      <c r="J28" s="7">
        <f t="shared" si="16"/>
        <v>0</v>
      </c>
      <c r="K28" s="2"/>
      <c r="L28" s="6">
        <f t="shared" si="17"/>
        <v>0</v>
      </c>
      <c r="M28" s="2"/>
      <c r="N28" s="7">
        <f t="shared" si="18"/>
        <v>0</v>
      </c>
      <c r="O28" s="10"/>
      <c r="P28" s="6"/>
      <c r="Q28" s="2"/>
      <c r="R28" s="7">
        <f t="shared" si="19"/>
        <v>0</v>
      </c>
      <c r="S28" s="2"/>
      <c r="T28" s="6">
        <v>2839.06</v>
      </c>
      <c r="U28" s="2"/>
      <c r="V28" s="7">
        <f t="shared" si="20"/>
        <v>1.4945128480643702E-2</v>
      </c>
      <c r="W28" s="2"/>
      <c r="X28" s="6">
        <f t="shared" si="21"/>
        <v>-2839.06</v>
      </c>
      <c r="Y28" s="2"/>
      <c r="Z28" s="7">
        <f t="shared" si="22"/>
        <v>-1</v>
      </c>
    </row>
    <row r="29" spans="1:26" s="23" customFormat="1" hidden="1" outlineLevel="2" x14ac:dyDescent="0.25">
      <c r="A29" s="25"/>
      <c r="B29" s="10" t="str">
        <f>CONCATENATE("          ", "6118", " - ", "VACATION")</f>
        <v xml:space="preserve">          6118 - VACATION</v>
      </c>
      <c r="C29" s="10"/>
      <c r="D29" s="6"/>
      <c r="E29" s="2"/>
      <c r="F29" s="7">
        <f t="shared" si="15"/>
        <v>0</v>
      </c>
      <c r="G29" s="2"/>
      <c r="H29" s="6"/>
      <c r="I29" s="2"/>
      <c r="J29" s="7">
        <f t="shared" si="16"/>
        <v>0</v>
      </c>
      <c r="K29" s="2"/>
      <c r="L29" s="6">
        <f t="shared" si="17"/>
        <v>0</v>
      </c>
      <c r="M29" s="2"/>
      <c r="N29" s="7">
        <f t="shared" si="18"/>
        <v>0</v>
      </c>
      <c r="O29" s="10"/>
      <c r="P29" s="6"/>
      <c r="Q29" s="2"/>
      <c r="R29" s="7">
        <f t="shared" si="19"/>
        <v>0</v>
      </c>
      <c r="S29" s="2"/>
      <c r="T29" s="6">
        <v>1634.87</v>
      </c>
      <c r="U29" s="2"/>
      <c r="V29" s="7">
        <f t="shared" si="20"/>
        <v>8.6061380172134331E-3</v>
      </c>
      <c r="W29" s="2"/>
      <c r="X29" s="6">
        <f t="shared" si="21"/>
        <v>-1634.87</v>
      </c>
      <c r="Y29" s="2"/>
      <c r="Z29" s="7">
        <f t="shared" si="22"/>
        <v>-1</v>
      </c>
    </row>
    <row r="30" spans="1:26" s="23" customFormat="1" hidden="1" outlineLevel="2" x14ac:dyDescent="0.25">
      <c r="A30" s="25"/>
      <c r="B30" s="10" t="str">
        <f>CONCATENATE("          ", "6119", " - ", "SICK LEAVE")</f>
        <v xml:space="preserve">          6119 - SICK LEAVE</v>
      </c>
      <c r="C30" s="10"/>
      <c r="D30" s="6"/>
      <c r="E30" s="2"/>
      <c r="F30" s="7">
        <f t="shared" si="15"/>
        <v>0</v>
      </c>
      <c r="G30" s="2"/>
      <c r="H30" s="6"/>
      <c r="I30" s="2"/>
      <c r="J30" s="7">
        <f t="shared" si="16"/>
        <v>0</v>
      </c>
      <c r="K30" s="2"/>
      <c r="L30" s="6">
        <f t="shared" si="17"/>
        <v>0</v>
      </c>
      <c r="M30" s="2"/>
      <c r="N30" s="7">
        <f t="shared" si="18"/>
        <v>0</v>
      </c>
      <c r="O30" s="10"/>
      <c r="P30" s="6"/>
      <c r="Q30" s="2"/>
      <c r="R30" s="7">
        <f t="shared" si="19"/>
        <v>0</v>
      </c>
      <c r="S30" s="2"/>
      <c r="T30" s="6">
        <v>1996.53</v>
      </c>
      <c r="U30" s="2"/>
      <c r="V30" s="7">
        <f t="shared" si="20"/>
        <v>1.0509956593189144E-2</v>
      </c>
      <c r="W30" s="2"/>
      <c r="X30" s="6">
        <f t="shared" si="21"/>
        <v>-1996.53</v>
      </c>
      <c r="Y30" s="2"/>
      <c r="Z30" s="7">
        <f t="shared" si="22"/>
        <v>-1</v>
      </c>
    </row>
    <row r="31" spans="1:26" s="23" customFormat="1" hidden="1" outlineLevel="2" x14ac:dyDescent="0.25">
      <c r="A31" s="25"/>
      <c r="B31" s="10" t="str">
        <f>CONCATENATE("          ", "6156", " - ", "EMPLOYEE MEALS")</f>
        <v xml:space="preserve">          6156 - EMPLOYEE MEALS</v>
      </c>
      <c r="C31" s="10"/>
      <c r="D31" s="6"/>
      <c r="E31" s="2"/>
      <c r="F31" s="7">
        <f t="shared" si="15"/>
        <v>0</v>
      </c>
      <c r="G31" s="2"/>
      <c r="H31" s="6"/>
      <c r="I31" s="2"/>
      <c r="J31" s="7">
        <f t="shared" si="16"/>
        <v>0</v>
      </c>
      <c r="K31" s="2"/>
      <c r="L31" s="6">
        <f t="shared" si="17"/>
        <v>0</v>
      </c>
      <c r="M31" s="2"/>
      <c r="N31" s="7">
        <f t="shared" si="18"/>
        <v>0</v>
      </c>
      <c r="O31" s="10"/>
      <c r="P31" s="6"/>
      <c r="Q31" s="2"/>
      <c r="R31" s="7">
        <f t="shared" si="19"/>
        <v>0</v>
      </c>
      <c r="S31" s="2"/>
      <c r="T31" s="6">
        <v>1517.77</v>
      </c>
      <c r="U31" s="2"/>
      <c r="V31" s="7">
        <f t="shared" si="20"/>
        <v>7.9897105570388063E-3</v>
      </c>
      <c r="W31" s="2"/>
      <c r="X31" s="6">
        <f t="shared" si="21"/>
        <v>-1517.77</v>
      </c>
      <c r="Y31" s="2"/>
      <c r="Z31" s="7">
        <f t="shared" si="22"/>
        <v>-1</v>
      </c>
    </row>
    <row r="32" spans="1:26" s="27" customFormat="1" outlineLevel="1" collapsed="1" x14ac:dyDescent="0.25">
      <c r="A32" s="26"/>
      <c r="B32" s="12" t="str">
        <f>CONCATENATE("     ","*Payroll                                          ")</f>
        <v xml:space="preserve">     *Payroll                                          </v>
      </c>
      <c r="C32" s="12"/>
      <c r="D32" s="1">
        <f>SUM(OSRRefD22_1x_0)</f>
        <v>0</v>
      </c>
      <c r="E32" s="1"/>
      <c r="F32" s="5">
        <f t="shared" ref="F32:F38" si="23">IF(D$12=0,0,D32/D$12)</f>
        <v>0</v>
      </c>
      <c r="G32" s="1"/>
      <c r="H32" s="1">
        <f>SUM(OSRRefH22_1x_0)</f>
        <v>0</v>
      </c>
      <c r="I32" s="1"/>
      <c r="J32" s="5">
        <f t="shared" ref="J32:J38" si="24">IF(H$12=0,0,H32/H$12)</f>
        <v>0</v>
      </c>
      <c r="K32" s="1"/>
      <c r="L32" s="1">
        <f t="shared" ref="L32:L38" si="25">+D32-H32</f>
        <v>0</v>
      </c>
      <c r="M32" s="1"/>
      <c r="N32" s="5">
        <f t="shared" ref="N32:N38" si="26">IF(H32=0,0,L32/H32)</f>
        <v>0</v>
      </c>
      <c r="O32" s="12"/>
      <c r="P32" s="1">
        <f>SUM(OSRRefP22_1x_0)</f>
        <v>0</v>
      </c>
      <c r="Q32" s="1"/>
      <c r="R32" s="5">
        <f t="shared" ref="R32:R38" si="27">IF(P$12=0,0,P32/P$12)</f>
        <v>0</v>
      </c>
      <c r="S32" s="1"/>
      <c r="T32" s="1">
        <f>SUM(OSRRefT22_1x_0)</f>
        <v>112168.78</v>
      </c>
      <c r="U32" s="1"/>
      <c r="V32" s="5">
        <f t="shared" ref="V32:V38" si="28">IF(T$12=0,0,T32/T$12)</f>
        <v>0.59046896811517113</v>
      </c>
      <c r="W32" s="1"/>
      <c r="X32" s="1">
        <f t="shared" ref="X32:X38" si="29">+P32-T32</f>
        <v>-112168.78</v>
      </c>
      <c r="Y32" s="1"/>
      <c r="Z32" s="5">
        <f t="shared" ref="Z32:Z38" si="30">IF(T32=0,0,X32/T32)</f>
        <v>-1</v>
      </c>
    </row>
    <row r="33" spans="1:26" s="23" customFormat="1" hidden="1" outlineLevel="2" x14ac:dyDescent="0.25">
      <c r="A33" s="25"/>
      <c r="B33" s="10" t="str">
        <f>CONCATENATE("          ", "6002", " - ", "STAFF SALARIES")</f>
        <v xml:space="preserve">          6002 - STAFF SALARIES</v>
      </c>
      <c r="C33" s="10"/>
      <c r="D33" s="6"/>
      <c r="E33" s="2"/>
      <c r="F33" s="7">
        <f t="shared" si="23"/>
        <v>0</v>
      </c>
      <c r="G33" s="2"/>
      <c r="H33" s="6"/>
      <c r="I33" s="2"/>
      <c r="J33" s="7">
        <f t="shared" si="24"/>
        <v>0</v>
      </c>
      <c r="K33" s="2"/>
      <c r="L33" s="6">
        <f t="shared" si="25"/>
        <v>0</v>
      </c>
      <c r="M33" s="2"/>
      <c r="N33" s="7">
        <f t="shared" si="26"/>
        <v>0</v>
      </c>
      <c r="O33" s="10"/>
      <c r="P33" s="6"/>
      <c r="Q33" s="2"/>
      <c r="R33" s="7">
        <f t="shared" si="27"/>
        <v>0</v>
      </c>
      <c r="S33" s="2"/>
      <c r="T33" s="6">
        <v>37546.44</v>
      </c>
      <c r="U33" s="2"/>
      <c r="V33" s="7">
        <f t="shared" si="28"/>
        <v>0.19764864771818136</v>
      </c>
      <c r="W33" s="2"/>
      <c r="X33" s="6">
        <f t="shared" si="29"/>
        <v>-37546.44</v>
      </c>
      <c r="Y33" s="2"/>
      <c r="Z33" s="7">
        <f t="shared" si="30"/>
        <v>-1</v>
      </c>
    </row>
    <row r="34" spans="1:26" s="23" customFormat="1" hidden="1" outlineLevel="2" x14ac:dyDescent="0.25">
      <c r="A34" s="25"/>
      <c r="B34" s="10" t="str">
        <f>CONCATENATE("          ", "6004", " - ", "STAFF HOURLY")</f>
        <v xml:space="preserve">          6004 - STAFF HOURLY</v>
      </c>
      <c r="C34" s="10"/>
      <c r="D34" s="6"/>
      <c r="E34" s="2"/>
      <c r="F34" s="7">
        <f t="shared" si="23"/>
        <v>0</v>
      </c>
      <c r="G34" s="2"/>
      <c r="H34" s="6"/>
      <c r="I34" s="2"/>
      <c r="J34" s="7">
        <f t="shared" si="24"/>
        <v>0</v>
      </c>
      <c r="K34" s="2"/>
      <c r="L34" s="6">
        <f t="shared" si="25"/>
        <v>0</v>
      </c>
      <c r="M34" s="2"/>
      <c r="N34" s="7">
        <f t="shared" si="26"/>
        <v>0</v>
      </c>
      <c r="O34" s="10"/>
      <c r="P34" s="6"/>
      <c r="Q34" s="2"/>
      <c r="R34" s="7">
        <f t="shared" si="27"/>
        <v>0</v>
      </c>
      <c r="S34" s="2"/>
      <c r="T34" s="6">
        <v>2484.31</v>
      </c>
      <c r="U34" s="2"/>
      <c r="V34" s="7">
        <f t="shared" si="28"/>
        <v>1.3077684915340978E-2</v>
      </c>
      <c r="W34" s="2"/>
      <c r="X34" s="6">
        <f t="shared" si="29"/>
        <v>-2484.31</v>
      </c>
      <c r="Y34" s="2"/>
      <c r="Z34" s="7">
        <f t="shared" si="30"/>
        <v>-1</v>
      </c>
    </row>
    <row r="35" spans="1:26" s="23" customFormat="1" hidden="1" outlineLevel="2" x14ac:dyDescent="0.25">
      <c r="A35" s="25"/>
      <c r="B35" s="10" t="str">
        <f>CONCATENATE("          ", "6005", " - ", "TEMPORARY WAGES-HOURLY")</f>
        <v xml:space="preserve">          6005 - TEMPORARY WAGES-HOURLY</v>
      </c>
      <c r="C35" s="10"/>
      <c r="D35" s="6"/>
      <c r="E35" s="2"/>
      <c r="F35" s="7">
        <f t="shared" si="23"/>
        <v>0</v>
      </c>
      <c r="G35" s="2"/>
      <c r="H35" s="6"/>
      <c r="I35" s="2"/>
      <c r="J35" s="7">
        <f t="shared" si="24"/>
        <v>0</v>
      </c>
      <c r="K35" s="2"/>
      <c r="L35" s="6">
        <f t="shared" si="25"/>
        <v>0</v>
      </c>
      <c r="M35" s="2"/>
      <c r="N35" s="7">
        <f t="shared" si="26"/>
        <v>0</v>
      </c>
      <c r="O35" s="10"/>
      <c r="P35" s="6"/>
      <c r="Q35" s="2"/>
      <c r="R35" s="7">
        <f t="shared" si="27"/>
        <v>0</v>
      </c>
      <c r="S35" s="2"/>
      <c r="T35" s="6">
        <v>40119.120000000003</v>
      </c>
      <c r="U35" s="2"/>
      <c r="V35" s="7">
        <f t="shared" si="28"/>
        <v>0.21119152216943721</v>
      </c>
      <c r="W35" s="2"/>
      <c r="X35" s="6">
        <f t="shared" si="29"/>
        <v>-40119.120000000003</v>
      </c>
      <c r="Y35" s="2"/>
      <c r="Z35" s="7">
        <f t="shared" si="30"/>
        <v>-1</v>
      </c>
    </row>
    <row r="36" spans="1:26" s="23" customFormat="1" hidden="1" outlineLevel="2" x14ac:dyDescent="0.25">
      <c r="A36" s="25"/>
      <c r="B36" s="10" t="str">
        <f>CONCATENATE("          ", "6006", " - ", "TEMPORARY PART TIME")</f>
        <v xml:space="preserve">          6006 - TEMPORARY PART TIME</v>
      </c>
      <c r="C36" s="10"/>
      <c r="D36" s="6"/>
      <c r="E36" s="2"/>
      <c r="F36" s="7">
        <f t="shared" si="23"/>
        <v>0</v>
      </c>
      <c r="G36" s="2"/>
      <c r="H36" s="6"/>
      <c r="I36" s="2"/>
      <c r="J36" s="7">
        <f t="shared" si="24"/>
        <v>0</v>
      </c>
      <c r="K36" s="2"/>
      <c r="L36" s="6">
        <f t="shared" si="25"/>
        <v>0</v>
      </c>
      <c r="M36" s="2"/>
      <c r="N36" s="7">
        <f t="shared" si="26"/>
        <v>0</v>
      </c>
      <c r="O36" s="10"/>
      <c r="P36" s="6"/>
      <c r="Q36" s="2"/>
      <c r="R36" s="7">
        <f t="shared" si="27"/>
        <v>0</v>
      </c>
      <c r="S36" s="2"/>
      <c r="T36" s="6">
        <v>1294.4100000000001</v>
      </c>
      <c r="U36" s="2"/>
      <c r="V36" s="7">
        <f t="shared" si="28"/>
        <v>6.8139186056758285E-3</v>
      </c>
      <c r="W36" s="2"/>
      <c r="X36" s="6">
        <f t="shared" si="29"/>
        <v>-1294.4100000000001</v>
      </c>
      <c r="Y36" s="2"/>
      <c r="Z36" s="7">
        <f t="shared" si="30"/>
        <v>-1</v>
      </c>
    </row>
    <row r="37" spans="1:26" s="23" customFormat="1" hidden="1" outlineLevel="2" x14ac:dyDescent="0.25">
      <c r="A37" s="25"/>
      <c r="B37" s="10" t="str">
        <f>CONCATENATE("          ", "6007", " - ", "STUDENT HOURLY")</f>
        <v xml:space="preserve">          6007 - STUDENT HOURLY</v>
      </c>
      <c r="C37" s="10"/>
      <c r="D37" s="6"/>
      <c r="E37" s="2"/>
      <c r="F37" s="7">
        <f t="shared" si="23"/>
        <v>0</v>
      </c>
      <c r="G37" s="2"/>
      <c r="H37" s="6"/>
      <c r="I37" s="2"/>
      <c r="J37" s="7">
        <f t="shared" si="24"/>
        <v>0</v>
      </c>
      <c r="K37" s="2"/>
      <c r="L37" s="6">
        <f t="shared" si="25"/>
        <v>0</v>
      </c>
      <c r="M37" s="2"/>
      <c r="N37" s="7">
        <f t="shared" si="26"/>
        <v>0</v>
      </c>
      <c r="O37" s="10"/>
      <c r="P37" s="6"/>
      <c r="Q37" s="2"/>
      <c r="R37" s="7">
        <f t="shared" si="27"/>
        <v>0</v>
      </c>
      <c r="S37" s="2"/>
      <c r="T37" s="6">
        <v>28126.86</v>
      </c>
      <c r="U37" s="2"/>
      <c r="V37" s="7">
        <f t="shared" si="28"/>
        <v>0.14806292803148866</v>
      </c>
      <c r="W37" s="2"/>
      <c r="X37" s="6">
        <f t="shared" si="29"/>
        <v>-28126.86</v>
      </c>
      <c r="Y37" s="2"/>
      <c r="Z37" s="7">
        <f t="shared" si="30"/>
        <v>-1</v>
      </c>
    </row>
    <row r="38" spans="1:26" s="23" customFormat="1" hidden="1" outlineLevel="2" x14ac:dyDescent="0.25">
      <c r="A38" s="25"/>
      <c r="B38" s="10" t="str">
        <f>CONCATENATE("          ", "6008", " - ", "STUDENT HOURLY-FICA EXEMPT")</f>
        <v xml:space="preserve">          6008 - STUDENT HOURLY-FICA EXEMPT</v>
      </c>
      <c r="C38" s="10"/>
      <c r="D38" s="6"/>
      <c r="E38" s="2"/>
      <c r="F38" s="7">
        <f t="shared" si="23"/>
        <v>0</v>
      </c>
      <c r="G38" s="2"/>
      <c r="H38" s="6"/>
      <c r="I38" s="2"/>
      <c r="J38" s="7">
        <f t="shared" si="24"/>
        <v>0</v>
      </c>
      <c r="K38" s="2"/>
      <c r="L38" s="6">
        <f t="shared" si="25"/>
        <v>0</v>
      </c>
      <c r="M38" s="2"/>
      <c r="N38" s="7">
        <f t="shared" si="26"/>
        <v>0</v>
      </c>
      <c r="O38" s="10"/>
      <c r="P38" s="6"/>
      <c r="Q38" s="2"/>
      <c r="R38" s="7">
        <f t="shared" si="27"/>
        <v>0</v>
      </c>
      <c r="S38" s="2"/>
      <c r="T38" s="6">
        <v>2597.64</v>
      </c>
      <c r="U38" s="2"/>
      <c r="V38" s="7">
        <f t="shared" si="28"/>
        <v>1.367426667504713E-2</v>
      </c>
      <c r="W38" s="2"/>
      <c r="X38" s="6">
        <f t="shared" si="29"/>
        <v>-2597.64</v>
      </c>
      <c r="Y38" s="2"/>
      <c r="Z38" s="7">
        <f t="shared" si="30"/>
        <v>-1</v>
      </c>
    </row>
    <row r="39" spans="1:26" s="27" customFormat="1" outlineLevel="1" collapsed="1" x14ac:dyDescent="0.25">
      <c r="A39" s="26"/>
      <c r="B39" s="12" t="str">
        <f>CONCATENATE("     ","Advertising/Promo                                 ")</f>
        <v xml:space="preserve">     Advertising/Promo                                 </v>
      </c>
      <c r="C39" s="12"/>
      <c r="D39" s="1">
        <f>SUM(OSRRefD22_2x_0)</f>
        <v>0</v>
      </c>
      <c r="E39" s="1"/>
      <c r="F39" s="5">
        <f t="shared" ref="F39:F56" si="31">IF(D$12=0,0,D39/D$12)</f>
        <v>0</v>
      </c>
      <c r="G39" s="1"/>
      <c r="H39" s="1">
        <f>SUM(OSRRefH22_2x_0)</f>
        <v>0</v>
      </c>
      <c r="I39" s="1"/>
      <c r="J39" s="5">
        <f t="shared" ref="J39:J56" si="32">IF(H$12=0,0,H39/H$12)</f>
        <v>0</v>
      </c>
      <c r="K39" s="1"/>
      <c r="L39" s="1">
        <f t="shared" ref="L39:L56" si="33">+D39-H39</f>
        <v>0</v>
      </c>
      <c r="M39" s="1"/>
      <c r="N39" s="5">
        <f t="shared" ref="N39:N56" si="34">IF(H39=0,0,L39/H39)</f>
        <v>0</v>
      </c>
      <c r="O39" s="12"/>
      <c r="P39" s="1">
        <f>SUM(OSRRefP22_2x_0)</f>
        <v>0</v>
      </c>
      <c r="Q39" s="1"/>
      <c r="R39" s="5">
        <f t="shared" ref="R39:R56" si="35">IF(P$12=0,0,P39/P$12)</f>
        <v>0</v>
      </c>
      <c r="S39" s="1"/>
      <c r="T39" s="1">
        <f>SUM(OSRRefT22_2x_0)</f>
        <v>3228.7</v>
      </c>
      <c r="U39" s="1"/>
      <c r="V39" s="5">
        <f t="shared" ref="V39:V56" si="36">IF(T$12=0,0,T39/T$12)</f>
        <v>1.6996236897231592E-2</v>
      </c>
      <c r="W39" s="1"/>
      <c r="X39" s="1">
        <f t="shared" ref="X39:X56" si="37">+P39-T39</f>
        <v>-3228.7</v>
      </c>
      <c r="Y39" s="1"/>
      <c r="Z39" s="5">
        <f t="shared" ref="Z39:Z56" si="38">IF(T39=0,0,X39/T39)</f>
        <v>-1</v>
      </c>
    </row>
    <row r="40" spans="1:26" s="23" customFormat="1" hidden="1" outlineLevel="2" x14ac:dyDescent="0.25">
      <c r="A40" s="25"/>
      <c r="B40" s="10" t="str">
        <f>CONCATENATE("          ", "6362", " - ", "ADVERTISING EXPENSE")</f>
        <v xml:space="preserve">          6362 - ADVERTISING EXPENSE</v>
      </c>
      <c r="C40" s="10"/>
      <c r="D40" s="6"/>
      <c r="E40" s="2"/>
      <c r="F40" s="7">
        <f t="shared" si="31"/>
        <v>0</v>
      </c>
      <c r="G40" s="2"/>
      <c r="H40" s="6"/>
      <c r="I40" s="2"/>
      <c r="J40" s="7">
        <f t="shared" si="32"/>
        <v>0</v>
      </c>
      <c r="K40" s="2"/>
      <c r="L40" s="6">
        <f t="shared" si="33"/>
        <v>0</v>
      </c>
      <c r="M40" s="2"/>
      <c r="N40" s="7">
        <f t="shared" si="34"/>
        <v>0</v>
      </c>
      <c r="O40" s="10"/>
      <c r="P40" s="6"/>
      <c r="Q40" s="2"/>
      <c r="R40" s="7">
        <f t="shared" si="35"/>
        <v>0</v>
      </c>
      <c r="S40" s="2"/>
      <c r="T40" s="6">
        <v>3228.7</v>
      </c>
      <c r="U40" s="2"/>
      <c r="V40" s="7">
        <f t="shared" si="36"/>
        <v>1.6996236897231592E-2</v>
      </c>
      <c r="W40" s="2"/>
      <c r="X40" s="6">
        <f t="shared" si="37"/>
        <v>-3228.7</v>
      </c>
      <c r="Y40" s="2"/>
      <c r="Z40" s="7">
        <f t="shared" si="38"/>
        <v>-1</v>
      </c>
    </row>
    <row r="41" spans="1:26" s="27" customFormat="1" outlineLevel="1" collapsed="1" x14ac:dyDescent="0.25">
      <c r="A41" s="26"/>
      <c r="B41" s="12" t="str">
        <f>CONCATENATE("     ","Bad Debts/Over/Short                              ")</f>
        <v xml:space="preserve">     Bad Debts/Over/Short                              </v>
      </c>
      <c r="C41" s="12"/>
      <c r="D41" s="1">
        <f>SUM(OSRRefD22_3x_0)</f>
        <v>0</v>
      </c>
      <c r="E41" s="1"/>
      <c r="F41" s="5">
        <f t="shared" si="31"/>
        <v>0</v>
      </c>
      <c r="G41" s="1"/>
      <c r="H41" s="1">
        <f>SUM(OSRRefH22_3x_0)</f>
        <v>0</v>
      </c>
      <c r="I41" s="1"/>
      <c r="J41" s="5">
        <f t="shared" si="32"/>
        <v>0</v>
      </c>
      <c r="K41" s="1"/>
      <c r="L41" s="1">
        <f t="shared" si="33"/>
        <v>0</v>
      </c>
      <c r="M41" s="1"/>
      <c r="N41" s="5">
        <f t="shared" si="34"/>
        <v>0</v>
      </c>
      <c r="O41" s="12"/>
      <c r="P41" s="1">
        <f>SUM(OSRRefP22_3x_0)</f>
        <v>0</v>
      </c>
      <c r="Q41" s="1"/>
      <c r="R41" s="5">
        <f t="shared" si="35"/>
        <v>0</v>
      </c>
      <c r="S41" s="1"/>
      <c r="T41" s="1">
        <f>SUM(OSRRefT22_3x_0)</f>
        <v>-42.37</v>
      </c>
      <c r="U41" s="1"/>
      <c r="V41" s="5">
        <f t="shared" si="36"/>
        <v>-2.2304040553030709E-4</v>
      </c>
      <c r="W41" s="1"/>
      <c r="X41" s="1">
        <f t="shared" si="37"/>
        <v>42.37</v>
      </c>
      <c r="Y41" s="1"/>
      <c r="Z41" s="5">
        <f t="shared" si="38"/>
        <v>-1</v>
      </c>
    </row>
    <row r="42" spans="1:26" s="23" customFormat="1" hidden="1" outlineLevel="2" x14ac:dyDescent="0.25">
      <c r="A42" s="25"/>
      <c r="B42" s="10" t="str">
        <f>CONCATENATE("          ", "6272", " - ", "CASH (OVER/SHORT)")</f>
        <v xml:space="preserve">          6272 - CASH (OVER/SHORT)</v>
      </c>
      <c r="C42" s="10"/>
      <c r="D42" s="6"/>
      <c r="E42" s="2"/>
      <c r="F42" s="7">
        <f t="shared" si="31"/>
        <v>0</v>
      </c>
      <c r="G42" s="2"/>
      <c r="H42" s="6"/>
      <c r="I42" s="2"/>
      <c r="J42" s="7">
        <f t="shared" si="32"/>
        <v>0</v>
      </c>
      <c r="K42" s="2"/>
      <c r="L42" s="6">
        <f t="shared" si="33"/>
        <v>0</v>
      </c>
      <c r="M42" s="2"/>
      <c r="N42" s="7">
        <f t="shared" si="34"/>
        <v>0</v>
      </c>
      <c r="O42" s="10"/>
      <c r="P42" s="6"/>
      <c r="Q42" s="2"/>
      <c r="R42" s="7">
        <f t="shared" si="35"/>
        <v>0</v>
      </c>
      <c r="S42" s="2"/>
      <c r="T42" s="6">
        <v>-42.37</v>
      </c>
      <c r="U42" s="2"/>
      <c r="V42" s="7">
        <f t="shared" si="36"/>
        <v>-2.2304040553030709E-4</v>
      </c>
      <c r="W42" s="2"/>
      <c r="X42" s="6">
        <f t="shared" si="37"/>
        <v>42.37</v>
      </c>
      <c r="Y42" s="2"/>
      <c r="Z42" s="7">
        <f t="shared" si="38"/>
        <v>-1</v>
      </c>
    </row>
    <row r="43" spans="1:26" s="27" customFormat="1" outlineLevel="1" collapsed="1" x14ac:dyDescent="0.25">
      <c r="A43" s="26"/>
      <c r="B43" s="12" t="str">
        <f>CONCATENATE("     ","Bank/card Fees                                    ")</f>
        <v xml:space="preserve">     Bank/card Fees                                    </v>
      </c>
      <c r="C43" s="12"/>
      <c r="D43" s="1">
        <f>SUM(OSRRefD22_4x_0)</f>
        <v>0</v>
      </c>
      <c r="E43" s="1"/>
      <c r="F43" s="5">
        <f t="shared" si="31"/>
        <v>0</v>
      </c>
      <c r="G43" s="1"/>
      <c r="H43" s="1">
        <f>SUM(OSRRefH22_4x_0)</f>
        <v>0</v>
      </c>
      <c r="I43" s="1"/>
      <c r="J43" s="5">
        <f t="shared" si="32"/>
        <v>0</v>
      </c>
      <c r="K43" s="1"/>
      <c r="L43" s="1">
        <f t="shared" si="33"/>
        <v>0</v>
      </c>
      <c r="M43" s="1"/>
      <c r="N43" s="5">
        <f t="shared" si="34"/>
        <v>0</v>
      </c>
      <c r="O43" s="12"/>
      <c r="P43" s="1">
        <f>SUM(OSRRefP22_4x_0)</f>
        <v>0</v>
      </c>
      <c r="Q43" s="1"/>
      <c r="R43" s="5">
        <f t="shared" si="35"/>
        <v>0</v>
      </c>
      <c r="S43" s="1"/>
      <c r="T43" s="1">
        <f>SUM(OSRRefT22_4x_0)</f>
        <v>7084.51</v>
      </c>
      <c r="U43" s="1"/>
      <c r="V43" s="5">
        <f t="shared" si="36"/>
        <v>3.7293650776103755E-2</v>
      </c>
      <c r="W43" s="1"/>
      <c r="X43" s="1">
        <f t="shared" si="37"/>
        <v>-7084.51</v>
      </c>
      <c r="Y43" s="1"/>
      <c r="Z43" s="5">
        <f t="shared" si="38"/>
        <v>-1</v>
      </c>
    </row>
    <row r="44" spans="1:26" s="23" customFormat="1" hidden="1" outlineLevel="2" x14ac:dyDescent="0.25">
      <c r="A44" s="25"/>
      <c r="B44" s="10" t="str">
        <f>CONCATENATE("          ", "6381", " - ", "BANK/CREDIT CARD FEES")</f>
        <v xml:space="preserve">          6381 - BANK/CREDIT CARD FEES</v>
      </c>
      <c r="C44" s="10"/>
      <c r="D44" s="6"/>
      <c r="E44" s="2"/>
      <c r="F44" s="7">
        <f t="shared" si="31"/>
        <v>0</v>
      </c>
      <c r="G44" s="2"/>
      <c r="H44" s="6"/>
      <c r="I44" s="2"/>
      <c r="J44" s="7">
        <f t="shared" si="32"/>
        <v>0</v>
      </c>
      <c r="K44" s="2"/>
      <c r="L44" s="6">
        <f t="shared" si="33"/>
        <v>0</v>
      </c>
      <c r="M44" s="2"/>
      <c r="N44" s="7">
        <f t="shared" si="34"/>
        <v>0</v>
      </c>
      <c r="O44" s="10"/>
      <c r="P44" s="6"/>
      <c r="Q44" s="2"/>
      <c r="R44" s="7">
        <f t="shared" si="35"/>
        <v>0</v>
      </c>
      <c r="S44" s="2"/>
      <c r="T44" s="6">
        <v>7084.51</v>
      </c>
      <c r="U44" s="2"/>
      <c r="V44" s="7">
        <f t="shared" si="36"/>
        <v>3.7293650776103755E-2</v>
      </c>
      <c r="W44" s="2"/>
      <c r="X44" s="6">
        <f t="shared" si="37"/>
        <v>-7084.51</v>
      </c>
      <c r="Y44" s="2"/>
      <c r="Z44" s="7">
        <f t="shared" si="38"/>
        <v>-1</v>
      </c>
    </row>
    <row r="45" spans="1:26" s="27" customFormat="1" outlineLevel="1" collapsed="1" x14ac:dyDescent="0.25">
      <c r="A45" s="26"/>
      <c r="B45" s="12" t="str">
        <f>CONCATENATE("     ","Depreciation                                      ")</f>
        <v xml:space="preserve">     Depreciation                                      </v>
      </c>
      <c r="C45" s="12"/>
      <c r="D45" s="1">
        <f>SUM(OSRRefD22_5x_0)</f>
        <v>7.47</v>
      </c>
      <c r="E45" s="1"/>
      <c r="F45" s="5">
        <f t="shared" si="31"/>
        <v>0</v>
      </c>
      <c r="G45" s="1"/>
      <c r="H45" s="1">
        <f>SUM(OSRRefH22_5x_0)</f>
        <v>119.53</v>
      </c>
      <c r="I45" s="1"/>
      <c r="J45" s="5">
        <f t="shared" si="32"/>
        <v>0</v>
      </c>
      <c r="K45" s="1"/>
      <c r="L45" s="1">
        <f t="shared" si="33"/>
        <v>-112.06</v>
      </c>
      <c r="M45" s="1"/>
      <c r="N45" s="5">
        <f t="shared" si="34"/>
        <v>-0.93750522881285037</v>
      </c>
      <c r="O45" s="12"/>
      <c r="P45" s="1">
        <f>SUM(OSRRefP22_5x_0)</f>
        <v>1322.52</v>
      </c>
      <c r="Q45" s="1"/>
      <c r="R45" s="5">
        <f t="shared" si="35"/>
        <v>0</v>
      </c>
      <c r="S45" s="1"/>
      <c r="T45" s="1">
        <f>SUM(OSRRefT22_5x_0)</f>
        <v>25336.48</v>
      </c>
      <c r="U45" s="1"/>
      <c r="V45" s="5">
        <f t="shared" si="36"/>
        <v>0.13337405650013018</v>
      </c>
      <c r="W45" s="1"/>
      <c r="X45" s="1">
        <f t="shared" si="37"/>
        <v>-24013.96</v>
      </c>
      <c r="Y45" s="1"/>
      <c r="Z45" s="5">
        <f t="shared" si="38"/>
        <v>-0.94780174673040607</v>
      </c>
    </row>
    <row r="46" spans="1:26" s="23" customFormat="1" hidden="1" outlineLevel="2" x14ac:dyDescent="0.25">
      <c r="A46" s="25"/>
      <c r="B46" s="10" t="str">
        <f>CONCATENATE("          ", "6322", " - ", "EQUIPMENT DEPRECIATION EXPENSE")</f>
        <v xml:space="preserve">          6322 - EQUIPMENT DEPRECIATION EXPENSE</v>
      </c>
      <c r="C46" s="10"/>
      <c r="D46" s="6">
        <v>7.47</v>
      </c>
      <c r="E46" s="2"/>
      <c r="F46" s="7">
        <f t="shared" si="31"/>
        <v>0</v>
      </c>
      <c r="G46" s="2"/>
      <c r="H46" s="6">
        <v>119.53</v>
      </c>
      <c r="I46" s="2"/>
      <c r="J46" s="7">
        <f t="shared" si="32"/>
        <v>0</v>
      </c>
      <c r="K46" s="2"/>
      <c r="L46" s="6">
        <f t="shared" si="33"/>
        <v>-112.06</v>
      </c>
      <c r="M46" s="2"/>
      <c r="N46" s="7">
        <f t="shared" si="34"/>
        <v>-0.93750522881285037</v>
      </c>
      <c r="O46" s="10"/>
      <c r="P46" s="6">
        <v>1322.52</v>
      </c>
      <c r="Q46" s="2"/>
      <c r="R46" s="7">
        <f t="shared" si="35"/>
        <v>0</v>
      </c>
      <c r="S46" s="2"/>
      <c r="T46" s="6">
        <v>25336.48</v>
      </c>
      <c r="U46" s="2"/>
      <c r="V46" s="7">
        <f t="shared" si="36"/>
        <v>0.13337405650013018</v>
      </c>
      <c r="W46" s="2"/>
      <c r="X46" s="6">
        <f t="shared" si="37"/>
        <v>-24013.96</v>
      </c>
      <c r="Y46" s="2"/>
      <c r="Z46" s="7">
        <f t="shared" si="38"/>
        <v>-0.94780174673040607</v>
      </c>
    </row>
    <row r="47" spans="1:26" s="27" customFormat="1" outlineLevel="1" collapsed="1" x14ac:dyDescent="0.25">
      <c r="A47" s="26"/>
      <c r="B47" s="12" t="str">
        <f>CONCATENATE("     ","Employees' Appreciation                           ")</f>
        <v xml:space="preserve">     Employees' Appreciation                           </v>
      </c>
      <c r="C47" s="12"/>
      <c r="D47" s="1">
        <f>SUM(OSRRefD22_6x_0)</f>
        <v>0</v>
      </c>
      <c r="E47" s="1"/>
      <c r="F47" s="5">
        <f t="shared" si="31"/>
        <v>0</v>
      </c>
      <c r="G47" s="1"/>
      <c r="H47" s="1">
        <f>SUM(OSRRefH22_6x_0)</f>
        <v>0</v>
      </c>
      <c r="I47" s="1"/>
      <c r="J47" s="5">
        <f t="shared" si="32"/>
        <v>0</v>
      </c>
      <c r="K47" s="1"/>
      <c r="L47" s="1">
        <f t="shared" si="33"/>
        <v>0</v>
      </c>
      <c r="M47" s="1"/>
      <c r="N47" s="5">
        <f t="shared" si="34"/>
        <v>0</v>
      </c>
      <c r="O47" s="12"/>
      <c r="P47" s="1">
        <f>SUM(OSRRefP22_6x_0)</f>
        <v>0</v>
      </c>
      <c r="Q47" s="1"/>
      <c r="R47" s="5">
        <f t="shared" si="35"/>
        <v>0</v>
      </c>
      <c r="S47" s="1"/>
      <c r="T47" s="1">
        <f>SUM(OSRRefT22_6x_0)</f>
        <v>107.51</v>
      </c>
      <c r="U47" s="1"/>
      <c r="V47" s="5">
        <f t="shared" si="36"/>
        <v>5.6594463060097517E-4</v>
      </c>
      <c r="W47" s="1"/>
      <c r="X47" s="1">
        <f t="shared" si="37"/>
        <v>-107.51</v>
      </c>
      <c r="Y47" s="1"/>
      <c r="Z47" s="5">
        <f t="shared" si="38"/>
        <v>-1</v>
      </c>
    </row>
    <row r="48" spans="1:26" s="23" customFormat="1" hidden="1" outlineLevel="2" x14ac:dyDescent="0.25">
      <c r="A48" s="25"/>
      <c r="B48" s="10" t="str">
        <f>CONCATENATE("          ", "6277", " - ", "EMPLOYEE APPRECIATION")</f>
        <v xml:space="preserve">          6277 - EMPLOYEE APPRECIATION</v>
      </c>
      <c r="C48" s="10"/>
      <c r="D48" s="6"/>
      <c r="E48" s="2"/>
      <c r="F48" s="7">
        <f t="shared" si="31"/>
        <v>0</v>
      </c>
      <c r="G48" s="2"/>
      <c r="H48" s="6"/>
      <c r="I48" s="2"/>
      <c r="J48" s="7">
        <f t="shared" si="32"/>
        <v>0</v>
      </c>
      <c r="K48" s="2"/>
      <c r="L48" s="6">
        <f t="shared" si="33"/>
        <v>0</v>
      </c>
      <c r="M48" s="2"/>
      <c r="N48" s="7">
        <f t="shared" si="34"/>
        <v>0</v>
      </c>
      <c r="O48" s="10"/>
      <c r="P48" s="6"/>
      <c r="Q48" s="2"/>
      <c r="R48" s="7">
        <f t="shared" si="35"/>
        <v>0</v>
      </c>
      <c r="S48" s="2"/>
      <c r="T48" s="6">
        <v>107.51</v>
      </c>
      <c r="U48" s="2"/>
      <c r="V48" s="7">
        <f t="shared" si="36"/>
        <v>5.6594463060097517E-4</v>
      </c>
      <c r="W48" s="2"/>
      <c r="X48" s="6">
        <f t="shared" si="37"/>
        <v>-107.51</v>
      </c>
      <c r="Y48" s="2"/>
      <c r="Z48" s="7">
        <f t="shared" si="38"/>
        <v>-1</v>
      </c>
    </row>
    <row r="49" spans="1:26" s="27" customFormat="1" outlineLevel="1" collapsed="1" x14ac:dyDescent="0.25">
      <c r="A49" s="26"/>
      <c r="B49" s="12" t="str">
        <f>CONCATENATE("     ","Equipment Rental                                  ")</f>
        <v xml:space="preserve">     Equipment Rental                                  </v>
      </c>
      <c r="C49" s="12"/>
      <c r="D49" s="1">
        <f>SUM(OSRRefD22_7x_0)</f>
        <v>0</v>
      </c>
      <c r="E49" s="1"/>
      <c r="F49" s="5">
        <f t="shared" si="31"/>
        <v>0</v>
      </c>
      <c r="G49" s="1"/>
      <c r="H49" s="1">
        <f>SUM(OSRRefH22_7x_0)</f>
        <v>64.02</v>
      </c>
      <c r="I49" s="1"/>
      <c r="J49" s="5">
        <f t="shared" si="32"/>
        <v>0</v>
      </c>
      <c r="K49" s="1"/>
      <c r="L49" s="1">
        <f t="shared" si="33"/>
        <v>-64.02</v>
      </c>
      <c r="M49" s="1"/>
      <c r="N49" s="5">
        <f t="shared" si="34"/>
        <v>-1</v>
      </c>
      <c r="O49" s="12"/>
      <c r="P49" s="1">
        <f>SUM(OSRRefP22_7x_0)</f>
        <v>64.02</v>
      </c>
      <c r="Q49" s="1"/>
      <c r="R49" s="5">
        <f t="shared" si="35"/>
        <v>0</v>
      </c>
      <c r="S49" s="1"/>
      <c r="T49" s="1">
        <f>SUM(OSRRefT22_7x_0)</f>
        <v>1712.78</v>
      </c>
      <c r="U49" s="1"/>
      <c r="V49" s="5">
        <f t="shared" si="36"/>
        <v>9.0162649465234685E-3</v>
      </c>
      <c r="W49" s="1"/>
      <c r="X49" s="1">
        <f t="shared" si="37"/>
        <v>-1648.76</v>
      </c>
      <c r="Y49" s="1"/>
      <c r="Z49" s="5">
        <f t="shared" si="38"/>
        <v>-0.96262216980581283</v>
      </c>
    </row>
    <row r="50" spans="1:26" s="23" customFormat="1" hidden="1" outlineLevel="2" x14ac:dyDescent="0.25">
      <c r="A50" s="25"/>
      <c r="B50" s="10" t="str">
        <f>CONCATENATE("          ", "6351", " - ", "EQUIPMENT RENTAL")</f>
        <v xml:space="preserve">          6351 - EQUIPMENT RENTAL</v>
      </c>
      <c r="C50" s="10"/>
      <c r="D50" s="6"/>
      <c r="E50" s="2"/>
      <c r="F50" s="7">
        <f t="shared" si="31"/>
        <v>0</v>
      </c>
      <c r="G50" s="2"/>
      <c r="H50" s="6">
        <v>64.02</v>
      </c>
      <c r="I50" s="2"/>
      <c r="J50" s="7">
        <f t="shared" si="32"/>
        <v>0</v>
      </c>
      <c r="K50" s="2"/>
      <c r="L50" s="6">
        <f t="shared" si="33"/>
        <v>-64.02</v>
      </c>
      <c r="M50" s="2"/>
      <c r="N50" s="7">
        <f t="shared" si="34"/>
        <v>-1</v>
      </c>
      <c r="O50" s="10"/>
      <c r="P50" s="6">
        <v>64.02</v>
      </c>
      <c r="Q50" s="2"/>
      <c r="R50" s="7">
        <f t="shared" si="35"/>
        <v>0</v>
      </c>
      <c r="S50" s="2"/>
      <c r="T50" s="6">
        <v>1712.78</v>
      </c>
      <c r="U50" s="2"/>
      <c r="V50" s="7">
        <f t="shared" si="36"/>
        <v>9.0162649465234685E-3</v>
      </c>
      <c r="W50" s="2"/>
      <c r="X50" s="6">
        <f t="shared" si="37"/>
        <v>-1648.76</v>
      </c>
      <c r="Y50" s="2"/>
      <c r="Z50" s="7">
        <f t="shared" si="38"/>
        <v>-0.96262216980581283</v>
      </c>
    </row>
    <row r="51" spans="1:26" s="27" customFormat="1" outlineLevel="1" collapsed="1" x14ac:dyDescent="0.25">
      <c r="A51" s="26"/>
      <c r="B51" s="12" t="str">
        <f>CONCATENATE("     ","General                                           ")</f>
        <v xml:space="preserve">     General                                           </v>
      </c>
      <c r="C51" s="12"/>
      <c r="D51" s="1">
        <f>SUM(OSRRefD22_8x_0)</f>
        <v>0</v>
      </c>
      <c r="E51" s="1"/>
      <c r="F51" s="5">
        <f t="shared" si="31"/>
        <v>0</v>
      </c>
      <c r="G51" s="1"/>
      <c r="H51" s="1">
        <f>SUM(OSRRefH22_8x_0)</f>
        <v>0</v>
      </c>
      <c r="I51" s="1"/>
      <c r="J51" s="5">
        <f t="shared" si="32"/>
        <v>0</v>
      </c>
      <c r="K51" s="1"/>
      <c r="L51" s="1">
        <f t="shared" si="33"/>
        <v>0</v>
      </c>
      <c r="M51" s="1"/>
      <c r="N51" s="5">
        <f t="shared" si="34"/>
        <v>0</v>
      </c>
      <c r="O51" s="12"/>
      <c r="P51" s="1">
        <f>SUM(OSRRefP22_8x_0)</f>
        <v>0</v>
      </c>
      <c r="Q51" s="1"/>
      <c r="R51" s="5">
        <f t="shared" si="35"/>
        <v>0</v>
      </c>
      <c r="S51" s="1"/>
      <c r="T51" s="1">
        <f>SUM(OSRRefT22_8x_0)</f>
        <v>768.15</v>
      </c>
      <c r="U51" s="1"/>
      <c r="V51" s="5">
        <f t="shared" si="36"/>
        <v>4.0436272718457726E-3</v>
      </c>
      <c r="W51" s="1"/>
      <c r="X51" s="1">
        <f t="shared" si="37"/>
        <v>-768.15</v>
      </c>
      <c r="Y51" s="1"/>
      <c r="Z51" s="5">
        <f t="shared" si="38"/>
        <v>-1</v>
      </c>
    </row>
    <row r="52" spans="1:26" s="23" customFormat="1" hidden="1" outlineLevel="2" x14ac:dyDescent="0.25">
      <c r="A52" s="25"/>
      <c r="B52" s="10" t="str">
        <f>CONCATENATE("          ", "6279", " - ", "GENERAL EXPENSE")</f>
        <v xml:space="preserve">          6279 - GENERAL EXPENSE</v>
      </c>
      <c r="C52" s="10"/>
      <c r="D52" s="6"/>
      <c r="E52" s="2"/>
      <c r="F52" s="7">
        <f t="shared" si="31"/>
        <v>0</v>
      </c>
      <c r="G52" s="2"/>
      <c r="H52" s="6"/>
      <c r="I52" s="2"/>
      <c r="J52" s="7">
        <f t="shared" si="32"/>
        <v>0</v>
      </c>
      <c r="K52" s="2"/>
      <c r="L52" s="6">
        <f t="shared" si="33"/>
        <v>0</v>
      </c>
      <c r="M52" s="2"/>
      <c r="N52" s="7">
        <f t="shared" si="34"/>
        <v>0</v>
      </c>
      <c r="O52" s="10"/>
      <c r="P52" s="6"/>
      <c r="Q52" s="2"/>
      <c r="R52" s="7">
        <f t="shared" si="35"/>
        <v>0</v>
      </c>
      <c r="S52" s="2"/>
      <c r="T52" s="6">
        <v>768.15</v>
      </c>
      <c r="U52" s="2"/>
      <c r="V52" s="7">
        <f t="shared" si="36"/>
        <v>4.0436272718457726E-3</v>
      </c>
      <c r="W52" s="2"/>
      <c r="X52" s="6">
        <f t="shared" si="37"/>
        <v>-768.15</v>
      </c>
      <c r="Y52" s="2"/>
      <c r="Z52" s="7">
        <f t="shared" si="38"/>
        <v>-1</v>
      </c>
    </row>
    <row r="53" spans="1:26" s="27" customFormat="1" outlineLevel="1" collapsed="1" x14ac:dyDescent="0.25">
      <c r="A53" s="26"/>
      <c r="B53" s="12" t="str">
        <f>CONCATENATE("     ","Repair and Maintenance                            ")</f>
        <v xml:space="preserve">     Repair and Maintenance                            </v>
      </c>
      <c r="C53" s="12"/>
      <c r="D53" s="1">
        <f>SUM(OSRRefD22_9x_0)</f>
        <v>69.290000000000006</v>
      </c>
      <c r="E53" s="1"/>
      <c r="F53" s="5">
        <f t="shared" si="31"/>
        <v>0</v>
      </c>
      <c r="G53" s="1"/>
      <c r="H53" s="1">
        <f>SUM(OSRRefH22_9x_0)</f>
        <v>69.290000000000006</v>
      </c>
      <c r="I53" s="1"/>
      <c r="J53" s="5">
        <f t="shared" si="32"/>
        <v>0</v>
      </c>
      <c r="K53" s="1"/>
      <c r="L53" s="1">
        <f t="shared" si="33"/>
        <v>0</v>
      </c>
      <c r="M53" s="1"/>
      <c r="N53" s="5">
        <f t="shared" si="34"/>
        <v>0</v>
      </c>
      <c r="O53" s="12"/>
      <c r="P53" s="1">
        <f>SUM(OSRRefP22_9x_0)</f>
        <v>355.76</v>
      </c>
      <c r="Q53" s="1"/>
      <c r="R53" s="5">
        <f t="shared" si="35"/>
        <v>0</v>
      </c>
      <c r="S53" s="1"/>
      <c r="T53" s="1">
        <f>SUM(OSRRefT22_9x_0)</f>
        <v>5563.88</v>
      </c>
      <c r="U53" s="1"/>
      <c r="V53" s="5">
        <f t="shared" si="36"/>
        <v>2.9288884860088862E-2</v>
      </c>
      <c r="W53" s="1"/>
      <c r="X53" s="1">
        <f t="shared" si="37"/>
        <v>-5208.12</v>
      </c>
      <c r="Y53" s="1"/>
      <c r="Z53" s="5">
        <f t="shared" si="38"/>
        <v>-0.93605900918064366</v>
      </c>
    </row>
    <row r="54" spans="1:26" s="23" customFormat="1" hidden="1" outlineLevel="2" x14ac:dyDescent="0.25">
      <c r="A54" s="25"/>
      <c r="B54" s="10" t="str">
        <f>CONCATENATE("          ", "6371", " - ", "COMPUTER SOFTWARE MAINTENANCE")</f>
        <v xml:space="preserve">          6371 - COMPUTER SOFTWARE MAINTENANCE</v>
      </c>
      <c r="C54" s="10"/>
      <c r="D54" s="6"/>
      <c r="E54" s="2"/>
      <c r="F54" s="7">
        <f t="shared" si="31"/>
        <v>0</v>
      </c>
      <c r="G54" s="2"/>
      <c r="H54" s="6"/>
      <c r="I54" s="2"/>
      <c r="J54" s="7">
        <f t="shared" si="32"/>
        <v>0</v>
      </c>
      <c r="K54" s="2"/>
      <c r="L54" s="6">
        <f t="shared" si="33"/>
        <v>0</v>
      </c>
      <c r="M54" s="2"/>
      <c r="N54" s="7">
        <f t="shared" si="34"/>
        <v>0</v>
      </c>
      <c r="O54" s="10"/>
      <c r="P54" s="6"/>
      <c r="Q54" s="2"/>
      <c r="R54" s="7">
        <f t="shared" si="35"/>
        <v>0</v>
      </c>
      <c r="S54" s="2"/>
      <c r="T54" s="6">
        <v>2186.54</v>
      </c>
      <c r="U54" s="2"/>
      <c r="V54" s="7">
        <f t="shared" si="36"/>
        <v>1.1510190425023312E-2</v>
      </c>
      <c r="W54" s="2"/>
      <c r="X54" s="6">
        <f t="shared" si="37"/>
        <v>-2186.54</v>
      </c>
      <c r="Y54" s="2"/>
      <c r="Z54" s="7">
        <f t="shared" si="38"/>
        <v>-1</v>
      </c>
    </row>
    <row r="55" spans="1:26" s="23" customFormat="1" hidden="1" outlineLevel="2" x14ac:dyDescent="0.25">
      <c r="A55" s="25"/>
      <c r="B55" s="10" t="str">
        <f>CONCATENATE("          ", "6373", " - ", "MAINTENANCE CONTRACTS")</f>
        <v xml:space="preserve">          6373 - MAINTENANCE CONTRACTS</v>
      </c>
      <c r="C55" s="10"/>
      <c r="D55" s="6">
        <v>69.290000000000006</v>
      </c>
      <c r="E55" s="2"/>
      <c r="F55" s="7">
        <f t="shared" si="31"/>
        <v>0</v>
      </c>
      <c r="G55" s="2"/>
      <c r="H55" s="6">
        <v>69.290000000000006</v>
      </c>
      <c r="I55" s="2"/>
      <c r="J55" s="7">
        <f t="shared" si="32"/>
        <v>0</v>
      </c>
      <c r="K55" s="2"/>
      <c r="L55" s="6">
        <f t="shared" si="33"/>
        <v>0</v>
      </c>
      <c r="M55" s="2"/>
      <c r="N55" s="7">
        <f t="shared" si="34"/>
        <v>0</v>
      </c>
      <c r="O55" s="10"/>
      <c r="P55" s="6">
        <v>355.76</v>
      </c>
      <c r="Q55" s="2"/>
      <c r="R55" s="7">
        <f t="shared" si="35"/>
        <v>0</v>
      </c>
      <c r="S55" s="2"/>
      <c r="T55" s="6">
        <v>978.86</v>
      </c>
      <c r="U55" s="2"/>
      <c r="V55" s="7">
        <f t="shared" si="36"/>
        <v>5.1528282123529954E-3</v>
      </c>
      <c r="W55" s="2"/>
      <c r="X55" s="6">
        <f t="shared" si="37"/>
        <v>-623.1</v>
      </c>
      <c r="Y55" s="2"/>
      <c r="Z55" s="7">
        <f t="shared" si="38"/>
        <v>-0.63655681098420613</v>
      </c>
    </row>
    <row r="56" spans="1:26" s="23" customFormat="1" hidden="1" outlineLevel="2" x14ac:dyDescent="0.25">
      <c r="A56" s="25"/>
      <c r="B56" s="10" t="str">
        <f>CONCATENATE("          ", "6375", " - ", "OUTSIDE REPAIRS &amp; MAINTENANCE")</f>
        <v xml:space="preserve">          6375 - OUTSIDE REPAIRS &amp; MAINTENANCE</v>
      </c>
      <c r="C56" s="10"/>
      <c r="D56" s="6"/>
      <c r="E56" s="2"/>
      <c r="F56" s="7">
        <f t="shared" si="31"/>
        <v>0</v>
      </c>
      <c r="G56" s="2"/>
      <c r="H56" s="6"/>
      <c r="I56" s="2"/>
      <c r="J56" s="7">
        <f t="shared" si="32"/>
        <v>0</v>
      </c>
      <c r="K56" s="2"/>
      <c r="L56" s="6">
        <f t="shared" si="33"/>
        <v>0</v>
      </c>
      <c r="M56" s="2"/>
      <c r="N56" s="7">
        <f t="shared" si="34"/>
        <v>0</v>
      </c>
      <c r="O56" s="10"/>
      <c r="P56" s="6"/>
      <c r="Q56" s="2"/>
      <c r="R56" s="7">
        <f t="shared" si="35"/>
        <v>0</v>
      </c>
      <c r="S56" s="2"/>
      <c r="T56" s="6">
        <v>2398.48</v>
      </c>
      <c r="U56" s="2"/>
      <c r="V56" s="7">
        <f t="shared" si="36"/>
        <v>1.2625866222712556E-2</v>
      </c>
      <c r="W56" s="2"/>
      <c r="X56" s="6">
        <f t="shared" si="37"/>
        <v>-2398.48</v>
      </c>
      <c r="Y56" s="2"/>
      <c r="Z56" s="7">
        <f t="shared" si="38"/>
        <v>-1</v>
      </c>
    </row>
    <row r="57" spans="1:26" s="27" customFormat="1" outlineLevel="1" collapsed="1" x14ac:dyDescent="0.25">
      <c r="A57" s="26"/>
      <c r="B57" s="12" t="str">
        <f>CONCATENATE("     ","Services                                          ")</f>
        <v xml:space="preserve">     Services                                          </v>
      </c>
      <c r="C57" s="12"/>
      <c r="D57" s="1">
        <f>SUM(OSRRefD22_10x_0)</f>
        <v>0</v>
      </c>
      <c r="E57" s="1"/>
      <c r="F57" s="5">
        <f t="shared" ref="F57:F59" si="39">IF(D$12=0,0,D57/D$12)</f>
        <v>0</v>
      </c>
      <c r="G57" s="1"/>
      <c r="H57" s="1">
        <f>SUM(OSRRefH22_10x_0)</f>
        <v>0</v>
      </c>
      <c r="I57" s="1"/>
      <c r="J57" s="5">
        <f t="shared" ref="J57:J59" si="40">IF(H$12=0,0,H57/H$12)</f>
        <v>0</v>
      </c>
      <c r="K57" s="1"/>
      <c r="L57" s="1">
        <f t="shared" ref="L57:L59" si="41">+D57-H57</f>
        <v>0</v>
      </c>
      <c r="M57" s="1"/>
      <c r="N57" s="5">
        <f t="shared" ref="N57:N59" si="42">IF(H57=0,0,L57/H57)</f>
        <v>0</v>
      </c>
      <c r="O57" s="12"/>
      <c r="P57" s="1">
        <f>SUM(OSRRefP22_10x_0)</f>
        <v>0</v>
      </c>
      <c r="Q57" s="1"/>
      <c r="R57" s="5">
        <f t="shared" ref="R57:R59" si="43">IF(P$12=0,0,P57/P$12)</f>
        <v>0</v>
      </c>
      <c r="S57" s="1"/>
      <c r="T57" s="1">
        <f>SUM(OSRRefT22_10x_0)</f>
        <v>1739.62</v>
      </c>
      <c r="U57" s="1"/>
      <c r="V57" s="5">
        <f t="shared" ref="V57:V59" si="44">IF(T$12=0,0,T57/T$12)</f>
        <v>9.1575536999913346E-3</v>
      </c>
      <c r="W57" s="1"/>
      <c r="X57" s="1">
        <f t="shared" ref="X57:X59" si="45">+P57-T57</f>
        <v>-1739.62</v>
      </c>
      <c r="Y57" s="1"/>
      <c r="Z57" s="5">
        <f t="shared" ref="Z57:Z59" si="46">IF(T57=0,0,X57/T57)</f>
        <v>-1</v>
      </c>
    </row>
    <row r="58" spans="1:26" s="23" customFormat="1" hidden="1" outlineLevel="2" x14ac:dyDescent="0.25">
      <c r="A58" s="25"/>
      <c r="B58" s="10" t="str">
        <f>CONCATENATE("          ", "6285", " - ", "JANITORIAL SERVICES")</f>
        <v xml:space="preserve">          6285 - JANITORIAL SERVICES</v>
      </c>
      <c r="C58" s="10"/>
      <c r="D58" s="6"/>
      <c r="E58" s="2"/>
      <c r="F58" s="7">
        <f t="shared" si="39"/>
        <v>0</v>
      </c>
      <c r="G58" s="2"/>
      <c r="H58" s="6"/>
      <c r="I58" s="2"/>
      <c r="J58" s="7">
        <f t="shared" si="40"/>
        <v>0</v>
      </c>
      <c r="K58" s="2"/>
      <c r="L58" s="6">
        <f t="shared" si="41"/>
        <v>0</v>
      </c>
      <c r="M58" s="2"/>
      <c r="N58" s="7">
        <f t="shared" si="42"/>
        <v>0</v>
      </c>
      <c r="O58" s="10"/>
      <c r="P58" s="6"/>
      <c r="Q58" s="2"/>
      <c r="R58" s="7">
        <f t="shared" si="43"/>
        <v>0</v>
      </c>
      <c r="S58" s="2"/>
      <c r="T58" s="6">
        <v>1305.25</v>
      </c>
      <c r="U58" s="2"/>
      <c r="V58" s="7">
        <f t="shared" si="44"/>
        <v>6.8709815746621043E-3</v>
      </c>
      <c r="W58" s="2"/>
      <c r="X58" s="6">
        <f t="shared" si="45"/>
        <v>-1305.25</v>
      </c>
      <c r="Y58" s="2"/>
      <c r="Z58" s="7">
        <f t="shared" si="46"/>
        <v>-1</v>
      </c>
    </row>
    <row r="59" spans="1:26" s="23" customFormat="1" hidden="1" outlineLevel="2" x14ac:dyDescent="0.25">
      <c r="A59" s="25"/>
      <c r="B59" s="10" t="str">
        <f>CONCATENATE("          ", "6286", " - ", "LAUNDRY EXPENSE")</f>
        <v xml:space="preserve">          6286 - LAUNDRY EXPENSE</v>
      </c>
      <c r="C59" s="10"/>
      <c r="D59" s="6"/>
      <c r="E59" s="2"/>
      <c r="F59" s="7">
        <f t="shared" si="39"/>
        <v>0</v>
      </c>
      <c r="G59" s="2"/>
      <c r="H59" s="6"/>
      <c r="I59" s="2"/>
      <c r="J59" s="7">
        <f t="shared" si="40"/>
        <v>0</v>
      </c>
      <c r="K59" s="2"/>
      <c r="L59" s="6">
        <f t="shared" si="41"/>
        <v>0</v>
      </c>
      <c r="M59" s="2"/>
      <c r="N59" s="7">
        <f t="shared" si="42"/>
        <v>0</v>
      </c>
      <c r="O59" s="10"/>
      <c r="P59" s="6"/>
      <c r="Q59" s="2"/>
      <c r="R59" s="7">
        <f t="shared" si="43"/>
        <v>0</v>
      </c>
      <c r="S59" s="2"/>
      <c r="T59" s="6">
        <v>434.37</v>
      </c>
      <c r="U59" s="2"/>
      <c r="V59" s="7">
        <f t="shared" si="44"/>
        <v>2.2865721253292307E-3</v>
      </c>
      <c r="W59" s="2"/>
      <c r="X59" s="6">
        <f t="shared" si="45"/>
        <v>-434.37</v>
      </c>
      <c r="Y59" s="2"/>
      <c r="Z59" s="7">
        <f t="shared" si="46"/>
        <v>-1</v>
      </c>
    </row>
    <row r="60" spans="1:26" s="27" customFormat="1" outlineLevel="1" collapsed="1" x14ac:dyDescent="0.25">
      <c r="A60" s="26"/>
      <c r="B60" s="12" t="str">
        <f>CONCATENATE("     ","Supplies                                          ")</f>
        <v xml:space="preserve">     Supplies                                          </v>
      </c>
      <c r="C60" s="12"/>
      <c r="D60" s="1">
        <f>SUM(OSRRefD22_11x_0)</f>
        <v>0</v>
      </c>
      <c r="E60" s="1"/>
      <c r="F60" s="5">
        <f t="shared" ref="F60:F66" si="47">IF(D$12=0,0,D60/D$12)</f>
        <v>0</v>
      </c>
      <c r="G60" s="1"/>
      <c r="H60" s="1">
        <f>SUM(OSRRefH22_11x_0)</f>
        <v>0</v>
      </c>
      <c r="I60" s="1"/>
      <c r="J60" s="5">
        <f t="shared" ref="J60:J66" si="48">IF(H$12=0,0,H60/H$12)</f>
        <v>0</v>
      </c>
      <c r="K60" s="1"/>
      <c r="L60" s="1">
        <f t="shared" ref="L60:L66" si="49">+D60-H60</f>
        <v>0</v>
      </c>
      <c r="M60" s="1"/>
      <c r="N60" s="5">
        <f t="shared" ref="N60:N66" si="50">IF(H60=0,0,L60/H60)</f>
        <v>0</v>
      </c>
      <c r="O60" s="12"/>
      <c r="P60" s="1">
        <f>SUM(OSRRefP22_11x_0)</f>
        <v>0</v>
      </c>
      <c r="Q60" s="1"/>
      <c r="R60" s="5">
        <f t="shared" ref="R60:R66" si="51">IF(P$12=0,0,P60/P$12)</f>
        <v>0</v>
      </c>
      <c r="S60" s="1"/>
      <c r="T60" s="1">
        <f>SUM(OSRRefT22_11x_0)</f>
        <v>6296.61</v>
      </c>
      <c r="U60" s="1"/>
      <c r="V60" s="5">
        <f t="shared" ref="V60:V66" si="52">IF(T$12=0,0,T60/T$12)</f>
        <v>3.3146057301538516E-2</v>
      </c>
      <c r="W60" s="1"/>
      <c r="X60" s="1">
        <f t="shared" ref="X60:X66" si="53">+P60-T60</f>
        <v>-6296.61</v>
      </c>
      <c r="Y60" s="1"/>
      <c r="Z60" s="5">
        <f t="shared" ref="Z60:Z66" si="54">IF(T60=0,0,X60/T60)</f>
        <v>-1</v>
      </c>
    </row>
    <row r="61" spans="1:26" s="23" customFormat="1" hidden="1" outlineLevel="2" x14ac:dyDescent="0.25">
      <c r="A61" s="25"/>
      <c r="B61" s="10" t="str">
        <f>CONCATENATE("          ", "6237", " - ", "JANITORIAL SUPPLIES")</f>
        <v xml:space="preserve">          6237 - JANITORIAL SUPPLIES</v>
      </c>
      <c r="C61" s="10"/>
      <c r="D61" s="6"/>
      <c r="E61" s="2"/>
      <c r="F61" s="7">
        <f t="shared" si="47"/>
        <v>0</v>
      </c>
      <c r="G61" s="2"/>
      <c r="H61" s="6"/>
      <c r="I61" s="2"/>
      <c r="J61" s="7">
        <f t="shared" si="48"/>
        <v>0</v>
      </c>
      <c r="K61" s="2"/>
      <c r="L61" s="6">
        <f t="shared" si="49"/>
        <v>0</v>
      </c>
      <c r="M61" s="2"/>
      <c r="N61" s="7">
        <f t="shared" si="50"/>
        <v>0</v>
      </c>
      <c r="O61" s="10"/>
      <c r="P61" s="6"/>
      <c r="Q61" s="2"/>
      <c r="R61" s="7">
        <f t="shared" si="51"/>
        <v>0</v>
      </c>
      <c r="S61" s="2"/>
      <c r="T61" s="6">
        <v>10.95</v>
      </c>
      <c r="U61" s="2"/>
      <c r="V61" s="7">
        <f t="shared" si="52"/>
        <v>5.7642021254587271E-5</v>
      </c>
      <c r="W61" s="2"/>
      <c r="X61" s="6">
        <f t="shared" si="53"/>
        <v>-10.95</v>
      </c>
      <c r="Y61" s="2"/>
      <c r="Z61" s="7">
        <f t="shared" si="54"/>
        <v>-1</v>
      </c>
    </row>
    <row r="62" spans="1:26" s="23" customFormat="1" hidden="1" outlineLevel="2" x14ac:dyDescent="0.25">
      <c r="A62" s="25"/>
      <c r="B62" s="10" t="str">
        <f>CONCATENATE("          ", "6239", " - ", "KITCHEN SUPPLIES")</f>
        <v xml:space="preserve">          6239 - KITCHEN SUPPLIES</v>
      </c>
      <c r="C62" s="10"/>
      <c r="D62" s="6"/>
      <c r="E62" s="2"/>
      <c r="F62" s="7">
        <f t="shared" si="47"/>
        <v>0</v>
      </c>
      <c r="G62" s="2"/>
      <c r="H62" s="6"/>
      <c r="I62" s="2"/>
      <c r="J62" s="7">
        <f t="shared" si="48"/>
        <v>0</v>
      </c>
      <c r="K62" s="2"/>
      <c r="L62" s="6">
        <f t="shared" si="49"/>
        <v>0</v>
      </c>
      <c r="M62" s="2"/>
      <c r="N62" s="7">
        <f t="shared" si="50"/>
        <v>0</v>
      </c>
      <c r="O62" s="10"/>
      <c r="P62" s="6"/>
      <c r="Q62" s="2"/>
      <c r="R62" s="7">
        <f t="shared" si="51"/>
        <v>0</v>
      </c>
      <c r="S62" s="2"/>
      <c r="T62" s="6">
        <v>2898.22</v>
      </c>
      <c r="U62" s="2"/>
      <c r="V62" s="7">
        <f t="shared" si="52"/>
        <v>1.5256553318764375E-2</v>
      </c>
      <c r="W62" s="2"/>
      <c r="X62" s="6">
        <f t="shared" si="53"/>
        <v>-2898.22</v>
      </c>
      <c r="Y62" s="2"/>
      <c r="Z62" s="7">
        <f t="shared" si="54"/>
        <v>-1</v>
      </c>
    </row>
    <row r="63" spans="1:26" s="23" customFormat="1" hidden="1" outlineLevel="2" x14ac:dyDescent="0.25">
      <c r="A63" s="25"/>
      <c r="B63" s="10" t="str">
        <f>CONCATENATE("          ", "6241", " - ", "OFFICE EXPENSE")</f>
        <v xml:space="preserve">          6241 - OFFICE EXPENSE</v>
      </c>
      <c r="C63" s="10"/>
      <c r="D63" s="6"/>
      <c r="E63" s="2"/>
      <c r="F63" s="7">
        <f t="shared" si="47"/>
        <v>0</v>
      </c>
      <c r="G63" s="2"/>
      <c r="H63" s="6"/>
      <c r="I63" s="2"/>
      <c r="J63" s="7">
        <f t="shared" si="48"/>
        <v>0</v>
      </c>
      <c r="K63" s="2"/>
      <c r="L63" s="6">
        <f t="shared" si="49"/>
        <v>0</v>
      </c>
      <c r="M63" s="2"/>
      <c r="N63" s="7">
        <f t="shared" si="50"/>
        <v>0</v>
      </c>
      <c r="O63" s="10"/>
      <c r="P63" s="6"/>
      <c r="Q63" s="2"/>
      <c r="R63" s="7">
        <f t="shared" si="51"/>
        <v>0</v>
      </c>
      <c r="S63" s="2"/>
      <c r="T63" s="6">
        <v>788.91</v>
      </c>
      <c r="U63" s="2"/>
      <c r="V63" s="7">
        <f t="shared" si="52"/>
        <v>4.1529102272106341E-3</v>
      </c>
      <c r="W63" s="2"/>
      <c r="X63" s="6">
        <f t="shared" si="53"/>
        <v>-788.91</v>
      </c>
      <c r="Y63" s="2"/>
      <c r="Z63" s="7">
        <f t="shared" si="54"/>
        <v>-1</v>
      </c>
    </row>
    <row r="64" spans="1:26" s="23" customFormat="1" hidden="1" outlineLevel="2" x14ac:dyDescent="0.25">
      <c r="A64" s="25"/>
      <c r="B64" s="10" t="str">
        <f>CONCATENATE("          ", "6243", " - ", "PAPER SUPPLIES")</f>
        <v xml:space="preserve">          6243 - PAPER SUPPLIES</v>
      </c>
      <c r="C64" s="10"/>
      <c r="D64" s="6"/>
      <c r="E64" s="2"/>
      <c r="F64" s="7">
        <f t="shared" si="47"/>
        <v>0</v>
      </c>
      <c r="G64" s="2"/>
      <c r="H64" s="6"/>
      <c r="I64" s="2"/>
      <c r="J64" s="7">
        <f t="shared" si="48"/>
        <v>0</v>
      </c>
      <c r="K64" s="2"/>
      <c r="L64" s="6">
        <f t="shared" si="49"/>
        <v>0</v>
      </c>
      <c r="M64" s="2"/>
      <c r="N64" s="7">
        <f t="shared" si="50"/>
        <v>0</v>
      </c>
      <c r="O64" s="10"/>
      <c r="P64" s="6"/>
      <c r="Q64" s="2"/>
      <c r="R64" s="7">
        <f t="shared" si="51"/>
        <v>0</v>
      </c>
      <c r="S64" s="2"/>
      <c r="T64" s="6">
        <v>1858.86</v>
      </c>
      <c r="U64" s="2"/>
      <c r="V64" s="7">
        <f t="shared" si="52"/>
        <v>9.7852463588403733E-3</v>
      </c>
      <c r="W64" s="2"/>
      <c r="X64" s="6">
        <f t="shared" si="53"/>
        <v>-1858.86</v>
      </c>
      <c r="Y64" s="2"/>
      <c r="Z64" s="7">
        <f t="shared" si="54"/>
        <v>-1</v>
      </c>
    </row>
    <row r="65" spans="1:26" s="23" customFormat="1" hidden="1" outlineLevel="2" x14ac:dyDescent="0.25">
      <c r="A65" s="25"/>
      <c r="B65" s="10" t="str">
        <f>CONCATENATE("          ", "6247", " - ", "STORE SUPPLIES")</f>
        <v xml:space="preserve">          6247 - STORE SUPPLIES</v>
      </c>
      <c r="C65" s="10"/>
      <c r="D65" s="6"/>
      <c r="E65" s="2"/>
      <c r="F65" s="7">
        <f t="shared" si="47"/>
        <v>0</v>
      </c>
      <c r="G65" s="2"/>
      <c r="H65" s="6"/>
      <c r="I65" s="2"/>
      <c r="J65" s="7">
        <f t="shared" si="48"/>
        <v>0</v>
      </c>
      <c r="K65" s="2"/>
      <c r="L65" s="6">
        <f t="shared" si="49"/>
        <v>0</v>
      </c>
      <c r="M65" s="2"/>
      <c r="N65" s="7">
        <f t="shared" si="50"/>
        <v>0</v>
      </c>
      <c r="O65" s="10"/>
      <c r="P65" s="6"/>
      <c r="Q65" s="2"/>
      <c r="R65" s="7">
        <f t="shared" si="51"/>
        <v>0</v>
      </c>
      <c r="S65" s="2"/>
      <c r="T65" s="6">
        <v>102.64</v>
      </c>
      <c r="U65" s="2"/>
      <c r="V65" s="7">
        <f t="shared" si="52"/>
        <v>5.4030840744939159E-4</v>
      </c>
      <c r="W65" s="2"/>
      <c r="X65" s="6">
        <f t="shared" si="53"/>
        <v>-102.64</v>
      </c>
      <c r="Y65" s="2"/>
      <c r="Z65" s="7">
        <f t="shared" si="54"/>
        <v>-1</v>
      </c>
    </row>
    <row r="66" spans="1:26" s="23" customFormat="1" hidden="1" outlineLevel="2" x14ac:dyDescent="0.25">
      <c r="A66" s="25"/>
      <c r="B66" s="10" t="str">
        <f>CONCATENATE("          ", "6248", " - ", "UNIFORMS")</f>
        <v xml:space="preserve">          6248 - UNIFORMS</v>
      </c>
      <c r="C66" s="10"/>
      <c r="D66" s="6"/>
      <c r="E66" s="2"/>
      <c r="F66" s="7">
        <f t="shared" si="47"/>
        <v>0</v>
      </c>
      <c r="G66" s="2"/>
      <c r="H66" s="6"/>
      <c r="I66" s="2"/>
      <c r="J66" s="7">
        <f t="shared" si="48"/>
        <v>0</v>
      </c>
      <c r="K66" s="2"/>
      <c r="L66" s="6">
        <f t="shared" si="49"/>
        <v>0</v>
      </c>
      <c r="M66" s="2"/>
      <c r="N66" s="7">
        <f t="shared" si="50"/>
        <v>0</v>
      </c>
      <c r="O66" s="10"/>
      <c r="P66" s="6"/>
      <c r="Q66" s="2"/>
      <c r="R66" s="7">
        <f t="shared" si="51"/>
        <v>0</v>
      </c>
      <c r="S66" s="2"/>
      <c r="T66" s="6">
        <v>637.03</v>
      </c>
      <c r="U66" s="2"/>
      <c r="V66" s="7">
        <f t="shared" si="52"/>
        <v>3.3533969680191534E-3</v>
      </c>
      <c r="W66" s="2"/>
      <c r="X66" s="6">
        <f t="shared" si="53"/>
        <v>-637.03</v>
      </c>
      <c r="Y66" s="2"/>
      <c r="Z66" s="7">
        <f t="shared" si="54"/>
        <v>-1</v>
      </c>
    </row>
    <row r="67" spans="1:26" s="27" customFormat="1" outlineLevel="1" collapsed="1" x14ac:dyDescent="0.25">
      <c r="A67" s="26"/>
      <c r="B67" s="12" t="str">
        <f>CONCATENATE("     ","Telephone/Data Lines                              ")</f>
        <v xml:space="preserve">     Telephone/Data Lines                              </v>
      </c>
      <c r="C67" s="12"/>
      <c r="D67" s="1">
        <f>SUM(OSRRefD22_12x_0)</f>
        <v>0</v>
      </c>
      <c r="E67" s="1"/>
      <c r="F67" s="5">
        <f t="shared" ref="F67:F72" si="55">IF(D$12=0,0,D67/D$12)</f>
        <v>0</v>
      </c>
      <c r="G67" s="1"/>
      <c r="H67" s="1">
        <f>SUM(OSRRefH22_12x_0)</f>
        <v>27</v>
      </c>
      <c r="I67" s="1"/>
      <c r="J67" s="5">
        <f t="shared" ref="J67:J72" si="56">IF(H$12=0,0,H67/H$12)</f>
        <v>0</v>
      </c>
      <c r="K67" s="1"/>
      <c r="L67" s="1">
        <f t="shared" ref="L67:L72" si="57">+D67-H67</f>
        <v>-27</v>
      </c>
      <c r="M67" s="1"/>
      <c r="N67" s="5">
        <f t="shared" ref="N67:N72" si="58">IF(H67=0,0,L67/H67)</f>
        <v>-1</v>
      </c>
      <c r="O67" s="12"/>
      <c r="P67" s="1">
        <f>SUM(OSRRefP22_12x_0)</f>
        <v>85.2</v>
      </c>
      <c r="Q67" s="1"/>
      <c r="R67" s="5">
        <f t="shared" ref="R67:R72" si="59">IF(P$12=0,0,P67/P$12)</f>
        <v>0</v>
      </c>
      <c r="S67" s="1"/>
      <c r="T67" s="1">
        <f>SUM(OSRRefT22_12x_0)</f>
        <v>978.5</v>
      </c>
      <c r="U67" s="1"/>
      <c r="V67" s="5">
        <f t="shared" ref="V67:V72" si="60">IF(T$12=0,0,T67/T$12)</f>
        <v>5.1509331322021597E-3</v>
      </c>
      <c r="W67" s="1"/>
      <c r="X67" s="1">
        <f t="shared" ref="X67:X72" si="61">+P67-T67</f>
        <v>-893.3</v>
      </c>
      <c r="Y67" s="1"/>
      <c r="Z67" s="5">
        <f t="shared" ref="Z67:Z72" si="62">IF(T67=0,0,X67/T67)</f>
        <v>-0.91292795094532442</v>
      </c>
    </row>
    <row r="68" spans="1:26" s="23" customFormat="1" hidden="1" outlineLevel="2" x14ac:dyDescent="0.25">
      <c r="A68" s="25"/>
      <c r="B68" s="10" t="str">
        <f>CONCATENATE("          ", "6309", " - ", "TELEPHONE")</f>
        <v xml:space="preserve">          6309 - TELEPHONE</v>
      </c>
      <c r="C68" s="10"/>
      <c r="D68" s="6"/>
      <c r="E68" s="2"/>
      <c r="F68" s="7">
        <f t="shared" si="55"/>
        <v>0</v>
      </c>
      <c r="G68" s="2"/>
      <c r="H68" s="6">
        <v>27</v>
      </c>
      <c r="I68" s="2"/>
      <c r="J68" s="7">
        <f t="shared" si="56"/>
        <v>0</v>
      </c>
      <c r="K68" s="2"/>
      <c r="L68" s="6">
        <f t="shared" si="57"/>
        <v>-27</v>
      </c>
      <c r="M68" s="2"/>
      <c r="N68" s="7">
        <f t="shared" si="58"/>
        <v>-1</v>
      </c>
      <c r="O68" s="10"/>
      <c r="P68" s="6">
        <v>85.2</v>
      </c>
      <c r="Q68" s="2"/>
      <c r="R68" s="7">
        <f t="shared" si="59"/>
        <v>0</v>
      </c>
      <c r="S68" s="2"/>
      <c r="T68" s="6">
        <v>978.5</v>
      </c>
      <c r="U68" s="2"/>
      <c r="V68" s="7">
        <f t="shared" si="60"/>
        <v>5.1509331322021597E-3</v>
      </c>
      <c r="W68" s="2"/>
      <c r="X68" s="6">
        <f t="shared" si="61"/>
        <v>-893.3</v>
      </c>
      <c r="Y68" s="2"/>
      <c r="Z68" s="7">
        <f t="shared" si="62"/>
        <v>-0.91292795094532442</v>
      </c>
    </row>
    <row r="69" spans="1:26" s="27" customFormat="1" outlineLevel="1" collapsed="1" x14ac:dyDescent="0.25">
      <c r="A69" s="26"/>
      <c r="B69" s="12" t="str">
        <f>CONCATENATE("     ","Training                                          ")</f>
        <v xml:space="preserve">     Training                                          </v>
      </c>
      <c r="C69" s="12"/>
      <c r="D69" s="1">
        <f>SUM(OSRRefD22_13x_0)</f>
        <v>0</v>
      </c>
      <c r="E69" s="1"/>
      <c r="F69" s="5">
        <f t="shared" si="55"/>
        <v>0</v>
      </c>
      <c r="G69" s="1"/>
      <c r="H69" s="1">
        <f>SUM(OSRRefH22_13x_0)</f>
        <v>0</v>
      </c>
      <c r="I69" s="1"/>
      <c r="J69" s="5">
        <f t="shared" si="56"/>
        <v>0</v>
      </c>
      <c r="K69" s="1"/>
      <c r="L69" s="1">
        <f t="shared" si="57"/>
        <v>0</v>
      </c>
      <c r="M69" s="1"/>
      <c r="N69" s="5">
        <f t="shared" si="58"/>
        <v>0</v>
      </c>
      <c r="O69" s="12"/>
      <c r="P69" s="1">
        <f>SUM(OSRRefP22_13x_0)</f>
        <v>0</v>
      </c>
      <c r="Q69" s="1"/>
      <c r="R69" s="5">
        <f t="shared" si="59"/>
        <v>0</v>
      </c>
      <c r="S69" s="1"/>
      <c r="T69" s="1">
        <f>SUM(OSRRefT22_13x_0)</f>
        <v>170.95</v>
      </c>
      <c r="U69" s="1"/>
      <c r="V69" s="5">
        <f t="shared" si="60"/>
        <v>8.9989986607047435E-4</v>
      </c>
      <c r="W69" s="1"/>
      <c r="X69" s="1">
        <f t="shared" si="61"/>
        <v>-170.95</v>
      </c>
      <c r="Y69" s="1"/>
      <c r="Z69" s="5">
        <f t="shared" si="62"/>
        <v>-1</v>
      </c>
    </row>
    <row r="70" spans="1:26" s="23" customFormat="1" hidden="1" outlineLevel="2" x14ac:dyDescent="0.25">
      <c r="A70" s="25"/>
      <c r="B70" s="10" t="str">
        <f>CONCATENATE("          ", "6376", " - ", "TRAINING")</f>
        <v xml:space="preserve">          6376 - TRAINING</v>
      </c>
      <c r="C70" s="10"/>
      <c r="D70" s="6"/>
      <c r="E70" s="2"/>
      <c r="F70" s="7">
        <f t="shared" si="55"/>
        <v>0</v>
      </c>
      <c r="G70" s="2"/>
      <c r="H70" s="6"/>
      <c r="I70" s="2"/>
      <c r="J70" s="7">
        <f t="shared" si="56"/>
        <v>0</v>
      </c>
      <c r="K70" s="2"/>
      <c r="L70" s="6">
        <f t="shared" si="57"/>
        <v>0</v>
      </c>
      <c r="M70" s="2"/>
      <c r="N70" s="7">
        <f t="shared" si="58"/>
        <v>0</v>
      </c>
      <c r="O70" s="10"/>
      <c r="P70" s="6"/>
      <c r="Q70" s="2"/>
      <c r="R70" s="7">
        <f t="shared" si="59"/>
        <v>0</v>
      </c>
      <c r="S70" s="2"/>
      <c r="T70" s="6">
        <v>170.95</v>
      </c>
      <c r="U70" s="2"/>
      <c r="V70" s="7">
        <f t="shared" si="60"/>
        <v>8.9989986607047435E-4</v>
      </c>
      <c r="W70" s="2"/>
      <c r="X70" s="6">
        <f t="shared" si="61"/>
        <v>-170.95</v>
      </c>
      <c r="Y70" s="2"/>
      <c r="Z70" s="7">
        <f t="shared" si="62"/>
        <v>-1</v>
      </c>
    </row>
    <row r="71" spans="1:26" s="27" customFormat="1" outlineLevel="1" collapsed="1" x14ac:dyDescent="0.25">
      <c r="A71" s="26"/>
      <c r="B71" s="12" t="str">
        <f>CONCATENATE("     ","Travel                                            ")</f>
        <v xml:space="preserve">     Travel                                            </v>
      </c>
      <c r="C71" s="12"/>
      <c r="D71" s="1">
        <f>SUM(OSRRefD22_14x_0)</f>
        <v>0</v>
      </c>
      <c r="E71" s="1"/>
      <c r="F71" s="5">
        <f t="shared" si="55"/>
        <v>0</v>
      </c>
      <c r="G71" s="1"/>
      <c r="H71" s="1">
        <f>SUM(OSRRefH22_14x_0)</f>
        <v>0</v>
      </c>
      <c r="I71" s="1"/>
      <c r="J71" s="5">
        <f t="shared" si="56"/>
        <v>0</v>
      </c>
      <c r="K71" s="1"/>
      <c r="L71" s="1">
        <f t="shared" si="57"/>
        <v>0</v>
      </c>
      <c r="M71" s="1"/>
      <c r="N71" s="5">
        <f t="shared" si="58"/>
        <v>0</v>
      </c>
      <c r="O71" s="12"/>
      <c r="P71" s="1">
        <f>SUM(OSRRefP22_14x_0)</f>
        <v>0</v>
      </c>
      <c r="Q71" s="1"/>
      <c r="R71" s="5">
        <f t="shared" si="59"/>
        <v>0</v>
      </c>
      <c r="S71" s="1"/>
      <c r="T71" s="1">
        <f>SUM(OSRRefT22_14x_0)</f>
        <v>11.5</v>
      </c>
      <c r="U71" s="1"/>
      <c r="V71" s="5">
        <f t="shared" si="60"/>
        <v>6.0537282596141888E-5</v>
      </c>
      <c r="W71" s="1"/>
      <c r="X71" s="1">
        <f t="shared" si="61"/>
        <v>-11.5</v>
      </c>
      <c r="Y71" s="1"/>
      <c r="Z71" s="5">
        <f t="shared" si="62"/>
        <v>-1</v>
      </c>
    </row>
    <row r="72" spans="1:26" s="23" customFormat="1" hidden="1" outlineLevel="2" x14ac:dyDescent="0.25">
      <c r="A72" s="25"/>
      <c r="B72" s="10" t="str">
        <f>CONCATENATE("          ", "6294", " - ", "TRAVEL OPERATIONAL")</f>
        <v xml:space="preserve">          6294 - TRAVEL OPERATIONAL</v>
      </c>
      <c r="C72" s="10"/>
      <c r="D72" s="6"/>
      <c r="E72" s="2"/>
      <c r="F72" s="7">
        <f t="shared" si="55"/>
        <v>0</v>
      </c>
      <c r="G72" s="2"/>
      <c r="H72" s="6"/>
      <c r="I72" s="2"/>
      <c r="J72" s="7">
        <f t="shared" si="56"/>
        <v>0</v>
      </c>
      <c r="K72" s="2"/>
      <c r="L72" s="6">
        <f t="shared" si="57"/>
        <v>0</v>
      </c>
      <c r="M72" s="2"/>
      <c r="N72" s="7">
        <f t="shared" si="58"/>
        <v>0</v>
      </c>
      <c r="O72" s="10"/>
      <c r="P72" s="6"/>
      <c r="Q72" s="2"/>
      <c r="R72" s="7">
        <f t="shared" si="59"/>
        <v>0</v>
      </c>
      <c r="S72" s="2"/>
      <c r="T72" s="6">
        <v>11.5</v>
      </c>
      <c r="U72" s="2"/>
      <c r="V72" s="7">
        <f t="shared" si="60"/>
        <v>6.0537282596141888E-5</v>
      </c>
      <c r="W72" s="2"/>
      <c r="X72" s="6">
        <f t="shared" si="61"/>
        <v>-11.5</v>
      </c>
      <c r="Y72" s="2"/>
      <c r="Z72" s="7">
        <f t="shared" si="62"/>
        <v>-1</v>
      </c>
    </row>
    <row r="73" spans="1:26" s="52" customFormat="1" x14ac:dyDescent="0.25">
      <c r="A73" s="37"/>
      <c r="B73" s="37"/>
      <c r="C73" s="37"/>
      <c r="D73" s="1"/>
      <c r="E73" s="1"/>
      <c r="F73" s="5"/>
      <c r="G73" s="1"/>
      <c r="H73" s="1"/>
      <c r="I73" s="1"/>
      <c r="J73" s="5"/>
      <c r="K73" s="1"/>
      <c r="L73" s="1"/>
      <c r="M73" s="1"/>
      <c r="N73" s="5"/>
      <c r="O73" s="37"/>
      <c r="P73" s="1"/>
      <c r="Q73" s="1"/>
      <c r="R73" s="5"/>
      <c r="S73" s="1"/>
      <c r="T73" s="1"/>
      <c r="U73" s="1"/>
      <c r="V73" s="5"/>
      <c r="W73" s="1"/>
      <c r="X73" s="1"/>
      <c r="Y73" s="1"/>
      <c r="Z73" s="5"/>
    </row>
    <row r="74" spans="1:26" s="24" customFormat="1" x14ac:dyDescent="0.25">
      <c r="A74" s="11"/>
      <c r="B74" s="29" t="s">
        <v>292</v>
      </c>
      <c r="C74" s="11"/>
      <c r="D74" s="4">
        <f>SUM(0)</f>
        <v>0</v>
      </c>
      <c r="E74" s="4"/>
      <c r="F74" s="13">
        <f>IF(D$12=0,0,D74/D$12)</f>
        <v>0</v>
      </c>
      <c r="G74" s="4"/>
      <c r="H74" s="4">
        <f>SUM(0)</f>
        <v>0</v>
      </c>
      <c r="I74" s="4"/>
      <c r="J74" s="13">
        <f>IF(H$12=0,0,H74/H$12)</f>
        <v>0</v>
      </c>
      <c r="K74" s="4"/>
      <c r="L74" s="4">
        <f>+D74-H74</f>
        <v>0</v>
      </c>
      <c r="M74" s="4"/>
      <c r="N74" s="13">
        <f>IF(H74=0,0,L74/H74)</f>
        <v>0</v>
      </c>
      <c r="O74" s="11"/>
      <c r="P74" s="4">
        <f>SUM(0)</f>
        <v>0</v>
      </c>
      <c r="Q74" s="4"/>
      <c r="R74" s="13">
        <f>IF(P$12=0,0,P74/P$12)</f>
        <v>0</v>
      </c>
      <c r="S74" s="4"/>
      <c r="T74" s="4">
        <f>SUM(0)</f>
        <v>0</v>
      </c>
      <c r="U74" s="4"/>
      <c r="V74" s="13">
        <f>IF(T$12=0,0,T74/T$12)</f>
        <v>0</v>
      </c>
      <c r="W74" s="4"/>
      <c r="X74" s="4">
        <f>+P74-T74</f>
        <v>0</v>
      </c>
      <c r="Y74" s="4"/>
      <c r="Z74" s="13">
        <f>IF(T74=0,0,X74/T74)</f>
        <v>0</v>
      </c>
    </row>
    <row r="75" spans="1:26" x14ac:dyDescent="0.25">
      <c r="A75" s="9"/>
      <c r="B75" s="11"/>
      <c r="C75" s="11"/>
      <c r="D75" s="3"/>
      <c r="E75" s="3"/>
      <c r="F75" s="8"/>
      <c r="G75" s="3"/>
      <c r="H75" s="3"/>
      <c r="I75" s="3"/>
      <c r="J75" s="8"/>
      <c r="K75" s="3"/>
      <c r="L75" s="3"/>
      <c r="M75" s="3"/>
      <c r="N75" s="8"/>
      <c r="O75" s="11"/>
      <c r="P75" s="3"/>
      <c r="Q75" s="3"/>
      <c r="R75" s="8"/>
      <c r="S75" s="3"/>
      <c r="T75" s="3"/>
      <c r="U75" s="3"/>
      <c r="V75" s="8"/>
      <c r="W75" s="3"/>
      <c r="X75" s="3"/>
      <c r="Y75" s="3"/>
      <c r="Z75" s="8"/>
    </row>
    <row r="76" spans="1:26" s="24" customFormat="1" x14ac:dyDescent="0.25">
      <c r="A76" s="11"/>
      <c r="B76" s="28" t="s">
        <v>276</v>
      </c>
      <c r="C76" s="28"/>
      <c r="D76" s="21">
        <f>+D20-D22+D74</f>
        <v>-76.760000000000005</v>
      </c>
      <c r="E76" s="14"/>
      <c r="F76" s="22">
        <f>IF(D$12=0,0,D76/D$12)</f>
        <v>0</v>
      </c>
      <c r="G76" s="14"/>
      <c r="H76" s="21">
        <f>+H20-H22+H74</f>
        <v>-4095</v>
      </c>
      <c r="I76" s="14"/>
      <c r="J76" s="22">
        <f>IF(H$12=0,0,H76/H$12)</f>
        <v>0</v>
      </c>
      <c r="K76" s="15"/>
      <c r="L76" s="21">
        <f>+D76-H76</f>
        <v>4018.24</v>
      </c>
      <c r="M76" s="15"/>
      <c r="N76" s="22">
        <f>IF(H76=0,0,L76/H76)</f>
        <v>-0.98125518925518918</v>
      </c>
      <c r="O76" s="29"/>
      <c r="P76" s="21">
        <f>+P20-P22+P74</f>
        <v>-2488.2999999999997</v>
      </c>
      <c r="Q76" s="14"/>
      <c r="R76" s="22">
        <f>IF(P$12=0,0,P76/P$12)</f>
        <v>0</v>
      </c>
      <c r="S76" s="14"/>
      <c r="T76" s="21">
        <f>+T20-T22+T74</f>
        <v>-70906.240000000049</v>
      </c>
      <c r="U76" s="14"/>
      <c r="V76" s="22">
        <f>IF(T$12=0,0,T76/T$12)</f>
        <v>-0.37325835553998804</v>
      </c>
      <c r="W76" s="15"/>
      <c r="X76" s="21">
        <f>+P76-T76</f>
        <v>68417.940000000046</v>
      </c>
      <c r="Y76" s="15"/>
      <c r="Z76" s="22">
        <f>IF(T76=0,0,X76/T76)</f>
        <v>-0.96490717883221555</v>
      </c>
    </row>
    <row r="77" spans="1:26" x14ac:dyDescent="0.25">
      <c r="A77" s="9"/>
      <c r="B77" s="11"/>
      <c r="C77" s="9"/>
      <c r="D77" s="3"/>
      <c r="E77" s="3"/>
      <c r="F77" s="8"/>
      <c r="G77" s="3"/>
      <c r="H77" s="3"/>
      <c r="I77" s="3"/>
      <c r="J77" s="8"/>
      <c r="K77" s="3"/>
      <c r="L77" s="3"/>
      <c r="M77" s="3"/>
      <c r="N77" s="8"/>
      <c r="P77" s="3"/>
      <c r="Q77" s="3"/>
      <c r="R77" s="8"/>
      <c r="S77" s="3"/>
      <c r="T77" s="3"/>
      <c r="U77" s="3"/>
      <c r="V77" s="8"/>
      <c r="W77" s="3"/>
      <c r="X77" s="3"/>
      <c r="Y77" s="3"/>
      <c r="Z77" s="8"/>
    </row>
    <row r="78" spans="1:26" s="24" customFormat="1" x14ac:dyDescent="0.25">
      <c r="A78" s="51"/>
      <c r="B78" s="11" t="s">
        <v>127</v>
      </c>
      <c r="C78" s="11"/>
      <c r="D78" s="4"/>
      <c r="E78" s="4"/>
      <c r="F78" s="13">
        <f>IF(D$12=0,0,D78/D$12)</f>
        <v>0</v>
      </c>
      <c r="G78" s="4"/>
      <c r="H78" s="4">
        <v>6269.26</v>
      </c>
      <c r="I78" s="4"/>
      <c r="J78" s="13">
        <f>IF(H$12=0,0,H78/H$12)</f>
        <v>0</v>
      </c>
      <c r="K78" s="4"/>
      <c r="L78" s="4">
        <f>+D78-H78</f>
        <v>-6269.26</v>
      </c>
      <c r="M78" s="4"/>
      <c r="N78" s="13">
        <f>IF(H78=0,0,L78/H78)</f>
        <v>-1</v>
      </c>
      <c r="O78" s="11"/>
      <c r="P78" s="4"/>
      <c r="Q78" s="4"/>
      <c r="R78" s="13">
        <f>IF(P$12=0,0,P78/P$12)</f>
        <v>0</v>
      </c>
      <c r="S78" s="4"/>
      <c r="T78" s="4">
        <v>28765.09</v>
      </c>
      <c r="U78" s="4"/>
      <c r="V78" s="13">
        <f>IF(T$12=0,0,T78/T$12)</f>
        <v>0.1514226419333439</v>
      </c>
      <c r="W78" s="4"/>
      <c r="X78" s="4">
        <f>+P78-T78</f>
        <v>-28765.09</v>
      </c>
      <c r="Y78" s="4"/>
      <c r="Z78" s="13">
        <f>IF(T78=0,0,X78/T78)</f>
        <v>-1</v>
      </c>
    </row>
    <row r="79" spans="1:26" x14ac:dyDescent="0.25">
      <c r="A79" s="9"/>
      <c r="B79" s="11"/>
      <c r="C79" s="11"/>
      <c r="D79" s="3"/>
      <c r="E79" s="3"/>
      <c r="F79" s="8"/>
      <c r="G79" s="3"/>
      <c r="H79" s="3"/>
      <c r="I79" s="3"/>
      <c r="J79" s="8"/>
      <c r="K79" s="3"/>
      <c r="L79" s="3"/>
      <c r="M79" s="3"/>
      <c r="N79" s="8"/>
      <c r="O79" s="11"/>
      <c r="P79" s="3"/>
      <c r="Q79" s="3"/>
      <c r="R79" s="8"/>
      <c r="S79" s="3"/>
      <c r="T79" s="3"/>
      <c r="U79" s="3"/>
      <c r="V79" s="8"/>
      <c r="W79" s="3"/>
      <c r="X79" s="3"/>
      <c r="Y79" s="3"/>
      <c r="Z79" s="8"/>
    </row>
    <row r="80" spans="1:26" s="24" customFormat="1" ht="15.75" thickBot="1" x14ac:dyDescent="0.3">
      <c r="A80" s="11"/>
      <c r="B80" s="28" t="s">
        <v>125</v>
      </c>
      <c r="C80" s="28"/>
      <c r="D80" s="34">
        <f>+D76-D78</f>
        <v>-76.760000000000005</v>
      </c>
      <c r="E80" s="14"/>
      <c r="F80" s="31">
        <f>IF(D$12=0,0,D80/D$12)</f>
        <v>0</v>
      </c>
      <c r="G80" s="14"/>
      <c r="H80" s="34">
        <f>+H76-H78</f>
        <v>-10364.26</v>
      </c>
      <c r="I80" s="14"/>
      <c r="J80" s="31">
        <f>IF(H$12=0,0,H80/H$12)</f>
        <v>0</v>
      </c>
      <c r="K80" s="15"/>
      <c r="L80" s="34">
        <f>D80-H80</f>
        <v>10287.5</v>
      </c>
      <c r="M80" s="15"/>
      <c r="N80" s="31">
        <f>IF(H80=0,0,L80/H80)</f>
        <v>-0.99259377900592993</v>
      </c>
      <c r="O80" s="29"/>
      <c r="P80" s="34">
        <f>+P76-P78</f>
        <v>-2488.2999999999997</v>
      </c>
      <c r="Q80" s="14"/>
      <c r="R80" s="31">
        <f>IF(P$12=0,0,P80/P$12)</f>
        <v>0</v>
      </c>
      <c r="S80" s="14"/>
      <c r="T80" s="34">
        <f>+T76-T78</f>
        <v>-99671.330000000045</v>
      </c>
      <c r="U80" s="14"/>
      <c r="V80" s="31">
        <f>IF(T$12=0,0,T80/T$12)</f>
        <v>-0.52468099747333197</v>
      </c>
      <c r="W80" s="15"/>
      <c r="X80" s="34">
        <f>P80-T80</f>
        <v>97183.030000000042</v>
      </c>
      <c r="Y80" s="15"/>
      <c r="Z80" s="31">
        <f>IF(T80=0,0,X80/T80)</f>
        <v>-0.97503494736149299</v>
      </c>
    </row>
    <row r="81" spans="1:26" ht="15.75" thickTop="1" x14ac:dyDescent="0.25">
      <c r="A81" s="9"/>
      <c r="B81" s="9"/>
      <c r="C81" s="9"/>
      <c r="D81" s="3"/>
      <c r="E81" s="3"/>
      <c r="F81" s="8"/>
      <c r="G81" s="3"/>
      <c r="H81" s="3"/>
      <c r="I81" s="3"/>
      <c r="J81" s="8"/>
      <c r="K81" s="3"/>
      <c r="L81" s="3"/>
      <c r="M81" s="3"/>
      <c r="N81" s="8"/>
      <c r="P81" s="3"/>
      <c r="Q81" s="3"/>
      <c r="R81" s="8"/>
      <c r="S81" s="3"/>
      <c r="T81" s="3"/>
      <c r="U81" s="3"/>
      <c r="V81" s="8"/>
      <c r="W81" s="3"/>
      <c r="X81" s="3"/>
      <c r="Y81" s="3"/>
      <c r="Z81" s="8"/>
    </row>
    <row r="82" spans="1:26" x14ac:dyDescent="0.25">
      <c r="A82" s="9"/>
      <c r="B82" s="9"/>
      <c r="C82" s="9"/>
      <c r="D82" s="3"/>
      <c r="E82" s="3"/>
      <c r="F82" s="8"/>
      <c r="G82" s="3"/>
      <c r="H82" s="3"/>
      <c r="I82" s="3"/>
      <c r="J82" s="8"/>
      <c r="K82" s="3"/>
      <c r="L82" s="3"/>
      <c r="M82" s="3"/>
      <c r="N82" s="8"/>
      <c r="P82" s="3"/>
      <c r="Q82" s="3"/>
      <c r="R82" s="8"/>
      <c r="S82" s="3"/>
      <c r="T82" s="3"/>
      <c r="U82" s="3"/>
      <c r="V82" s="8"/>
      <c r="W82" s="3"/>
      <c r="X82" s="3"/>
      <c r="Y82" s="3"/>
      <c r="Z82" s="8"/>
    </row>
    <row r="83" spans="1:26" s="24" customFormat="1" ht="15.75" thickBot="1" x14ac:dyDescent="0.3">
      <c r="A83" s="11"/>
      <c r="B83" s="28" t="s">
        <v>293</v>
      </c>
      <c r="C83" s="28"/>
      <c r="D83" s="33">
        <f>SUM(D80:D82)</f>
        <v>-76.760000000000005</v>
      </c>
      <c r="E83" s="14"/>
      <c r="F83" s="35">
        <f>IF(D$12=0,0,D83/D$12)</f>
        <v>0</v>
      </c>
      <c r="G83" s="14"/>
      <c r="H83" s="33">
        <f>SUM(H80:H82)</f>
        <v>-10364.26</v>
      </c>
      <c r="I83" s="14"/>
      <c r="J83" s="35">
        <f>IF(H$12=0,0,H83/H$12)</f>
        <v>0</v>
      </c>
      <c r="K83" s="15"/>
      <c r="L83" s="33">
        <f>+D83-H83</f>
        <v>10287.5</v>
      </c>
      <c r="M83" s="15"/>
      <c r="N83" s="35">
        <f>IF(H83=0,0,L83/H83)</f>
        <v>-0.99259377900592993</v>
      </c>
      <c r="O83" s="29"/>
      <c r="P83" s="33">
        <f>SUM(P80:P82)</f>
        <v>-2488.2999999999997</v>
      </c>
      <c r="Q83" s="14"/>
      <c r="R83" s="35">
        <f>IF(P$12=0,0,P83/P$12)</f>
        <v>0</v>
      </c>
      <c r="S83" s="14"/>
      <c r="T83" s="33">
        <f>SUM(T80:T82)</f>
        <v>-99671.330000000045</v>
      </c>
      <c r="U83" s="14"/>
      <c r="V83" s="35">
        <f>IF(T$12=0,0,T83/T$12)</f>
        <v>-0.52468099747333197</v>
      </c>
      <c r="W83" s="15"/>
      <c r="X83" s="33">
        <f>+P83-T83</f>
        <v>97183.030000000042</v>
      </c>
      <c r="Y83" s="15"/>
      <c r="Z83" s="35">
        <f>IF(T83=0,0,X83/T83)</f>
        <v>-0.97503494736149299</v>
      </c>
    </row>
    <row r="84" spans="1:26" ht="15.75" thickTop="1" x14ac:dyDescent="0.25">
      <c r="A84" s="9"/>
      <c r="C84" s="9"/>
      <c r="D84" s="18"/>
      <c r="E84" s="18"/>
      <c r="G84" s="18"/>
      <c r="H84" s="18"/>
      <c r="I84" s="18"/>
      <c r="J84" s="43"/>
      <c r="K84" s="18"/>
      <c r="L84" s="18"/>
      <c r="M84" s="18"/>
      <c r="P84" s="18"/>
      <c r="Q84" s="18"/>
      <c r="R84" s="43"/>
      <c r="S84" s="18"/>
      <c r="T84" s="18"/>
      <c r="U84" s="18"/>
      <c r="V84" s="43"/>
      <c r="W84" s="18"/>
      <c r="X84" s="18"/>
    </row>
    <row r="85" spans="1:26" x14ac:dyDescent="0.25">
      <c r="A85" s="9"/>
      <c r="B85" s="56">
        <v>44454.698585613427</v>
      </c>
      <c r="D85" s="18"/>
      <c r="E85" s="18"/>
      <c r="G85" s="18"/>
      <c r="H85" s="18"/>
      <c r="I85" s="18"/>
      <c r="J85" s="43"/>
      <c r="K85" s="18"/>
      <c r="L85" s="18"/>
      <c r="M85" s="18"/>
      <c r="P85" s="18"/>
      <c r="Q85" s="18"/>
      <c r="R85" s="43"/>
      <c r="S85" s="18"/>
      <c r="T85" s="18"/>
      <c r="U85" s="18"/>
      <c r="V85" s="43"/>
      <c r="W85" s="18"/>
      <c r="X85" s="18"/>
    </row>
    <row r="86" spans="1:26" x14ac:dyDescent="0.25">
      <c r="A86" s="9"/>
      <c r="B86" s="55" t="s">
        <v>56</v>
      </c>
      <c r="D86" s="18"/>
      <c r="E86" s="18"/>
      <c r="G86" s="18"/>
      <c r="H86" s="18"/>
      <c r="I86" s="18"/>
      <c r="J86" s="43"/>
      <c r="K86" s="18"/>
      <c r="L86" s="18"/>
      <c r="M86" s="18"/>
      <c r="P86" s="18"/>
      <c r="Q86" s="18"/>
      <c r="R86" s="43"/>
      <c r="S86" s="18"/>
      <c r="T86" s="18"/>
      <c r="U86" s="18"/>
      <c r="V86" s="43"/>
      <c r="W86" s="18"/>
      <c r="X86" s="18"/>
    </row>
    <row r="87" spans="1:26" x14ac:dyDescent="0.25">
      <c r="A87" s="9"/>
      <c r="B87" s="60"/>
      <c r="D87" s="18"/>
      <c r="E87" s="18"/>
      <c r="G87" s="18"/>
      <c r="H87" s="18"/>
      <c r="I87" s="18"/>
      <c r="J87" s="43"/>
      <c r="K87" s="18"/>
      <c r="L87" s="18"/>
      <c r="M87" s="18"/>
      <c r="P87" s="18"/>
      <c r="Q87" s="18"/>
      <c r="R87" s="43"/>
      <c r="S87" s="18"/>
      <c r="T87" s="18"/>
      <c r="U87" s="18"/>
      <c r="V87" s="43"/>
      <c r="W87" s="18"/>
      <c r="X87" s="18"/>
    </row>
    <row r="88" spans="1:26" x14ac:dyDescent="0.25">
      <c r="D88" s="18"/>
      <c r="E88" s="18"/>
      <c r="G88" s="18"/>
      <c r="H88" s="18"/>
      <c r="I88" s="18"/>
      <c r="J88" s="43"/>
      <c r="K88" s="18"/>
      <c r="L88" s="18"/>
      <c r="M88" s="18"/>
      <c r="P88" s="18"/>
      <c r="Q88" s="18"/>
      <c r="R88" s="43"/>
      <c r="S88" s="18"/>
      <c r="T88" s="18"/>
      <c r="U88" s="18"/>
      <c r="V88" s="43"/>
      <c r="W88" s="18"/>
      <c r="X88" s="18"/>
    </row>
  </sheetData>
  <pageMargins left="0.25" right="0.25" top="0.75" bottom="0.75" header="0.3" footer="0.3"/>
  <pageSetup scale="55" fitToWidth="2" orientation="landscape"/>
  <drawing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>
    <tabColor rgb="FF92D050"/>
    <outlinePr summaryBelow="0" summaryRight="0"/>
  </sheetPr>
  <dimension ref="A2:Z109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62" t="s">
        <v>23</v>
      </c>
    </row>
    <row r="3" spans="1:26" x14ac:dyDescent="0.25">
      <c r="D3" s="62" t="s">
        <v>236</v>
      </c>
      <c r="E3" s="17"/>
      <c r="F3" s="46"/>
      <c r="G3" s="17"/>
      <c r="H3" s="17"/>
      <c r="I3" s="17"/>
      <c r="J3" s="38"/>
      <c r="K3" s="17"/>
      <c r="L3" s="17"/>
      <c r="M3" s="17"/>
      <c r="N3" s="46"/>
      <c r="O3" s="53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2" t="str">
        <f>CONCATENATE("Period ",RIGHT(202112,2),", ",2021)</f>
        <v>Period 12, 2021</v>
      </c>
      <c r="E4" s="17"/>
      <c r="F4" s="46"/>
      <c r="G4" s="17"/>
      <c r="H4" s="17"/>
      <c r="I4" s="17"/>
      <c r="J4" s="38"/>
      <c r="K4" s="17"/>
      <c r="L4" s="17"/>
      <c r="M4" s="17"/>
      <c r="N4" s="46"/>
      <c r="O4" s="53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4"/>
      <c r="D5" s="63">
        <v>44377</v>
      </c>
      <c r="E5" s="17"/>
      <c r="F5" s="46"/>
      <c r="G5" s="17"/>
      <c r="H5" s="17"/>
      <c r="I5" s="17"/>
      <c r="J5" s="38"/>
      <c r="K5" s="17"/>
      <c r="L5" s="17"/>
      <c r="M5" s="17"/>
      <c r="N5" s="46"/>
      <c r="O5" s="53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4"/>
      <c r="B6" s="48"/>
      <c r="C6" s="48"/>
      <c r="D6" s="24" t="str">
        <f>CONCATENATE("Department ","411", " - ", "University Dining")</f>
        <v>Department 411 - University Dining</v>
      </c>
      <c r="E6" s="17"/>
      <c r="F6" s="46"/>
      <c r="G6" s="17"/>
      <c r="H6" s="17"/>
      <c r="I6" s="17"/>
      <c r="J6" s="38"/>
      <c r="K6" s="17"/>
      <c r="L6" s="17"/>
      <c r="M6" s="17"/>
      <c r="N6" s="46"/>
      <c r="O6" s="54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9"/>
    </row>
    <row r="8" spans="1:26" x14ac:dyDescent="0.25">
      <c r="B8" s="59"/>
    </row>
    <row r="9" spans="1:26" x14ac:dyDescent="0.25">
      <c r="B9" s="9"/>
      <c r="C9" s="9"/>
      <c r="D9" s="16" t="s">
        <v>291</v>
      </c>
      <c r="E9" s="16"/>
      <c r="F9" s="39"/>
      <c r="G9" s="16"/>
      <c r="H9" s="16"/>
      <c r="I9" s="16"/>
      <c r="J9" s="49"/>
      <c r="K9" s="16"/>
      <c r="L9" s="16"/>
      <c r="M9" s="16"/>
      <c r="N9" s="39"/>
      <c r="P9" s="16" t="s">
        <v>39</v>
      </c>
      <c r="Q9" s="16"/>
      <c r="R9" s="39"/>
      <c r="S9" s="16"/>
      <c r="T9" s="16"/>
      <c r="U9" s="16"/>
      <c r="V9" s="49"/>
      <c r="W9" s="16"/>
      <c r="X9" s="16"/>
      <c r="Y9" s="16"/>
      <c r="Z9" s="39"/>
    </row>
    <row r="10" spans="1:26" x14ac:dyDescent="0.25">
      <c r="A10" s="11"/>
      <c r="B10" s="58"/>
      <c r="C10" s="11"/>
      <c r="D10" s="42" t="s">
        <v>57</v>
      </c>
      <c r="E10" s="36"/>
      <c r="F10" s="30" t="s">
        <v>40</v>
      </c>
      <c r="G10" s="36"/>
      <c r="H10" s="50" t="s">
        <v>237</v>
      </c>
      <c r="I10" s="36"/>
      <c r="J10" s="30" t="s">
        <v>40</v>
      </c>
      <c r="K10" s="11"/>
      <c r="L10" s="42" t="s">
        <v>126</v>
      </c>
      <c r="M10" s="11"/>
      <c r="N10" s="30" t="s">
        <v>257</v>
      </c>
      <c r="O10" s="11"/>
      <c r="P10" s="61" t="s">
        <v>57</v>
      </c>
      <c r="Q10" s="36"/>
      <c r="R10" s="30" t="s">
        <v>40</v>
      </c>
      <c r="S10" s="36"/>
      <c r="T10" s="50" t="s">
        <v>237</v>
      </c>
      <c r="U10" s="36"/>
      <c r="V10" s="30" t="s">
        <v>40</v>
      </c>
      <c r="W10" s="11"/>
      <c r="X10" s="42" t="s">
        <v>126</v>
      </c>
      <c r="Y10" s="11"/>
      <c r="Z10" s="30" t="s">
        <v>257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4" customFormat="1" x14ac:dyDescent="0.25">
      <c r="A12" s="11"/>
      <c r="B12" s="29" t="s">
        <v>139</v>
      </c>
      <c r="C12" s="11"/>
      <c r="D12" s="4">
        <f>SUM(0)</f>
        <v>0</v>
      </c>
      <c r="E12" s="4"/>
      <c r="F12" s="13"/>
      <c r="G12" s="4"/>
      <c r="H12" s="4">
        <f>SUM(0)</f>
        <v>0</v>
      </c>
      <c r="I12" s="4"/>
      <c r="J12" s="13"/>
      <c r="K12" s="4"/>
      <c r="L12" s="4">
        <f>+D12-H12</f>
        <v>0</v>
      </c>
      <c r="M12" s="4"/>
      <c r="N12" s="13">
        <f>IF(H12=0,0,L12/H12)</f>
        <v>0</v>
      </c>
      <c r="O12" s="11"/>
      <c r="P12" s="4">
        <f>SUM(0)</f>
        <v>0</v>
      </c>
      <c r="Q12" s="4"/>
      <c r="R12" s="13"/>
      <c r="S12" s="4"/>
      <c r="T12" s="4">
        <f>SUM(0)</f>
        <v>0</v>
      </c>
      <c r="U12" s="4"/>
      <c r="V12" s="13"/>
      <c r="W12" s="4"/>
      <c r="X12" s="4">
        <f>+P12-T12</f>
        <v>0</v>
      </c>
      <c r="Y12" s="4"/>
      <c r="Z12" s="13">
        <f>IF(T12=0,0,X12/T12)</f>
        <v>0</v>
      </c>
    </row>
    <row r="13" spans="1:26" x14ac:dyDescent="0.25">
      <c r="A13" s="9"/>
      <c r="B13" s="11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4" customFormat="1" x14ac:dyDescent="0.25">
      <c r="A14" s="11"/>
      <c r="B14" s="29" t="s">
        <v>256</v>
      </c>
      <c r="C14" s="11"/>
      <c r="D14" s="4">
        <f>SUM(0)</f>
        <v>0</v>
      </c>
      <c r="E14" s="4"/>
      <c r="F14" s="13">
        <f>IF(D$12=0,0,D14/D$12)</f>
        <v>0</v>
      </c>
      <c r="G14" s="4"/>
      <c r="H14" s="4">
        <f>SUM(0)</f>
        <v>0</v>
      </c>
      <c r="I14" s="4"/>
      <c r="J14" s="13">
        <f>IF(H$12=0,0,H14/H$12)</f>
        <v>0</v>
      </c>
      <c r="K14" s="4"/>
      <c r="L14" s="4">
        <f>+D14-H14</f>
        <v>0</v>
      </c>
      <c r="M14" s="4"/>
      <c r="N14" s="13">
        <f>IF(H14=0,0,L14/H14)</f>
        <v>0</v>
      </c>
      <c r="O14" s="11"/>
      <c r="P14" s="4">
        <f>SUM(0)</f>
        <v>0</v>
      </c>
      <c r="Q14" s="4"/>
      <c r="R14" s="13">
        <f>IF(P$12=0,0,P14/P$12)</f>
        <v>0</v>
      </c>
      <c r="S14" s="4"/>
      <c r="T14" s="4">
        <f>SUM(0)</f>
        <v>0</v>
      </c>
      <c r="U14" s="4"/>
      <c r="V14" s="13">
        <f>IF(T$12=0,0,T14/T$12)</f>
        <v>0</v>
      </c>
      <c r="W14" s="4"/>
      <c r="X14" s="4">
        <f>+P14-T14</f>
        <v>0</v>
      </c>
      <c r="Y14" s="4"/>
      <c r="Z14" s="13">
        <f>IF(T14=0,0,X14/T14)</f>
        <v>0</v>
      </c>
    </row>
    <row r="15" spans="1:26" x14ac:dyDescent="0.25">
      <c r="A15" s="9"/>
      <c r="B15" s="11"/>
      <c r="C15" s="11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1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4" customFormat="1" x14ac:dyDescent="0.25">
      <c r="A16" s="11"/>
      <c r="B16" s="28" t="s">
        <v>107</v>
      </c>
      <c r="C16" s="28"/>
      <c r="D16" s="21">
        <f>D12-D14</f>
        <v>0</v>
      </c>
      <c r="E16" s="14"/>
      <c r="F16" s="22">
        <f>IF(D$12=0,0,D16/D$12)</f>
        <v>0</v>
      </c>
      <c r="G16" s="14"/>
      <c r="H16" s="21">
        <f>H12-H14</f>
        <v>0</v>
      </c>
      <c r="I16" s="14"/>
      <c r="J16" s="22">
        <f>IF(H$12=0,0,H16/H$12)</f>
        <v>0</v>
      </c>
      <c r="K16" s="15"/>
      <c r="L16" s="21">
        <f>+D16-H16</f>
        <v>0</v>
      </c>
      <c r="M16" s="15"/>
      <c r="N16" s="22">
        <f>IF(H16=0,0,L16/H16)</f>
        <v>0</v>
      </c>
      <c r="O16" s="29"/>
      <c r="P16" s="21">
        <f>P12-P14</f>
        <v>0</v>
      </c>
      <c r="Q16" s="14"/>
      <c r="R16" s="22">
        <f>IF(P$12=0,0,P16/P$12)</f>
        <v>0</v>
      </c>
      <c r="S16" s="14"/>
      <c r="T16" s="21">
        <f>T12-T14</f>
        <v>0</v>
      </c>
      <c r="U16" s="14"/>
      <c r="V16" s="22">
        <f>IF(T$12=0,0,T16/T$12)</f>
        <v>0</v>
      </c>
      <c r="W16" s="15"/>
      <c r="X16" s="21">
        <f>+P16-T16</f>
        <v>0</v>
      </c>
      <c r="Y16" s="15"/>
      <c r="Z16" s="22">
        <f>IF(T16=0,0,X16/T16)</f>
        <v>0</v>
      </c>
    </row>
    <row r="17" spans="1:26" x14ac:dyDescent="0.25">
      <c r="A17" s="9"/>
      <c r="B17" s="11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4" customFormat="1" x14ac:dyDescent="0.25">
      <c r="A18" s="11"/>
      <c r="B18" s="29" t="s">
        <v>294</v>
      </c>
      <c r="C18" s="11"/>
      <c r="D18" s="20">
        <f>SUM(OSRRefD22x_0)</f>
        <v>103185.23</v>
      </c>
      <c r="E18" s="20"/>
      <c r="F18" s="32">
        <f t="shared" ref="F18:F28" si="0">IF(D$12=0,0,D18/D$12)</f>
        <v>0</v>
      </c>
      <c r="G18" s="20"/>
      <c r="H18" s="20">
        <f>SUM(OSRRefH22x_0)</f>
        <v>66460.709999999992</v>
      </c>
      <c r="I18" s="20"/>
      <c r="J18" s="32">
        <f t="shared" ref="J18:J28" si="1">IF(H$12=0,0,H18/H$12)</f>
        <v>0</v>
      </c>
      <c r="K18" s="4"/>
      <c r="L18" s="20">
        <f t="shared" ref="L18:L28" si="2">+D18-H18</f>
        <v>36724.520000000004</v>
      </c>
      <c r="M18" s="4"/>
      <c r="N18" s="32">
        <f t="shared" ref="N18:N28" si="3">IF(H18=0,0,L18/H18)</f>
        <v>0.55257489725884679</v>
      </c>
      <c r="O18" s="11"/>
      <c r="P18" s="20">
        <f>SUM(OSRRefP22x_0)</f>
        <v>434164.84</v>
      </c>
      <c r="Q18" s="20"/>
      <c r="R18" s="32">
        <f t="shared" ref="R18:R28" si="4">IF(P$12=0,0,P18/P$12)</f>
        <v>0</v>
      </c>
      <c r="S18" s="20"/>
      <c r="T18" s="20">
        <f>SUM(OSRRefT22x_0)</f>
        <v>1037844.2999999999</v>
      </c>
      <c r="U18" s="20"/>
      <c r="V18" s="32">
        <f t="shared" ref="V18:V28" si="5">IF(T$12=0,0,T18/T$12)</f>
        <v>0</v>
      </c>
      <c r="W18" s="4"/>
      <c r="X18" s="20">
        <f t="shared" ref="X18:X28" si="6">+P18-T18</f>
        <v>-603679.46</v>
      </c>
      <c r="Y18" s="4"/>
      <c r="Z18" s="32">
        <f t="shared" ref="Z18:Z28" si="7">IF(T18=0,0,X18/T18)</f>
        <v>-0.58166669123682613</v>
      </c>
    </row>
    <row r="19" spans="1:26" s="27" customFormat="1" outlineLevel="1" collapsed="1" x14ac:dyDescent="0.25">
      <c r="A19" s="26"/>
      <c r="B19" s="12" t="str">
        <f>CONCATENATE("     ","*Benefits                                         ")</f>
        <v xml:space="preserve">     *Benefits                                         </v>
      </c>
      <c r="C19" s="12"/>
      <c r="D19" s="1">
        <f>SUM(OSRRefD22_0x_0)</f>
        <v>6349.6100000000006</v>
      </c>
      <c r="E19" s="1"/>
      <c r="F19" s="5">
        <f t="shared" si="0"/>
        <v>0</v>
      </c>
      <c r="G19" s="1"/>
      <c r="H19" s="1">
        <f>SUM(OSRRefH22_0x_0)</f>
        <v>1714.81</v>
      </c>
      <c r="I19" s="1"/>
      <c r="J19" s="5">
        <f t="shared" si="1"/>
        <v>0</v>
      </c>
      <c r="K19" s="1"/>
      <c r="L19" s="1">
        <f t="shared" si="2"/>
        <v>4634.8000000000011</v>
      </c>
      <c r="M19" s="1"/>
      <c r="N19" s="5">
        <f t="shared" si="3"/>
        <v>2.7028067249432888</v>
      </c>
      <c r="O19" s="12"/>
      <c r="P19" s="1">
        <f>SUM(OSRRefP22_0x_0)</f>
        <v>72575.920000000013</v>
      </c>
      <c r="Q19" s="1"/>
      <c r="R19" s="5">
        <f t="shared" si="4"/>
        <v>0</v>
      </c>
      <c r="S19" s="1"/>
      <c r="T19" s="1">
        <f>SUM(OSRRefT22_0x_0)</f>
        <v>73387.12</v>
      </c>
      <c r="U19" s="1"/>
      <c r="V19" s="5">
        <f t="shared" si="5"/>
        <v>0</v>
      </c>
      <c r="W19" s="1"/>
      <c r="X19" s="1">
        <f t="shared" si="6"/>
        <v>-811.19999999998254</v>
      </c>
      <c r="Y19" s="1"/>
      <c r="Z19" s="5">
        <f t="shared" si="7"/>
        <v>-1.1053710787396788E-2</v>
      </c>
    </row>
    <row r="20" spans="1:26" s="23" customFormat="1" hidden="1" outlineLevel="2" x14ac:dyDescent="0.25">
      <c r="A20" s="25"/>
      <c r="B20" s="10" t="str">
        <f>CONCATENATE("          ", "6111", " - ", "F.I.C.A.")</f>
        <v xml:space="preserve">          6111 - F.I.C.A.</v>
      </c>
      <c r="C20" s="10"/>
      <c r="D20" s="6">
        <v>892.2</v>
      </c>
      <c r="E20" s="2"/>
      <c r="F20" s="7">
        <f t="shared" si="0"/>
        <v>0</v>
      </c>
      <c r="G20" s="2"/>
      <c r="H20" s="6">
        <v>318.24</v>
      </c>
      <c r="I20" s="2"/>
      <c r="J20" s="7">
        <f t="shared" si="1"/>
        <v>0</v>
      </c>
      <c r="K20" s="2"/>
      <c r="L20" s="6">
        <f t="shared" si="2"/>
        <v>573.96</v>
      </c>
      <c r="M20" s="2"/>
      <c r="N20" s="7">
        <f t="shared" si="3"/>
        <v>1.8035444947209653</v>
      </c>
      <c r="O20" s="10"/>
      <c r="P20" s="6">
        <v>10920.13</v>
      </c>
      <c r="Q20" s="2"/>
      <c r="R20" s="7">
        <f t="shared" si="4"/>
        <v>0</v>
      </c>
      <c r="S20" s="2"/>
      <c r="T20" s="6">
        <v>23963.66</v>
      </c>
      <c r="U20" s="2"/>
      <c r="V20" s="7">
        <f t="shared" si="5"/>
        <v>0</v>
      </c>
      <c r="W20" s="2"/>
      <c r="X20" s="6">
        <f t="shared" si="6"/>
        <v>-13043.53</v>
      </c>
      <c r="Y20" s="2"/>
      <c r="Z20" s="7">
        <f t="shared" si="7"/>
        <v>-0.54430458452506836</v>
      </c>
    </row>
    <row r="21" spans="1:26" s="23" customFormat="1" hidden="1" outlineLevel="2" x14ac:dyDescent="0.25">
      <c r="A21" s="25"/>
      <c r="B21" s="10" t="str">
        <f>CONCATENATE("          ", "6112", " - ", "COMPENSATION INSURANCE")</f>
        <v xml:space="preserve">          6112 - COMPENSATION INSURANCE</v>
      </c>
      <c r="C21" s="10"/>
      <c r="D21" s="6">
        <v>36.78</v>
      </c>
      <c r="E21" s="2"/>
      <c r="F21" s="7">
        <f t="shared" si="0"/>
        <v>0</v>
      </c>
      <c r="G21" s="2"/>
      <c r="H21" s="6">
        <v>161.41</v>
      </c>
      <c r="I21" s="2"/>
      <c r="J21" s="7">
        <f t="shared" si="1"/>
        <v>0</v>
      </c>
      <c r="K21" s="2"/>
      <c r="L21" s="6">
        <f t="shared" si="2"/>
        <v>-124.63</v>
      </c>
      <c r="M21" s="2"/>
      <c r="N21" s="7">
        <f t="shared" si="3"/>
        <v>-0.77213307725667557</v>
      </c>
      <c r="O21" s="10"/>
      <c r="P21" s="6">
        <v>605.92999999999995</v>
      </c>
      <c r="Q21" s="2"/>
      <c r="R21" s="7">
        <f t="shared" si="4"/>
        <v>0</v>
      </c>
      <c r="S21" s="2"/>
      <c r="T21" s="6">
        <v>8956.14</v>
      </c>
      <c r="U21" s="2"/>
      <c r="V21" s="7">
        <f t="shared" si="5"/>
        <v>0</v>
      </c>
      <c r="W21" s="2"/>
      <c r="X21" s="6">
        <f t="shared" si="6"/>
        <v>-8350.2099999999991</v>
      </c>
      <c r="Y21" s="2"/>
      <c r="Z21" s="7">
        <f t="shared" si="7"/>
        <v>-0.93234473779998972</v>
      </c>
    </row>
    <row r="22" spans="1:26" s="23" customFormat="1" hidden="1" outlineLevel="2" x14ac:dyDescent="0.25">
      <c r="A22" s="25"/>
      <c r="B22" s="10" t="str">
        <f>CONCATENATE("          ", "6113", " - ", "GROUP INSURANCE")</f>
        <v xml:space="preserve">          6113 - GROUP INSURANCE</v>
      </c>
      <c r="C22" s="10"/>
      <c r="D22" s="6">
        <v>1920.87</v>
      </c>
      <c r="E22" s="2"/>
      <c r="F22" s="7">
        <f t="shared" si="0"/>
        <v>0</v>
      </c>
      <c r="G22" s="2"/>
      <c r="H22" s="6">
        <v>734.18</v>
      </c>
      <c r="I22" s="2"/>
      <c r="J22" s="7">
        <f t="shared" si="1"/>
        <v>0</v>
      </c>
      <c r="K22" s="2"/>
      <c r="L22" s="6">
        <f t="shared" si="2"/>
        <v>1186.69</v>
      </c>
      <c r="M22" s="2"/>
      <c r="N22" s="7">
        <f t="shared" si="3"/>
        <v>1.6163474897164185</v>
      </c>
      <c r="O22" s="10"/>
      <c r="P22" s="6">
        <v>22095.69</v>
      </c>
      <c r="Q22" s="2"/>
      <c r="R22" s="7">
        <f t="shared" si="4"/>
        <v>0</v>
      </c>
      <c r="S22" s="2"/>
      <c r="T22" s="6">
        <v>34608.81</v>
      </c>
      <c r="U22" s="2"/>
      <c r="V22" s="7">
        <f t="shared" si="5"/>
        <v>0</v>
      </c>
      <c r="W22" s="2"/>
      <c r="X22" s="6">
        <f t="shared" si="6"/>
        <v>-12513.119999999999</v>
      </c>
      <c r="Y22" s="2"/>
      <c r="Z22" s="7">
        <f t="shared" si="7"/>
        <v>-0.36155880540243945</v>
      </c>
    </row>
    <row r="23" spans="1:26" s="23" customFormat="1" hidden="1" outlineLevel="2" x14ac:dyDescent="0.25">
      <c r="A23" s="25"/>
      <c r="B23" s="10" t="str">
        <f>CONCATENATE("          ", "6114", " - ", "STATE UNEMPLOYMENT INSURANCE")</f>
        <v xml:space="preserve">          6114 - STATE UNEMPLOYMENT INSURANCE</v>
      </c>
      <c r="C23" s="10"/>
      <c r="D23" s="6">
        <v>28.98</v>
      </c>
      <c r="E23" s="2"/>
      <c r="F23" s="7">
        <f t="shared" si="0"/>
        <v>0</v>
      </c>
      <c r="G23" s="2"/>
      <c r="H23" s="6">
        <v>-823.94</v>
      </c>
      <c r="I23" s="2"/>
      <c r="J23" s="7">
        <f t="shared" si="1"/>
        <v>0</v>
      </c>
      <c r="K23" s="2"/>
      <c r="L23" s="6">
        <f t="shared" si="2"/>
        <v>852.92000000000007</v>
      </c>
      <c r="M23" s="2"/>
      <c r="N23" s="7">
        <f t="shared" si="3"/>
        <v>-1.03517246401437</v>
      </c>
      <c r="O23" s="10"/>
      <c r="P23" s="6">
        <v>412.51</v>
      </c>
      <c r="Q23" s="2"/>
      <c r="R23" s="7">
        <f t="shared" si="4"/>
        <v>0</v>
      </c>
      <c r="S23" s="2"/>
      <c r="T23" s="6">
        <v>0</v>
      </c>
      <c r="U23" s="2"/>
      <c r="V23" s="7">
        <f t="shared" si="5"/>
        <v>0</v>
      </c>
      <c r="W23" s="2"/>
      <c r="X23" s="6">
        <f t="shared" si="6"/>
        <v>412.51</v>
      </c>
      <c r="Y23" s="2"/>
      <c r="Z23" s="7">
        <f t="shared" si="7"/>
        <v>0</v>
      </c>
    </row>
    <row r="24" spans="1:26" s="23" customFormat="1" hidden="1" outlineLevel="2" x14ac:dyDescent="0.25">
      <c r="A24" s="25"/>
      <c r="B24" s="10" t="str">
        <f>CONCATENATE("          ", "6115", " - ", "P.E.R.S.")</f>
        <v xml:space="preserve">          6115 - P.E.R.S.</v>
      </c>
      <c r="C24" s="10"/>
      <c r="D24" s="6">
        <v>1831.58</v>
      </c>
      <c r="E24" s="2"/>
      <c r="F24" s="7">
        <f t="shared" si="0"/>
        <v>0</v>
      </c>
      <c r="G24" s="2"/>
      <c r="H24" s="6">
        <v>604.76</v>
      </c>
      <c r="I24" s="2"/>
      <c r="J24" s="7">
        <f t="shared" si="1"/>
        <v>0</v>
      </c>
      <c r="K24" s="2"/>
      <c r="L24" s="6">
        <f t="shared" si="2"/>
        <v>1226.82</v>
      </c>
      <c r="M24" s="2"/>
      <c r="N24" s="7">
        <f t="shared" si="3"/>
        <v>2.0286063893114625</v>
      </c>
      <c r="O24" s="10"/>
      <c r="P24" s="6">
        <v>17534.57</v>
      </c>
      <c r="Q24" s="2"/>
      <c r="R24" s="7">
        <f t="shared" si="4"/>
        <v>0</v>
      </c>
      <c r="S24" s="2"/>
      <c r="T24" s="6">
        <v>16779.48</v>
      </c>
      <c r="U24" s="2"/>
      <c r="V24" s="7">
        <f t="shared" si="5"/>
        <v>0</v>
      </c>
      <c r="W24" s="2"/>
      <c r="X24" s="6">
        <f t="shared" si="6"/>
        <v>755.09000000000015</v>
      </c>
      <c r="Y24" s="2"/>
      <c r="Z24" s="7">
        <f t="shared" si="7"/>
        <v>4.5000798594473736E-2</v>
      </c>
    </row>
    <row r="25" spans="1:26" s="23" customFormat="1" hidden="1" outlineLevel="2" x14ac:dyDescent="0.25">
      <c r="A25" s="25"/>
      <c r="B25" s="10" t="str">
        <f>CONCATENATE("          ", "6117", " - ", "RETIREMENT STAFF HOURLY")</f>
        <v xml:space="preserve">          6117 - RETIREMENT STAFF HOURLY</v>
      </c>
      <c r="C25" s="10"/>
      <c r="D25" s="6"/>
      <c r="E25" s="2"/>
      <c r="F25" s="7">
        <f t="shared" si="0"/>
        <v>0</v>
      </c>
      <c r="G25" s="2"/>
      <c r="H25" s="6"/>
      <c r="I25" s="2"/>
      <c r="J25" s="7">
        <f t="shared" si="1"/>
        <v>0</v>
      </c>
      <c r="K25" s="2"/>
      <c r="L25" s="6">
        <f t="shared" si="2"/>
        <v>0</v>
      </c>
      <c r="M25" s="2"/>
      <c r="N25" s="7">
        <f t="shared" si="3"/>
        <v>0</v>
      </c>
      <c r="O25" s="10"/>
      <c r="P25" s="6"/>
      <c r="Q25" s="2"/>
      <c r="R25" s="7">
        <f t="shared" si="4"/>
        <v>0</v>
      </c>
      <c r="S25" s="2"/>
      <c r="T25" s="6">
        <v>588</v>
      </c>
      <c r="U25" s="2"/>
      <c r="V25" s="7">
        <f t="shared" si="5"/>
        <v>0</v>
      </c>
      <c r="W25" s="2"/>
      <c r="X25" s="6">
        <f t="shared" si="6"/>
        <v>-588</v>
      </c>
      <c r="Y25" s="2"/>
      <c r="Z25" s="7">
        <f t="shared" si="7"/>
        <v>-1</v>
      </c>
    </row>
    <row r="26" spans="1:26" s="23" customFormat="1" hidden="1" outlineLevel="2" x14ac:dyDescent="0.25">
      <c r="A26" s="25"/>
      <c r="B26" s="10" t="str">
        <f>CONCATENATE("          ", "6118", " - ", "VACATION")</f>
        <v xml:space="preserve">          6118 - VACATION</v>
      </c>
      <c r="C26" s="10"/>
      <c r="D26" s="6">
        <v>1022.52</v>
      </c>
      <c r="E26" s="2"/>
      <c r="F26" s="7">
        <f t="shared" si="0"/>
        <v>0</v>
      </c>
      <c r="G26" s="2"/>
      <c r="H26" s="6">
        <v>384.28</v>
      </c>
      <c r="I26" s="2"/>
      <c r="J26" s="7">
        <f t="shared" si="1"/>
        <v>0</v>
      </c>
      <c r="K26" s="2"/>
      <c r="L26" s="6">
        <f t="shared" si="2"/>
        <v>638.24</v>
      </c>
      <c r="M26" s="2"/>
      <c r="N26" s="7">
        <f t="shared" si="3"/>
        <v>1.6608722806287084</v>
      </c>
      <c r="O26" s="10"/>
      <c r="P26" s="6">
        <v>13484.9</v>
      </c>
      <c r="Q26" s="2"/>
      <c r="R26" s="7">
        <f t="shared" si="4"/>
        <v>0</v>
      </c>
      <c r="S26" s="2"/>
      <c r="T26" s="6">
        <v>16327.77</v>
      </c>
      <c r="U26" s="2"/>
      <c r="V26" s="7">
        <f t="shared" si="5"/>
        <v>0</v>
      </c>
      <c r="W26" s="2"/>
      <c r="X26" s="6">
        <f t="shared" si="6"/>
        <v>-2842.8700000000008</v>
      </c>
      <c r="Y26" s="2"/>
      <c r="Z26" s="7">
        <f t="shared" si="7"/>
        <v>-0.17411257017951629</v>
      </c>
    </row>
    <row r="27" spans="1:26" s="23" customFormat="1" hidden="1" outlineLevel="2" x14ac:dyDescent="0.25">
      <c r="A27" s="25"/>
      <c r="B27" s="10" t="str">
        <f>CONCATENATE("          ", "6119", " - ", "SICK LEAVE")</f>
        <v xml:space="preserve">          6119 - SICK LEAVE</v>
      </c>
      <c r="C27" s="10"/>
      <c r="D27" s="6">
        <v>510.58</v>
      </c>
      <c r="E27" s="2"/>
      <c r="F27" s="7">
        <f t="shared" si="0"/>
        <v>0</v>
      </c>
      <c r="G27" s="2"/>
      <c r="H27" s="6">
        <v>191.88</v>
      </c>
      <c r="I27" s="2"/>
      <c r="J27" s="7">
        <f t="shared" si="1"/>
        <v>0</v>
      </c>
      <c r="K27" s="2"/>
      <c r="L27" s="6">
        <f t="shared" si="2"/>
        <v>318.7</v>
      </c>
      <c r="M27" s="2"/>
      <c r="N27" s="7">
        <f t="shared" si="3"/>
        <v>1.6609339170314781</v>
      </c>
      <c r="O27" s="10"/>
      <c r="P27" s="6">
        <v>6733.48</v>
      </c>
      <c r="Q27" s="2"/>
      <c r="R27" s="7">
        <f t="shared" si="4"/>
        <v>0</v>
      </c>
      <c r="S27" s="2"/>
      <c r="T27" s="6">
        <v>-31556.91</v>
      </c>
      <c r="U27" s="2"/>
      <c r="V27" s="7">
        <f t="shared" si="5"/>
        <v>0</v>
      </c>
      <c r="W27" s="2"/>
      <c r="X27" s="6">
        <f t="shared" si="6"/>
        <v>38290.39</v>
      </c>
      <c r="Y27" s="2"/>
      <c r="Z27" s="7">
        <f t="shared" si="7"/>
        <v>-1.213375770948423</v>
      </c>
    </row>
    <row r="28" spans="1:26" s="23" customFormat="1" hidden="1" outlineLevel="2" x14ac:dyDescent="0.25">
      <c r="A28" s="25"/>
      <c r="B28" s="10" t="str">
        <f>CONCATENATE("          ", "6156", " - ", "EMPLOYEE MEALS")</f>
        <v xml:space="preserve">          6156 - EMPLOYEE MEALS</v>
      </c>
      <c r="C28" s="10"/>
      <c r="D28" s="6">
        <v>106.1</v>
      </c>
      <c r="E28" s="2"/>
      <c r="F28" s="7">
        <f t="shared" si="0"/>
        <v>0</v>
      </c>
      <c r="G28" s="2"/>
      <c r="H28" s="6">
        <v>144</v>
      </c>
      <c r="I28" s="2"/>
      <c r="J28" s="7">
        <f t="shared" si="1"/>
        <v>0</v>
      </c>
      <c r="K28" s="2"/>
      <c r="L28" s="6">
        <f t="shared" si="2"/>
        <v>-37.900000000000006</v>
      </c>
      <c r="M28" s="2"/>
      <c r="N28" s="7">
        <f t="shared" si="3"/>
        <v>-0.26319444444444451</v>
      </c>
      <c r="O28" s="10"/>
      <c r="P28" s="6">
        <v>788.71</v>
      </c>
      <c r="Q28" s="2"/>
      <c r="R28" s="7">
        <f t="shared" si="4"/>
        <v>0</v>
      </c>
      <c r="S28" s="2"/>
      <c r="T28" s="6">
        <v>3720.17</v>
      </c>
      <c r="U28" s="2"/>
      <c r="V28" s="7">
        <f t="shared" si="5"/>
        <v>0</v>
      </c>
      <c r="W28" s="2"/>
      <c r="X28" s="6">
        <f t="shared" si="6"/>
        <v>-2931.46</v>
      </c>
      <c r="Y28" s="2"/>
      <c r="Z28" s="7">
        <f t="shared" si="7"/>
        <v>-0.78799087138490986</v>
      </c>
    </row>
    <row r="29" spans="1:26" s="27" customFormat="1" outlineLevel="1" collapsed="1" x14ac:dyDescent="0.25">
      <c r="A29" s="26"/>
      <c r="B29" s="12" t="str">
        <f>CONCATENATE("     ","*Payroll                                          ")</f>
        <v xml:space="preserve">     *Payroll                                          </v>
      </c>
      <c r="C29" s="12"/>
      <c r="D29" s="1">
        <f>SUM(OSRRefD22_1x_0)</f>
        <v>11587.78</v>
      </c>
      <c r="E29" s="1"/>
      <c r="F29" s="5">
        <f t="shared" ref="F29:F35" si="8">IF(D$12=0,0,D29/D$12)</f>
        <v>0</v>
      </c>
      <c r="G29" s="1"/>
      <c r="H29" s="1">
        <f>SUM(OSRRefH22_1x_0)</f>
        <v>3744</v>
      </c>
      <c r="I29" s="1"/>
      <c r="J29" s="5">
        <f t="shared" ref="J29:J35" si="9">IF(H$12=0,0,H29/H$12)</f>
        <v>0</v>
      </c>
      <c r="K29" s="1"/>
      <c r="L29" s="1">
        <f t="shared" ref="L29:L35" si="10">+D29-H29</f>
        <v>7843.7800000000007</v>
      </c>
      <c r="M29" s="1"/>
      <c r="N29" s="5">
        <f t="shared" ref="N29:N35" si="11">IF(H29=0,0,L29/H29)</f>
        <v>2.0950267094017097</v>
      </c>
      <c r="O29" s="12"/>
      <c r="P29" s="1">
        <f>SUM(OSRRefP22_1x_0)</f>
        <v>133400.91</v>
      </c>
      <c r="Q29" s="1"/>
      <c r="R29" s="5">
        <f t="shared" ref="R29:R35" si="12">IF(P$12=0,0,P29/P$12)</f>
        <v>0</v>
      </c>
      <c r="S29" s="1"/>
      <c r="T29" s="1">
        <f>SUM(OSRRefT22_1x_0)</f>
        <v>259949.05000000002</v>
      </c>
      <c r="U29" s="1"/>
      <c r="V29" s="5">
        <f t="shared" ref="V29:V35" si="13">IF(T$12=0,0,T29/T$12)</f>
        <v>0</v>
      </c>
      <c r="W29" s="1"/>
      <c r="X29" s="1">
        <f t="shared" ref="X29:X35" si="14">+P29-T29</f>
        <v>-126548.14000000001</v>
      </c>
      <c r="Y29" s="1"/>
      <c r="Z29" s="5">
        <f t="shared" ref="Z29:Z35" si="15">IF(T29=0,0,X29/T29)</f>
        <v>-0.48681901318739196</v>
      </c>
    </row>
    <row r="30" spans="1:26" s="23" customFormat="1" hidden="1" outlineLevel="2" x14ac:dyDescent="0.25">
      <c r="A30" s="25"/>
      <c r="B30" s="10" t="str">
        <f>CONCATENATE("          ", "6001", " - ", "ADMINISTRATIVE SALARIES")</f>
        <v xml:space="preserve">          6001 - ADMINISTRATIVE SALARIES</v>
      </c>
      <c r="C30" s="10"/>
      <c r="D30" s="6">
        <v>11069.28</v>
      </c>
      <c r="E30" s="2"/>
      <c r="F30" s="7">
        <f t="shared" si="8"/>
        <v>0</v>
      </c>
      <c r="G30" s="2"/>
      <c r="H30" s="6"/>
      <c r="I30" s="2"/>
      <c r="J30" s="7">
        <f t="shared" si="9"/>
        <v>0</v>
      </c>
      <c r="K30" s="2"/>
      <c r="L30" s="6">
        <f t="shared" si="10"/>
        <v>11069.28</v>
      </c>
      <c r="M30" s="2"/>
      <c r="N30" s="7">
        <f t="shared" si="11"/>
        <v>0</v>
      </c>
      <c r="O30" s="10"/>
      <c r="P30" s="6">
        <v>130427.41</v>
      </c>
      <c r="Q30" s="2"/>
      <c r="R30" s="7">
        <f t="shared" si="12"/>
        <v>0</v>
      </c>
      <c r="S30" s="2"/>
      <c r="T30" s="6">
        <v>67427.61</v>
      </c>
      <c r="U30" s="2"/>
      <c r="V30" s="7">
        <f t="shared" si="13"/>
        <v>0</v>
      </c>
      <c r="W30" s="2"/>
      <c r="X30" s="6">
        <f t="shared" si="14"/>
        <v>62999.8</v>
      </c>
      <c r="Y30" s="2"/>
      <c r="Z30" s="7">
        <f t="shared" si="15"/>
        <v>0.93433238995123813</v>
      </c>
    </row>
    <row r="31" spans="1:26" s="23" customFormat="1" hidden="1" outlineLevel="2" x14ac:dyDescent="0.25">
      <c r="A31" s="25"/>
      <c r="B31" s="10" t="str">
        <f>CONCATENATE("          ", "6002", " - ", "STAFF SALARIES")</f>
        <v xml:space="preserve">          6002 - STAFF SALARIES</v>
      </c>
      <c r="C31" s="10"/>
      <c r="D31" s="6"/>
      <c r="E31" s="2"/>
      <c r="F31" s="7">
        <f t="shared" si="8"/>
        <v>0</v>
      </c>
      <c r="G31" s="2"/>
      <c r="H31" s="6">
        <v>3744</v>
      </c>
      <c r="I31" s="2"/>
      <c r="J31" s="7">
        <f t="shared" si="9"/>
        <v>0</v>
      </c>
      <c r="K31" s="2"/>
      <c r="L31" s="6">
        <f t="shared" si="10"/>
        <v>-3744</v>
      </c>
      <c r="M31" s="2"/>
      <c r="N31" s="7">
        <f t="shared" si="11"/>
        <v>-1</v>
      </c>
      <c r="O31" s="10"/>
      <c r="P31" s="6">
        <v>2080</v>
      </c>
      <c r="Q31" s="2"/>
      <c r="R31" s="7">
        <f t="shared" si="12"/>
        <v>0</v>
      </c>
      <c r="S31" s="2"/>
      <c r="T31" s="6">
        <v>56248.86</v>
      </c>
      <c r="U31" s="2"/>
      <c r="V31" s="7">
        <f t="shared" si="13"/>
        <v>0</v>
      </c>
      <c r="W31" s="2"/>
      <c r="X31" s="6">
        <f t="shared" si="14"/>
        <v>-54168.86</v>
      </c>
      <c r="Y31" s="2"/>
      <c r="Z31" s="7">
        <f t="shared" si="15"/>
        <v>-0.96302147279073746</v>
      </c>
    </row>
    <row r="32" spans="1:26" s="23" customFormat="1" hidden="1" outlineLevel="2" x14ac:dyDescent="0.25">
      <c r="A32" s="25"/>
      <c r="B32" s="10" t="str">
        <f>CONCATENATE("          ", "6004", " - ", "STAFF HOURLY")</f>
        <v xml:space="preserve">          6004 - STAFF HOURLY</v>
      </c>
      <c r="C32" s="10"/>
      <c r="D32" s="6"/>
      <c r="E32" s="2"/>
      <c r="F32" s="7">
        <f t="shared" si="8"/>
        <v>0</v>
      </c>
      <c r="G32" s="2"/>
      <c r="H32" s="6"/>
      <c r="I32" s="2"/>
      <c r="J32" s="7">
        <f t="shared" si="9"/>
        <v>0</v>
      </c>
      <c r="K32" s="2"/>
      <c r="L32" s="6">
        <f t="shared" si="10"/>
        <v>0</v>
      </c>
      <c r="M32" s="2"/>
      <c r="N32" s="7">
        <f t="shared" si="11"/>
        <v>0</v>
      </c>
      <c r="O32" s="10"/>
      <c r="P32" s="6">
        <v>70</v>
      </c>
      <c r="Q32" s="2"/>
      <c r="R32" s="7">
        <f t="shared" si="12"/>
        <v>0</v>
      </c>
      <c r="S32" s="2"/>
      <c r="T32" s="6">
        <v>23599.23</v>
      </c>
      <c r="U32" s="2"/>
      <c r="V32" s="7">
        <f t="shared" si="13"/>
        <v>0</v>
      </c>
      <c r="W32" s="2"/>
      <c r="X32" s="6">
        <f t="shared" si="14"/>
        <v>-23529.23</v>
      </c>
      <c r="Y32" s="2"/>
      <c r="Z32" s="7">
        <f t="shared" si="15"/>
        <v>-0.99703380152657528</v>
      </c>
    </row>
    <row r="33" spans="1:26" s="23" customFormat="1" hidden="1" outlineLevel="2" x14ac:dyDescent="0.25">
      <c r="A33" s="25"/>
      <c r="B33" s="10" t="str">
        <f>CONCATENATE("          ", "6005", " - ", "TEMPORARY WAGES-HOURLY")</f>
        <v xml:space="preserve">          6005 - TEMPORARY WAGES-HOURLY</v>
      </c>
      <c r="C33" s="10"/>
      <c r="D33" s="6">
        <v>518.5</v>
      </c>
      <c r="E33" s="2"/>
      <c r="F33" s="7">
        <f t="shared" si="8"/>
        <v>0</v>
      </c>
      <c r="G33" s="2"/>
      <c r="H33" s="6"/>
      <c r="I33" s="2"/>
      <c r="J33" s="7">
        <f t="shared" si="9"/>
        <v>0</v>
      </c>
      <c r="K33" s="2"/>
      <c r="L33" s="6">
        <f t="shared" si="10"/>
        <v>518.5</v>
      </c>
      <c r="M33" s="2"/>
      <c r="N33" s="7">
        <f t="shared" si="11"/>
        <v>0</v>
      </c>
      <c r="O33" s="10"/>
      <c r="P33" s="6">
        <v>823.5</v>
      </c>
      <c r="Q33" s="2"/>
      <c r="R33" s="7">
        <f t="shared" si="12"/>
        <v>0</v>
      </c>
      <c r="S33" s="2"/>
      <c r="T33" s="6">
        <v>94654.75</v>
      </c>
      <c r="U33" s="2"/>
      <c r="V33" s="7">
        <f t="shared" si="13"/>
        <v>0</v>
      </c>
      <c r="W33" s="2"/>
      <c r="X33" s="6">
        <f t="shared" si="14"/>
        <v>-93831.25</v>
      </c>
      <c r="Y33" s="2"/>
      <c r="Z33" s="7">
        <f t="shared" si="15"/>
        <v>-0.9912999611746901</v>
      </c>
    </row>
    <row r="34" spans="1:26" s="23" customFormat="1" hidden="1" outlineLevel="2" x14ac:dyDescent="0.25">
      <c r="A34" s="25"/>
      <c r="B34" s="10" t="str">
        <f>CONCATENATE("          ", "6006", " - ", "TEMPORARY PART TIME")</f>
        <v xml:space="preserve">          6006 - TEMPORARY PART TIME</v>
      </c>
      <c r="C34" s="10"/>
      <c r="D34" s="6"/>
      <c r="E34" s="2"/>
      <c r="F34" s="7">
        <f t="shared" si="8"/>
        <v>0</v>
      </c>
      <c r="G34" s="2"/>
      <c r="H34" s="6"/>
      <c r="I34" s="2"/>
      <c r="J34" s="7">
        <f t="shared" si="9"/>
        <v>0</v>
      </c>
      <c r="K34" s="2"/>
      <c r="L34" s="6">
        <f t="shared" si="10"/>
        <v>0</v>
      </c>
      <c r="M34" s="2"/>
      <c r="N34" s="7">
        <f t="shared" si="11"/>
        <v>0</v>
      </c>
      <c r="O34" s="10"/>
      <c r="P34" s="6"/>
      <c r="Q34" s="2"/>
      <c r="R34" s="7">
        <f t="shared" si="12"/>
        <v>0</v>
      </c>
      <c r="S34" s="2"/>
      <c r="T34" s="6">
        <v>1236.8800000000001</v>
      </c>
      <c r="U34" s="2"/>
      <c r="V34" s="7">
        <f t="shared" si="13"/>
        <v>0</v>
      </c>
      <c r="W34" s="2"/>
      <c r="X34" s="6">
        <f t="shared" si="14"/>
        <v>-1236.8800000000001</v>
      </c>
      <c r="Y34" s="2"/>
      <c r="Z34" s="7">
        <f t="shared" si="15"/>
        <v>-1</v>
      </c>
    </row>
    <row r="35" spans="1:26" s="23" customFormat="1" hidden="1" outlineLevel="2" x14ac:dyDescent="0.25">
      <c r="A35" s="25"/>
      <c r="B35" s="10" t="str">
        <f>CONCATENATE("          ", "6007", " - ", "STUDENT HOURLY")</f>
        <v xml:space="preserve">          6007 - STUDENT HOURLY</v>
      </c>
      <c r="C35" s="10"/>
      <c r="D35" s="6"/>
      <c r="E35" s="2"/>
      <c r="F35" s="7">
        <f t="shared" si="8"/>
        <v>0</v>
      </c>
      <c r="G35" s="2"/>
      <c r="H35" s="6"/>
      <c r="I35" s="2"/>
      <c r="J35" s="7">
        <f t="shared" si="9"/>
        <v>0</v>
      </c>
      <c r="K35" s="2"/>
      <c r="L35" s="6">
        <f t="shared" si="10"/>
        <v>0</v>
      </c>
      <c r="M35" s="2"/>
      <c r="N35" s="7">
        <f t="shared" si="11"/>
        <v>0</v>
      </c>
      <c r="O35" s="10"/>
      <c r="P35" s="6"/>
      <c r="Q35" s="2"/>
      <c r="R35" s="7">
        <f t="shared" si="12"/>
        <v>0</v>
      </c>
      <c r="S35" s="2"/>
      <c r="T35" s="6">
        <v>16781.72</v>
      </c>
      <c r="U35" s="2"/>
      <c r="V35" s="7">
        <f t="shared" si="13"/>
        <v>0</v>
      </c>
      <c r="W35" s="2"/>
      <c r="X35" s="6">
        <f t="shared" si="14"/>
        <v>-16781.72</v>
      </c>
      <c r="Y35" s="2"/>
      <c r="Z35" s="7">
        <f t="shared" si="15"/>
        <v>-1</v>
      </c>
    </row>
    <row r="36" spans="1:26" s="27" customFormat="1" outlineLevel="1" collapsed="1" x14ac:dyDescent="0.25">
      <c r="A36" s="26"/>
      <c r="B36" s="12" t="str">
        <f>CONCATENATE("     ","Advertising/Promo                                 ")</f>
        <v xml:space="preserve">     Advertising/Promo                                 </v>
      </c>
      <c r="C36" s="12"/>
      <c r="D36" s="1">
        <f>SUM(OSRRefD22_2x_0)</f>
        <v>0</v>
      </c>
      <c r="E36" s="1"/>
      <c r="F36" s="5">
        <f t="shared" ref="F36:F43" si="16">IF(D$12=0,0,D36/D$12)</f>
        <v>0</v>
      </c>
      <c r="G36" s="1"/>
      <c r="H36" s="1">
        <f>SUM(OSRRefH22_2x_0)</f>
        <v>0</v>
      </c>
      <c r="I36" s="1"/>
      <c r="J36" s="5">
        <f t="shared" ref="J36:J43" si="17">IF(H$12=0,0,H36/H$12)</f>
        <v>0</v>
      </c>
      <c r="K36" s="1"/>
      <c r="L36" s="1">
        <f t="shared" ref="L36:L43" si="18">+D36-H36</f>
        <v>0</v>
      </c>
      <c r="M36" s="1"/>
      <c r="N36" s="5">
        <f t="shared" ref="N36:N43" si="19">IF(H36=0,0,L36/H36)</f>
        <v>0</v>
      </c>
      <c r="O36" s="12"/>
      <c r="P36" s="1">
        <f>SUM(OSRRefP22_2x_0)</f>
        <v>63.55</v>
      </c>
      <c r="Q36" s="1"/>
      <c r="R36" s="5">
        <f t="shared" ref="R36:R43" si="20">IF(P$12=0,0,P36/P$12)</f>
        <v>0</v>
      </c>
      <c r="S36" s="1"/>
      <c r="T36" s="1">
        <f>SUM(OSRRefT22_2x_0)</f>
        <v>3780.74</v>
      </c>
      <c r="U36" s="1"/>
      <c r="V36" s="5">
        <f t="shared" ref="V36:V43" si="21">IF(T$12=0,0,T36/T$12)</f>
        <v>0</v>
      </c>
      <c r="W36" s="1"/>
      <c r="X36" s="1">
        <f t="shared" ref="X36:X43" si="22">+P36-T36</f>
        <v>-3717.1899999999996</v>
      </c>
      <c r="Y36" s="1"/>
      <c r="Z36" s="5">
        <f t="shared" ref="Z36:Z43" si="23">IF(T36=0,0,X36/T36)</f>
        <v>-0.98319112131487485</v>
      </c>
    </row>
    <row r="37" spans="1:26" s="23" customFormat="1" hidden="1" outlineLevel="2" x14ac:dyDescent="0.25">
      <c r="A37" s="25"/>
      <c r="B37" s="10" t="str">
        <f>CONCATENATE("          ", "6362", " - ", "ADVERTISING EXPENSE")</f>
        <v xml:space="preserve">          6362 - ADVERTISING EXPENSE</v>
      </c>
      <c r="C37" s="10"/>
      <c r="D37" s="6"/>
      <c r="E37" s="2"/>
      <c r="F37" s="7">
        <f t="shared" si="16"/>
        <v>0</v>
      </c>
      <c r="G37" s="2"/>
      <c r="H37" s="6"/>
      <c r="I37" s="2"/>
      <c r="J37" s="7">
        <f t="shared" si="17"/>
        <v>0</v>
      </c>
      <c r="K37" s="2"/>
      <c r="L37" s="6">
        <f t="shared" si="18"/>
        <v>0</v>
      </c>
      <c r="M37" s="2"/>
      <c r="N37" s="7">
        <f t="shared" si="19"/>
        <v>0</v>
      </c>
      <c r="O37" s="10"/>
      <c r="P37" s="6">
        <v>63.55</v>
      </c>
      <c r="Q37" s="2"/>
      <c r="R37" s="7">
        <f t="shared" si="20"/>
        <v>0</v>
      </c>
      <c r="S37" s="2"/>
      <c r="T37" s="6">
        <v>3780.74</v>
      </c>
      <c r="U37" s="2"/>
      <c r="V37" s="7">
        <f t="shared" si="21"/>
        <v>0</v>
      </c>
      <c r="W37" s="2"/>
      <c r="X37" s="6">
        <f t="shared" si="22"/>
        <v>-3717.1899999999996</v>
      </c>
      <c r="Y37" s="2"/>
      <c r="Z37" s="7">
        <f t="shared" si="23"/>
        <v>-0.98319112131487485</v>
      </c>
    </row>
    <row r="38" spans="1:26" s="27" customFormat="1" outlineLevel="1" collapsed="1" x14ac:dyDescent="0.25">
      <c r="A38" s="26"/>
      <c r="B38" s="12" t="str">
        <f>CONCATENATE("     ","Bank/card Fees                                    ")</f>
        <v xml:space="preserve">     Bank/card Fees                                    </v>
      </c>
      <c r="C38" s="12"/>
      <c r="D38" s="1">
        <f>SUM(OSRRefD22_3x_0)</f>
        <v>318.99</v>
      </c>
      <c r="E38" s="1"/>
      <c r="F38" s="5">
        <f t="shared" si="16"/>
        <v>0</v>
      </c>
      <c r="G38" s="1"/>
      <c r="H38" s="1">
        <f>SUM(OSRRefH22_3x_0)</f>
        <v>279.08999999999997</v>
      </c>
      <c r="I38" s="1"/>
      <c r="J38" s="5">
        <f t="shared" si="17"/>
        <v>0</v>
      </c>
      <c r="K38" s="1"/>
      <c r="L38" s="1">
        <f t="shared" si="18"/>
        <v>39.900000000000034</v>
      </c>
      <c r="M38" s="1"/>
      <c r="N38" s="5">
        <f t="shared" si="19"/>
        <v>0.14296463506395798</v>
      </c>
      <c r="O38" s="12"/>
      <c r="P38" s="1">
        <f>SUM(OSRRefP22_3x_0)</f>
        <v>4938.21</v>
      </c>
      <c r="Q38" s="1"/>
      <c r="R38" s="5">
        <f t="shared" si="20"/>
        <v>0</v>
      </c>
      <c r="S38" s="1"/>
      <c r="T38" s="1">
        <f>SUM(OSRRefT22_3x_0)</f>
        <v>536.59</v>
      </c>
      <c r="U38" s="1"/>
      <c r="V38" s="5">
        <f t="shared" si="21"/>
        <v>0</v>
      </c>
      <c r="W38" s="1"/>
      <c r="X38" s="1">
        <f t="shared" si="22"/>
        <v>4401.62</v>
      </c>
      <c r="Y38" s="1"/>
      <c r="Z38" s="5">
        <f t="shared" si="23"/>
        <v>8.2029482472651374</v>
      </c>
    </row>
    <row r="39" spans="1:26" s="23" customFormat="1" hidden="1" outlineLevel="2" x14ac:dyDescent="0.25">
      <c r="A39" s="25"/>
      <c r="B39" s="10" t="str">
        <f>CONCATENATE("          ", "6381", " - ", "BANK/CREDIT CARD FEES")</f>
        <v xml:space="preserve">          6381 - BANK/CREDIT CARD FEES</v>
      </c>
      <c r="C39" s="10"/>
      <c r="D39" s="6">
        <v>318.99</v>
      </c>
      <c r="E39" s="2"/>
      <c r="F39" s="7">
        <f t="shared" si="16"/>
        <v>0</v>
      </c>
      <c r="G39" s="2"/>
      <c r="H39" s="6">
        <v>279.08999999999997</v>
      </c>
      <c r="I39" s="2"/>
      <c r="J39" s="7">
        <f t="shared" si="17"/>
        <v>0</v>
      </c>
      <c r="K39" s="2"/>
      <c r="L39" s="6">
        <f t="shared" si="18"/>
        <v>39.900000000000034</v>
      </c>
      <c r="M39" s="2"/>
      <c r="N39" s="7">
        <f t="shared" si="19"/>
        <v>0.14296463506395798</v>
      </c>
      <c r="O39" s="10"/>
      <c r="P39" s="6">
        <v>4938.21</v>
      </c>
      <c r="Q39" s="2"/>
      <c r="R39" s="7">
        <f t="shared" si="20"/>
        <v>0</v>
      </c>
      <c r="S39" s="2"/>
      <c r="T39" s="6">
        <v>536.59</v>
      </c>
      <c r="U39" s="2"/>
      <c r="V39" s="7">
        <f t="shared" si="21"/>
        <v>0</v>
      </c>
      <c r="W39" s="2"/>
      <c r="X39" s="6">
        <f t="shared" si="22"/>
        <v>4401.62</v>
      </c>
      <c r="Y39" s="2"/>
      <c r="Z39" s="7">
        <f t="shared" si="23"/>
        <v>8.2029482472651374</v>
      </c>
    </row>
    <row r="40" spans="1:26" s="27" customFormat="1" outlineLevel="1" collapsed="1" x14ac:dyDescent="0.25">
      <c r="A40" s="26"/>
      <c r="B40" s="12" t="str">
        <f>CONCATENATE("     ","Depreciation                                      ")</f>
        <v xml:space="preserve">     Depreciation                                      </v>
      </c>
      <c r="C40" s="12"/>
      <c r="D40" s="1">
        <f>SUM(OSRRefD22_4x_0)</f>
        <v>5331.65</v>
      </c>
      <c r="E40" s="1"/>
      <c r="F40" s="5">
        <f t="shared" si="16"/>
        <v>0</v>
      </c>
      <c r="G40" s="1"/>
      <c r="H40" s="1">
        <f>SUM(OSRRefH22_4x_0)</f>
        <v>7224.33</v>
      </c>
      <c r="I40" s="1"/>
      <c r="J40" s="5">
        <f t="shared" si="17"/>
        <v>0</v>
      </c>
      <c r="K40" s="1"/>
      <c r="L40" s="1">
        <f t="shared" si="18"/>
        <v>-1892.6800000000003</v>
      </c>
      <c r="M40" s="1"/>
      <c r="N40" s="5">
        <f t="shared" si="19"/>
        <v>-0.26198692473904156</v>
      </c>
      <c r="O40" s="12"/>
      <c r="P40" s="1">
        <f>SUM(OSRRefP22_4x_0)</f>
        <v>80694.3</v>
      </c>
      <c r="Q40" s="1"/>
      <c r="R40" s="5">
        <f t="shared" si="20"/>
        <v>0</v>
      </c>
      <c r="S40" s="1"/>
      <c r="T40" s="1">
        <f>SUM(OSRRefT22_4x_0)</f>
        <v>85610.599999999991</v>
      </c>
      <c r="U40" s="1"/>
      <c r="V40" s="5">
        <f t="shared" si="21"/>
        <v>0</v>
      </c>
      <c r="W40" s="1"/>
      <c r="X40" s="1">
        <f t="shared" si="22"/>
        <v>-4916.2999999999884</v>
      </c>
      <c r="Y40" s="1"/>
      <c r="Z40" s="5">
        <f t="shared" si="23"/>
        <v>-5.7426300014250441E-2</v>
      </c>
    </row>
    <row r="41" spans="1:26" s="23" customFormat="1" hidden="1" outlineLevel="2" x14ac:dyDescent="0.25">
      <c r="A41" s="25"/>
      <c r="B41" s="10" t="str">
        <f>CONCATENATE("          ", "6321", " - ", "BUILDING DEPRECIATION")</f>
        <v xml:space="preserve">          6321 - BUILDING DEPRECIATION</v>
      </c>
      <c r="C41" s="10"/>
      <c r="D41" s="6">
        <v>1822.7</v>
      </c>
      <c r="E41" s="2"/>
      <c r="F41" s="7">
        <f t="shared" si="16"/>
        <v>0</v>
      </c>
      <c r="G41" s="2"/>
      <c r="H41" s="6">
        <v>2267.06</v>
      </c>
      <c r="I41" s="2"/>
      <c r="J41" s="7">
        <f t="shared" si="17"/>
        <v>0</v>
      </c>
      <c r="K41" s="2"/>
      <c r="L41" s="6">
        <f t="shared" si="18"/>
        <v>-444.3599999999999</v>
      </c>
      <c r="M41" s="2"/>
      <c r="N41" s="7">
        <f t="shared" si="19"/>
        <v>-0.19600716346281083</v>
      </c>
      <c r="O41" s="10"/>
      <c r="P41" s="6">
        <v>22656.37</v>
      </c>
      <c r="Q41" s="2"/>
      <c r="R41" s="7">
        <f t="shared" si="20"/>
        <v>0</v>
      </c>
      <c r="S41" s="2"/>
      <c r="T41" s="6">
        <v>27203.51</v>
      </c>
      <c r="U41" s="2"/>
      <c r="V41" s="7">
        <f t="shared" si="21"/>
        <v>0</v>
      </c>
      <c r="W41" s="2"/>
      <c r="X41" s="6">
        <f t="shared" si="22"/>
        <v>-4547.1399999999994</v>
      </c>
      <c r="Y41" s="2"/>
      <c r="Z41" s="7">
        <f t="shared" si="23"/>
        <v>-0.16715269463389099</v>
      </c>
    </row>
    <row r="42" spans="1:26" s="23" customFormat="1" hidden="1" outlineLevel="2" x14ac:dyDescent="0.25">
      <c r="A42" s="25"/>
      <c r="B42" s="10" t="str">
        <f>CONCATENATE("          ", "6322", " - ", "EQUIPMENT DEPRECIATION EXPENSE")</f>
        <v xml:space="preserve">          6322 - EQUIPMENT DEPRECIATION EXPENSE</v>
      </c>
      <c r="C42" s="10"/>
      <c r="D42" s="6">
        <v>3508.95</v>
      </c>
      <c r="E42" s="2"/>
      <c r="F42" s="7">
        <f t="shared" si="16"/>
        <v>0</v>
      </c>
      <c r="G42" s="2"/>
      <c r="H42" s="6">
        <v>4957.2700000000004</v>
      </c>
      <c r="I42" s="2"/>
      <c r="J42" s="7">
        <f t="shared" si="17"/>
        <v>0</v>
      </c>
      <c r="K42" s="2"/>
      <c r="L42" s="6">
        <f t="shared" si="18"/>
        <v>-1448.3200000000006</v>
      </c>
      <c r="M42" s="2"/>
      <c r="N42" s="7">
        <f t="shared" si="19"/>
        <v>-0.29216080625021446</v>
      </c>
      <c r="O42" s="10"/>
      <c r="P42" s="6">
        <v>58037.93</v>
      </c>
      <c r="Q42" s="2"/>
      <c r="R42" s="7">
        <f t="shared" si="20"/>
        <v>0</v>
      </c>
      <c r="S42" s="2"/>
      <c r="T42" s="6">
        <v>54164.61</v>
      </c>
      <c r="U42" s="2"/>
      <c r="V42" s="7">
        <f t="shared" si="21"/>
        <v>0</v>
      </c>
      <c r="W42" s="2"/>
      <c r="X42" s="6">
        <f t="shared" si="22"/>
        <v>3873.3199999999997</v>
      </c>
      <c r="Y42" s="2"/>
      <c r="Z42" s="7">
        <f t="shared" si="23"/>
        <v>7.1510161339664396E-2</v>
      </c>
    </row>
    <row r="43" spans="1:26" s="23" customFormat="1" hidden="1" outlineLevel="2" x14ac:dyDescent="0.25">
      <c r="A43" s="25"/>
      <c r="B43" s="10" t="str">
        <f>CONCATENATE("          ", "6326", " - ", "VEHICLES DEPRECIATION EXPENSE")</f>
        <v xml:space="preserve">          6326 - VEHICLES DEPRECIATION EXPENSE</v>
      </c>
      <c r="C43" s="10"/>
      <c r="D43" s="6"/>
      <c r="E43" s="2"/>
      <c r="F43" s="7">
        <f t="shared" si="16"/>
        <v>0</v>
      </c>
      <c r="G43" s="2"/>
      <c r="H43" s="6"/>
      <c r="I43" s="2"/>
      <c r="J43" s="7">
        <f t="shared" si="17"/>
        <v>0</v>
      </c>
      <c r="K43" s="2"/>
      <c r="L43" s="6">
        <f t="shared" si="18"/>
        <v>0</v>
      </c>
      <c r="M43" s="2"/>
      <c r="N43" s="7">
        <f t="shared" si="19"/>
        <v>0</v>
      </c>
      <c r="O43" s="10"/>
      <c r="P43" s="6"/>
      <c r="Q43" s="2"/>
      <c r="R43" s="7">
        <f t="shared" si="20"/>
        <v>0</v>
      </c>
      <c r="S43" s="2"/>
      <c r="T43" s="6">
        <v>4242.4799999999996</v>
      </c>
      <c r="U43" s="2"/>
      <c r="V43" s="7">
        <f t="shared" si="21"/>
        <v>0</v>
      </c>
      <c r="W43" s="2"/>
      <c r="X43" s="6">
        <f t="shared" si="22"/>
        <v>-4242.4799999999996</v>
      </c>
      <c r="Y43" s="2"/>
      <c r="Z43" s="7">
        <f t="shared" si="23"/>
        <v>-1</v>
      </c>
    </row>
    <row r="44" spans="1:26" s="27" customFormat="1" outlineLevel="1" collapsed="1" x14ac:dyDescent="0.25">
      <c r="A44" s="26"/>
      <c r="B44" s="12" t="str">
        <f>CONCATENATE("     ","Donations                                         ")</f>
        <v xml:space="preserve">     Donations                                         </v>
      </c>
      <c r="C44" s="12"/>
      <c r="D44" s="1">
        <f>SUM(OSRRefD22_5x_0)</f>
        <v>0</v>
      </c>
      <c r="E44" s="1"/>
      <c r="F44" s="5">
        <f t="shared" ref="F44:F62" si="24">IF(D$12=0,0,D44/D$12)</f>
        <v>0</v>
      </c>
      <c r="G44" s="1"/>
      <c r="H44" s="1">
        <f>SUM(OSRRefH22_5x_0)</f>
        <v>0</v>
      </c>
      <c r="I44" s="1"/>
      <c r="J44" s="5">
        <f t="shared" ref="J44:J62" si="25">IF(H$12=0,0,H44/H$12)</f>
        <v>0</v>
      </c>
      <c r="K44" s="1"/>
      <c r="L44" s="1">
        <f t="shared" ref="L44:L62" si="26">+D44-H44</f>
        <v>0</v>
      </c>
      <c r="M44" s="1"/>
      <c r="N44" s="5">
        <f t="shared" ref="N44:N62" si="27">IF(H44=0,0,L44/H44)</f>
        <v>0</v>
      </c>
      <c r="O44" s="12"/>
      <c r="P44" s="1">
        <f>SUM(OSRRefP22_5x_0)</f>
        <v>0</v>
      </c>
      <c r="Q44" s="1"/>
      <c r="R44" s="5">
        <f t="shared" ref="R44:R62" si="28">IF(P$12=0,0,P44/P$12)</f>
        <v>0</v>
      </c>
      <c r="S44" s="1"/>
      <c r="T44" s="1">
        <f>SUM(OSRRefT22_5x_0)</f>
        <v>163.68</v>
      </c>
      <c r="U44" s="1"/>
      <c r="V44" s="5">
        <f t="shared" ref="V44:V62" si="29">IF(T$12=0,0,T44/T$12)</f>
        <v>0</v>
      </c>
      <c r="W44" s="1"/>
      <c r="X44" s="1">
        <f t="shared" ref="X44:X62" si="30">+P44-T44</f>
        <v>-163.68</v>
      </c>
      <c r="Y44" s="1"/>
      <c r="Z44" s="5">
        <f t="shared" ref="Z44:Z62" si="31">IF(T44=0,0,X44/T44)</f>
        <v>-1</v>
      </c>
    </row>
    <row r="45" spans="1:26" s="23" customFormat="1" hidden="1" outlineLevel="2" x14ac:dyDescent="0.25">
      <c r="A45" s="25"/>
      <c r="B45" s="10" t="str">
        <f>CONCATENATE("          ", "6399", " - ", "DONATION-ON CAMPUS")</f>
        <v xml:space="preserve">          6399 - DONATION-ON CAMPUS</v>
      </c>
      <c r="C45" s="10"/>
      <c r="D45" s="6"/>
      <c r="E45" s="2"/>
      <c r="F45" s="7">
        <f t="shared" si="24"/>
        <v>0</v>
      </c>
      <c r="G45" s="2"/>
      <c r="H45" s="6"/>
      <c r="I45" s="2"/>
      <c r="J45" s="7">
        <f t="shared" si="25"/>
        <v>0</v>
      </c>
      <c r="K45" s="2"/>
      <c r="L45" s="6">
        <f t="shared" si="26"/>
        <v>0</v>
      </c>
      <c r="M45" s="2"/>
      <c r="N45" s="7">
        <f t="shared" si="27"/>
        <v>0</v>
      </c>
      <c r="O45" s="10"/>
      <c r="P45" s="6"/>
      <c r="Q45" s="2"/>
      <c r="R45" s="7">
        <f t="shared" si="28"/>
        <v>0</v>
      </c>
      <c r="S45" s="2"/>
      <c r="T45" s="6">
        <v>163.68</v>
      </c>
      <c r="U45" s="2"/>
      <c r="V45" s="7">
        <f t="shared" si="29"/>
        <v>0</v>
      </c>
      <c r="W45" s="2"/>
      <c r="X45" s="6">
        <f t="shared" si="30"/>
        <v>-163.68</v>
      </c>
      <c r="Y45" s="2"/>
      <c r="Z45" s="7">
        <f t="shared" si="31"/>
        <v>-1</v>
      </c>
    </row>
    <row r="46" spans="1:26" s="27" customFormat="1" outlineLevel="1" collapsed="1" x14ac:dyDescent="0.25">
      <c r="A46" s="26"/>
      <c r="B46" s="12" t="str">
        <f>CONCATENATE("     ","Employees' Appreciation                           ")</f>
        <v xml:space="preserve">     Employees' Appreciation                           </v>
      </c>
      <c r="C46" s="12"/>
      <c r="D46" s="1">
        <f>SUM(OSRRefD22_6x_0)</f>
        <v>0</v>
      </c>
      <c r="E46" s="1"/>
      <c r="F46" s="5">
        <f t="shared" si="24"/>
        <v>0</v>
      </c>
      <c r="G46" s="1"/>
      <c r="H46" s="1">
        <f>SUM(OSRRefH22_6x_0)</f>
        <v>0</v>
      </c>
      <c r="I46" s="1"/>
      <c r="J46" s="5">
        <f t="shared" si="25"/>
        <v>0</v>
      </c>
      <c r="K46" s="1"/>
      <c r="L46" s="1">
        <f t="shared" si="26"/>
        <v>0</v>
      </c>
      <c r="M46" s="1"/>
      <c r="N46" s="5">
        <f t="shared" si="27"/>
        <v>0</v>
      </c>
      <c r="O46" s="12"/>
      <c r="P46" s="1">
        <f>SUM(OSRRefP22_6x_0)</f>
        <v>0</v>
      </c>
      <c r="Q46" s="1"/>
      <c r="R46" s="5">
        <f t="shared" si="28"/>
        <v>0</v>
      </c>
      <c r="S46" s="1"/>
      <c r="T46" s="1">
        <f>SUM(OSRRefT22_6x_0)</f>
        <v>502.38</v>
      </c>
      <c r="U46" s="1"/>
      <c r="V46" s="5">
        <f t="shared" si="29"/>
        <v>0</v>
      </c>
      <c r="W46" s="1"/>
      <c r="X46" s="1">
        <f t="shared" si="30"/>
        <v>-502.38</v>
      </c>
      <c r="Y46" s="1"/>
      <c r="Z46" s="5">
        <f t="shared" si="31"/>
        <v>-1</v>
      </c>
    </row>
    <row r="47" spans="1:26" s="23" customFormat="1" hidden="1" outlineLevel="2" x14ac:dyDescent="0.25">
      <c r="A47" s="25"/>
      <c r="B47" s="10" t="str">
        <f>CONCATENATE("          ", "6277", " - ", "EMPLOYEE APPRECIATION")</f>
        <v xml:space="preserve">          6277 - EMPLOYEE APPRECIATION</v>
      </c>
      <c r="C47" s="10"/>
      <c r="D47" s="6"/>
      <c r="E47" s="2"/>
      <c r="F47" s="7">
        <f t="shared" si="24"/>
        <v>0</v>
      </c>
      <c r="G47" s="2"/>
      <c r="H47" s="6"/>
      <c r="I47" s="2"/>
      <c r="J47" s="7">
        <f t="shared" si="25"/>
        <v>0</v>
      </c>
      <c r="K47" s="2"/>
      <c r="L47" s="6">
        <f t="shared" si="26"/>
        <v>0</v>
      </c>
      <c r="M47" s="2"/>
      <c r="N47" s="7">
        <f t="shared" si="27"/>
        <v>0</v>
      </c>
      <c r="O47" s="10"/>
      <c r="P47" s="6"/>
      <c r="Q47" s="2"/>
      <c r="R47" s="7">
        <f t="shared" si="28"/>
        <v>0</v>
      </c>
      <c r="S47" s="2"/>
      <c r="T47" s="6">
        <v>502.38</v>
      </c>
      <c r="U47" s="2"/>
      <c r="V47" s="7">
        <f t="shared" si="29"/>
        <v>0</v>
      </c>
      <c r="W47" s="2"/>
      <c r="X47" s="6">
        <f t="shared" si="30"/>
        <v>-502.38</v>
      </c>
      <c r="Y47" s="2"/>
      <c r="Z47" s="7">
        <f t="shared" si="31"/>
        <v>-1</v>
      </c>
    </row>
    <row r="48" spans="1:26" s="27" customFormat="1" outlineLevel="1" collapsed="1" x14ac:dyDescent="0.25">
      <c r="A48" s="26"/>
      <c r="B48" s="12" t="str">
        <f>CONCATENATE("     ","Equipment Rental                                  ")</f>
        <v xml:space="preserve">     Equipment Rental                                  </v>
      </c>
      <c r="C48" s="12"/>
      <c r="D48" s="1">
        <f>SUM(OSRRefD22_7x_0)</f>
        <v>747.46</v>
      </c>
      <c r="E48" s="1"/>
      <c r="F48" s="5">
        <f t="shared" si="24"/>
        <v>0</v>
      </c>
      <c r="G48" s="1"/>
      <c r="H48" s="1">
        <f>SUM(OSRRefH22_7x_0)</f>
        <v>1412.74</v>
      </c>
      <c r="I48" s="1"/>
      <c r="J48" s="5">
        <f t="shared" si="25"/>
        <v>0</v>
      </c>
      <c r="K48" s="1"/>
      <c r="L48" s="1">
        <f t="shared" si="26"/>
        <v>-665.28</v>
      </c>
      <c r="M48" s="1"/>
      <c r="N48" s="5">
        <f t="shared" si="27"/>
        <v>-0.47091467644435636</v>
      </c>
      <c r="O48" s="12"/>
      <c r="P48" s="1">
        <f>SUM(OSRRefP22_7x_0)</f>
        <v>4453.8500000000004</v>
      </c>
      <c r="Q48" s="1"/>
      <c r="R48" s="5">
        <f t="shared" si="28"/>
        <v>0</v>
      </c>
      <c r="S48" s="1"/>
      <c r="T48" s="1">
        <f>SUM(OSRRefT22_7x_0)</f>
        <v>12510.09</v>
      </c>
      <c r="U48" s="1"/>
      <c r="V48" s="5">
        <f t="shared" si="29"/>
        <v>0</v>
      </c>
      <c r="W48" s="1"/>
      <c r="X48" s="1">
        <f t="shared" si="30"/>
        <v>-8056.24</v>
      </c>
      <c r="Y48" s="1"/>
      <c r="Z48" s="5">
        <f t="shared" si="31"/>
        <v>-0.64397937984458942</v>
      </c>
    </row>
    <row r="49" spans="1:26" s="23" customFormat="1" hidden="1" outlineLevel="2" x14ac:dyDescent="0.25">
      <c r="A49" s="25"/>
      <c r="B49" s="10" t="str">
        <f>CONCATENATE("          ", "6351", " - ", "EQUIPMENT RENTAL")</f>
        <v xml:space="preserve">          6351 - EQUIPMENT RENTAL</v>
      </c>
      <c r="C49" s="10"/>
      <c r="D49" s="6">
        <v>747.46</v>
      </c>
      <c r="E49" s="2"/>
      <c r="F49" s="7">
        <f t="shared" si="24"/>
        <v>0</v>
      </c>
      <c r="G49" s="2"/>
      <c r="H49" s="6">
        <v>1412.74</v>
      </c>
      <c r="I49" s="2"/>
      <c r="J49" s="7">
        <f t="shared" si="25"/>
        <v>0</v>
      </c>
      <c r="K49" s="2"/>
      <c r="L49" s="6">
        <f t="shared" si="26"/>
        <v>-665.28</v>
      </c>
      <c r="M49" s="2"/>
      <c r="N49" s="7">
        <f t="shared" si="27"/>
        <v>-0.47091467644435636</v>
      </c>
      <c r="O49" s="10"/>
      <c r="P49" s="6">
        <v>4453.8500000000004</v>
      </c>
      <c r="Q49" s="2"/>
      <c r="R49" s="7">
        <f t="shared" si="28"/>
        <v>0</v>
      </c>
      <c r="S49" s="2"/>
      <c r="T49" s="6">
        <v>12510.09</v>
      </c>
      <c r="U49" s="2"/>
      <c r="V49" s="7">
        <f t="shared" si="29"/>
        <v>0</v>
      </c>
      <c r="W49" s="2"/>
      <c r="X49" s="6">
        <f t="shared" si="30"/>
        <v>-8056.24</v>
      </c>
      <c r="Y49" s="2"/>
      <c r="Z49" s="7">
        <f t="shared" si="31"/>
        <v>-0.64397937984458942</v>
      </c>
    </row>
    <row r="50" spans="1:26" s="27" customFormat="1" outlineLevel="1" collapsed="1" x14ac:dyDescent="0.25">
      <c r="A50" s="26"/>
      <c r="B50" s="12" t="str">
        <f>CONCATENATE("     ","Freight out/Postage                               ")</f>
        <v xml:space="preserve">     Freight out/Postage                               </v>
      </c>
      <c r="C50" s="12"/>
      <c r="D50" s="1">
        <f>SUM(OSRRefD22_8x_0)</f>
        <v>0</v>
      </c>
      <c r="E50" s="1"/>
      <c r="F50" s="5">
        <f t="shared" si="24"/>
        <v>0</v>
      </c>
      <c r="G50" s="1"/>
      <c r="H50" s="1">
        <f>SUM(OSRRefH22_8x_0)</f>
        <v>0</v>
      </c>
      <c r="I50" s="1"/>
      <c r="J50" s="5">
        <f t="shared" si="25"/>
        <v>0</v>
      </c>
      <c r="K50" s="1"/>
      <c r="L50" s="1">
        <f t="shared" si="26"/>
        <v>0</v>
      </c>
      <c r="M50" s="1"/>
      <c r="N50" s="5">
        <f t="shared" si="27"/>
        <v>0</v>
      </c>
      <c r="O50" s="12"/>
      <c r="P50" s="1">
        <f>SUM(OSRRefP22_8x_0)</f>
        <v>-2.4500000000000002</v>
      </c>
      <c r="Q50" s="1"/>
      <c r="R50" s="5">
        <f t="shared" si="28"/>
        <v>0</v>
      </c>
      <c r="S50" s="1"/>
      <c r="T50" s="1">
        <f>SUM(OSRRefT22_8x_0)</f>
        <v>0.57999999999999996</v>
      </c>
      <c r="U50" s="1"/>
      <c r="V50" s="5">
        <f t="shared" si="29"/>
        <v>0</v>
      </c>
      <c r="W50" s="1"/>
      <c r="X50" s="1">
        <f t="shared" si="30"/>
        <v>-3.0300000000000002</v>
      </c>
      <c r="Y50" s="1"/>
      <c r="Z50" s="5">
        <f t="shared" si="31"/>
        <v>-5.224137931034484</v>
      </c>
    </row>
    <row r="51" spans="1:26" s="23" customFormat="1" hidden="1" outlineLevel="2" x14ac:dyDescent="0.25">
      <c r="A51" s="25"/>
      <c r="B51" s="10" t="str">
        <f>CONCATENATE("          ", "6307", " - ", "POSTAGE")</f>
        <v xml:space="preserve">          6307 - POSTAGE</v>
      </c>
      <c r="C51" s="10"/>
      <c r="D51" s="6"/>
      <c r="E51" s="2"/>
      <c r="F51" s="7">
        <f t="shared" si="24"/>
        <v>0</v>
      </c>
      <c r="G51" s="2"/>
      <c r="H51" s="6"/>
      <c r="I51" s="2"/>
      <c r="J51" s="7">
        <f t="shared" si="25"/>
        <v>0</v>
      </c>
      <c r="K51" s="2"/>
      <c r="L51" s="6">
        <f t="shared" si="26"/>
        <v>0</v>
      </c>
      <c r="M51" s="2"/>
      <c r="N51" s="7">
        <f t="shared" si="27"/>
        <v>0</v>
      </c>
      <c r="O51" s="10"/>
      <c r="P51" s="6">
        <v>-2.4500000000000002</v>
      </c>
      <c r="Q51" s="2"/>
      <c r="R51" s="7">
        <f t="shared" si="28"/>
        <v>0</v>
      </c>
      <c r="S51" s="2"/>
      <c r="T51" s="6">
        <v>0.57999999999999996</v>
      </c>
      <c r="U51" s="2"/>
      <c r="V51" s="7">
        <f t="shared" si="29"/>
        <v>0</v>
      </c>
      <c r="W51" s="2"/>
      <c r="X51" s="6">
        <f t="shared" si="30"/>
        <v>-3.0300000000000002</v>
      </c>
      <c r="Y51" s="2"/>
      <c r="Z51" s="7">
        <f t="shared" si="31"/>
        <v>-5.224137931034484</v>
      </c>
    </row>
    <row r="52" spans="1:26" s="27" customFormat="1" outlineLevel="1" collapsed="1" x14ac:dyDescent="0.25">
      <c r="A52" s="26"/>
      <c r="B52" s="12" t="str">
        <f>CONCATENATE("     ","General                                           ")</f>
        <v xml:space="preserve">     General                                           </v>
      </c>
      <c r="C52" s="12"/>
      <c r="D52" s="1">
        <f>SUM(OSRRefD22_9x_0)</f>
        <v>0</v>
      </c>
      <c r="E52" s="1"/>
      <c r="F52" s="5">
        <f t="shared" si="24"/>
        <v>0</v>
      </c>
      <c r="G52" s="1"/>
      <c r="H52" s="1">
        <f>SUM(OSRRefH22_9x_0)</f>
        <v>0</v>
      </c>
      <c r="I52" s="1"/>
      <c r="J52" s="5">
        <f t="shared" si="25"/>
        <v>0</v>
      </c>
      <c r="K52" s="1"/>
      <c r="L52" s="1">
        <f t="shared" si="26"/>
        <v>0</v>
      </c>
      <c r="M52" s="1"/>
      <c r="N52" s="5">
        <f t="shared" si="27"/>
        <v>0</v>
      </c>
      <c r="O52" s="12"/>
      <c r="P52" s="1">
        <f>SUM(OSRRefP22_9x_0)</f>
        <v>721.41</v>
      </c>
      <c r="Q52" s="1"/>
      <c r="R52" s="5">
        <f t="shared" si="28"/>
        <v>0</v>
      </c>
      <c r="S52" s="1"/>
      <c r="T52" s="1">
        <f>SUM(OSRRefT22_9x_0)</f>
        <v>23322.71</v>
      </c>
      <c r="U52" s="1"/>
      <c r="V52" s="5">
        <f t="shared" si="29"/>
        <v>0</v>
      </c>
      <c r="W52" s="1"/>
      <c r="X52" s="1">
        <f t="shared" si="30"/>
        <v>-22601.3</v>
      </c>
      <c r="Y52" s="1"/>
      <c r="Z52" s="5">
        <f t="shared" si="31"/>
        <v>-0.9690683458311663</v>
      </c>
    </row>
    <row r="53" spans="1:26" s="23" customFormat="1" hidden="1" outlineLevel="2" x14ac:dyDescent="0.25">
      <c r="A53" s="25"/>
      <c r="B53" s="10" t="str">
        <f>CONCATENATE("          ", "6279", " - ", "GENERAL EXPENSE")</f>
        <v xml:space="preserve">          6279 - GENERAL EXPENSE</v>
      </c>
      <c r="C53" s="10"/>
      <c r="D53" s="6"/>
      <c r="E53" s="2"/>
      <c r="F53" s="7">
        <f t="shared" si="24"/>
        <v>0</v>
      </c>
      <c r="G53" s="2"/>
      <c r="H53" s="6"/>
      <c r="I53" s="2"/>
      <c r="J53" s="7">
        <f t="shared" si="25"/>
        <v>0</v>
      </c>
      <c r="K53" s="2"/>
      <c r="L53" s="6">
        <f t="shared" si="26"/>
        <v>0</v>
      </c>
      <c r="M53" s="2"/>
      <c r="N53" s="7">
        <f t="shared" si="27"/>
        <v>0</v>
      </c>
      <c r="O53" s="10"/>
      <c r="P53" s="6">
        <v>721.41</v>
      </c>
      <c r="Q53" s="2"/>
      <c r="R53" s="7">
        <f t="shared" si="28"/>
        <v>0</v>
      </c>
      <c r="S53" s="2"/>
      <c r="T53" s="6">
        <v>23322.71</v>
      </c>
      <c r="U53" s="2"/>
      <c r="V53" s="7">
        <f t="shared" si="29"/>
        <v>0</v>
      </c>
      <c r="W53" s="2"/>
      <c r="X53" s="6">
        <f t="shared" si="30"/>
        <v>-22601.3</v>
      </c>
      <c r="Y53" s="2"/>
      <c r="Z53" s="7">
        <f t="shared" si="31"/>
        <v>-0.9690683458311663</v>
      </c>
    </row>
    <row r="54" spans="1:26" s="27" customFormat="1" outlineLevel="1" collapsed="1" x14ac:dyDescent="0.25">
      <c r="A54" s="26"/>
      <c r="B54" s="12" t="str">
        <f>CONCATENATE("     ","Insurance                                         ")</f>
        <v xml:space="preserve">     Insurance                                         </v>
      </c>
      <c r="C54" s="12"/>
      <c r="D54" s="1">
        <f>SUM(OSRRefD22_10x_0)</f>
        <v>7678.07</v>
      </c>
      <c r="E54" s="1"/>
      <c r="F54" s="5">
        <f t="shared" si="24"/>
        <v>0</v>
      </c>
      <c r="G54" s="1"/>
      <c r="H54" s="1">
        <f>SUM(OSRRefH22_10x_0)</f>
        <v>3598.85</v>
      </c>
      <c r="I54" s="1"/>
      <c r="J54" s="5">
        <f t="shared" si="25"/>
        <v>0</v>
      </c>
      <c r="K54" s="1"/>
      <c r="L54" s="1">
        <f t="shared" si="26"/>
        <v>4079.22</v>
      </c>
      <c r="M54" s="1"/>
      <c r="N54" s="5">
        <f t="shared" si="27"/>
        <v>1.1334787501563</v>
      </c>
      <c r="O54" s="12"/>
      <c r="P54" s="1">
        <f>SUM(OSRRefP22_10x_0)</f>
        <v>53377.42</v>
      </c>
      <c r="Q54" s="1"/>
      <c r="R54" s="5">
        <f t="shared" si="28"/>
        <v>0</v>
      </c>
      <c r="S54" s="1"/>
      <c r="T54" s="1">
        <f>SUM(OSRRefT22_10x_0)</f>
        <v>48947.199999999997</v>
      </c>
      <c r="U54" s="1"/>
      <c r="V54" s="5">
        <f t="shared" si="29"/>
        <v>0</v>
      </c>
      <c r="W54" s="1"/>
      <c r="X54" s="1">
        <f t="shared" si="30"/>
        <v>4430.2200000000012</v>
      </c>
      <c r="Y54" s="1"/>
      <c r="Z54" s="5">
        <f t="shared" si="31"/>
        <v>9.0510182400627651E-2</v>
      </c>
    </row>
    <row r="55" spans="1:26" s="23" customFormat="1" hidden="1" outlineLevel="2" x14ac:dyDescent="0.25">
      <c r="A55" s="25"/>
      <c r="B55" s="10" t="str">
        <f>CONCATENATE("          ", "6314", " - ", "LIABILITY INSURANCE")</f>
        <v xml:space="preserve">          6314 - LIABILITY INSURANCE</v>
      </c>
      <c r="C55" s="10"/>
      <c r="D55" s="6">
        <v>7678.07</v>
      </c>
      <c r="E55" s="2"/>
      <c r="F55" s="7">
        <f t="shared" si="24"/>
        <v>0</v>
      </c>
      <c r="G55" s="2"/>
      <c r="H55" s="6">
        <v>3598.85</v>
      </c>
      <c r="I55" s="2"/>
      <c r="J55" s="7">
        <f t="shared" si="25"/>
        <v>0</v>
      </c>
      <c r="K55" s="2"/>
      <c r="L55" s="6">
        <f t="shared" si="26"/>
        <v>4079.22</v>
      </c>
      <c r="M55" s="2"/>
      <c r="N55" s="7">
        <f t="shared" si="27"/>
        <v>1.1334787501563</v>
      </c>
      <c r="O55" s="10"/>
      <c r="P55" s="6">
        <v>53377.42</v>
      </c>
      <c r="Q55" s="2"/>
      <c r="R55" s="7">
        <f t="shared" si="28"/>
        <v>0</v>
      </c>
      <c r="S55" s="2"/>
      <c r="T55" s="6">
        <v>48947.199999999997</v>
      </c>
      <c r="U55" s="2"/>
      <c r="V55" s="7">
        <f t="shared" si="29"/>
        <v>0</v>
      </c>
      <c r="W55" s="2"/>
      <c r="X55" s="6">
        <f t="shared" si="30"/>
        <v>4430.2200000000012</v>
      </c>
      <c r="Y55" s="2"/>
      <c r="Z55" s="7">
        <f t="shared" si="31"/>
        <v>9.0510182400627651E-2</v>
      </c>
    </row>
    <row r="56" spans="1:26" s="27" customFormat="1" outlineLevel="1" collapsed="1" x14ac:dyDescent="0.25">
      <c r="A56" s="26"/>
      <c r="B56" s="12" t="str">
        <f>CONCATENATE("     ","Professional Services                             ")</f>
        <v xml:space="preserve">     Professional Services                             </v>
      </c>
      <c r="C56" s="12"/>
      <c r="D56" s="1">
        <f>SUM(OSRRefD22_11x_0)</f>
        <v>0</v>
      </c>
      <c r="E56" s="1"/>
      <c r="F56" s="5">
        <f t="shared" si="24"/>
        <v>0</v>
      </c>
      <c r="G56" s="1"/>
      <c r="H56" s="1">
        <f>SUM(OSRRefH22_11x_0)</f>
        <v>0</v>
      </c>
      <c r="I56" s="1"/>
      <c r="J56" s="5">
        <f t="shared" si="25"/>
        <v>0</v>
      </c>
      <c r="K56" s="1"/>
      <c r="L56" s="1">
        <f t="shared" si="26"/>
        <v>0</v>
      </c>
      <c r="M56" s="1"/>
      <c r="N56" s="5">
        <f t="shared" si="27"/>
        <v>0</v>
      </c>
      <c r="O56" s="12"/>
      <c r="P56" s="1">
        <f>SUM(OSRRefP22_11x_0)</f>
        <v>0</v>
      </c>
      <c r="Q56" s="1"/>
      <c r="R56" s="5">
        <f t="shared" si="28"/>
        <v>0</v>
      </c>
      <c r="S56" s="1"/>
      <c r="T56" s="1">
        <f>SUM(OSRRefT22_11x_0)</f>
        <v>125</v>
      </c>
      <c r="U56" s="1"/>
      <c r="V56" s="5">
        <f t="shared" si="29"/>
        <v>0</v>
      </c>
      <c r="W56" s="1"/>
      <c r="X56" s="1">
        <f t="shared" si="30"/>
        <v>-125</v>
      </c>
      <c r="Y56" s="1"/>
      <c r="Z56" s="5">
        <f t="shared" si="31"/>
        <v>-1</v>
      </c>
    </row>
    <row r="57" spans="1:26" s="23" customFormat="1" hidden="1" outlineLevel="2" x14ac:dyDescent="0.25">
      <c r="A57" s="25"/>
      <c r="B57" s="10" t="str">
        <f>CONCATENATE("          ", "6336", " - ", "PROFESSIONAL SERVICES")</f>
        <v xml:space="preserve">          6336 - PROFESSIONAL SERVICES</v>
      </c>
      <c r="C57" s="10"/>
      <c r="D57" s="6"/>
      <c r="E57" s="2"/>
      <c r="F57" s="7">
        <f t="shared" si="24"/>
        <v>0</v>
      </c>
      <c r="G57" s="2"/>
      <c r="H57" s="6"/>
      <c r="I57" s="2"/>
      <c r="J57" s="7">
        <f t="shared" si="25"/>
        <v>0</v>
      </c>
      <c r="K57" s="2"/>
      <c r="L57" s="6">
        <f t="shared" si="26"/>
        <v>0</v>
      </c>
      <c r="M57" s="2"/>
      <c r="N57" s="7">
        <f t="shared" si="27"/>
        <v>0</v>
      </c>
      <c r="O57" s="10"/>
      <c r="P57" s="6"/>
      <c r="Q57" s="2"/>
      <c r="R57" s="7">
        <f t="shared" si="28"/>
        <v>0</v>
      </c>
      <c r="S57" s="2"/>
      <c r="T57" s="6">
        <v>125</v>
      </c>
      <c r="U57" s="2"/>
      <c r="V57" s="7">
        <f t="shared" si="29"/>
        <v>0</v>
      </c>
      <c r="W57" s="2"/>
      <c r="X57" s="6">
        <f t="shared" si="30"/>
        <v>-125</v>
      </c>
      <c r="Y57" s="2"/>
      <c r="Z57" s="7">
        <f t="shared" si="31"/>
        <v>-1</v>
      </c>
    </row>
    <row r="58" spans="1:26" s="27" customFormat="1" outlineLevel="1" collapsed="1" x14ac:dyDescent="0.25">
      <c r="A58" s="26"/>
      <c r="B58" s="12" t="str">
        <f>CONCATENATE("     ","Repair and Maintenance                            ")</f>
        <v xml:space="preserve">     Repair and Maintenance                            </v>
      </c>
      <c r="C58" s="12"/>
      <c r="D58" s="1">
        <f>SUM(OSRRefD22_12x_0)</f>
        <v>30713.08</v>
      </c>
      <c r="E58" s="1"/>
      <c r="F58" s="5">
        <f t="shared" si="24"/>
        <v>0</v>
      </c>
      <c r="G58" s="1"/>
      <c r="H58" s="1">
        <f>SUM(OSRRefH22_12x_0)</f>
        <v>5088.33</v>
      </c>
      <c r="I58" s="1"/>
      <c r="J58" s="5">
        <f t="shared" si="25"/>
        <v>0</v>
      </c>
      <c r="K58" s="1"/>
      <c r="L58" s="1">
        <f t="shared" si="26"/>
        <v>25624.75</v>
      </c>
      <c r="M58" s="1"/>
      <c r="N58" s="5">
        <f t="shared" si="27"/>
        <v>5.0359843013326575</v>
      </c>
      <c r="O58" s="12"/>
      <c r="P58" s="1">
        <f>SUM(OSRRefP22_12x_0)</f>
        <v>47284.12</v>
      </c>
      <c r="Q58" s="1"/>
      <c r="R58" s="5">
        <f t="shared" si="28"/>
        <v>0</v>
      </c>
      <c r="S58" s="1"/>
      <c r="T58" s="1">
        <f>SUM(OSRRefT22_12x_0)</f>
        <v>123729.67000000001</v>
      </c>
      <c r="U58" s="1"/>
      <c r="V58" s="5">
        <f t="shared" si="29"/>
        <v>0</v>
      </c>
      <c r="W58" s="1"/>
      <c r="X58" s="1">
        <f t="shared" si="30"/>
        <v>-76445.550000000017</v>
      </c>
      <c r="Y58" s="1"/>
      <c r="Z58" s="5">
        <f t="shared" si="31"/>
        <v>-0.61784331922973701</v>
      </c>
    </row>
    <row r="59" spans="1:26" s="23" customFormat="1" hidden="1" outlineLevel="2" x14ac:dyDescent="0.25">
      <c r="A59" s="25"/>
      <c r="B59" s="10" t="str">
        <f>CONCATENATE("          ", "6371", " - ", "COMPUTER SOFTWARE MAINTENANCE")</f>
        <v xml:space="preserve">          6371 - COMPUTER SOFTWARE MAINTENANCE</v>
      </c>
      <c r="C59" s="10"/>
      <c r="D59" s="6">
        <v>30321</v>
      </c>
      <c r="E59" s="2"/>
      <c r="F59" s="7">
        <f t="shared" si="24"/>
        <v>0</v>
      </c>
      <c r="G59" s="2"/>
      <c r="H59" s="6"/>
      <c r="I59" s="2"/>
      <c r="J59" s="7">
        <f t="shared" si="25"/>
        <v>0</v>
      </c>
      <c r="K59" s="2"/>
      <c r="L59" s="6">
        <f t="shared" si="26"/>
        <v>30321</v>
      </c>
      <c r="M59" s="2"/>
      <c r="N59" s="7">
        <f t="shared" si="27"/>
        <v>0</v>
      </c>
      <c r="O59" s="10"/>
      <c r="P59" s="6">
        <v>39280.47</v>
      </c>
      <c r="Q59" s="2"/>
      <c r="R59" s="7">
        <f t="shared" si="28"/>
        <v>0</v>
      </c>
      <c r="S59" s="2"/>
      <c r="T59" s="6"/>
      <c r="U59" s="2"/>
      <c r="V59" s="7">
        <f t="shared" si="29"/>
        <v>0</v>
      </c>
      <c r="W59" s="2"/>
      <c r="X59" s="6">
        <f t="shared" si="30"/>
        <v>39280.47</v>
      </c>
      <c r="Y59" s="2"/>
      <c r="Z59" s="7">
        <f t="shared" si="31"/>
        <v>0</v>
      </c>
    </row>
    <row r="60" spans="1:26" s="23" customFormat="1" hidden="1" outlineLevel="2" x14ac:dyDescent="0.25">
      <c r="A60" s="25"/>
      <c r="B60" s="10" t="str">
        <f>CONCATENATE("          ", "6372", " - ", "COMPUTER HARDWARE MAINTENANCE")</f>
        <v xml:space="preserve">          6372 - COMPUTER HARDWARE MAINTENANCE</v>
      </c>
      <c r="C60" s="10"/>
      <c r="D60" s="6"/>
      <c r="E60" s="2"/>
      <c r="F60" s="7">
        <f t="shared" si="24"/>
        <v>0</v>
      </c>
      <c r="G60" s="2"/>
      <c r="H60" s="6"/>
      <c r="I60" s="2"/>
      <c r="J60" s="7">
        <f t="shared" si="25"/>
        <v>0</v>
      </c>
      <c r="K60" s="2"/>
      <c r="L60" s="6">
        <f t="shared" si="26"/>
        <v>0</v>
      </c>
      <c r="M60" s="2"/>
      <c r="N60" s="7">
        <f t="shared" si="27"/>
        <v>0</v>
      </c>
      <c r="O60" s="10"/>
      <c r="P60" s="6">
        <v>100</v>
      </c>
      <c r="Q60" s="2"/>
      <c r="R60" s="7">
        <f t="shared" si="28"/>
        <v>0</v>
      </c>
      <c r="S60" s="2"/>
      <c r="T60" s="6">
        <v>8142.88</v>
      </c>
      <c r="U60" s="2"/>
      <c r="V60" s="7">
        <f t="shared" si="29"/>
        <v>0</v>
      </c>
      <c r="W60" s="2"/>
      <c r="X60" s="6">
        <f t="shared" si="30"/>
        <v>-8042.88</v>
      </c>
      <c r="Y60" s="2"/>
      <c r="Z60" s="7">
        <f t="shared" si="31"/>
        <v>-0.98771933271766255</v>
      </c>
    </row>
    <row r="61" spans="1:26" s="23" customFormat="1" hidden="1" outlineLevel="2" x14ac:dyDescent="0.25">
      <c r="A61" s="25"/>
      <c r="B61" s="10" t="str">
        <f>CONCATENATE("          ", "6373", " - ", "MAINTENANCE CONTRACTS")</f>
        <v xml:space="preserve">          6373 - MAINTENANCE CONTRACTS</v>
      </c>
      <c r="C61" s="10"/>
      <c r="D61" s="6">
        <v>83.83</v>
      </c>
      <c r="E61" s="2"/>
      <c r="F61" s="7">
        <f t="shared" si="24"/>
        <v>0</v>
      </c>
      <c r="G61" s="2"/>
      <c r="H61" s="6">
        <v>5088.33</v>
      </c>
      <c r="I61" s="2"/>
      <c r="J61" s="7">
        <f t="shared" si="25"/>
        <v>0</v>
      </c>
      <c r="K61" s="2"/>
      <c r="L61" s="6">
        <f t="shared" si="26"/>
        <v>-5004.5</v>
      </c>
      <c r="M61" s="2"/>
      <c r="N61" s="7">
        <f t="shared" si="27"/>
        <v>-0.98352504652803574</v>
      </c>
      <c r="O61" s="10"/>
      <c r="P61" s="6">
        <v>2299.44</v>
      </c>
      <c r="Q61" s="2"/>
      <c r="R61" s="7">
        <f t="shared" si="28"/>
        <v>0</v>
      </c>
      <c r="S61" s="2"/>
      <c r="T61" s="6">
        <v>68724.570000000007</v>
      </c>
      <c r="U61" s="2"/>
      <c r="V61" s="7">
        <f t="shared" si="29"/>
        <v>0</v>
      </c>
      <c r="W61" s="2"/>
      <c r="X61" s="6">
        <f t="shared" si="30"/>
        <v>-66425.13</v>
      </c>
      <c r="Y61" s="2"/>
      <c r="Z61" s="7">
        <f t="shared" si="31"/>
        <v>-0.96654122390289232</v>
      </c>
    </row>
    <row r="62" spans="1:26" s="23" customFormat="1" hidden="1" outlineLevel="2" x14ac:dyDescent="0.25">
      <c r="A62" s="25"/>
      <c r="B62" s="10" t="str">
        <f>CONCATENATE("          ", "6375", " - ", "OUTSIDE REPAIRS &amp; MAINTENANCE")</f>
        <v xml:space="preserve">          6375 - OUTSIDE REPAIRS &amp; MAINTENANCE</v>
      </c>
      <c r="C62" s="10"/>
      <c r="D62" s="6">
        <v>308.25</v>
      </c>
      <c r="E62" s="2"/>
      <c r="F62" s="7">
        <f t="shared" si="24"/>
        <v>0</v>
      </c>
      <c r="G62" s="2"/>
      <c r="H62" s="6"/>
      <c r="I62" s="2"/>
      <c r="J62" s="7">
        <f t="shared" si="25"/>
        <v>0</v>
      </c>
      <c r="K62" s="2"/>
      <c r="L62" s="6">
        <f t="shared" si="26"/>
        <v>308.25</v>
      </c>
      <c r="M62" s="2"/>
      <c r="N62" s="7">
        <f t="shared" si="27"/>
        <v>0</v>
      </c>
      <c r="O62" s="10"/>
      <c r="P62" s="6">
        <v>5604.21</v>
      </c>
      <c r="Q62" s="2"/>
      <c r="R62" s="7">
        <f t="shared" si="28"/>
        <v>0</v>
      </c>
      <c r="S62" s="2"/>
      <c r="T62" s="6">
        <v>46862.22</v>
      </c>
      <c r="U62" s="2"/>
      <c r="V62" s="7">
        <f t="shared" si="29"/>
        <v>0</v>
      </c>
      <c r="W62" s="2"/>
      <c r="X62" s="6">
        <f t="shared" si="30"/>
        <v>-41258.01</v>
      </c>
      <c r="Y62" s="2"/>
      <c r="Z62" s="7">
        <f t="shared" si="31"/>
        <v>-0.88041091523192883</v>
      </c>
    </row>
    <row r="63" spans="1:26" s="27" customFormat="1" outlineLevel="1" collapsed="1" x14ac:dyDescent="0.25">
      <c r="A63" s="26"/>
      <c r="B63" s="12" t="str">
        <f>CONCATENATE("     ","Services                                          ")</f>
        <v xml:space="preserve">     Services                                          </v>
      </c>
      <c r="C63" s="12"/>
      <c r="D63" s="1">
        <f>SUM(OSRRefD22_13x_0)</f>
        <v>-2111.9</v>
      </c>
      <c r="E63" s="1"/>
      <c r="F63" s="5">
        <f t="shared" ref="F63:F68" si="32">IF(D$12=0,0,D63/D$12)</f>
        <v>0</v>
      </c>
      <c r="G63" s="1"/>
      <c r="H63" s="1">
        <f>SUM(OSRRefH22_13x_0)</f>
        <v>11715.16</v>
      </c>
      <c r="I63" s="1"/>
      <c r="J63" s="5">
        <f t="shared" ref="J63:J68" si="33">IF(H$12=0,0,H63/H$12)</f>
        <v>0</v>
      </c>
      <c r="K63" s="1"/>
      <c r="L63" s="1">
        <f t="shared" ref="L63:L68" si="34">+D63-H63</f>
        <v>-13827.06</v>
      </c>
      <c r="M63" s="1"/>
      <c r="N63" s="5">
        <f t="shared" ref="N63:N68" si="35">IF(H63=0,0,L63/H63)</f>
        <v>-1.1802706919922561</v>
      </c>
      <c r="O63" s="12"/>
      <c r="P63" s="1">
        <f>SUM(OSRRefP22_13x_0)</f>
        <v>29844.38</v>
      </c>
      <c r="Q63" s="1"/>
      <c r="R63" s="5">
        <f t="shared" ref="R63:R68" si="36">IF(P$12=0,0,P63/P$12)</f>
        <v>0</v>
      </c>
      <c r="S63" s="1"/>
      <c r="T63" s="1">
        <f>SUM(OSRRefT22_13x_0)</f>
        <v>151195.43</v>
      </c>
      <c r="U63" s="1"/>
      <c r="V63" s="5">
        <f t="shared" ref="V63:V68" si="37">IF(T$12=0,0,T63/T$12)</f>
        <v>0</v>
      </c>
      <c r="W63" s="1"/>
      <c r="X63" s="1">
        <f t="shared" ref="X63:X68" si="38">+P63-T63</f>
        <v>-121351.04999999999</v>
      </c>
      <c r="Y63" s="1"/>
      <c r="Z63" s="5">
        <f t="shared" ref="Z63:Z68" si="39">IF(T63=0,0,X63/T63)</f>
        <v>-0.80261056832207156</v>
      </c>
    </row>
    <row r="64" spans="1:26" s="23" customFormat="1" hidden="1" outlineLevel="2" x14ac:dyDescent="0.25">
      <c r="A64" s="25"/>
      <c r="B64" s="10" t="str">
        <f>CONCATENATE("          ", "6282", " - ", "JANITORIAL/EXTERMINATOR EXPENS")</f>
        <v xml:space="preserve">          6282 - JANITORIAL/EXTERMINATOR EXPENS</v>
      </c>
      <c r="C64" s="10"/>
      <c r="D64" s="6">
        <v>690.1</v>
      </c>
      <c r="E64" s="2"/>
      <c r="F64" s="7">
        <f t="shared" si="32"/>
        <v>0</v>
      </c>
      <c r="G64" s="2"/>
      <c r="H64" s="6">
        <v>1252.52</v>
      </c>
      <c r="I64" s="2"/>
      <c r="J64" s="7">
        <f t="shared" si="33"/>
        <v>0</v>
      </c>
      <c r="K64" s="2"/>
      <c r="L64" s="6">
        <f t="shared" si="34"/>
        <v>-562.41999999999996</v>
      </c>
      <c r="M64" s="2"/>
      <c r="N64" s="7">
        <f t="shared" si="35"/>
        <v>-0.44903075399993608</v>
      </c>
      <c r="O64" s="10"/>
      <c r="P64" s="6">
        <v>7020.38</v>
      </c>
      <c r="Q64" s="2"/>
      <c r="R64" s="7">
        <f t="shared" si="36"/>
        <v>0</v>
      </c>
      <c r="S64" s="2"/>
      <c r="T64" s="6">
        <v>7515.12</v>
      </c>
      <c r="U64" s="2"/>
      <c r="V64" s="7">
        <f t="shared" si="37"/>
        <v>0</v>
      </c>
      <c r="W64" s="2"/>
      <c r="X64" s="6">
        <f t="shared" si="38"/>
        <v>-494.73999999999978</v>
      </c>
      <c r="Y64" s="2"/>
      <c r="Z64" s="7">
        <f t="shared" si="39"/>
        <v>-6.5832614781932933E-2</v>
      </c>
    </row>
    <row r="65" spans="1:26" s="23" customFormat="1" hidden="1" outlineLevel="2" x14ac:dyDescent="0.25">
      <c r="A65" s="25"/>
      <c r="B65" s="10" t="str">
        <f>CONCATENATE("          ", "6283", " - ", "PLANT SERVICE")</f>
        <v xml:space="preserve">          6283 - PLANT SERVICE</v>
      </c>
      <c r="C65" s="10"/>
      <c r="D65" s="6"/>
      <c r="E65" s="2"/>
      <c r="F65" s="7">
        <f t="shared" si="32"/>
        <v>0</v>
      </c>
      <c r="G65" s="2"/>
      <c r="H65" s="6"/>
      <c r="I65" s="2"/>
      <c r="J65" s="7">
        <f t="shared" si="33"/>
        <v>0</v>
      </c>
      <c r="K65" s="2"/>
      <c r="L65" s="6">
        <f t="shared" si="34"/>
        <v>0</v>
      </c>
      <c r="M65" s="2"/>
      <c r="N65" s="7">
        <f t="shared" si="35"/>
        <v>0</v>
      </c>
      <c r="O65" s="10"/>
      <c r="P65" s="6"/>
      <c r="Q65" s="2"/>
      <c r="R65" s="7">
        <f t="shared" si="36"/>
        <v>0</v>
      </c>
      <c r="S65" s="2"/>
      <c r="T65" s="6">
        <v>319.77</v>
      </c>
      <c r="U65" s="2"/>
      <c r="V65" s="7">
        <f t="shared" si="37"/>
        <v>0</v>
      </c>
      <c r="W65" s="2"/>
      <c r="X65" s="6">
        <f t="shared" si="38"/>
        <v>-319.77</v>
      </c>
      <c r="Y65" s="2"/>
      <c r="Z65" s="7">
        <f t="shared" si="39"/>
        <v>-1</v>
      </c>
    </row>
    <row r="66" spans="1:26" s="23" customFormat="1" hidden="1" outlineLevel="2" x14ac:dyDescent="0.25">
      <c r="A66" s="25"/>
      <c r="B66" s="10" t="str">
        <f>CONCATENATE("          ", "6284", " - ", "TRASH REMOVAL EXPENSE")</f>
        <v xml:space="preserve">          6284 - TRASH REMOVAL EXPENSE</v>
      </c>
      <c r="C66" s="10"/>
      <c r="D66" s="6">
        <v>-2802</v>
      </c>
      <c r="E66" s="2"/>
      <c r="F66" s="7">
        <f t="shared" si="32"/>
        <v>0</v>
      </c>
      <c r="G66" s="2"/>
      <c r="H66" s="6">
        <v>8590</v>
      </c>
      <c r="I66" s="2"/>
      <c r="J66" s="7">
        <f t="shared" si="33"/>
        <v>0</v>
      </c>
      <c r="K66" s="2"/>
      <c r="L66" s="6">
        <f t="shared" si="34"/>
        <v>-11392</v>
      </c>
      <c r="M66" s="2"/>
      <c r="N66" s="7">
        <f t="shared" si="35"/>
        <v>-1.3261932479627474</v>
      </c>
      <c r="O66" s="10"/>
      <c r="P66" s="6">
        <v>22824</v>
      </c>
      <c r="Q66" s="2"/>
      <c r="R66" s="7">
        <f t="shared" si="36"/>
        <v>0</v>
      </c>
      <c r="S66" s="2"/>
      <c r="T66" s="6">
        <v>47599</v>
      </c>
      <c r="U66" s="2"/>
      <c r="V66" s="7">
        <f t="shared" si="37"/>
        <v>0</v>
      </c>
      <c r="W66" s="2"/>
      <c r="X66" s="6">
        <f t="shared" si="38"/>
        <v>-24775</v>
      </c>
      <c r="Y66" s="2"/>
      <c r="Z66" s="7">
        <f t="shared" si="39"/>
        <v>-0.52049412802789974</v>
      </c>
    </row>
    <row r="67" spans="1:26" s="23" customFormat="1" hidden="1" outlineLevel="2" x14ac:dyDescent="0.25">
      <c r="A67" s="25"/>
      <c r="B67" s="10" t="str">
        <f>CONCATENATE("          ", "6285", " - ", "JANITORIAL SERVICES")</f>
        <v xml:space="preserve">          6285 - JANITORIAL SERVICES</v>
      </c>
      <c r="C67" s="10"/>
      <c r="D67" s="6"/>
      <c r="E67" s="2"/>
      <c r="F67" s="7">
        <f t="shared" si="32"/>
        <v>0</v>
      </c>
      <c r="G67" s="2"/>
      <c r="H67" s="6">
        <v>1872.64</v>
      </c>
      <c r="I67" s="2"/>
      <c r="J67" s="7">
        <f t="shared" si="33"/>
        <v>0</v>
      </c>
      <c r="K67" s="2"/>
      <c r="L67" s="6">
        <f t="shared" si="34"/>
        <v>-1872.64</v>
      </c>
      <c r="M67" s="2"/>
      <c r="N67" s="7">
        <f t="shared" si="35"/>
        <v>-1</v>
      </c>
      <c r="O67" s="10"/>
      <c r="P67" s="6"/>
      <c r="Q67" s="2"/>
      <c r="R67" s="7">
        <f t="shared" si="36"/>
        <v>0</v>
      </c>
      <c r="S67" s="2"/>
      <c r="T67" s="6">
        <v>95016.71</v>
      </c>
      <c r="U67" s="2"/>
      <c r="V67" s="7">
        <f t="shared" si="37"/>
        <v>0</v>
      </c>
      <c r="W67" s="2"/>
      <c r="X67" s="6">
        <f t="shared" si="38"/>
        <v>-95016.71</v>
      </c>
      <c r="Y67" s="2"/>
      <c r="Z67" s="7">
        <f t="shared" si="39"/>
        <v>-1</v>
      </c>
    </row>
    <row r="68" spans="1:26" s="23" customFormat="1" hidden="1" outlineLevel="2" x14ac:dyDescent="0.25">
      <c r="A68" s="25"/>
      <c r="B68" s="10" t="str">
        <f>CONCATENATE("          ", "6286", " - ", "LAUNDRY EXPENSE")</f>
        <v xml:space="preserve">          6286 - LAUNDRY EXPENSE</v>
      </c>
      <c r="C68" s="10"/>
      <c r="D68" s="6"/>
      <c r="E68" s="2"/>
      <c r="F68" s="7">
        <f t="shared" si="32"/>
        <v>0</v>
      </c>
      <c r="G68" s="2"/>
      <c r="H68" s="6"/>
      <c r="I68" s="2"/>
      <c r="J68" s="7">
        <f t="shared" si="33"/>
        <v>0</v>
      </c>
      <c r="K68" s="2"/>
      <c r="L68" s="6">
        <f t="shared" si="34"/>
        <v>0</v>
      </c>
      <c r="M68" s="2"/>
      <c r="N68" s="7">
        <f t="shared" si="35"/>
        <v>0</v>
      </c>
      <c r="O68" s="10"/>
      <c r="P68" s="6"/>
      <c r="Q68" s="2"/>
      <c r="R68" s="7">
        <f t="shared" si="36"/>
        <v>0</v>
      </c>
      <c r="S68" s="2"/>
      <c r="T68" s="6">
        <v>744.83</v>
      </c>
      <c r="U68" s="2"/>
      <c r="V68" s="7">
        <f t="shared" si="37"/>
        <v>0</v>
      </c>
      <c r="W68" s="2"/>
      <c r="X68" s="6">
        <f t="shared" si="38"/>
        <v>-744.83</v>
      </c>
      <c r="Y68" s="2"/>
      <c r="Z68" s="7">
        <f t="shared" si="39"/>
        <v>-1</v>
      </c>
    </row>
    <row r="69" spans="1:26" s="27" customFormat="1" outlineLevel="1" collapsed="1" x14ac:dyDescent="0.25">
      <c r="A69" s="26"/>
      <c r="B69" s="12" t="str">
        <f>CONCATENATE("     ","Subscriptions &amp; Dues                              ")</f>
        <v xml:space="preserve">     Subscriptions &amp; Dues                              </v>
      </c>
      <c r="C69" s="12"/>
      <c r="D69" s="1">
        <f>SUM(OSRRefD22_14x_0)</f>
        <v>0</v>
      </c>
      <c r="E69" s="1"/>
      <c r="F69" s="5">
        <f t="shared" ref="F69:F71" si="40">IF(D$12=0,0,D69/D$12)</f>
        <v>0</v>
      </c>
      <c r="G69" s="1"/>
      <c r="H69" s="1">
        <f>SUM(OSRRefH22_14x_0)</f>
        <v>0</v>
      </c>
      <c r="I69" s="1"/>
      <c r="J69" s="5">
        <f t="shared" ref="J69:J71" si="41">IF(H$12=0,0,H69/H$12)</f>
        <v>0</v>
      </c>
      <c r="K69" s="1"/>
      <c r="L69" s="1">
        <f t="shared" ref="L69:L71" si="42">+D69-H69</f>
        <v>0</v>
      </c>
      <c r="M69" s="1"/>
      <c r="N69" s="5">
        <f t="shared" ref="N69:N71" si="43">IF(H69=0,0,L69/H69)</f>
        <v>0</v>
      </c>
      <c r="O69" s="12"/>
      <c r="P69" s="1">
        <f>SUM(OSRRefP22_14x_0)</f>
        <v>119.07</v>
      </c>
      <c r="Q69" s="1"/>
      <c r="R69" s="5">
        <f t="shared" ref="R69:R71" si="44">IF(P$12=0,0,P69/P$12)</f>
        <v>0</v>
      </c>
      <c r="S69" s="1"/>
      <c r="T69" s="1">
        <f>SUM(OSRRefT22_14x_0)</f>
        <v>795</v>
      </c>
      <c r="U69" s="1"/>
      <c r="V69" s="5">
        <f t="shared" ref="V69:V71" si="45">IF(T$12=0,0,T69/T$12)</f>
        <v>0</v>
      </c>
      <c r="W69" s="1"/>
      <c r="X69" s="1">
        <f t="shared" ref="X69:X71" si="46">+P69-T69</f>
        <v>-675.93000000000006</v>
      </c>
      <c r="Y69" s="1"/>
      <c r="Z69" s="5">
        <f t="shared" ref="Z69:Z71" si="47">IF(T69=0,0,X69/T69)</f>
        <v>-0.85022641509433972</v>
      </c>
    </row>
    <row r="70" spans="1:26" s="23" customFormat="1" hidden="1" outlineLevel="2" x14ac:dyDescent="0.25">
      <c r="A70" s="25"/>
      <c r="B70" s="10" t="str">
        <f>CONCATENATE("          ", "6258", " - ", "MEMBERSHIP DUES")</f>
        <v xml:space="preserve">          6258 - MEMBERSHIP DUES</v>
      </c>
      <c r="C70" s="10"/>
      <c r="D70" s="6"/>
      <c r="E70" s="2"/>
      <c r="F70" s="7">
        <f t="shared" si="40"/>
        <v>0</v>
      </c>
      <c r="G70" s="2"/>
      <c r="H70" s="6"/>
      <c r="I70" s="2"/>
      <c r="J70" s="7">
        <f t="shared" si="41"/>
        <v>0</v>
      </c>
      <c r="K70" s="2"/>
      <c r="L70" s="6">
        <f t="shared" si="42"/>
        <v>0</v>
      </c>
      <c r="M70" s="2"/>
      <c r="N70" s="7">
        <f t="shared" si="43"/>
        <v>0</v>
      </c>
      <c r="O70" s="10"/>
      <c r="P70" s="6"/>
      <c r="Q70" s="2"/>
      <c r="R70" s="7">
        <f t="shared" si="44"/>
        <v>0</v>
      </c>
      <c r="S70" s="2"/>
      <c r="T70" s="6">
        <v>795</v>
      </c>
      <c r="U70" s="2"/>
      <c r="V70" s="7">
        <f t="shared" si="45"/>
        <v>0</v>
      </c>
      <c r="W70" s="2"/>
      <c r="X70" s="6">
        <f t="shared" si="46"/>
        <v>-795</v>
      </c>
      <c r="Y70" s="2"/>
      <c r="Z70" s="7">
        <f t="shared" si="47"/>
        <v>-1</v>
      </c>
    </row>
    <row r="71" spans="1:26" s="23" customFormat="1" hidden="1" outlineLevel="2" x14ac:dyDescent="0.25">
      <c r="A71" s="25"/>
      <c r="B71" s="10" t="str">
        <f>CONCATENATE("          ", "6275", " - ", "SUBSCRIPTIONS")</f>
        <v xml:space="preserve">          6275 - SUBSCRIPTIONS</v>
      </c>
      <c r="C71" s="10"/>
      <c r="D71" s="6"/>
      <c r="E71" s="2"/>
      <c r="F71" s="7">
        <f t="shared" si="40"/>
        <v>0</v>
      </c>
      <c r="G71" s="2"/>
      <c r="H71" s="6"/>
      <c r="I71" s="2"/>
      <c r="J71" s="7">
        <f t="shared" si="41"/>
        <v>0</v>
      </c>
      <c r="K71" s="2"/>
      <c r="L71" s="6">
        <f t="shared" si="42"/>
        <v>0</v>
      </c>
      <c r="M71" s="2"/>
      <c r="N71" s="7">
        <f t="shared" si="43"/>
        <v>0</v>
      </c>
      <c r="O71" s="10"/>
      <c r="P71" s="6">
        <v>119.07</v>
      </c>
      <c r="Q71" s="2"/>
      <c r="R71" s="7">
        <f t="shared" si="44"/>
        <v>0</v>
      </c>
      <c r="S71" s="2"/>
      <c r="T71" s="6"/>
      <c r="U71" s="2"/>
      <c r="V71" s="7">
        <f t="shared" si="45"/>
        <v>0</v>
      </c>
      <c r="W71" s="2"/>
      <c r="X71" s="6">
        <f t="shared" si="46"/>
        <v>119.07</v>
      </c>
      <c r="Y71" s="2"/>
      <c r="Z71" s="7">
        <f t="shared" si="47"/>
        <v>0</v>
      </c>
    </row>
    <row r="72" spans="1:26" s="27" customFormat="1" outlineLevel="1" collapsed="1" x14ac:dyDescent="0.25">
      <c r="A72" s="26"/>
      <c r="B72" s="12" t="str">
        <f>CONCATENATE("     ","Supplies                                          ")</f>
        <v xml:space="preserve">     Supplies                                          </v>
      </c>
      <c r="C72" s="12"/>
      <c r="D72" s="1">
        <f>SUM(OSRRefD22_15x_0)</f>
        <v>0</v>
      </c>
      <c r="E72" s="1"/>
      <c r="F72" s="5">
        <f t="shared" ref="F72:F81" si="48">IF(D$12=0,0,D72/D$12)</f>
        <v>0</v>
      </c>
      <c r="G72" s="1"/>
      <c r="H72" s="1">
        <f>SUM(OSRRefH22_15x_0)</f>
        <v>-654.33000000000004</v>
      </c>
      <c r="I72" s="1"/>
      <c r="J72" s="5">
        <f t="shared" ref="J72:J81" si="49">IF(H$12=0,0,H72/H$12)</f>
        <v>0</v>
      </c>
      <c r="K72" s="1"/>
      <c r="L72" s="1">
        <f t="shared" ref="L72:L81" si="50">+D72-H72</f>
        <v>654.33000000000004</v>
      </c>
      <c r="M72" s="1"/>
      <c r="N72" s="5">
        <f t="shared" ref="N72:N81" si="51">IF(H72=0,0,L72/H72)</f>
        <v>-1</v>
      </c>
      <c r="O72" s="12"/>
      <c r="P72" s="1">
        <f>SUM(OSRRefP22_15x_0)</f>
        <v>-29102.880000000001</v>
      </c>
      <c r="Q72" s="1"/>
      <c r="R72" s="5">
        <f t="shared" ref="R72:R81" si="52">IF(P$12=0,0,P72/P$12)</f>
        <v>0</v>
      </c>
      <c r="S72" s="1"/>
      <c r="T72" s="1">
        <f>SUM(OSRRefT22_15x_0)</f>
        <v>67295.929999999993</v>
      </c>
      <c r="U72" s="1"/>
      <c r="V72" s="5">
        <f t="shared" ref="V72:V81" si="53">IF(T$12=0,0,T72/T$12)</f>
        <v>0</v>
      </c>
      <c r="W72" s="1"/>
      <c r="X72" s="1">
        <f t="shared" ref="X72:X81" si="54">+P72-T72</f>
        <v>-96398.81</v>
      </c>
      <c r="Y72" s="1"/>
      <c r="Z72" s="5">
        <f t="shared" ref="Z72:Z81" si="55">IF(T72=0,0,X72/T72)</f>
        <v>-1.432461220165915</v>
      </c>
    </row>
    <row r="73" spans="1:26" s="23" customFormat="1" hidden="1" outlineLevel="2" x14ac:dyDescent="0.25">
      <c r="A73" s="25"/>
      <c r="B73" s="10" t="str">
        <f>CONCATENATE("          ", "6234", " - ", "EXPENDABLE SUPPLIES &amp; EQUIPMEN")</f>
        <v xml:space="preserve">          6234 - EXPENDABLE SUPPLIES &amp; EQUIPMEN</v>
      </c>
      <c r="C73" s="10"/>
      <c r="D73" s="6"/>
      <c r="E73" s="2"/>
      <c r="F73" s="7">
        <f t="shared" si="48"/>
        <v>0</v>
      </c>
      <c r="G73" s="2"/>
      <c r="H73" s="6"/>
      <c r="I73" s="2"/>
      <c r="J73" s="7">
        <f t="shared" si="49"/>
        <v>0</v>
      </c>
      <c r="K73" s="2"/>
      <c r="L73" s="6">
        <f t="shared" si="50"/>
        <v>0</v>
      </c>
      <c r="M73" s="2"/>
      <c r="N73" s="7">
        <f t="shared" si="51"/>
        <v>0</v>
      </c>
      <c r="O73" s="10"/>
      <c r="P73" s="6"/>
      <c r="Q73" s="2"/>
      <c r="R73" s="7">
        <f t="shared" si="52"/>
        <v>0</v>
      </c>
      <c r="S73" s="2"/>
      <c r="T73" s="6">
        <v>8480.18</v>
      </c>
      <c r="U73" s="2"/>
      <c r="V73" s="7">
        <f t="shared" si="53"/>
        <v>0</v>
      </c>
      <c r="W73" s="2"/>
      <c r="X73" s="6">
        <f t="shared" si="54"/>
        <v>-8480.18</v>
      </c>
      <c r="Y73" s="2"/>
      <c r="Z73" s="7">
        <f t="shared" si="55"/>
        <v>-1</v>
      </c>
    </row>
    <row r="74" spans="1:26" s="23" customFormat="1" hidden="1" outlineLevel="2" x14ac:dyDescent="0.25">
      <c r="A74" s="25"/>
      <c r="B74" s="10" t="str">
        <f>CONCATENATE("          ", "6235", " - ", "COVID-19 EXPENSES")</f>
        <v xml:space="preserve">          6235 - COVID-19 EXPENSES</v>
      </c>
      <c r="C74" s="10"/>
      <c r="D74" s="6"/>
      <c r="E74" s="2"/>
      <c r="F74" s="7">
        <f t="shared" si="48"/>
        <v>0</v>
      </c>
      <c r="G74" s="2"/>
      <c r="H74" s="6"/>
      <c r="I74" s="2"/>
      <c r="J74" s="7">
        <f t="shared" si="49"/>
        <v>0</v>
      </c>
      <c r="K74" s="2"/>
      <c r="L74" s="6">
        <f t="shared" si="50"/>
        <v>0</v>
      </c>
      <c r="M74" s="2"/>
      <c r="N74" s="7">
        <f t="shared" si="51"/>
        <v>0</v>
      </c>
      <c r="O74" s="10"/>
      <c r="P74" s="6">
        <v>127.89</v>
      </c>
      <c r="Q74" s="2"/>
      <c r="R74" s="7">
        <f t="shared" si="52"/>
        <v>0</v>
      </c>
      <c r="S74" s="2"/>
      <c r="T74" s="6">
        <v>1095.08</v>
      </c>
      <c r="U74" s="2"/>
      <c r="V74" s="7">
        <f t="shared" si="53"/>
        <v>0</v>
      </c>
      <c r="W74" s="2"/>
      <c r="X74" s="6">
        <f t="shared" si="54"/>
        <v>-967.18999999999994</v>
      </c>
      <c r="Y74" s="2"/>
      <c r="Z74" s="7">
        <f t="shared" si="55"/>
        <v>-0.88321401176169778</v>
      </c>
    </row>
    <row r="75" spans="1:26" s="23" customFormat="1" hidden="1" outlineLevel="2" x14ac:dyDescent="0.25">
      <c r="A75" s="25"/>
      <c r="B75" s="10" t="str">
        <f>CONCATENATE("          ", "6237", " - ", "JANITORIAL SUPPLIES")</f>
        <v xml:space="preserve">          6237 - JANITORIAL SUPPLIES</v>
      </c>
      <c r="C75" s="10"/>
      <c r="D75" s="6"/>
      <c r="E75" s="2"/>
      <c r="F75" s="7">
        <f t="shared" si="48"/>
        <v>0</v>
      </c>
      <c r="G75" s="2"/>
      <c r="H75" s="6"/>
      <c r="I75" s="2"/>
      <c r="J75" s="7">
        <f t="shared" si="49"/>
        <v>0</v>
      </c>
      <c r="K75" s="2"/>
      <c r="L75" s="6">
        <f t="shared" si="50"/>
        <v>0</v>
      </c>
      <c r="M75" s="2"/>
      <c r="N75" s="7">
        <f t="shared" si="51"/>
        <v>0</v>
      </c>
      <c r="O75" s="10"/>
      <c r="P75" s="6">
        <v>-30</v>
      </c>
      <c r="Q75" s="2"/>
      <c r="R75" s="7">
        <f t="shared" si="52"/>
        <v>0</v>
      </c>
      <c r="S75" s="2"/>
      <c r="T75" s="6">
        <v>35461.51</v>
      </c>
      <c r="U75" s="2"/>
      <c r="V75" s="7">
        <f t="shared" si="53"/>
        <v>0</v>
      </c>
      <c r="W75" s="2"/>
      <c r="X75" s="6">
        <f t="shared" si="54"/>
        <v>-35491.51</v>
      </c>
      <c r="Y75" s="2"/>
      <c r="Z75" s="7">
        <f t="shared" si="55"/>
        <v>-1.0008459876638078</v>
      </c>
    </row>
    <row r="76" spans="1:26" s="23" customFormat="1" hidden="1" outlineLevel="2" x14ac:dyDescent="0.25">
      <c r="A76" s="25"/>
      <c r="B76" s="10" t="str">
        <f>CONCATENATE("          ", "6239", " - ", "KITCHEN SUPPLIES")</f>
        <v xml:space="preserve">          6239 - KITCHEN SUPPLIES</v>
      </c>
      <c r="C76" s="10"/>
      <c r="D76" s="6"/>
      <c r="E76" s="2"/>
      <c r="F76" s="7">
        <f t="shared" si="48"/>
        <v>0</v>
      </c>
      <c r="G76" s="2"/>
      <c r="H76" s="6"/>
      <c r="I76" s="2"/>
      <c r="J76" s="7">
        <f t="shared" si="49"/>
        <v>0</v>
      </c>
      <c r="K76" s="2"/>
      <c r="L76" s="6">
        <f t="shared" si="50"/>
        <v>0</v>
      </c>
      <c r="M76" s="2"/>
      <c r="N76" s="7">
        <f t="shared" si="51"/>
        <v>0</v>
      </c>
      <c r="O76" s="10"/>
      <c r="P76" s="6"/>
      <c r="Q76" s="2"/>
      <c r="R76" s="7">
        <f t="shared" si="52"/>
        <v>0</v>
      </c>
      <c r="S76" s="2"/>
      <c r="T76" s="6">
        <v>18397.89</v>
      </c>
      <c r="U76" s="2"/>
      <c r="V76" s="7">
        <f t="shared" si="53"/>
        <v>0</v>
      </c>
      <c r="W76" s="2"/>
      <c r="X76" s="6">
        <f t="shared" si="54"/>
        <v>-18397.89</v>
      </c>
      <c r="Y76" s="2"/>
      <c r="Z76" s="7">
        <f t="shared" si="55"/>
        <v>-1</v>
      </c>
    </row>
    <row r="77" spans="1:26" s="23" customFormat="1" hidden="1" outlineLevel="2" x14ac:dyDescent="0.25">
      <c r="A77" s="25"/>
      <c r="B77" s="10" t="str">
        <f>CONCATENATE("          ", "6241", " - ", "OFFICE EXPENSE")</f>
        <v xml:space="preserve">          6241 - OFFICE EXPENSE</v>
      </c>
      <c r="C77" s="10"/>
      <c r="D77" s="6"/>
      <c r="E77" s="2"/>
      <c r="F77" s="7">
        <f t="shared" si="48"/>
        <v>0</v>
      </c>
      <c r="G77" s="2"/>
      <c r="H77" s="6">
        <v>-654.33000000000004</v>
      </c>
      <c r="I77" s="2"/>
      <c r="J77" s="7">
        <f t="shared" si="49"/>
        <v>0</v>
      </c>
      <c r="K77" s="2"/>
      <c r="L77" s="6">
        <f t="shared" si="50"/>
        <v>654.33000000000004</v>
      </c>
      <c r="M77" s="2"/>
      <c r="N77" s="7">
        <f t="shared" si="51"/>
        <v>-1</v>
      </c>
      <c r="O77" s="10"/>
      <c r="P77" s="6">
        <v>-29200.77</v>
      </c>
      <c r="Q77" s="2"/>
      <c r="R77" s="7">
        <f t="shared" si="52"/>
        <v>0</v>
      </c>
      <c r="S77" s="2"/>
      <c r="T77" s="6">
        <v>2203.9499999999998</v>
      </c>
      <c r="U77" s="2"/>
      <c r="V77" s="7">
        <f t="shared" si="53"/>
        <v>0</v>
      </c>
      <c r="W77" s="2"/>
      <c r="X77" s="6">
        <f t="shared" si="54"/>
        <v>-31404.720000000001</v>
      </c>
      <c r="Y77" s="2"/>
      <c r="Z77" s="7">
        <f t="shared" si="55"/>
        <v>-14.249288776968626</v>
      </c>
    </row>
    <row r="78" spans="1:26" s="23" customFormat="1" hidden="1" outlineLevel="2" x14ac:dyDescent="0.25">
      <c r="A78" s="25"/>
      <c r="B78" s="10" t="str">
        <f>CONCATENATE("          ", "6243", " - ", "PAPER SUPPLIES")</f>
        <v xml:space="preserve">          6243 - PAPER SUPPLIES</v>
      </c>
      <c r="C78" s="10"/>
      <c r="D78" s="6"/>
      <c r="E78" s="2"/>
      <c r="F78" s="7">
        <f t="shared" si="48"/>
        <v>0</v>
      </c>
      <c r="G78" s="2"/>
      <c r="H78" s="6"/>
      <c r="I78" s="2"/>
      <c r="J78" s="7">
        <f t="shared" si="49"/>
        <v>0</v>
      </c>
      <c r="K78" s="2"/>
      <c r="L78" s="6">
        <f t="shared" si="50"/>
        <v>0</v>
      </c>
      <c r="M78" s="2"/>
      <c r="N78" s="7">
        <f t="shared" si="51"/>
        <v>0</v>
      </c>
      <c r="O78" s="10"/>
      <c r="P78" s="6"/>
      <c r="Q78" s="2"/>
      <c r="R78" s="7">
        <f t="shared" si="52"/>
        <v>0</v>
      </c>
      <c r="S78" s="2"/>
      <c r="T78" s="6">
        <v>1027.17</v>
      </c>
      <c r="U78" s="2"/>
      <c r="V78" s="7">
        <f t="shared" si="53"/>
        <v>0</v>
      </c>
      <c r="W78" s="2"/>
      <c r="X78" s="6">
        <f t="shared" si="54"/>
        <v>-1027.17</v>
      </c>
      <c r="Y78" s="2"/>
      <c r="Z78" s="7">
        <f t="shared" si="55"/>
        <v>-1</v>
      </c>
    </row>
    <row r="79" spans="1:26" s="23" customFormat="1" hidden="1" outlineLevel="2" x14ac:dyDescent="0.25">
      <c r="A79" s="25"/>
      <c r="B79" s="10" t="str">
        <f>CONCATENATE("          ", "6245", " - ", "PRINTING")</f>
        <v xml:space="preserve">          6245 - PRINTING</v>
      </c>
      <c r="C79" s="10"/>
      <c r="D79" s="6"/>
      <c r="E79" s="2"/>
      <c r="F79" s="7">
        <f t="shared" si="48"/>
        <v>0</v>
      </c>
      <c r="G79" s="2"/>
      <c r="H79" s="6"/>
      <c r="I79" s="2"/>
      <c r="J79" s="7">
        <f t="shared" si="49"/>
        <v>0</v>
      </c>
      <c r="K79" s="2"/>
      <c r="L79" s="6">
        <f t="shared" si="50"/>
        <v>0</v>
      </c>
      <c r="M79" s="2"/>
      <c r="N79" s="7">
        <f t="shared" si="51"/>
        <v>0</v>
      </c>
      <c r="O79" s="10"/>
      <c r="P79" s="6"/>
      <c r="Q79" s="2"/>
      <c r="R79" s="7">
        <f t="shared" si="52"/>
        <v>0</v>
      </c>
      <c r="S79" s="2"/>
      <c r="T79" s="6">
        <v>15.99</v>
      </c>
      <c r="U79" s="2"/>
      <c r="V79" s="7">
        <f t="shared" si="53"/>
        <v>0</v>
      </c>
      <c r="W79" s="2"/>
      <c r="X79" s="6">
        <f t="shared" si="54"/>
        <v>-15.99</v>
      </c>
      <c r="Y79" s="2"/>
      <c r="Z79" s="7">
        <f t="shared" si="55"/>
        <v>-1</v>
      </c>
    </row>
    <row r="80" spans="1:26" s="23" customFormat="1" hidden="1" outlineLevel="2" x14ac:dyDescent="0.25">
      <c r="A80" s="25"/>
      <c r="B80" s="10" t="str">
        <f>CONCATENATE("          ", "6247", " - ", "STORE SUPPLIES")</f>
        <v xml:space="preserve">          6247 - STORE SUPPLIES</v>
      </c>
      <c r="C80" s="10"/>
      <c r="D80" s="6"/>
      <c r="E80" s="2"/>
      <c r="F80" s="7">
        <f t="shared" si="48"/>
        <v>0</v>
      </c>
      <c r="G80" s="2"/>
      <c r="H80" s="6"/>
      <c r="I80" s="2"/>
      <c r="J80" s="7">
        <f t="shared" si="49"/>
        <v>0</v>
      </c>
      <c r="K80" s="2"/>
      <c r="L80" s="6">
        <f t="shared" si="50"/>
        <v>0</v>
      </c>
      <c r="M80" s="2"/>
      <c r="N80" s="7">
        <f t="shared" si="51"/>
        <v>0</v>
      </c>
      <c r="O80" s="10"/>
      <c r="P80" s="6"/>
      <c r="Q80" s="2"/>
      <c r="R80" s="7">
        <f t="shared" si="52"/>
        <v>0</v>
      </c>
      <c r="S80" s="2"/>
      <c r="T80" s="6">
        <v>123.68</v>
      </c>
      <c r="U80" s="2"/>
      <c r="V80" s="7">
        <f t="shared" si="53"/>
        <v>0</v>
      </c>
      <c r="W80" s="2"/>
      <c r="X80" s="6">
        <f t="shared" si="54"/>
        <v>-123.68</v>
      </c>
      <c r="Y80" s="2"/>
      <c r="Z80" s="7">
        <f t="shared" si="55"/>
        <v>-1</v>
      </c>
    </row>
    <row r="81" spans="1:26" s="23" customFormat="1" hidden="1" outlineLevel="2" x14ac:dyDescent="0.25">
      <c r="A81" s="25"/>
      <c r="B81" s="10" t="str">
        <f>CONCATENATE("          ", "6248", " - ", "UNIFORMS")</f>
        <v xml:space="preserve">          6248 - UNIFORMS</v>
      </c>
      <c r="C81" s="10"/>
      <c r="D81" s="6"/>
      <c r="E81" s="2"/>
      <c r="F81" s="7">
        <f t="shared" si="48"/>
        <v>0</v>
      </c>
      <c r="G81" s="2"/>
      <c r="H81" s="6"/>
      <c r="I81" s="2"/>
      <c r="J81" s="7">
        <f t="shared" si="49"/>
        <v>0</v>
      </c>
      <c r="K81" s="2"/>
      <c r="L81" s="6">
        <f t="shared" si="50"/>
        <v>0</v>
      </c>
      <c r="M81" s="2"/>
      <c r="N81" s="7">
        <f t="shared" si="51"/>
        <v>0</v>
      </c>
      <c r="O81" s="10"/>
      <c r="P81" s="6"/>
      <c r="Q81" s="2"/>
      <c r="R81" s="7">
        <f t="shared" si="52"/>
        <v>0</v>
      </c>
      <c r="S81" s="2"/>
      <c r="T81" s="6">
        <v>490.48</v>
      </c>
      <c r="U81" s="2"/>
      <c r="V81" s="7">
        <f t="shared" si="53"/>
        <v>0</v>
      </c>
      <c r="W81" s="2"/>
      <c r="X81" s="6">
        <f t="shared" si="54"/>
        <v>-490.48</v>
      </c>
      <c r="Y81" s="2"/>
      <c r="Z81" s="7">
        <f t="shared" si="55"/>
        <v>-1</v>
      </c>
    </row>
    <row r="82" spans="1:26" s="27" customFormat="1" outlineLevel="1" collapsed="1" x14ac:dyDescent="0.25">
      <c r="A82" s="26"/>
      <c r="B82" s="12" t="str">
        <f>CONCATENATE("     ","Telephone/Data Lines                              ")</f>
        <v xml:space="preserve">     Telephone/Data Lines                              </v>
      </c>
      <c r="C82" s="12"/>
      <c r="D82" s="1">
        <f>SUM(OSRRefD22_16x_0)</f>
        <v>245.5</v>
      </c>
      <c r="E82" s="1"/>
      <c r="F82" s="5">
        <f t="shared" ref="F82:F89" si="56">IF(D$12=0,0,D82/D$12)</f>
        <v>0</v>
      </c>
      <c r="G82" s="1"/>
      <c r="H82" s="1">
        <f>SUM(OSRRefH22_16x_0)</f>
        <v>215.73</v>
      </c>
      <c r="I82" s="1"/>
      <c r="J82" s="5">
        <f t="shared" ref="J82:J89" si="57">IF(H$12=0,0,H82/H$12)</f>
        <v>0</v>
      </c>
      <c r="K82" s="1"/>
      <c r="L82" s="1">
        <f t="shared" ref="L82:L89" si="58">+D82-H82</f>
        <v>29.77000000000001</v>
      </c>
      <c r="M82" s="1"/>
      <c r="N82" s="5">
        <f t="shared" ref="N82:N89" si="59">IF(H82=0,0,L82/H82)</f>
        <v>0.13799656978630701</v>
      </c>
      <c r="O82" s="12"/>
      <c r="P82" s="1">
        <f>SUM(OSRRefP22_16x_0)</f>
        <v>2178.83</v>
      </c>
      <c r="Q82" s="1"/>
      <c r="R82" s="5">
        <f t="shared" ref="R82:R89" si="60">IF(P$12=0,0,P82/P$12)</f>
        <v>0</v>
      </c>
      <c r="S82" s="1"/>
      <c r="T82" s="1">
        <f>SUM(OSRRefT22_16x_0)</f>
        <v>5123.67</v>
      </c>
      <c r="U82" s="1"/>
      <c r="V82" s="5">
        <f t="shared" ref="V82:V89" si="61">IF(T$12=0,0,T82/T$12)</f>
        <v>0</v>
      </c>
      <c r="W82" s="1"/>
      <c r="X82" s="1">
        <f t="shared" ref="X82:X89" si="62">+P82-T82</f>
        <v>-2944.84</v>
      </c>
      <c r="Y82" s="1"/>
      <c r="Z82" s="5">
        <f t="shared" ref="Z82:Z89" si="63">IF(T82=0,0,X82/T82)</f>
        <v>-0.57475208200371997</v>
      </c>
    </row>
    <row r="83" spans="1:26" s="23" customFormat="1" hidden="1" outlineLevel="2" x14ac:dyDescent="0.25">
      <c r="A83" s="25"/>
      <c r="B83" s="10" t="str">
        <f>CONCATENATE("          ", "6309", " - ", "TELEPHONE")</f>
        <v xml:space="preserve">          6309 - TELEPHONE</v>
      </c>
      <c r="C83" s="10"/>
      <c r="D83" s="6">
        <v>245.5</v>
      </c>
      <c r="E83" s="2"/>
      <c r="F83" s="7">
        <f t="shared" si="56"/>
        <v>0</v>
      </c>
      <c r="G83" s="2"/>
      <c r="H83" s="6">
        <v>215.73</v>
      </c>
      <c r="I83" s="2"/>
      <c r="J83" s="7">
        <f t="shared" si="57"/>
        <v>0</v>
      </c>
      <c r="K83" s="2"/>
      <c r="L83" s="6">
        <f t="shared" si="58"/>
        <v>29.77000000000001</v>
      </c>
      <c r="M83" s="2"/>
      <c r="N83" s="7">
        <f t="shared" si="59"/>
        <v>0.13799656978630701</v>
      </c>
      <c r="O83" s="10"/>
      <c r="P83" s="6">
        <v>2178.83</v>
      </c>
      <c r="Q83" s="2"/>
      <c r="R83" s="7">
        <f t="shared" si="60"/>
        <v>0</v>
      </c>
      <c r="S83" s="2"/>
      <c r="T83" s="6">
        <v>5123.67</v>
      </c>
      <c r="U83" s="2"/>
      <c r="V83" s="7">
        <f t="shared" si="61"/>
        <v>0</v>
      </c>
      <c r="W83" s="2"/>
      <c r="X83" s="6">
        <f t="shared" si="62"/>
        <v>-2944.84</v>
      </c>
      <c r="Y83" s="2"/>
      <c r="Z83" s="7">
        <f t="shared" si="63"/>
        <v>-0.57475208200371997</v>
      </c>
    </row>
    <row r="84" spans="1:26" s="27" customFormat="1" outlineLevel="1" collapsed="1" x14ac:dyDescent="0.25">
      <c r="A84" s="26"/>
      <c r="B84" s="12" t="str">
        <f>CONCATENATE("     ","Training                                          ")</f>
        <v xml:space="preserve">     Training                                          </v>
      </c>
      <c r="C84" s="12"/>
      <c r="D84" s="1">
        <f>SUM(OSRRefD22_17x_0)</f>
        <v>12.99</v>
      </c>
      <c r="E84" s="1"/>
      <c r="F84" s="5">
        <f t="shared" si="56"/>
        <v>0</v>
      </c>
      <c r="G84" s="1"/>
      <c r="H84" s="1">
        <f>SUM(OSRRefH22_17x_0)</f>
        <v>0</v>
      </c>
      <c r="I84" s="1"/>
      <c r="J84" s="5">
        <f t="shared" si="57"/>
        <v>0</v>
      </c>
      <c r="K84" s="1"/>
      <c r="L84" s="1">
        <f t="shared" si="58"/>
        <v>12.99</v>
      </c>
      <c r="M84" s="1"/>
      <c r="N84" s="5">
        <f t="shared" si="59"/>
        <v>0</v>
      </c>
      <c r="O84" s="12"/>
      <c r="P84" s="1">
        <f>SUM(OSRRefP22_17x_0)</f>
        <v>12.99</v>
      </c>
      <c r="Q84" s="1"/>
      <c r="R84" s="5">
        <f t="shared" si="60"/>
        <v>0</v>
      </c>
      <c r="S84" s="1"/>
      <c r="T84" s="1">
        <f>SUM(OSRRefT22_17x_0)</f>
        <v>240</v>
      </c>
      <c r="U84" s="1"/>
      <c r="V84" s="5">
        <f t="shared" si="61"/>
        <v>0</v>
      </c>
      <c r="W84" s="1"/>
      <c r="X84" s="1">
        <f t="shared" si="62"/>
        <v>-227.01</v>
      </c>
      <c r="Y84" s="1"/>
      <c r="Z84" s="5">
        <f t="shared" si="63"/>
        <v>-0.94587499999999991</v>
      </c>
    </row>
    <row r="85" spans="1:26" s="23" customFormat="1" hidden="1" outlineLevel="2" x14ac:dyDescent="0.25">
      <c r="A85" s="25"/>
      <c r="B85" s="10" t="str">
        <f>CONCATENATE("          ", "6376", " - ", "TRAINING")</f>
        <v xml:space="preserve">          6376 - TRAINING</v>
      </c>
      <c r="C85" s="10"/>
      <c r="D85" s="6">
        <v>12.99</v>
      </c>
      <c r="E85" s="2"/>
      <c r="F85" s="7">
        <f t="shared" si="56"/>
        <v>0</v>
      </c>
      <c r="G85" s="2"/>
      <c r="H85" s="6"/>
      <c r="I85" s="2"/>
      <c r="J85" s="7">
        <f t="shared" si="57"/>
        <v>0</v>
      </c>
      <c r="K85" s="2"/>
      <c r="L85" s="6">
        <f t="shared" si="58"/>
        <v>12.99</v>
      </c>
      <c r="M85" s="2"/>
      <c r="N85" s="7">
        <f t="shared" si="59"/>
        <v>0</v>
      </c>
      <c r="O85" s="10"/>
      <c r="P85" s="6">
        <v>12.99</v>
      </c>
      <c r="Q85" s="2"/>
      <c r="R85" s="7">
        <f t="shared" si="60"/>
        <v>0</v>
      </c>
      <c r="S85" s="2"/>
      <c r="T85" s="6">
        <v>240</v>
      </c>
      <c r="U85" s="2"/>
      <c r="V85" s="7">
        <f t="shared" si="61"/>
        <v>0</v>
      </c>
      <c r="W85" s="2"/>
      <c r="X85" s="6">
        <f t="shared" si="62"/>
        <v>-227.01</v>
      </c>
      <c r="Y85" s="2"/>
      <c r="Z85" s="7">
        <f t="shared" si="63"/>
        <v>-0.94587499999999991</v>
      </c>
    </row>
    <row r="86" spans="1:26" s="27" customFormat="1" outlineLevel="1" collapsed="1" x14ac:dyDescent="0.25">
      <c r="A86" s="26"/>
      <c r="B86" s="12" t="str">
        <f>CONCATENATE("     ","Travel                                            ")</f>
        <v xml:space="preserve">     Travel                                            </v>
      </c>
      <c r="C86" s="12"/>
      <c r="D86" s="1">
        <f>SUM(OSRRefD22_18x_0)</f>
        <v>0</v>
      </c>
      <c r="E86" s="1"/>
      <c r="F86" s="5">
        <f t="shared" si="56"/>
        <v>0</v>
      </c>
      <c r="G86" s="1"/>
      <c r="H86" s="1">
        <f>SUM(OSRRefH22_18x_0)</f>
        <v>0</v>
      </c>
      <c r="I86" s="1"/>
      <c r="J86" s="5">
        <f t="shared" si="57"/>
        <v>0</v>
      </c>
      <c r="K86" s="1"/>
      <c r="L86" s="1">
        <f t="shared" si="58"/>
        <v>0</v>
      </c>
      <c r="M86" s="1"/>
      <c r="N86" s="5">
        <f t="shared" si="59"/>
        <v>0</v>
      </c>
      <c r="O86" s="12"/>
      <c r="P86" s="1">
        <f>SUM(OSRRefP22_18x_0)</f>
        <v>332.21</v>
      </c>
      <c r="Q86" s="1"/>
      <c r="R86" s="5">
        <f t="shared" si="60"/>
        <v>0</v>
      </c>
      <c r="S86" s="1"/>
      <c r="T86" s="1">
        <f>SUM(OSRRefT22_18x_0)</f>
        <v>2300.86</v>
      </c>
      <c r="U86" s="1"/>
      <c r="V86" s="5">
        <f t="shared" si="61"/>
        <v>0</v>
      </c>
      <c r="W86" s="1"/>
      <c r="X86" s="1">
        <f t="shared" si="62"/>
        <v>-1968.65</v>
      </c>
      <c r="Y86" s="1"/>
      <c r="Z86" s="5">
        <f t="shared" si="63"/>
        <v>-0.85561485705344953</v>
      </c>
    </row>
    <row r="87" spans="1:26" s="23" customFormat="1" hidden="1" outlineLevel="2" x14ac:dyDescent="0.25">
      <c r="A87" s="25"/>
      <c r="B87" s="10" t="str">
        <f>CONCATENATE("          ", "6292", " - ", "TRAVEL/CONFERENCE")</f>
        <v xml:space="preserve">          6292 - TRAVEL/CONFERENCE</v>
      </c>
      <c r="C87" s="10"/>
      <c r="D87" s="6"/>
      <c r="E87" s="2"/>
      <c r="F87" s="7">
        <f t="shared" si="56"/>
        <v>0</v>
      </c>
      <c r="G87" s="2"/>
      <c r="H87" s="6"/>
      <c r="I87" s="2"/>
      <c r="J87" s="7">
        <f t="shared" si="57"/>
        <v>0</v>
      </c>
      <c r="K87" s="2"/>
      <c r="L87" s="6">
        <f t="shared" si="58"/>
        <v>0</v>
      </c>
      <c r="M87" s="2"/>
      <c r="N87" s="7">
        <f t="shared" si="59"/>
        <v>0</v>
      </c>
      <c r="O87" s="10"/>
      <c r="P87" s="6"/>
      <c r="Q87" s="2"/>
      <c r="R87" s="7">
        <f t="shared" si="60"/>
        <v>0</v>
      </c>
      <c r="S87" s="2"/>
      <c r="T87" s="6">
        <v>966.72</v>
      </c>
      <c r="U87" s="2"/>
      <c r="V87" s="7">
        <f t="shared" si="61"/>
        <v>0</v>
      </c>
      <c r="W87" s="2"/>
      <c r="X87" s="6">
        <f t="shared" si="62"/>
        <v>-966.72</v>
      </c>
      <c r="Y87" s="2"/>
      <c r="Z87" s="7">
        <f t="shared" si="63"/>
        <v>-1</v>
      </c>
    </row>
    <row r="88" spans="1:26" s="23" customFormat="1" hidden="1" outlineLevel="2" x14ac:dyDescent="0.25">
      <c r="A88" s="25"/>
      <c r="B88" s="10" t="str">
        <f>CONCATENATE("          ", "6294", " - ", "TRAVEL OPERATIONAL")</f>
        <v xml:space="preserve">          6294 - TRAVEL OPERATIONAL</v>
      </c>
      <c r="C88" s="10"/>
      <c r="D88" s="6"/>
      <c r="E88" s="2"/>
      <c r="F88" s="7">
        <f t="shared" si="56"/>
        <v>0</v>
      </c>
      <c r="G88" s="2"/>
      <c r="H88" s="6"/>
      <c r="I88" s="2"/>
      <c r="J88" s="7">
        <f t="shared" si="57"/>
        <v>0</v>
      </c>
      <c r="K88" s="2"/>
      <c r="L88" s="6">
        <f t="shared" si="58"/>
        <v>0</v>
      </c>
      <c r="M88" s="2"/>
      <c r="N88" s="7">
        <f t="shared" si="59"/>
        <v>0</v>
      </c>
      <c r="O88" s="10"/>
      <c r="P88" s="6"/>
      <c r="Q88" s="2"/>
      <c r="R88" s="7">
        <f t="shared" si="60"/>
        <v>0</v>
      </c>
      <c r="S88" s="2"/>
      <c r="T88" s="6">
        <v>45.49</v>
      </c>
      <c r="U88" s="2"/>
      <c r="V88" s="7">
        <f t="shared" si="61"/>
        <v>0</v>
      </c>
      <c r="W88" s="2"/>
      <c r="X88" s="6">
        <f t="shared" si="62"/>
        <v>-45.49</v>
      </c>
      <c r="Y88" s="2"/>
      <c r="Z88" s="7">
        <f t="shared" si="63"/>
        <v>-1</v>
      </c>
    </row>
    <row r="89" spans="1:26" s="23" customFormat="1" hidden="1" outlineLevel="2" x14ac:dyDescent="0.25">
      <c r="A89" s="25"/>
      <c r="B89" s="10" t="str">
        <f>CONCATENATE("          ", "6298", " - ", "VEHICLE MILEAGE")</f>
        <v xml:space="preserve">          6298 - VEHICLE MILEAGE</v>
      </c>
      <c r="C89" s="10"/>
      <c r="D89" s="6"/>
      <c r="E89" s="2"/>
      <c r="F89" s="7">
        <f t="shared" si="56"/>
        <v>0</v>
      </c>
      <c r="G89" s="2"/>
      <c r="H89" s="6"/>
      <c r="I89" s="2"/>
      <c r="J89" s="7">
        <f t="shared" si="57"/>
        <v>0</v>
      </c>
      <c r="K89" s="2"/>
      <c r="L89" s="6">
        <f t="shared" si="58"/>
        <v>0</v>
      </c>
      <c r="M89" s="2"/>
      <c r="N89" s="7">
        <f t="shared" si="59"/>
        <v>0</v>
      </c>
      <c r="O89" s="10"/>
      <c r="P89" s="6">
        <v>332.21</v>
      </c>
      <c r="Q89" s="2"/>
      <c r="R89" s="7">
        <f t="shared" si="60"/>
        <v>0</v>
      </c>
      <c r="S89" s="2"/>
      <c r="T89" s="6">
        <v>1288.6500000000001</v>
      </c>
      <c r="U89" s="2"/>
      <c r="V89" s="7">
        <f t="shared" si="61"/>
        <v>0</v>
      </c>
      <c r="W89" s="2"/>
      <c r="X89" s="6">
        <f t="shared" si="62"/>
        <v>-956.44</v>
      </c>
      <c r="Y89" s="2"/>
      <c r="Z89" s="7">
        <f t="shared" si="63"/>
        <v>-0.74220308074341368</v>
      </c>
    </row>
    <row r="90" spans="1:26" s="27" customFormat="1" outlineLevel="1" collapsed="1" x14ac:dyDescent="0.25">
      <c r="A90" s="26"/>
      <c r="B90" s="12" t="str">
        <f>CONCATENATE("     ","Utilities                                         ")</f>
        <v xml:space="preserve">     Utilities                                         </v>
      </c>
      <c r="C90" s="12"/>
      <c r="D90" s="1">
        <f>SUM(OSRRefD22_19x_0)</f>
        <v>42312</v>
      </c>
      <c r="E90" s="1"/>
      <c r="F90" s="5">
        <f t="shared" ref="F90:F91" si="64">IF(D$12=0,0,D90/D$12)</f>
        <v>0</v>
      </c>
      <c r="G90" s="1"/>
      <c r="H90" s="1">
        <f>SUM(OSRRefH22_19x_0)</f>
        <v>32122</v>
      </c>
      <c r="I90" s="1"/>
      <c r="J90" s="5">
        <f t="shared" ref="J90:J91" si="65">IF(H$12=0,0,H90/H$12)</f>
        <v>0</v>
      </c>
      <c r="K90" s="1"/>
      <c r="L90" s="1">
        <f t="shared" ref="L90:L91" si="66">+D90-H90</f>
        <v>10190</v>
      </c>
      <c r="M90" s="1"/>
      <c r="N90" s="5">
        <f t="shared" ref="N90:N91" si="67">IF(H90=0,0,L90/H90)</f>
        <v>0.31722806799078512</v>
      </c>
      <c r="O90" s="12"/>
      <c r="P90" s="1">
        <f>SUM(OSRRefP22_19x_0)</f>
        <v>33273</v>
      </c>
      <c r="Q90" s="1"/>
      <c r="R90" s="5">
        <f t="shared" ref="R90:R91" si="68">IF(P$12=0,0,P90/P$12)</f>
        <v>0</v>
      </c>
      <c r="S90" s="1"/>
      <c r="T90" s="1">
        <f>SUM(OSRRefT22_19x_0)</f>
        <v>178328</v>
      </c>
      <c r="U90" s="1"/>
      <c r="V90" s="5">
        <f t="shared" ref="V90:V91" si="69">IF(T$12=0,0,T90/T$12)</f>
        <v>0</v>
      </c>
      <c r="W90" s="1"/>
      <c r="X90" s="1">
        <f t="shared" ref="X90:X91" si="70">+P90-T90</f>
        <v>-145055</v>
      </c>
      <c r="Y90" s="1"/>
      <c r="Z90" s="5">
        <f t="shared" ref="Z90:Z91" si="71">IF(T90=0,0,X90/T90)</f>
        <v>-0.81341684984971518</v>
      </c>
    </row>
    <row r="91" spans="1:26" s="23" customFormat="1" hidden="1" outlineLevel="2" x14ac:dyDescent="0.25">
      <c r="A91" s="25"/>
      <c r="B91" s="10" t="str">
        <f>CONCATENATE("          ", "6274", " - ", "UTILITIES")</f>
        <v xml:space="preserve">          6274 - UTILITIES</v>
      </c>
      <c r="C91" s="10"/>
      <c r="D91" s="6">
        <v>42312</v>
      </c>
      <c r="E91" s="2"/>
      <c r="F91" s="7">
        <f t="shared" si="64"/>
        <v>0</v>
      </c>
      <c r="G91" s="2"/>
      <c r="H91" s="6">
        <v>32122</v>
      </c>
      <c r="I91" s="2"/>
      <c r="J91" s="7">
        <f t="shared" si="65"/>
        <v>0</v>
      </c>
      <c r="K91" s="2"/>
      <c r="L91" s="6">
        <f t="shared" si="66"/>
        <v>10190</v>
      </c>
      <c r="M91" s="2"/>
      <c r="N91" s="7">
        <f t="shared" si="67"/>
        <v>0.31722806799078512</v>
      </c>
      <c r="O91" s="10"/>
      <c r="P91" s="6">
        <v>33273</v>
      </c>
      <c r="Q91" s="2"/>
      <c r="R91" s="7">
        <f t="shared" si="68"/>
        <v>0</v>
      </c>
      <c r="S91" s="2"/>
      <c r="T91" s="6">
        <v>178328</v>
      </c>
      <c r="U91" s="2"/>
      <c r="V91" s="7">
        <f t="shared" si="69"/>
        <v>0</v>
      </c>
      <c r="W91" s="2"/>
      <c r="X91" s="6">
        <f t="shared" si="70"/>
        <v>-145055</v>
      </c>
      <c r="Y91" s="2"/>
      <c r="Z91" s="7">
        <f t="shared" si="71"/>
        <v>-0.81341684984971518</v>
      </c>
    </row>
    <row r="92" spans="1:26" s="52" customFormat="1" x14ac:dyDescent="0.25">
      <c r="A92" s="37"/>
      <c r="B92" s="37"/>
      <c r="C92" s="37"/>
      <c r="D92" s="1"/>
      <c r="E92" s="1"/>
      <c r="F92" s="5"/>
      <c r="G92" s="1"/>
      <c r="H92" s="1"/>
      <c r="I92" s="1"/>
      <c r="J92" s="5"/>
      <c r="K92" s="1"/>
      <c r="L92" s="1"/>
      <c r="M92" s="1"/>
      <c r="N92" s="5"/>
      <c r="O92" s="37"/>
      <c r="P92" s="1"/>
      <c r="Q92" s="1"/>
      <c r="R92" s="5"/>
      <c r="S92" s="1"/>
      <c r="T92" s="1"/>
      <c r="U92" s="1"/>
      <c r="V92" s="5"/>
      <c r="W92" s="1"/>
      <c r="X92" s="1"/>
      <c r="Y92" s="1"/>
      <c r="Z92" s="5"/>
    </row>
    <row r="93" spans="1:26" s="24" customFormat="1" collapsed="1" x14ac:dyDescent="0.25">
      <c r="A93" s="11"/>
      <c r="B93" s="29" t="s">
        <v>292</v>
      </c>
      <c r="C93" s="11"/>
      <c r="D93" s="4">
        <f>SUM(OSRRefD25x_0)</f>
        <v>449.64</v>
      </c>
      <c r="E93" s="4"/>
      <c r="F93" s="13">
        <f t="shared" ref="F93:F95" si="72">IF(D$12=0,0,D93/D$12)</f>
        <v>0</v>
      </c>
      <c r="G93" s="4"/>
      <c r="H93" s="4">
        <f>SUM(OSRRefH25x_0)</f>
        <v>16951.849999999999</v>
      </c>
      <c r="I93" s="4"/>
      <c r="J93" s="13">
        <f t="shared" ref="J93:J95" si="73">IF(H$12=0,0,H93/H$12)</f>
        <v>0</v>
      </c>
      <c r="K93" s="4"/>
      <c r="L93" s="4">
        <f t="shared" ref="L93:L95" si="74">+D93-H93</f>
        <v>-16502.21</v>
      </c>
      <c r="M93" s="4"/>
      <c r="N93" s="13">
        <f t="shared" ref="N93:N95" si="75">IF(H93=0,0,L93/H93)</f>
        <v>-0.97347546138032137</v>
      </c>
      <c r="O93" s="11"/>
      <c r="P93" s="4">
        <f>SUM(OSRRefP25x_0)</f>
        <v>6504.4900000000007</v>
      </c>
      <c r="Q93" s="4"/>
      <c r="R93" s="13">
        <f t="shared" ref="R93:R95" si="76">IF(P$12=0,0,P93/P$12)</f>
        <v>0</v>
      </c>
      <c r="S93" s="4"/>
      <c r="T93" s="4">
        <f>SUM(OSRRefT25x_0)</f>
        <v>128692.56999999999</v>
      </c>
      <c r="U93" s="4"/>
      <c r="V93" s="13">
        <f t="shared" ref="V93:V95" si="77">IF(T$12=0,0,T93/T$12)</f>
        <v>0</v>
      </c>
      <c r="W93" s="4"/>
      <c r="X93" s="4">
        <f t="shared" ref="X93:X95" si="78">+P93-T93</f>
        <v>-122188.07999999999</v>
      </c>
      <c r="Y93" s="4"/>
      <c r="Z93" s="13">
        <f t="shared" ref="Z93:Z95" si="79">IF(T93=0,0,X93/T93)</f>
        <v>-0.9494571442624854</v>
      </c>
    </row>
    <row r="94" spans="1:26" s="23" customFormat="1" hidden="1" outlineLevel="1" x14ac:dyDescent="0.25">
      <c r="A94" s="44"/>
      <c r="B94" s="10" t="str">
        <f>CONCATENATE("          ", "9150", " - ", "MISC. INCOME")</f>
        <v xml:space="preserve">          9150 - MISC. INCOME</v>
      </c>
      <c r="C94" s="10"/>
      <c r="D94" s="2">
        <f>--449.64</f>
        <v>449.64</v>
      </c>
      <c r="E94" s="2"/>
      <c r="F94" s="19">
        <f t="shared" si="72"/>
        <v>0</v>
      </c>
      <c r="G94" s="2"/>
      <c r="H94" s="2">
        <f>--16951.85</f>
        <v>16951.849999999999</v>
      </c>
      <c r="I94" s="2"/>
      <c r="J94" s="19">
        <f t="shared" si="73"/>
        <v>0</v>
      </c>
      <c r="K94" s="2"/>
      <c r="L94" s="2">
        <f t="shared" si="74"/>
        <v>-16502.21</v>
      </c>
      <c r="M94" s="2"/>
      <c r="N94" s="19">
        <f t="shared" si="75"/>
        <v>-0.97347546138032137</v>
      </c>
      <c r="O94" s="10"/>
      <c r="P94" s="2">
        <f>--5688.14</f>
        <v>5688.14</v>
      </c>
      <c r="Q94" s="2"/>
      <c r="R94" s="19">
        <f t="shared" si="76"/>
        <v>0</v>
      </c>
      <c r="S94" s="2"/>
      <c r="T94" s="2">
        <f>--126642.54</f>
        <v>126642.54</v>
      </c>
      <c r="U94" s="2"/>
      <c r="V94" s="19">
        <f t="shared" si="77"/>
        <v>0</v>
      </c>
      <c r="W94" s="2"/>
      <c r="X94" s="2">
        <f t="shared" si="78"/>
        <v>-120954.4</v>
      </c>
      <c r="Y94" s="2"/>
      <c r="Z94" s="19">
        <f t="shared" si="79"/>
        <v>-0.95508507646798624</v>
      </c>
    </row>
    <row r="95" spans="1:26" s="23" customFormat="1" hidden="1" outlineLevel="1" x14ac:dyDescent="0.25">
      <c r="A95" s="44"/>
      <c r="B95" s="10" t="str">
        <f>CONCATENATE("          ", "9160", " - ", "MISC. INCOME")</f>
        <v xml:space="preserve">          9160 - MISC. INCOME</v>
      </c>
      <c r="C95" s="10"/>
      <c r="D95" s="2">
        <f>0</f>
        <v>0</v>
      </c>
      <c r="E95" s="2"/>
      <c r="F95" s="19">
        <f t="shared" si="72"/>
        <v>0</v>
      </c>
      <c r="G95" s="2"/>
      <c r="H95" s="2">
        <f>0</f>
        <v>0</v>
      </c>
      <c r="I95" s="2"/>
      <c r="J95" s="19">
        <f t="shared" si="73"/>
        <v>0</v>
      </c>
      <c r="K95" s="2"/>
      <c r="L95" s="2">
        <f t="shared" si="74"/>
        <v>0</v>
      </c>
      <c r="M95" s="2"/>
      <c r="N95" s="19">
        <f t="shared" si="75"/>
        <v>0</v>
      </c>
      <c r="O95" s="10"/>
      <c r="P95" s="2">
        <f>--816.35</f>
        <v>816.35</v>
      </c>
      <c r="Q95" s="2"/>
      <c r="R95" s="19">
        <f t="shared" si="76"/>
        <v>0</v>
      </c>
      <c r="S95" s="2"/>
      <c r="T95" s="2">
        <f>--2050.03</f>
        <v>2050.0300000000002</v>
      </c>
      <c r="U95" s="2"/>
      <c r="V95" s="19">
        <f t="shared" si="77"/>
        <v>0</v>
      </c>
      <c r="W95" s="2"/>
      <c r="X95" s="2">
        <f t="shared" si="78"/>
        <v>-1233.6800000000003</v>
      </c>
      <c r="Y95" s="2"/>
      <c r="Z95" s="19">
        <f t="shared" si="79"/>
        <v>-0.60178631532221483</v>
      </c>
    </row>
    <row r="96" spans="1:26" x14ac:dyDescent="0.25">
      <c r="A96" s="9"/>
      <c r="B96" s="11"/>
      <c r="C96" s="11"/>
      <c r="D96" s="3"/>
      <c r="E96" s="3"/>
      <c r="F96" s="8"/>
      <c r="G96" s="3"/>
      <c r="H96" s="3"/>
      <c r="I96" s="3"/>
      <c r="J96" s="8"/>
      <c r="K96" s="3"/>
      <c r="L96" s="3"/>
      <c r="M96" s="3"/>
      <c r="N96" s="8"/>
      <c r="O96" s="11"/>
      <c r="P96" s="3"/>
      <c r="Q96" s="3"/>
      <c r="R96" s="8"/>
      <c r="S96" s="3"/>
      <c r="T96" s="3"/>
      <c r="U96" s="3"/>
      <c r="V96" s="8"/>
      <c r="W96" s="3"/>
      <c r="X96" s="3"/>
      <c r="Y96" s="3"/>
      <c r="Z96" s="8"/>
    </row>
    <row r="97" spans="1:26" s="24" customFormat="1" x14ac:dyDescent="0.25">
      <c r="A97" s="11"/>
      <c r="B97" s="28" t="s">
        <v>276</v>
      </c>
      <c r="C97" s="28"/>
      <c r="D97" s="21">
        <f>+D16-D18+D93</f>
        <v>-102735.59</v>
      </c>
      <c r="E97" s="14"/>
      <c r="F97" s="22">
        <f>IF(D$12=0,0,D97/D$12)</f>
        <v>0</v>
      </c>
      <c r="G97" s="14"/>
      <c r="H97" s="21">
        <f>+H16-H18+H93</f>
        <v>-49508.859999999993</v>
      </c>
      <c r="I97" s="14"/>
      <c r="J97" s="22">
        <f>IF(H$12=0,0,H97/H$12)</f>
        <v>0</v>
      </c>
      <c r="K97" s="15"/>
      <c r="L97" s="21">
        <f>+D97-H97</f>
        <v>-53226.73</v>
      </c>
      <c r="M97" s="15"/>
      <c r="N97" s="22">
        <f>IF(H97=0,0,L97/H97)</f>
        <v>1.0750950435942175</v>
      </c>
      <c r="O97" s="29"/>
      <c r="P97" s="21">
        <f>+P16-P18+P93</f>
        <v>-427660.35000000003</v>
      </c>
      <c r="Q97" s="14"/>
      <c r="R97" s="22">
        <f>IF(P$12=0,0,P97/P$12)</f>
        <v>0</v>
      </c>
      <c r="S97" s="14"/>
      <c r="T97" s="21">
        <f>+T16-T18+T93</f>
        <v>-909151.73</v>
      </c>
      <c r="U97" s="14"/>
      <c r="V97" s="22">
        <f>IF(T$12=0,0,T97/T$12)</f>
        <v>0</v>
      </c>
      <c r="W97" s="15"/>
      <c r="X97" s="21">
        <f>+P97-T97</f>
        <v>481491.37999999995</v>
      </c>
      <c r="Y97" s="15"/>
      <c r="Z97" s="22">
        <f>IF(T97=0,0,X97/T97)</f>
        <v>-0.52960508583094257</v>
      </c>
    </row>
    <row r="98" spans="1:26" x14ac:dyDescent="0.25">
      <c r="A98" s="9"/>
      <c r="B98" s="11"/>
      <c r="C98" s="9"/>
      <c r="D98" s="3"/>
      <c r="E98" s="3"/>
      <c r="F98" s="8"/>
      <c r="G98" s="3"/>
      <c r="H98" s="3"/>
      <c r="I98" s="3"/>
      <c r="J98" s="8"/>
      <c r="K98" s="3"/>
      <c r="L98" s="3"/>
      <c r="M98" s="3"/>
      <c r="N98" s="8"/>
      <c r="P98" s="3"/>
      <c r="Q98" s="3"/>
      <c r="R98" s="8"/>
      <c r="S98" s="3"/>
      <c r="T98" s="3"/>
      <c r="U98" s="3"/>
      <c r="V98" s="8"/>
      <c r="W98" s="3"/>
      <c r="X98" s="3"/>
      <c r="Y98" s="3"/>
      <c r="Z98" s="8"/>
    </row>
    <row r="99" spans="1:26" s="24" customFormat="1" x14ac:dyDescent="0.25">
      <c r="A99" s="51"/>
      <c r="B99" s="11" t="s">
        <v>127</v>
      </c>
      <c r="C99" s="11"/>
      <c r="D99" s="4"/>
      <c r="E99" s="4"/>
      <c r="F99" s="13">
        <f>IF(D$12=0,0,D99/D$12)</f>
        <v>0</v>
      </c>
      <c r="G99" s="4"/>
      <c r="H99" s="4"/>
      <c r="I99" s="4"/>
      <c r="J99" s="13">
        <f>IF(H$12=0,0,H99/H$12)</f>
        <v>0</v>
      </c>
      <c r="K99" s="4"/>
      <c r="L99" s="4">
        <f>+D99-H99</f>
        <v>0</v>
      </c>
      <c r="M99" s="4"/>
      <c r="N99" s="13">
        <f>IF(H99=0,0,L99/H99)</f>
        <v>0</v>
      </c>
      <c r="O99" s="11"/>
      <c r="P99" s="4"/>
      <c r="Q99" s="4"/>
      <c r="R99" s="13">
        <f>IF(P$12=0,0,P99/P$12)</f>
        <v>0</v>
      </c>
      <c r="S99" s="4"/>
      <c r="T99" s="4"/>
      <c r="U99" s="4"/>
      <c r="V99" s="13">
        <f>IF(T$12=0,0,T99/T$12)</f>
        <v>0</v>
      </c>
      <c r="W99" s="4"/>
      <c r="X99" s="4">
        <f>+P99-T99</f>
        <v>0</v>
      </c>
      <c r="Y99" s="4"/>
      <c r="Z99" s="13">
        <f>IF(T99=0,0,X99/T99)</f>
        <v>0</v>
      </c>
    </row>
    <row r="100" spans="1:26" x14ac:dyDescent="0.25">
      <c r="A100" s="9"/>
      <c r="B100" s="11"/>
      <c r="C100" s="11"/>
      <c r="D100" s="3"/>
      <c r="E100" s="3"/>
      <c r="F100" s="8"/>
      <c r="G100" s="3"/>
      <c r="H100" s="3"/>
      <c r="I100" s="3"/>
      <c r="J100" s="8"/>
      <c r="K100" s="3"/>
      <c r="L100" s="3"/>
      <c r="M100" s="3"/>
      <c r="N100" s="8"/>
      <c r="O100" s="11"/>
      <c r="P100" s="3"/>
      <c r="Q100" s="3"/>
      <c r="R100" s="8"/>
      <c r="S100" s="3"/>
      <c r="T100" s="3"/>
      <c r="U100" s="3"/>
      <c r="V100" s="8"/>
      <c r="W100" s="3"/>
      <c r="X100" s="3"/>
      <c r="Y100" s="3"/>
      <c r="Z100" s="8"/>
    </row>
    <row r="101" spans="1:26" s="24" customFormat="1" ht="15.75" thickBot="1" x14ac:dyDescent="0.3">
      <c r="A101" s="11"/>
      <c r="B101" s="28" t="s">
        <v>125</v>
      </c>
      <c r="C101" s="28"/>
      <c r="D101" s="34">
        <f>+D97-D99</f>
        <v>-102735.59</v>
      </c>
      <c r="E101" s="14"/>
      <c r="F101" s="31">
        <f>IF(D$12=0,0,D101/D$12)</f>
        <v>0</v>
      </c>
      <c r="G101" s="14"/>
      <c r="H101" s="34">
        <f>+H97-H99</f>
        <v>-49508.859999999993</v>
      </c>
      <c r="I101" s="14"/>
      <c r="J101" s="31">
        <f>IF(H$12=0,0,H101/H$12)</f>
        <v>0</v>
      </c>
      <c r="K101" s="15"/>
      <c r="L101" s="34">
        <f>D101-H101</f>
        <v>-53226.73</v>
      </c>
      <c r="M101" s="15"/>
      <c r="N101" s="31">
        <f>IF(H101=0,0,L101/H101)</f>
        <v>1.0750950435942175</v>
      </c>
      <c r="O101" s="29"/>
      <c r="P101" s="34">
        <f>+P97-P99</f>
        <v>-427660.35000000003</v>
      </c>
      <c r="Q101" s="14"/>
      <c r="R101" s="31">
        <f>IF(P$12=0,0,P101/P$12)</f>
        <v>0</v>
      </c>
      <c r="S101" s="14"/>
      <c r="T101" s="34">
        <f>+T97-T99</f>
        <v>-909151.73</v>
      </c>
      <c r="U101" s="14"/>
      <c r="V101" s="31">
        <f>IF(T$12=0,0,T101/T$12)</f>
        <v>0</v>
      </c>
      <c r="W101" s="15"/>
      <c r="X101" s="34">
        <f>P101-T101</f>
        <v>481491.37999999995</v>
      </c>
      <c r="Y101" s="15"/>
      <c r="Z101" s="31">
        <f>IF(T101=0,0,X101/T101)</f>
        <v>-0.52960508583094257</v>
      </c>
    </row>
    <row r="102" spans="1:26" ht="15.75" thickTop="1" x14ac:dyDescent="0.25">
      <c r="A102" s="9"/>
      <c r="B102" s="9"/>
      <c r="C102" s="9"/>
      <c r="D102" s="3"/>
      <c r="E102" s="3"/>
      <c r="F102" s="8"/>
      <c r="G102" s="3"/>
      <c r="H102" s="3"/>
      <c r="I102" s="3"/>
      <c r="J102" s="8"/>
      <c r="K102" s="3"/>
      <c r="L102" s="3"/>
      <c r="M102" s="3"/>
      <c r="N102" s="8"/>
      <c r="P102" s="3"/>
      <c r="Q102" s="3"/>
      <c r="R102" s="8"/>
      <c r="S102" s="3"/>
      <c r="T102" s="3"/>
      <c r="U102" s="3"/>
      <c r="V102" s="8"/>
      <c r="W102" s="3"/>
      <c r="X102" s="3"/>
      <c r="Y102" s="3"/>
      <c r="Z102" s="8"/>
    </row>
    <row r="103" spans="1:26" x14ac:dyDescent="0.25">
      <c r="A103" s="9"/>
      <c r="B103" s="9"/>
      <c r="C103" s="9"/>
      <c r="D103" s="3"/>
      <c r="E103" s="3"/>
      <c r="F103" s="8"/>
      <c r="G103" s="3"/>
      <c r="H103" s="3"/>
      <c r="I103" s="3"/>
      <c r="J103" s="8"/>
      <c r="K103" s="3"/>
      <c r="L103" s="3"/>
      <c r="M103" s="3"/>
      <c r="N103" s="8"/>
      <c r="P103" s="3"/>
      <c r="Q103" s="3"/>
      <c r="R103" s="8"/>
      <c r="S103" s="3"/>
      <c r="T103" s="3"/>
      <c r="U103" s="3"/>
      <c r="V103" s="8"/>
      <c r="W103" s="3"/>
      <c r="X103" s="3"/>
      <c r="Y103" s="3"/>
      <c r="Z103" s="8"/>
    </row>
    <row r="104" spans="1:26" s="24" customFormat="1" ht="15.75" thickBot="1" x14ac:dyDescent="0.3">
      <c r="A104" s="11"/>
      <c r="B104" s="28" t="s">
        <v>293</v>
      </c>
      <c r="C104" s="28"/>
      <c r="D104" s="33">
        <f>SUM(D101:D103)</f>
        <v>-102735.59</v>
      </c>
      <c r="E104" s="14"/>
      <c r="F104" s="35">
        <f>IF(D$12=0,0,D104/D$12)</f>
        <v>0</v>
      </c>
      <c r="G104" s="14"/>
      <c r="H104" s="33">
        <f>SUM(H101:H103)</f>
        <v>-49508.859999999993</v>
      </c>
      <c r="I104" s="14"/>
      <c r="J104" s="35">
        <f>IF(H$12=0,0,H104/H$12)</f>
        <v>0</v>
      </c>
      <c r="K104" s="15"/>
      <c r="L104" s="33">
        <f>+D104-H104</f>
        <v>-53226.73</v>
      </c>
      <c r="M104" s="15"/>
      <c r="N104" s="35">
        <f>IF(H104=0,0,L104/H104)</f>
        <v>1.0750950435942175</v>
      </c>
      <c r="O104" s="29"/>
      <c r="P104" s="33">
        <f>SUM(P101:P103)</f>
        <v>-427660.35000000003</v>
      </c>
      <c r="Q104" s="14"/>
      <c r="R104" s="35">
        <f>IF(P$12=0,0,P104/P$12)</f>
        <v>0</v>
      </c>
      <c r="S104" s="14"/>
      <c r="T104" s="33">
        <f>SUM(T101:T103)</f>
        <v>-909151.73</v>
      </c>
      <c r="U104" s="14"/>
      <c r="V104" s="35">
        <f>IF(T$12=0,0,T104/T$12)</f>
        <v>0</v>
      </c>
      <c r="W104" s="15"/>
      <c r="X104" s="33">
        <f>+P104-T104</f>
        <v>481491.37999999995</v>
      </c>
      <c r="Y104" s="15"/>
      <c r="Z104" s="35">
        <f>IF(T104=0,0,X104/T104)</f>
        <v>-0.52960508583094257</v>
      </c>
    </row>
    <row r="105" spans="1:26" ht="15.75" thickTop="1" x14ac:dyDescent="0.25">
      <c r="A105" s="9"/>
      <c r="C105" s="9"/>
      <c r="D105" s="18"/>
      <c r="E105" s="18"/>
      <c r="G105" s="18"/>
      <c r="H105" s="18"/>
      <c r="I105" s="18"/>
      <c r="J105" s="43"/>
      <c r="K105" s="18"/>
      <c r="L105" s="18"/>
      <c r="M105" s="18"/>
      <c r="P105" s="18"/>
      <c r="Q105" s="18"/>
      <c r="R105" s="43"/>
      <c r="S105" s="18"/>
      <c r="T105" s="18"/>
      <c r="U105" s="18"/>
      <c r="V105" s="43"/>
      <c r="W105" s="18"/>
      <c r="X105" s="18"/>
    </row>
    <row r="106" spans="1:26" x14ac:dyDescent="0.25">
      <c r="A106" s="9"/>
      <c r="B106" s="56">
        <v>44454.698585613427</v>
      </c>
      <c r="D106" s="18"/>
      <c r="E106" s="18"/>
      <c r="G106" s="18"/>
      <c r="H106" s="18"/>
      <c r="I106" s="18"/>
      <c r="J106" s="43"/>
      <c r="K106" s="18"/>
      <c r="L106" s="18"/>
      <c r="M106" s="18"/>
      <c r="P106" s="18"/>
      <c r="Q106" s="18"/>
      <c r="R106" s="43"/>
      <c r="S106" s="18"/>
      <c r="T106" s="18"/>
      <c r="U106" s="18"/>
      <c r="V106" s="43"/>
      <c r="W106" s="18"/>
      <c r="X106" s="18"/>
    </row>
    <row r="107" spans="1:26" x14ac:dyDescent="0.25">
      <c r="A107" s="9"/>
      <c r="B107" s="55" t="s">
        <v>56</v>
      </c>
      <c r="D107" s="18"/>
      <c r="E107" s="18"/>
      <c r="G107" s="18"/>
      <c r="H107" s="18"/>
      <c r="I107" s="18"/>
      <c r="J107" s="43"/>
      <c r="K107" s="18"/>
      <c r="L107" s="18"/>
      <c r="M107" s="18"/>
      <c r="P107" s="18"/>
      <c r="Q107" s="18"/>
      <c r="R107" s="43"/>
      <c r="S107" s="18"/>
      <c r="T107" s="18"/>
      <c r="U107" s="18"/>
      <c r="V107" s="43"/>
      <c r="W107" s="18"/>
      <c r="X107" s="18"/>
    </row>
    <row r="108" spans="1:26" x14ac:dyDescent="0.25">
      <c r="A108" s="9"/>
      <c r="B108" s="60"/>
      <c r="D108" s="18"/>
      <c r="E108" s="18"/>
      <c r="G108" s="18"/>
      <c r="H108" s="18"/>
      <c r="I108" s="18"/>
      <c r="J108" s="43"/>
      <c r="K108" s="18"/>
      <c r="L108" s="18"/>
      <c r="M108" s="18"/>
      <c r="P108" s="18"/>
      <c r="Q108" s="18"/>
      <c r="R108" s="43"/>
      <c r="S108" s="18"/>
      <c r="T108" s="18"/>
      <c r="U108" s="18"/>
      <c r="V108" s="43"/>
      <c r="W108" s="18"/>
      <c r="X108" s="18"/>
    </row>
    <row r="109" spans="1:26" x14ac:dyDescent="0.25">
      <c r="D109" s="18"/>
      <c r="E109" s="18"/>
      <c r="G109" s="18"/>
      <c r="H109" s="18"/>
      <c r="I109" s="18"/>
      <c r="J109" s="43"/>
      <c r="K109" s="18"/>
      <c r="L109" s="18"/>
      <c r="M109" s="18"/>
      <c r="P109" s="18"/>
      <c r="Q109" s="18"/>
      <c r="R109" s="43"/>
      <c r="S109" s="18"/>
      <c r="T109" s="18"/>
      <c r="U109" s="18"/>
      <c r="V109" s="43"/>
      <c r="W109" s="18"/>
      <c r="X109" s="18"/>
    </row>
  </sheetData>
  <pageMargins left="0.25" right="0.25" top="0.75" bottom="0.75" header="0.3" footer="0.3"/>
  <pageSetup scale="55" fitToWidth="2" orientation="landscape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62" t="s">
        <v>23</v>
      </c>
    </row>
    <row r="3" spans="1:26" x14ac:dyDescent="0.25">
      <c r="D3" s="62" t="s">
        <v>236</v>
      </c>
      <c r="E3" s="17"/>
      <c r="F3" s="46"/>
      <c r="G3" s="17"/>
      <c r="H3" s="17"/>
      <c r="I3" s="17"/>
      <c r="J3" s="38"/>
      <c r="K3" s="17"/>
      <c r="L3" s="17"/>
      <c r="M3" s="17"/>
      <c r="N3" s="46"/>
      <c r="O3" s="53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2" t="e">
        <f ca="1">CONCATENATE("Period ",RIGHT(_xll.OneStop.ReportPlayer.OSRFunctions.OSRGet("Period","PeriodId"),2),", ",_xll.OneStop.ReportPlayer.OSRFunctions.OSRGet("Period","Year"))</f>
        <v>#NAME?</v>
      </c>
      <c r="E4" s="17"/>
      <c r="F4" s="46"/>
      <c r="G4" s="17"/>
      <c r="H4" s="17"/>
      <c r="I4" s="17"/>
      <c r="J4" s="38"/>
      <c r="K4" s="17"/>
      <c r="L4" s="17"/>
      <c r="M4" s="17"/>
      <c r="N4" s="46"/>
      <c r="O4" s="53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4"/>
      <c r="D5" s="64" t="e">
        <f ca="1">_xll.OneStop.ReportPlayer.OSRFunctions.OSRGet("Period","PeriodEnd")</f>
        <v>#NAME?</v>
      </c>
      <c r="E5" s="17"/>
      <c r="F5" s="46"/>
      <c r="G5" s="17"/>
      <c r="H5" s="17"/>
      <c r="I5" s="17"/>
      <c r="J5" s="38"/>
      <c r="K5" s="17"/>
      <c r="L5" s="17"/>
      <c r="M5" s="17"/>
      <c r="N5" s="46"/>
      <c r="O5" s="53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4"/>
      <c r="B6" s="48"/>
      <c r="C6" s="48"/>
      <c r="D6" s="24" t="s">
        <v>217</v>
      </c>
      <c r="E6" s="17"/>
      <c r="F6" s="46"/>
      <c r="G6" s="17"/>
      <c r="H6" s="17"/>
      <c r="I6" s="17"/>
      <c r="J6" s="38"/>
      <c r="K6" s="17"/>
      <c r="L6" s="17"/>
      <c r="M6" s="17"/>
      <c r="N6" s="46"/>
      <c r="O6" s="54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9"/>
    </row>
    <row r="8" spans="1:26" x14ac:dyDescent="0.25">
      <c r="B8" s="59"/>
    </row>
    <row r="9" spans="1:26" x14ac:dyDescent="0.25">
      <c r="B9" s="9"/>
      <c r="C9" s="9"/>
      <c r="D9" s="16" t="s">
        <v>291</v>
      </c>
      <c r="E9" s="16"/>
      <c r="F9" s="39"/>
      <c r="G9" s="16"/>
      <c r="H9" s="16"/>
      <c r="I9" s="16"/>
      <c r="J9" s="49"/>
      <c r="K9" s="16"/>
      <c r="L9" s="16"/>
      <c r="M9" s="16"/>
      <c r="N9" s="39"/>
      <c r="P9" s="16" t="s">
        <v>39</v>
      </c>
      <c r="Q9" s="16"/>
      <c r="R9" s="39"/>
      <c r="S9" s="16"/>
      <c r="T9" s="16"/>
      <c r="U9" s="16"/>
      <c r="V9" s="49"/>
      <c r="W9" s="16"/>
      <c r="X9" s="16"/>
      <c r="Y9" s="16"/>
      <c r="Z9" s="39"/>
    </row>
    <row r="10" spans="1:26" x14ac:dyDescent="0.25">
      <c r="A10" s="11"/>
      <c r="B10" s="58"/>
      <c r="C10" s="11"/>
      <c r="D10" s="42" t="s">
        <v>57</v>
      </c>
      <c r="E10" s="36"/>
      <c r="F10" s="30" t="s">
        <v>40</v>
      </c>
      <c r="G10" s="36"/>
      <c r="H10" s="50" t="s">
        <v>237</v>
      </c>
      <c r="I10" s="36"/>
      <c r="J10" s="30" t="s">
        <v>40</v>
      </c>
      <c r="K10" s="11"/>
      <c r="L10" s="42" t="s">
        <v>126</v>
      </c>
      <c r="M10" s="11"/>
      <c r="N10" s="30" t="s">
        <v>257</v>
      </c>
      <c r="O10" s="11"/>
      <c r="P10" s="61" t="s">
        <v>57</v>
      </c>
      <c r="Q10" s="36"/>
      <c r="R10" s="30" t="s">
        <v>40</v>
      </c>
      <c r="S10" s="36"/>
      <c r="T10" s="50" t="s">
        <v>237</v>
      </c>
      <c r="U10" s="36"/>
      <c r="V10" s="30" t="s">
        <v>40</v>
      </c>
      <c r="W10" s="11"/>
      <c r="X10" s="42" t="s">
        <v>126</v>
      </c>
      <c r="Y10" s="11"/>
      <c r="Z10" s="30" t="s">
        <v>257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4" customFormat="1" collapsed="1" x14ac:dyDescent="0.25">
      <c r="A12" s="11"/>
      <c r="B12" s="29" t="s">
        <v>139</v>
      </c>
      <c r="C12" s="11"/>
      <c r="D12" s="4" t="e">
        <f ca="1">SUM(_xll.OneStop.ReportPlayer.OSRFunctions.OSRRef(D13))</f>
        <v>#NAME?</v>
      </c>
      <c r="E12" s="4"/>
      <c r="F12" s="13"/>
      <c r="G12" s="4"/>
      <c r="H12" s="4" t="e">
        <f ca="1">SUM(_xll.OneStop.ReportPlayer.OSRFunctions.OSRRef(H13))</f>
        <v>#NAME?</v>
      </c>
      <c r="I12" s="4"/>
      <c r="J12" s="13"/>
      <c r="K12" s="4"/>
      <c r="L12" s="4" t="e">
        <f t="shared" ref="L12:L13" ca="1" si="0">+D12-H12</f>
        <v>#NAME?</v>
      </c>
      <c r="M12" s="4"/>
      <c r="N12" s="13" t="e">
        <f t="shared" ref="N12:N13" ca="1" si="1">IF(H12=0,0,L12/H12)</f>
        <v>#NAME?</v>
      </c>
      <c r="O12" s="11"/>
      <c r="P12" s="4" t="e">
        <f ca="1">SUM(_xll.OneStop.ReportPlayer.OSRFunctions.OSRRef(P13))</f>
        <v>#NAME?</v>
      </c>
      <c r="Q12" s="4"/>
      <c r="R12" s="13"/>
      <c r="S12" s="4"/>
      <c r="T12" s="4" t="e">
        <f ca="1">SUM(_xll.OneStop.ReportPlayer.OSRFunctions.OSRRef(T13))</f>
        <v>#NAME?</v>
      </c>
      <c r="U12" s="4"/>
      <c r="V12" s="13"/>
      <c r="W12" s="4"/>
      <c r="X12" s="4" t="e">
        <f t="shared" ref="X12:X13" ca="1" si="2">+P12-T12</f>
        <v>#NAME?</v>
      </c>
      <c r="Y12" s="4"/>
      <c r="Z12" s="13" t="e">
        <f t="shared" ref="Z12:Z13" ca="1" si="3">IF(T12=0,0,X12/T12)</f>
        <v>#NAME?</v>
      </c>
    </row>
    <row r="13" spans="1:26" s="23" customFormat="1" hidden="1" outlineLevel="1" x14ac:dyDescent="0.25">
      <c r="A13" s="44"/>
      <c r="B13" s="10" t="e">
        <f ca="1">CONCATENATE("          ", _xll.OneStop.ReportPlayer.OSRFunctions.OSRGet("d_Account","Code"), " - ", _xll.OneStop.ReportPlayer.OSRFunctions.OSRGet("d_Account","Description"))</f>
        <v>#NAME?</v>
      </c>
      <c r="C13" s="10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0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1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4" customFormat="1" collapsed="1" x14ac:dyDescent="0.25">
      <c r="A15" s="11"/>
      <c r="B15" s="29" t="s">
        <v>256</v>
      </c>
      <c r="C15" s="11"/>
      <c r="D15" s="4" t="e">
        <f ca="1">SUM(_xll.OneStop.ReportPlayer.OSRFunctions.OSRRef(D16))</f>
        <v>#NAME?</v>
      </c>
      <c r="E15" s="4"/>
      <c r="F15" s="13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3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3" t="e">
        <f t="shared" ref="N15:N16" ca="1" si="7">IF(H15=0,0,L15/H15)</f>
        <v>#NAME?</v>
      </c>
      <c r="O15" s="11"/>
      <c r="P15" s="4" t="e">
        <f ca="1">SUM(_xll.OneStop.ReportPlayer.OSRFunctions.OSRRef(P16))</f>
        <v>#NAME?</v>
      </c>
      <c r="Q15" s="4"/>
      <c r="R15" s="13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3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3" t="e">
        <f t="shared" ref="Z15:Z16" ca="1" si="11">IF(T15=0,0,X15/T15)</f>
        <v>#NAME?</v>
      </c>
    </row>
    <row r="16" spans="1:26" s="23" customFormat="1" hidden="1" outlineLevel="1" x14ac:dyDescent="0.25">
      <c r="A16" s="44"/>
      <c r="B16" s="10" t="e">
        <f ca="1">CONCATENATE("          ", _xll.OneStop.ReportPlayer.OSRFunctions.OSRGet("d_Account","Code"), " - ", _xll.OneStop.ReportPlayer.OSRFunctions.OSRGet("d_Account","Description"))</f>
        <v>#NAME?</v>
      </c>
      <c r="C16" s="10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0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1"/>
      <c r="C17" s="11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1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4" customFormat="1" x14ac:dyDescent="0.25">
      <c r="A18" s="11"/>
      <c r="B18" s="28" t="s">
        <v>107</v>
      </c>
      <c r="C18" s="28"/>
      <c r="D18" s="21" t="e">
        <f ca="1">D12-D15</f>
        <v>#NAME?</v>
      </c>
      <c r="E18" s="14"/>
      <c r="F18" s="22" t="e">
        <f ca="1">IF(D$12=0,0,D18/D$12)</f>
        <v>#NAME?</v>
      </c>
      <c r="G18" s="14"/>
      <c r="H18" s="21" t="e">
        <f ca="1">H12-H15</f>
        <v>#NAME?</v>
      </c>
      <c r="I18" s="14"/>
      <c r="J18" s="22" t="e">
        <f ca="1">IF(H$12=0,0,H18/H$12)</f>
        <v>#NAME?</v>
      </c>
      <c r="K18" s="15"/>
      <c r="L18" s="21" t="e">
        <f ca="1">+D18-H18</f>
        <v>#NAME?</v>
      </c>
      <c r="M18" s="15"/>
      <c r="N18" s="22" t="e">
        <f ca="1">IF(H18=0,0,L18/H18)</f>
        <v>#NAME?</v>
      </c>
      <c r="O18" s="29"/>
      <c r="P18" s="21" t="e">
        <f ca="1">P12-P15</f>
        <v>#NAME?</v>
      </c>
      <c r="Q18" s="14"/>
      <c r="R18" s="22" t="e">
        <f ca="1">IF(P$12=0,0,P18/P$12)</f>
        <v>#NAME?</v>
      </c>
      <c r="S18" s="14"/>
      <c r="T18" s="21" t="e">
        <f ca="1">T12-T15</f>
        <v>#NAME?</v>
      </c>
      <c r="U18" s="14"/>
      <c r="V18" s="22" t="e">
        <f ca="1">IF(T$12=0,0,T18/T$12)</f>
        <v>#NAME?</v>
      </c>
      <c r="W18" s="15"/>
      <c r="X18" s="21" t="e">
        <f ca="1">+P18-T18</f>
        <v>#NAME?</v>
      </c>
      <c r="Y18" s="15"/>
      <c r="Z18" s="22" t="e">
        <f ca="1">IF(T18=0,0,X18/T18)</f>
        <v>#NAME?</v>
      </c>
    </row>
    <row r="19" spans="1:26" x14ac:dyDescent="0.25">
      <c r="A19" s="9"/>
      <c r="B19" s="11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4" customFormat="1" x14ac:dyDescent="0.25">
      <c r="A20" s="11"/>
      <c r="B20" s="29" t="s">
        <v>294</v>
      </c>
      <c r="C20" s="11"/>
      <c r="D20" s="20" t="e">
        <f ca="1">SUM(_xll.OneStop.ReportPlayer.OSRFunctions.OSRRef(D22))</f>
        <v>#NAME?</v>
      </c>
      <c r="E20" s="20"/>
      <c r="F20" s="32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2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2" t="e">
        <f t="shared" ref="N20:N22" ca="1" si="15">IF(H20=0,0,L20/H20)</f>
        <v>#NAME?</v>
      </c>
      <c r="O20" s="11"/>
      <c r="P20" s="20" t="e">
        <f ca="1">SUM(_xll.OneStop.ReportPlayer.OSRFunctions.OSRRef(P22))</f>
        <v>#NAME?</v>
      </c>
      <c r="Q20" s="20"/>
      <c r="R20" s="32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2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2" t="e">
        <f t="shared" ref="Z20:Z22" ca="1" si="19">IF(T20=0,0,X20/T20)</f>
        <v>#NAME?</v>
      </c>
    </row>
    <row r="21" spans="1:26" s="27" customFormat="1" outlineLevel="1" collapsed="1" x14ac:dyDescent="0.25">
      <c r="A21" s="26"/>
      <c r="B21" s="12" t="e">
        <f ca="1">CONCATENATE("     ",_xll.OneStop.ReportPlayer.OSRFunctions.OSRGet("d_Account","AccountCategory"))</f>
        <v>#NAME?</v>
      </c>
      <c r="C21" s="12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2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3" customFormat="1" hidden="1" outlineLevel="2" x14ac:dyDescent="0.25">
      <c r="A22" s="25"/>
      <c r="B22" s="10" t="e">
        <f ca="1">CONCATENATE("          ", _xll.OneStop.ReportPlayer.OSRFunctions.OSRGet("d_Account","Code"), " - ", _xll.OneStop.ReportPlayer.OSRFunctions.OSRGet("d_Account","Description"))</f>
        <v>#NAME?</v>
      </c>
      <c r="C22" s="10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0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2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4" customFormat="1" collapsed="1" x14ac:dyDescent="0.25">
      <c r="A24" s="11"/>
      <c r="B24" s="29" t="s">
        <v>292</v>
      </c>
      <c r="C24" s="11"/>
      <c r="D24" s="4" t="e">
        <f ca="1">SUM(_xll.OneStop.ReportPlayer.OSRFunctions.OSRRef(D25))</f>
        <v>#NAME?</v>
      </c>
      <c r="E24" s="4"/>
      <c r="F24" s="13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3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3" t="e">
        <f t="shared" ref="N24:N25" ca="1" si="23">IF(H24=0,0,L24/H24)</f>
        <v>#NAME?</v>
      </c>
      <c r="O24" s="11"/>
      <c r="P24" s="4" t="e">
        <f ca="1">SUM(_xll.OneStop.ReportPlayer.OSRFunctions.OSRRef(P25))</f>
        <v>#NAME?</v>
      </c>
      <c r="Q24" s="4"/>
      <c r="R24" s="13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3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3" t="e">
        <f t="shared" ref="Z24:Z25" ca="1" si="27">IF(T24=0,0,X24/T24)</f>
        <v>#NAME?</v>
      </c>
    </row>
    <row r="25" spans="1:26" s="23" customFormat="1" hidden="1" outlineLevel="1" x14ac:dyDescent="0.25">
      <c r="A25" s="44"/>
      <c r="B25" s="10" t="e">
        <f ca="1">CONCATENATE("          ", _xll.OneStop.ReportPlayer.OSRFunctions.OSRGet("d_Account","Code"), " - ", _xll.OneStop.ReportPlayer.OSRFunctions.OSRGet("d_Account","Description"))</f>
        <v>#NAME?</v>
      </c>
      <c r="C25" s="10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0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1"/>
      <c r="C26" s="11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1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4" customFormat="1" x14ac:dyDescent="0.25">
      <c r="A27" s="11"/>
      <c r="B27" s="28" t="s">
        <v>276</v>
      </c>
      <c r="C27" s="28"/>
      <c r="D27" s="21" t="e">
        <f ca="1">+D18-D20+D24</f>
        <v>#NAME?</v>
      </c>
      <c r="E27" s="14"/>
      <c r="F27" s="22" t="e">
        <f ca="1">IF(D$12=0,0,D27/D$12)</f>
        <v>#NAME?</v>
      </c>
      <c r="G27" s="14"/>
      <c r="H27" s="21" t="e">
        <f ca="1">+H18-H20+H24</f>
        <v>#NAME?</v>
      </c>
      <c r="I27" s="14"/>
      <c r="J27" s="22" t="e">
        <f ca="1">IF(H$12=0,0,H27/H$12)</f>
        <v>#NAME?</v>
      </c>
      <c r="K27" s="15"/>
      <c r="L27" s="21" t="e">
        <f ca="1">+D27-H27</f>
        <v>#NAME?</v>
      </c>
      <c r="M27" s="15"/>
      <c r="N27" s="22" t="e">
        <f ca="1">IF(H27=0,0,L27/H27)</f>
        <v>#NAME?</v>
      </c>
      <c r="O27" s="29"/>
      <c r="P27" s="21" t="e">
        <f ca="1">+P18-P20+P24</f>
        <v>#NAME?</v>
      </c>
      <c r="Q27" s="14"/>
      <c r="R27" s="22" t="e">
        <f ca="1">IF(P$12=0,0,P27/P$12)</f>
        <v>#NAME?</v>
      </c>
      <c r="S27" s="14"/>
      <c r="T27" s="21" t="e">
        <f ca="1">+T18-T20+T24</f>
        <v>#NAME?</v>
      </c>
      <c r="U27" s="14"/>
      <c r="V27" s="22" t="e">
        <f ca="1">IF(T$12=0,0,T27/T$12)</f>
        <v>#NAME?</v>
      </c>
      <c r="W27" s="15"/>
      <c r="X27" s="21" t="e">
        <f ca="1">+P27-T27</f>
        <v>#NAME?</v>
      </c>
      <c r="Y27" s="15"/>
      <c r="Z27" s="22" t="e">
        <f ca="1">IF(T27=0,0,X27/T27)</f>
        <v>#NAME?</v>
      </c>
    </row>
    <row r="28" spans="1:26" x14ac:dyDescent="0.25">
      <c r="A28" s="9"/>
      <c r="B28" s="11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4" customFormat="1" x14ac:dyDescent="0.25">
      <c r="A29" s="51"/>
      <c r="B29" s="11" t="s">
        <v>127</v>
      </c>
      <c r="C29" s="11"/>
      <c r="D29" s="4" t="e">
        <f ca="1">_xll.OneStop.ReportPlayer.OSRFunctions.OSRGet("GL_F_Trans","Value1")</f>
        <v>#NAME?</v>
      </c>
      <c r="E29" s="4"/>
      <c r="F29" s="13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3" t="e">
        <f ca="1">IF(H$12=0,0,H29/H$12)</f>
        <v>#NAME?</v>
      </c>
      <c r="K29" s="4"/>
      <c r="L29" s="4" t="e">
        <f ca="1">+D29-H29</f>
        <v>#NAME?</v>
      </c>
      <c r="M29" s="4"/>
      <c r="N29" s="13" t="e">
        <f ca="1">IF(H29=0,0,L29/H29)</f>
        <v>#NAME?</v>
      </c>
      <c r="O29" s="11"/>
      <c r="P29" s="4" t="e">
        <f ca="1">_xll.OneStop.ReportPlayer.OSRFunctions.OSRGet("GL_F_Trans","Value1")</f>
        <v>#NAME?</v>
      </c>
      <c r="Q29" s="4"/>
      <c r="R29" s="13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3" t="e">
        <f ca="1">IF(T$12=0,0,T29/T$12)</f>
        <v>#NAME?</v>
      </c>
      <c r="W29" s="4"/>
      <c r="X29" s="4" t="e">
        <f ca="1">+P29-T29</f>
        <v>#NAME?</v>
      </c>
      <c r="Y29" s="4"/>
      <c r="Z29" s="13" t="e">
        <f ca="1">IF(T29=0,0,X29/T29)</f>
        <v>#NAME?</v>
      </c>
    </row>
    <row r="30" spans="1:26" x14ac:dyDescent="0.25">
      <c r="A30" s="9"/>
      <c r="B30" s="11"/>
      <c r="C30" s="11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1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4" customFormat="1" ht="15.75" thickBot="1" x14ac:dyDescent="0.3">
      <c r="A31" s="11"/>
      <c r="B31" s="28" t="s">
        <v>125</v>
      </c>
      <c r="C31" s="28"/>
      <c r="D31" s="34" t="e">
        <f ca="1">+D27-D29</f>
        <v>#NAME?</v>
      </c>
      <c r="E31" s="14"/>
      <c r="F31" s="31" t="e">
        <f ca="1">IF(D$12=0,0,D31/D$12)</f>
        <v>#NAME?</v>
      </c>
      <c r="G31" s="14"/>
      <c r="H31" s="34" t="e">
        <f ca="1">+H27-H29</f>
        <v>#NAME?</v>
      </c>
      <c r="I31" s="14"/>
      <c r="J31" s="31" t="e">
        <f ca="1">IF(H$12=0,0,H31/H$12)</f>
        <v>#NAME?</v>
      </c>
      <c r="K31" s="15"/>
      <c r="L31" s="34" t="e">
        <f ca="1">D31-H31</f>
        <v>#NAME?</v>
      </c>
      <c r="M31" s="15"/>
      <c r="N31" s="31" t="e">
        <f ca="1">IF(H31=0,0,L31/H31)</f>
        <v>#NAME?</v>
      </c>
      <c r="O31" s="29"/>
      <c r="P31" s="34" t="e">
        <f ca="1">+P27-P29</f>
        <v>#NAME?</v>
      </c>
      <c r="Q31" s="14"/>
      <c r="R31" s="31" t="e">
        <f ca="1">IF(P$12=0,0,P31/P$12)</f>
        <v>#NAME?</v>
      </c>
      <c r="S31" s="14"/>
      <c r="T31" s="34" t="e">
        <f ca="1">+T27-T29</f>
        <v>#NAME?</v>
      </c>
      <c r="U31" s="14"/>
      <c r="V31" s="31" t="e">
        <f ca="1">IF(T$12=0,0,T31/T$12)</f>
        <v>#NAME?</v>
      </c>
      <c r="W31" s="15"/>
      <c r="X31" s="34" t="e">
        <f ca="1">P31-T31</f>
        <v>#NAME?</v>
      </c>
      <c r="Y31" s="15"/>
      <c r="Z31" s="31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4" customFormat="1" x14ac:dyDescent="0.25">
      <c r="A33" s="51"/>
      <c r="B33" s="11" t="s">
        <v>183</v>
      </c>
      <c r="C33" s="11"/>
      <c r="D33" s="4" t="e">
        <f ca="1">-_xll.OneStop.ReportPlayer.OSRFunctions.OSRGet("GL_F_Trans","Value1")</f>
        <v>#NAME?</v>
      </c>
      <c r="E33" s="4"/>
      <c r="F33" s="13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3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3" t="e">
        <f t="shared" ref="N33:N34" ca="1" si="31">IF(H33=0,0,L33/H33)</f>
        <v>#NAME?</v>
      </c>
      <c r="O33" s="11"/>
      <c r="P33" s="4" t="e">
        <f ca="1">-_xll.OneStop.ReportPlayer.OSRFunctions.OSRGet("GL_F_Trans","Value1")</f>
        <v>#NAME?</v>
      </c>
      <c r="Q33" s="4"/>
      <c r="R33" s="13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3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3" t="e">
        <f t="shared" ref="Z33:Z34" ca="1" si="35">IF(T33=0,0,X33/T33)</f>
        <v>#NAME?</v>
      </c>
    </row>
    <row r="34" spans="1:26" s="24" customFormat="1" x14ac:dyDescent="0.25">
      <c r="A34" s="51"/>
      <c r="B34" s="11" t="s">
        <v>81</v>
      </c>
      <c r="C34" s="11"/>
      <c r="D34" s="4" t="e">
        <f ca="1">-_xll.OneStop.ReportPlayer.OSRFunctions.OSRGet("GL_F_Trans","Value1")</f>
        <v>#NAME?</v>
      </c>
      <c r="E34" s="4"/>
      <c r="F34" s="13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3" t="e">
        <f t="shared" ca="1" si="29"/>
        <v>#NAME?</v>
      </c>
      <c r="K34" s="4"/>
      <c r="L34" s="4" t="e">
        <f t="shared" ca="1" si="30"/>
        <v>#NAME?</v>
      </c>
      <c r="M34" s="4"/>
      <c r="N34" s="13" t="e">
        <f t="shared" ca="1" si="31"/>
        <v>#NAME?</v>
      </c>
      <c r="O34" s="11"/>
      <c r="P34" s="4" t="e">
        <f ca="1">-_xll.OneStop.ReportPlayer.OSRFunctions.OSRGet("GL_F_Trans","Value1")</f>
        <v>#NAME?</v>
      </c>
      <c r="Q34" s="4"/>
      <c r="R34" s="13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3" t="e">
        <f t="shared" ca="1" si="33"/>
        <v>#NAME?</v>
      </c>
      <c r="W34" s="4"/>
      <c r="X34" s="4" t="e">
        <f t="shared" ca="1" si="34"/>
        <v>#NAME?</v>
      </c>
      <c r="Y34" s="4"/>
      <c r="Z34" s="13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4" customFormat="1" ht="15.75" thickBot="1" x14ac:dyDescent="0.3">
      <c r="A36" s="11"/>
      <c r="B36" s="28" t="s">
        <v>293</v>
      </c>
      <c r="C36" s="28"/>
      <c r="D36" s="33" t="e">
        <f ca="1">SUM(D31:D35)</f>
        <v>#NAME?</v>
      </c>
      <c r="E36" s="14"/>
      <c r="F36" s="35" t="e">
        <f ca="1">IF(D$12=0,0,D36/D$12)</f>
        <v>#NAME?</v>
      </c>
      <c r="G36" s="14"/>
      <c r="H36" s="33" t="e">
        <f ca="1">SUM(H31:H35)</f>
        <v>#NAME?</v>
      </c>
      <c r="I36" s="14"/>
      <c r="J36" s="35" t="e">
        <f ca="1">IF(H$12=0,0,H36/H$12)</f>
        <v>#NAME?</v>
      </c>
      <c r="K36" s="15"/>
      <c r="L36" s="33" t="e">
        <f ca="1">+D36-H36</f>
        <v>#NAME?</v>
      </c>
      <c r="M36" s="15"/>
      <c r="N36" s="35" t="e">
        <f ca="1">IF(H36=0,0,L36/H36)</f>
        <v>#NAME?</v>
      </c>
      <c r="O36" s="29"/>
      <c r="P36" s="33" t="e">
        <f ca="1">SUM(P31:P35)</f>
        <v>#NAME?</v>
      </c>
      <c r="Q36" s="14"/>
      <c r="R36" s="35" t="e">
        <f ca="1">IF(P$12=0,0,P36/P$12)</f>
        <v>#NAME?</v>
      </c>
      <c r="S36" s="14"/>
      <c r="T36" s="33" t="e">
        <f ca="1">SUM(T31:T35)</f>
        <v>#NAME?</v>
      </c>
      <c r="U36" s="14"/>
      <c r="V36" s="35" t="e">
        <f ca="1">IF(T$12=0,0,T36/T$12)</f>
        <v>#NAME?</v>
      </c>
      <c r="W36" s="15"/>
      <c r="X36" s="33" t="e">
        <f ca="1">+P36-T36</f>
        <v>#NAME?</v>
      </c>
      <c r="Y36" s="15"/>
      <c r="Z36" s="35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56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55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60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>
    <tabColor rgb="FF92D050"/>
    <outlinePr summaryBelow="0" summaryRight="0"/>
  </sheetPr>
  <dimension ref="A2:Z87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62" t="s">
        <v>23</v>
      </c>
    </row>
    <row r="3" spans="1:26" x14ac:dyDescent="0.25">
      <c r="D3" s="62" t="s">
        <v>236</v>
      </c>
      <c r="E3" s="17"/>
      <c r="F3" s="46"/>
      <c r="G3" s="17"/>
      <c r="H3" s="17"/>
      <c r="I3" s="17"/>
      <c r="J3" s="38"/>
      <c r="K3" s="17"/>
      <c r="L3" s="17"/>
      <c r="M3" s="17"/>
      <c r="N3" s="46"/>
      <c r="O3" s="53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2" t="str">
        <f>CONCATENATE("Period ",RIGHT(202112,2),", ",2021)</f>
        <v>Period 12, 2021</v>
      </c>
      <c r="E4" s="17"/>
      <c r="F4" s="46"/>
      <c r="G4" s="17"/>
      <c r="H4" s="17"/>
      <c r="I4" s="17"/>
      <c r="J4" s="38"/>
      <c r="K4" s="17"/>
      <c r="L4" s="17"/>
      <c r="M4" s="17"/>
      <c r="N4" s="46"/>
      <c r="O4" s="53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4"/>
      <c r="D5" s="63">
        <v>44377</v>
      </c>
      <c r="E5" s="17"/>
      <c r="F5" s="46"/>
      <c r="G5" s="17"/>
      <c r="H5" s="17"/>
      <c r="I5" s="17"/>
      <c r="J5" s="38"/>
      <c r="K5" s="17"/>
      <c r="L5" s="17"/>
      <c r="M5" s="17"/>
      <c r="N5" s="46"/>
      <c r="O5" s="53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4"/>
      <c r="B6" s="48"/>
      <c r="C6" s="48"/>
      <c r="D6" s="24" t="str">
        <f>CONCATENATE("Department ","412", " - ", "Chartroom")</f>
        <v>Department 412 - Chartroom</v>
      </c>
      <c r="E6" s="17"/>
      <c r="F6" s="46"/>
      <c r="G6" s="17"/>
      <c r="H6" s="17"/>
      <c r="I6" s="17"/>
      <c r="J6" s="38"/>
      <c r="K6" s="17"/>
      <c r="L6" s="17"/>
      <c r="M6" s="17"/>
      <c r="N6" s="46"/>
      <c r="O6" s="54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9"/>
    </row>
    <row r="8" spans="1:26" x14ac:dyDescent="0.25">
      <c r="B8" s="59"/>
    </row>
    <row r="9" spans="1:26" x14ac:dyDescent="0.25">
      <c r="B9" s="9"/>
      <c r="C9" s="9"/>
      <c r="D9" s="16" t="s">
        <v>291</v>
      </c>
      <c r="E9" s="16"/>
      <c r="F9" s="39"/>
      <c r="G9" s="16"/>
      <c r="H9" s="16"/>
      <c r="I9" s="16"/>
      <c r="J9" s="49"/>
      <c r="K9" s="16"/>
      <c r="L9" s="16"/>
      <c r="M9" s="16"/>
      <c r="N9" s="39"/>
      <c r="P9" s="16" t="s">
        <v>39</v>
      </c>
      <c r="Q9" s="16"/>
      <c r="R9" s="39"/>
      <c r="S9" s="16"/>
      <c r="T9" s="16"/>
      <c r="U9" s="16"/>
      <c r="V9" s="49"/>
      <c r="W9" s="16"/>
      <c r="X9" s="16"/>
      <c r="Y9" s="16"/>
      <c r="Z9" s="39"/>
    </row>
    <row r="10" spans="1:26" x14ac:dyDescent="0.25">
      <c r="A10" s="11"/>
      <c r="B10" s="58"/>
      <c r="C10" s="11"/>
      <c r="D10" s="42" t="s">
        <v>57</v>
      </c>
      <c r="E10" s="36"/>
      <c r="F10" s="30" t="s">
        <v>40</v>
      </c>
      <c r="G10" s="36"/>
      <c r="H10" s="50" t="s">
        <v>237</v>
      </c>
      <c r="I10" s="36"/>
      <c r="J10" s="30" t="s">
        <v>40</v>
      </c>
      <c r="K10" s="11"/>
      <c r="L10" s="42" t="s">
        <v>126</v>
      </c>
      <c r="M10" s="11"/>
      <c r="N10" s="30" t="s">
        <v>257</v>
      </c>
      <c r="O10" s="11"/>
      <c r="P10" s="61" t="s">
        <v>57</v>
      </c>
      <c r="Q10" s="36"/>
      <c r="R10" s="30" t="s">
        <v>40</v>
      </c>
      <c r="S10" s="36"/>
      <c r="T10" s="50" t="s">
        <v>237</v>
      </c>
      <c r="U10" s="36"/>
      <c r="V10" s="30" t="s">
        <v>40</v>
      </c>
      <c r="W10" s="11"/>
      <c r="X10" s="42" t="s">
        <v>126</v>
      </c>
      <c r="Y10" s="11"/>
      <c r="Z10" s="30" t="s">
        <v>257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4" customFormat="1" collapsed="1" x14ac:dyDescent="0.25">
      <c r="A12" s="11"/>
      <c r="B12" s="29" t="s">
        <v>139</v>
      </c>
      <c r="C12" s="11"/>
      <c r="D12" s="4">
        <f>SUM(OSRRefD13x_0)</f>
        <v>0</v>
      </c>
      <c r="E12" s="4"/>
      <c r="F12" s="13"/>
      <c r="G12" s="4"/>
      <c r="H12" s="4">
        <f>SUM(OSRRefH13x_0)</f>
        <v>0</v>
      </c>
      <c r="I12" s="4"/>
      <c r="J12" s="13"/>
      <c r="K12" s="4"/>
      <c r="L12" s="4">
        <f t="shared" ref="L12:L14" si="0">+D12-H12</f>
        <v>0</v>
      </c>
      <c r="M12" s="4"/>
      <c r="N12" s="13">
        <f t="shared" ref="N12:N14" si="1">IF(H12=0,0,L12/H12)</f>
        <v>0</v>
      </c>
      <c r="O12" s="11"/>
      <c r="P12" s="4">
        <f>SUM(OSRRefP13x_0)</f>
        <v>0</v>
      </c>
      <c r="Q12" s="4"/>
      <c r="R12" s="13"/>
      <c r="S12" s="4"/>
      <c r="T12" s="4">
        <f>SUM(OSRRefT13x_0)</f>
        <v>379973.86</v>
      </c>
      <c r="U12" s="4"/>
      <c r="V12" s="13"/>
      <c r="W12" s="4"/>
      <c r="X12" s="4">
        <f t="shared" ref="X12:X14" si="2">+P12-T12</f>
        <v>-379973.86</v>
      </c>
      <c r="Y12" s="4"/>
      <c r="Z12" s="13">
        <f t="shared" ref="Z12:Z14" si="3">IF(T12=0,0,X12/T12)</f>
        <v>-1</v>
      </c>
    </row>
    <row r="13" spans="1:26" s="23" customFormat="1" hidden="1" outlineLevel="1" x14ac:dyDescent="0.25">
      <c r="A13" s="44"/>
      <c r="B13" s="10" t="str">
        <f>CONCATENATE("          ", "4052", " - ", "TAXABLE SALES-FOOD")</f>
        <v xml:space="preserve">          4052 - TAXABLE SALES-FOOD</v>
      </c>
      <c r="C13" s="10"/>
      <c r="D13" s="2">
        <f t="shared" ref="D13:D14" si="4">0</f>
        <v>0</v>
      </c>
      <c r="E13" s="2"/>
      <c r="F13" s="19"/>
      <c r="G13" s="2"/>
      <c r="H13" s="2">
        <f t="shared" ref="H13:H14" si="5">0</f>
        <v>0</v>
      </c>
      <c r="I13" s="2"/>
      <c r="J13" s="19"/>
      <c r="K13" s="2"/>
      <c r="L13" s="2">
        <f t="shared" si="0"/>
        <v>0</v>
      </c>
      <c r="M13" s="2"/>
      <c r="N13" s="19">
        <f t="shared" si="1"/>
        <v>0</v>
      </c>
      <c r="O13" s="10"/>
      <c r="P13" s="2">
        <f t="shared" ref="P13:P14" si="6">0</f>
        <v>0</v>
      </c>
      <c r="Q13" s="2"/>
      <c r="R13" s="19"/>
      <c r="S13" s="2"/>
      <c r="T13" s="2">
        <f>--329896.47</f>
        <v>329896.46999999997</v>
      </c>
      <c r="U13" s="2"/>
      <c r="V13" s="19"/>
      <c r="W13" s="2"/>
      <c r="X13" s="2">
        <f t="shared" si="2"/>
        <v>-329896.46999999997</v>
      </c>
      <c r="Y13" s="2"/>
      <c r="Z13" s="19">
        <f t="shared" si="3"/>
        <v>-1</v>
      </c>
    </row>
    <row r="14" spans="1:26" s="23" customFormat="1" hidden="1" outlineLevel="1" x14ac:dyDescent="0.25">
      <c r="A14" s="44"/>
      <c r="B14" s="10" t="str">
        <f>CONCATENATE("          ", "4152", " - ", "NON-TAXABLE SALES-FOOD")</f>
        <v xml:space="preserve">          4152 - NON-TAXABLE SALES-FOOD</v>
      </c>
      <c r="C14" s="10"/>
      <c r="D14" s="2">
        <f t="shared" si="4"/>
        <v>0</v>
      </c>
      <c r="E14" s="2"/>
      <c r="F14" s="19"/>
      <c r="G14" s="2"/>
      <c r="H14" s="2">
        <f t="shared" si="5"/>
        <v>0</v>
      </c>
      <c r="I14" s="2"/>
      <c r="J14" s="19"/>
      <c r="K14" s="2"/>
      <c r="L14" s="2">
        <f t="shared" si="0"/>
        <v>0</v>
      </c>
      <c r="M14" s="2"/>
      <c r="N14" s="19">
        <f t="shared" si="1"/>
        <v>0</v>
      </c>
      <c r="O14" s="10"/>
      <c r="P14" s="2">
        <f t="shared" si="6"/>
        <v>0</v>
      </c>
      <c r="Q14" s="2"/>
      <c r="R14" s="19"/>
      <c r="S14" s="2"/>
      <c r="T14" s="2">
        <f>--50077.39</f>
        <v>50077.39</v>
      </c>
      <c r="U14" s="2"/>
      <c r="V14" s="19"/>
      <c r="W14" s="2"/>
      <c r="X14" s="2">
        <f t="shared" si="2"/>
        <v>-50077.39</v>
      </c>
      <c r="Y14" s="2"/>
      <c r="Z14" s="19">
        <f t="shared" si="3"/>
        <v>-1</v>
      </c>
    </row>
    <row r="15" spans="1:26" x14ac:dyDescent="0.25">
      <c r="A15" s="9"/>
      <c r="B15" s="11"/>
      <c r="C15" s="9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4" customFormat="1" collapsed="1" x14ac:dyDescent="0.25">
      <c r="A16" s="11"/>
      <c r="B16" s="29" t="s">
        <v>256</v>
      </c>
      <c r="C16" s="11"/>
      <c r="D16" s="4">
        <f>SUM(OSRRefD16x_0)</f>
        <v>0</v>
      </c>
      <c r="E16" s="4"/>
      <c r="F16" s="13">
        <f t="shared" ref="F16:F18" si="7">IF(D$12=0,0,D16/D$12)</f>
        <v>0</v>
      </c>
      <c r="G16" s="4"/>
      <c r="H16" s="4">
        <f>SUM(OSRRefH16x_0)</f>
        <v>1754</v>
      </c>
      <c r="I16" s="4"/>
      <c r="J16" s="13">
        <f t="shared" ref="J16:J18" si="8">IF(H$12=0,0,H16/H$12)</f>
        <v>0</v>
      </c>
      <c r="K16" s="4"/>
      <c r="L16" s="4">
        <f t="shared" ref="L16:L18" si="9">+D16-H16</f>
        <v>-1754</v>
      </c>
      <c r="M16" s="4"/>
      <c r="N16" s="13">
        <f t="shared" ref="N16:N18" si="10">IF(H16=0,0,L16/H16)</f>
        <v>-1</v>
      </c>
      <c r="O16" s="11"/>
      <c r="P16" s="4">
        <f>SUM(OSRRefP16x_0)</f>
        <v>0</v>
      </c>
      <c r="Q16" s="4"/>
      <c r="R16" s="13">
        <f t="shared" ref="R16:R18" si="11">IF(P$12=0,0,P16/P$12)</f>
        <v>0</v>
      </c>
      <c r="S16" s="4"/>
      <c r="T16" s="4">
        <f>SUM(OSRRefT16x_0)</f>
        <v>204085.49</v>
      </c>
      <c r="U16" s="4"/>
      <c r="V16" s="13">
        <f t="shared" ref="V16:V18" si="12">IF(T$12=0,0,T16/T$12)</f>
        <v>0.53710402605063412</v>
      </c>
      <c r="W16" s="4"/>
      <c r="X16" s="4">
        <f t="shared" ref="X16:X18" si="13">+P16-T16</f>
        <v>-204085.49</v>
      </c>
      <c r="Y16" s="4"/>
      <c r="Z16" s="13">
        <f t="shared" ref="Z16:Z18" si="14">IF(T16=0,0,X16/T16)</f>
        <v>-1</v>
      </c>
    </row>
    <row r="17" spans="1:26" s="23" customFormat="1" hidden="1" outlineLevel="1" x14ac:dyDescent="0.25">
      <c r="A17" s="44"/>
      <c r="B17" s="10" t="str">
        <f>CONCATENATE("          ", "5053", " - ", "PURCHASES @ COST-FOOD")</f>
        <v xml:space="preserve">          5053 - PURCHASES @ COST-FOOD</v>
      </c>
      <c r="C17" s="10"/>
      <c r="D17" s="2"/>
      <c r="E17" s="2"/>
      <c r="F17" s="19">
        <f t="shared" si="7"/>
        <v>0</v>
      </c>
      <c r="G17" s="2"/>
      <c r="H17" s="2">
        <v>1754</v>
      </c>
      <c r="I17" s="2"/>
      <c r="J17" s="19">
        <f t="shared" si="8"/>
        <v>0</v>
      </c>
      <c r="K17" s="2"/>
      <c r="L17" s="2">
        <f t="shared" si="9"/>
        <v>-1754</v>
      </c>
      <c r="M17" s="2"/>
      <c r="N17" s="19">
        <f t="shared" si="10"/>
        <v>-1</v>
      </c>
      <c r="O17" s="10"/>
      <c r="P17" s="2"/>
      <c r="Q17" s="2"/>
      <c r="R17" s="19">
        <f t="shared" si="11"/>
        <v>0</v>
      </c>
      <c r="S17" s="2"/>
      <c r="T17" s="2">
        <v>218035.49</v>
      </c>
      <c r="U17" s="2"/>
      <c r="V17" s="19">
        <f t="shared" si="12"/>
        <v>0.57381707783793334</v>
      </c>
      <c r="W17" s="2"/>
      <c r="X17" s="2">
        <f t="shared" si="13"/>
        <v>-218035.49</v>
      </c>
      <c r="Y17" s="2"/>
      <c r="Z17" s="19">
        <f t="shared" si="14"/>
        <v>-1</v>
      </c>
    </row>
    <row r="18" spans="1:26" s="23" customFormat="1" hidden="1" outlineLevel="1" x14ac:dyDescent="0.25">
      <c r="A18" s="44"/>
      <c r="B18" s="10" t="str">
        <f>CONCATENATE("          ", "5059", " - ", "PURCHASES @ COST-FOOD")</f>
        <v xml:space="preserve">          5059 - PURCHASES @ COST-FOOD</v>
      </c>
      <c r="C18" s="10"/>
      <c r="D18" s="2"/>
      <c r="E18" s="2"/>
      <c r="F18" s="19">
        <f t="shared" si="7"/>
        <v>0</v>
      </c>
      <c r="G18" s="2"/>
      <c r="H18" s="2"/>
      <c r="I18" s="2"/>
      <c r="J18" s="19">
        <f t="shared" si="8"/>
        <v>0</v>
      </c>
      <c r="K18" s="2"/>
      <c r="L18" s="2">
        <f t="shared" si="9"/>
        <v>0</v>
      </c>
      <c r="M18" s="2"/>
      <c r="N18" s="19">
        <f t="shared" si="10"/>
        <v>0</v>
      </c>
      <c r="O18" s="10"/>
      <c r="P18" s="2"/>
      <c r="Q18" s="2"/>
      <c r="R18" s="19">
        <f t="shared" si="11"/>
        <v>0</v>
      </c>
      <c r="S18" s="2"/>
      <c r="T18" s="2">
        <v>-13950</v>
      </c>
      <c r="U18" s="2"/>
      <c r="V18" s="19">
        <f t="shared" si="12"/>
        <v>-3.6713051787299264E-2</v>
      </c>
      <c r="W18" s="2"/>
      <c r="X18" s="2">
        <f t="shared" si="13"/>
        <v>13950</v>
      </c>
      <c r="Y18" s="2"/>
      <c r="Z18" s="19">
        <f t="shared" si="14"/>
        <v>-1</v>
      </c>
    </row>
    <row r="19" spans="1:26" x14ac:dyDescent="0.25">
      <c r="A19" s="9"/>
      <c r="B19" s="11"/>
      <c r="C19" s="11"/>
      <c r="D19" s="3"/>
      <c r="E19" s="3"/>
      <c r="F19" s="8"/>
      <c r="G19" s="3"/>
      <c r="H19" s="3"/>
      <c r="I19" s="3"/>
      <c r="J19" s="8"/>
      <c r="K19" s="3"/>
      <c r="L19" s="3"/>
      <c r="M19" s="3"/>
      <c r="N19" s="8"/>
      <c r="O19" s="11"/>
      <c r="P19" s="3"/>
      <c r="Q19" s="3"/>
      <c r="R19" s="8"/>
      <c r="S19" s="3"/>
      <c r="T19" s="3"/>
      <c r="U19" s="3"/>
      <c r="V19" s="8"/>
      <c r="W19" s="3"/>
      <c r="X19" s="3"/>
      <c r="Y19" s="3"/>
      <c r="Z19" s="8"/>
    </row>
    <row r="20" spans="1:26" s="24" customFormat="1" x14ac:dyDescent="0.25">
      <c r="A20" s="11"/>
      <c r="B20" s="28" t="s">
        <v>107</v>
      </c>
      <c r="C20" s="28"/>
      <c r="D20" s="21">
        <f>D12-D16</f>
        <v>0</v>
      </c>
      <c r="E20" s="14"/>
      <c r="F20" s="22">
        <f>IF(D$12=0,0,D20/D$12)</f>
        <v>0</v>
      </c>
      <c r="G20" s="14"/>
      <c r="H20" s="21">
        <f>H12-H16</f>
        <v>-1754</v>
      </c>
      <c r="I20" s="14"/>
      <c r="J20" s="22">
        <f>IF(H$12=0,0,H20/H$12)</f>
        <v>0</v>
      </c>
      <c r="K20" s="15"/>
      <c r="L20" s="21">
        <f>+D20-H20</f>
        <v>1754</v>
      </c>
      <c r="M20" s="15"/>
      <c r="N20" s="22">
        <f>IF(H20=0,0,L20/H20)</f>
        <v>-1</v>
      </c>
      <c r="O20" s="29"/>
      <c r="P20" s="21">
        <f>P12-P16</f>
        <v>0</v>
      </c>
      <c r="Q20" s="14"/>
      <c r="R20" s="22">
        <f>IF(P$12=0,0,P20/P$12)</f>
        <v>0</v>
      </c>
      <c r="S20" s="14"/>
      <c r="T20" s="21">
        <f>T12-T16</f>
        <v>175888.37</v>
      </c>
      <c r="U20" s="14"/>
      <c r="V20" s="22">
        <f>IF(T$12=0,0,T20/T$12)</f>
        <v>0.46289597394936588</v>
      </c>
      <c r="W20" s="15"/>
      <c r="X20" s="21">
        <f>+P20-T20</f>
        <v>-175888.37</v>
      </c>
      <c r="Y20" s="15"/>
      <c r="Z20" s="22">
        <f>IF(T20=0,0,X20/T20)</f>
        <v>-1</v>
      </c>
    </row>
    <row r="21" spans="1:26" x14ac:dyDescent="0.25">
      <c r="A21" s="9"/>
      <c r="B21" s="11"/>
      <c r="C21" s="9"/>
      <c r="D21" s="1"/>
      <c r="E21" s="1"/>
      <c r="F21" s="5"/>
      <c r="G21" s="1"/>
      <c r="H21" s="1"/>
      <c r="I21" s="1"/>
      <c r="J21" s="5"/>
      <c r="K21" s="1"/>
      <c r="L21" s="1"/>
      <c r="M21" s="1"/>
      <c r="N21" s="5"/>
      <c r="O21" s="37"/>
      <c r="P21" s="1"/>
      <c r="Q21" s="1"/>
      <c r="R21" s="5"/>
      <c r="S21" s="1"/>
      <c r="T21" s="1"/>
      <c r="U21" s="1"/>
      <c r="V21" s="5"/>
      <c r="W21" s="1"/>
      <c r="X21" s="1"/>
      <c r="Y21" s="1"/>
      <c r="Z21" s="5"/>
    </row>
    <row r="22" spans="1:26" s="24" customFormat="1" x14ac:dyDescent="0.25">
      <c r="A22" s="11"/>
      <c r="B22" s="29" t="s">
        <v>294</v>
      </c>
      <c r="C22" s="11"/>
      <c r="D22" s="20">
        <f>SUM(OSRRefD22x_0)</f>
        <v>-374.88</v>
      </c>
      <c r="E22" s="20"/>
      <c r="F22" s="32">
        <f t="shared" ref="F22:F31" si="15">IF(D$12=0,0,D22/D$12)</f>
        <v>0</v>
      </c>
      <c r="G22" s="20"/>
      <c r="H22" s="20">
        <f>SUM(OSRRefH22x_0)</f>
        <v>1269.48</v>
      </c>
      <c r="I22" s="20"/>
      <c r="J22" s="32">
        <f t="shared" ref="J22:J31" si="16">IF(H$12=0,0,H22/H$12)</f>
        <v>0</v>
      </c>
      <c r="K22" s="4"/>
      <c r="L22" s="20">
        <f t="shared" ref="L22:L31" si="17">+D22-H22</f>
        <v>-1644.3600000000001</v>
      </c>
      <c r="M22" s="4"/>
      <c r="N22" s="32">
        <f t="shared" ref="N22:N31" si="18">IF(H22=0,0,L22/H22)</f>
        <v>-1.2953020134228188</v>
      </c>
      <c r="O22" s="11"/>
      <c r="P22" s="20">
        <f>SUM(OSRRefP22x_0)</f>
        <v>8802.0500000000011</v>
      </c>
      <c r="Q22" s="20"/>
      <c r="R22" s="32">
        <f t="shared" ref="R22:R31" si="19">IF(P$12=0,0,P22/P$12)</f>
        <v>0</v>
      </c>
      <c r="S22" s="20"/>
      <c r="T22" s="20">
        <f>SUM(OSRRefT22x_0)</f>
        <v>341470.01999999996</v>
      </c>
      <c r="U22" s="20"/>
      <c r="V22" s="32">
        <f t="shared" ref="V22:V31" si="20">IF(T$12=0,0,T22/T$12)</f>
        <v>0.89866713462868197</v>
      </c>
      <c r="W22" s="4"/>
      <c r="X22" s="20">
        <f t="shared" ref="X22:X31" si="21">+P22-T22</f>
        <v>-332667.96999999997</v>
      </c>
      <c r="Y22" s="4"/>
      <c r="Z22" s="32">
        <f t="shared" ref="Z22:Z31" si="22">IF(T22=0,0,X22/T22)</f>
        <v>-0.97422306649350943</v>
      </c>
    </row>
    <row r="23" spans="1:26" s="27" customFormat="1" outlineLevel="1" collapsed="1" x14ac:dyDescent="0.25">
      <c r="A23" s="26"/>
      <c r="B23" s="12" t="str">
        <f>CONCATENATE("     ","*Benefits                                         ")</f>
        <v xml:space="preserve">     *Benefits                                         </v>
      </c>
      <c r="C23" s="12"/>
      <c r="D23" s="1">
        <f>SUM(OSRRefD22_0x_0)</f>
        <v>0</v>
      </c>
      <c r="E23" s="1"/>
      <c r="F23" s="5">
        <f t="shared" si="15"/>
        <v>0</v>
      </c>
      <c r="G23" s="1"/>
      <c r="H23" s="1">
        <f>SUM(OSRRefH22_0x_0)</f>
        <v>-552.04999999999995</v>
      </c>
      <c r="I23" s="1"/>
      <c r="J23" s="5">
        <f t="shared" si="16"/>
        <v>0</v>
      </c>
      <c r="K23" s="1"/>
      <c r="L23" s="1">
        <f t="shared" si="17"/>
        <v>552.04999999999995</v>
      </c>
      <c r="M23" s="1"/>
      <c r="N23" s="5">
        <f t="shared" si="18"/>
        <v>-1</v>
      </c>
      <c r="O23" s="12"/>
      <c r="P23" s="1">
        <f>SUM(OSRRefP22_0x_0)</f>
        <v>0</v>
      </c>
      <c r="Q23" s="1"/>
      <c r="R23" s="5">
        <f t="shared" si="19"/>
        <v>0</v>
      </c>
      <c r="S23" s="1"/>
      <c r="T23" s="1">
        <f>SUM(OSRRefT22_0x_0)</f>
        <v>76946.960000000021</v>
      </c>
      <c r="U23" s="1"/>
      <c r="V23" s="5">
        <f t="shared" si="20"/>
        <v>0.20250593027636171</v>
      </c>
      <c r="W23" s="1"/>
      <c r="X23" s="1">
        <f t="shared" si="21"/>
        <v>-76946.960000000021</v>
      </c>
      <c r="Y23" s="1"/>
      <c r="Z23" s="5">
        <f t="shared" si="22"/>
        <v>-1</v>
      </c>
    </row>
    <row r="24" spans="1:26" s="23" customFormat="1" hidden="1" outlineLevel="2" x14ac:dyDescent="0.25">
      <c r="A24" s="25"/>
      <c r="B24" s="10" t="str">
        <f>CONCATENATE("          ", "6111", " - ", "F.I.C.A.")</f>
        <v xml:space="preserve">          6111 - F.I.C.A.</v>
      </c>
      <c r="C24" s="10"/>
      <c r="D24" s="6"/>
      <c r="E24" s="2"/>
      <c r="F24" s="7">
        <f t="shared" si="15"/>
        <v>0</v>
      </c>
      <c r="G24" s="2"/>
      <c r="H24" s="6"/>
      <c r="I24" s="2"/>
      <c r="J24" s="7">
        <f t="shared" si="16"/>
        <v>0</v>
      </c>
      <c r="K24" s="2"/>
      <c r="L24" s="6">
        <f t="shared" si="17"/>
        <v>0</v>
      </c>
      <c r="M24" s="2"/>
      <c r="N24" s="7">
        <f t="shared" si="18"/>
        <v>0</v>
      </c>
      <c r="O24" s="10"/>
      <c r="P24" s="6"/>
      <c r="Q24" s="2"/>
      <c r="R24" s="7">
        <f t="shared" si="19"/>
        <v>0</v>
      </c>
      <c r="S24" s="2"/>
      <c r="T24" s="6">
        <v>14871.7</v>
      </c>
      <c r="U24" s="2"/>
      <c r="V24" s="7">
        <f t="shared" si="20"/>
        <v>3.9138744965245768E-2</v>
      </c>
      <c r="W24" s="2"/>
      <c r="X24" s="6">
        <f t="shared" si="21"/>
        <v>-14871.7</v>
      </c>
      <c r="Y24" s="2"/>
      <c r="Z24" s="7">
        <f t="shared" si="22"/>
        <v>-1</v>
      </c>
    </row>
    <row r="25" spans="1:26" s="23" customFormat="1" hidden="1" outlineLevel="2" x14ac:dyDescent="0.25">
      <c r="A25" s="25"/>
      <c r="B25" s="10" t="str">
        <f>CONCATENATE("          ", "6112", " - ", "COMPENSATION INSURANCE")</f>
        <v xml:space="preserve">          6112 - COMPENSATION INSURANCE</v>
      </c>
      <c r="C25" s="10"/>
      <c r="D25" s="6"/>
      <c r="E25" s="2"/>
      <c r="F25" s="7">
        <f t="shared" si="15"/>
        <v>0</v>
      </c>
      <c r="G25" s="2"/>
      <c r="H25" s="6"/>
      <c r="I25" s="2"/>
      <c r="J25" s="7">
        <f t="shared" si="16"/>
        <v>0</v>
      </c>
      <c r="K25" s="2"/>
      <c r="L25" s="6">
        <f t="shared" si="17"/>
        <v>0</v>
      </c>
      <c r="M25" s="2"/>
      <c r="N25" s="7">
        <f t="shared" si="18"/>
        <v>0</v>
      </c>
      <c r="O25" s="10"/>
      <c r="P25" s="6"/>
      <c r="Q25" s="2"/>
      <c r="R25" s="7">
        <f t="shared" si="19"/>
        <v>0</v>
      </c>
      <c r="S25" s="2"/>
      <c r="T25" s="6">
        <v>5449.61</v>
      </c>
      <c r="U25" s="2"/>
      <c r="V25" s="7">
        <f t="shared" si="20"/>
        <v>1.4342065530507809E-2</v>
      </c>
      <c r="W25" s="2"/>
      <c r="X25" s="6">
        <f t="shared" si="21"/>
        <v>-5449.61</v>
      </c>
      <c r="Y25" s="2"/>
      <c r="Z25" s="7">
        <f t="shared" si="22"/>
        <v>-1</v>
      </c>
    </row>
    <row r="26" spans="1:26" s="23" customFormat="1" hidden="1" outlineLevel="2" x14ac:dyDescent="0.25">
      <c r="A26" s="25"/>
      <c r="B26" s="10" t="str">
        <f>CONCATENATE("          ", "6113", " - ", "GROUP INSURANCE")</f>
        <v xml:space="preserve">          6113 - GROUP INSURANCE</v>
      </c>
      <c r="C26" s="10"/>
      <c r="D26" s="6"/>
      <c r="E26" s="2"/>
      <c r="F26" s="7">
        <f t="shared" si="15"/>
        <v>0</v>
      </c>
      <c r="G26" s="2"/>
      <c r="H26" s="6"/>
      <c r="I26" s="2"/>
      <c r="J26" s="7">
        <f t="shared" si="16"/>
        <v>0</v>
      </c>
      <c r="K26" s="2"/>
      <c r="L26" s="6">
        <f t="shared" si="17"/>
        <v>0</v>
      </c>
      <c r="M26" s="2"/>
      <c r="N26" s="7">
        <f t="shared" si="18"/>
        <v>0</v>
      </c>
      <c r="O26" s="10"/>
      <c r="P26" s="6"/>
      <c r="Q26" s="2"/>
      <c r="R26" s="7">
        <f t="shared" si="19"/>
        <v>0</v>
      </c>
      <c r="S26" s="2"/>
      <c r="T26" s="6">
        <v>36209.82</v>
      </c>
      <c r="U26" s="2"/>
      <c r="V26" s="7">
        <f t="shared" si="20"/>
        <v>9.5295555331095669E-2</v>
      </c>
      <c r="W26" s="2"/>
      <c r="X26" s="6">
        <f t="shared" si="21"/>
        <v>-36209.82</v>
      </c>
      <c r="Y26" s="2"/>
      <c r="Z26" s="7">
        <f t="shared" si="22"/>
        <v>-1</v>
      </c>
    </row>
    <row r="27" spans="1:26" s="23" customFormat="1" hidden="1" outlineLevel="2" x14ac:dyDescent="0.25">
      <c r="A27" s="25"/>
      <c r="B27" s="10" t="str">
        <f>CONCATENATE("          ", "6114", " - ", "STATE UNEMPLOYMENT INSURANCE")</f>
        <v xml:space="preserve">          6114 - STATE UNEMPLOYMENT INSURANCE</v>
      </c>
      <c r="C27" s="10"/>
      <c r="D27" s="6"/>
      <c r="E27" s="2"/>
      <c r="F27" s="7">
        <f t="shared" si="15"/>
        <v>0</v>
      </c>
      <c r="G27" s="2"/>
      <c r="H27" s="6">
        <v>-552.04999999999995</v>
      </c>
      <c r="I27" s="2"/>
      <c r="J27" s="7">
        <f t="shared" si="16"/>
        <v>0</v>
      </c>
      <c r="K27" s="2"/>
      <c r="L27" s="6">
        <f t="shared" si="17"/>
        <v>552.04999999999995</v>
      </c>
      <c r="M27" s="2"/>
      <c r="N27" s="7">
        <f t="shared" si="18"/>
        <v>-1</v>
      </c>
      <c r="O27" s="10"/>
      <c r="P27" s="6"/>
      <c r="Q27" s="2"/>
      <c r="R27" s="7">
        <f t="shared" si="19"/>
        <v>0</v>
      </c>
      <c r="S27" s="2"/>
      <c r="T27" s="6">
        <v>0</v>
      </c>
      <c r="U27" s="2"/>
      <c r="V27" s="7">
        <f t="shared" si="20"/>
        <v>0</v>
      </c>
      <c r="W27" s="2"/>
      <c r="X27" s="6">
        <f t="shared" si="21"/>
        <v>0</v>
      </c>
      <c r="Y27" s="2"/>
      <c r="Z27" s="7">
        <f t="shared" si="22"/>
        <v>0</v>
      </c>
    </row>
    <row r="28" spans="1:26" s="23" customFormat="1" hidden="1" outlineLevel="2" x14ac:dyDescent="0.25">
      <c r="A28" s="25"/>
      <c r="B28" s="10" t="str">
        <f>CONCATENATE("          ", "6115", " - ", "P.E.R.S.")</f>
        <v xml:space="preserve">          6115 - P.E.R.S.</v>
      </c>
      <c r="C28" s="10"/>
      <c r="D28" s="6"/>
      <c r="E28" s="2"/>
      <c r="F28" s="7">
        <f t="shared" si="15"/>
        <v>0</v>
      </c>
      <c r="G28" s="2"/>
      <c r="H28" s="6"/>
      <c r="I28" s="2"/>
      <c r="J28" s="7">
        <f t="shared" si="16"/>
        <v>0</v>
      </c>
      <c r="K28" s="2"/>
      <c r="L28" s="6">
        <f t="shared" si="17"/>
        <v>0</v>
      </c>
      <c r="M28" s="2"/>
      <c r="N28" s="7">
        <f t="shared" si="18"/>
        <v>0</v>
      </c>
      <c r="O28" s="10"/>
      <c r="P28" s="6"/>
      <c r="Q28" s="2"/>
      <c r="R28" s="7">
        <f t="shared" si="19"/>
        <v>0</v>
      </c>
      <c r="S28" s="2"/>
      <c r="T28" s="6">
        <v>6215.55</v>
      </c>
      <c r="U28" s="2"/>
      <c r="V28" s="7">
        <f t="shared" si="20"/>
        <v>1.6357835773229242E-2</v>
      </c>
      <c r="W28" s="2"/>
      <c r="X28" s="6">
        <f t="shared" si="21"/>
        <v>-6215.55</v>
      </c>
      <c r="Y28" s="2"/>
      <c r="Z28" s="7">
        <f t="shared" si="22"/>
        <v>-1</v>
      </c>
    </row>
    <row r="29" spans="1:26" s="23" customFormat="1" hidden="1" outlineLevel="2" x14ac:dyDescent="0.25">
      <c r="A29" s="25"/>
      <c r="B29" s="10" t="str">
        <f>CONCATENATE("          ", "6118", " - ", "VACATION")</f>
        <v xml:space="preserve">          6118 - VACATION</v>
      </c>
      <c r="C29" s="10"/>
      <c r="D29" s="6"/>
      <c r="E29" s="2"/>
      <c r="F29" s="7">
        <f t="shared" si="15"/>
        <v>0</v>
      </c>
      <c r="G29" s="2"/>
      <c r="H29" s="6"/>
      <c r="I29" s="2"/>
      <c r="J29" s="7">
        <f t="shared" si="16"/>
        <v>0</v>
      </c>
      <c r="K29" s="2"/>
      <c r="L29" s="6">
        <f t="shared" si="17"/>
        <v>0</v>
      </c>
      <c r="M29" s="2"/>
      <c r="N29" s="7">
        <f t="shared" si="18"/>
        <v>0</v>
      </c>
      <c r="O29" s="10"/>
      <c r="P29" s="6"/>
      <c r="Q29" s="2"/>
      <c r="R29" s="7">
        <f t="shared" si="19"/>
        <v>0</v>
      </c>
      <c r="S29" s="2"/>
      <c r="T29" s="6">
        <v>7805.68</v>
      </c>
      <c r="U29" s="2"/>
      <c r="V29" s="7">
        <f t="shared" si="20"/>
        <v>2.0542676277783951E-2</v>
      </c>
      <c r="W29" s="2"/>
      <c r="X29" s="6">
        <f t="shared" si="21"/>
        <v>-7805.68</v>
      </c>
      <c r="Y29" s="2"/>
      <c r="Z29" s="7">
        <f t="shared" si="22"/>
        <v>-1</v>
      </c>
    </row>
    <row r="30" spans="1:26" s="23" customFormat="1" hidden="1" outlineLevel="2" x14ac:dyDescent="0.25">
      <c r="A30" s="25"/>
      <c r="B30" s="10" t="str">
        <f>CONCATENATE("          ", "6119", " - ", "SICK LEAVE")</f>
        <v xml:space="preserve">          6119 - SICK LEAVE</v>
      </c>
      <c r="C30" s="10"/>
      <c r="D30" s="6"/>
      <c r="E30" s="2"/>
      <c r="F30" s="7">
        <f t="shared" si="15"/>
        <v>0</v>
      </c>
      <c r="G30" s="2"/>
      <c r="H30" s="6"/>
      <c r="I30" s="2"/>
      <c r="J30" s="7">
        <f t="shared" si="16"/>
        <v>0</v>
      </c>
      <c r="K30" s="2"/>
      <c r="L30" s="6">
        <f t="shared" si="17"/>
        <v>0</v>
      </c>
      <c r="M30" s="2"/>
      <c r="N30" s="7">
        <f t="shared" si="18"/>
        <v>0</v>
      </c>
      <c r="O30" s="10"/>
      <c r="P30" s="6"/>
      <c r="Q30" s="2"/>
      <c r="R30" s="7">
        <f t="shared" si="19"/>
        <v>0</v>
      </c>
      <c r="S30" s="2"/>
      <c r="T30" s="6">
        <v>2660.64</v>
      </c>
      <c r="U30" s="2"/>
      <c r="V30" s="7">
        <f t="shared" si="20"/>
        <v>7.0021658858322516E-3</v>
      </c>
      <c r="W30" s="2"/>
      <c r="X30" s="6">
        <f t="shared" si="21"/>
        <v>-2660.64</v>
      </c>
      <c r="Y30" s="2"/>
      <c r="Z30" s="7">
        <f t="shared" si="22"/>
        <v>-1</v>
      </c>
    </row>
    <row r="31" spans="1:26" s="23" customFormat="1" hidden="1" outlineLevel="2" x14ac:dyDescent="0.25">
      <c r="A31" s="25"/>
      <c r="B31" s="10" t="str">
        <f>CONCATENATE("          ", "6156", " - ", "EMPLOYEE MEALS")</f>
        <v xml:space="preserve">          6156 - EMPLOYEE MEALS</v>
      </c>
      <c r="C31" s="10"/>
      <c r="D31" s="6"/>
      <c r="E31" s="2"/>
      <c r="F31" s="7">
        <f t="shared" si="15"/>
        <v>0</v>
      </c>
      <c r="G31" s="2"/>
      <c r="H31" s="6"/>
      <c r="I31" s="2"/>
      <c r="J31" s="7">
        <f t="shared" si="16"/>
        <v>0</v>
      </c>
      <c r="K31" s="2"/>
      <c r="L31" s="6">
        <f t="shared" si="17"/>
        <v>0</v>
      </c>
      <c r="M31" s="2"/>
      <c r="N31" s="7">
        <f t="shared" si="18"/>
        <v>0</v>
      </c>
      <c r="O31" s="10"/>
      <c r="P31" s="6"/>
      <c r="Q31" s="2"/>
      <c r="R31" s="7">
        <f t="shared" si="19"/>
        <v>0</v>
      </c>
      <c r="S31" s="2"/>
      <c r="T31" s="6">
        <v>3733.96</v>
      </c>
      <c r="U31" s="2"/>
      <c r="V31" s="7">
        <f t="shared" si="20"/>
        <v>9.8268865126669505E-3</v>
      </c>
      <c r="W31" s="2"/>
      <c r="X31" s="6">
        <f t="shared" si="21"/>
        <v>-3733.96</v>
      </c>
      <c r="Y31" s="2"/>
      <c r="Z31" s="7">
        <f t="shared" si="22"/>
        <v>-1</v>
      </c>
    </row>
    <row r="32" spans="1:26" s="27" customFormat="1" outlineLevel="1" collapsed="1" x14ac:dyDescent="0.25">
      <c r="A32" s="26"/>
      <c r="B32" s="12" t="str">
        <f>CONCATENATE("     ","*Payroll                                          ")</f>
        <v xml:space="preserve">     *Payroll                                          </v>
      </c>
      <c r="C32" s="12"/>
      <c r="D32" s="1">
        <f>SUM(OSRRefD22_1x_0)</f>
        <v>0</v>
      </c>
      <c r="E32" s="1"/>
      <c r="F32" s="5">
        <f t="shared" ref="F32:F38" si="23">IF(D$12=0,0,D32/D$12)</f>
        <v>0</v>
      </c>
      <c r="G32" s="1"/>
      <c r="H32" s="1">
        <f>SUM(OSRRefH22_1x_0)</f>
        <v>0</v>
      </c>
      <c r="I32" s="1"/>
      <c r="J32" s="5">
        <f t="shared" ref="J32:J38" si="24">IF(H$12=0,0,H32/H$12)</f>
        <v>0</v>
      </c>
      <c r="K32" s="1"/>
      <c r="L32" s="1">
        <f t="shared" ref="L32:L38" si="25">+D32-H32</f>
        <v>0</v>
      </c>
      <c r="M32" s="1"/>
      <c r="N32" s="5">
        <f t="shared" ref="N32:N38" si="26">IF(H32=0,0,L32/H32)</f>
        <v>0</v>
      </c>
      <c r="O32" s="12"/>
      <c r="P32" s="1">
        <f>SUM(OSRRefP22_1x_0)</f>
        <v>0</v>
      </c>
      <c r="Q32" s="1"/>
      <c r="R32" s="5">
        <f t="shared" ref="R32:R38" si="27">IF(P$12=0,0,P32/P$12)</f>
        <v>0</v>
      </c>
      <c r="S32" s="1"/>
      <c r="T32" s="1">
        <f>SUM(OSRRefT22_1x_0)</f>
        <v>208564.34</v>
      </c>
      <c r="U32" s="1"/>
      <c r="V32" s="5">
        <f t="shared" ref="V32:V38" si="28">IF(T$12=0,0,T32/T$12)</f>
        <v>0.54889128425834344</v>
      </c>
      <c r="W32" s="1"/>
      <c r="X32" s="1">
        <f t="shared" ref="X32:X38" si="29">+P32-T32</f>
        <v>-208564.34</v>
      </c>
      <c r="Y32" s="1"/>
      <c r="Z32" s="5">
        <f t="shared" ref="Z32:Z38" si="30">IF(T32=0,0,X32/T32)</f>
        <v>-1</v>
      </c>
    </row>
    <row r="33" spans="1:26" s="23" customFormat="1" hidden="1" outlineLevel="2" x14ac:dyDescent="0.25">
      <c r="A33" s="25"/>
      <c r="B33" s="10" t="str">
        <f>CONCATENATE("          ", "6002", " - ", "STAFF SALARIES")</f>
        <v xml:space="preserve">          6002 - STAFF SALARIES</v>
      </c>
      <c r="C33" s="10"/>
      <c r="D33" s="6"/>
      <c r="E33" s="2"/>
      <c r="F33" s="7">
        <f t="shared" si="23"/>
        <v>0</v>
      </c>
      <c r="G33" s="2"/>
      <c r="H33" s="6"/>
      <c r="I33" s="2"/>
      <c r="J33" s="7">
        <f t="shared" si="24"/>
        <v>0</v>
      </c>
      <c r="K33" s="2"/>
      <c r="L33" s="6">
        <f t="shared" si="25"/>
        <v>0</v>
      </c>
      <c r="M33" s="2"/>
      <c r="N33" s="7">
        <f t="shared" si="26"/>
        <v>0</v>
      </c>
      <c r="O33" s="10"/>
      <c r="P33" s="6"/>
      <c r="Q33" s="2"/>
      <c r="R33" s="7">
        <f t="shared" si="27"/>
        <v>0</v>
      </c>
      <c r="S33" s="2"/>
      <c r="T33" s="6">
        <v>60376.42</v>
      </c>
      <c r="U33" s="2"/>
      <c r="V33" s="7">
        <f t="shared" si="28"/>
        <v>0.15889624617861872</v>
      </c>
      <c r="W33" s="2"/>
      <c r="X33" s="6">
        <f t="shared" si="29"/>
        <v>-60376.42</v>
      </c>
      <c r="Y33" s="2"/>
      <c r="Z33" s="7">
        <f t="shared" si="30"/>
        <v>-1</v>
      </c>
    </row>
    <row r="34" spans="1:26" s="23" customFormat="1" hidden="1" outlineLevel="2" x14ac:dyDescent="0.25">
      <c r="A34" s="25"/>
      <c r="B34" s="10" t="str">
        <f>CONCATENATE("          ", "6004", " - ", "STAFF HOURLY")</f>
        <v xml:space="preserve">          6004 - STAFF HOURLY</v>
      </c>
      <c r="C34" s="10"/>
      <c r="D34" s="6"/>
      <c r="E34" s="2"/>
      <c r="F34" s="7">
        <f t="shared" si="23"/>
        <v>0</v>
      </c>
      <c r="G34" s="2"/>
      <c r="H34" s="6"/>
      <c r="I34" s="2"/>
      <c r="J34" s="7">
        <f t="shared" si="24"/>
        <v>0</v>
      </c>
      <c r="K34" s="2"/>
      <c r="L34" s="6">
        <f t="shared" si="25"/>
        <v>0</v>
      </c>
      <c r="M34" s="2"/>
      <c r="N34" s="7">
        <f t="shared" si="26"/>
        <v>0</v>
      </c>
      <c r="O34" s="10"/>
      <c r="P34" s="6"/>
      <c r="Q34" s="2"/>
      <c r="R34" s="7">
        <f t="shared" si="27"/>
        <v>0</v>
      </c>
      <c r="S34" s="2"/>
      <c r="T34" s="6">
        <v>54540.13</v>
      </c>
      <c r="U34" s="2"/>
      <c r="V34" s="7">
        <f t="shared" si="28"/>
        <v>0.14353653169720676</v>
      </c>
      <c r="W34" s="2"/>
      <c r="X34" s="6">
        <f t="shared" si="29"/>
        <v>-54540.13</v>
      </c>
      <c r="Y34" s="2"/>
      <c r="Z34" s="7">
        <f t="shared" si="30"/>
        <v>-1</v>
      </c>
    </row>
    <row r="35" spans="1:26" s="23" customFormat="1" hidden="1" outlineLevel="2" x14ac:dyDescent="0.25">
      <c r="A35" s="25"/>
      <c r="B35" s="10" t="str">
        <f>CONCATENATE("          ", "6005", " - ", "TEMPORARY WAGES-HOURLY")</f>
        <v xml:space="preserve">          6005 - TEMPORARY WAGES-HOURLY</v>
      </c>
      <c r="C35" s="10"/>
      <c r="D35" s="6"/>
      <c r="E35" s="2"/>
      <c r="F35" s="7">
        <f t="shared" si="23"/>
        <v>0</v>
      </c>
      <c r="G35" s="2"/>
      <c r="H35" s="6"/>
      <c r="I35" s="2"/>
      <c r="J35" s="7">
        <f t="shared" si="24"/>
        <v>0</v>
      </c>
      <c r="K35" s="2"/>
      <c r="L35" s="6">
        <f t="shared" si="25"/>
        <v>0</v>
      </c>
      <c r="M35" s="2"/>
      <c r="N35" s="7">
        <f t="shared" si="26"/>
        <v>0</v>
      </c>
      <c r="O35" s="10"/>
      <c r="P35" s="6"/>
      <c r="Q35" s="2"/>
      <c r="R35" s="7">
        <f t="shared" si="27"/>
        <v>0</v>
      </c>
      <c r="S35" s="2"/>
      <c r="T35" s="6">
        <v>47656.53</v>
      </c>
      <c r="U35" s="2"/>
      <c r="V35" s="7">
        <f t="shared" si="28"/>
        <v>0.12542054866616351</v>
      </c>
      <c r="W35" s="2"/>
      <c r="X35" s="6">
        <f t="shared" si="29"/>
        <v>-47656.53</v>
      </c>
      <c r="Y35" s="2"/>
      <c r="Z35" s="7">
        <f t="shared" si="30"/>
        <v>-1</v>
      </c>
    </row>
    <row r="36" spans="1:26" s="23" customFormat="1" hidden="1" outlineLevel="2" x14ac:dyDescent="0.25">
      <c r="A36" s="25"/>
      <c r="B36" s="10" t="str">
        <f>CONCATENATE("          ", "6006", " - ", "TEMPORARY PART TIME")</f>
        <v xml:space="preserve">          6006 - TEMPORARY PART TIME</v>
      </c>
      <c r="C36" s="10"/>
      <c r="D36" s="6"/>
      <c r="E36" s="2"/>
      <c r="F36" s="7">
        <f t="shared" si="23"/>
        <v>0</v>
      </c>
      <c r="G36" s="2"/>
      <c r="H36" s="6"/>
      <c r="I36" s="2"/>
      <c r="J36" s="7">
        <f t="shared" si="24"/>
        <v>0</v>
      </c>
      <c r="K36" s="2"/>
      <c r="L36" s="6">
        <f t="shared" si="25"/>
        <v>0</v>
      </c>
      <c r="M36" s="2"/>
      <c r="N36" s="7">
        <f t="shared" si="26"/>
        <v>0</v>
      </c>
      <c r="O36" s="10"/>
      <c r="P36" s="6"/>
      <c r="Q36" s="2"/>
      <c r="R36" s="7">
        <f t="shared" si="27"/>
        <v>0</v>
      </c>
      <c r="S36" s="2"/>
      <c r="T36" s="6">
        <v>1299.6300000000001</v>
      </c>
      <c r="U36" s="2"/>
      <c r="V36" s="7">
        <f t="shared" si="28"/>
        <v>3.4203142289840681E-3</v>
      </c>
      <c r="W36" s="2"/>
      <c r="X36" s="6">
        <f t="shared" si="29"/>
        <v>-1299.6300000000001</v>
      </c>
      <c r="Y36" s="2"/>
      <c r="Z36" s="7">
        <f t="shared" si="30"/>
        <v>-1</v>
      </c>
    </row>
    <row r="37" spans="1:26" s="23" customFormat="1" hidden="1" outlineLevel="2" x14ac:dyDescent="0.25">
      <c r="A37" s="25"/>
      <c r="B37" s="10" t="str">
        <f>CONCATENATE("          ", "6007", " - ", "STUDENT HOURLY")</f>
        <v xml:space="preserve">          6007 - STUDENT HOURLY</v>
      </c>
      <c r="C37" s="10"/>
      <c r="D37" s="6"/>
      <c r="E37" s="2"/>
      <c r="F37" s="7">
        <f t="shared" si="23"/>
        <v>0</v>
      </c>
      <c r="G37" s="2"/>
      <c r="H37" s="6"/>
      <c r="I37" s="2"/>
      <c r="J37" s="7">
        <f t="shared" si="24"/>
        <v>0</v>
      </c>
      <c r="K37" s="2"/>
      <c r="L37" s="6">
        <f t="shared" si="25"/>
        <v>0</v>
      </c>
      <c r="M37" s="2"/>
      <c r="N37" s="7">
        <f t="shared" si="26"/>
        <v>0</v>
      </c>
      <c r="O37" s="10"/>
      <c r="P37" s="6"/>
      <c r="Q37" s="2"/>
      <c r="R37" s="7">
        <f t="shared" si="27"/>
        <v>0</v>
      </c>
      <c r="S37" s="2"/>
      <c r="T37" s="6">
        <v>41286.410000000003</v>
      </c>
      <c r="U37" s="2"/>
      <c r="V37" s="7">
        <f t="shared" si="28"/>
        <v>0.10865592175209106</v>
      </c>
      <c r="W37" s="2"/>
      <c r="X37" s="6">
        <f t="shared" si="29"/>
        <v>-41286.410000000003</v>
      </c>
      <c r="Y37" s="2"/>
      <c r="Z37" s="7">
        <f t="shared" si="30"/>
        <v>-1</v>
      </c>
    </row>
    <row r="38" spans="1:26" s="23" customFormat="1" hidden="1" outlineLevel="2" x14ac:dyDescent="0.25">
      <c r="A38" s="25"/>
      <c r="B38" s="10" t="str">
        <f>CONCATENATE("          ", "6008", " - ", "STUDENT HOURLY-FICA EXEMPT")</f>
        <v xml:space="preserve">          6008 - STUDENT HOURLY-FICA EXEMPT</v>
      </c>
      <c r="C38" s="10"/>
      <c r="D38" s="6"/>
      <c r="E38" s="2"/>
      <c r="F38" s="7">
        <f t="shared" si="23"/>
        <v>0</v>
      </c>
      <c r="G38" s="2"/>
      <c r="H38" s="6"/>
      <c r="I38" s="2"/>
      <c r="J38" s="7">
        <f t="shared" si="24"/>
        <v>0</v>
      </c>
      <c r="K38" s="2"/>
      <c r="L38" s="6">
        <f t="shared" si="25"/>
        <v>0</v>
      </c>
      <c r="M38" s="2"/>
      <c r="N38" s="7">
        <f t="shared" si="26"/>
        <v>0</v>
      </c>
      <c r="O38" s="10"/>
      <c r="P38" s="6"/>
      <c r="Q38" s="2"/>
      <c r="R38" s="7">
        <f t="shared" si="27"/>
        <v>0</v>
      </c>
      <c r="S38" s="2"/>
      <c r="T38" s="6">
        <v>3405.22</v>
      </c>
      <c r="U38" s="2"/>
      <c r="V38" s="7">
        <f t="shared" si="28"/>
        <v>8.9617217352793693E-3</v>
      </c>
      <c r="W38" s="2"/>
      <c r="X38" s="6">
        <f t="shared" si="29"/>
        <v>-3405.22</v>
      </c>
      <c r="Y38" s="2"/>
      <c r="Z38" s="7">
        <f t="shared" si="30"/>
        <v>-1</v>
      </c>
    </row>
    <row r="39" spans="1:26" s="27" customFormat="1" outlineLevel="1" collapsed="1" x14ac:dyDescent="0.25">
      <c r="A39" s="26"/>
      <c r="B39" s="12" t="str">
        <f>CONCATENATE("     ","Advertising/Promo                                 ")</f>
        <v xml:space="preserve">     Advertising/Promo                                 </v>
      </c>
      <c r="C39" s="12"/>
      <c r="D39" s="1">
        <f>SUM(OSRRefD22_2x_0)</f>
        <v>0</v>
      </c>
      <c r="E39" s="1"/>
      <c r="F39" s="5">
        <f t="shared" ref="F39:F56" si="31">IF(D$12=0,0,D39/D$12)</f>
        <v>0</v>
      </c>
      <c r="G39" s="1"/>
      <c r="H39" s="1">
        <f>SUM(OSRRefH22_2x_0)</f>
        <v>0</v>
      </c>
      <c r="I39" s="1"/>
      <c r="J39" s="5">
        <f t="shared" ref="J39:J56" si="32">IF(H$12=0,0,H39/H$12)</f>
        <v>0</v>
      </c>
      <c r="K39" s="1"/>
      <c r="L39" s="1">
        <f t="shared" ref="L39:L56" si="33">+D39-H39</f>
        <v>0</v>
      </c>
      <c r="M39" s="1"/>
      <c r="N39" s="5">
        <f t="shared" ref="N39:N56" si="34">IF(H39=0,0,L39/H39)</f>
        <v>0</v>
      </c>
      <c r="O39" s="12"/>
      <c r="P39" s="1">
        <f>SUM(OSRRefP22_2x_0)</f>
        <v>0</v>
      </c>
      <c r="Q39" s="1"/>
      <c r="R39" s="5">
        <f t="shared" ref="R39:R56" si="35">IF(P$12=0,0,P39/P$12)</f>
        <v>0</v>
      </c>
      <c r="S39" s="1"/>
      <c r="T39" s="1">
        <f>SUM(OSRRefT22_2x_0)</f>
        <v>462.48</v>
      </c>
      <c r="U39" s="1"/>
      <c r="V39" s="5">
        <f t="shared" ref="V39:V56" si="36">IF(T$12=0,0,T39/T$12)</f>
        <v>1.2171363577483988E-3</v>
      </c>
      <c r="W39" s="1"/>
      <c r="X39" s="1">
        <f t="shared" ref="X39:X56" si="37">+P39-T39</f>
        <v>-462.48</v>
      </c>
      <c r="Y39" s="1"/>
      <c r="Z39" s="5">
        <f t="shared" ref="Z39:Z56" si="38">IF(T39=0,0,X39/T39)</f>
        <v>-1</v>
      </c>
    </row>
    <row r="40" spans="1:26" s="23" customFormat="1" hidden="1" outlineLevel="2" x14ac:dyDescent="0.25">
      <c r="A40" s="25"/>
      <c r="B40" s="10" t="str">
        <f>CONCATENATE("          ", "6362", " - ", "ADVERTISING EXPENSE")</f>
        <v xml:space="preserve">          6362 - ADVERTISING EXPENSE</v>
      </c>
      <c r="C40" s="10"/>
      <c r="D40" s="6"/>
      <c r="E40" s="2"/>
      <c r="F40" s="7">
        <f t="shared" si="31"/>
        <v>0</v>
      </c>
      <c r="G40" s="2"/>
      <c r="H40" s="6"/>
      <c r="I40" s="2"/>
      <c r="J40" s="7">
        <f t="shared" si="32"/>
        <v>0</v>
      </c>
      <c r="K40" s="2"/>
      <c r="L40" s="6">
        <f t="shared" si="33"/>
        <v>0</v>
      </c>
      <c r="M40" s="2"/>
      <c r="N40" s="7">
        <f t="shared" si="34"/>
        <v>0</v>
      </c>
      <c r="O40" s="10"/>
      <c r="P40" s="6"/>
      <c r="Q40" s="2"/>
      <c r="R40" s="7">
        <f t="shared" si="35"/>
        <v>0</v>
      </c>
      <c r="S40" s="2"/>
      <c r="T40" s="6">
        <v>462.48</v>
      </c>
      <c r="U40" s="2"/>
      <c r="V40" s="7">
        <f t="shared" si="36"/>
        <v>1.2171363577483988E-3</v>
      </c>
      <c r="W40" s="2"/>
      <c r="X40" s="6">
        <f t="shared" si="37"/>
        <v>-462.48</v>
      </c>
      <c r="Y40" s="2"/>
      <c r="Z40" s="7">
        <f t="shared" si="38"/>
        <v>-1</v>
      </c>
    </row>
    <row r="41" spans="1:26" s="27" customFormat="1" outlineLevel="1" collapsed="1" x14ac:dyDescent="0.25">
      <c r="A41" s="26"/>
      <c r="B41" s="12" t="str">
        <f>CONCATENATE("     ","Bad Debts/Over/Short                              ")</f>
        <v xml:space="preserve">     Bad Debts/Over/Short                              </v>
      </c>
      <c r="C41" s="12"/>
      <c r="D41" s="1">
        <f>SUM(OSRRefD22_3x_0)</f>
        <v>0</v>
      </c>
      <c r="E41" s="1"/>
      <c r="F41" s="5">
        <f t="shared" si="31"/>
        <v>0</v>
      </c>
      <c r="G41" s="1"/>
      <c r="H41" s="1">
        <f>SUM(OSRRefH22_3x_0)</f>
        <v>0</v>
      </c>
      <c r="I41" s="1"/>
      <c r="J41" s="5">
        <f t="shared" si="32"/>
        <v>0</v>
      </c>
      <c r="K41" s="1"/>
      <c r="L41" s="1">
        <f t="shared" si="33"/>
        <v>0</v>
      </c>
      <c r="M41" s="1"/>
      <c r="N41" s="5">
        <f t="shared" si="34"/>
        <v>0</v>
      </c>
      <c r="O41" s="12"/>
      <c r="P41" s="1">
        <f>SUM(OSRRefP22_3x_0)</f>
        <v>0</v>
      </c>
      <c r="Q41" s="1"/>
      <c r="R41" s="5">
        <f t="shared" si="35"/>
        <v>0</v>
      </c>
      <c r="S41" s="1"/>
      <c r="T41" s="1">
        <f>SUM(OSRRefT22_3x_0)</f>
        <v>-0.24</v>
      </c>
      <c r="U41" s="1"/>
      <c r="V41" s="5">
        <f t="shared" si="36"/>
        <v>-6.3162239634063244E-7</v>
      </c>
      <c r="W41" s="1"/>
      <c r="X41" s="1">
        <f t="shared" si="37"/>
        <v>0.24</v>
      </c>
      <c r="Y41" s="1"/>
      <c r="Z41" s="5">
        <f t="shared" si="38"/>
        <v>-1</v>
      </c>
    </row>
    <row r="42" spans="1:26" s="23" customFormat="1" hidden="1" outlineLevel="2" x14ac:dyDescent="0.25">
      <c r="A42" s="25"/>
      <c r="B42" s="10" t="str">
        <f>CONCATENATE("          ", "6272", " - ", "CASH (OVER/SHORT)")</f>
        <v xml:space="preserve">          6272 - CASH (OVER/SHORT)</v>
      </c>
      <c r="C42" s="10"/>
      <c r="D42" s="6"/>
      <c r="E42" s="2"/>
      <c r="F42" s="7">
        <f t="shared" si="31"/>
        <v>0</v>
      </c>
      <c r="G42" s="2"/>
      <c r="H42" s="6"/>
      <c r="I42" s="2"/>
      <c r="J42" s="7">
        <f t="shared" si="32"/>
        <v>0</v>
      </c>
      <c r="K42" s="2"/>
      <c r="L42" s="6">
        <f t="shared" si="33"/>
        <v>0</v>
      </c>
      <c r="M42" s="2"/>
      <c r="N42" s="7">
        <f t="shared" si="34"/>
        <v>0</v>
      </c>
      <c r="O42" s="10"/>
      <c r="P42" s="6"/>
      <c r="Q42" s="2"/>
      <c r="R42" s="7">
        <f t="shared" si="35"/>
        <v>0</v>
      </c>
      <c r="S42" s="2"/>
      <c r="T42" s="6">
        <v>-0.24</v>
      </c>
      <c r="U42" s="2"/>
      <c r="V42" s="7">
        <f t="shared" si="36"/>
        <v>-6.3162239634063244E-7</v>
      </c>
      <c r="W42" s="2"/>
      <c r="X42" s="6">
        <f t="shared" si="37"/>
        <v>0.24</v>
      </c>
      <c r="Y42" s="2"/>
      <c r="Z42" s="7">
        <f t="shared" si="38"/>
        <v>-1</v>
      </c>
    </row>
    <row r="43" spans="1:26" s="27" customFormat="1" outlineLevel="1" collapsed="1" x14ac:dyDescent="0.25">
      <c r="A43" s="26"/>
      <c r="B43" s="12" t="str">
        <f>CONCATENATE("     ","Bank/card Fees                                    ")</f>
        <v xml:space="preserve">     Bank/card Fees                                    </v>
      </c>
      <c r="C43" s="12"/>
      <c r="D43" s="1">
        <f>SUM(OSRRefD22_4x_0)</f>
        <v>0</v>
      </c>
      <c r="E43" s="1"/>
      <c r="F43" s="5">
        <f t="shared" si="31"/>
        <v>0</v>
      </c>
      <c r="G43" s="1"/>
      <c r="H43" s="1">
        <f>SUM(OSRRefH22_4x_0)</f>
        <v>0</v>
      </c>
      <c r="I43" s="1"/>
      <c r="J43" s="5">
        <f t="shared" si="32"/>
        <v>0</v>
      </c>
      <c r="K43" s="1"/>
      <c r="L43" s="1">
        <f t="shared" si="33"/>
        <v>0</v>
      </c>
      <c r="M43" s="1"/>
      <c r="N43" s="5">
        <f t="shared" si="34"/>
        <v>0</v>
      </c>
      <c r="O43" s="12"/>
      <c r="P43" s="1">
        <f>SUM(OSRRefP22_4x_0)</f>
        <v>0</v>
      </c>
      <c r="Q43" s="1"/>
      <c r="R43" s="5">
        <f t="shared" si="35"/>
        <v>0</v>
      </c>
      <c r="S43" s="1"/>
      <c r="T43" s="1">
        <f>SUM(OSRRefT22_4x_0)</f>
        <v>5691.38</v>
      </c>
      <c r="U43" s="1"/>
      <c r="V43" s="5">
        <f t="shared" si="36"/>
        <v>1.4978346142021455E-2</v>
      </c>
      <c r="W43" s="1"/>
      <c r="X43" s="1">
        <f t="shared" si="37"/>
        <v>-5691.38</v>
      </c>
      <c r="Y43" s="1"/>
      <c r="Z43" s="5">
        <f t="shared" si="38"/>
        <v>-1</v>
      </c>
    </row>
    <row r="44" spans="1:26" s="23" customFormat="1" hidden="1" outlineLevel="2" x14ac:dyDescent="0.25">
      <c r="A44" s="25"/>
      <c r="B44" s="10" t="str">
        <f>CONCATENATE("          ", "6381", " - ", "BANK/CREDIT CARD FEES")</f>
        <v xml:space="preserve">          6381 - BANK/CREDIT CARD FEES</v>
      </c>
      <c r="C44" s="10"/>
      <c r="D44" s="6"/>
      <c r="E44" s="2"/>
      <c r="F44" s="7">
        <f t="shared" si="31"/>
        <v>0</v>
      </c>
      <c r="G44" s="2"/>
      <c r="H44" s="6"/>
      <c r="I44" s="2"/>
      <c r="J44" s="7">
        <f t="shared" si="32"/>
        <v>0</v>
      </c>
      <c r="K44" s="2"/>
      <c r="L44" s="6">
        <f t="shared" si="33"/>
        <v>0</v>
      </c>
      <c r="M44" s="2"/>
      <c r="N44" s="7">
        <f t="shared" si="34"/>
        <v>0</v>
      </c>
      <c r="O44" s="10"/>
      <c r="P44" s="6"/>
      <c r="Q44" s="2"/>
      <c r="R44" s="7">
        <f t="shared" si="35"/>
        <v>0</v>
      </c>
      <c r="S44" s="2"/>
      <c r="T44" s="6">
        <v>5691.38</v>
      </c>
      <c r="U44" s="2"/>
      <c r="V44" s="7">
        <f t="shared" si="36"/>
        <v>1.4978346142021455E-2</v>
      </c>
      <c r="W44" s="2"/>
      <c r="X44" s="6">
        <f t="shared" si="37"/>
        <v>-5691.38</v>
      </c>
      <c r="Y44" s="2"/>
      <c r="Z44" s="7">
        <f t="shared" si="38"/>
        <v>-1</v>
      </c>
    </row>
    <row r="45" spans="1:26" s="27" customFormat="1" outlineLevel="1" collapsed="1" x14ac:dyDescent="0.25">
      <c r="A45" s="26"/>
      <c r="B45" s="12" t="str">
        <f>CONCATENATE("     ","Depreciation                                      ")</f>
        <v xml:space="preserve">     Depreciation                                      </v>
      </c>
      <c r="C45" s="12"/>
      <c r="D45" s="1">
        <f>SUM(OSRRefD22_5x_0)</f>
        <v>577.49</v>
      </c>
      <c r="E45" s="1"/>
      <c r="F45" s="5">
        <f t="shared" si="31"/>
        <v>0</v>
      </c>
      <c r="G45" s="1"/>
      <c r="H45" s="1">
        <f>SUM(OSRRefH22_5x_0)</f>
        <v>689.08</v>
      </c>
      <c r="I45" s="1"/>
      <c r="J45" s="5">
        <f t="shared" si="32"/>
        <v>0</v>
      </c>
      <c r="K45" s="1"/>
      <c r="L45" s="1">
        <f t="shared" si="33"/>
        <v>-111.59000000000003</v>
      </c>
      <c r="M45" s="1"/>
      <c r="N45" s="5">
        <f t="shared" si="34"/>
        <v>-0.1619405584257271</v>
      </c>
      <c r="O45" s="12"/>
      <c r="P45" s="1">
        <f>SUM(OSRRefP22_5x_0)</f>
        <v>7267.44</v>
      </c>
      <c r="Q45" s="1"/>
      <c r="R45" s="5">
        <f t="shared" si="35"/>
        <v>0</v>
      </c>
      <c r="S45" s="1"/>
      <c r="T45" s="1">
        <f>SUM(OSRRefT22_5x_0)</f>
        <v>5378.02</v>
      </c>
      <c r="U45" s="1"/>
      <c r="V45" s="5">
        <f t="shared" si="36"/>
        <v>1.4153657833199369E-2</v>
      </c>
      <c r="W45" s="1"/>
      <c r="X45" s="1">
        <f t="shared" si="37"/>
        <v>1889.4199999999992</v>
      </c>
      <c r="Y45" s="1"/>
      <c r="Z45" s="5">
        <f t="shared" si="38"/>
        <v>0.35132260571734558</v>
      </c>
    </row>
    <row r="46" spans="1:26" s="23" customFormat="1" hidden="1" outlineLevel="2" x14ac:dyDescent="0.25">
      <c r="A46" s="25"/>
      <c r="B46" s="10" t="str">
        <f>CONCATENATE("          ", "6322", " - ", "EQUIPMENT DEPRECIATION EXPENSE")</f>
        <v xml:space="preserve">          6322 - EQUIPMENT DEPRECIATION EXPENSE</v>
      </c>
      <c r="C46" s="10"/>
      <c r="D46" s="6">
        <v>577.49</v>
      </c>
      <c r="E46" s="2"/>
      <c r="F46" s="7">
        <f t="shared" si="31"/>
        <v>0</v>
      </c>
      <c r="G46" s="2"/>
      <c r="H46" s="6">
        <v>689.08</v>
      </c>
      <c r="I46" s="2"/>
      <c r="J46" s="7">
        <f t="shared" si="32"/>
        <v>0</v>
      </c>
      <c r="K46" s="2"/>
      <c r="L46" s="6">
        <f t="shared" si="33"/>
        <v>-111.59000000000003</v>
      </c>
      <c r="M46" s="2"/>
      <c r="N46" s="7">
        <f t="shared" si="34"/>
        <v>-0.1619405584257271</v>
      </c>
      <c r="O46" s="10"/>
      <c r="P46" s="6">
        <v>7267.44</v>
      </c>
      <c r="Q46" s="2"/>
      <c r="R46" s="7">
        <f t="shared" si="35"/>
        <v>0</v>
      </c>
      <c r="S46" s="2"/>
      <c r="T46" s="6">
        <v>5378.02</v>
      </c>
      <c r="U46" s="2"/>
      <c r="V46" s="7">
        <f t="shared" si="36"/>
        <v>1.4153657833199369E-2</v>
      </c>
      <c r="W46" s="2"/>
      <c r="X46" s="6">
        <f t="shared" si="37"/>
        <v>1889.4199999999992</v>
      </c>
      <c r="Y46" s="2"/>
      <c r="Z46" s="7">
        <f t="shared" si="38"/>
        <v>0.35132260571734558</v>
      </c>
    </row>
    <row r="47" spans="1:26" s="27" customFormat="1" outlineLevel="1" collapsed="1" x14ac:dyDescent="0.25">
      <c r="A47" s="26"/>
      <c r="B47" s="12" t="str">
        <f>CONCATENATE("     ","Employees' Appreciation                           ")</f>
        <v xml:space="preserve">     Employees' Appreciation                           </v>
      </c>
      <c r="C47" s="12"/>
      <c r="D47" s="1">
        <f>SUM(OSRRefD22_6x_0)</f>
        <v>0</v>
      </c>
      <c r="E47" s="1"/>
      <c r="F47" s="5">
        <f t="shared" si="31"/>
        <v>0</v>
      </c>
      <c r="G47" s="1"/>
      <c r="H47" s="1">
        <f>SUM(OSRRefH22_6x_0)</f>
        <v>0</v>
      </c>
      <c r="I47" s="1"/>
      <c r="J47" s="5">
        <f t="shared" si="32"/>
        <v>0</v>
      </c>
      <c r="K47" s="1"/>
      <c r="L47" s="1">
        <f t="shared" si="33"/>
        <v>0</v>
      </c>
      <c r="M47" s="1"/>
      <c r="N47" s="5">
        <f t="shared" si="34"/>
        <v>0</v>
      </c>
      <c r="O47" s="12"/>
      <c r="P47" s="1">
        <f>SUM(OSRRefP22_6x_0)</f>
        <v>0</v>
      </c>
      <c r="Q47" s="1"/>
      <c r="R47" s="5">
        <f t="shared" si="35"/>
        <v>0</v>
      </c>
      <c r="S47" s="1"/>
      <c r="T47" s="1">
        <f>SUM(OSRRefT22_6x_0)</f>
        <v>60</v>
      </c>
      <c r="U47" s="1"/>
      <c r="V47" s="5">
        <f t="shared" si="36"/>
        <v>1.5790559908515812E-4</v>
      </c>
      <c r="W47" s="1"/>
      <c r="X47" s="1">
        <f t="shared" si="37"/>
        <v>-60</v>
      </c>
      <c r="Y47" s="1"/>
      <c r="Z47" s="5">
        <f t="shared" si="38"/>
        <v>-1</v>
      </c>
    </row>
    <row r="48" spans="1:26" s="23" customFormat="1" hidden="1" outlineLevel="2" x14ac:dyDescent="0.25">
      <c r="A48" s="25"/>
      <c r="B48" s="10" t="str">
        <f>CONCATENATE("          ", "6277", " - ", "EMPLOYEE APPRECIATION")</f>
        <v xml:space="preserve">          6277 - EMPLOYEE APPRECIATION</v>
      </c>
      <c r="C48" s="10"/>
      <c r="D48" s="6"/>
      <c r="E48" s="2"/>
      <c r="F48" s="7">
        <f t="shared" si="31"/>
        <v>0</v>
      </c>
      <c r="G48" s="2"/>
      <c r="H48" s="6"/>
      <c r="I48" s="2"/>
      <c r="J48" s="7">
        <f t="shared" si="32"/>
        <v>0</v>
      </c>
      <c r="K48" s="2"/>
      <c r="L48" s="6">
        <f t="shared" si="33"/>
        <v>0</v>
      </c>
      <c r="M48" s="2"/>
      <c r="N48" s="7">
        <f t="shared" si="34"/>
        <v>0</v>
      </c>
      <c r="O48" s="10"/>
      <c r="P48" s="6"/>
      <c r="Q48" s="2"/>
      <c r="R48" s="7">
        <f t="shared" si="35"/>
        <v>0</v>
      </c>
      <c r="S48" s="2"/>
      <c r="T48" s="6">
        <v>60</v>
      </c>
      <c r="U48" s="2"/>
      <c r="V48" s="7">
        <f t="shared" si="36"/>
        <v>1.5790559908515812E-4</v>
      </c>
      <c r="W48" s="2"/>
      <c r="X48" s="6">
        <f t="shared" si="37"/>
        <v>-60</v>
      </c>
      <c r="Y48" s="2"/>
      <c r="Z48" s="7">
        <f t="shared" si="38"/>
        <v>-1</v>
      </c>
    </row>
    <row r="49" spans="1:26" s="27" customFormat="1" outlineLevel="1" collapsed="1" x14ac:dyDescent="0.25">
      <c r="A49" s="26"/>
      <c r="B49" s="12" t="str">
        <f>CONCATENATE("     ","Equipment Rental                                  ")</f>
        <v xml:space="preserve">     Equipment Rental                                  </v>
      </c>
      <c r="C49" s="12"/>
      <c r="D49" s="1">
        <f>SUM(OSRRefD22_7x_0)</f>
        <v>0</v>
      </c>
      <c r="E49" s="1"/>
      <c r="F49" s="5">
        <f t="shared" si="31"/>
        <v>0</v>
      </c>
      <c r="G49" s="1"/>
      <c r="H49" s="1">
        <f>SUM(OSRRefH22_7x_0)</f>
        <v>16.239999999999998</v>
      </c>
      <c r="I49" s="1"/>
      <c r="J49" s="5">
        <f t="shared" si="32"/>
        <v>0</v>
      </c>
      <c r="K49" s="1"/>
      <c r="L49" s="1">
        <f t="shared" si="33"/>
        <v>-16.239999999999998</v>
      </c>
      <c r="M49" s="1"/>
      <c r="N49" s="5">
        <f t="shared" si="34"/>
        <v>-1</v>
      </c>
      <c r="O49" s="12"/>
      <c r="P49" s="1">
        <f>SUM(OSRRefP22_7x_0)</f>
        <v>16.239999999999998</v>
      </c>
      <c r="Q49" s="1"/>
      <c r="R49" s="5">
        <f t="shared" si="35"/>
        <v>0</v>
      </c>
      <c r="S49" s="1"/>
      <c r="T49" s="1">
        <f>SUM(OSRRefT22_7x_0)</f>
        <v>854</v>
      </c>
      <c r="U49" s="1"/>
      <c r="V49" s="5">
        <f t="shared" si="36"/>
        <v>2.2475230269787508E-3</v>
      </c>
      <c r="W49" s="1"/>
      <c r="X49" s="1">
        <f t="shared" si="37"/>
        <v>-837.76</v>
      </c>
      <c r="Y49" s="1"/>
      <c r="Z49" s="5">
        <f t="shared" si="38"/>
        <v>-0.98098360655737704</v>
      </c>
    </row>
    <row r="50" spans="1:26" s="23" customFormat="1" hidden="1" outlineLevel="2" x14ac:dyDescent="0.25">
      <c r="A50" s="25"/>
      <c r="B50" s="10" t="str">
        <f>CONCATENATE("          ", "6351", " - ", "EQUIPMENT RENTAL")</f>
        <v xml:space="preserve">          6351 - EQUIPMENT RENTAL</v>
      </c>
      <c r="C50" s="10"/>
      <c r="D50" s="6"/>
      <c r="E50" s="2"/>
      <c r="F50" s="7">
        <f t="shared" si="31"/>
        <v>0</v>
      </c>
      <c r="G50" s="2"/>
      <c r="H50" s="6">
        <v>16.239999999999998</v>
      </c>
      <c r="I50" s="2"/>
      <c r="J50" s="7">
        <f t="shared" si="32"/>
        <v>0</v>
      </c>
      <c r="K50" s="2"/>
      <c r="L50" s="6">
        <f t="shared" si="33"/>
        <v>-16.239999999999998</v>
      </c>
      <c r="M50" s="2"/>
      <c r="N50" s="7">
        <f t="shared" si="34"/>
        <v>-1</v>
      </c>
      <c r="O50" s="10"/>
      <c r="P50" s="6">
        <v>16.239999999999998</v>
      </c>
      <c r="Q50" s="2"/>
      <c r="R50" s="7">
        <f t="shared" si="35"/>
        <v>0</v>
      </c>
      <c r="S50" s="2"/>
      <c r="T50" s="6">
        <v>854</v>
      </c>
      <c r="U50" s="2"/>
      <c r="V50" s="7">
        <f t="shared" si="36"/>
        <v>2.2475230269787508E-3</v>
      </c>
      <c r="W50" s="2"/>
      <c r="X50" s="6">
        <f t="shared" si="37"/>
        <v>-837.76</v>
      </c>
      <c r="Y50" s="2"/>
      <c r="Z50" s="7">
        <f t="shared" si="38"/>
        <v>-0.98098360655737704</v>
      </c>
    </row>
    <row r="51" spans="1:26" s="27" customFormat="1" outlineLevel="1" collapsed="1" x14ac:dyDescent="0.25">
      <c r="A51" s="26"/>
      <c r="B51" s="12" t="str">
        <f>CONCATENATE("     ","General                                           ")</f>
        <v xml:space="preserve">     General                                           </v>
      </c>
      <c r="C51" s="12"/>
      <c r="D51" s="1">
        <f>SUM(OSRRefD22_8x_0)</f>
        <v>0</v>
      </c>
      <c r="E51" s="1"/>
      <c r="F51" s="5">
        <f t="shared" si="31"/>
        <v>0</v>
      </c>
      <c r="G51" s="1"/>
      <c r="H51" s="1">
        <f>SUM(OSRRefH22_8x_0)</f>
        <v>0</v>
      </c>
      <c r="I51" s="1"/>
      <c r="J51" s="5">
        <f t="shared" si="32"/>
        <v>0</v>
      </c>
      <c r="K51" s="1"/>
      <c r="L51" s="1">
        <f t="shared" si="33"/>
        <v>0</v>
      </c>
      <c r="M51" s="1"/>
      <c r="N51" s="5">
        <f t="shared" si="34"/>
        <v>0</v>
      </c>
      <c r="O51" s="12"/>
      <c r="P51" s="1">
        <f>SUM(OSRRefP22_8x_0)</f>
        <v>0</v>
      </c>
      <c r="Q51" s="1"/>
      <c r="R51" s="5">
        <f t="shared" si="35"/>
        <v>0</v>
      </c>
      <c r="S51" s="1"/>
      <c r="T51" s="1">
        <f>SUM(OSRRefT22_8x_0)</f>
        <v>2498.7399999999998</v>
      </c>
      <c r="U51" s="1"/>
      <c r="V51" s="5">
        <f t="shared" si="36"/>
        <v>6.5760839443007998E-3</v>
      </c>
      <c r="W51" s="1"/>
      <c r="X51" s="1">
        <f t="shared" si="37"/>
        <v>-2498.7399999999998</v>
      </c>
      <c r="Y51" s="1"/>
      <c r="Z51" s="5">
        <f t="shared" si="38"/>
        <v>-1</v>
      </c>
    </row>
    <row r="52" spans="1:26" s="23" customFormat="1" hidden="1" outlineLevel="2" x14ac:dyDescent="0.25">
      <c r="A52" s="25"/>
      <c r="B52" s="10" t="str">
        <f>CONCATENATE("          ", "6279", " - ", "GENERAL EXPENSE")</f>
        <v xml:space="preserve">          6279 - GENERAL EXPENSE</v>
      </c>
      <c r="C52" s="10"/>
      <c r="D52" s="6"/>
      <c r="E52" s="2"/>
      <c r="F52" s="7">
        <f t="shared" si="31"/>
        <v>0</v>
      </c>
      <c r="G52" s="2"/>
      <c r="H52" s="6"/>
      <c r="I52" s="2"/>
      <c r="J52" s="7">
        <f t="shared" si="32"/>
        <v>0</v>
      </c>
      <c r="K52" s="2"/>
      <c r="L52" s="6">
        <f t="shared" si="33"/>
        <v>0</v>
      </c>
      <c r="M52" s="2"/>
      <c r="N52" s="7">
        <f t="shared" si="34"/>
        <v>0</v>
      </c>
      <c r="O52" s="10"/>
      <c r="P52" s="6"/>
      <c r="Q52" s="2"/>
      <c r="R52" s="7">
        <f t="shared" si="35"/>
        <v>0</v>
      </c>
      <c r="S52" s="2"/>
      <c r="T52" s="6">
        <v>2498.7399999999998</v>
      </c>
      <c r="U52" s="2"/>
      <c r="V52" s="7">
        <f t="shared" si="36"/>
        <v>6.5760839443007998E-3</v>
      </c>
      <c r="W52" s="2"/>
      <c r="X52" s="6">
        <f t="shared" si="37"/>
        <v>-2498.7399999999998</v>
      </c>
      <c r="Y52" s="2"/>
      <c r="Z52" s="7">
        <f t="shared" si="38"/>
        <v>-1</v>
      </c>
    </row>
    <row r="53" spans="1:26" s="27" customFormat="1" outlineLevel="1" collapsed="1" x14ac:dyDescent="0.25">
      <c r="A53" s="26"/>
      <c r="B53" s="12" t="str">
        <f>CONCATENATE("     ","Repair and Maintenance                            ")</f>
        <v xml:space="preserve">     Repair and Maintenance                            </v>
      </c>
      <c r="C53" s="12"/>
      <c r="D53" s="1">
        <f>SUM(OSRRefD22_9x_0)</f>
        <v>60.43</v>
      </c>
      <c r="E53" s="1"/>
      <c r="F53" s="5">
        <f t="shared" si="31"/>
        <v>0</v>
      </c>
      <c r="G53" s="1"/>
      <c r="H53" s="1">
        <f>SUM(OSRRefH22_9x_0)</f>
        <v>60.6</v>
      </c>
      <c r="I53" s="1"/>
      <c r="J53" s="5">
        <f t="shared" si="32"/>
        <v>0</v>
      </c>
      <c r="K53" s="1"/>
      <c r="L53" s="1">
        <f t="shared" si="33"/>
        <v>-0.17000000000000171</v>
      </c>
      <c r="M53" s="1"/>
      <c r="N53" s="5">
        <f t="shared" si="34"/>
        <v>-2.8052805280528335E-3</v>
      </c>
      <c r="O53" s="12"/>
      <c r="P53" s="1">
        <f>SUM(OSRRefP22_9x_0)</f>
        <v>1737.5600000000002</v>
      </c>
      <c r="Q53" s="1"/>
      <c r="R53" s="5">
        <f t="shared" si="35"/>
        <v>0</v>
      </c>
      <c r="S53" s="1"/>
      <c r="T53" s="1">
        <f>SUM(OSRRefT22_9x_0)</f>
        <v>5516.92</v>
      </c>
      <c r="U53" s="1"/>
      <c r="V53" s="5">
        <f t="shared" si="36"/>
        <v>1.451920929508151E-2</v>
      </c>
      <c r="W53" s="1"/>
      <c r="X53" s="1">
        <f t="shared" si="37"/>
        <v>-3779.3599999999997</v>
      </c>
      <c r="Y53" s="1"/>
      <c r="Z53" s="5">
        <f t="shared" si="38"/>
        <v>-0.6850489040986637</v>
      </c>
    </row>
    <row r="54" spans="1:26" s="23" customFormat="1" hidden="1" outlineLevel="2" x14ac:dyDescent="0.25">
      <c r="A54" s="25"/>
      <c r="B54" s="10" t="str">
        <f>CONCATENATE("          ", "6371", " - ", "COMPUTER SOFTWARE MAINTENANCE")</f>
        <v xml:space="preserve">          6371 - COMPUTER SOFTWARE MAINTENANCE</v>
      </c>
      <c r="C54" s="10"/>
      <c r="D54" s="6"/>
      <c r="E54" s="2"/>
      <c r="F54" s="7">
        <f t="shared" si="31"/>
        <v>0</v>
      </c>
      <c r="G54" s="2"/>
      <c r="H54" s="6"/>
      <c r="I54" s="2"/>
      <c r="J54" s="7">
        <f t="shared" si="32"/>
        <v>0</v>
      </c>
      <c r="K54" s="2"/>
      <c r="L54" s="6">
        <f t="shared" si="33"/>
        <v>0</v>
      </c>
      <c r="M54" s="2"/>
      <c r="N54" s="7">
        <f t="shared" si="34"/>
        <v>0</v>
      </c>
      <c r="O54" s="10"/>
      <c r="P54" s="6"/>
      <c r="Q54" s="2"/>
      <c r="R54" s="7">
        <f t="shared" si="35"/>
        <v>0</v>
      </c>
      <c r="S54" s="2"/>
      <c r="T54" s="6">
        <v>0</v>
      </c>
      <c r="U54" s="2"/>
      <c r="V54" s="7">
        <f t="shared" si="36"/>
        <v>0</v>
      </c>
      <c r="W54" s="2"/>
      <c r="X54" s="6">
        <f t="shared" si="37"/>
        <v>0</v>
      </c>
      <c r="Y54" s="2"/>
      <c r="Z54" s="7">
        <f t="shared" si="38"/>
        <v>0</v>
      </c>
    </row>
    <row r="55" spans="1:26" s="23" customFormat="1" hidden="1" outlineLevel="2" x14ac:dyDescent="0.25">
      <c r="A55" s="25"/>
      <c r="B55" s="10" t="str">
        <f>CONCATENATE("          ", "6373", " - ", "MAINTENANCE CONTRACTS")</f>
        <v xml:space="preserve">          6373 - MAINTENANCE CONTRACTS</v>
      </c>
      <c r="C55" s="10"/>
      <c r="D55" s="6">
        <v>60.43</v>
      </c>
      <c r="E55" s="2"/>
      <c r="F55" s="7">
        <f t="shared" si="31"/>
        <v>0</v>
      </c>
      <c r="G55" s="2"/>
      <c r="H55" s="6">
        <v>60.6</v>
      </c>
      <c r="I55" s="2"/>
      <c r="J55" s="7">
        <f t="shared" si="32"/>
        <v>0</v>
      </c>
      <c r="K55" s="2"/>
      <c r="L55" s="6">
        <f t="shared" si="33"/>
        <v>-0.17000000000000171</v>
      </c>
      <c r="M55" s="2"/>
      <c r="N55" s="7">
        <f t="shared" si="34"/>
        <v>-2.8052805280528335E-3</v>
      </c>
      <c r="O55" s="10"/>
      <c r="P55" s="6">
        <v>399.43</v>
      </c>
      <c r="Q55" s="2"/>
      <c r="R55" s="7">
        <f t="shared" si="35"/>
        <v>0</v>
      </c>
      <c r="S55" s="2"/>
      <c r="T55" s="6">
        <v>1192.48</v>
      </c>
      <c r="U55" s="2"/>
      <c r="V55" s="7">
        <f t="shared" si="36"/>
        <v>3.1383211466178228E-3</v>
      </c>
      <c r="W55" s="2"/>
      <c r="X55" s="6">
        <f t="shared" si="37"/>
        <v>-793.05</v>
      </c>
      <c r="Y55" s="2"/>
      <c r="Z55" s="7">
        <f t="shared" si="38"/>
        <v>-0.66504260029518314</v>
      </c>
    </row>
    <row r="56" spans="1:26" s="23" customFormat="1" hidden="1" outlineLevel="2" x14ac:dyDescent="0.25">
      <c r="A56" s="25"/>
      <c r="B56" s="10" t="str">
        <f>CONCATENATE("          ", "6375", " - ", "OUTSIDE REPAIRS &amp; MAINTENANCE")</f>
        <v xml:space="preserve">          6375 - OUTSIDE REPAIRS &amp; MAINTENANCE</v>
      </c>
      <c r="C56" s="10"/>
      <c r="D56" s="6"/>
      <c r="E56" s="2"/>
      <c r="F56" s="7">
        <f t="shared" si="31"/>
        <v>0</v>
      </c>
      <c r="G56" s="2"/>
      <c r="H56" s="6"/>
      <c r="I56" s="2"/>
      <c r="J56" s="7">
        <f t="shared" si="32"/>
        <v>0</v>
      </c>
      <c r="K56" s="2"/>
      <c r="L56" s="6">
        <f t="shared" si="33"/>
        <v>0</v>
      </c>
      <c r="M56" s="2"/>
      <c r="N56" s="7">
        <f t="shared" si="34"/>
        <v>0</v>
      </c>
      <c r="O56" s="10"/>
      <c r="P56" s="6">
        <v>1338.13</v>
      </c>
      <c r="Q56" s="2"/>
      <c r="R56" s="7">
        <f t="shared" si="35"/>
        <v>0</v>
      </c>
      <c r="S56" s="2"/>
      <c r="T56" s="6">
        <v>4324.4399999999996</v>
      </c>
      <c r="U56" s="2"/>
      <c r="V56" s="7">
        <f t="shared" si="36"/>
        <v>1.1380888148463686E-2</v>
      </c>
      <c r="W56" s="2"/>
      <c r="X56" s="6">
        <f t="shared" si="37"/>
        <v>-2986.3099999999995</v>
      </c>
      <c r="Y56" s="2"/>
      <c r="Z56" s="7">
        <f t="shared" si="38"/>
        <v>-0.69056571486712726</v>
      </c>
    </row>
    <row r="57" spans="1:26" s="27" customFormat="1" outlineLevel="1" collapsed="1" x14ac:dyDescent="0.25">
      <c r="A57" s="26"/>
      <c r="B57" s="12" t="str">
        <f>CONCATENATE("     ","Services                                          ")</f>
        <v xml:space="preserve">     Services                                          </v>
      </c>
      <c r="C57" s="12"/>
      <c r="D57" s="1">
        <f>SUM(OSRRefD22_10x_0)</f>
        <v>0</v>
      </c>
      <c r="E57" s="1"/>
      <c r="F57" s="5">
        <f t="shared" ref="F57:F60" si="39">IF(D$12=0,0,D57/D$12)</f>
        <v>0</v>
      </c>
      <c r="G57" s="1"/>
      <c r="H57" s="1">
        <f>SUM(OSRRefH22_10x_0)</f>
        <v>0</v>
      </c>
      <c r="I57" s="1"/>
      <c r="J57" s="5">
        <f t="shared" ref="J57:J60" si="40">IF(H$12=0,0,H57/H$12)</f>
        <v>0</v>
      </c>
      <c r="K57" s="1"/>
      <c r="L57" s="1">
        <f t="shared" ref="L57:L60" si="41">+D57-H57</f>
        <v>0</v>
      </c>
      <c r="M57" s="1"/>
      <c r="N57" s="5">
        <f t="shared" ref="N57:N60" si="42">IF(H57=0,0,L57/H57)</f>
        <v>0</v>
      </c>
      <c r="O57" s="12"/>
      <c r="P57" s="1">
        <f>SUM(OSRRefP22_10x_0)</f>
        <v>320.58</v>
      </c>
      <c r="Q57" s="1"/>
      <c r="R57" s="5">
        <f t="shared" ref="R57:R60" si="43">IF(P$12=0,0,P57/P$12)</f>
        <v>0</v>
      </c>
      <c r="S57" s="1"/>
      <c r="T57" s="1">
        <f>SUM(OSRRefT22_10x_0)</f>
        <v>19714.809999999998</v>
      </c>
      <c r="U57" s="1"/>
      <c r="V57" s="5">
        <f t="shared" ref="V57:V60" si="44">IF(T$12=0,0,T57/T$12)</f>
        <v>5.18846480650011E-2</v>
      </c>
      <c r="W57" s="1"/>
      <c r="X57" s="1">
        <f t="shared" ref="X57:X60" si="45">+P57-T57</f>
        <v>-19394.229999999996</v>
      </c>
      <c r="Y57" s="1"/>
      <c r="Z57" s="5">
        <f t="shared" ref="Z57:Z60" si="46">IF(T57=0,0,X57/T57)</f>
        <v>-0.98373912809710051</v>
      </c>
    </row>
    <row r="58" spans="1:26" s="23" customFormat="1" hidden="1" outlineLevel="2" x14ac:dyDescent="0.25">
      <c r="A58" s="25"/>
      <c r="B58" s="10" t="str">
        <f>CONCATENATE("          ", "6283", " - ", "PLANT SERVICE")</f>
        <v xml:space="preserve">          6283 - PLANT SERVICE</v>
      </c>
      <c r="C58" s="10"/>
      <c r="D58" s="6"/>
      <c r="E58" s="2"/>
      <c r="F58" s="7">
        <f t="shared" si="39"/>
        <v>0</v>
      </c>
      <c r="G58" s="2"/>
      <c r="H58" s="6"/>
      <c r="I58" s="2"/>
      <c r="J58" s="7">
        <f t="shared" si="40"/>
        <v>0</v>
      </c>
      <c r="K58" s="2"/>
      <c r="L58" s="6">
        <f t="shared" si="41"/>
        <v>0</v>
      </c>
      <c r="M58" s="2"/>
      <c r="N58" s="7">
        <f t="shared" si="42"/>
        <v>0</v>
      </c>
      <c r="O58" s="10"/>
      <c r="P58" s="6"/>
      <c r="Q58" s="2"/>
      <c r="R58" s="7">
        <f t="shared" si="43"/>
        <v>0</v>
      </c>
      <c r="S58" s="2"/>
      <c r="T58" s="6">
        <v>566.54999999999995</v>
      </c>
      <c r="U58" s="2"/>
      <c r="V58" s="7">
        <f t="shared" si="44"/>
        <v>1.4910236193616056E-3</v>
      </c>
      <c r="W58" s="2"/>
      <c r="X58" s="6">
        <f t="shared" si="45"/>
        <v>-566.54999999999995</v>
      </c>
      <c r="Y58" s="2"/>
      <c r="Z58" s="7">
        <f t="shared" si="46"/>
        <v>-1</v>
      </c>
    </row>
    <row r="59" spans="1:26" s="23" customFormat="1" hidden="1" outlineLevel="2" x14ac:dyDescent="0.25">
      <c r="A59" s="25"/>
      <c r="B59" s="10" t="str">
        <f>CONCATENATE("          ", "6285", " - ", "JANITORIAL SERVICES")</f>
        <v xml:space="preserve">          6285 - JANITORIAL SERVICES</v>
      </c>
      <c r="C59" s="10"/>
      <c r="D59" s="6"/>
      <c r="E59" s="2"/>
      <c r="F59" s="7">
        <f t="shared" si="39"/>
        <v>0</v>
      </c>
      <c r="G59" s="2"/>
      <c r="H59" s="6"/>
      <c r="I59" s="2"/>
      <c r="J59" s="7">
        <f t="shared" si="40"/>
        <v>0</v>
      </c>
      <c r="K59" s="2"/>
      <c r="L59" s="6">
        <f t="shared" si="41"/>
        <v>0</v>
      </c>
      <c r="M59" s="2"/>
      <c r="N59" s="7">
        <f t="shared" si="42"/>
        <v>0</v>
      </c>
      <c r="O59" s="10"/>
      <c r="P59" s="6"/>
      <c r="Q59" s="2"/>
      <c r="R59" s="7">
        <f t="shared" si="43"/>
        <v>0</v>
      </c>
      <c r="S59" s="2"/>
      <c r="T59" s="6">
        <v>517.04999999999995</v>
      </c>
      <c r="U59" s="2"/>
      <c r="V59" s="7">
        <f t="shared" si="44"/>
        <v>1.3607515001163501E-3</v>
      </c>
      <c r="W59" s="2"/>
      <c r="X59" s="6">
        <f t="shared" si="45"/>
        <v>-517.04999999999995</v>
      </c>
      <c r="Y59" s="2"/>
      <c r="Z59" s="7">
        <f t="shared" si="46"/>
        <v>-1</v>
      </c>
    </row>
    <row r="60" spans="1:26" s="23" customFormat="1" hidden="1" outlineLevel="2" x14ac:dyDescent="0.25">
      <c r="A60" s="25"/>
      <c r="B60" s="10" t="str">
        <f>CONCATENATE("          ", "6286", " - ", "LAUNDRY EXPENSE")</f>
        <v xml:space="preserve">          6286 - LAUNDRY EXPENSE</v>
      </c>
      <c r="C60" s="10"/>
      <c r="D60" s="6"/>
      <c r="E60" s="2"/>
      <c r="F60" s="7">
        <f t="shared" si="39"/>
        <v>0</v>
      </c>
      <c r="G60" s="2"/>
      <c r="H60" s="6"/>
      <c r="I60" s="2"/>
      <c r="J60" s="7">
        <f t="shared" si="40"/>
        <v>0</v>
      </c>
      <c r="K60" s="2"/>
      <c r="L60" s="6">
        <f t="shared" si="41"/>
        <v>0</v>
      </c>
      <c r="M60" s="2"/>
      <c r="N60" s="7">
        <f t="shared" si="42"/>
        <v>0</v>
      </c>
      <c r="O60" s="10"/>
      <c r="P60" s="6">
        <v>320.58</v>
      </c>
      <c r="Q60" s="2"/>
      <c r="R60" s="7">
        <f t="shared" si="43"/>
        <v>0</v>
      </c>
      <c r="S60" s="2"/>
      <c r="T60" s="6">
        <v>18631.21</v>
      </c>
      <c r="U60" s="2"/>
      <c r="V60" s="7">
        <f t="shared" si="44"/>
        <v>4.9032872945523144E-2</v>
      </c>
      <c r="W60" s="2"/>
      <c r="X60" s="6">
        <f t="shared" si="45"/>
        <v>-18310.629999999997</v>
      </c>
      <c r="Y60" s="2"/>
      <c r="Z60" s="7">
        <f t="shared" si="46"/>
        <v>-0.98279338808375827</v>
      </c>
    </row>
    <row r="61" spans="1:26" s="27" customFormat="1" outlineLevel="1" collapsed="1" x14ac:dyDescent="0.25">
      <c r="A61" s="26"/>
      <c r="B61" s="12" t="str">
        <f>CONCATENATE("     ","Supplies                                          ")</f>
        <v xml:space="preserve">     Supplies                                          </v>
      </c>
      <c r="C61" s="12"/>
      <c r="D61" s="1">
        <f>SUM(OSRRefD22_11x_0)</f>
        <v>-1048.8</v>
      </c>
      <c r="E61" s="1"/>
      <c r="F61" s="5">
        <f t="shared" ref="F61:F67" si="47">IF(D$12=0,0,D61/D$12)</f>
        <v>0</v>
      </c>
      <c r="G61" s="1"/>
      <c r="H61" s="1">
        <f>SUM(OSRRefH22_11x_0)</f>
        <v>1048.8</v>
      </c>
      <c r="I61" s="1"/>
      <c r="J61" s="5">
        <f t="shared" ref="J61:J67" si="48">IF(H$12=0,0,H61/H$12)</f>
        <v>0</v>
      </c>
      <c r="K61" s="1"/>
      <c r="L61" s="1">
        <f t="shared" ref="L61:L67" si="49">+D61-H61</f>
        <v>-2097.6</v>
      </c>
      <c r="M61" s="1"/>
      <c r="N61" s="5">
        <f t="shared" ref="N61:N67" si="50">IF(H61=0,0,L61/H61)</f>
        <v>-2</v>
      </c>
      <c r="O61" s="12"/>
      <c r="P61" s="1">
        <f>SUM(OSRRefP22_11x_0)</f>
        <v>-1048.8</v>
      </c>
      <c r="Q61" s="1"/>
      <c r="R61" s="5">
        <f t="shared" ref="R61:R67" si="51">IF(P$12=0,0,P61/P$12)</f>
        <v>0</v>
      </c>
      <c r="S61" s="1"/>
      <c r="T61" s="1">
        <f>SUM(OSRRefT22_11x_0)</f>
        <v>13532.82</v>
      </c>
      <c r="U61" s="1"/>
      <c r="V61" s="5">
        <f t="shared" ref="V61:V67" si="52">IF(T$12=0,0,T61/T$12)</f>
        <v>3.5615134156860156E-2</v>
      </c>
      <c r="W61" s="1"/>
      <c r="X61" s="1">
        <f t="shared" ref="X61:X67" si="53">+P61-T61</f>
        <v>-14581.619999999999</v>
      </c>
      <c r="Y61" s="1"/>
      <c r="Z61" s="5">
        <f t="shared" ref="Z61:Z67" si="54">IF(T61=0,0,X61/T61)</f>
        <v>-1.0775004766190639</v>
      </c>
    </row>
    <row r="62" spans="1:26" s="23" customFormat="1" hidden="1" outlineLevel="2" x14ac:dyDescent="0.25">
      <c r="A62" s="25"/>
      <c r="B62" s="10" t="str">
        <f>CONCATENATE("          ", "6234", " - ", "EXPENDABLE SUPPLIES &amp; EQUIPMEN")</f>
        <v xml:space="preserve">          6234 - EXPENDABLE SUPPLIES &amp; EQUIPMEN</v>
      </c>
      <c r="C62" s="10"/>
      <c r="D62" s="6">
        <v>-1048.8</v>
      </c>
      <c r="E62" s="2"/>
      <c r="F62" s="7">
        <f t="shared" si="47"/>
        <v>0</v>
      </c>
      <c r="G62" s="2"/>
      <c r="H62" s="6">
        <v>1048.8</v>
      </c>
      <c r="I62" s="2"/>
      <c r="J62" s="7">
        <f t="shared" si="48"/>
        <v>0</v>
      </c>
      <c r="K62" s="2"/>
      <c r="L62" s="6">
        <f t="shared" si="49"/>
        <v>-2097.6</v>
      </c>
      <c r="M62" s="2"/>
      <c r="N62" s="7">
        <f t="shared" si="50"/>
        <v>-2</v>
      </c>
      <c r="O62" s="10"/>
      <c r="P62" s="6">
        <v>-1048.8</v>
      </c>
      <c r="Q62" s="2"/>
      <c r="R62" s="7">
        <f t="shared" si="51"/>
        <v>0</v>
      </c>
      <c r="S62" s="2"/>
      <c r="T62" s="6">
        <v>2073.9</v>
      </c>
      <c r="U62" s="2"/>
      <c r="V62" s="7">
        <f t="shared" si="52"/>
        <v>5.4580070323784905E-3</v>
      </c>
      <c r="W62" s="2"/>
      <c r="X62" s="6">
        <f t="shared" si="53"/>
        <v>-3122.7</v>
      </c>
      <c r="Y62" s="2"/>
      <c r="Z62" s="7">
        <f t="shared" si="54"/>
        <v>-1.5057138724142918</v>
      </c>
    </row>
    <row r="63" spans="1:26" s="23" customFormat="1" hidden="1" outlineLevel="2" x14ac:dyDescent="0.25">
      <c r="A63" s="25"/>
      <c r="B63" s="10" t="str">
        <f>CONCATENATE("          ", "6239", " - ", "KITCHEN SUPPLIES")</f>
        <v xml:space="preserve">          6239 - KITCHEN SUPPLIES</v>
      </c>
      <c r="C63" s="10"/>
      <c r="D63" s="6"/>
      <c r="E63" s="2"/>
      <c r="F63" s="7">
        <f t="shared" si="47"/>
        <v>0</v>
      </c>
      <c r="G63" s="2"/>
      <c r="H63" s="6"/>
      <c r="I63" s="2"/>
      <c r="J63" s="7">
        <f t="shared" si="48"/>
        <v>0</v>
      </c>
      <c r="K63" s="2"/>
      <c r="L63" s="6">
        <f t="shared" si="49"/>
        <v>0</v>
      </c>
      <c r="M63" s="2"/>
      <c r="N63" s="7">
        <f t="shared" si="50"/>
        <v>0</v>
      </c>
      <c r="O63" s="10"/>
      <c r="P63" s="6"/>
      <c r="Q63" s="2"/>
      <c r="R63" s="7">
        <f t="shared" si="51"/>
        <v>0</v>
      </c>
      <c r="S63" s="2"/>
      <c r="T63" s="6">
        <v>3652.68</v>
      </c>
      <c r="U63" s="2"/>
      <c r="V63" s="7">
        <f t="shared" si="52"/>
        <v>9.6129770611062555E-3</v>
      </c>
      <c r="W63" s="2"/>
      <c r="X63" s="6">
        <f t="shared" si="53"/>
        <v>-3652.68</v>
      </c>
      <c r="Y63" s="2"/>
      <c r="Z63" s="7">
        <f t="shared" si="54"/>
        <v>-1</v>
      </c>
    </row>
    <row r="64" spans="1:26" s="23" customFormat="1" hidden="1" outlineLevel="2" x14ac:dyDescent="0.25">
      <c r="A64" s="25"/>
      <c r="B64" s="10" t="str">
        <f>CONCATENATE("          ", "6241", " - ", "OFFICE EXPENSE")</f>
        <v xml:space="preserve">          6241 - OFFICE EXPENSE</v>
      </c>
      <c r="C64" s="10"/>
      <c r="D64" s="6"/>
      <c r="E64" s="2"/>
      <c r="F64" s="7">
        <f t="shared" si="47"/>
        <v>0</v>
      </c>
      <c r="G64" s="2"/>
      <c r="H64" s="6"/>
      <c r="I64" s="2"/>
      <c r="J64" s="7">
        <f t="shared" si="48"/>
        <v>0</v>
      </c>
      <c r="K64" s="2"/>
      <c r="L64" s="6">
        <f t="shared" si="49"/>
        <v>0</v>
      </c>
      <c r="M64" s="2"/>
      <c r="N64" s="7">
        <f t="shared" si="50"/>
        <v>0</v>
      </c>
      <c r="O64" s="10"/>
      <c r="P64" s="6"/>
      <c r="Q64" s="2"/>
      <c r="R64" s="7">
        <f t="shared" si="51"/>
        <v>0</v>
      </c>
      <c r="S64" s="2"/>
      <c r="T64" s="6">
        <v>786.78</v>
      </c>
      <c r="U64" s="2"/>
      <c r="V64" s="7">
        <f t="shared" si="52"/>
        <v>2.0706161208036786E-3</v>
      </c>
      <c r="W64" s="2"/>
      <c r="X64" s="6">
        <f t="shared" si="53"/>
        <v>-786.78</v>
      </c>
      <c r="Y64" s="2"/>
      <c r="Z64" s="7">
        <f t="shared" si="54"/>
        <v>-1</v>
      </c>
    </row>
    <row r="65" spans="1:26" s="23" customFormat="1" hidden="1" outlineLevel="2" x14ac:dyDescent="0.25">
      <c r="A65" s="25"/>
      <c r="B65" s="10" t="str">
        <f>CONCATENATE("          ", "6243", " - ", "PAPER SUPPLIES")</f>
        <v xml:space="preserve">          6243 - PAPER SUPPLIES</v>
      </c>
      <c r="C65" s="10"/>
      <c r="D65" s="6"/>
      <c r="E65" s="2"/>
      <c r="F65" s="7">
        <f t="shared" si="47"/>
        <v>0</v>
      </c>
      <c r="G65" s="2"/>
      <c r="H65" s="6"/>
      <c r="I65" s="2"/>
      <c r="J65" s="7">
        <f t="shared" si="48"/>
        <v>0</v>
      </c>
      <c r="K65" s="2"/>
      <c r="L65" s="6">
        <f t="shared" si="49"/>
        <v>0</v>
      </c>
      <c r="M65" s="2"/>
      <c r="N65" s="7">
        <f t="shared" si="50"/>
        <v>0</v>
      </c>
      <c r="O65" s="10"/>
      <c r="P65" s="6"/>
      <c r="Q65" s="2"/>
      <c r="R65" s="7">
        <f t="shared" si="51"/>
        <v>0</v>
      </c>
      <c r="S65" s="2"/>
      <c r="T65" s="6">
        <v>5217.22</v>
      </c>
      <c r="U65" s="2"/>
      <c r="V65" s="7">
        <f t="shared" si="52"/>
        <v>1.3730470827651145E-2</v>
      </c>
      <c r="W65" s="2"/>
      <c r="X65" s="6">
        <f t="shared" si="53"/>
        <v>-5217.22</v>
      </c>
      <c r="Y65" s="2"/>
      <c r="Z65" s="7">
        <f t="shared" si="54"/>
        <v>-1</v>
      </c>
    </row>
    <row r="66" spans="1:26" s="23" customFormat="1" hidden="1" outlineLevel="2" x14ac:dyDescent="0.25">
      <c r="A66" s="25"/>
      <c r="B66" s="10" t="str">
        <f>CONCATENATE("          ", "6247", " - ", "STORE SUPPLIES")</f>
        <v xml:space="preserve">          6247 - STORE SUPPLIES</v>
      </c>
      <c r="C66" s="10"/>
      <c r="D66" s="6"/>
      <c r="E66" s="2"/>
      <c r="F66" s="7">
        <f t="shared" si="47"/>
        <v>0</v>
      </c>
      <c r="G66" s="2"/>
      <c r="H66" s="6"/>
      <c r="I66" s="2"/>
      <c r="J66" s="7">
        <f t="shared" si="48"/>
        <v>0</v>
      </c>
      <c r="K66" s="2"/>
      <c r="L66" s="6">
        <f t="shared" si="49"/>
        <v>0</v>
      </c>
      <c r="M66" s="2"/>
      <c r="N66" s="7">
        <f t="shared" si="50"/>
        <v>0</v>
      </c>
      <c r="O66" s="10"/>
      <c r="P66" s="6"/>
      <c r="Q66" s="2"/>
      <c r="R66" s="7">
        <f t="shared" si="51"/>
        <v>0</v>
      </c>
      <c r="S66" s="2"/>
      <c r="T66" s="6">
        <v>509.58</v>
      </c>
      <c r="U66" s="2"/>
      <c r="V66" s="7">
        <f t="shared" si="52"/>
        <v>1.3410922530302479E-3</v>
      </c>
      <c r="W66" s="2"/>
      <c r="X66" s="6">
        <f t="shared" si="53"/>
        <v>-509.58</v>
      </c>
      <c r="Y66" s="2"/>
      <c r="Z66" s="7">
        <f t="shared" si="54"/>
        <v>-1</v>
      </c>
    </row>
    <row r="67" spans="1:26" s="23" customFormat="1" hidden="1" outlineLevel="2" x14ac:dyDescent="0.25">
      <c r="A67" s="25"/>
      <c r="B67" s="10" t="str">
        <f>CONCATENATE("          ", "6248", " - ", "UNIFORMS")</f>
        <v xml:space="preserve">          6248 - UNIFORMS</v>
      </c>
      <c r="C67" s="10"/>
      <c r="D67" s="6"/>
      <c r="E67" s="2"/>
      <c r="F67" s="7">
        <f t="shared" si="47"/>
        <v>0</v>
      </c>
      <c r="G67" s="2"/>
      <c r="H67" s="6"/>
      <c r="I67" s="2"/>
      <c r="J67" s="7">
        <f t="shared" si="48"/>
        <v>0</v>
      </c>
      <c r="K67" s="2"/>
      <c r="L67" s="6">
        <f t="shared" si="49"/>
        <v>0</v>
      </c>
      <c r="M67" s="2"/>
      <c r="N67" s="7">
        <f t="shared" si="50"/>
        <v>0</v>
      </c>
      <c r="O67" s="10"/>
      <c r="P67" s="6"/>
      <c r="Q67" s="2"/>
      <c r="R67" s="7">
        <f t="shared" si="51"/>
        <v>0</v>
      </c>
      <c r="S67" s="2"/>
      <c r="T67" s="6">
        <v>1292.6600000000001</v>
      </c>
      <c r="U67" s="2"/>
      <c r="V67" s="7">
        <f t="shared" si="52"/>
        <v>3.4019708618903419E-3</v>
      </c>
      <c r="W67" s="2"/>
      <c r="X67" s="6">
        <f t="shared" si="53"/>
        <v>-1292.6600000000001</v>
      </c>
      <c r="Y67" s="2"/>
      <c r="Z67" s="7">
        <f t="shared" si="54"/>
        <v>-1</v>
      </c>
    </row>
    <row r="68" spans="1:26" s="27" customFormat="1" outlineLevel="1" collapsed="1" x14ac:dyDescent="0.25">
      <c r="A68" s="26"/>
      <c r="B68" s="12" t="str">
        <f>CONCATENATE("     ","Telephone/Data Lines                              ")</f>
        <v xml:space="preserve">     Telephone/Data Lines                              </v>
      </c>
      <c r="C68" s="12"/>
      <c r="D68" s="1">
        <f>SUM(OSRRefD22_12x_0)</f>
        <v>36</v>
      </c>
      <c r="E68" s="1"/>
      <c r="F68" s="5">
        <f t="shared" ref="F68:F71" si="55">IF(D$12=0,0,D68/D$12)</f>
        <v>0</v>
      </c>
      <c r="G68" s="1"/>
      <c r="H68" s="1">
        <f>SUM(OSRRefH22_12x_0)</f>
        <v>6.81</v>
      </c>
      <c r="I68" s="1"/>
      <c r="J68" s="5">
        <f t="shared" ref="J68:J71" si="56">IF(H$12=0,0,H68/H$12)</f>
        <v>0</v>
      </c>
      <c r="K68" s="1"/>
      <c r="L68" s="1">
        <f t="shared" ref="L68:L71" si="57">+D68-H68</f>
        <v>29.19</v>
      </c>
      <c r="M68" s="1"/>
      <c r="N68" s="5">
        <f t="shared" ref="N68:N71" si="58">IF(H68=0,0,L68/H68)</f>
        <v>4.286343612334802</v>
      </c>
      <c r="O68" s="12"/>
      <c r="P68" s="1">
        <f>SUM(OSRRefP22_12x_0)</f>
        <v>509.03</v>
      </c>
      <c r="Q68" s="1"/>
      <c r="R68" s="5">
        <f t="shared" ref="R68:R71" si="59">IF(P$12=0,0,P68/P$12)</f>
        <v>0</v>
      </c>
      <c r="S68" s="1"/>
      <c r="T68" s="1">
        <f>SUM(OSRRefT22_12x_0)</f>
        <v>2074.79</v>
      </c>
      <c r="U68" s="1"/>
      <c r="V68" s="5">
        <f t="shared" ref="V68:V71" si="60">IF(T$12=0,0,T68/T$12)</f>
        <v>5.4603492987649205E-3</v>
      </c>
      <c r="W68" s="1"/>
      <c r="X68" s="1">
        <f t="shared" ref="X68:X71" si="61">+P68-T68</f>
        <v>-1565.76</v>
      </c>
      <c r="Y68" s="1"/>
      <c r="Z68" s="5">
        <f t="shared" ref="Z68:Z71" si="62">IF(T68=0,0,X68/T68)</f>
        <v>-0.75465950770921397</v>
      </c>
    </row>
    <row r="69" spans="1:26" s="23" customFormat="1" hidden="1" outlineLevel="2" x14ac:dyDescent="0.25">
      <c r="A69" s="25"/>
      <c r="B69" s="10" t="str">
        <f>CONCATENATE("          ", "6309", " - ", "TELEPHONE")</f>
        <v xml:space="preserve">          6309 - TELEPHONE</v>
      </c>
      <c r="C69" s="10"/>
      <c r="D69" s="6">
        <v>36</v>
      </c>
      <c r="E69" s="2"/>
      <c r="F69" s="7">
        <f t="shared" si="55"/>
        <v>0</v>
      </c>
      <c r="G69" s="2"/>
      <c r="H69" s="6">
        <v>6.81</v>
      </c>
      <c r="I69" s="2"/>
      <c r="J69" s="7">
        <f t="shared" si="56"/>
        <v>0</v>
      </c>
      <c r="K69" s="2"/>
      <c r="L69" s="6">
        <f t="shared" si="57"/>
        <v>29.19</v>
      </c>
      <c r="M69" s="2"/>
      <c r="N69" s="7">
        <f t="shared" si="58"/>
        <v>4.286343612334802</v>
      </c>
      <c r="O69" s="10"/>
      <c r="P69" s="6">
        <v>509.03</v>
      </c>
      <c r="Q69" s="2"/>
      <c r="R69" s="7">
        <f t="shared" si="59"/>
        <v>0</v>
      </c>
      <c r="S69" s="2"/>
      <c r="T69" s="6">
        <v>2074.79</v>
      </c>
      <c r="U69" s="2"/>
      <c r="V69" s="7">
        <f t="shared" si="60"/>
        <v>5.4603492987649205E-3</v>
      </c>
      <c r="W69" s="2"/>
      <c r="X69" s="6">
        <f t="shared" si="61"/>
        <v>-1565.76</v>
      </c>
      <c r="Y69" s="2"/>
      <c r="Z69" s="7">
        <f t="shared" si="62"/>
        <v>-0.75465950770921397</v>
      </c>
    </row>
    <row r="70" spans="1:26" s="27" customFormat="1" outlineLevel="1" collapsed="1" x14ac:dyDescent="0.25">
      <c r="A70" s="26"/>
      <c r="B70" s="12" t="str">
        <f>CONCATENATE("     ","Training                                          ")</f>
        <v xml:space="preserve">     Training                                          </v>
      </c>
      <c r="C70" s="12"/>
      <c r="D70" s="1">
        <f>SUM(OSRRefD22_13x_0)</f>
        <v>0</v>
      </c>
      <c r="E70" s="1"/>
      <c r="F70" s="5">
        <f t="shared" si="55"/>
        <v>0</v>
      </c>
      <c r="G70" s="1"/>
      <c r="H70" s="1">
        <f>SUM(OSRRefH22_13x_0)</f>
        <v>0</v>
      </c>
      <c r="I70" s="1"/>
      <c r="J70" s="5">
        <f t="shared" si="56"/>
        <v>0</v>
      </c>
      <c r="K70" s="1"/>
      <c r="L70" s="1">
        <f t="shared" si="57"/>
        <v>0</v>
      </c>
      <c r="M70" s="1"/>
      <c r="N70" s="5">
        <f t="shared" si="58"/>
        <v>0</v>
      </c>
      <c r="O70" s="12"/>
      <c r="P70" s="1">
        <f>SUM(OSRRefP22_13x_0)</f>
        <v>0</v>
      </c>
      <c r="Q70" s="1"/>
      <c r="R70" s="5">
        <f t="shared" si="59"/>
        <v>0</v>
      </c>
      <c r="S70" s="1"/>
      <c r="T70" s="1">
        <f>SUM(OSRRefT22_13x_0)</f>
        <v>175</v>
      </c>
      <c r="U70" s="1"/>
      <c r="V70" s="5">
        <f t="shared" si="60"/>
        <v>4.605579973317112E-4</v>
      </c>
      <c r="W70" s="1"/>
      <c r="X70" s="1">
        <f t="shared" si="61"/>
        <v>-175</v>
      </c>
      <c r="Y70" s="1"/>
      <c r="Z70" s="5">
        <f t="shared" si="62"/>
        <v>-1</v>
      </c>
    </row>
    <row r="71" spans="1:26" s="23" customFormat="1" hidden="1" outlineLevel="2" x14ac:dyDescent="0.25">
      <c r="A71" s="25"/>
      <c r="B71" s="10" t="str">
        <f>CONCATENATE("          ", "6376", " - ", "TRAINING")</f>
        <v xml:space="preserve">          6376 - TRAINING</v>
      </c>
      <c r="C71" s="10"/>
      <c r="D71" s="6"/>
      <c r="E71" s="2"/>
      <c r="F71" s="7">
        <f t="shared" si="55"/>
        <v>0</v>
      </c>
      <c r="G71" s="2"/>
      <c r="H71" s="6"/>
      <c r="I71" s="2"/>
      <c r="J71" s="7">
        <f t="shared" si="56"/>
        <v>0</v>
      </c>
      <c r="K71" s="2"/>
      <c r="L71" s="6">
        <f t="shared" si="57"/>
        <v>0</v>
      </c>
      <c r="M71" s="2"/>
      <c r="N71" s="7">
        <f t="shared" si="58"/>
        <v>0</v>
      </c>
      <c r="O71" s="10"/>
      <c r="P71" s="6"/>
      <c r="Q71" s="2"/>
      <c r="R71" s="7">
        <f t="shared" si="59"/>
        <v>0</v>
      </c>
      <c r="S71" s="2"/>
      <c r="T71" s="6">
        <v>175</v>
      </c>
      <c r="U71" s="2"/>
      <c r="V71" s="7">
        <f t="shared" si="60"/>
        <v>4.605579973317112E-4</v>
      </c>
      <c r="W71" s="2"/>
      <c r="X71" s="6">
        <f t="shared" si="61"/>
        <v>-175</v>
      </c>
      <c r="Y71" s="2"/>
      <c r="Z71" s="7">
        <f t="shared" si="62"/>
        <v>-1</v>
      </c>
    </row>
    <row r="72" spans="1:26" s="52" customFormat="1" x14ac:dyDescent="0.25">
      <c r="A72" s="37"/>
      <c r="B72" s="37"/>
      <c r="C72" s="37"/>
      <c r="D72" s="1"/>
      <c r="E72" s="1"/>
      <c r="F72" s="5"/>
      <c r="G72" s="1"/>
      <c r="H72" s="1"/>
      <c r="I72" s="1"/>
      <c r="J72" s="5"/>
      <c r="K72" s="1"/>
      <c r="L72" s="1"/>
      <c r="M72" s="1"/>
      <c r="N72" s="5"/>
      <c r="O72" s="37"/>
      <c r="P72" s="1"/>
      <c r="Q72" s="1"/>
      <c r="R72" s="5"/>
      <c r="S72" s="1"/>
      <c r="T72" s="1"/>
      <c r="U72" s="1"/>
      <c r="V72" s="5"/>
      <c r="W72" s="1"/>
      <c r="X72" s="1"/>
      <c r="Y72" s="1"/>
      <c r="Z72" s="5"/>
    </row>
    <row r="73" spans="1:26" s="24" customFormat="1" x14ac:dyDescent="0.25">
      <c r="A73" s="11"/>
      <c r="B73" s="29" t="s">
        <v>292</v>
      </c>
      <c r="C73" s="11"/>
      <c r="D73" s="4">
        <f>SUM(0)</f>
        <v>0</v>
      </c>
      <c r="E73" s="4"/>
      <c r="F73" s="13">
        <f>IF(D$12=0,0,D73/D$12)</f>
        <v>0</v>
      </c>
      <c r="G73" s="4"/>
      <c r="H73" s="4">
        <f>SUM(0)</f>
        <v>0</v>
      </c>
      <c r="I73" s="4"/>
      <c r="J73" s="13">
        <f>IF(H$12=0,0,H73/H$12)</f>
        <v>0</v>
      </c>
      <c r="K73" s="4"/>
      <c r="L73" s="4">
        <f>+D73-H73</f>
        <v>0</v>
      </c>
      <c r="M73" s="4"/>
      <c r="N73" s="13">
        <f>IF(H73=0,0,L73/H73)</f>
        <v>0</v>
      </c>
      <c r="O73" s="11"/>
      <c r="P73" s="4">
        <f>SUM(0)</f>
        <v>0</v>
      </c>
      <c r="Q73" s="4"/>
      <c r="R73" s="13">
        <f>IF(P$12=0,0,P73/P$12)</f>
        <v>0</v>
      </c>
      <c r="S73" s="4"/>
      <c r="T73" s="4">
        <f>SUM(0)</f>
        <v>0</v>
      </c>
      <c r="U73" s="4"/>
      <c r="V73" s="13">
        <f>IF(T$12=0,0,T73/T$12)</f>
        <v>0</v>
      </c>
      <c r="W73" s="4"/>
      <c r="X73" s="4">
        <f>+P73-T73</f>
        <v>0</v>
      </c>
      <c r="Y73" s="4"/>
      <c r="Z73" s="13">
        <f>IF(T73=0,0,X73/T73)</f>
        <v>0</v>
      </c>
    </row>
    <row r="74" spans="1:26" x14ac:dyDescent="0.25">
      <c r="A74" s="9"/>
      <c r="B74" s="11"/>
      <c r="C74" s="11"/>
      <c r="D74" s="3"/>
      <c r="E74" s="3"/>
      <c r="F74" s="8"/>
      <c r="G74" s="3"/>
      <c r="H74" s="3"/>
      <c r="I74" s="3"/>
      <c r="J74" s="8"/>
      <c r="K74" s="3"/>
      <c r="L74" s="3"/>
      <c r="M74" s="3"/>
      <c r="N74" s="8"/>
      <c r="O74" s="11"/>
      <c r="P74" s="3"/>
      <c r="Q74" s="3"/>
      <c r="R74" s="8"/>
      <c r="S74" s="3"/>
      <c r="T74" s="3"/>
      <c r="U74" s="3"/>
      <c r="V74" s="8"/>
      <c r="W74" s="3"/>
      <c r="X74" s="3"/>
      <c r="Y74" s="3"/>
      <c r="Z74" s="8"/>
    </row>
    <row r="75" spans="1:26" s="24" customFormat="1" x14ac:dyDescent="0.25">
      <c r="A75" s="11"/>
      <c r="B75" s="28" t="s">
        <v>276</v>
      </c>
      <c r="C75" s="28"/>
      <c r="D75" s="21">
        <f>+D20-D22+D73</f>
        <v>374.88</v>
      </c>
      <c r="E75" s="14"/>
      <c r="F75" s="22">
        <f>IF(D$12=0,0,D75/D$12)</f>
        <v>0</v>
      </c>
      <c r="G75" s="14"/>
      <c r="H75" s="21">
        <f>+H20-H22+H73</f>
        <v>-3023.48</v>
      </c>
      <c r="I75" s="14"/>
      <c r="J75" s="22">
        <f>IF(H$12=0,0,H75/H$12)</f>
        <v>0</v>
      </c>
      <c r="K75" s="15"/>
      <c r="L75" s="21">
        <f>+D75-H75</f>
        <v>3398.36</v>
      </c>
      <c r="M75" s="15"/>
      <c r="N75" s="22">
        <f>IF(H75=0,0,L75/H75)</f>
        <v>-1.1239895749269055</v>
      </c>
      <c r="O75" s="29"/>
      <c r="P75" s="21">
        <f>+P20-P22+P73</f>
        <v>-8802.0500000000011</v>
      </c>
      <c r="Q75" s="14"/>
      <c r="R75" s="22">
        <f>IF(P$12=0,0,P75/P$12)</f>
        <v>0</v>
      </c>
      <c r="S75" s="14"/>
      <c r="T75" s="21">
        <f>+T20-T22+T73</f>
        <v>-165581.64999999997</v>
      </c>
      <c r="U75" s="14"/>
      <c r="V75" s="22">
        <f>IF(T$12=0,0,T75/T$12)</f>
        <v>-0.43577116067931615</v>
      </c>
      <c r="W75" s="15"/>
      <c r="X75" s="21">
        <f>+P75-T75</f>
        <v>156779.59999999998</v>
      </c>
      <c r="Y75" s="15"/>
      <c r="Z75" s="22">
        <f>IF(T75=0,0,X75/T75)</f>
        <v>-0.94684163371967855</v>
      </c>
    </row>
    <row r="76" spans="1:26" x14ac:dyDescent="0.25">
      <c r="A76" s="9"/>
      <c r="B76" s="11"/>
      <c r="C76" s="9"/>
      <c r="D76" s="3"/>
      <c r="E76" s="3"/>
      <c r="F76" s="8"/>
      <c r="G76" s="3"/>
      <c r="H76" s="3"/>
      <c r="I76" s="3"/>
      <c r="J76" s="8"/>
      <c r="K76" s="3"/>
      <c r="L76" s="3"/>
      <c r="M76" s="3"/>
      <c r="N76" s="8"/>
      <c r="P76" s="3"/>
      <c r="Q76" s="3"/>
      <c r="R76" s="8"/>
      <c r="S76" s="3"/>
      <c r="T76" s="3"/>
      <c r="U76" s="3"/>
      <c r="V76" s="8"/>
      <c r="W76" s="3"/>
      <c r="X76" s="3"/>
      <c r="Y76" s="3"/>
      <c r="Z76" s="8"/>
    </row>
    <row r="77" spans="1:26" s="24" customFormat="1" x14ac:dyDescent="0.25">
      <c r="A77" s="51"/>
      <c r="B77" s="11" t="s">
        <v>127</v>
      </c>
      <c r="C77" s="11"/>
      <c r="D77" s="4"/>
      <c r="E77" s="4"/>
      <c r="F77" s="13">
        <f>IF(D$12=0,0,D77/D$12)</f>
        <v>0</v>
      </c>
      <c r="G77" s="4"/>
      <c r="H77" s="4">
        <v>12539.92</v>
      </c>
      <c r="I77" s="4"/>
      <c r="J77" s="13">
        <f>IF(H$12=0,0,H77/H$12)</f>
        <v>0</v>
      </c>
      <c r="K77" s="4"/>
      <c r="L77" s="4">
        <f>+D77-H77</f>
        <v>-12539.92</v>
      </c>
      <c r="M77" s="4"/>
      <c r="N77" s="13">
        <f>IF(H77=0,0,L77/H77)</f>
        <v>-1</v>
      </c>
      <c r="O77" s="11"/>
      <c r="P77" s="4"/>
      <c r="Q77" s="4"/>
      <c r="R77" s="13">
        <f>IF(P$12=0,0,P77/P$12)</f>
        <v>0</v>
      </c>
      <c r="S77" s="4"/>
      <c r="T77" s="4">
        <v>57536.639999999999</v>
      </c>
      <c r="U77" s="4"/>
      <c r="V77" s="13">
        <f>IF(T$12=0,0,T77/T$12)</f>
        <v>0.15142262680911786</v>
      </c>
      <c r="W77" s="4"/>
      <c r="X77" s="4">
        <f>+P77-T77</f>
        <v>-57536.639999999999</v>
      </c>
      <c r="Y77" s="4"/>
      <c r="Z77" s="13">
        <f>IF(T77=0,0,X77/T77)</f>
        <v>-1</v>
      </c>
    </row>
    <row r="78" spans="1:26" x14ac:dyDescent="0.25">
      <c r="A78" s="9"/>
      <c r="B78" s="11"/>
      <c r="C78" s="11"/>
      <c r="D78" s="3"/>
      <c r="E78" s="3"/>
      <c r="F78" s="8"/>
      <c r="G78" s="3"/>
      <c r="H78" s="3"/>
      <c r="I78" s="3"/>
      <c r="J78" s="8"/>
      <c r="K78" s="3"/>
      <c r="L78" s="3"/>
      <c r="M78" s="3"/>
      <c r="N78" s="8"/>
      <c r="O78" s="11"/>
      <c r="P78" s="3"/>
      <c r="Q78" s="3"/>
      <c r="R78" s="8"/>
      <c r="S78" s="3"/>
      <c r="T78" s="3"/>
      <c r="U78" s="3"/>
      <c r="V78" s="8"/>
      <c r="W78" s="3"/>
      <c r="X78" s="3"/>
      <c r="Y78" s="3"/>
      <c r="Z78" s="8"/>
    </row>
    <row r="79" spans="1:26" s="24" customFormat="1" ht="15.75" thickBot="1" x14ac:dyDescent="0.3">
      <c r="A79" s="11"/>
      <c r="B79" s="28" t="s">
        <v>125</v>
      </c>
      <c r="C79" s="28"/>
      <c r="D79" s="34">
        <f>+D75-D77</f>
        <v>374.88</v>
      </c>
      <c r="E79" s="14"/>
      <c r="F79" s="31">
        <f>IF(D$12=0,0,D79/D$12)</f>
        <v>0</v>
      </c>
      <c r="G79" s="14"/>
      <c r="H79" s="34">
        <f>+H75-H77</f>
        <v>-15563.4</v>
      </c>
      <c r="I79" s="14"/>
      <c r="J79" s="31">
        <f>IF(H$12=0,0,H79/H$12)</f>
        <v>0</v>
      </c>
      <c r="K79" s="15"/>
      <c r="L79" s="34">
        <f>D79-H79</f>
        <v>15938.279999999999</v>
      </c>
      <c r="M79" s="15"/>
      <c r="N79" s="31">
        <f>IF(H79=0,0,L79/H79)</f>
        <v>-1.0240872816993716</v>
      </c>
      <c r="O79" s="29"/>
      <c r="P79" s="34">
        <f>+P75-P77</f>
        <v>-8802.0500000000011</v>
      </c>
      <c r="Q79" s="14"/>
      <c r="R79" s="31">
        <f>IF(P$12=0,0,P79/P$12)</f>
        <v>0</v>
      </c>
      <c r="S79" s="14"/>
      <c r="T79" s="34">
        <f>+T75-T77</f>
        <v>-223118.28999999998</v>
      </c>
      <c r="U79" s="14"/>
      <c r="V79" s="31">
        <f>IF(T$12=0,0,T79/T$12)</f>
        <v>-0.58719378748843409</v>
      </c>
      <c r="W79" s="15"/>
      <c r="X79" s="34">
        <f>P79-T79</f>
        <v>214316.24</v>
      </c>
      <c r="Y79" s="15"/>
      <c r="Z79" s="31">
        <f>IF(T79=0,0,X79/T79)</f>
        <v>-0.96054985003694682</v>
      </c>
    </row>
    <row r="80" spans="1:26" ht="15.75" thickTop="1" x14ac:dyDescent="0.25">
      <c r="A80" s="9"/>
      <c r="B80" s="9"/>
      <c r="C80" s="9"/>
      <c r="D80" s="3"/>
      <c r="E80" s="3"/>
      <c r="F80" s="8"/>
      <c r="G80" s="3"/>
      <c r="H80" s="3"/>
      <c r="I80" s="3"/>
      <c r="J80" s="8"/>
      <c r="K80" s="3"/>
      <c r="L80" s="3"/>
      <c r="M80" s="3"/>
      <c r="N80" s="8"/>
      <c r="P80" s="3"/>
      <c r="Q80" s="3"/>
      <c r="R80" s="8"/>
      <c r="S80" s="3"/>
      <c r="T80" s="3"/>
      <c r="U80" s="3"/>
      <c r="V80" s="8"/>
      <c r="W80" s="3"/>
      <c r="X80" s="3"/>
      <c r="Y80" s="3"/>
      <c r="Z80" s="8"/>
    </row>
    <row r="81" spans="1:26" x14ac:dyDescent="0.25">
      <c r="A81" s="9"/>
      <c r="B81" s="9"/>
      <c r="C81" s="9"/>
      <c r="D81" s="3"/>
      <c r="E81" s="3"/>
      <c r="F81" s="8"/>
      <c r="G81" s="3"/>
      <c r="H81" s="3"/>
      <c r="I81" s="3"/>
      <c r="J81" s="8"/>
      <c r="K81" s="3"/>
      <c r="L81" s="3"/>
      <c r="M81" s="3"/>
      <c r="N81" s="8"/>
      <c r="P81" s="3"/>
      <c r="Q81" s="3"/>
      <c r="R81" s="8"/>
      <c r="S81" s="3"/>
      <c r="T81" s="3"/>
      <c r="U81" s="3"/>
      <c r="V81" s="8"/>
      <c r="W81" s="3"/>
      <c r="X81" s="3"/>
      <c r="Y81" s="3"/>
      <c r="Z81" s="8"/>
    </row>
    <row r="82" spans="1:26" s="24" customFormat="1" ht="15.75" thickBot="1" x14ac:dyDescent="0.3">
      <c r="A82" s="11"/>
      <c r="B82" s="28" t="s">
        <v>293</v>
      </c>
      <c r="C82" s="28"/>
      <c r="D82" s="33">
        <f>SUM(D79:D81)</f>
        <v>374.88</v>
      </c>
      <c r="E82" s="14"/>
      <c r="F82" s="35">
        <f>IF(D$12=0,0,D82/D$12)</f>
        <v>0</v>
      </c>
      <c r="G82" s="14"/>
      <c r="H82" s="33">
        <f>SUM(H79:H81)</f>
        <v>-15563.4</v>
      </c>
      <c r="I82" s="14"/>
      <c r="J82" s="35">
        <f>IF(H$12=0,0,H82/H$12)</f>
        <v>0</v>
      </c>
      <c r="K82" s="15"/>
      <c r="L82" s="33">
        <f>+D82-H82</f>
        <v>15938.279999999999</v>
      </c>
      <c r="M82" s="15"/>
      <c r="N82" s="35">
        <f>IF(H82=0,0,L82/H82)</f>
        <v>-1.0240872816993716</v>
      </c>
      <c r="O82" s="29"/>
      <c r="P82" s="33">
        <f>SUM(P79:P81)</f>
        <v>-8802.0500000000011</v>
      </c>
      <c r="Q82" s="14"/>
      <c r="R82" s="35">
        <f>IF(P$12=0,0,P82/P$12)</f>
        <v>0</v>
      </c>
      <c r="S82" s="14"/>
      <c r="T82" s="33">
        <f>SUM(T79:T81)</f>
        <v>-223118.28999999998</v>
      </c>
      <c r="U82" s="14"/>
      <c r="V82" s="35">
        <f>IF(T$12=0,0,T82/T$12)</f>
        <v>-0.58719378748843409</v>
      </c>
      <c r="W82" s="15"/>
      <c r="X82" s="33">
        <f>+P82-T82</f>
        <v>214316.24</v>
      </c>
      <c r="Y82" s="15"/>
      <c r="Z82" s="35">
        <f>IF(T82=0,0,X82/T82)</f>
        <v>-0.96054985003694682</v>
      </c>
    </row>
    <row r="83" spans="1:26" ht="15.75" thickTop="1" x14ac:dyDescent="0.25">
      <c r="A83" s="9"/>
      <c r="C83" s="9"/>
      <c r="D83" s="18"/>
      <c r="E83" s="18"/>
      <c r="G83" s="18"/>
      <c r="H83" s="18"/>
      <c r="I83" s="18"/>
      <c r="J83" s="43"/>
      <c r="K83" s="18"/>
      <c r="L83" s="18"/>
      <c r="M83" s="18"/>
      <c r="P83" s="18"/>
      <c r="Q83" s="18"/>
      <c r="R83" s="43"/>
      <c r="S83" s="18"/>
      <c r="T83" s="18"/>
      <c r="U83" s="18"/>
      <c r="V83" s="43"/>
      <c r="W83" s="18"/>
      <c r="X83" s="18"/>
    </row>
    <row r="84" spans="1:26" x14ac:dyDescent="0.25">
      <c r="A84" s="9"/>
      <c r="B84" s="56">
        <v>44454.698585613427</v>
      </c>
      <c r="D84" s="18"/>
      <c r="E84" s="18"/>
      <c r="G84" s="18"/>
      <c r="H84" s="18"/>
      <c r="I84" s="18"/>
      <c r="J84" s="43"/>
      <c r="K84" s="18"/>
      <c r="L84" s="18"/>
      <c r="M84" s="18"/>
      <c r="P84" s="18"/>
      <c r="Q84" s="18"/>
      <c r="R84" s="43"/>
      <c r="S84" s="18"/>
      <c r="T84" s="18"/>
      <c r="U84" s="18"/>
      <c r="V84" s="43"/>
      <c r="W84" s="18"/>
      <c r="X84" s="18"/>
    </row>
    <row r="85" spans="1:26" x14ac:dyDescent="0.25">
      <c r="A85" s="9"/>
      <c r="B85" s="55" t="s">
        <v>56</v>
      </c>
      <c r="D85" s="18"/>
      <c r="E85" s="18"/>
      <c r="G85" s="18"/>
      <c r="H85" s="18"/>
      <c r="I85" s="18"/>
      <c r="J85" s="43"/>
      <c r="K85" s="18"/>
      <c r="L85" s="18"/>
      <c r="M85" s="18"/>
      <c r="P85" s="18"/>
      <c r="Q85" s="18"/>
      <c r="R85" s="43"/>
      <c r="S85" s="18"/>
      <c r="T85" s="18"/>
      <c r="U85" s="18"/>
      <c r="V85" s="43"/>
      <c r="W85" s="18"/>
      <c r="X85" s="18"/>
    </row>
    <row r="86" spans="1:26" x14ac:dyDescent="0.25">
      <c r="A86" s="9"/>
      <c r="B86" s="60"/>
      <c r="D86" s="18"/>
      <c r="E86" s="18"/>
      <c r="G86" s="18"/>
      <c r="H86" s="18"/>
      <c r="I86" s="18"/>
      <c r="J86" s="43"/>
      <c r="K86" s="18"/>
      <c r="L86" s="18"/>
      <c r="M86" s="18"/>
      <c r="P86" s="18"/>
      <c r="Q86" s="18"/>
      <c r="R86" s="43"/>
      <c r="S86" s="18"/>
      <c r="T86" s="18"/>
      <c r="U86" s="18"/>
      <c r="V86" s="43"/>
      <c r="W86" s="18"/>
      <c r="X86" s="18"/>
    </row>
    <row r="87" spans="1:26" x14ac:dyDescent="0.25">
      <c r="D87" s="18"/>
      <c r="E87" s="18"/>
      <c r="G87" s="18"/>
      <c r="H87" s="18"/>
      <c r="I87" s="18"/>
      <c r="J87" s="43"/>
      <c r="K87" s="18"/>
      <c r="L87" s="18"/>
      <c r="M87" s="18"/>
      <c r="P87" s="18"/>
      <c r="Q87" s="18"/>
      <c r="R87" s="43"/>
      <c r="S87" s="18"/>
      <c r="T87" s="18"/>
      <c r="U87" s="18"/>
      <c r="V87" s="43"/>
      <c r="W87" s="18"/>
      <c r="X87" s="18"/>
    </row>
  </sheetData>
  <pageMargins left="0.25" right="0.25" top="0.75" bottom="0.75" header="0.3" footer="0.3"/>
  <pageSetup scale="55" fitToWidth="2" orientation="landscape"/>
  <drawing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>
    <tabColor rgb="FF92D050"/>
    <outlinePr summaryBelow="0" summaryRight="0"/>
  </sheetPr>
  <dimension ref="A2:Z83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62" t="s">
        <v>23</v>
      </c>
    </row>
    <row r="3" spans="1:26" x14ac:dyDescent="0.25">
      <c r="D3" s="62" t="s">
        <v>236</v>
      </c>
      <c r="E3" s="17"/>
      <c r="F3" s="46"/>
      <c r="G3" s="17"/>
      <c r="H3" s="17"/>
      <c r="I3" s="17"/>
      <c r="J3" s="38"/>
      <c r="K3" s="17"/>
      <c r="L3" s="17"/>
      <c r="M3" s="17"/>
      <c r="N3" s="46"/>
      <c r="O3" s="53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2" t="str">
        <f>CONCATENATE("Period ",RIGHT(202112,2),", ",2021)</f>
        <v>Period 12, 2021</v>
      </c>
      <c r="E4" s="17"/>
      <c r="F4" s="46"/>
      <c r="G4" s="17"/>
      <c r="H4" s="17"/>
      <c r="I4" s="17"/>
      <c r="J4" s="38"/>
      <c r="K4" s="17"/>
      <c r="L4" s="17"/>
      <c r="M4" s="17"/>
      <c r="N4" s="46"/>
      <c r="O4" s="53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4"/>
      <c r="D5" s="63">
        <v>44377</v>
      </c>
      <c r="E5" s="17"/>
      <c r="F5" s="46"/>
      <c r="G5" s="17"/>
      <c r="H5" s="17"/>
      <c r="I5" s="17"/>
      <c r="J5" s="38"/>
      <c r="K5" s="17"/>
      <c r="L5" s="17"/>
      <c r="M5" s="17"/>
      <c r="N5" s="46"/>
      <c r="O5" s="53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4"/>
      <c r="B6" s="48"/>
      <c r="C6" s="48"/>
      <c r="D6" s="24" t="str">
        <f>CONCATENATE("Department ","413", " - ", "Beach Walk")</f>
        <v>Department 413 - Beach Walk</v>
      </c>
      <c r="E6" s="17"/>
      <c r="F6" s="46"/>
      <c r="G6" s="17"/>
      <c r="H6" s="17"/>
      <c r="I6" s="17"/>
      <c r="J6" s="38"/>
      <c r="K6" s="17"/>
      <c r="L6" s="17"/>
      <c r="M6" s="17"/>
      <c r="N6" s="46"/>
      <c r="O6" s="54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9"/>
    </row>
    <row r="8" spans="1:26" x14ac:dyDescent="0.25">
      <c r="B8" s="59"/>
    </row>
    <row r="9" spans="1:26" x14ac:dyDescent="0.25">
      <c r="B9" s="9"/>
      <c r="C9" s="9"/>
      <c r="D9" s="16" t="s">
        <v>291</v>
      </c>
      <c r="E9" s="16"/>
      <c r="F9" s="39"/>
      <c r="G9" s="16"/>
      <c r="H9" s="16"/>
      <c r="I9" s="16"/>
      <c r="J9" s="49"/>
      <c r="K9" s="16"/>
      <c r="L9" s="16"/>
      <c r="M9" s="16"/>
      <c r="N9" s="39"/>
      <c r="P9" s="16" t="s">
        <v>39</v>
      </c>
      <c r="Q9" s="16"/>
      <c r="R9" s="39"/>
      <c r="S9" s="16"/>
      <c r="T9" s="16"/>
      <c r="U9" s="16"/>
      <c r="V9" s="49"/>
      <c r="W9" s="16"/>
      <c r="X9" s="16"/>
      <c r="Y9" s="16"/>
      <c r="Z9" s="39"/>
    </row>
    <row r="10" spans="1:26" x14ac:dyDescent="0.25">
      <c r="A10" s="11"/>
      <c r="B10" s="58"/>
      <c r="C10" s="11"/>
      <c r="D10" s="42" t="s">
        <v>57</v>
      </c>
      <c r="E10" s="36"/>
      <c r="F10" s="30" t="s">
        <v>40</v>
      </c>
      <c r="G10" s="36"/>
      <c r="H10" s="50" t="s">
        <v>237</v>
      </c>
      <c r="I10" s="36"/>
      <c r="J10" s="30" t="s">
        <v>40</v>
      </c>
      <c r="K10" s="11"/>
      <c r="L10" s="42" t="s">
        <v>126</v>
      </c>
      <c r="M10" s="11"/>
      <c r="N10" s="30" t="s">
        <v>257</v>
      </c>
      <c r="O10" s="11"/>
      <c r="P10" s="61" t="s">
        <v>57</v>
      </c>
      <c r="Q10" s="36"/>
      <c r="R10" s="30" t="s">
        <v>40</v>
      </c>
      <c r="S10" s="36"/>
      <c r="T10" s="50" t="s">
        <v>237</v>
      </c>
      <c r="U10" s="36"/>
      <c r="V10" s="30" t="s">
        <v>40</v>
      </c>
      <c r="W10" s="11"/>
      <c r="X10" s="42" t="s">
        <v>126</v>
      </c>
      <c r="Y10" s="11"/>
      <c r="Z10" s="30" t="s">
        <v>257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4" customFormat="1" collapsed="1" x14ac:dyDescent="0.25">
      <c r="A12" s="11"/>
      <c r="B12" s="29" t="s">
        <v>139</v>
      </c>
      <c r="C12" s="11"/>
      <c r="D12" s="4">
        <f>SUM(OSRRefD13x_0)</f>
        <v>0</v>
      </c>
      <c r="E12" s="4"/>
      <c r="F12" s="13"/>
      <c r="G12" s="4"/>
      <c r="H12" s="4">
        <f>SUM(OSRRefH13x_0)</f>
        <v>0</v>
      </c>
      <c r="I12" s="4"/>
      <c r="J12" s="13"/>
      <c r="K12" s="4"/>
      <c r="L12" s="4">
        <f t="shared" ref="L12:L14" si="0">+D12-H12</f>
        <v>0</v>
      </c>
      <c r="M12" s="4"/>
      <c r="N12" s="13">
        <f t="shared" ref="N12:N14" si="1">IF(H12=0,0,L12/H12)</f>
        <v>0</v>
      </c>
      <c r="O12" s="11"/>
      <c r="P12" s="4">
        <f>SUM(OSRRefP13x_0)</f>
        <v>0</v>
      </c>
      <c r="Q12" s="4"/>
      <c r="R12" s="13"/>
      <c r="S12" s="4"/>
      <c r="T12" s="4">
        <f>SUM(OSRRefT13x_0)</f>
        <v>255048.55</v>
      </c>
      <c r="U12" s="4"/>
      <c r="V12" s="13"/>
      <c r="W12" s="4"/>
      <c r="X12" s="4">
        <f t="shared" ref="X12:X14" si="2">+P12-T12</f>
        <v>-255048.55</v>
      </c>
      <c r="Y12" s="4"/>
      <c r="Z12" s="13">
        <f t="shared" ref="Z12:Z14" si="3">IF(T12=0,0,X12/T12)</f>
        <v>-1</v>
      </c>
    </row>
    <row r="13" spans="1:26" s="23" customFormat="1" hidden="1" outlineLevel="1" x14ac:dyDescent="0.25">
      <c r="A13" s="44"/>
      <c r="B13" s="10" t="str">
        <f>CONCATENATE("          ", "4051", " - ", "TAXABLE SALES-FOOD")</f>
        <v xml:space="preserve">          4051 - TAXABLE SALES-FOOD</v>
      </c>
      <c r="C13" s="10"/>
      <c r="D13" s="2">
        <f t="shared" ref="D13:D14" si="4">0</f>
        <v>0</v>
      </c>
      <c r="E13" s="2"/>
      <c r="F13" s="19"/>
      <c r="G13" s="2"/>
      <c r="H13" s="2">
        <f t="shared" ref="H13:H14" si="5">0</f>
        <v>0</v>
      </c>
      <c r="I13" s="2"/>
      <c r="J13" s="19"/>
      <c r="K13" s="2"/>
      <c r="L13" s="2">
        <f t="shared" si="0"/>
        <v>0</v>
      </c>
      <c r="M13" s="2"/>
      <c r="N13" s="19">
        <f t="shared" si="1"/>
        <v>0</v>
      </c>
      <c r="O13" s="10"/>
      <c r="P13" s="2">
        <f t="shared" ref="P13:P14" si="6">0</f>
        <v>0</v>
      </c>
      <c r="Q13" s="2"/>
      <c r="R13" s="19"/>
      <c r="S13" s="2"/>
      <c r="T13" s="2">
        <f>--57510.69</f>
        <v>57510.69</v>
      </c>
      <c r="U13" s="2"/>
      <c r="V13" s="19"/>
      <c r="W13" s="2"/>
      <c r="X13" s="2">
        <f t="shared" si="2"/>
        <v>-57510.69</v>
      </c>
      <c r="Y13" s="2"/>
      <c r="Z13" s="19">
        <f t="shared" si="3"/>
        <v>-1</v>
      </c>
    </row>
    <row r="14" spans="1:26" s="23" customFormat="1" hidden="1" outlineLevel="1" x14ac:dyDescent="0.25">
      <c r="A14" s="44"/>
      <c r="B14" s="10" t="str">
        <f>CONCATENATE("          ", "4151", " - ", "NON-TAXABLE SALES-FOOD")</f>
        <v xml:space="preserve">          4151 - NON-TAXABLE SALES-FOOD</v>
      </c>
      <c r="C14" s="10"/>
      <c r="D14" s="2">
        <f t="shared" si="4"/>
        <v>0</v>
      </c>
      <c r="E14" s="2"/>
      <c r="F14" s="19"/>
      <c r="G14" s="2"/>
      <c r="H14" s="2">
        <f t="shared" si="5"/>
        <v>0</v>
      </c>
      <c r="I14" s="2"/>
      <c r="J14" s="19"/>
      <c r="K14" s="2"/>
      <c r="L14" s="2">
        <f t="shared" si="0"/>
        <v>0</v>
      </c>
      <c r="M14" s="2"/>
      <c r="N14" s="19">
        <f t="shared" si="1"/>
        <v>0</v>
      </c>
      <c r="O14" s="10"/>
      <c r="P14" s="2">
        <f t="shared" si="6"/>
        <v>0</v>
      </c>
      <c r="Q14" s="2"/>
      <c r="R14" s="19"/>
      <c r="S14" s="2"/>
      <c r="T14" s="2">
        <f>--197537.86</f>
        <v>197537.86</v>
      </c>
      <c r="U14" s="2"/>
      <c r="V14" s="19"/>
      <c r="W14" s="2"/>
      <c r="X14" s="2">
        <f t="shared" si="2"/>
        <v>-197537.86</v>
      </c>
      <c r="Y14" s="2"/>
      <c r="Z14" s="19">
        <f t="shared" si="3"/>
        <v>-1</v>
      </c>
    </row>
    <row r="15" spans="1:26" x14ac:dyDescent="0.25">
      <c r="A15" s="9"/>
      <c r="B15" s="11"/>
      <c r="C15" s="9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4" customFormat="1" collapsed="1" x14ac:dyDescent="0.25">
      <c r="A16" s="11"/>
      <c r="B16" s="29" t="s">
        <v>256</v>
      </c>
      <c r="C16" s="11"/>
      <c r="D16" s="4">
        <f>SUM(OSRRefD16x_0)</f>
        <v>0</v>
      </c>
      <c r="E16" s="4"/>
      <c r="F16" s="13">
        <f t="shared" ref="F16:F18" si="7">IF(D$12=0,0,D16/D$12)</f>
        <v>0</v>
      </c>
      <c r="G16" s="4"/>
      <c r="H16" s="4">
        <f>SUM(OSRRefH16x_0)</f>
        <v>1514</v>
      </c>
      <c r="I16" s="4"/>
      <c r="J16" s="13">
        <f t="shared" ref="J16:J18" si="8">IF(H$12=0,0,H16/H$12)</f>
        <v>0</v>
      </c>
      <c r="K16" s="4"/>
      <c r="L16" s="4">
        <f t="shared" ref="L16:L18" si="9">+D16-H16</f>
        <v>-1514</v>
      </c>
      <c r="M16" s="4"/>
      <c r="N16" s="13">
        <f t="shared" ref="N16:N18" si="10">IF(H16=0,0,L16/H16)</f>
        <v>-1</v>
      </c>
      <c r="O16" s="11"/>
      <c r="P16" s="4">
        <f>SUM(OSRRefP16x_0)</f>
        <v>0</v>
      </c>
      <c r="Q16" s="4"/>
      <c r="R16" s="13">
        <f t="shared" ref="R16:R18" si="11">IF(P$12=0,0,P16/P$12)</f>
        <v>0</v>
      </c>
      <c r="S16" s="4"/>
      <c r="T16" s="4">
        <f>SUM(OSRRefT16x_0)</f>
        <v>93796.46</v>
      </c>
      <c r="U16" s="4"/>
      <c r="V16" s="13">
        <f t="shared" ref="V16:V18" si="12">IF(T$12=0,0,T16/T$12)</f>
        <v>0.36775923642773117</v>
      </c>
      <c r="W16" s="4"/>
      <c r="X16" s="4">
        <f t="shared" ref="X16:X18" si="13">+P16-T16</f>
        <v>-93796.46</v>
      </c>
      <c r="Y16" s="4"/>
      <c r="Z16" s="13">
        <f t="shared" ref="Z16:Z18" si="14">IF(T16=0,0,X16/T16)</f>
        <v>-1</v>
      </c>
    </row>
    <row r="17" spans="1:26" s="23" customFormat="1" hidden="1" outlineLevel="1" x14ac:dyDescent="0.25">
      <c r="A17" s="44"/>
      <c r="B17" s="10" t="str">
        <f>CONCATENATE("          ", "5053", " - ", "PURCHASES @ COST-FOOD")</f>
        <v xml:space="preserve">          5053 - PURCHASES @ COST-FOOD</v>
      </c>
      <c r="C17" s="10"/>
      <c r="D17" s="2"/>
      <c r="E17" s="2"/>
      <c r="F17" s="19">
        <f t="shared" si="7"/>
        <v>0</v>
      </c>
      <c r="G17" s="2"/>
      <c r="H17" s="2"/>
      <c r="I17" s="2"/>
      <c r="J17" s="19">
        <f t="shared" si="8"/>
        <v>0</v>
      </c>
      <c r="K17" s="2"/>
      <c r="L17" s="2">
        <f t="shared" si="9"/>
        <v>0</v>
      </c>
      <c r="M17" s="2"/>
      <c r="N17" s="19">
        <f t="shared" si="10"/>
        <v>0</v>
      </c>
      <c r="O17" s="10"/>
      <c r="P17" s="2"/>
      <c r="Q17" s="2"/>
      <c r="R17" s="19">
        <f t="shared" si="11"/>
        <v>0</v>
      </c>
      <c r="S17" s="2"/>
      <c r="T17" s="2">
        <v>90960.52</v>
      </c>
      <c r="U17" s="2"/>
      <c r="V17" s="19">
        <f t="shared" si="12"/>
        <v>0.35664002010597595</v>
      </c>
      <c r="W17" s="2"/>
      <c r="X17" s="2">
        <f t="shared" si="13"/>
        <v>-90960.52</v>
      </c>
      <c r="Y17" s="2"/>
      <c r="Z17" s="19">
        <f t="shared" si="14"/>
        <v>-1</v>
      </c>
    </row>
    <row r="18" spans="1:26" s="23" customFormat="1" hidden="1" outlineLevel="1" x14ac:dyDescent="0.25">
      <c r="A18" s="44"/>
      <c r="B18" s="10" t="str">
        <f>CONCATENATE("          ", "5059", " - ", "PURCHASES @ COST-FOOD")</f>
        <v xml:space="preserve">          5059 - PURCHASES @ COST-FOOD</v>
      </c>
      <c r="C18" s="10"/>
      <c r="D18" s="2"/>
      <c r="E18" s="2"/>
      <c r="F18" s="19">
        <f t="shared" si="7"/>
        <v>0</v>
      </c>
      <c r="G18" s="2"/>
      <c r="H18" s="2">
        <v>1514</v>
      </c>
      <c r="I18" s="2"/>
      <c r="J18" s="19">
        <f t="shared" si="8"/>
        <v>0</v>
      </c>
      <c r="K18" s="2"/>
      <c r="L18" s="2">
        <f t="shared" si="9"/>
        <v>-1514</v>
      </c>
      <c r="M18" s="2"/>
      <c r="N18" s="19">
        <f t="shared" si="10"/>
        <v>-1</v>
      </c>
      <c r="O18" s="10"/>
      <c r="P18" s="2"/>
      <c r="Q18" s="2"/>
      <c r="R18" s="19">
        <f t="shared" si="11"/>
        <v>0</v>
      </c>
      <c r="S18" s="2"/>
      <c r="T18" s="2">
        <v>2835.94</v>
      </c>
      <c r="U18" s="2"/>
      <c r="V18" s="19">
        <f t="shared" si="12"/>
        <v>1.1119216321755212E-2</v>
      </c>
      <c r="W18" s="2"/>
      <c r="X18" s="2">
        <f t="shared" si="13"/>
        <v>-2835.94</v>
      </c>
      <c r="Y18" s="2"/>
      <c r="Z18" s="19">
        <f t="shared" si="14"/>
        <v>-1</v>
      </c>
    </row>
    <row r="19" spans="1:26" x14ac:dyDescent="0.25">
      <c r="A19" s="9"/>
      <c r="B19" s="11"/>
      <c r="C19" s="11"/>
      <c r="D19" s="3"/>
      <c r="E19" s="3"/>
      <c r="F19" s="8"/>
      <c r="G19" s="3"/>
      <c r="H19" s="3"/>
      <c r="I19" s="3"/>
      <c r="J19" s="8"/>
      <c r="K19" s="3"/>
      <c r="L19" s="3"/>
      <c r="M19" s="3"/>
      <c r="N19" s="8"/>
      <c r="O19" s="11"/>
      <c r="P19" s="3"/>
      <c r="Q19" s="3"/>
      <c r="R19" s="8"/>
      <c r="S19" s="3"/>
      <c r="T19" s="3"/>
      <c r="U19" s="3"/>
      <c r="V19" s="8"/>
      <c r="W19" s="3"/>
      <c r="X19" s="3"/>
      <c r="Y19" s="3"/>
      <c r="Z19" s="8"/>
    </row>
    <row r="20" spans="1:26" s="24" customFormat="1" x14ac:dyDescent="0.25">
      <c r="A20" s="11"/>
      <c r="B20" s="28" t="s">
        <v>107</v>
      </c>
      <c r="C20" s="28"/>
      <c r="D20" s="21">
        <f>D12-D16</f>
        <v>0</v>
      </c>
      <c r="E20" s="14"/>
      <c r="F20" s="22">
        <f>IF(D$12=0,0,D20/D$12)</f>
        <v>0</v>
      </c>
      <c r="G20" s="14"/>
      <c r="H20" s="21">
        <f>H12-H16</f>
        <v>-1514</v>
      </c>
      <c r="I20" s="14"/>
      <c r="J20" s="22">
        <f>IF(H$12=0,0,H20/H$12)</f>
        <v>0</v>
      </c>
      <c r="K20" s="15"/>
      <c r="L20" s="21">
        <f>+D20-H20</f>
        <v>1514</v>
      </c>
      <c r="M20" s="15"/>
      <c r="N20" s="22">
        <f>IF(H20=0,0,L20/H20)</f>
        <v>-1</v>
      </c>
      <c r="O20" s="29"/>
      <c r="P20" s="21">
        <f>P12-P16</f>
        <v>0</v>
      </c>
      <c r="Q20" s="14"/>
      <c r="R20" s="22">
        <f>IF(P$12=0,0,P20/P$12)</f>
        <v>0</v>
      </c>
      <c r="S20" s="14"/>
      <c r="T20" s="21">
        <f>T12-T16</f>
        <v>161252.08999999997</v>
      </c>
      <c r="U20" s="14"/>
      <c r="V20" s="22">
        <f>IF(T$12=0,0,T20/T$12)</f>
        <v>0.63224076357226877</v>
      </c>
      <c r="W20" s="15"/>
      <c r="X20" s="21">
        <f>+P20-T20</f>
        <v>-161252.08999999997</v>
      </c>
      <c r="Y20" s="15"/>
      <c r="Z20" s="22">
        <f>IF(T20=0,0,X20/T20)</f>
        <v>-1</v>
      </c>
    </row>
    <row r="21" spans="1:26" x14ac:dyDescent="0.25">
      <c r="A21" s="9"/>
      <c r="B21" s="11"/>
      <c r="C21" s="9"/>
      <c r="D21" s="1"/>
      <c r="E21" s="1"/>
      <c r="F21" s="5"/>
      <c r="G21" s="1"/>
      <c r="H21" s="1"/>
      <c r="I21" s="1"/>
      <c r="J21" s="5"/>
      <c r="K21" s="1"/>
      <c r="L21" s="1"/>
      <c r="M21" s="1"/>
      <c r="N21" s="5"/>
      <c r="O21" s="37"/>
      <c r="P21" s="1"/>
      <c r="Q21" s="1"/>
      <c r="R21" s="5"/>
      <c r="S21" s="1"/>
      <c r="T21" s="1"/>
      <c r="U21" s="1"/>
      <c r="V21" s="5"/>
      <c r="W21" s="1"/>
      <c r="X21" s="1"/>
      <c r="Y21" s="1"/>
      <c r="Z21" s="5"/>
    </row>
    <row r="22" spans="1:26" s="24" customFormat="1" x14ac:dyDescent="0.25">
      <c r="A22" s="11"/>
      <c r="B22" s="29" t="s">
        <v>294</v>
      </c>
      <c r="C22" s="11"/>
      <c r="D22" s="20">
        <f>SUM(OSRRefD22x_0)</f>
        <v>223.16</v>
      </c>
      <c r="E22" s="20"/>
      <c r="F22" s="32">
        <f t="shared" ref="F22:F31" si="15">IF(D$12=0,0,D22/D$12)</f>
        <v>0</v>
      </c>
      <c r="G22" s="20"/>
      <c r="H22" s="20">
        <f>SUM(OSRRefH22x_0)</f>
        <v>6678.7</v>
      </c>
      <c r="I22" s="20"/>
      <c r="J22" s="32">
        <f t="shared" ref="J22:J31" si="16">IF(H$12=0,0,H22/H$12)</f>
        <v>0</v>
      </c>
      <c r="K22" s="4"/>
      <c r="L22" s="20">
        <f t="shared" ref="L22:L31" si="17">+D22-H22</f>
        <v>-6455.54</v>
      </c>
      <c r="M22" s="4"/>
      <c r="N22" s="32">
        <f t="shared" ref="N22:N31" si="18">IF(H22=0,0,L22/H22)</f>
        <v>-0.9665863117073682</v>
      </c>
      <c r="O22" s="11"/>
      <c r="P22" s="20">
        <f>SUM(OSRRefP22x_0)</f>
        <v>5526.57</v>
      </c>
      <c r="Q22" s="20"/>
      <c r="R22" s="32">
        <f t="shared" ref="R22:R31" si="19">IF(P$12=0,0,P22/P$12)</f>
        <v>0</v>
      </c>
      <c r="S22" s="20"/>
      <c r="T22" s="20">
        <f>SUM(OSRRefT22x_0)</f>
        <v>202889.50999999995</v>
      </c>
      <c r="U22" s="20"/>
      <c r="V22" s="32">
        <f t="shared" ref="V22:V31" si="20">IF(T$12=0,0,T22/T$12)</f>
        <v>0.79549368149711086</v>
      </c>
      <c r="W22" s="4"/>
      <c r="X22" s="20">
        <f t="shared" ref="X22:X31" si="21">+P22-T22</f>
        <v>-197362.93999999994</v>
      </c>
      <c r="Y22" s="4"/>
      <c r="Z22" s="32">
        <f t="shared" ref="Z22:Z31" si="22">IF(T22=0,0,X22/T22)</f>
        <v>-0.97276069127477316</v>
      </c>
    </row>
    <row r="23" spans="1:26" s="27" customFormat="1" outlineLevel="1" collapsed="1" x14ac:dyDescent="0.25">
      <c r="A23" s="26"/>
      <c r="B23" s="12" t="str">
        <f>CONCATENATE("     ","*Benefits                                         ")</f>
        <v xml:space="preserve">     *Benefits                                         </v>
      </c>
      <c r="C23" s="12"/>
      <c r="D23" s="1">
        <f>SUM(OSRRefD22_0x_0)</f>
        <v>0</v>
      </c>
      <c r="E23" s="1"/>
      <c r="F23" s="5">
        <f t="shared" si="15"/>
        <v>0</v>
      </c>
      <c r="G23" s="1"/>
      <c r="H23" s="1">
        <f>SUM(OSRRefH22_0x_0)</f>
        <v>1729.62</v>
      </c>
      <c r="I23" s="1"/>
      <c r="J23" s="5">
        <f t="shared" si="16"/>
        <v>0</v>
      </c>
      <c r="K23" s="1"/>
      <c r="L23" s="1">
        <f t="shared" si="17"/>
        <v>-1729.62</v>
      </c>
      <c r="M23" s="1"/>
      <c r="N23" s="5">
        <f t="shared" si="18"/>
        <v>-1</v>
      </c>
      <c r="O23" s="12"/>
      <c r="P23" s="1">
        <f>SUM(OSRRefP22_0x_0)</f>
        <v>1493.43</v>
      </c>
      <c r="Q23" s="1"/>
      <c r="R23" s="5">
        <f t="shared" si="19"/>
        <v>0</v>
      </c>
      <c r="S23" s="1"/>
      <c r="T23" s="1">
        <f>SUM(OSRRefT22_0x_0)</f>
        <v>39360.07</v>
      </c>
      <c r="U23" s="1"/>
      <c r="V23" s="5">
        <f t="shared" si="20"/>
        <v>0.1543238336387327</v>
      </c>
      <c r="W23" s="1"/>
      <c r="X23" s="1">
        <f t="shared" si="21"/>
        <v>-37866.639999999999</v>
      </c>
      <c r="Y23" s="1"/>
      <c r="Z23" s="5">
        <f t="shared" si="22"/>
        <v>-0.96205723211366234</v>
      </c>
    </row>
    <row r="24" spans="1:26" s="23" customFormat="1" hidden="1" outlineLevel="2" x14ac:dyDescent="0.25">
      <c r="A24" s="25"/>
      <c r="B24" s="10" t="str">
        <f>CONCATENATE("          ", "6111", " - ", "F.I.C.A.")</f>
        <v xml:space="preserve">          6111 - F.I.C.A.</v>
      </c>
      <c r="C24" s="10"/>
      <c r="D24" s="6"/>
      <c r="E24" s="2"/>
      <c r="F24" s="7">
        <f t="shared" si="15"/>
        <v>0</v>
      </c>
      <c r="G24" s="2"/>
      <c r="H24" s="6">
        <v>383.02</v>
      </c>
      <c r="I24" s="2"/>
      <c r="J24" s="7">
        <f t="shared" si="16"/>
        <v>0</v>
      </c>
      <c r="K24" s="2"/>
      <c r="L24" s="6">
        <f t="shared" si="17"/>
        <v>-383.02</v>
      </c>
      <c r="M24" s="2"/>
      <c r="N24" s="7">
        <f t="shared" si="18"/>
        <v>-1</v>
      </c>
      <c r="O24" s="10"/>
      <c r="P24" s="6">
        <v>191.51</v>
      </c>
      <c r="Q24" s="2"/>
      <c r="R24" s="7">
        <f t="shared" si="19"/>
        <v>0</v>
      </c>
      <c r="S24" s="2"/>
      <c r="T24" s="6">
        <v>7681.8</v>
      </c>
      <c r="U24" s="2"/>
      <c r="V24" s="7">
        <f t="shared" si="20"/>
        <v>3.0118971466412965E-2</v>
      </c>
      <c r="W24" s="2"/>
      <c r="X24" s="6">
        <f t="shared" si="21"/>
        <v>-7490.29</v>
      </c>
      <c r="Y24" s="2"/>
      <c r="Z24" s="7">
        <f t="shared" si="22"/>
        <v>-0.97506964513525474</v>
      </c>
    </row>
    <row r="25" spans="1:26" s="23" customFormat="1" hidden="1" outlineLevel="2" x14ac:dyDescent="0.25">
      <c r="A25" s="25"/>
      <c r="B25" s="10" t="str">
        <f>CONCATENATE("          ", "6112", " - ", "COMPENSATION INSURANCE")</f>
        <v xml:space="preserve">          6112 - COMPENSATION INSURANCE</v>
      </c>
      <c r="C25" s="10"/>
      <c r="D25" s="6"/>
      <c r="E25" s="2"/>
      <c r="F25" s="7">
        <f t="shared" si="15"/>
        <v>0</v>
      </c>
      <c r="G25" s="2"/>
      <c r="H25" s="6">
        <v>194.26</v>
      </c>
      <c r="I25" s="2"/>
      <c r="J25" s="7">
        <f t="shared" si="16"/>
        <v>0</v>
      </c>
      <c r="K25" s="2"/>
      <c r="L25" s="6">
        <f t="shared" si="17"/>
        <v>-194.26</v>
      </c>
      <c r="M25" s="2"/>
      <c r="N25" s="7">
        <f t="shared" si="18"/>
        <v>-1</v>
      </c>
      <c r="O25" s="10"/>
      <c r="P25" s="6"/>
      <c r="Q25" s="2"/>
      <c r="R25" s="7">
        <f t="shared" si="19"/>
        <v>0</v>
      </c>
      <c r="S25" s="2"/>
      <c r="T25" s="6">
        <v>4772.83</v>
      </c>
      <c r="U25" s="2"/>
      <c r="V25" s="7">
        <f t="shared" si="20"/>
        <v>1.8713417504235958E-2</v>
      </c>
      <c r="W25" s="2"/>
      <c r="X25" s="6">
        <f t="shared" si="21"/>
        <v>-4772.83</v>
      </c>
      <c r="Y25" s="2"/>
      <c r="Z25" s="7">
        <f t="shared" si="22"/>
        <v>-1</v>
      </c>
    </row>
    <row r="26" spans="1:26" s="23" customFormat="1" hidden="1" outlineLevel="2" x14ac:dyDescent="0.25">
      <c r="A26" s="25"/>
      <c r="B26" s="10" t="str">
        <f>CONCATENATE("          ", "6113", " - ", "GROUP INSURANCE")</f>
        <v xml:space="preserve">          6113 - GROUP INSURANCE</v>
      </c>
      <c r="C26" s="10"/>
      <c r="D26" s="6"/>
      <c r="E26" s="2"/>
      <c r="F26" s="7">
        <f t="shared" si="15"/>
        <v>0</v>
      </c>
      <c r="G26" s="2"/>
      <c r="H26" s="6">
        <v>718.51</v>
      </c>
      <c r="I26" s="2"/>
      <c r="J26" s="7">
        <f t="shared" si="16"/>
        <v>0</v>
      </c>
      <c r="K26" s="2"/>
      <c r="L26" s="6">
        <f t="shared" si="17"/>
        <v>-718.51</v>
      </c>
      <c r="M26" s="2"/>
      <c r="N26" s="7">
        <f t="shared" si="18"/>
        <v>-1</v>
      </c>
      <c r="O26" s="10"/>
      <c r="P26" s="6">
        <v>718.51</v>
      </c>
      <c r="Q26" s="2"/>
      <c r="R26" s="7">
        <f t="shared" si="19"/>
        <v>0</v>
      </c>
      <c r="S26" s="2"/>
      <c r="T26" s="6">
        <v>14100.93</v>
      </c>
      <c r="U26" s="2"/>
      <c r="V26" s="7">
        <f t="shared" si="20"/>
        <v>5.5287238449307011E-2</v>
      </c>
      <c r="W26" s="2"/>
      <c r="X26" s="6">
        <f t="shared" si="21"/>
        <v>-13382.42</v>
      </c>
      <c r="Y26" s="2"/>
      <c r="Z26" s="7">
        <f t="shared" si="22"/>
        <v>-0.94904520481982391</v>
      </c>
    </row>
    <row r="27" spans="1:26" s="23" customFormat="1" hidden="1" outlineLevel="2" x14ac:dyDescent="0.25">
      <c r="A27" s="25"/>
      <c r="B27" s="10" t="str">
        <f>CONCATENATE("          ", "6114", " - ", "STATE UNEMPLOYMENT INSURANCE")</f>
        <v xml:space="preserve">          6114 - STATE UNEMPLOYMENT INSURANCE</v>
      </c>
      <c r="C27" s="10"/>
      <c r="D27" s="6"/>
      <c r="E27" s="2"/>
      <c r="F27" s="7">
        <f t="shared" si="15"/>
        <v>0</v>
      </c>
      <c r="G27" s="2"/>
      <c r="H27" s="6">
        <v>-356.65</v>
      </c>
      <c r="I27" s="2"/>
      <c r="J27" s="7">
        <f t="shared" si="16"/>
        <v>0</v>
      </c>
      <c r="K27" s="2"/>
      <c r="L27" s="6">
        <f t="shared" si="17"/>
        <v>356.65</v>
      </c>
      <c r="M27" s="2"/>
      <c r="N27" s="7">
        <f t="shared" si="18"/>
        <v>-1</v>
      </c>
      <c r="O27" s="10"/>
      <c r="P27" s="6"/>
      <c r="Q27" s="2"/>
      <c r="R27" s="7">
        <f t="shared" si="19"/>
        <v>0</v>
      </c>
      <c r="S27" s="2"/>
      <c r="T27" s="6">
        <v>0</v>
      </c>
      <c r="U27" s="2"/>
      <c r="V27" s="7">
        <f t="shared" si="20"/>
        <v>0</v>
      </c>
      <c r="W27" s="2"/>
      <c r="X27" s="6">
        <f t="shared" si="21"/>
        <v>0</v>
      </c>
      <c r="Y27" s="2"/>
      <c r="Z27" s="7">
        <f t="shared" si="22"/>
        <v>0</v>
      </c>
    </row>
    <row r="28" spans="1:26" s="23" customFormat="1" hidden="1" outlineLevel="2" x14ac:dyDescent="0.25">
      <c r="A28" s="25"/>
      <c r="B28" s="10" t="str">
        <f>CONCATENATE("          ", "6115", " - ", "P.E.R.S.")</f>
        <v xml:space="preserve">          6115 - P.E.R.S.</v>
      </c>
      <c r="C28" s="10"/>
      <c r="D28" s="6"/>
      <c r="E28" s="2"/>
      <c r="F28" s="7">
        <f t="shared" si="15"/>
        <v>0</v>
      </c>
      <c r="G28" s="2"/>
      <c r="H28" s="6">
        <v>340.69</v>
      </c>
      <c r="I28" s="2"/>
      <c r="J28" s="7">
        <f t="shared" si="16"/>
        <v>0</v>
      </c>
      <c r="K28" s="2"/>
      <c r="L28" s="6">
        <f t="shared" si="17"/>
        <v>-340.69</v>
      </c>
      <c r="M28" s="2"/>
      <c r="N28" s="7">
        <f t="shared" si="18"/>
        <v>-1</v>
      </c>
      <c r="O28" s="10"/>
      <c r="P28" s="6">
        <v>377.03</v>
      </c>
      <c r="Q28" s="2"/>
      <c r="R28" s="7">
        <f t="shared" si="19"/>
        <v>0</v>
      </c>
      <c r="S28" s="2"/>
      <c r="T28" s="6">
        <v>4131.1000000000004</v>
      </c>
      <c r="U28" s="2"/>
      <c r="V28" s="7">
        <f t="shared" si="20"/>
        <v>1.6197308316397017E-2</v>
      </c>
      <c r="W28" s="2"/>
      <c r="X28" s="6">
        <f t="shared" si="21"/>
        <v>-3754.0700000000006</v>
      </c>
      <c r="Y28" s="2"/>
      <c r="Z28" s="7">
        <f t="shared" si="22"/>
        <v>-0.90873375130110634</v>
      </c>
    </row>
    <row r="29" spans="1:26" s="23" customFormat="1" hidden="1" outlineLevel="2" x14ac:dyDescent="0.25">
      <c r="A29" s="25"/>
      <c r="B29" s="10" t="str">
        <f>CONCATENATE("          ", "6118", " - ", "VACATION")</f>
        <v xml:space="preserve">          6118 - VACATION</v>
      </c>
      <c r="C29" s="10"/>
      <c r="D29" s="6"/>
      <c r="E29" s="2"/>
      <c r="F29" s="7">
        <f t="shared" si="15"/>
        <v>0</v>
      </c>
      <c r="G29" s="2"/>
      <c r="H29" s="6">
        <v>187.78</v>
      </c>
      <c r="I29" s="2"/>
      <c r="J29" s="7">
        <f t="shared" si="16"/>
        <v>0</v>
      </c>
      <c r="K29" s="2"/>
      <c r="L29" s="6">
        <f t="shared" si="17"/>
        <v>-187.78</v>
      </c>
      <c r="M29" s="2"/>
      <c r="N29" s="7">
        <f t="shared" si="18"/>
        <v>-1</v>
      </c>
      <c r="O29" s="10"/>
      <c r="P29" s="6">
        <v>93.89</v>
      </c>
      <c r="Q29" s="2"/>
      <c r="R29" s="7">
        <f t="shared" si="19"/>
        <v>0</v>
      </c>
      <c r="S29" s="2"/>
      <c r="T29" s="6">
        <v>3612.5</v>
      </c>
      <c r="U29" s="2"/>
      <c r="V29" s="7">
        <f t="shared" si="20"/>
        <v>1.4163969957876648E-2</v>
      </c>
      <c r="W29" s="2"/>
      <c r="X29" s="6">
        <f t="shared" si="21"/>
        <v>-3518.61</v>
      </c>
      <c r="Y29" s="2"/>
      <c r="Z29" s="7">
        <f t="shared" si="22"/>
        <v>-0.97400968858131487</v>
      </c>
    </row>
    <row r="30" spans="1:26" s="23" customFormat="1" hidden="1" outlineLevel="2" x14ac:dyDescent="0.25">
      <c r="A30" s="25"/>
      <c r="B30" s="10" t="str">
        <f>CONCATENATE("          ", "6119", " - ", "SICK LEAVE")</f>
        <v xml:space="preserve">          6119 - SICK LEAVE</v>
      </c>
      <c r="C30" s="10"/>
      <c r="D30" s="6"/>
      <c r="E30" s="2"/>
      <c r="F30" s="7">
        <f t="shared" si="15"/>
        <v>0</v>
      </c>
      <c r="G30" s="2"/>
      <c r="H30" s="6">
        <v>224.98</v>
      </c>
      <c r="I30" s="2"/>
      <c r="J30" s="7">
        <f t="shared" si="16"/>
        <v>0</v>
      </c>
      <c r="K30" s="2"/>
      <c r="L30" s="6">
        <f t="shared" si="17"/>
        <v>-224.98</v>
      </c>
      <c r="M30" s="2"/>
      <c r="N30" s="7">
        <f t="shared" si="18"/>
        <v>-1</v>
      </c>
      <c r="O30" s="10"/>
      <c r="P30" s="6">
        <v>112.49</v>
      </c>
      <c r="Q30" s="2"/>
      <c r="R30" s="7">
        <f t="shared" si="19"/>
        <v>0</v>
      </c>
      <c r="S30" s="2"/>
      <c r="T30" s="6">
        <v>3742.82</v>
      </c>
      <c r="U30" s="2"/>
      <c r="V30" s="7">
        <f t="shared" si="20"/>
        <v>1.4674931498336298E-2</v>
      </c>
      <c r="W30" s="2"/>
      <c r="X30" s="6">
        <f t="shared" si="21"/>
        <v>-3630.3300000000004</v>
      </c>
      <c r="Y30" s="2"/>
      <c r="Z30" s="7">
        <f t="shared" si="22"/>
        <v>-0.96994512159280977</v>
      </c>
    </row>
    <row r="31" spans="1:26" s="23" customFormat="1" hidden="1" outlineLevel="2" x14ac:dyDescent="0.25">
      <c r="A31" s="25"/>
      <c r="B31" s="10" t="str">
        <f>CONCATENATE("          ", "6156", " - ", "EMPLOYEE MEALS")</f>
        <v xml:space="preserve">          6156 - EMPLOYEE MEALS</v>
      </c>
      <c r="C31" s="10"/>
      <c r="D31" s="6"/>
      <c r="E31" s="2"/>
      <c r="F31" s="7">
        <f t="shared" si="15"/>
        <v>0</v>
      </c>
      <c r="G31" s="2"/>
      <c r="H31" s="6">
        <v>37.03</v>
      </c>
      <c r="I31" s="2"/>
      <c r="J31" s="7">
        <f t="shared" si="16"/>
        <v>0</v>
      </c>
      <c r="K31" s="2"/>
      <c r="L31" s="6">
        <f t="shared" si="17"/>
        <v>-37.03</v>
      </c>
      <c r="M31" s="2"/>
      <c r="N31" s="7">
        <f t="shared" si="18"/>
        <v>-1</v>
      </c>
      <c r="O31" s="10"/>
      <c r="P31" s="6"/>
      <c r="Q31" s="2"/>
      <c r="R31" s="7">
        <f t="shared" si="19"/>
        <v>0</v>
      </c>
      <c r="S31" s="2"/>
      <c r="T31" s="6">
        <v>1318.09</v>
      </c>
      <c r="U31" s="2"/>
      <c r="V31" s="7">
        <f t="shared" si="20"/>
        <v>5.1679964461668181E-3</v>
      </c>
      <c r="W31" s="2"/>
      <c r="X31" s="6">
        <f t="shared" si="21"/>
        <v>-1318.09</v>
      </c>
      <c r="Y31" s="2"/>
      <c r="Z31" s="7">
        <f t="shared" si="22"/>
        <v>-1</v>
      </c>
    </row>
    <row r="32" spans="1:26" s="27" customFormat="1" outlineLevel="1" collapsed="1" x14ac:dyDescent="0.25">
      <c r="A32" s="26"/>
      <c r="B32" s="12" t="str">
        <f>CONCATENATE("     ","*Payroll                                          ")</f>
        <v xml:space="preserve">     *Payroll                                          </v>
      </c>
      <c r="C32" s="12"/>
      <c r="D32" s="1">
        <f>SUM(OSRRefD22_1x_0)</f>
        <v>0</v>
      </c>
      <c r="E32" s="1"/>
      <c r="F32" s="5">
        <f t="shared" ref="F32:F37" si="23">IF(D$12=0,0,D32/D$12)</f>
        <v>0</v>
      </c>
      <c r="G32" s="1"/>
      <c r="H32" s="1">
        <f>SUM(OSRRefH22_1x_0)</f>
        <v>4793.3100000000004</v>
      </c>
      <c r="I32" s="1"/>
      <c r="J32" s="5">
        <f t="shared" ref="J32:J37" si="24">IF(H$12=0,0,H32/H$12)</f>
        <v>0</v>
      </c>
      <c r="K32" s="1"/>
      <c r="L32" s="1">
        <f t="shared" ref="L32:L37" si="25">+D32-H32</f>
        <v>-4793.3100000000004</v>
      </c>
      <c r="M32" s="1"/>
      <c r="N32" s="5">
        <f t="shared" ref="N32:N37" si="26">IF(H32=0,0,L32/H32)</f>
        <v>-1</v>
      </c>
      <c r="O32" s="12"/>
      <c r="P32" s="1">
        <f>SUM(OSRRefP22_1x_0)</f>
        <v>2259.48</v>
      </c>
      <c r="Q32" s="1"/>
      <c r="R32" s="5">
        <f t="shared" ref="R32:R37" si="27">IF(P$12=0,0,P32/P$12)</f>
        <v>0</v>
      </c>
      <c r="S32" s="1"/>
      <c r="T32" s="1">
        <f>SUM(OSRRefT22_1x_0)</f>
        <v>128335.54999999999</v>
      </c>
      <c r="U32" s="1"/>
      <c r="V32" s="5">
        <f t="shared" ref="V32:V37" si="28">IF(T$12=0,0,T32/T$12)</f>
        <v>0.50318086497649173</v>
      </c>
      <c r="W32" s="1"/>
      <c r="X32" s="1">
        <f t="shared" ref="X32:X37" si="29">+P32-T32</f>
        <v>-126076.06999999999</v>
      </c>
      <c r="Y32" s="1"/>
      <c r="Z32" s="5">
        <f t="shared" ref="Z32:Z37" si="30">IF(T32=0,0,X32/T32)</f>
        <v>-0.98239396644187837</v>
      </c>
    </row>
    <row r="33" spans="1:26" s="23" customFormat="1" hidden="1" outlineLevel="2" x14ac:dyDescent="0.25">
      <c r="A33" s="25"/>
      <c r="B33" s="10" t="str">
        <f>CONCATENATE("          ", "6002", " - ", "STAFF SALARIES")</f>
        <v xml:space="preserve">          6002 - STAFF SALARIES</v>
      </c>
      <c r="C33" s="10"/>
      <c r="D33" s="6"/>
      <c r="E33" s="2"/>
      <c r="F33" s="7">
        <f t="shared" si="23"/>
        <v>0</v>
      </c>
      <c r="G33" s="2"/>
      <c r="H33" s="6">
        <v>4793.3100000000004</v>
      </c>
      <c r="I33" s="2"/>
      <c r="J33" s="7">
        <f t="shared" si="24"/>
        <v>0</v>
      </c>
      <c r="K33" s="2"/>
      <c r="L33" s="6">
        <f t="shared" si="25"/>
        <v>-4793.3100000000004</v>
      </c>
      <c r="M33" s="2"/>
      <c r="N33" s="7">
        <f t="shared" si="26"/>
        <v>-1</v>
      </c>
      <c r="O33" s="10"/>
      <c r="P33" s="6">
        <v>2259.48</v>
      </c>
      <c r="Q33" s="2"/>
      <c r="R33" s="7">
        <f t="shared" si="27"/>
        <v>0</v>
      </c>
      <c r="S33" s="2"/>
      <c r="T33" s="6">
        <v>54888.73</v>
      </c>
      <c r="U33" s="2"/>
      <c r="V33" s="7">
        <f t="shared" si="28"/>
        <v>0.21520894747294195</v>
      </c>
      <c r="W33" s="2"/>
      <c r="X33" s="6">
        <f t="shared" si="29"/>
        <v>-52629.25</v>
      </c>
      <c r="Y33" s="2"/>
      <c r="Z33" s="7">
        <f t="shared" si="30"/>
        <v>-0.95883526545431086</v>
      </c>
    </row>
    <row r="34" spans="1:26" s="23" customFormat="1" hidden="1" outlineLevel="2" x14ac:dyDescent="0.25">
      <c r="A34" s="25"/>
      <c r="B34" s="10" t="str">
        <f>CONCATENATE("          ", "6004", " - ", "STAFF HOURLY")</f>
        <v xml:space="preserve">          6004 - STAFF HOURLY</v>
      </c>
      <c r="C34" s="10"/>
      <c r="D34" s="6"/>
      <c r="E34" s="2"/>
      <c r="F34" s="7">
        <f t="shared" si="23"/>
        <v>0</v>
      </c>
      <c r="G34" s="2"/>
      <c r="H34" s="6"/>
      <c r="I34" s="2"/>
      <c r="J34" s="7">
        <f t="shared" si="24"/>
        <v>0</v>
      </c>
      <c r="K34" s="2"/>
      <c r="L34" s="6">
        <f t="shared" si="25"/>
        <v>0</v>
      </c>
      <c r="M34" s="2"/>
      <c r="N34" s="7">
        <f t="shared" si="26"/>
        <v>0</v>
      </c>
      <c r="O34" s="10"/>
      <c r="P34" s="6"/>
      <c r="Q34" s="2"/>
      <c r="R34" s="7">
        <f t="shared" si="27"/>
        <v>0</v>
      </c>
      <c r="S34" s="2"/>
      <c r="T34" s="6">
        <v>2483.52</v>
      </c>
      <c r="U34" s="2"/>
      <c r="V34" s="7">
        <f t="shared" si="28"/>
        <v>9.7374401854078366E-3</v>
      </c>
      <c r="W34" s="2"/>
      <c r="X34" s="6">
        <f t="shared" si="29"/>
        <v>-2483.52</v>
      </c>
      <c r="Y34" s="2"/>
      <c r="Z34" s="7">
        <f t="shared" si="30"/>
        <v>-1</v>
      </c>
    </row>
    <row r="35" spans="1:26" s="23" customFormat="1" hidden="1" outlineLevel="2" x14ac:dyDescent="0.25">
      <c r="A35" s="25"/>
      <c r="B35" s="10" t="str">
        <f>CONCATENATE("          ", "6005", " - ", "TEMPORARY WAGES-HOURLY")</f>
        <v xml:space="preserve">          6005 - TEMPORARY WAGES-HOURLY</v>
      </c>
      <c r="C35" s="10"/>
      <c r="D35" s="6"/>
      <c r="E35" s="2"/>
      <c r="F35" s="7">
        <f t="shared" si="23"/>
        <v>0</v>
      </c>
      <c r="G35" s="2"/>
      <c r="H35" s="6"/>
      <c r="I35" s="2"/>
      <c r="J35" s="7">
        <f t="shared" si="24"/>
        <v>0</v>
      </c>
      <c r="K35" s="2"/>
      <c r="L35" s="6">
        <f t="shared" si="25"/>
        <v>0</v>
      </c>
      <c r="M35" s="2"/>
      <c r="N35" s="7">
        <f t="shared" si="26"/>
        <v>0</v>
      </c>
      <c r="O35" s="10"/>
      <c r="P35" s="6"/>
      <c r="Q35" s="2"/>
      <c r="R35" s="7">
        <f t="shared" si="27"/>
        <v>0</v>
      </c>
      <c r="S35" s="2"/>
      <c r="T35" s="6">
        <v>29725.46</v>
      </c>
      <c r="U35" s="2"/>
      <c r="V35" s="7">
        <f t="shared" si="28"/>
        <v>0.116548241501471</v>
      </c>
      <c r="W35" s="2"/>
      <c r="X35" s="6">
        <f t="shared" si="29"/>
        <v>-29725.46</v>
      </c>
      <c r="Y35" s="2"/>
      <c r="Z35" s="7">
        <f t="shared" si="30"/>
        <v>-1</v>
      </c>
    </row>
    <row r="36" spans="1:26" s="23" customFormat="1" hidden="1" outlineLevel="2" x14ac:dyDescent="0.25">
      <c r="A36" s="25"/>
      <c r="B36" s="10" t="str">
        <f>CONCATENATE("          ", "6007", " - ", "STUDENT HOURLY")</f>
        <v xml:space="preserve">          6007 - STUDENT HOURLY</v>
      </c>
      <c r="C36" s="10"/>
      <c r="D36" s="6"/>
      <c r="E36" s="2"/>
      <c r="F36" s="7">
        <f t="shared" si="23"/>
        <v>0</v>
      </c>
      <c r="G36" s="2"/>
      <c r="H36" s="6"/>
      <c r="I36" s="2"/>
      <c r="J36" s="7">
        <f t="shared" si="24"/>
        <v>0</v>
      </c>
      <c r="K36" s="2"/>
      <c r="L36" s="6">
        <f t="shared" si="25"/>
        <v>0</v>
      </c>
      <c r="M36" s="2"/>
      <c r="N36" s="7">
        <f t="shared" si="26"/>
        <v>0</v>
      </c>
      <c r="O36" s="10"/>
      <c r="P36" s="6"/>
      <c r="Q36" s="2"/>
      <c r="R36" s="7">
        <f t="shared" si="27"/>
        <v>0</v>
      </c>
      <c r="S36" s="2"/>
      <c r="T36" s="6">
        <v>36868.25</v>
      </c>
      <c r="U36" s="2"/>
      <c r="V36" s="7">
        <f t="shared" si="28"/>
        <v>0.14455385062961543</v>
      </c>
      <c r="W36" s="2"/>
      <c r="X36" s="6">
        <f t="shared" si="29"/>
        <v>-36868.25</v>
      </c>
      <c r="Y36" s="2"/>
      <c r="Z36" s="7">
        <f t="shared" si="30"/>
        <v>-1</v>
      </c>
    </row>
    <row r="37" spans="1:26" s="23" customFormat="1" hidden="1" outlineLevel="2" x14ac:dyDescent="0.25">
      <c r="A37" s="25"/>
      <c r="B37" s="10" t="str">
        <f>CONCATENATE("          ", "6008", " - ", "STUDENT HOURLY-FICA EXEMPT")</f>
        <v xml:space="preserve">          6008 - STUDENT HOURLY-FICA EXEMPT</v>
      </c>
      <c r="C37" s="10"/>
      <c r="D37" s="6"/>
      <c r="E37" s="2"/>
      <c r="F37" s="7">
        <f t="shared" si="23"/>
        <v>0</v>
      </c>
      <c r="G37" s="2"/>
      <c r="H37" s="6"/>
      <c r="I37" s="2"/>
      <c r="J37" s="7">
        <f t="shared" si="24"/>
        <v>0</v>
      </c>
      <c r="K37" s="2"/>
      <c r="L37" s="6">
        <f t="shared" si="25"/>
        <v>0</v>
      </c>
      <c r="M37" s="2"/>
      <c r="N37" s="7">
        <f t="shared" si="26"/>
        <v>0</v>
      </c>
      <c r="O37" s="10"/>
      <c r="P37" s="6"/>
      <c r="Q37" s="2"/>
      <c r="R37" s="7">
        <f t="shared" si="27"/>
        <v>0</v>
      </c>
      <c r="S37" s="2"/>
      <c r="T37" s="6">
        <v>4369.59</v>
      </c>
      <c r="U37" s="2"/>
      <c r="V37" s="7">
        <f t="shared" si="28"/>
        <v>1.7132385187055565E-2</v>
      </c>
      <c r="W37" s="2"/>
      <c r="X37" s="6">
        <f t="shared" si="29"/>
        <v>-4369.59</v>
      </c>
      <c r="Y37" s="2"/>
      <c r="Z37" s="7">
        <f t="shared" si="30"/>
        <v>-1</v>
      </c>
    </row>
    <row r="38" spans="1:26" s="27" customFormat="1" outlineLevel="1" collapsed="1" x14ac:dyDescent="0.25">
      <c r="A38" s="26"/>
      <c r="B38" s="12" t="str">
        <f>CONCATENATE("     ","Advertising/Promo                                 ")</f>
        <v xml:space="preserve">     Advertising/Promo                                 </v>
      </c>
      <c r="C38" s="12"/>
      <c r="D38" s="1">
        <f>SUM(OSRRefD22_2x_0)</f>
        <v>0</v>
      </c>
      <c r="E38" s="1"/>
      <c r="F38" s="5">
        <f t="shared" ref="F38:F51" si="31">IF(D$12=0,0,D38/D$12)</f>
        <v>0</v>
      </c>
      <c r="G38" s="1"/>
      <c r="H38" s="1">
        <f>SUM(OSRRefH22_2x_0)</f>
        <v>0</v>
      </c>
      <c r="I38" s="1"/>
      <c r="J38" s="5">
        <f t="shared" ref="J38:J51" si="32">IF(H$12=0,0,H38/H$12)</f>
        <v>0</v>
      </c>
      <c r="K38" s="1"/>
      <c r="L38" s="1">
        <f t="shared" ref="L38:L51" si="33">+D38-H38</f>
        <v>0</v>
      </c>
      <c r="M38" s="1"/>
      <c r="N38" s="5">
        <f t="shared" ref="N38:N51" si="34">IF(H38=0,0,L38/H38)</f>
        <v>0</v>
      </c>
      <c r="O38" s="12"/>
      <c r="P38" s="1">
        <f>SUM(OSRRefP22_2x_0)</f>
        <v>0</v>
      </c>
      <c r="Q38" s="1"/>
      <c r="R38" s="5">
        <f t="shared" ref="R38:R51" si="35">IF(P$12=0,0,P38/P$12)</f>
        <v>0</v>
      </c>
      <c r="S38" s="1"/>
      <c r="T38" s="1">
        <f>SUM(OSRRefT22_2x_0)</f>
        <v>2599.63</v>
      </c>
      <c r="U38" s="1"/>
      <c r="V38" s="5">
        <f t="shared" ref="V38:V51" si="36">IF(T$12=0,0,T38/T$12)</f>
        <v>1.0192686843348061E-2</v>
      </c>
      <c r="W38" s="1"/>
      <c r="X38" s="1">
        <f t="shared" ref="X38:X51" si="37">+P38-T38</f>
        <v>-2599.63</v>
      </c>
      <c r="Y38" s="1"/>
      <c r="Z38" s="5">
        <f t="shared" ref="Z38:Z51" si="38">IF(T38=0,0,X38/T38)</f>
        <v>-1</v>
      </c>
    </row>
    <row r="39" spans="1:26" s="23" customFormat="1" hidden="1" outlineLevel="2" x14ac:dyDescent="0.25">
      <c r="A39" s="25"/>
      <c r="B39" s="10" t="str">
        <f>CONCATENATE("          ", "6362", " - ", "ADVERTISING EXPENSE")</f>
        <v xml:space="preserve">          6362 - ADVERTISING EXPENSE</v>
      </c>
      <c r="C39" s="10"/>
      <c r="D39" s="6"/>
      <c r="E39" s="2"/>
      <c r="F39" s="7">
        <f t="shared" si="31"/>
        <v>0</v>
      </c>
      <c r="G39" s="2"/>
      <c r="H39" s="6"/>
      <c r="I39" s="2"/>
      <c r="J39" s="7">
        <f t="shared" si="32"/>
        <v>0</v>
      </c>
      <c r="K39" s="2"/>
      <c r="L39" s="6">
        <f t="shared" si="33"/>
        <v>0</v>
      </c>
      <c r="M39" s="2"/>
      <c r="N39" s="7">
        <f t="shared" si="34"/>
        <v>0</v>
      </c>
      <c r="O39" s="10"/>
      <c r="P39" s="6"/>
      <c r="Q39" s="2"/>
      <c r="R39" s="7">
        <f t="shared" si="35"/>
        <v>0</v>
      </c>
      <c r="S39" s="2"/>
      <c r="T39" s="6">
        <v>2599.63</v>
      </c>
      <c r="U39" s="2"/>
      <c r="V39" s="7">
        <f t="shared" si="36"/>
        <v>1.0192686843348061E-2</v>
      </c>
      <c r="W39" s="2"/>
      <c r="X39" s="6">
        <f t="shared" si="37"/>
        <v>-2599.63</v>
      </c>
      <c r="Y39" s="2"/>
      <c r="Z39" s="7">
        <f t="shared" si="38"/>
        <v>-1</v>
      </c>
    </row>
    <row r="40" spans="1:26" s="27" customFormat="1" outlineLevel="1" collapsed="1" x14ac:dyDescent="0.25">
      <c r="A40" s="26"/>
      <c r="B40" s="12" t="str">
        <f>CONCATENATE("     ","Bad Debts/Over/Short                              ")</f>
        <v xml:space="preserve">     Bad Debts/Over/Short                              </v>
      </c>
      <c r="C40" s="12"/>
      <c r="D40" s="1">
        <f>SUM(OSRRefD22_3x_0)</f>
        <v>0</v>
      </c>
      <c r="E40" s="1"/>
      <c r="F40" s="5">
        <f t="shared" si="31"/>
        <v>0</v>
      </c>
      <c r="G40" s="1"/>
      <c r="H40" s="1">
        <f>SUM(OSRRefH22_3x_0)</f>
        <v>0</v>
      </c>
      <c r="I40" s="1"/>
      <c r="J40" s="5">
        <f t="shared" si="32"/>
        <v>0</v>
      </c>
      <c r="K40" s="1"/>
      <c r="L40" s="1">
        <f t="shared" si="33"/>
        <v>0</v>
      </c>
      <c r="M40" s="1"/>
      <c r="N40" s="5">
        <f t="shared" si="34"/>
        <v>0</v>
      </c>
      <c r="O40" s="12"/>
      <c r="P40" s="1">
        <f>SUM(OSRRefP22_3x_0)</f>
        <v>0</v>
      </c>
      <c r="Q40" s="1"/>
      <c r="R40" s="5">
        <f t="shared" si="35"/>
        <v>0</v>
      </c>
      <c r="S40" s="1"/>
      <c r="T40" s="1">
        <f>SUM(OSRRefT22_3x_0)</f>
        <v>-48.26</v>
      </c>
      <c r="U40" s="1"/>
      <c r="V40" s="5">
        <f t="shared" si="36"/>
        <v>-1.8921887617083101E-4</v>
      </c>
      <c r="W40" s="1"/>
      <c r="X40" s="1">
        <f t="shared" si="37"/>
        <v>48.26</v>
      </c>
      <c r="Y40" s="1"/>
      <c r="Z40" s="5">
        <f t="shared" si="38"/>
        <v>-1</v>
      </c>
    </row>
    <row r="41" spans="1:26" s="23" customFormat="1" hidden="1" outlineLevel="2" x14ac:dyDescent="0.25">
      <c r="A41" s="25"/>
      <c r="B41" s="10" t="str">
        <f>CONCATENATE("          ", "6272", " - ", "CASH (OVER/SHORT)")</f>
        <v xml:space="preserve">          6272 - CASH (OVER/SHORT)</v>
      </c>
      <c r="C41" s="10"/>
      <c r="D41" s="6"/>
      <c r="E41" s="2"/>
      <c r="F41" s="7">
        <f t="shared" si="31"/>
        <v>0</v>
      </c>
      <c r="G41" s="2"/>
      <c r="H41" s="6"/>
      <c r="I41" s="2"/>
      <c r="J41" s="7">
        <f t="shared" si="32"/>
        <v>0</v>
      </c>
      <c r="K41" s="2"/>
      <c r="L41" s="6">
        <f t="shared" si="33"/>
        <v>0</v>
      </c>
      <c r="M41" s="2"/>
      <c r="N41" s="7">
        <f t="shared" si="34"/>
        <v>0</v>
      </c>
      <c r="O41" s="10"/>
      <c r="P41" s="6"/>
      <c r="Q41" s="2"/>
      <c r="R41" s="7">
        <f t="shared" si="35"/>
        <v>0</v>
      </c>
      <c r="S41" s="2"/>
      <c r="T41" s="6">
        <v>-48.26</v>
      </c>
      <c r="U41" s="2"/>
      <c r="V41" s="7">
        <f t="shared" si="36"/>
        <v>-1.8921887617083101E-4</v>
      </c>
      <c r="W41" s="2"/>
      <c r="X41" s="6">
        <f t="shared" si="37"/>
        <v>48.26</v>
      </c>
      <c r="Y41" s="2"/>
      <c r="Z41" s="7">
        <f t="shared" si="38"/>
        <v>-1</v>
      </c>
    </row>
    <row r="42" spans="1:26" s="27" customFormat="1" outlineLevel="1" collapsed="1" x14ac:dyDescent="0.25">
      <c r="A42" s="26"/>
      <c r="B42" s="12" t="str">
        <f>CONCATENATE("     ","Bank/card Fees                                    ")</f>
        <v xml:space="preserve">     Bank/card Fees                                    </v>
      </c>
      <c r="C42" s="12"/>
      <c r="D42" s="1">
        <f>SUM(OSRRefD22_4x_0)</f>
        <v>0</v>
      </c>
      <c r="E42" s="1"/>
      <c r="F42" s="5">
        <f t="shared" si="31"/>
        <v>0</v>
      </c>
      <c r="G42" s="1"/>
      <c r="H42" s="1">
        <f>SUM(OSRRefH22_4x_0)</f>
        <v>0</v>
      </c>
      <c r="I42" s="1"/>
      <c r="J42" s="5">
        <f t="shared" si="32"/>
        <v>0</v>
      </c>
      <c r="K42" s="1"/>
      <c r="L42" s="1">
        <f t="shared" si="33"/>
        <v>0</v>
      </c>
      <c r="M42" s="1"/>
      <c r="N42" s="5">
        <f t="shared" si="34"/>
        <v>0</v>
      </c>
      <c r="O42" s="12"/>
      <c r="P42" s="1">
        <f>SUM(OSRRefP22_4x_0)</f>
        <v>0</v>
      </c>
      <c r="Q42" s="1"/>
      <c r="R42" s="5">
        <f t="shared" si="35"/>
        <v>0</v>
      </c>
      <c r="S42" s="1"/>
      <c r="T42" s="1">
        <f>SUM(OSRRefT22_4x_0)</f>
        <v>10000.31</v>
      </c>
      <c r="U42" s="1"/>
      <c r="V42" s="5">
        <f t="shared" si="36"/>
        <v>3.9209436791544199E-2</v>
      </c>
      <c r="W42" s="1"/>
      <c r="X42" s="1">
        <f t="shared" si="37"/>
        <v>-10000.31</v>
      </c>
      <c r="Y42" s="1"/>
      <c r="Z42" s="5">
        <f t="shared" si="38"/>
        <v>-1</v>
      </c>
    </row>
    <row r="43" spans="1:26" s="23" customFormat="1" hidden="1" outlineLevel="2" x14ac:dyDescent="0.25">
      <c r="A43" s="25"/>
      <c r="B43" s="10" t="str">
        <f>CONCATENATE("          ", "6381", " - ", "BANK/CREDIT CARD FEES")</f>
        <v xml:space="preserve">          6381 - BANK/CREDIT CARD FEES</v>
      </c>
      <c r="C43" s="10"/>
      <c r="D43" s="6"/>
      <c r="E43" s="2"/>
      <c r="F43" s="7">
        <f t="shared" si="31"/>
        <v>0</v>
      </c>
      <c r="G43" s="2"/>
      <c r="H43" s="6"/>
      <c r="I43" s="2"/>
      <c r="J43" s="7">
        <f t="shared" si="32"/>
        <v>0</v>
      </c>
      <c r="K43" s="2"/>
      <c r="L43" s="6">
        <f t="shared" si="33"/>
        <v>0</v>
      </c>
      <c r="M43" s="2"/>
      <c r="N43" s="7">
        <f t="shared" si="34"/>
        <v>0</v>
      </c>
      <c r="O43" s="10"/>
      <c r="P43" s="6"/>
      <c r="Q43" s="2"/>
      <c r="R43" s="7">
        <f t="shared" si="35"/>
        <v>0</v>
      </c>
      <c r="S43" s="2"/>
      <c r="T43" s="6">
        <v>10000.31</v>
      </c>
      <c r="U43" s="2"/>
      <c r="V43" s="7">
        <f t="shared" si="36"/>
        <v>3.9209436791544199E-2</v>
      </c>
      <c r="W43" s="2"/>
      <c r="X43" s="6">
        <f t="shared" si="37"/>
        <v>-10000.31</v>
      </c>
      <c r="Y43" s="2"/>
      <c r="Z43" s="7">
        <f t="shared" si="38"/>
        <v>-1</v>
      </c>
    </row>
    <row r="44" spans="1:26" s="27" customFormat="1" outlineLevel="1" collapsed="1" x14ac:dyDescent="0.25">
      <c r="A44" s="26"/>
      <c r="B44" s="12" t="str">
        <f>CONCATENATE("     ","Depreciation                                      ")</f>
        <v xml:space="preserve">     Depreciation                                      </v>
      </c>
      <c r="C44" s="12"/>
      <c r="D44" s="1">
        <f>SUM(OSRRefD22_5x_0)</f>
        <v>58.07</v>
      </c>
      <c r="E44" s="1"/>
      <c r="F44" s="5">
        <f t="shared" si="31"/>
        <v>0</v>
      </c>
      <c r="G44" s="1"/>
      <c r="H44" s="1">
        <f>SUM(OSRRefH22_5x_0)</f>
        <v>58.07</v>
      </c>
      <c r="I44" s="1"/>
      <c r="J44" s="5">
        <f t="shared" si="32"/>
        <v>0</v>
      </c>
      <c r="K44" s="1"/>
      <c r="L44" s="1">
        <f t="shared" si="33"/>
        <v>0</v>
      </c>
      <c r="M44" s="1"/>
      <c r="N44" s="5">
        <f t="shared" si="34"/>
        <v>0</v>
      </c>
      <c r="O44" s="12"/>
      <c r="P44" s="1">
        <f>SUM(OSRRefP22_5x_0)</f>
        <v>696.4</v>
      </c>
      <c r="Q44" s="1"/>
      <c r="R44" s="5">
        <f t="shared" si="35"/>
        <v>0</v>
      </c>
      <c r="S44" s="1"/>
      <c r="T44" s="1">
        <f>SUM(OSRRefT22_5x_0)</f>
        <v>5846.06</v>
      </c>
      <c r="U44" s="1"/>
      <c r="V44" s="5">
        <f t="shared" si="36"/>
        <v>2.2921361442752766E-2</v>
      </c>
      <c r="W44" s="1"/>
      <c r="X44" s="1">
        <f t="shared" si="37"/>
        <v>-5149.6600000000008</v>
      </c>
      <c r="Y44" s="1"/>
      <c r="Z44" s="5">
        <f t="shared" si="38"/>
        <v>-0.88087703513135351</v>
      </c>
    </row>
    <row r="45" spans="1:26" s="23" customFormat="1" hidden="1" outlineLevel="2" x14ac:dyDescent="0.25">
      <c r="A45" s="25"/>
      <c r="B45" s="10" t="str">
        <f>CONCATENATE("          ", "6322", " - ", "EQUIPMENT DEPRECIATION EXPENSE")</f>
        <v xml:space="preserve">          6322 - EQUIPMENT DEPRECIATION EXPENSE</v>
      </c>
      <c r="C45" s="10"/>
      <c r="D45" s="6">
        <v>58.07</v>
      </c>
      <c r="E45" s="2"/>
      <c r="F45" s="7">
        <f t="shared" si="31"/>
        <v>0</v>
      </c>
      <c r="G45" s="2"/>
      <c r="H45" s="6">
        <v>58.07</v>
      </c>
      <c r="I45" s="2"/>
      <c r="J45" s="7">
        <f t="shared" si="32"/>
        <v>0</v>
      </c>
      <c r="K45" s="2"/>
      <c r="L45" s="6">
        <f t="shared" si="33"/>
        <v>0</v>
      </c>
      <c r="M45" s="2"/>
      <c r="N45" s="7">
        <f t="shared" si="34"/>
        <v>0</v>
      </c>
      <c r="O45" s="10"/>
      <c r="P45" s="6">
        <v>696.4</v>
      </c>
      <c r="Q45" s="2"/>
      <c r="R45" s="7">
        <f t="shared" si="35"/>
        <v>0</v>
      </c>
      <c r="S45" s="2"/>
      <c r="T45" s="6">
        <v>5846.06</v>
      </c>
      <c r="U45" s="2"/>
      <c r="V45" s="7">
        <f t="shared" si="36"/>
        <v>2.2921361442752766E-2</v>
      </c>
      <c r="W45" s="2"/>
      <c r="X45" s="6">
        <f t="shared" si="37"/>
        <v>-5149.6600000000008</v>
      </c>
      <c r="Y45" s="2"/>
      <c r="Z45" s="7">
        <f t="shared" si="38"/>
        <v>-0.88087703513135351</v>
      </c>
    </row>
    <row r="46" spans="1:26" s="27" customFormat="1" outlineLevel="1" collapsed="1" x14ac:dyDescent="0.25">
      <c r="A46" s="26"/>
      <c r="B46" s="12" t="str">
        <f>CONCATENATE("     ","General                                           ")</f>
        <v xml:space="preserve">     General                                           </v>
      </c>
      <c r="C46" s="12"/>
      <c r="D46" s="1">
        <f>SUM(OSRRefD22_6x_0)</f>
        <v>0</v>
      </c>
      <c r="E46" s="1"/>
      <c r="F46" s="5">
        <f t="shared" si="31"/>
        <v>0</v>
      </c>
      <c r="G46" s="1"/>
      <c r="H46" s="1">
        <f>SUM(OSRRefH22_6x_0)</f>
        <v>0</v>
      </c>
      <c r="I46" s="1"/>
      <c r="J46" s="5">
        <f t="shared" si="32"/>
        <v>0</v>
      </c>
      <c r="K46" s="1"/>
      <c r="L46" s="1">
        <f t="shared" si="33"/>
        <v>0</v>
      </c>
      <c r="M46" s="1"/>
      <c r="N46" s="5">
        <f t="shared" si="34"/>
        <v>0</v>
      </c>
      <c r="O46" s="12"/>
      <c r="P46" s="1">
        <f>SUM(OSRRefP22_6x_0)</f>
        <v>0</v>
      </c>
      <c r="Q46" s="1"/>
      <c r="R46" s="5">
        <f t="shared" si="35"/>
        <v>0</v>
      </c>
      <c r="S46" s="1"/>
      <c r="T46" s="1">
        <f>SUM(OSRRefT22_6x_0)</f>
        <v>901.75</v>
      </c>
      <c r="U46" s="1"/>
      <c r="V46" s="5">
        <f t="shared" si="36"/>
        <v>3.535601359035368E-3</v>
      </c>
      <c r="W46" s="1"/>
      <c r="X46" s="1">
        <f t="shared" si="37"/>
        <v>-901.75</v>
      </c>
      <c r="Y46" s="1"/>
      <c r="Z46" s="5">
        <f t="shared" si="38"/>
        <v>-1</v>
      </c>
    </row>
    <row r="47" spans="1:26" s="23" customFormat="1" hidden="1" outlineLevel="2" x14ac:dyDescent="0.25">
      <c r="A47" s="25"/>
      <c r="B47" s="10" t="str">
        <f>CONCATENATE("          ", "6279", " - ", "GENERAL EXPENSE")</f>
        <v xml:space="preserve">          6279 - GENERAL EXPENSE</v>
      </c>
      <c r="C47" s="10"/>
      <c r="D47" s="6"/>
      <c r="E47" s="2"/>
      <c r="F47" s="7">
        <f t="shared" si="31"/>
        <v>0</v>
      </c>
      <c r="G47" s="2"/>
      <c r="H47" s="6"/>
      <c r="I47" s="2"/>
      <c r="J47" s="7">
        <f t="shared" si="32"/>
        <v>0</v>
      </c>
      <c r="K47" s="2"/>
      <c r="L47" s="6">
        <f t="shared" si="33"/>
        <v>0</v>
      </c>
      <c r="M47" s="2"/>
      <c r="N47" s="7">
        <f t="shared" si="34"/>
        <v>0</v>
      </c>
      <c r="O47" s="10"/>
      <c r="P47" s="6"/>
      <c r="Q47" s="2"/>
      <c r="R47" s="7">
        <f t="shared" si="35"/>
        <v>0</v>
      </c>
      <c r="S47" s="2"/>
      <c r="T47" s="6">
        <v>901.75</v>
      </c>
      <c r="U47" s="2"/>
      <c r="V47" s="7">
        <f t="shared" si="36"/>
        <v>3.535601359035368E-3</v>
      </c>
      <c r="W47" s="2"/>
      <c r="X47" s="6">
        <f t="shared" si="37"/>
        <v>-901.75</v>
      </c>
      <c r="Y47" s="2"/>
      <c r="Z47" s="7">
        <f t="shared" si="38"/>
        <v>-1</v>
      </c>
    </row>
    <row r="48" spans="1:26" s="27" customFormat="1" outlineLevel="1" collapsed="1" x14ac:dyDescent="0.25">
      <c r="A48" s="26"/>
      <c r="B48" s="12" t="str">
        <f>CONCATENATE("     ","Repair and Maintenance                            ")</f>
        <v xml:space="preserve">     Repair and Maintenance                            </v>
      </c>
      <c r="C48" s="12"/>
      <c r="D48" s="1">
        <f>SUM(OSRRefD22_7x_0)</f>
        <v>165.09</v>
      </c>
      <c r="E48" s="1"/>
      <c r="F48" s="5">
        <f t="shared" si="31"/>
        <v>0</v>
      </c>
      <c r="G48" s="1"/>
      <c r="H48" s="1">
        <f>SUM(OSRRefH22_7x_0)</f>
        <v>165.75</v>
      </c>
      <c r="I48" s="1"/>
      <c r="J48" s="5">
        <f t="shared" si="32"/>
        <v>0</v>
      </c>
      <c r="K48" s="1"/>
      <c r="L48" s="1">
        <f t="shared" si="33"/>
        <v>-0.65999999999999659</v>
      </c>
      <c r="M48" s="1"/>
      <c r="N48" s="5">
        <f t="shared" si="34"/>
        <v>-3.9819004524886672E-3</v>
      </c>
      <c r="O48" s="12"/>
      <c r="P48" s="1">
        <f>SUM(OSRRefP22_7x_0)</f>
        <v>740.94</v>
      </c>
      <c r="Q48" s="1"/>
      <c r="R48" s="5">
        <f t="shared" si="35"/>
        <v>0</v>
      </c>
      <c r="S48" s="1"/>
      <c r="T48" s="1">
        <f>SUM(OSRRefT22_7x_0)</f>
        <v>9042.86</v>
      </c>
      <c r="U48" s="1"/>
      <c r="V48" s="5">
        <f t="shared" si="36"/>
        <v>3.5455445639663512E-2</v>
      </c>
      <c r="W48" s="1"/>
      <c r="X48" s="1">
        <f t="shared" si="37"/>
        <v>-8301.92</v>
      </c>
      <c r="Y48" s="1"/>
      <c r="Z48" s="5">
        <f t="shared" si="38"/>
        <v>-0.91806353299730392</v>
      </c>
    </row>
    <row r="49" spans="1:26" s="23" customFormat="1" hidden="1" outlineLevel="2" x14ac:dyDescent="0.25">
      <c r="A49" s="25"/>
      <c r="B49" s="10" t="str">
        <f>CONCATENATE("          ", "6371", " - ", "COMPUTER SOFTWARE MAINTENANCE")</f>
        <v xml:space="preserve">          6371 - COMPUTER SOFTWARE MAINTENANCE</v>
      </c>
      <c r="C49" s="10"/>
      <c r="D49" s="6"/>
      <c r="E49" s="2"/>
      <c r="F49" s="7">
        <f t="shared" si="31"/>
        <v>0</v>
      </c>
      <c r="G49" s="2"/>
      <c r="H49" s="6"/>
      <c r="I49" s="2"/>
      <c r="J49" s="7">
        <f t="shared" si="32"/>
        <v>0</v>
      </c>
      <c r="K49" s="2"/>
      <c r="L49" s="6">
        <f t="shared" si="33"/>
        <v>0</v>
      </c>
      <c r="M49" s="2"/>
      <c r="N49" s="7">
        <f t="shared" si="34"/>
        <v>0</v>
      </c>
      <c r="O49" s="10"/>
      <c r="P49" s="6"/>
      <c r="Q49" s="2"/>
      <c r="R49" s="7">
        <f t="shared" si="35"/>
        <v>0</v>
      </c>
      <c r="S49" s="2"/>
      <c r="T49" s="6">
        <v>874.62</v>
      </c>
      <c r="U49" s="2"/>
      <c r="V49" s="7">
        <f t="shared" si="36"/>
        <v>3.4292294545489477E-3</v>
      </c>
      <c r="W49" s="2"/>
      <c r="X49" s="6">
        <f t="shared" si="37"/>
        <v>-874.62</v>
      </c>
      <c r="Y49" s="2"/>
      <c r="Z49" s="7">
        <f t="shared" si="38"/>
        <v>-1</v>
      </c>
    </row>
    <row r="50" spans="1:26" s="23" customFormat="1" hidden="1" outlineLevel="2" x14ac:dyDescent="0.25">
      <c r="A50" s="25"/>
      <c r="B50" s="10" t="str">
        <f>CONCATENATE("          ", "6373", " - ", "MAINTENANCE CONTRACTS")</f>
        <v xml:space="preserve">          6373 - MAINTENANCE CONTRACTS</v>
      </c>
      <c r="C50" s="10"/>
      <c r="D50" s="6">
        <v>165.09</v>
      </c>
      <c r="E50" s="2"/>
      <c r="F50" s="7">
        <f t="shared" si="31"/>
        <v>0</v>
      </c>
      <c r="G50" s="2"/>
      <c r="H50" s="6">
        <v>165.75</v>
      </c>
      <c r="I50" s="2"/>
      <c r="J50" s="7">
        <f t="shared" si="32"/>
        <v>0</v>
      </c>
      <c r="K50" s="2"/>
      <c r="L50" s="6">
        <f t="shared" si="33"/>
        <v>-0.65999999999999659</v>
      </c>
      <c r="M50" s="2"/>
      <c r="N50" s="7">
        <f t="shared" si="34"/>
        <v>-3.9819004524886672E-3</v>
      </c>
      <c r="O50" s="10"/>
      <c r="P50" s="6">
        <v>740.94</v>
      </c>
      <c r="Q50" s="2"/>
      <c r="R50" s="7">
        <f t="shared" si="35"/>
        <v>0</v>
      </c>
      <c r="S50" s="2"/>
      <c r="T50" s="6">
        <v>1197.72</v>
      </c>
      <c r="U50" s="2"/>
      <c r="V50" s="7">
        <f t="shared" si="36"/>
        <v>4.696047085937168E-3</v>
      </c>
      <c r="W50" s="2"/>
      <c r="X50" s="6">
        <f t="shared" si="37"/>
        <v>-456.78</v>
      </c>
      <c r="Y50" s="2"/>
      <c r="Z50" s="7">
        <f t="shared" si="38"/>
        <v>-0.38137461176234844</v>
      </c>
    </row>
    <row r="51" spans="1:26" s="23" customFormat="1" hidden="1" outlineLevel="2" x14ac:dyDescent="0.25">
      <c r="A51" s="25"/>
      <c r="B51" s="10" t="str">
        <f>CONCATENATE("          ", "6375", " - ", "OUTSIDE REPAIRS &amp; MAINTENANCE")</f>
        <v xml:space="preserve">          6375 - OUTSIDE REPAIRS &amp; MAINTENANCE</v>
      </c>
      <c r="C51" s="10"/>
      <c r="D51" s="6">
        <v>0</v>
      </c>
      <c r="E51" s="2"/>
      <c r="F51" s="7">
        <f t="shared" si="31"/>
        <v>0</v>
      </c>
      <c r="G51" s="2"/>
      <c r="H51" s="6"/>
      <c r="I51" s="2"/>
      <c r="J51" s="7">
        <f t="shared" si="32"/>
        <v>0</v>
      </c>
      <c r="K51" s="2"/>
      <c r="L51" s="6">
        <f t="shared" si="33"/>
        <v>0</v>
      </c>
      <c r="M51" s="2"/>
      <c r="N51" s="7">
        <f t="shared" si="34"/>
        <v>0</v>
      </c>
      <c r="O51" s="10"/>
      <c r="P51" s="6">
        <v>0</v>
      </c>
      <c r="Q51" s="2"/>
      <c r="R51" s="7">
        <f t="shared" si="35"/>
        <v>0</v>
      </c>
      <c r="S51" s="2"/>
      <c r="T51" s="6">
        <v>6970.52</v>
      </c>
      <c r="U51" s="2"/>
      <c r="V51" s="7">
        <f t="shared" si="36"/>
        <v>2.7330169099177393E-2</v>
      </c>
      <c r="W51" s="2"/>
      <c r="X51" s="6">
        <f t="shared" si="37"/>
        <v>-6970.52</v>
      </c>
      <c r="Y51" s="2"/>
      <c r="Z51" s="7">
        <f t="shared" si="38"/>
        <v>-1</v>
      </c>
    </row>
    <row r="52" spans="1:26" s="27" customFormat="1" outlineLevel="1" collapsed="1" x14ac:dyDescent="0.25">
      <c r="A52" s="26"/>
      <c r="B52" s="12" t="str">
        <f>CONCATENATE("     ","Services                                          ")</f>
        <v xml:space="preserve">     Services                                          </v>
      </c>
      <c r="C52" s="12"/>
      <c r="D52" s="1">
        <f>SUM(OSRRefD22_8x_0)</f>
        <v>0</v>
      </c>
      <c r="E52" s="1"/>
      <c r="F52" s="5">
        <f t="shared" ref="F52:F55" si="39">IF(D$12=0,0,D52/D$12)</f>
        <v>0</v>
      </c>
      <c r="G52" s="1"/>
      <c r="H52" s="1">
        <f>SUM(OSRRefH22_8x_0)</f>
        <v>0</v>
      </c>
      <c r="I52" s="1"/>
      <c r="J52" s="5">
        <f t="shared" ref="J52:J55" si="40">IF(H$12=0,0,H52/H$12)</f>
        <v>0</v>
      </c>
      <c r="K52" s="1"/>
      <c r="L52" s="1">
        <f t="shared" ref="L52:L55" si="41">+D52-H52</f>
        <v>0</v>
      </c>
      <c r="M52" s="1"/>
      <c r="N52" s="5">
        <f t="shared" ref="N52:N55" si="42">IF(H52=0,0,L52/H52)</f>
        <v>0</v>
      </c>
      <c r="O52" s="12"/>
      <c r="P52" s="1">
        <f>SUM(OSRRefP22_8x_0)</f>
        <v>286.62</v>
      </c>
      <c r="Q52" s="1"/>
      <c r="R52" s="5">
        <f t="shared" ref="R52:R55" si="43">IF(P$12=0,0,P52/P$12)</f>
        <v>0</v>
      </c>
      <c r="S52" s="1"/>
      <c r="T52" s="1">
        <f>SUM(OSRRefT22_8x_0)</f>
        <v>1368.82</v>
      </c>
      <c r="U52" s="1"/>
      <c r="V52" s="5">
        <f t="shared" ref="V52:V55" si="44">IF(T$12=0,0,T52/T$12)</f>
        <v>5.3668997530078094E-3</v>
      </c>
      <c r="W52" s="1"/>
      <c r="X52" s="1">
        <f t="shared" ref="X52:X55" si="45">+P52-T52</f>
        <v>-1082.1999999999998</v>
      </c>
      <c r="Y52" s="1"/>
      <c r="Z52" s="5">
        <f t="shared" ref="Z52:Z55" si="46">IF(T52=0,0,X52/T52)</f>
        <v>-0.79060796890752605</v>
      </c>
    </row>
    <row r="53" spans="1:26" s="23" customFormat="1" hidden="1" outlineLevel="2" x14ac:dyDescent="0.25">
      <c r="A53" s="25"/>
      <c r="B53" s="10" t="str">
        <f>CONCATENATE("          ", "6282", " - ", "JANITORIAL/EXTERMINATOR EXPENS")</f>
        <v xml:space="preserve">          6282 - JANITORIAL/EXTERMINATOR EXPENS</v>
      </c>
      <c r="C53" s="10"/>
      <c r="D53" s="6"/>
      <c r="E53" s="2"/>
      <c r="F53" s="7">
        <f t="shared" si="39"/>
        <v>0</v>
      </c>
      <c r="G53" s="2"/>
      <c r="H53" s="6"/>
      <c r="I53" s="2"/>
      <c r="J53" s="7">
        <f t="shared" si="40"/>
        <v>0</v>
      </c>
      <c r="K53" s="2"/>
      <c r="L53" s="6">
        <f t="shared" si="41"/>
        <v>0</v>
      </c>
      <c r="M53" s="2"/>
      <c r="N53" s="7">
        <f t="shared" si="42"/>
        <v>0</v>
      </c>
      <c r="O53" s="10"/>
      <c r="P53" s="6">
        <v>286.62</v>
      </c>
      <c r="Q53" s="2"/>
      <c r="R53" s="7">
        <f t="shared" si="43"/>
        <v>0</v>
      </c>
      <c r="S53" s="2"/>
      <c r="T53" s="6"/>
      <c r="U53" s="2"/>
      <c r="V53" s="7">
        <f t="shared" si="44"/>
        <v>0</v>
      </c>
      <c r="W53" s="2"/>
      <c r="X53" s="6">
        <f t="shared" si="45"/>
        <v>286.62</v>
      </c>
      <c r="Y53" s="2"/>
      <c r="Z53" s="7">
        <f t="shared" si="46"/>
        <v>0</v>
      </c>
    </row>
    <row r="54" spans="1:26" s="23" customFormat="1" hidden="1" outlineLevel="2" x14ac:dyDescent="0.25">
      <c r="A54" s="25"/>
      <c r="B54" s="10" t="str">
        <f>CONCATENATE("          ", "6285", " - ", "JANITORIAL SERVICES")</f>
        <v xml:space="preserve">          6285 - JANITORIAL SERVICES</v>
      </c>
      <c r="C54" s="10"/>
      <c r="D54" s="6"/>
      <c r="E54" s="2"/>
      <c r="F54" s="7">
        <f t="shared" si="39"/>
        <v>0</v>
      </c>
      <c r="G54" s="2"/>
      <c r="H54" s="6"/>
      <c r="I54" s="2"/>
      <c r="J54" s="7">
        <f t="shared" si="40"/>
        <v>0</v>
      </c>
      <c r="K54" s="2"/>
      <c r="L54" s="6">
        <f t="shared" si="41"/>
        <v>0</v>
      </c>
      <c r="M54" s="2"/>
      <c r="N54" s="7">
        <f t="shared" si="42"/>
        <v>0</v>
      </c>
      <c r="O54" s="10"/>
      <c r="P54" s="6"/>
      <c r="Q54" s="2"/>
      <c r="R54" s="7">
        <f t="shared" si="43"/>
        <v>0</v>
      </c>
      <c r="S54" s="2"/>
      <c r="T54" s="6">
        <v>712.8</v>
      </c>
      <c r="U54" s="2"/>
      <c r="V54" s="7">
        <f t="shared" si="44"/>
        <v>2.7947620168787472E-3</v>
      </c>
      <c r="W54" s="2"/>
      <c r="X54" s="6">
        <f t="shared" si="45"/>
        <v>-712.8</v>
      </c>
      <c r="Y54" s="2"/>
      <c r="Z54" s="7">
        <f t="shared" si="46"/>
        <v>-1</v>
      </c>
    </row>
    <row r="55" spans="1:26" s="23" customFormat="1" hidden="1" outlineLevel="2" x14ac:dyDescent="0.25">
      <c r="A55" s="25"/>
      <c r="B55" s="10" t="str">
        <f>CONCATENATE("          ", "6286", " - ", "LAUNDRY EXPENSE")</f>
        <v xml:space="preserve">          6286 - LAUNDRY EXPENSE</v>
      </c>
      <c r="C55" s="10"/>
      <c r="D55" s="6"/>
      <c r="E55" s="2"/>
      <c r="F55" s="7">
        <f t="shared" si="39"/>
        <v>0</v>
      </c>
      <c r="G55" s="2"/>
      <c r="H55" s="6"/>
      <c r="I55" s="2"/>
      <c r="J55" s="7">
        <f t="shared" si="40"/>
        <v>0</v>
      </c>
      <c r="K55" s="2"/>
      <c r="L55" s="6">
        <f t="shared" si="41"/>
        <v>0</v>
      </c>
      <c r="M55" s="2"/>
      <c r="N55" s="7">
        <f t="shared" si="42"/>
        <v>0</v>
      </c>
      <c r="O55" s="10"/>
      <c r="P55" s="6"/>
      <c r="Q55" s="2"/>
      <c r="R55" s="7">
        <f t="shared" si="43"/>
        <v>0</v>
      </c>
      <c r="S55" s="2"/>
      <c r="T55" s="6">
        <v>656.02</v>
      </c>
      <c r="U55" s="2"/>
      <c r="V55" s="7">
        <f t="shared" si="44"/>
        <v>2.5721377361290626E-3</v>
      </c>
      <c r="W55" s="2"/>
      <c r="X55" s="6">
        <f t="shared" si="45"/>
        <v>-656.02</v>
      </c>
      <c r="Y55" s="2"/>
      <c r="Z55" s="7">
        <f t="shared" si="46"/>
        <v>-1</v>
      </c>
    </row>
    <row r="56" spans="1:26" s="27" customFormat="1" outlineLevel="1" collapsed="1" x14ac:dyDescent="0.25">
      <c r="A56" s="26"/>
      <c r="B56" s="12" t="str">
        <f>CONCATENATE("     ","Supplies                                          ")</f>
        <v xml:space="preserve">     Supplies                                          </v>
      </c>
      <c r="C56" s="12"/>
      <c r="D56" s="1">
        <f>SUM(OSRRefD22_9x_0)</f>
        <v>0</v>
      </c>
      <c r="E56" s="1"/>
      <c r="F56" s="5">
        <f t="shared" ref="F56:F62" si="47">IF(D$12=0,0,D56/D$12)</f>
        <v>0</v>
      </c>
      <c r="G56" s="1"/>
      <c r="H56" s="1">
        <f>SUM(OSRRefH22_9x_0)</f>
        <v>-65.05</v>
      </c>
      <c r="I56" s="1"/>
      <c r="J56" s="5">
        <f t="shared" ref="J56:J62" si="48">IF(H$12=0,0,H56/H$12)</f>
        <v>0</v>
      </c>
      <c r="K56" s="1"/>
      <c r="L56" s="1">
        <f t="shared" ref="L56:L62" si="49">+D56-H56</f>
        <v>65.05</v>
      </c>
      <c r="M56" s="1"/>
      <c r="N56" s="5">
        <f t="shared" ref="N56:N62" si="50">IF(H56=0,0,L56/H56)</f>
        <v>-1</v>
      </c>
      <c r="O56" s="12"/>
      <c r="P56" s="1">
        <f>SUM(OSRRefP22_9x_0)</f>
        <v>0</v>
      </c>
      <c r="Q56" s="1"/>
      <c r="R56" s="5">
        <f t="shared" ref="R56:R62" si="51">IF(P$12=0,0,P56/P$12)</f>
        <v>0</v>
      </c>
      <c r="S56" s="1"/>
      <c r="T56" s="1">
        <f>SUM(OSRRefT22_9x_0)</f>
        <v>4596.26</v>
      </c>
      <c r="U56" s="1"/>
      <c r="V56" s="5">
        <f t="shared" ref="V56:V62" si="52">IF(T$12=0,0,T56/T$12)</f>
        <v>1.8021117940094152E-2</v>
      </c>
      <c r="W56" s="1"/>
      <c r="X56" s="1">
        <f t="shared" ref="X56:X62" si="53">+P56-T56</f>
        <v>-4596.26</v>
      </c>
      <c r="Y56" s="1"/>
      <c r="Z56" s="5">
        <f t="shared" ref="Z56:Z62" si="54">IF(T56=0,0,X56/T56)</f>
        <v>-1</v>
      </c>
    </row>
    <row r="57" spans="1:26" s="23" customFormat="1" hidden="1" outlineLevel="2" x14ac:dyDescent="0.25">
      <c r="A57" s="25"/>
      <c r="B57" s="10" t="str">
        <f>CONCATENATE("          ", "6239", " - ", "KITCHEN SUPPLIES")</f>
        <v xml:space="preserve">          6239 - KITCHEN SUPPLIES</v>
      </c>
      <c r="C57" s="10"/>
      <c r="D57" s="6"/>
      <c r="E57" s="2"/>
      <c r="F57" s="7">
        <f t="shared" si="47"/>
        <v>0</v>
      </c>
      <c r="G57" s="2"/>
      <c r="H57" s="6"/>
      <c r="I57" s="2"/>
      <c r="J57" s="7">
        <f t="shared" si="48"/>
        <v>0</v>
      </c>
      <c r="K57" s="2"/>
      <c r="L57" s="6">
        <f t="shared" si="49"/>
        <v>0</v>
      </c>
      <c r="M57" s="2"/>
      <c r="N57" s="7">
        <f t="shared" si="50"/>
        <v>0</v>
      </c>
      <c r="O57" s="10"/>
      <c r="P57" s="6"/>
      <c r="Q57" s="2"/>
      <c r="R57" s="7">
        <f t="shared" si="51"/>
        <v>0</v>
      </c>
      <c r="S57" s="2"/>
      <c r="T57" s="6">
        <v>960.31</v>
      </c>
      <c r="U57" s="2"/>
      <c r="V57" s="7">
        <f t="shared" si="52"/>
        <v>3.7652047031829822E-3</v>
      </c>
      <c r="W57" s="2"/>
      <c r="X57" s="6">
        <f t="shared" si="53"/>
        <v>-960.31</v>
      </c>
      <c r="Y57" s="2"/>
      <c r="Z57" s="7">
        <f t="shared" si="54"/>
        <v>-1</v>
      </c>
    </row>
    <row r="58" spans="1:26" s="23" customFormat="1" hidden="1" outlineLevel="2" x14ac:dyDescent="0.25">
      <c r="A58" s="25"/>
      <c r="B58" s="10" t="str">
        <f>CONCATENATE("          ", "6241", " - ", "OFFICE EXPENSE")</f>
        <v xml:space="preserve">          6241 - OFFICE EXPENSE</v>
      </c>
      <c r="C58" s="10"/>
      <c r="D58" s="6"/>
      <c r="E58" s="2"/>
      <c r="F58" s="7">
        <f t="shared" si="47"/>
        <v>0</v>
      </c>
      <c r="G58" s="2"/>
      <c r="H58" s="6">
        <v>-65.05</v>
      </c>
      <c r="I58" s="2"/>
      <c r="J58" s="7">
        <f t="shared" si="48"/>
        <v>0</v>
      </c>
      <c r="K58" s="2"/>
      <c r="L58" s="6">
        <f t="shared" si="49"/>
        <v>65.05</v>
      </c>
      <c r="M58" s="2"/>
      <c r="N58" s="7">
        <f t="shared" si="50"/>
        <v>-1</v>
      </c>
      <c r="O58" s="10"/>
      <c r="P58" s="6"/>
      <c r="Q58" s="2"/>
      <c r="R58" s="7">
        <f t="shared" si="51"/>
        <v>0</v>
      </c>
      <c r="S58" s="2"/>
      <c r="T58" s="6">
        <v>1153.24</v>
      </c>
      <c r="U58" s="2"/>
      <c r="V58" s="7">
        <f t="shared" si="52"/>
        <v>4.5216489174316025E-3</v>
      </c>
      <c r="W58" s="2"/>
      <c r="X58" s="6">
        <f t="shared" si="53"/>
        <v>-1153.24</v>
      </c>
      <c r="Y58" s="2"/>
      <c r="Z58" s="7">
        <f t="shared" si="54"/>
        <v>-1</v>
      </c>
    </row>
    <row r="59" spans="1:26" s="23" customFormat="1" hidden="1" outlineLevel="2" x14ac:dyDescent="0.25">
      <c r="A59" s="25"/>
      <c r="B59" s="10" t="str">
        <f>CONCATENATE("          ", "6243", " - ", "PAPER SUPPLIES")</f>
        <v xml:space="preserve">          6243 - PAPER SUPPLIES</v>
      </c>
      <c r="C59" s="10"/>
      <c r="D59" s="6"/>
      <c r="E59" s="2"/>
      <c r="F59" s="7">
        <f t="shared" si="47"/>
        <v>0</v>
      </c>
      <c r="G59" s="2"/>
      <c r="H59" s="6"/>
      <c r="I59" s="2"/>
      <c r="J59" s="7">
        <f t="shared" si="48"/>
        <v>0</v>
      </c>
      <c r="K59" s="2"/>
      <c r="L59" s="6">
        <f t="shared" si="49"/>
        <v>0</v>
      </c>
      <c r="M59" s="2"/>
      <c r="N59" s="7">
        <f t="shared" si="50"/>
        <v>0</v>
      </c>
      <c r="O59" s="10"/>
      <c r="P59" s="6"/>
      <c r="Q59" s="2"/>
      <c r="R59" s="7">
        <f t="shared" si="51"/>
        <v>0</v>
      </c>
      <c r="S59" s="2"/>
      <c r="T59" s="6">
        <v>1490.35</v>
      </c>
      <c r="U59" s="2"/>
      <c r="V59" s="7">
        <f t="shared" si="52"/>
        <v>5.8433972669125148E-3</v>
      </c>
      <c r="W59" s="2"/>
      <c r="X59" s="6">
        <f t="shared" si="53"/>
        <v>-1490.35</v>
      </c>
      <c r="Y59" s="2"/>
      <c r="Z59" s="7">
        <f t="shared" si="54"/>
        <v>-1</v>
      </c>
    </row>
    <row r="60" spans="1:26" s="23" customFormat="1" hidden="1" outlineLevel="2" x14ac:dyDescent="0.25">
      <c r="A60" s="25"/>
      <c r="B60" s="10" t="str">
        <f>CONCATENATE("          ", "6245", " - ", "PRINTING")</f>
        <v xml:space="preserve">          6245 - PRINTING</v>
      </c>
      <c r="C60" s="10"/>
      <c r="D60" s="6"/>
      <c r="E60" s="2"/>
      <c r="F60" s="7">
        <f t="shared" si="47"/>
        <v>0</v>
      </c>
      <c r="G60" s="2"/>
      <c r="H60" s="6"/>
      <c r="I60" s="2"/>
      <c r="J60" s="7">
        <f t="shared" si="48"/>
        <v>0</v>
      </c>
      <c r="K60" s="2"/>
      <c r="L60" s="6">
        <f t="shared" si="49"/>
        <v>0</v>
      </c>
      <c r="M60" s="2"/>
      <c r="N60" s="7">
        <f t="shared" si="50"/>
        <v>0</v>
      </c>
      <c r="O60" s="10"/>
      <c r="P60" s="6"/>
      <c r="Q60" s="2"/>
      <c r="R60" s="7">
        <f t="shared" si="51"/>
        <v>0</v>
      </c>
      <c r="S60" s="2"/>
      <c r="T60" s="6">
        <v>244.39</v>
      </c>
      <c r="U60" s="2"/>
      <c r="V60" s="7">
        <f t="shared" si="52"/>
        <v>9.5820972124719002E-4</v>
      </c>
      <c r="W60" s="2"/>
      <c r="X60" s="6">
        <f t="shared" si="53"/>
        <v>-244.39</v>
      </c>
      <c r="Y60" s="2"/>
      <c r="Z60" s="7">
        <f t="shared" si="54"/>
        <v>-1</v>
      </c>
    </row>
    <row r="61" spans="1:26" s="23" customFormat="1" hidden="1" outlineLevel="2" x14ac:dyDescent="0.25">
      <c r="A61" s="25"/>
      <c r="B61" s="10" t="str">
        <f>CONCATENATE("          ", "6247", " - ", "STORE SUPPLIES")</f>
        <v xml:space="preserve">          6247 - STORE SUPPLIES</v>
      </c>
      <c r="C61" s="10"/>
      <c r="D61" s="6"/>
      <c r="E61" s="2"/>
      <c r="F61" s="7">
        <f t="shared" si="47"/>
        <v>0</v>
      </c>
      <c r="G61" s="2"/>
      <c r="H61" s="6"/>
      <c r="I61" s="2"/>
      <c r="J61" s="7">
        <f t="shared" si="48"/>
        <v>0</v>
      </c>
      <c r="K61" s="2"/>
      <c r="L61" s="6">
        <f t="shared" si="49"/>
        <v>0</v>
      </c>
      <c r="M61" s="2"/>
      <c r="N61" s="7">
        <f t="shared" si="50"/>
        <v>0</v>
      </c>
      <c r="O61" s="10"/>
      <c r="P61" s="6"/>
      <c r="Q61" s="2"/>
      <c r="R61" s="7">
        <f t="shared" si="51"/>
        <v>0</v>
      </c>
      <c r="S61" s="2"/>
      <c r="T61" s="6">
        <v>42.98</v>
      </c>
      <c r="U61" s="2"/>
      <c r="V61" s="7">
        <f t="shared" si="52"/>
        <v>1.685169353050625E-4</v>
      </c>
      <c r="W61" s="2"/>
      <c r="X61" s="6">
        <f t="shared" si="53"/>
        <v>-42.98</v>
      </c>
      <c r="Y61" s="2"/>
      <c r="Z61" s="7">
        <f t="shared" si="54"/>
        <v>-1</v>
      </c>
    </row>
    <row r="62" spans="1:26" s="23" customFormat="1" hidden="1" outlineLevel="2" x14ac:dyDescent="0.25">
      <c r="A62" s="25"/>
      <c r="B62" s="10" t="str">
        <f>CONCATENATE("          ", "6248", " - ", "UNIFORMS")</f>
        <v xml:space="preserve">          6248 - UNIFORMS</v>
      </c>
      <c r="C62" s="10"/>
      <c r="D62" s="6"/>
      <c r="E62" s="2"/>
      <c r="F62" s="7">
        <f t="shared" si="47"/>
        <v>0</v>
      </c>
      <c r="G62" s="2"/>
      <c r="H62" s="6"/>
      <c r="I62" s="2"/>
      <c r="J62" s="7">
        <f t="shared" si="48"/>
        <v>0</v>
      </c>
      <c r="K62" s="2"/>
      <c r="L62" s="6">
        <f t="shared" si="49"/>
        <v>0</v>
      </c>
      <c r="M62" s="2"/>
      <c r="N62" s="7">
        <f t="shared" si="50"/>
        <v>0</v>
      </c>
      <c r="O62" s="10"/>
      <c r="P62" s="6"/>
      <c r="Q62" s="2"/>
      <c r="R62" s="7">
        <f t="shared" si="51"/>
        <v>0</v>
      </c>
      <c r="S62" s="2"/>
      <c r="T62" s="6">
        <v>704.99</v>
      </c>
      <c r="U62" s="2"/>
      <c r="V62" s="7">
        <f t="shared" si="52"/>
        <v>2.7641403960147982E-3</v>
      </c>
      <c r="W62" s="2"/>
      <c r="X62" s="6">
        <f t="shared" si="53"/>
        <v>-704.99</v>
      </c>
      <c r="Y62" s="2"/>
      <c r="Z62" s="7">
        <f t="shared" si="54"/>
        <v>-1</v>
      </c>
    </row>
    <row r="63" spans="1:26" s="27" customFormat="1" outlineLevel="1" collapsed="1" x14ac:dyDescent="0.25">
      <c r="A63" s="26"/>
      <c r="B63" s="12" t="str">
        <f>CONCATENATE("     ","Telephone/Data Lines                              ")</f>
        <v xml:space="preserve">     Telephone/Data Lines                              </v>
      </c>
      <c r="C63" s="12"/>
      <c r="D63" s="1">
        <f>SUM(OSRRefD22_10x_0)</f>
        <v>0</v>
      </c>
      <c r="E63" s="1"/>
      <c r="F63" s="5">
        <f t="shared" ref="F63:F66" si="55">IF(D$12=0,0,D63/D$12)</f>
        <v>0</v>
      </c>
      <c r="G63" s="1"/>
      <c r="H63" s="1">
        <f>SUM(OSRRefH22_10x_0)</f>
        <v>-3</v>
      </c>
      <c r="I63" s="1"/>
      <c r="J63" s="5">
        <f t="shared" ref="J63:J66" si="56">IF(H$12=0,0,H63/H$12)</f>
        <v>0</v>
      </c>
      <c r="K63" s="1"/>
      <c r="L63" s="1">
        <f t="shared" ref="L63:L66" si="57">+D63-H63</f>
        <v>3</v>
      </c>
      <c r="M63" s="1"/>
      <c r="N63" s="5">
        <f t="shared" ref="N63:N66" si="58">IF(H63=0,0,L63/H63)</f>
        <v>-1</v>
      </c>
      <c r="O63" s="12"/>
      <c r="P63" s="1">
        <f>SUM(OSRRefP22_10x_0)</f>
        <v>49.7</v>
      </c>
      <c r="Q63" s="1"/>
      <c r="R63" s="5">
        <f t="shared" ref="R63:R66" si="59">IF(P$12=0,0,P63/P$12)</f>
        <v>0</v>
      </c>
      <c r="S63" s="1"/>
      <c r="T63" s="1">
        <f>SUM(OSRRefT22_10x_0)</f>
        <v>833.96</v>
      </c>
      <c r="U63" s="1"/>
      <c r="V63" s="5">
        <f t="shared" ref="V63:V66" si="60">IF(T$12=0,0,T63/T$12)</f>
        <v>3.2698088265939959E-3</v>
      </c>
      <c r="W63" s="1"/>
      <c r="X63" s="1">
        <f t="shared" ref="X63:X66" si="61">+P63-T63</f>
        <v>-784.26</v>
      </c>
      <c r="Y63" s="1"/>
      <c r="Z63" s="5">
        <f t="shared" ref="Z63:Z66" si="62">IF(T63=0,0,X63/T63)</f>
        <v>-0.94040481557868483</v>
      </c>
    </row>
    <row r="64" spans="1:26" s="23" customFormat="1" hidden="1" outlineLevel="2" x14ac:dyDescent="0.25">
      <c r="A64" s="25"/>
      <c r="B64" s="10" t="str">
        <f>CONCATENATE("          ", "6309", " - ", "TELEPHONE")</f>
        <v xml:space="preserve">          6309 - TELEPHONE</v>
      </c>
      <c r="C64" s="10"/>
      <c r="D64" s="6"/>
      <c r="E64" s="2"/>
      <c r="F64" s="7">
        <f t="shared" si="55"/>
        <v>0</v>
      </c>
      <c r="G64" s="2"/>
      <c r="H64" s="6">
        <v>-3</v>
      </c>
      <c r="I64" s="2"/>
      <c r="J64" s="7">
        <f t="shared" si="56"/>
        <v>0</v>
      </c>
      <c r="K64" s="2"/>
      <c r="L64" s="6">
        <f t="shared" si="57"/>
        <v>3</v>
      </c>
      <c r="M64" s="2"/>
      <c r="N64" s="7">
        <f t="shared" si="58"/>
        <v>-1</v>
      </c>
      <c r="O64" s="10"/>
      <c r="P64" s="6">
        <v>49.7</v>
      </c>
      <c r="Q64" s="2"/>
      <c r="R64" s="7">
        <f t="shared" si="59"/>
        <v>0</v>
      </c>
      <c r="S64" s="2"/>
      <c r="T64" s="6">
        <v>833.96</v>
      </c>
      <c r="U64" s="2"/>
      <c r="V64" s="7">
        <f t="shared" si="60"/>
        <v>3.2698088265939959E-3</v>
      </c>
      <c r="W64" s="2"/>
      <c r="X64" s="6">
        <f t="shared" si="61"/>
        <v>-784.26</v>
      </c>
      <c r="Y64" s="2"/>
      <c r="Z64" s="7">
        <f t="shared" si="62"/>
        <v>-0.94040481557868483</v>
      </c>
    </row>
    <row r="65" spans="1:26" s="27" customFormat="1" outlineLevel="1" collapsed="1" x14ac:dyDescent="0.25">
      <c r="A65" s="26"/>
      <c r="B65" s="12" t="str">
        <f>CONCATENATE("     ","Training                                          ")</f>
        <v xml:space="preserve">     Training                                          </v>
      </c>
      <c r="C65" s="12"/>
      <c r="D65" s="1">
        <f>SUM(OSRRefD22_11x_0)</f>
        <v>0</v>
      </c>
      <c r="E65" s="1"/>
      <c r="F65" s="5">
        <f t="shared" si="55"/>
        <v>0</v>
      </c>
      <c r="G65" s="1"/>
      <c r="H65" s="1">
        <f>SUM(OSRRefH22_11x_0)</f>
        <v>0</v>
      </c>
      <c r="I65" s="1"/>
      <c r="J65" s="5">
        <f t="shared" si="56"/>
        <v>0</v>
      </c>
      <c r="K65" s="1"/>
      <c r="L65" s="1">
        <f t="shared" si="57"/>
        <v>0</v>
      </c>
      <c r="M65" s="1"/>
      <c r="N65" s="5">
        <f t="shared" si="58"/>
        <v>0</v>
      </c>
      <c r="O65" s="12"/>
      <c r="P65" s="1">
        <f>SUM(OSRRefP22_11x_0)</f>
        <v>0</v>
      </c>
      <c r="Q65" s="1"/>
      <c r="R65" s="5">
        <f t="shared" si="59"/>
        <v>0</v>
      </c>
      <c r="S65" s="1"/>
      <c r="T65" s="1">
        <f>SUM(OSRRefT22_11x_0)</f>
        <v>52.5</v>
      </c>
      <c r="U65" s="1"/>
      <c r="V65" s="5">
        <f t="shared" si="60"/>
        <v>2.058431620175845E-4</v>
      </c>
      <c r="W65" s="1"/>
      <c r="X65" s="1">
        <f t="shared" si="61"/>
        <v>-52.5</v>
      </c>
      <c r="Y65" s="1"/>
      <c r="Z65" s="5">
        <f t="shared" si="62"/>
        <v>-1</v>
      </c>
    </row>
    <row r="66" spans="1:26" s="23" customFormat="1" hidden="1" outlineLevel="2" x14ac:dyDescent="0.25">
      <c r="A66" s="25"/>
      <c r="B66" s="10" t="str">
        <f>CONCATENATE("          ", "6376", " - ", "TRAINING")</f>
        <v xml:space="preserve">          6376 - TRAINING</v>
      </c>
      <c r="C66" s="10"/>
      <c r="D66" s="6"/>
      <c r="E66" s="2"/>
      <c r="F66" s="7">
        <f t="shared" si="55"/>
        <v>0</v>
      </c>
      <c r="G66" s="2"/>
      <c r="H66" s="6"/>
      <c r="I66" s="2"/>
      <c r="J66" s="7">
        <f t="shared" si="56"/>
        <v>0</v>
      </c>
      <c r="K66" s="2"/>
      <c r="L66" s="6">
        <f t="shared" si="57"/>
        <v>0</v>
      </c>
      <c r="M66" s="2"/>
      <c r="N66" s="7">
        <f t="shared" si="58"/>
        <v>0</v>
      </c>
      <c r="O66" s="10"/>
      <c r="P66" s="6"/>
      <c r="Q66" s="2"/>
      <c r="R66" s="7">
        <f t="shared" si="59"/>
        <v>0</v>
      </c>
      <c r="S66" s="2"/>
      <c r="T66" s="6">
        <v>52.5</v>
      </c>
      <c r="U66" s="2"/>
      <c r="V66" s="7">
        <f t="shared" si="60"/>
        <v>2.058431620175845E-4</v>
      </c>
      <c r="W66" s="2"/>
      <c r="X66" s="6">
        <f t="shared" si="61"/>
        <v>-52.5</v>
      </c>
      <c r="Y66" s="2"/>
      <c r="Z66" s="7">
        <f t="shared" si="62"/>
        <v>-1</v>
      </c>
    </row>
    <row r="67" spans="1:26" s="52" customFormat="1" x14ac:dyDescent="0.25">
      <c r="A67" s="37"/>
      <c r="B67" s="37"/>
      <c r="C67" s="37"/>
      <c r="D67" s="1"/>
      <c r="E67" s="1"/>
      <c r="F67" s="5"/>
      <c r="G67" s="1"/>
      <c r="H67" s="1"/>
      <c r="I67" s="1"/>
      <c r="J67" s="5"/>
      <c r="K67" s="1"/>
      <c r="L67" s="1"/>
      <c r="M67" s="1"/>
      <c r="N67" s="5"/>
      <c r="O67" s="37"/>
      <c r="P67" s="1"/>
      <c r="Q67" s="1"/>
      <c r="R67" s="5"/>
      <c r="S67" s="1"/>
      <c r="T67" s="1"/>
      <c r="U67" s="1"/>
      <c r="V67" s="5"/>
      <c r="W67" s="1"/>
      <c r="X67" s="1"/>
      <c r="Y67" s="1"/>
      <c r="Z67" s="5"/>
    </row>
    <row r="68" spans="1:26" s="24" customFormat="1" collapsed="1" x14ac:dyDescent="0.25">
      <c r="A68" s="11"/>
      <c r="B68" s="29" t="s">
        <v>292</v>
      </c>
      <c r="C68" s="11"/>
      <c r="D68" s="4">
        <f>SUM(OSRRefD25x_0)</f>
        <v>0</v>
      </c>
      <c r="E68" s="4"/>
      <c r="F68" s="13">
        <f t="shared" ref="F68:F69" si="63">IF(D$12=0,0,D68/D$12)</f>
        <v>0</v>
      </c>
      <c r="G68" s="4"/>
      <c r="H68" s="4">
        <f>SUM(OSRRefH25x_0)</f>
        <v>0</v>
      </c>
      <c r="I68" s="4"/>
      <c r="J68" s="13">
        <f t="shared" ref="J68:J69" si="64">IF(H$12=0,0,H68/H$12)</f>
        <v>0</v>
      </c>
      <c r="K68" s="4"/>
      <c r="L68" s="4">
        <f t="shared" ref="L68:L69" si="65">+D68-H68</f>
        <v>0</v>
      </c>
      <c r="M68" s="4"/>
      <c r="N68" s="13">
        <f t="shared" ref="N68:N69" si="66">IF(H68=0,0,L68/H68)</f>
        <v>0</v>
      </c>
      <c r="O68" s="11"/>
      <c r="P68" s="4">
        <f>SUM(OSRRefP25x_0)</f>
        <v>0</v>
      </c>
      <c r="Q68" s="4"/>
      <c r="R68" s="13">
        <f t="shared" ref="R68:R69" si="67">IF(P$12=0,0,P68/P$12)</f>
        <v>0</v>
      </c>
      <c r="S68" s="4"/>
      <c r="T68" s="4">
        <f>SUM(OSRRefT25x_0)</f>
        <v>507</v>
      </c>
      <c r="U68" s="4"/>
      <c r="V68" s="13">
        <f t="shared" ref="V68:V69" si="68">IF(T$12=0,0,T68/T$12)</f>
        <v>1.9878568217698159E-3</v>
      </c>
      <c r="W68" s="4"/>
      <c r="X68" s="4">
        <f t="shared" ref="X68:X69" si="69">+P68-T68</f>
        <v>-507</v>
      </c>
      <c r="Y68" s="4"/>
      <c r="Z68" s="13">
        <f t="shared" ref="Z68:Z69" si="70">IF(T68=0,0,X68/T68)</f>
        <v>-1</v>
      </c>
    </row>
    <row r="69" spans="1:26" s="23" customFormat="1" hidden="1" outlineLevel="1" x14ac:dyDescent="0.25">
      <c r="A69" s="44"/>
      <c r="B69" s="10" t="str">
        <f>CONCATENATE("          ", "9150", " - ", "MISC. INCOME")</f>
        <v xml:space="preserve">          9150 - MISC. INCOME</v>
      </c>
      <c r="C69" s="10"/>
      <c r="D69" s="2">
        <f>0</f>
        <v>0</v>
      </c>
      <c r="E69" s="2"/>
      <c r="F69" s="19">
        <f t="shared" si="63"/>
        <v>0</v>
      </c>
      <c r="G69" s="2"/>
      <c r="H69" s="2">
        <f>0</f>
        <v>0</v>
      </c>
      <c r="I69" s="2"/>
      <c r="J69" s="19">
        <f t="shared" si="64"/>
        <v>0</v>
      </c>
      <c r="K69" s="2"/>
      <c r="L69" s="2">
        <f t="shared" si="65"/>
        <v>0</v>
      </c>
      <c r="M69" s="2"/>
      <c r="N69" s="19">
        <f t="shared" si="66"/>
        <v>0</v>
      </c>
      <c r="O69" s="10"/>
      <c r="P69" s="2">
        <f>0</f>
        <v>0</v>
      </c>
      <c r="Q69" s="2"/>
      <c r="R69" s="19">
        <f t="shared" si="67"/>
        <v>0</v>
      </c>
      <c r="S69" s="2"/>
      <c r="T69" s="2">
        <f>--507</f>
        <v>507</v>
      </c>
      <c r="U69" s="2"/>
      <c r="V69" s="19">
        <f t="shared" si="68"/>
        <v>1.9878568217698159E-3</v>
      </c>
      <c r="W69" s="2"/>
      <c r="X69" s="2">
        <f t="shared" si="69"/>
        <v>-507</v>
      </c>
      <c r="Y69" s="2"/>
      <c r="Z69" s="19">
        <f t="shared" si="70"/>
        <v>-1</v>
      </c>
    </row>
    <row r="70" spans="1:26" x14ac:dyDescent="0.25">
      <c r="A70" s="9"/>
      <c r="B70" s="11"/>
      <c r="C70" s="11"/>
      <c r="D70" s="3"/>
      <c r="E70" s="3"/>
      <c r="F70" s="8"/>
      <c r="G70" s="3"/>
      <c r="H70" s="3"/>
      <c r="I70" s="3"/>
      <c r="J70" s="8"/>
      <c r="K70" s="3"/>
      <c r="L70" s="3"/>
      <c r="M70" s="3"/>
      <c r="N70" s="8"/>
      <c r="O70" s="11"/>
      <c r="P70" s="3"/>
      <c r="Q70" s="3"/>
      <c r="R70" s="8"/>
      <c r="S70" s="3"/>
      <c r="T70" s="3"/>
      <c r="U70" s="3"/>
      <c r="V70" s="8"/>
      <c r="W70" s="3"/>
      <c r="X70" s="3"/>
      <c r="Y70" s="3"/>
      <c r="Z70" s="8"/>
    </row>
    <row r="71" spans="1:26" s="24" customFormat="1" x14ac:dyDescent="0.25">
      <c r="A71" s="11"/>
      <c r="B71" s="28" t="s">
        <v>276</v>
      </c>
      <c r="C71" s="28"/>
      <c r="D71" s="21">
        <f>+D20-D22+D68</f>
        <v>-223.16</v>
      </c>
      <c r="E71" s="14"/>
      <c r="F71" s="22">
        <f>IF(D$12=0,0,D71/D$12)</f>
        <v>0</v>
      </c>
      <c r="G71" s="14"/>
      <c r="H71" s="21">
        <f>+H20-H22+H68</f>
        <v>-8192.7000000000007</v>
      </c>
      <c r="I71" s="14"/>
      <c r="J71" s="22">
        <f>IF(H$12=0,0,H71/H$12)</f>
        <v>0</v>
      </c>
      <c r="K71" s="15"/>
      <c r="L71" s="21">
        <f>+D71-H71</f>
        <v>7969.5400000000009</v>
      </c>
      <c r="M71" s="15"/>
      <c r="N71" s="22">
        <f>IF(H71=0,0,L71/H71)</f>
        <v>-0.97276111660380582</v>
      </c>
      <c r="O71" s="29"/>
      <c r="P71" s="21">
        <f>+P20-P22+P68</f>
        <v>-5526.57</v>
      </c>
      <c r="Q71" s="14"/>
      <c r="R71" s="22">
        <f>IF(P$12=0,0,P71/P$12)</f>
        <v>0</v>
      </c>
      <c r="S71" s="14"/>
      <c r="T71" s="21">
        <f>+T20-T22+T68</f>
        <v>-41130.419999999984</v>
      </c>
      <c r="U71" s="14"/>
      <c r="V71" s="22">
        <f>IF(T$12=0,0,T71/T$12)</f>
        <v>-0.16126506110307229</v>
      </c>
      <c r="W71" s="15"/>
      <c r="X71" s="21">
        <f>+P71-T71</f>
        <v>35603.849999999984</v>
      </c>
      <c r="Y71" s="15"/>
      <c r="Z71" s="22">
        <f>IF(T71=0,0,X71/T71)</f>
        <v>-0.86563302781736728</v>
      </c>
    </row>
    <row r="72" spans="1:26" x14ac:dyDescent="0.25">
      <c r="A72" s="9"/>
      <c r="B72" s="11"/>
      <c r="C72" s="9"/>
      <c r="D72" s="3"/>
      <c r="E72" s="3"/>
      <c r="F72" s="8"/>
      <c r="G72" s="3"/>
      <c r="H72" s="3"/>
      <c r="I72" s="3"/>
      <c r="J72" s="8"/>
      <c r="K72" s="3"/>
      <c r="L72" s="3"/>
      <c r="M72" s="3"/>
      <c r="N72" s="8"/>
      <c r="P72" s="3"/>
      <c r="Q72" s="3"/>
      <c r="R72" s="8"/>
      <c r="S72" s="3"/>
      <c r="T72" s="3"/>
      <c r="U72" s="3"/>
      <c r="V72" s="8"/>
      <c r="W72" s="3"/>
      <c r="X72" s="3"/>
      <c r="Y72" s="3"/>
      <c r="Z72" s="8"/>
    </row>
    <row r="73" spans="1:26" s="24" customFormat="1" x14ac:dyDescent="0.25">
      <c r="A73" s="51"/>
      <c r="B73" s="11" t="s">
        <v>127</v>
      </c>
      <c r="C73" s="11"/>
      <c r="D73" s="4"/>
      <c r="E73" s="4"/>
      <c r="F73" s="13">
        <f>IF(D$12=0,0,D73/D$12)</f>
        <v>0</v>
      </c>
      <c r="G73" s="4"/>
      <c r="H73" s="4">
        <v>8417.1200000000008</v>
      </c>
      <c r="I73" s="4"/>
      <c r="J73" s="13">
        <f>IF(H$12=0,0,H73/H$12)</f>
        <v>0</v>
      </c>
      <c r="K73" s="4"/>
      <c r="L73" s="4">
        <f>+D73-H73</f>
        <v>-8417.1200000000008</v>
      </c>
      <c r="M73" s="4"/>
      <c r="N73" s="13">
        <f>IF(H73=0,0,L73/H73)</f>
        <v>-1</v>
      </c>
      <c r="O73" s="11"/>
      <c r="P73" s="4"/>
      <c r="Q73" s="4"/>
      <c r="R73" s="13">
        <f>IF(P$12=0,0,P73/P$12)</f>
        <v>0</v>
      </c>
      <c r="S73" s="4"/>
      <c r="T73" s="4">
        <v>38620.120000000003</v>
      </c>
      <c r="U73" s="4"/>
      <c r="V73" s="13">
        <f>IF(T$12=0,0,T73/T$12)</f>
        <v>0.15142262130092488</v>
      </c>
      <c r="W73" s="4"/>
      <c r="X73" s="4">
        <f>+P73-T73</f>
        <v>-38620.120000000003</v>
      </c>
      <c r="Y73" s="4"/>
      <c r="Z73" s="13">
        <f>IF(T73=0,0,X73/T73)</f>
        <v>-1</v>
      </c>
    </row>
    <row r="74" spans="1:26" x14ac:dyDescent="0.25">
      <c r="A74" s="9"/>
      <c r="B74" s="11"/>
      <c r="C74" s="11"/>
      <c r="D74" s="3"/>
      <c r="E74" s="3"/>
      <c r="F74" s="8"/>
      <c r="G74" s="3"/>
      <c r="H74" s="3"/>
      <c r="I74" s="3"/>
      <c r="J74" s="8"/>
      <c r="K74" s="3"/>
      <c r="L74" s="3"/>
      <c r="M74" s="3"/>
      <c r="N74" s="8"/>
      <c r="O74" s="11"/>
      <c r="P74" s="3"/>
      <c r="Q74" s="3"/>
      <c r="R74" s="8"/>
      <c r="S74" s="3"/>
      <c r="T74" s="3"/>
      <c r="U74" s="3"/>
      <c r="V74" s="8"/>
      <c r="W74" s="3"/>
      <c r="X74" s="3"/>
      <c r="Y74" s="3"/>
      <c r="Z74" s="8"/>
    </row>
    <row r="75" spans="1:26" s="24" customFormat="1" ht="15.75" thickBot="1" x14ac:dyDescent="0.3">
      <c r="A75" s="11"/>
      <c r="B75" s="28" t="s">
        <v>125</v>
      </c>
      <c r="C75" s="28"/>
      <c r="D75" s="34">
        <f>+D71-D73</f>
        <v>-223.16</v>
      </c>
      <c r="E75" s="14"/>
      <c r="F75" s="31">
        <f>IF(D$12=0,0,D75/D$12)</f>
        <v>0</v>
      </c>
      <c r="G75" s="14"/>
      <c r="H75" s="34">
        <f>+H71-H73</f>
        <v>-16609.82</v>
      </c>
      <c r="I75" s="14"/>
      <c r="J75" s="31">
        <f>IF(H$12=0,0,H75/H$12)</f>
        <v>0</v>
      </c>
      <c r="K75" s="15"/>
      <c r="L75" s="34">
        <f>D75-H75</f>
        <v>16386.66</v>
      </c>
      <c r="M75" s="15"/>
      <c r="N75" s="31">
        <f>IF(H75=0,0,L75/H75)</f>
        <v>-0.98656457445053591</v>
      </c>
      <c r="O75" s="29"/>
      <c r="P75" s="34">
        <f>+P71-P73</f>
        <v>-5526.57</v>
      </c>
      <c r="Q75" s="14"/>
      <c r="R75" s="31">
        <f>IF(P$12=0,0,P75/P$12)</f>
        <v>0</v>
      </c>
      <c r="S75" s="14"/>
      <c r="T75" s="34">
        <f>+T71-T73</f>
        <v>-79750.539999999979</v>
      </c>
      <c r="U75" s="14"/>
      <c r="V75" s="31">
        <f>IF(T$12=0,0,T75/T$12)</f>
        <v>-0.31268768240399714</v>
      </c>
      <c r="W75" s="15"/>
      <c r="X75" s="34">
        <f>P75-T75</f>
        <v>74223.969999999972</v>
      </c>
      <c r="Y75" s="15"/>
      <c r="Z75" s="31">
        <f>IF(T75=0,0,X75/T75)</f>
        <v>-0.930701785843707</v>
      </c>
    </row>
    <row r="76" spans="1:26" ht="15.75" thickTop="1" x14ac:dyDescent="0.25">
      <c r="A76" s="9"/>
      <c r="B76" s="9"/>
      <c r="C76" s="9"/>
      <c r="D76" s="3"/>
      <c r="E76" s="3"/>
      <c r="F76" s="8"/>
      <c r="G76" s="3"/>
      <c r="H76" s="3"/>
      <c r="I76" s="3"/>
      <c r="J76" s="8"/>
      <c r="K76" s="3"/>
      <c r="L76" s="3"/>
      <c r="M76" s="3"/>
      <c r="N76" s="8"/>
      <c r="P76" s="3"/>
      <c r="Q76" s="3"/>
      <c r="R76" s="8"/>
      <c r="S76" s="3"/>
      <c r="T76" s="3"/>
      <c r="U76" s="3"/>
      <c r="V76" s="8"/>
      <c r="W76" s="3"/>
      <c r="X76" s="3"/>
      <c r="Y76" s="3"/>
      <c r="Z76" s="8"/>
    </row>
    <row r="77" spans="1:26" x14ac:dyDescent="0.25">
      <c r="A77" s="9"/>
      <c r="B77" s="9"/>
      <c r="C77" s="9"/>
      <c r="D77" s="3"/>
      <c r="E77" s="3"/>
      <c r="F77" s="8"/>
      <c r="G77" s="3"/>
      <c r="H77" s="3"/>
      <c r="I77" s="3"/>
      <c r="J77" s="8"/>
      <c r="K77" s="3"/>
      <c r="L77" s="3"/>
      <c r="M77" s="3"/>
      <c r="N77" s="8"/>
      <c r="P77" s="3"/>
      <c r="Q77" s="3"/>
      <c r="R77" s="8"/>
      <c r="S77" s="3"/>
      <c r="T77" s="3"/>
      <c r="U77" s="3"/>
      <c r="V77" s="8"/>
      <c r="W77" s="3"/>
      <c r="X77" s="3"/>
      <c r="Y77" s="3"/>
      <c r="Z77" s="8"/>
    </row>
    <row r="78" spans="1:26" s="24" customFormat="1" ht="15.75" thickBot="1" x14ac:dyDescent="0.3">
      <c r="A78" s="11"/>
      <c r="B78" s="28" t="s">
        <v>293</v>
      </c>
      <c r="C78" s="28"/>
      <c r="D78" s="33">
        <f>SUM(D75:D77)</f>
        <v>-223.16</v>
      </c>
      <c r="E78" s="14"/>
      <c r="F78" s="35">
        <f>IF(D$12=0,0,D78/D$12)</f>
        <v>0</v>
      </c>
      <c r="G78" s="14"/>
      <c r="H78" s="33">
        <f>SUM(H75:H77)</f>
        <v>-16609.82</v>
      </c>
      <c r="I78" s="14"/>
      <c r="J78" s="35">
        <f>IF(H$12=0,0,H78/H$12)</f>
        <v>0</v>
      </c>
      <c r="K78" s="15"/>
      <c r="L78" s="33">
        <f>+D78-H78</f>
        <v>16386.66</v>
      </c>
      <c r="M78" s="15"/>
      <c r="N78" s="35">
        <f>IF(H78=0,0,L78/H78)</f>
        <v>-0.98656457445053591</v>
      </c>
      <c r="O78" s="29"/>
      <c r="P78" s="33">
        <f>SUM(P75:P77)</f>
        <v>-5526.57</v>
      </c>
      <c r="Q78" s="14"/>
      <c r="R78" s="35">
        <f>IF(P$12=0,0,P78/P$12)</f>
        <v>0</v>
      </c>
      <c r="S78" s="14"/>
      <c r="T78" s="33">
        <f>SUM(T75:T77)</f>
        <v>-79750.539999999979</v>
      </c>
      <c r="U78" s="14"/>
      <c r="V78" s="35">
        <f>IF(T$12=0,0,T78/T$12)</f>
        <v>-0.31268768240399714</v>
      </c>
      <c r="W78" s="15"/>
      <c r="X78" s="33">
        <f>+P78-T78</f>
        <v>74223.969999999972</v>
      </c>
      <c r="Y78" s="15"/>
      <c r="Z78" s="35">
        <f>IF(T78=0,0,X78/T78)</f>
        <v>-0.930701785843707</v>
      </c>
    </row>
    <row r="79" spans="1:26" ht="15.75" thickTop="1" x14ac:dyDescent="0.25">
      <c r="A79" s="9"/>
      <c r="C79" s="9"/>
      <c r="D79" s="18"/>
      <c r="E79" s="18"/>
      <c r="G79" s="18"/>
      <c r="H79" s="18"/>
      <c r="I79" s="18"/>
      <c r="J79" s="43"/>
      <c r="K79" s="18"/>
      <c r="L79" s="18"/>
      <c r="M79" s="18"/>
      <c r="P79" s="18"/>
      <c r="Q79" s="18"/>
      <c r="R79" s="43"/>
      <c r="S79" s="18"/>
      <c r="T79" s="18"/>
      <c r="U79" s="18"/>
      <c r="V79" s="43"/>
      <c r="W79" s="18"/>
      <c r="X79" s="18"/>
    </row>
    <row r="80" spans="1:26" x14ac:dyDescent="0.25">
      <c r="A80" s="9"/>
      <c r="B80" s="56">
        <v>44454.698585613427</v>
      </c>
      <c r="D80" s="18"/>
      <c r="E80" s="18"/>
      <c r="G80" s="18"/>
      <c r="H80" s="18"/>
      <c r="I80" s="18"/>
      <c r="J80" s="43"/>
      <c r="K80" s="18"/>
      <c r="L80" s="18"/>
      <c r="M80" s="18"/>
      <c r="P80" s="18"/>
      <c r="Q80" s="18"/>
      <c r="R80" s="43"/>
      <c r="S80" s="18"/>
      <c r="T80" s="18"/>
      <c r="U80" s="18"/>
      <c r="V80" s="43"/>
      <c r="W80" s="18"/>
      <c r="X80" s="18"/>
    </row>
    <row r="81" spans="1:24" x14ac:dyDescent="0.25">
      <c r="A81" s="9"/>
      <c r="B81" s="55" t="s">
        <v>56</v>
      </c>
      <c r="D81" s="18"/>
      <c r="E81" s="18"/>
      <c r="G81" s="18"/>
      <c r="H81" s="18"/>
      <c r="I81" s="18"/>
      <c r="J81" s="43"/>
      <c r="K81" s="18"/>
      <c r="L81" s="18"/>
      <c r="M81" s="18"/>
      <c r="P81" s="18"/>
      <c r="Q81" s="18"/>
      <c r="R81" s="43"/>
      <c r="S81" s="18"/>
      <c r="T81" s="18"/>
      <c r="U81" s="18"/>
      <c r="V81" s="43"/>
      <c r="W81" s="18"/>
      <c r="X81" s="18"/>
    </row>
    <row r="82" spans="1:24" x14ac:dyDescent="0.25">
      <c r="A82" s="9"/>
      <c r="B82" s="60"/>
      <c r="D82" s="18"/>
      <c r="E82" s="18"/>
      <c r="G82" s="18"/>
      <c r="H82" s="18"/>
      <c r="I82" s="18"/>
      <c r="J82" s="43"/>
      <c r="K82" s="18"/>
      <c r="L82" s="18"/>
      <c r="M82" s="18"/>
      <c r="P82" s="18"/>
      <c r="Q82" s="18"/>
      <c r="R82" s="43"/>
      <c r="S82" s="18"/>
      <c r="T82" s="18"/>
      <c r="U82" s="18"/>
      <c r="V82" s="43"/>
      <c r="W82" s="18"/>
      <c r="X82" s="18"/>
    </row>
    <row r="83" spans="1:24" x14ac:dyDescent="0.25">
      <c r="D83" s="18"/>
      <c r="E83" s="18"/>
      <c r="G83" s="18"/>
      <c r="H83" s="18"/>
      <c r="I83" s="18"/>
      <c r="J83" s="43"/>
      <c r="K83" s="18"/>
      <c r="L83" s="18"/>
      <c r="M83" s="18"/>
      <c r="P83" s="18"/>
      <c r="Q83" s="18"/>
      <c r="R83" s="43"/>
      <c r="S83" s="18"/>
      <c r="T83" s="18"/>
      <c r="U83" s="18"/>
      <c r="V83" s="43"/>
      <c r="W83" s="18"/>
      <c r="X83" s="18"/>
    </row>
  </sheetData>
  <pageMargins left="0.25" right="0.25" top="0.75" bottom="0.75" header="0.3" footer="0.3"/>
  <pageSetup scale="55" fitToWidth="2" orientation="landscape"/>
  <drawing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>
    <tabColor rgb="FF92D050"/>
    <outlinePr summaryBelow="0" summaryRight="0"/>
  </sheetPr>
  <dimension ref="A2:Z89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62" t="s">
        <v>23</v>
      </c>
    </row>
    <row r="3" spans="1:26" x14ac:dyDescent="0.25">
      <c r="D3" s="62" t="s">
        <v>236</v>
      </c>
      <c r="E3" s="17"/>
      <c r="F3" s="46"/>
      <c r="G3" s="17"/>
      <c r="H3" s="17"/>
      <c r="I3" s="17"/>
      <c r="J3" s="38"/>
      <c r="K3" s="17"/>
      <c r="L3" s="17"/>
      <c r="M3" s="17"/>
      <c r="N3" s="46"/>
      <c r="O3" s="53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2" t="str">
        <f>CONCATENATE("Period ",RIGHT(202112,2),", ",2021)</f>
        <v>Period 12, 2021</v>
      </c>
      <c r="E4" s="17"/>
      <c r="F4" s="46"/>
      <c r="G4" s="17"/>
      <c r="H4" s="17"/>
      <c r="I4" s="17"/>
      <c r="J4" s="38"/>
      <c r="K4" s="17"/>
      <c r="L4" s="17"/>
      <c r="M4" s="17"/>
      <c r="N4" s="46"/>
      <c r="O4" s="53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4"/>
      <c r="D5" s="63">
        <v>44377</v>
      </c>
      <c r="E5" s="17"/>
      <c r="F5" s="46"/>
      <c r="G5" s="17"/>
      <c r="H5" s="17"/>
      <c r="I5" s="17"/>
      <c r="J5" s="38"/>
      <c r="K5" s="17"/>
      <c r="L5" s="17"/>
      <c r="M5" s="17"/>
      <c r="N5" s="46"/>
      <c r="O5" s="53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4"/>
      <c r="B6" s="48"/>
      <c r="C6" s="48"/>
      <c r="D6" s="24" t="str">
        <f>CONCATENATE("Department ","414", " - ", "Starbucks UDP")</f>
        <v>Department 414 - Starbucks UDP</v>
      </c>
      <c r="E6" s="17"/>
      <c r="F6" s="46"/>
      <c r="G6" s="17"/>
      <c r="H6" s="17"/>
      <c r="I6" s="17"/>
      <c r="J6" s="38"/>
      <c r="K6" s="17"/>
      <c r="L6" s="17"/>
      <c r="M6" s="17"/>
      <c r="N6" s="46"/>
      <c r="O6" s="54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9"/>
    </row>
    <row r="8" spans="1:26" x14ac:dyDescent="0.25">
      <c r="B8" s="59"/>
    </row>
    <row r="9" spans="1:26" x14ac:dyDescent="0.25">
      <c r="B9" s="9"/>
      <c r="C9" s="9"/>
      <c r="D9" s="16" t="s">
        <v>291</v>
      </c>
      <c r="E9" s="16"/>
      <c r="F9" s="39"/>
      <c r="G9" s="16"/>
      <c r="H9" s="16"/>
      <c r="I9" s="16"/>
      <c r="J9" s="49"/>
      <c r="K9" s="16"/>
      <c r="L9" s="16"/>
      <c r="M9" s="16"/>
      <c r="N9" s="39"/>
      <c r="P9" s="16" t="s">
        <v>39</v>
      </c>
      <c r="Q9" s="16"/>
      <c r="R9" s="39"/>
      <c r="S9" s="16"/>
      <c r="T9" s="16"/>
      <c r="U9" s="16"/>
      <c r="V9" s="49"/>
      <c r="W9" s="16"/>
      <c r="X9" s="16"/>
      <c r="Y9" s="16"/>
      <c r="Z9" s="39"/>
    </row>
    <row r="10" spans="1:26" x14ac:dyDescent="0.25">
      <c r="A10" s="11"/>
      <c r="B10" s="58"/>
      <c r="C10" s="11"/>
      <c r="D10" s="42" t="s">
        <v>57</v>
      </c>
      <c r="E10" s="36"/>
      <c r="F10" s="30" t="s">
        <v>40</v>
      </c>
      <c r="G10" s="36"/>
      <c r="H10" s="50" t="s">
        <v>237</v>
      </c>
      <c r="I10" s="36"/>
      <c r="J10" s="30" t="s">
        <v>40</v>
      </c>
      <c r="K10" s="11"/>
      <c r="L10" s="42" t="s">
        <v>126</v>
      </c>
      <c r="M10" s="11"/>
      <c r="N10" s="30" t="s">
        <v>257</v>
      </c>
      <c r="O10" s="11"/>
      <c r="P10" s="61" t="s">
        <v>57</v>
      </c>
      <c r="Q10" s="36"/>
      <c r="R10" s="30" t="s">
        <v>40</v>
      </c>
      <c r="S10" s="36"/>
      <c r="T10" s="50" t="s">
        <v>237</v>
      </c>
      <c r="U10" s="36"/>
      <c r="V10" s="30" t="s">
        <v>40</v>
      </c>
      <c r="W10" s="11"/>
      <c r="X10" s="42" t="s">
        <v>126</v>
      </c>
      <c r="Y10" s="11"/>
      <c r="Z10" s="30" t="s">
        <v>257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4" customFormat="1" collapsed="1" x14ac:dyDescent="0.25">
      <c r="A12" s="11"/>
      <c r="B12" s="29" t="s">
        <v>139</v>
      </c>
      <c r="C12" s="11"/>
      <c r="D12" s="4">
        <f>SUM(OSRRefD13x_0)</f>
        <v>0</v>
      </c>
      <c r="E12" s="4"/>
      <c r="F12" s="13"/>
      <c r="G12" s="4"/>
      <c r="H12" s="4">
        <f>SUM(OSRRefH13x_0)</f>
        <v>0</v>
      </c>
      <c r="I12" s="4"/>
      <c r="J12" s="13"/>
      <c r="K12" s="4"/>
      <c r="L12" s="4">
        <f t="shared" ref="L12:L14" si="0">+D12-H12</f>
        <v>0</v>
      </c>
      <c r="M12" s="4"/>
      <c r="N12" s="13">
        <f t="shared" ref="N12:N14" si="1">IF(H12=0,0,L12/H12)</f>
        <v>0</v>
      </c>
      <c r="O12" s="11"/>
      <c r="P12" s="4">
        <f>SUM(OSRRefP13x_0)</f>
        <v>974.91</v>
      </c>
      <c r="Q12" s="4"/>
      <c r="R12" s="13"/>
      <c r="S12" s="4"/>
      <c r="T12" s="4">
        <f>SUM(OSRRefT13x_0)</f>
        <v>591931.24</v>
      </c>
      <c r="U12" s="4"/>
      <c r="V12" s="13"/>
      <c r="W12" s="4"/>
      <c r="X12" s="4">
        <f t="shared" ref="X12:X14" si="2">+P12-T12</f>
        <v>-590956.32999999996</v>
      </c>
      <c r="Y12" s="4"/>
      <c r="Z12" s="13">
        <f t="shared" ref="Z12:Z14" si="3">IF(T12=0,0,X12/T12)</f>
        <v>-0.99835300127089077</v>
      </c>
    </row>
    <row r="13" spans="1:26" s="23" customFormat="1" hidden="1" outlineLevel="1" x14ac:dyDescent="0.25">
      <c r="A13" s="44"/>
      <c r="B13" s="10" t="str">
        <f>CONCATENATE("          ", "4058", " - ", "TAXABLE SALES-FOOD")</f>
        <v xml:space="preserve">          4058 - TAXABLE SALES-FOOD</v>
      </c>
      <c r="C13" s="10"/>
      <c r="D13" s="2">
        <f t="shared" ref="D13:D14" si="4">0</f>
        <v>0</v>
      </c>
      <c r="E13" s="2"/>
      <c r="F13" s="19"/>
      <c r="G13" s="2"/>
      <c r="H13" s="2">
        <f t="shared" ref="H13:H14" si="5">0</f>
        <v>0</v>
      </c>
      <c r="I13" s="2"/>
      <c r="J13" s="19"/>
      <c r="K13" s="2"/>
      <c r="L13" s="2">
        <f t="shared" si="0"/>
        <v>0</v>
      </c>
      <c r="M13" s="2"/>
      <c r="N13" s="19">
        <f t="shared" si="1"/>
        <v>0</v>
      </c>
      <c r="O13" s="10"/>
      <c r="P13" s="2">
        <f>--974.91</f>
        <v>974.91</v>
      </c>
      <c r="Q13" s="2"/>
      <c r="R13" s="19"/>
      <c r="S13" s="2"/>
      <c r="T13" s="2">
        <f>--117077.57</f>
        <v>117077.57</v>
      </c>
      <c r="U13" s="2"/>
      <c r="V13" s="19"/>
      <c r="W13" s="2"/>
      <c r="X13" s="2">
        <f t="shared" si="2"/>
        <v>-116102.66</v>
      </c>
      <c r="Y13" s="2"/>
      <c r="Z13" s="19">
        <f t="shared" si="3"/>
        <v>-0.99167295665600164</v>
      </c>
    </row>
    <row r="14" spans="1:26" s="23" customFormat="1" hidden="1" outlineLevel="1" x14ac:dyDescent="0.25">
      <c r="A14" s="44"/>
      <c r="B14" s="10" t="str">
        <f>CONCATENATE("          ", "4158", " - ", "NON-TAXABLE SALES-FOOD")</f>
        <v xml:space="preserve">          4158 - NON-TAXABLE SALES-FOOD</v>
      </c>
      <c r="C14" s="10"/>
      <c r="D14" s="2">
        <f t="shared" si="4"/>
        <v>0</v>
      </c>
      <c r="E14" s="2"/>
      <c r="F14" s="19"/>
      <c r="G14" s="2"/>
      <c r="H14" s="2">
        <f t="shared" si="5"/>
        <v>0</v>
      </c>
      <c r="I14" s="2"/>
      <c r="J14" s="19"/>
      <c r="K14" s="2"/>
      <c r="L14" s="2">
        <f t="shared" si="0"/>
        <v>0</v>
      </c>
      <c r="M14" s="2"/>
      <c r="N14" s="19">
        <f t="shared" si="1"/>
        <v>0</v>
      </c>
      <c r="O14" s="10"/>
      <c r="P14" s="2">
        <f>0</f>
        <v>0</v>
      </c>
      <c r="Q14" s="2"/>
      <c r="R14" s="19"/>
      <c r="S14" s="2"/>
      <c r="T14" s="2">
        <f>--474853.67</f>
        <v>474853.67</v>
      </c>
      <c r="U14" s="2"/>
      <c r="V14" s="19"/>
      <c r="W14" s="2"/>
      <c r="X14" s="2">
        <f t="shared" si="2"/>
        <v>-474853.67</v>
      </c>
      <c r="Y14" s="2"/>
      <c r="Z14" s="19">
        <f t="shared" si="3"/>
        <v>-1</v>
      </c>
    </row>
    <row r="15" spans="1:26" x14ac:dyDescent="0.25">
      <c r="A15" s="9"/>
      <c r="B15" s="11"/>
      <c r="C15" s="9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4" customFormat="1" collapsed="1" x14ac:dyDescent="0.25">
      <c r="A16" s="11"/>
      <c r="B16" s="29" t="s">
        <v>256</v>
      </c>
      <c r="C16" s="11"/>
      <c r="D16" s="4">
        <f>SUM(OSRRefD16x_0)</f>
        <v>0</v>
      </c>
      <c r="E16" s="4"/>
      <c r="F16" s="13">
        <f t="shared" ref="F16:F18" si="6">IF(D$12=0,0,D16/D$12)</f>
        <v>0</v>
      </c>
      <c r="G16" s="4"/>
      <c r="H16" s="4">
        <f>SUM(OSRRefH16x_0)</f>
        <v>5913</v>
      </c>
      <c r="I16" s="4"/>
      <c r="J16" s="13">
        <f t="shared" ref="J16:J18" si="7">IF(H$12=0,0,H16/H$12)</f>
        <v>0</v>
      </c>
      <c r="K16" s="4"/>
      <c r="L16" s="4">
        <f t="shared" ref="L16:L18" si="8">+D16-H16</f>
        <v>-5913</v>
      </c>
      <c r="M16" s="4"/>
      <c r="N16" s="13">
        <f t="shared" ref="N16:N18" si="9">IF(H16=0,0,L16/H16)</f>
        <v>-1</v>
      </c>
      <c r="O16" s="11"/>
      <c r="P16" s="4">
        <f>SUM(OSRRefP16x_0)</f>
        <v>-2369.56</v>
      </c>
      <c r="Q16" s="4"/>
      <c r="R16" s="13">
        <f t="shared" ref="R16:R18" si="10">IF(P$12=0,0,P16/P$12)</f>
        <v>-2.4305423064693152</v>
      </c>
      <c r="S16" s="4"/>
      <c r="T16" s="4">
        <f>SUM(OSRRefT16x_0)</f>
        <v>217798.36</v>
      </c>
      <c r="U16" s="4"/>
      <c r="V16" s="13">
        <f t="shared" ref="V16:V18" si="11">IF(T$12=0,0,T16/T$12)</f>
        <v>0.36794537149281054</v>
      </c>
      <c r="W16" s="4"/>
      <c r="X16" s="4">
        <f t="shared" ref="X16:X18" si="12">+P16-T16</f>
        <v>-220167.91999999998</v>
      </c>
      <c r="Y16" s="4"/>
      <c r="Z16" s="13">
        <f t="shared" ref="Z16:Z18" si="13">IF(T16=0,0,X16/T16)</f>
        <v>-1.0108796044194273</v>
      </c>
    </row>
    <row r="17" spans="1:26" s="23" customFormat="1" hidden="1" outlineLevel="1" x14ac:dyDescent="0.25">
      <c r="A17" s="44"/>
      <c r="B17" s="10" t="str">
        <f>CONCATENATE("          ", "5053", " - ", "PURCHASES @ COST-FOOD")</f>
        <v xml:space="preserve">          5053 - PURCHASES @ COST-FOOD</v>
      </c>
      <c r="C17" s="10"/>
      <c r="D17" s="2"/>
      <c r="E17" s="2"/>
      <c r="F17" s="19">
        <f t="shared" si="6"/>
        <v>0</v>
      </c>
      <c r="G17" s="2"/>
      <c r="H17" s="2"/>
      <c r="I17" s="2"/>
      <c r="J17" s="19">
        <f t="shared" si="7"/>
        <v>0</v>
      </c>
      <c r="K17" s="2"/>
      <c r="L17" s="2">
        <f t="shared" si="8"/>
        <v>0</v>
      </c>
      <c r="M17" s="2"/>
      <c r="N17" s="19">
        <f t="shared" si="9"/>
        <v>0</v>
      </c>
      <c r="O17" s="10"/>
      <c r="P17" s="2">
        <v>-2369.56</v>
      </c>
      <c r="Q17" s="2"/>
      <c r="R17" s="19">
        <f t="shared" si="10"/>
        <v>-2.4305423064693152</v>
      </c>
      <c r="S17" s="2"/>
      <c r="T17" s="2">
        <v>202040.36</v>
      </c>
      <c r="U17" s="2"/>
      <c r="V17" s="19">
        <f t="shared" si="11"/>
        <v>0.34132403621744983</v>
      </c>
      <c r="W17" s="2"/>
      <c r="X17" s="2">
        <f t="shared" si="12"/>
        <v>-204409.91999999998</v>
      </c>
      <c r="Y17" s="2"/>
      <c r="Z17" s="19">
        <f t="shared" si="13"/>
        <v>-1.0117281517415628</v>
      </c>
    </row>
    <row r="18" spans="1:26" s="23" customFormat="1" hidden="1" outlineLevel="1" x14ac:dyDescent="0.25">
      <c r="A18" s="44"/>
      <c r="B18" s="10" t="str">
        <f>CONCATENATE("          ", "5059", " - ", "PURCHASES @ COST-FOOD")</f>
        <v xml:space="preserve">          5059 - PURCHASES @ COST-FOOD</v>
      </c>
      <c r="C18" s="10"/>
      <c r="D18" s="2"/>
      <c r="E18" s="2"/>
      <c r="F18" s="19">
        <f t="shared" si="6"/>
        <v>0</v>
      </c>
      <c r="G18" s="2"/>
      <c r="H18" s="2">
        <v>5913</v>
      </c>
      <c r="I18" s="2"/>
      <c r="J18" s="19">
        <f t="shared" si="7"/>
        <v>0</v>
      </c>
      <c r="K18" s="2"/>
      <c r="L18" s="2">
        <f t="shared" si="8"/>
        <v>-5913</v>
      </c>
      <c r="M18" s="2"/>
      <c r="N18" s="19">
        <f t="shared" si="9"/>
        <v>-1</v>
      </c>
      <c r="O18" s="10"/>
      <c r="P18" s="2"/>
      <c r="Q18" s="2"/>
      <c r="R18" s="19">
        <f t="shared" si="10"/>
        <v>0</v>
      </c>
      <c r="S18" s="2"/>
      <c r="T18" s="2">
        <v>15758</v>
      </c>
      <c r="U18" s="2"/>
      <c r="V18" s="19">
        <f t="shared" si="11"/>
        <v>2.6621335275360699E-2</v>
      </c>
      <c r="W18" s="2"/>
      <c r="X18" s="2">
        <f t="shared" si="12"/>
        <v>-15758</v>
      </c>
      <c r="Y18" s="2"/>
      <c r="Z18" s="19">
        <f t="shared" si="13"/>
        <v>-1</v>
      </c>
    </row>
    <row r="19" spans="1:26" x14ac:dyDescent="0.25">
      <c r="A19" s="9"/>
      <c r="B19" s="11"/>
      <c r="C19" s="11"/>
      <c r="D19" s="3"/>
      <c r="E19" s="3"/>
      <c r="F19" s="8"/>
      <c r="G19" s="3"/>
      <c r="H19" s="3"/>
      <c r="I19" s="3"/>
      <c r="J19" s="8"/>
      <c r="K19" s="3"/>
      <c r="L19" s="3"/>
      <c r="M19" s="3"/>
      <c r="N19" s="8"/>
      <c r="O19" s="11"/>
      <c r="P19" s="3"/>
      <c r="Q19" s="3"/>
      <c r="R19" s="8"/>
      <c r="S19" s="3"/>
      <c r="T19" s="3"/>
      <c r="U19" s="3"/>
      <c r="V19" s="8"/>
      <c r="W19" s="3"/>
      <c r="X19" s="3"/>
      <c r="Y19" s="3"/>
      <c r="Z19" s="8"/>
    </row>
    <row r="20" spans="1:26" s="24" customFormat="1" x14ac:dyDescent="0.25">
      <c r="A20" s="11"/>
      <c r="B20" s="28" t="s">
        <v>107</v>
      </c>
      <c r="C20" s="28"/>
      <c r="D20" s="21">
        <f>D12-D16</f>
        <v>0</v>
      </c>
      <c r="E20" s="14"/>
      <c r="F20" s="22">
        <f>IF(D$12=0,0,D20/D$12)</f>
        <v>0</v>
      </c>
      <c r="G20" s="14"/>
      <c r="H20" s="21">
        <f>H12-H16</f>
        <v>-5913</v>
      </c>
      <c r="I20" s="14"/>
      <c r="J20" s="22">
        <f>IF(H$12=0,0,H20/H$12)</f>
        <v>0</v>
      </c>
      <c r="K20" s="15"/>
      <c r="L20" s="21">
        <f>+D20-H20</f>
        <v>5913</v>
      </c>
      <c r="M20" s="15"/>
      <c r="N20" s="22">
        <f>IF(H20=0,0,L20/H20)</f>
        <v>-1</v>
      </c>
      <c r="O20" s="29"/>
      <c r="P20" s="21">
        <f>P12-P16</f>
        <v>3344.47</v>
      </c>
      <c r="Q20" s="14"/>
      <c r="R20" s="22">
        <f>IF(P$12=0,0,P20/P$12)</f>
        <v>3.4305423064693152</v>
      </c>
      <c r="S20" s="14"/>
      <c r="T20" s="21">
        <f>T12-T16</f>
        <v>374132.88</v>
      </c>
      <c r="U20" s="14"/>
      <c r="V20" s="22">
        <f>IF(T$12=0,0,T20/T$12)</f>
        <v>0.63205462850718952</v>
      </c>
      <c r="W20" s="15"/>
      <c r="X20" s="21">
        <f>+P20-T20</f>
        <v>-370788.41000000003</v>
      </c>
      <c r="Y20" s="15"/>
      <c r="Z20" s="22">
        <f>IF(T20=0,0,X20/T20)</f>
        <v>-0.99106074291037993</v>
      </c>
    </row>
    <row r="21" spans="1:26" x14ac:dyDescent="0.25">
      <c r="A21" s="9"/>
      <c r="B21" s="11"/>
      <c r="C21" s="9"/>
      <c r="D21" s="1"/>
      <c r="E21" s="1"/>
      <c r="F21" s="5"/>
      <c r="G21" s="1"/>
      <c r="H21" s="1"/>
      <c r="I21" s="1"/>
      <c r="J21" s="5"/>
      <c r="K21" s="1"/>
      <c r="L21" s="1"/>
      <c r="M21" s="1"/>
      <c r="N21" s="5"/>
      <c r="O21" s="37"/>
      <c r="P21" s="1"/>
      <c r="Q21" s="1"/>
      <c r="R21" s="5"/>
      <c r="S21" s="1"/>
      <c r="T21" s="1"/>
      <c r="U21" s="1"/>
      <c r="V21" s="5"/>
      <c r="W21" s="1"/>
      <c r="X21" s="1"/>
      <c r="Y21" s="1"/>
      <c r="Z21" s="5"/>
    </row>
    <row r="22" spans="1:26" s="24" customFormat="1" x14ac:dyDescent="0.25">
      <c r="A22" s="11"/>
      <c r="B22" s="29" t="s">
        <v>294</v>
      </c>
      <c r="C22" s="11"/>
      <c r="D22" s="20">
        <f>SUM(OSRRefD22x_0)</f>
        <v>-1036.0899999999999</v>
      </c>
      <c r="E22" s="20"/>
      <c r="F22" s="32">
        <f t="shared" ref="F22:F31" si="14">IF(D$12=0,0,D22/D$12)</f>
        <v>0</v>
      </c>
      <c r="G22" s="20"/>
      <c r="H22" s="20">
        <f>SUM(OSRRefH22x_0)</f>
        <v>2324.31</v>
      </c>
      <c r="I22" s="20"/>
      <c r="J22" s="32">
        <f t="shared" ref="J22:J31" si="15">IF(H$12=0,0,H22/H$12)</f>
        <v>0</v>
      </c>
      <c r="K22" s="4"/>
      <c r="L22" s="20">
        <f t="shared" ref="L22:L31" si="16">+D22-H22</f>
        <v>-3360.3999999999996</v>
      </c>
      <c r="M22" s="4"/>
      <c r="N22" s="32">
        <f t="shared" ref="N22:N31" si="17">IF(H22=0,0,L22/H22)</f>
        <v>-1.4457623983031522</v>
      </c>
      <c r="O22" s="11"/>
      <c r="P22" s="20">
        <f>SUM(OSRRefP22x_0)</f>
        <v>20706.489999999998</v>
      </c>
      <c r="Q22" s="20"/>
      <c r="R22" s="32">
        <f t="shared" ref="R22:R31" si="18">IF(P$12=0,0,P22/P$12)</f>
        <v>21.23938619975177</v>
      </c>
      <c r="S22" s="20"/>
      <c r="T22" s="20">
        <f>SUM(OSRRefT22x_0)</f>
        <v>332325.95</v>
      </c>
      <c r="U22" s="20"/>
      <c r="V22" s="32">
        <f t="shared" ref="V22:V31" si="19">IF(T$12=0,0,T22/T$12)</f>
        <v>0.56142661096920654</v>
      </c>
      <c r="W22" s="4"/>
      <c r="X22" s="20">
        <f t="shared" ref="X22:X31" si="20">+P22-T22</f>
        <v>-311619.46000000002</v>
      </c>
      <c r="Y22" s="4"/>
      <c r="Z22" s="32">
        <f t="shared" ref="Z22:Z31" si="21">IF(T22=0,0,X22/T22)</f>
        <v>-0.93769222656250595</v>
      </c>
    </row>
    <row r="23" spans="1:26" s="27" customFormat="1" outlineLevel="1" collapsed="1" x14ac:dyDescent="0.25">
      <c r="A23" s="26"/>
      <c r="B23" s="12" t="str">
        <f>CONCATENATE("     ","*Benefits                                         ")</f>
        <v xml:space="preserve">     *Benefits                                         </v>
      </c>
      <c r="C23" s="12"/>
      <c r="D23" s="1">
        <f>SUM(OSRRefD22_0x_0)</f>
        <v>0</v>
      </c>
      <c r="E23" s="1"/>
      <c r="F23" s="5">
        <f t="shared" si="14"/>
        <v>0</v>
      </c>
      <c r="G23" s="1"/>
      <c r="H23" s="1">
        <f>SUM(OSRRefH22_0x_0)</f>
        <v>272.70999999999998</v>
      </c>
      <c r="I23" s="1"/>
      <c r="J23" s="5">
        <f t="shared" si="15"/>
        <v>0</v>
      </c>
      <c r="K23" s="1"/>
      <c r="L23" s="1">
        <f t="shared" si="16"/>
        <v>-272.70999999999998</v>
      </c>
      <c r="M23" s="1"/>
      <c r="N23" s="5">
        <f t="shared" si="17"/>
        <v>-1</v>
      </c>
      <c r="O23" s="12"/>
      <c r="P23" s="1">
        <f>SUM(OSRRefP22_0x_0)</f>
        <v>702.51</v>
      </c>
      <c r="Q23" s="1"/>
      <c r="R23" s="5">
        <f t="shared" si="18"/>
        <v>0.72058959288549718</v>
      </c>
      <c r="S23" s="1"/>
      <c r="T23" s="1">
        <f>SUM(OSRRefT22_0x_0)</f>
        <v>27827.83</v>
      </c>
      <c r="U23" s="1"/>
      <c r="V23" s="5">
        <f t="shared" si="19"/>
        <v>4.7011929966730599E-2</v>
      </c>
      <c r="W23" s="1"/>
      <c r="X23" s="1">
        <f t="shared" si="20"/>
        <v>-27125.320000000003</v>
      </c>
      <c r="Y23" s="1"/>
      <c r="Z23" s="5">
        <f t="shared" si="21"/>
        <v>-0.9747551282295458</v>
      </c>
    </row>
    <row r="24" spans="1:26" s="23" customFormat="1" hidden="1" outlineLevel="2" x14ac:dyDescent="0.25">
      <c r="A24" s="25"/>
      <c r="B24" s="10" t="str">
        <f>CONCATENATE("          ", "6111", " - ", "F.I.C.A.")</f>
        <v xml:space="preserve">          6111 - F.I.C.A.</v>
      </c>
      <c r="C24" s="10"/>
      <c r="D24" s="6"/>
      <c r="E24" s="2"/>
      <c r="F24" s="7">
        <f t="shared" si="14"/>
        <v>0</v>
      </c>
      <c r="G24" s="2"/>
      <c r="H24" s="6"/>
      <c r="I24" s="2"/>
      <c r="J24" s="7">
        <f t="shared" si="15"/>
        <v>0</v>
      </c>
      <c r="K24" s="2"/>
      <c r="L24" s="6">
        <f t="shared" si="16"/>
        <v>0</v>
      </c>
      <c r="M24" s="2"/>
      <c r="N24" s="7">
        <f t="shared" si="17"/>
        <v>0</v>
      </c>
      <c r="O24" s="10"/>
      <c r="P24" s="6"/>
      <c r="Q24" s="2"/>
      <c r="R24" s="7">
        <f t="shared" si="18"/>
        <v>0</v>
      </c>
      <c r="S24" s="2"/>
      <c r="T24" s="6">
        <v>5995.86</v>
      </c>
      <c r="U24" s="2"/>
      <c r="V24" s="7">
        <f t="shared" si="19"/>
        <v>1.0129318398535612E-2</v>
      </c>
      <c r="W24" s="2"/>
      <c r="X24" s="6">
        <f t="shared" si="20"/>
        <v>-5995.86</v>
      </c>
      <c r="Y24" s="2"/>
      <c r="Z24" s="7">
        <f t="shared" si="21"/>
        <v>-1</v>
      </c>
    </row>
    <row r="25" spans="1:26" s="23" customFormat="1" hidden="1" outlineLevel="2" x14ac:dyDescent="0.25">
      <c r="A25" s="25"/>
      <c r="B25" s="10" t="str">
        <f>CONCATENATE("          ", "6112", " - ", "COMPENSATION INSURANCE")</f>
        <v xml:space="preserve">          6112 - COMPENSATION INSURANCE</v>
      </c>
      <c r="C25" s="10"/>
      <c r="D25" s="6"/>
      <c r="E25" s="2"/>
      <c r="F25" s="7">
        <f t="shared" si="14"/>
        <v>0</v>
      </c>
      <c r="G25" s="2"/>
      <c r="H25" s="6"/>
      <c r="I25" s="2"/>
      <c r="J25" s="7">
        <f t="shared" si="15"/>
        <v>0</v>
      </c>
      <c r="K25" s="2"/>
      <c r="L25" s="6">
        <f t="shared" si="16"/>
        <v>0</v>
      </c>
      <c r="M25" s="2"/>
      <c r="N25" s="7">
        <f t="shared" si="17"/>
        <v>0</v>
      </c>
      <c r="O25" s="10"/>
      <c r="P25" s="6"/>
      <c r="Q25" s="2"/>
      <c r="R25" s="7">
        <f t="shared" si="18"/>
        <v>0</v>
      </c>
      <c r="S25" s="2"/>
      <c r="T25" s="6">
        <v>5901.84</v>
      </c>
      <c r="U25" s="2"/>
      <c r="V25" s="7">
        <f t="shared" si="19"/>
        <v>9.9704823823794139E-3</v>
      </c>
      <c r="W25" s="2"/>
      <c r="X25" s="6">
        <f t="shared" si="20"/>
        <v>-5901.84</v>
      </c>
      <c r="Y25" s="2"/>
      <c r="Z25" s="7">
        <f t="shared" si="21"/>
        <v>-1</v>
      </c>
    </row>
    <row r="26" spans="1:26" s="23" customFormat="1" hidden="1" outlineLevel="2" x14ac:dyDescent="0.25">
      <c r="A26" s="25"/>
      <c r="B26" s="10" t="str">
        <f>CONCATENATE("          ", "6113", " - ", "GROUP INSURANCE")</f>
        <v xml:space="preserve">          6113 - GROUP INSURANCE</v>
      </c>
      <c r="C26" s="10"/>
      <c r="D26" s="6"/>
      <c r="E26" s="2"/>
      <c r="F26" s="7">
        <f t="shared" si="14"/>
        <v>0</v>
      </c>
      <c r="G26" s="2"/>
      <c r="H26" s="6">
        <v>702.51</v>
      </c>
      <c r="I26" s="2"/>
      <c r="J26" s="7">
        <f t="shared" si="15"/>
        <v>0</v>
      </c>
      <c r="K26" s="2"/>
      <c r="L26" s="6">
        <f t="shared" si="16"/>
        <v>-702.51</v>
      </c>
      <c r="M26" s="2"/>
      <c r="N26" s="7">
        <f t="shared" si="17"/>
        <v>-1</v>
      </c>
      <c r="O26" s="10"/>
      <c r="P26" s="6">
        <v>702.51</v>
      </c>
      <c r="Q26" s="2"/>
      <c r="R26" s="7">
        <f t="shared" si="18"/>
        <v>0.72058959288549718</v>
      </c>
      <c r="S26" s="2"/>
      <c r="T26" s="6">
        <v>9111.33</v>
      </c>
      <c r="U26" s="2"/>
      <c r="V26" s="7">
        <f t="shared" si="19"/>
        <v>1.5392547958779807E-2</v>
      </c>
      <c r="W26" s="2"/>
      <c r="X26" s="6">
        <f t="shared" si="20"/>
        <v>-8408.82</v>
      </c>
      <c r="Y26" s="2"/>
      <c r="Z26" s="7">
        <f t="shared" si="21"/>
        <v>-0.92289709625268757</v>
      </c>
    </row>
    <row r="27" spans="1:26" s="23" customFormat="1" hidden="1" outlineLevel="2" x14ac:dyDescent="0.25">
      <c r="A27" s="25"/>
      <c r="B27" s="10" t="str">
        <f>CONCATENATE("          ", "6114", " - ", "STATE UNEMPLOYMENT INSURANCE")</f>
        <v xml:space="preserve">          6114 - STATE UNEMPLOYMENT INSURANCE</v>
      </c>
      <c r="C27" s="10"/>
      <c r="D27" s="6"/>
      <c r="E27" s="2"/>
      <c r="F27" s="7">
        <f t="shared" si="14"/>
        <v>0</v>
      </c>
      <c r="G27" s="2"/>
      <c r="H27" s="6">
        <v>-479.62</v>
      </c>
      <c r="I27" s="2"/>
      <c r="J27" s="7">
        <f t="shared" si="15"/>
        <v>0</v>
      </c>
      <c r="K27" s="2"/>
      <c r="L27" s="6">
        <f t="shared" si="16"/>
        <v>479.62</v>
      </c>
      <c r="M27" s="2"/>
      <c r="N27" s="7">
        <f t="shared" si="17"/>
        <v>-1</v>
      </c>
      <c r="O27" s="10"/>
      <c r="P27" s="6"/>
      <c r="Q27" s="2"/>
      <c r="R27" s="7">
        <f t="shared" si="18"/>
        <v>0</v>
      </c>
      <c r="S27" s="2"/>
      <c r="T27" s="6">
        <v>0</v>
      </c>
      <c r="U27" s="2"/>
      <c r="V27" s="7">
        <f t="shared" si="19"/>
        <v>0</v>
      </c>
      <c r="W27" s="2"/>
      <c r="X27" s="6">
        <f t="shared" si="20"/>
        <v>0</v>
      </c>
      <c r="Y27" s="2"/>
      <c r="Z27" s="7">
        <f t="shared" si="21"/>
        <v>0</v>
      </c>
    </row>
    <row r="28" spans="1:26" s="23" customFormat="1" hidden="1" outlineLevel="2" x14ac:dyDescent="0.25">
      <c r="A28" s="25"/>
      <c r="B28" s="10" t="str">
        <f>CONCATENATE("          ", "6115", " - ", "P.E.R.S.")</f>
        <v xml:space="preserve">          6115 - P.E.R.S.</v>
      </c>
      <c r="C28" s="10"/>
      <c r="D28" s="6"/>
      <c r="E28" s="2"/>
      <c r="F28" s="7">
        <f t="shared" si="14"/>
        <v>0</v>
      </c>
      <c r="G28" s="2"/>
      <c r="H28" s="6"/>
      <c r="I28" s="2"/>
      <c r="J28" s="7">
        <f t="shared" si="15"/>
        <v>0</v>
      </c>
      <c r="K28" s="2"/>
      <c r="L28" s="6">
        <f t="shared" si="16"/>
        <v>0</v>
      </c>
      <c r="M28" s="2"/>
      <c r="N28" s="7">
        <f t="shared" si="17"/>
        <v>0</v>
      </c>
      <c r="O28" s="10"/>
      <c r="P28" s="6"/>
      <c r="Q28" s="2"/>
      <c r="R28" s="7">
        <f t="shared" si="18"/>
        <v>0</v>
      </c>
      <c r="S28" s="2"/>
      <c r="T28" s="6">
        <v>711.9</v>
      </c>
      <c r="U28" s="2"/>
      <c r="V28" s="7">
        <f t="shared" si="19"/>
        <v>1.2026734726824015E-3</v>
      </c>
      <c r="W28" s="2"/>
      <c r="X28" s="6">
        <f t="shared" si="20"/>
        <v>-711.9</v>
      </c>
      <c r="Y28" s="2"/>
      <c r="Z28" s="7">
        <f t="shared" si="21"/>
        <v>-1</v>
      </c>
    </row>
    <row r="29" spans="1:26" s="23" customFormat="1" hidden="1" outlineLevel="2" x14ac:dyDescent="0.25">
      <c r="A29" s="25"/>
      <c r="B29" s="10" t="str">
        <f>CONCATENATE("          ", "6118", " - ", "VACATION")</f>
        <v xml:space="preserve">          6118 - VACATION</v>
      </c>
      <c r="C29" s="10"/>
      <c r="D29" s="6"/>
      <c r="E29" s="2"/>
      <c r="F29" s="7">
        <f t="shared" si="14"/>
        <v>0</v>
      </c>
      <c r="G29" s="2"/>
      <c r="H29" s="6"/>
      <c r="I29" s="2"/>
      <c r="J29" s="7">
        <f t="shared" si="15"/>
        <v>0</v>
      </c>
      <c r="K29" s="2"/>
      <c r="L29" s="6">
        <f t="shared" si="16"/>
        <v>0</v>
      </c>
      <c r="M29" s="2"/>
      <c r="N29" s="7">
        <f t="shared" si="17"/>
        <v>0</v>
      </c>
      <c r="O29" s="10"/>
      <c r="P29" s="6"/>
      <c r="Q29" s="2"/>
      <c r="R29" s="7">
        <f t="shared" si="18"/>
        <v>0</v>
      </c>
      <c r="S29" s="2"/>
      <c r="T29" s="6">
        <v>2037.11</v>
      </c>
      <c r="U29" s="2"/>
      <c r="V29" s="7">
        <f t="shared" si="19"/>
        <v>3.4414639105717752E-3</v>
      </c>
      <c r="W29" s="2"/>
      <c r="X29" s="6">
        <f t="shared" si="20"/>
        <v>-2037.11</v>
      </c>
      <c r="Y29" s="2"/>
      <c r="Z29" s="7">
        <f t="shared" si="21"/>
        <v>-1</v>
      </c>
    </row>
    <row r="30" spans="1:26" s="23" customFormat="1" hidden="1" outlineLevel="2" x14ac:dyDescent="0.25">
      <c r="A30" s="25"/>
      <c r="B30" s="10" t="str">
        <f>CONCATENATE("          ", "6119", " - ", "SICK LEAVE")</f>
        <v xml:space="preserve">          6119 - SICK LEAVE</v>
      </c>
      <c r="C30" s="10"/>
      <c r="D30" s="6"/>
      <c r="E30" s="2"/>
      <c r="F30" s="7">
        <f t="shared" si="14"/>
        <v>0</v>
      </c>
      <c r="G30" s="2"/>
      <c r="H30" s="6"/>
      <c r="I30" s="2"/>
      <c r="J30" s="7">
        <f t="shared" si="15"/>
        <v>0</v>
      </c>
      <c r="K30" s="2"/>
      <c r="L30" s="6">
        <f t="shared" si="16"/>
        <v>0</v>
      </c>
      <c r="M30" s="2"/>
      <c r="N30" s="7">
        <f t="shared" si="17"/>
        <v>0</v>
      </c>
      <c r="O30" s="10"/>
      <c r="P30" s="6"/>
      <c r="Q30" s="2"/>
      <c r="R30" s="7">
        <f t="shared" si="18"/>
        <v>0</v>
      </c>
      <c r="S30" s="2"/>
      <c r="T30" s="6">
        <v>2440.5100000000002</v>
      </c>
      <c r="U30" s="2"/>
      <c r="V30" s="7">
        <f t="shared" si="19"/>
        <v>4.1229619845710459E-3</v>
      </c>
      <c r="W30" s="2"/>
      <c r="X30" s="6">
        <f t="shared" si="20"/>
        <v>-2440.5100000000002</v>
      </c>
      <c r="Y30" s="2"/>
      <c r="Z30" s="7">
        <f t="shared" si="21"/>
        <v>-1</v>
      </c>
    </row>
    <row r="31" spans="1:26" s="23" customFormat="1" hidden="1" outlineLevel="2" x14ac:dyDescent="0.25">
      <c r="A31" s="25"/>
      <c r="B31" s="10" t="str">
        <f>CONCATENATE("          ", "6156", " - ", "EMPLOYEE MEALS")</f>
        <v xml:space="preserve">          6156 - EMPLOYEE MEALS</v>
      </c>
      <c r="C31" s="10"/>
      <c r="D31" s="6"/>
      <c r="E31" s="2"/>
      <c r="F31" s="7">
        <f t="shared" si="14"/>
        <v>0</v>
      </c>
      <c r="G31" s="2"/>
      <c r="H31" s="6">
        <v>49.82</v>
      </c>
      <c r="I31" s="2"/>
      <c r="J31" s="7">
        <f t="shared" si="15"/>
        <v>0</v>
      </c>
      <c r="K31" s="2"/>
      <c r="L31" s="6">
        <f t="shared" si="16"/>
        <v>-49.82</v>
      </c>
      <c r="M31" s="2"/>
      <c r="N31" s="7">
        <f t="shared" si="17"/>
        <v>-1</v>
      </c>
      <c r="O31" s="10"/>
      <c r="P31" s="6"/>
      <c r="Q31" s="2"/>
      <c r="R31" s="7">
        <f t="shared" si="18"/>
        <v>0</v>
      </c>
      <c r="S31" s="2"/>
      <c r="T31" s="6">
        <v>1629.28</v>
      </c>
      <c r="U31" s="2"/>
      <c r="V31" s="7">
        <f t="shared" si="19"/>
        <v>2.7524818592105393E-3</v>
      </c>
      <c r="W31" s="2"/>
      <c r="X31" s="6">
        <f t="shared" si="20"/>
        <v>-1629.28</v>
      </c>
      <c r="Y31" s="2"/>
      <c r="Z31" s="7">
        <f t="shared" si="21"/>
        <v>-1</v>
      </c>
    </row>
    <row r="32" spans="1:26" s="27" customFormat="1" outlineLevel="1" collapsed="1" x14ac:dyDescent="0.25">
      <c r="A32" s="26"/>
      <c r="B32" s="12" t="str">
        <f>CONCATENATE("     ","*Payroll                                          ")</f>
        <v xml:space="preserve">     *Payroll                                          </v>
      </c>
      <c r="C32" s="12"/>
      <c r="D32" s="1">
        <f>SUM(OSRRefD22_1x_0)</f>
        <v>0</v>
      </c>
      <c r="E32" s="1"/>
      <c r="F32" s="5">
        <f t="shared" ref="F32:F38" si="22">IF(D$12=0,0,D32/D$12)</f>
        <v>0</v>
      </c>
      <c r="G32" s="1"/>
      <c r="H32" s="1">
        <f>SUM(OSRRefH22_1x_0)</f>
        <v>0</v>
      </c>
      <c r="I32" s="1"/>
      <c r="J32" s="5">
        <f t="shared" ref="J32:J38" si="23">IF(H$12=0,0,H32/H$12)</f>
        <v>0</v>
      </c>
      <c r="K32" s="1"/>
      <c r="L32" s="1">
        <f t="shared" ref="L32:L38" si="24">+D32-H32</f>
        <v>0</v>
      </c>
      <c r="M32" s="1"/>
      <c r="N32" s="5">
        <f t="shared" ref="N32:N38" si="25">IF(H32=0,0,L32/H32)</f>
        <v>0</v>
      </c>
      <c r="O32" s="12"/>
      <c r="P32" s="1">
        <f>SUM(OSRRefP22_1x_0)</f>
        <v>0</v>
      </c>
      <c r="Q32" s="1"/>
      <c r="R32" s="5">
        <f t="shared" ref="R32:R38" si="26">IF(P$12=0,0,P32/P$12)</f>
        <v>0</v>
      </c>
      <c r="S32" s="1"/>
      <c r="T32" s="1">
        <f>SUM(OSRRefT22_1x_0)</f>
        <v>187328.10000000003</v>
      </c>
      <c r="U32" s="1"/>
      <c r="V32" s="5">
        <f t="shared" ref="V32:V38" si="27">IF(T$12=0,0,T32/T$12)</f>
        <v>0.31646935883971933</v>
      </c>
      <c r="W32" s="1"/>
      <c r="X32" s="1">
        <f t="shared" ref="X32:X38" si="28">+P32-T32</f>
        <v>-187328.10000000003</v>
      </c>
      <c r="Y32" s="1"/>
      <c r="Z32" s="5">
        <f t="shared" ref="Z32:Z38" si="29">IF(T32=0,0,X32/T32)</f>
        <v>-1</v>
      </c>
    </row>
    <row r="33" spans="1:26" s="23" customFormat="1" hidden="1" outlineLevel="2" x14ac:dyDescent="0.25">
      <c r="A33" s="25"/>
      <c r="B33" s="10" t="str">
        <f>CONCATENATE("          ", "6002", " - ", "STAFF SALARIES")</f>
        <v xml:space="preserve">          6002 - STAFF SALARIES</v>
      </c>
      <c r="C33" s="10"/>
      <c r="D33" s="6"/>
      <c r="E33" s="2"/>
      <c r="F33" s="7">
        <f t="shared" si="22"/>
        <v>0</v>
      </c>
      <c r="G33" s="2"/>
      <c r="H33" s="6"/>
      <c r="I33" s="2"/>
      <c r="J33" s="7">
        <f t="shared" si="23"/>
        <v>0</v>
      </c>
      <c r="K33" s="2"/>
      <c r="L33" s="6">
        <f t="shared" si="24"/>
        <v>0</v>
      </c>
      <c r="M33" s="2"/>
      <c r="N33" s="7">
        <f t="shared" si="25"/>
        <v>0</v>
      </c>
      <c r="O33" s="10"/>
      <c r="P33" s="6"/>
      <c r="Q33" s="2"/>
      <c r="R33" s="7">
        <f t="shared" si="26"/>
        <v>0</v>
      </c>
      <c r="S33" s="2"/>
      <c r="T33" s="6">
        <v>9754.9500000000007</v>
      </c>
      <c r="U33" s="2"/>
      <c r="V33" s="7">
        <f t="shared" si="27"/>
        <v>1.6479870195734221E-2</v>
      </c>
      <c r="W33" s="2"/>
      <c r="X33" s="6">
        <f t="shared" si="28"/>
        <v>-9754.9500000000007</v>
      </c>
      <c r="Y33" s="2"/>
      <c r="Z33" s="7">
        <f t="shared" si="29"/>
        <v>-1</v>
      </c>
    </row>
    <row r="34" spans="1:26" s="23" customFormat="1" hidden="1" outlineLevel="2" x14ac:dyDescent="0.25">
      <c r="A34" s="25"/>
      <c r="B34" s="10" t="str">
        <f>CONCATENATE("          ", "6004", " - ", "STAFF HOURLY")</f>
        <v xml:space="preserve">          6004 - STAFF HOURLY</v>
      </c>
      <c r="C34" s="10"/>
      <c r="D34" s="6"/>
      <c r="E34" s="2"/>
      <c r="F34" s="7">
        <f t="shared" si="22"/>
        <v>0</v>
      </c>
      <c r="G34" s="2"/>
      <c r="H34" s="6"/>
      <c r="I34" s="2"/>
      <c r="J34" s="7">
        <f t="shared" si="23"/>
        <v>0</v>
      </c>
      <c r="K34" s="2"/>
      <c r="L34" s="6">
        <f t="shared" si="24"/>
        <v>0</v>
      </c>
      <c r="M34" s="2"/>
      <c r="N34" s="7">
        <f t="shared" si="25"/>
        <v>0</v>
      </c>
      <c r="O34" s="10"/>
      <c r="P34" s="6"/>
      <c r="Q34" s="2"/>
      <c r="R34" s="7">
        <f t="shared" si="26"/>
        <v>0</v>
      </c>
      <c r="S34" s="2"/>
      <c r="T34" s="6">
        <v>53258.29</v>
      </c>
      <c r="U34" s="2"/>
      <c r="V34" s="7">
        <f t="shared" si="27"/>
        <v>8.9973778035435339E-2</v>
      </c>
      <c r="W34" s="2"/>
      <c r="X34" s="6">
        <f t="shared" si="28"/>
        <v>-53258.29</v>
      </c>
      <c r="Y34" s="2"/>
      <c r="Z34" s="7">
        <f t="shared" si="29"/>
        <v>-1</v>
      </c>
    </row>
    <row r="35" spans="1:26" s="23" customFormat="1" hidden="1" outlineLevel="2" x14ac:dyDescent="0.25">
      <c r="A35" s="25"/>
      <c r="B35" s="10" t="str">
        <f>CONCATENATE("          ", "6005", " - ", "TEMPORARY WAGES-HOURLY")</f>
        <v xml:space="preserve">          6005 - TEMPORARY WAGES-HOURLY</v>
      </c>
      <c r="C35" s="10"/>
      <c r="D35" s="6"/>
      <c r="E35" s="2"/>
      <c r="F35" s="7">
        <f t="shared" si="22"/>
        <v>0</v>
      </c>
      <c r="G35" s="2"/>
      <c r="H35" s="6"/>
      <c r="I35" s="2"/>
      <c r="J35" s="7">
        <f t="shared" si="23"/>
        <v>0</v>
      </c>
      <c r="K35" s="2"/>
      <c r="L35" s="6">
        <f t="shared" si="24"/>
        <v>0</v>
      </c>
      <c r="M35" s="2"/>
      <c r="N35" s="7">
        <f t="shared" si="25"/>
        <v>0</v>
      </c>
      <c r="O35" s="10"/>
      <c r="P35" s="6"/>
      <c r="Q35" s="2"/>
      <c r="R35" s="7">
        <f t="shared" si="26"/>
        <v>0</v>
      </c>
      <c r="S35" s="2"/>
      <c r="T35" s="6">
        <v>1997.5</v>
      </c>
      <c r="U35" s="2"/>
      <c r="V35" s="7">
        <f t="shared" si="27"/>
        <v>3.3745473545204337E-3</v>
      </c>
      <c r="W35" s="2"/>
      <c r="X35" s="6">
        <f t="shared" si="28"/>
        <v>-1997.5</v>
      </c>
      <c r="Y35" s="2"/>
      <c r="Z35" s="7">
        <f t="shared" si="29"/>
        <v>-1</v>
      </c>
    </row>
    <row r="36" spans="1:26" s="23" customFormat="1" hidden="1" outlineLevel="2" x14ac:dyDescent="0.25">
      <c r="A36" s="25"/>
      <c r="B36" s="10" t="str">
        <f>CONCATENATE("          ", "6006", " - ", "TEMPORARY PART TIME")</f>
        <v xml:space="preserve">          6006 - TEMPORARY PART TIME</v>
      </c>
      <c r="C36" s="10"/>
      <c r="D36" s="6"/>
      <c r="E36" s="2"/>
      <c r="F36" s="7">
        <f t="shared" si="22"/>
        <v>0</v>
      </c>
      <c r="G36" s="2"/>
      <c r="H36" s="6"/>
      <c r="I36" s="2"/>
      <c r="J36" s="7">
        <f t="shared" si="23"/>
        <v>0</v>
      </c>
      <c r="K36" s="2"/>
      <c r="L36" s="6">
        <f t="shared" si="24"/>
        <v>0</v>
      </c>
      <c r="M36" s="2"/>
      <c r="N36" s="7">
        <f t="shared" si="25"/>
        <v>0</v>
      </c>
      <c r="O36" s="10"/>
      <c r="P36" s="6"/>
      <c r="Q36" s="2"/>
      <c r="R36" s="7">
        <f t="shared" si="26"/>
        <v>0</v>
      </c>
      <c r="S36" s="2"/>
      <c r="T36" s="6">
        <v>29.25</v>
      </c>
      <c r="U36" s="2"/>
      <c r="V36" s="7">
        <f t="shared" si="27"/>
        <v>4.9414523213878695E-5</v>
      </c>
      <c r="W36" s="2"/>
      <c r="X36" s="6">
        <f t="shared" si="28"/>
        <v>-29.25</v>
      </c>
      <c r="Y36" s="2"/>
      <c r="Z36" s="7">
        <f t="shared" si="29"/>
        <v>-1</v>
      </c>
    </row>
    <row r="37" spans="1:26" s="23" customFormat="1" hidden="1" outlineLevel="2" x14ac:dyDescent="0.25">
      <c r="A37" s="25"/>
      <c r="B37" s="10" t="str">
        <f>CONCATENATE("          ", "6007", " - ", "STUDENT HOURLY")</f>
        <v xml:space="preserve">          6007 - STUDENT HOURLY</v>
      </c>
      <c r="C37" s="10"/>
      <c r="D37" s="6"/>
      <c r="E37" s="2"/>
      <c r="F37" s="7">
        <f t="shared" si="22"/>
        <v>0</v>
      </c>
      <c r="G37" s="2"/>
      <c r="H37" s="6"/>
      <c r="I37" s="2"/>
      <c r="J37" s="7">
        <f t="shared" si="23"/>
        <v>0</v>
      </c>
      <c r="K37" s="2"/>
      <c r="L37" s="6">
        <f t="shared" si="24"/>
        <v>0</v>
      </c>
      <c r="M37" s="2"/>
      <c r="N37" s="7">
        <f t="shared" si="25"/>
        <v>0</v>
      </c>
      <c r="O37" s="10"/>
      <c r="P37" s="6"/>
      <c r="Q37" s="2"/>
      <c r="R37" s="7">
        <f t="shared" si="26"/>
        <v>0</v>
      </c>
      <c r="S37" s="2"/>
      <c r="T37" s="6">
        <v>121057.66</v>
      </c>
      <c r="U37" s="2"/>
      <c r="V37" s="7">
        <f t="shared" si="27"/>
        <v>0.20451304445428495</v>
      </c>
      <c r="W37" s="2"/>
      <c r="X37" s="6">
        <f t="shared" si="28"/>
        <v>-121057.66</v>
      </c>
      <c r="Y37" s="2"/>
      <c r="Z37" s="7">
        <f t="shared" si="29"/>
        <v>-1</v>
      </c>
    </row>
    <row r="38" spans="1:26" s="23" customFormat="1" hidden="1" outlineLevel="2" x14ac:dyDescent="0.25">
      <c r="A38" s="25"/>
      <c r="B38" s="10" t="str">
        <f>CONCATENATE("          ", "6008", " - ", "STUDENT HOURLY-FICA EXEMPT")</f>
        <v xml:space="preserve">          6008 - STUDENT HOURLY-FICA EXEMPT</v>
      </c>
      <c r="C38" s="10"/>
      <c r="D38" s="6"/>
      <c r="E38" s="2"/>
      <c r="F38" s="7">
        <f t="shared" si="22"/>
        <v>0</v>
      </c>
      <c r="G38" s="2"/>
      <c r="H38" s="6"/>
      <c r="I38" s="2"/>
      <c r="J38" s="7">
        <f t="shared" si="23"/>
        <v>0</v>
      </c>
      <c r="K38" s="2"/>
      <c r="L38" s="6">
        <f t="shared" si="24"/>
        <v>0</v>
      </c>
      <c r="M38" s="2"/>
      <c r="N38" s="7">
        <f t="shared" si="25"/>
        <v>0</v>
      </c>
      <c r="O38" s="10"/>
      <c r="P38" s="6"/>
      <c r="Q38" s="2"/>
      <c r="R38" s="7">
        <f t="shared" si="26"/>
        <v>0</v>
      </c>
      <c r="S38" s="2"/>
      <c r="T38" s="6">
        <v>1230.45</v>
      </c>
      <c r="U38" s="2"/>
      <c r="V38" s="7">
        <f t="shared" si="27"/>
        <v>2.0787042765304971E-3</v>
      </c>
      <c r="W38" s="2"/>
      <c r="X38" s="6">
        <f t="shared" si="28"/>
        <v>-1230.45</v>
      </c>
      <c r="Y38" s="2"/>
      <c r="Z38" s="7">
        <f t="shared" si="29"/>
        <v>-1</v>
      </c>
    </row>
    <row r="39" spans="1:26" s="27" customFormat="1" outlineLevel="1" collapsed="1" x14ac:dyDescent="0.25">
      <c r="A39" s="26"/>
      <c r="B39" s="12" t="str">
        <f>CONCATENATE("     ","Advertising/Promo                                 ")</f>
        <v xml:space="preserve">     Advertising/Promo                                 </v>
      </c>
      <c r="C39" s="12"/>
      <c r="D39" s="1">
        <f>SUM(OSRRefD22_2x_0)</f>
        <v>0</v>
      </c>
      <c r="E39" s="1"/>
      <c r="F39" s="5">
        <f t="shared" ref="F39:F55" si="30">IF(D$12=0,0,D39/D$12)</f>
        <v>0</v>
      </c>
      <c r="G39" s="1"/>
      <c r="H39" s="1">
        <f>SUM(OSRRefH22_2x_0)</f>
        <v>0</v>
      </c>
      <c r="I39" s="1"/>
      <c r="J39" s="5">
        <f t="shared" ref="J39:J55" si="31">IF(H$12=0,0,H39/H$12)</f>
        <v>0</v>
      </c>
      <c r="K39" s="1"/>
      <c r="L39" s="1">
        <f t="shared" ref="L39:L55" si="32">+D39-H39</f>
        <v>0</v>
      </c>
      <c r="M39" s="1"/>
      <c r="N39" s="5">
        <f t="shared" ref="N39:N55" si="33">IF(H39=0,0,L39/H39)</f>
        <v>0</v>
      </c>
      <c r="O39" s="12"/>
      <c r="P39" s="1">
        <f>SUM(OSRRefP22_2x_0)</f>
        <v>83.83</v>
      </c>
      <c r="Q39" s="1"/>
      <c r="R39" s="5">
        <f t="shared" ref="R39:R55" si="34">IF(P$12=0,0,P39/P$12)</f>
        <v>8.5987424480208435E-2</v>
      </c>
      <c r="S39" s="1"/>
      <c r="T39" s="1">
        <f>SUM(OSRRefT22_2x_0)</f>
        <v>830.37</v>
      </c>
      <c r="U39" s="1"/>
      <c r="V39" s="5">
        <f t="shared" ref="V39:V55" si="35">IF(T$12=0,0,T39/T$12)</f>
        <v>1.4028149620891779E-3</v>
      </c>
      <c r="W39" s="1"/>
      <c r="X39" s="1">
        <f t="shared" ref="X39:X55" si="36">+P39-T39</f>
        <v>-746.54</v>
      </c>
      <c r="Y39" s="1"/>
      <c r="Z39" s="5">
        <f t="shared" ref="Z39:Z55" si="37">IF(T39=0,0,X39/T39)</f>
        <v>-0.89904500403434606</v>
      </c>
    </row>
    <row r="40" spans="1:26" s="23" customFormat="1" hidden="1" outlineLevel="2" x14ac:dyDescent="0.25">
      <c r="A40" s="25"/>
      <c r="B40" s="10" t="str">
        <f>CONCATENATE("          ", "6362", " - ", "ADVERTISING EXPENSE")</f>
        <v xml:space="preserve">          6362 - ADVERTISING EXPENSE</v>
      </c>
      <c r="C40" s="10"/>
      <c r="D40" s="6"/>
      <c r="E40" s="2"/>
      <c r="F40" s="7">
        <f t="shared" si="30"/>
        <v>0</v>
      </c>
      <c r="G40" s="2"/>
      <c r="H40" s="6"/>
      <c r="I40" s="2"/>
      <c r="J40" s="7">
        <f t="shared" si="31"/>
        <v>0</v>
      </c>
      <c r="K40" s="2"/>
      <c r="L40" s="6">
        <f t="shared" si="32"/>
        <v>0</v>
      </c>
      <c r="M40" s="2"/>
      <c r="N40" s="7">
        <f t="shared" si="33"/>
        <v>0</v>
      </c>
      <c r="O40" s="10"/>
      <c r="P40" s="6">
        <v>83.83</v>
      </c>
      <c r="Q40" s="2"/>
      <c r="R40" s="7">
        <f t="shared" si="34"/>
        <v>8.5987424480208435E-2</v>
      </c>
      <c r="S40" s="2"/>
      <c r="T40" s="6">
        <v>830.37</v>
      </c>
      <c r="U40" s="2"/>
      <c r="V40" s="7">
        <f t="shared" si="35"/>
        <v>1.4028149620891779E-3</v>
      </c>
      <c r="W40" s="2"/>
      <c r="X40" s="6">
        <f t="shared" si="36"/>
        <v>-746.54</v>
      </c>
      <c r="Y40" s="2"/>
      <c r="Z40" s="7">
        <f t="shared" si="37"/>
        <v>-0.89904500403434606</v>
      </c>
    </row>
    <row r="41" spans="1:26" s="27" customFormat="1" outlineLevel="1" collapsed="1" x14ac:dyDescent="0.25">
      <c r="A41" s="26"/>
      <c r="B41" s="12" t="str">
        <f>CONCATENATE("     ","Bad Debts/Over/Short                              ")</f>
        <v xml:space="preserve">     Bad Debts/Over/Short                              </v>
      </c>
      <c r="C41" s="12"/>
      <c r="D41" s="1">
        <f>SUM(OSRRefD22_3x_0)</f>
        <v>0</v>
      </c>
      <c r="E41" s="1"/>
      <c r="F41" s="5">
        <f t="shared" si="30"/>
        <v>0</v>
      </c>
      <c r="G41" s="1"/>
      <c r="H41" s="1">
        <f>SUM(OSRRefH22_3x_0)</f>
        <v>0</v>
      </c>
      <c r="I41" s="1"/>
      <c r="J41" s="5">
        <f t="shared" si="31"/>
        <v>0</v>
      </c>
      <c r="K41" s="1"/>
      <c r="L41" s="1">
        <f t="shared" si="32"/>
        <v>0</v>
      </c>
      <c r="M41" s="1"/>
      <c r="N41" s="5">
        <f t="shared" si="33"/>
        <v>0</v>
      </c>
      <c r="O41" s="12"/>
      <c r="P41" s="1">
        <f>SUM(OSRRefP22_3x_0)</f>
        <v>0</v>
      </c>
      <c r="Q41" s="1"/>
      <c r="R41" s="5">
        <f t="shared" si="34"/>
        <v>0</v>
      </c>
      <c r="S41" s="1"/>
      <c r="T41" s="1">
        <f>SUM(OSRRefT22_3x_0)</f>
        <v>125.23</v>
      </c>
      <c r="U41" s="1"/>
      <c r="V41" s="5">
        <f t="shared" si="35"/>
        <v>2.1156173477176167E-4</v>
      </c>
      <c r="W41" s="1"/>
      <c r="X41" s="1">
        <f t="shared" si="36"/>
        <v>-125.23</v>
      </c>
      <c r="Y41" s="1"/>
      <c r="Z41" s="5">
        <f t="shared" si="37"/>
        <v>-1</v>
      </c>
    </row>
    <row r="42" spans="1:26" s="23" customFormat="1" hidden="1" outlineLevel="2" x14ac:dyDescent="0.25">
      <c r="A42" s="25"/>
      <c r="B42" s="10" t="str">
        <f>CONCATENATE("          ", "6272", " - ", "CASH (OVER/SHORT)")</f>
        <v xml:space="preserve">          6272 - CASH (OVER/SHORT)</v>
      </c>
      <c r="C42" s="10"/>
      <c r="D42" s="6"/>
      <c r="E42" s="2"/>
      <c r="F42" s="7">
        <f t="shared" si="30"/>
        <v>0</v>
      </c>
      <c r="G42" s="2"/>
      <c r="H42" s="6"/>
      <c r="I42" s="2"/>
      <c r="J42" s="7">
        <f t="shared" si="31"/>
        <v>0</v>
      </c>
      <c r="K42" s="2"/>
      <c r="L42" s="6">
        <f t="shared" si="32"/>
        <v>0</v>
      </c>
      <c r="M42" s="2"/>
      <c r="N42" s="7">
        <f t="shared" si="33"/>
        <v>0</v>
      </c>
      <c r="O42" s="10"/>
      <c r="P42" s="6"/>
      <c r="Q42" s="2"/>
      <c r="R42" s="7">
        <f t="shared" si="34"/>
        <v>0</v>
      </c>
      <c r="S42" s="2"/>
      <c r="T42" s="6">
        <v>125.23</v>
      </c>
      <c r="U42" s="2"/>
      <c r="V42" s="7">
        <f t="shared" si="35"/>
        <v>2.1156173477176167E-4</v>
      </c>
      <c r="W42" s="2"/>
      <c r="X42" s="6">
        <f t="shared" si="36"/>
        <v>-125.23</v>
      </c>
      <c r="Y42" s="2"/>
      <c r="Z42" s="7">
        <f t="shared" si="37"/>
        <v>-1</v>
      </c>
    </row>
    <row r="43" spans="1:26" s="27" customFormat="1" outlineLevel="1" collapsed="1" x14ac:dyDescent="0.25">
      <c r="A43" s="26"/>
      <c r="B43" s="12" t="str">
        <f>CONCATENATE("     ","Bank/card Fees                                    ")</f>
        <v xml:space="preserve">     Bank/card Fees                                    </v>
      </c>
      <c r="C43" s="12"/>
      <c r="D43" s="1">
        <f>SUM(OSRRefD22_4x_0)</f>
        <v>0</v>
      </c>
      <c r="E43" s="1"/>
      <c r="F43" s="5">
        <f t="shared" si="30"/>
        <v>0</v>
      </c>
      <c r="G43" s="1"/>
      <c r="H43" s="1">
        <f>SUM(OSRRefH22_4x_0)</f>
        <v>0</v>
      </c>
      <c r="I43" s="1"/>
      <c r="J43" s="5">
        <f t="shared" si="31"/>
        <v>0</v>
      </c>
      <c r="K43" s="1"/>
      <c r="L43" s="1">
        <f t="shared" si="32"/>
        <v>0</v>
      </c>
      <c r="M43" s="1"/>
      <c r="N43" s="5">
        <f t="shared" si="33"/>
        <v>0</v>
      </c>
      <c r="O43" s="12"/>
      <c r="P43" s="1">
        <f>SUM(OSRRefP22_4x_0)</f>
        <v>0</v>
      </c>
      <c r="Q43" s="1"/>
      <c r="R43" s="5">
        <f t="shared" si="34"/>
        <v>0</v>
      </c>
      <c r="S43" s="1"/>
      <c r="T43" s="1">
        <f>SUM(OSRRefT22_4x_0)</f>
        <v>18857.060000000001</v>
      </c>
      <c r="U43" s="1"/>
      <c r="V43" s="5">
        <f t="shared" si="35"/>
        <v>3.1856842021042851E-2</v>
      </c>
      <c r="W43" s="1"/>
      <c r="X43" s="1">
        <f t="shared" si="36"/>
        <v>-18857.060000000001</v>
      </c>
      <c r="Y43" s="1"/>
      <c r="Z43" s="5">
        <f t="shared" si="37"/>
        <v>-1</v>
      </c>
    </row>
    <row r="44" spans="1:26" s="23" customFormat="1" hidden="1" outlineLevel="2" x14ac:dyDescent="0.25">
      <c r="A44" s="25"/>
      <c r="B44" s="10" t="str">
        <f>CONCATENATE("          ", "6381", " - ", "BANK/CREDIT CARD FEES")</f>
        <v xml:space="preserve">          6381 - BANK/CREDIT CARD FEES</v>
      </c>
      <c r="C44" s="10"/>
      <c r="D44" s="6"/>
      <c r="E44" s="2"/>
      <c r="F44" s="7">
        <f t="shared" si="30"/>
        <v>0</v>
      </c>
      <c r="G44" s="2"/>
      <c r="H44" s="6"/>
      <c r="I44" s="2"/>
      <c r="J44" s="7">
        <f t="shared" si="31"/>
        <v>0</v>
      </c>
      <c r="K44" s="2"/>
      <c r="L44" s="6">
        <f t="shared" si="32"/>
        <v>0</v>
      </c>
      <c r="M44" s="2"/>
      <c r="N44" s="7">
        <f t="shared" si="33"/>
        <v>0</v>
      </c>
      <c r="O44" s="10"/>
      <c r="P44" s="6"/>
      <c r="Q44" s="2"/>
      <c r="R44" s="7">
        <f t="shared" si="34"/>
        <v>0</v>
      </c>
      <c r="S44" s="2"/>
      <c r="T44" s="6">
        <v>18857.060000000001</v>
      </c>
      <c r="U44" s="2"/>
      <c r="V44" s="7">
        <f t="shared" si="35"/>
        <v>3.1856842021042851E-2</v>
      </c>
      <c r="W44" s="2"/>
      <c r="X44" s="6">
        <f t="shared" si="36"/>
        <v>-18857.060000000001</v>
      </c>
      <c r="Y44" s="2"/>
      <c r="Z44" s="7">
        <f t="shared" si="37"/>
        <v>-1</v>
      </c>
    </row>
    <row r="45" spans="1:26" s="27" customFormat="1" outlineLevel="1" collapsed="1" x14ac:dyDescent="0.25">
      <c r="A45" s="26"/>
      <c r="B45" s="12" t="str">
        <f>CONCATENATE("     ","Depreciation                                      ")</f>
        <v xml:space="preserve">     Depreciation                                      </v>
      </c>
      <c r="C45" s="12"/>
      <c r="D45" s="1">
        <f>SUM(OSRRefD22_5x_0)</f>
        <v>-1165.26</v>
      </c>
      <c r="E45" s="1"/>
      <c r="F45" s="5">
        <f t="shared" si="30"/>
        <v>0</v>
      </c>
      <c r="G45" s="1"/>
      <c r="H45" s="1">
        <f>SUM(OSRRefH22_5x_0)</f>
        <v>1972.02</v>
      </c>
      <c r="I45" s="1"/>
      <c r="J45" s="5">
        <f t="shared" si="31"/>
        <v>0</v>
      </c>
      <c r="K45" s="1"/>
      <c r="L45" s="1">
        <f t="shared" si="32"/>
        <v>-3137.2799999999997</v>
      </c>
      <c r="M45" s="1"/>
      <c r="N45" s="5">
        <f t="shared" si="33"/>
        <v>-1.590896644050263</v>
      </c>
      <c r="O45" s="12"/>
      <c r="P45" s="1">
        <f>SUM(OSRRefP22_5x_0)</f>
        <v>19059.36</v>
      </c>
      <c r="Q45" s="1"/>
      <c r="R45" s="5">
        <f t="shared" si="34"/>
        <v>19.549866141489986</v>
      </c>
      <c r="S45" s="1"/>
      <c r="T45" s="1">
        <f>SUM(OSRRefT22_5x_0)</f>
        <v>22529.94</v>
      </c>
      <c r="U45" s="1"/>
      <c r="V45" s="5">
        <f t="shared" si="35"/>
        <v>3.8061751902129709E-2</v>
      </c>
      <c r="W45" s="1"/>
      <c r="X45" s="1">
        <f t="shared" si="36"/>
        <v>-3470.5799999999981</v>
      </c>
      <c r="Y45" s="1"/>
      <c r="Z45" s="5">
        <f t="shared" si="37"/>
        <v>-0.15404302008793624</v>
      </c>
    </row>
    <row r="46" spans="1:26" s="23" customFormat="1" hidden="1" outlineLevel="2" x14ac:dyDescent="0.25">
      <c r="A46" s="25"/>
      <c r="B46" s="10" t="str">
        <f>CONCATENATE("          ", "6322", " - ", "EQUIPMENT DEPRECIATION EXPENSE")</f>
        <v xml:space="preserve">          6322 - EQUIPMENT DEPRECIATION EXPENSE</v>
      </c>
      <c r="C46" s="10"/>
      <c r="D46" s="6">
        <v>-1165.26</v>
      </c>
      <c r="E46" s="2"/>
      <c r="F46" s="7">
        <f t="shared" si="30"/>
        <v>0</v>
      </c>
      <c r="G46" s="2"/>
      <c r="H46" s="6">
        <v>1972.02</v>
      </c>
      <c r="I46" s="2"/>
      <c r="J46" s="7">
        <f t="shared" si="31"/>
        <v>0</v>
      </c>
      <c r="K46" s="2"/>
      <c r="L46" s="6">
        <f t="shared" si="32"/>
        <v>-3137.2799999999997</v>
      </c>
      <c r="M46" s="2"/>
      <c r="N46" s="7">
        <f t="shared" si="33"/>
        <v>-1.590896644050263</v>
      </c>
      <c r="O46" s="10"/>
      <c r="P46" s="6">
        <v>19059.36</v>
      </c>
      <c r="Q46" s="2"/>
      <c r="R46" s="7">
        <f t="shared" si="34"/>
        <v>19.549866141489986</v>
      </c>
      <c r="S46" s="2"/>
      <c r="T46" s="6">
        <v>22529.94</v>
      </c>
      <c r="U46" s="2"/>
      <c r="V46" s="7">
        <f t="shared" si="35"/>
        <v>3.8061751902129709E-2</v>
      </c>
      <c r="W46" s="2"/>
      <c r="X46" s="6">
        <f t="shared" si="36"/>
        <v>-3470.5799999999981</v>
      </c>
      <c r="Y46" s="2"/>
      <c r="Z46" s="7">
        <f t="shared" si="37"/>
        <v>-0.15404302008793624</v>
      </c>
    </row>
    <row r="47" spans="1:26" s="27" customFormat="1" outlineLevel="1" collapsed="1" x14ac:dyDescent="0.25">
      <c r="A47" s="26"/>
      <c r="B47" s="12" t="str">
        <f>CONCATENATE("     ","Employees' Appreciation                           ")</f>
        <v xml:space="preserve">     Employees' Appreciation                           </v>
      </c>
      <c r="C47" s="12"/>
      <c r="D47" s="1">
        <f>SUM(OSRRefD22_6x_0)</f>
        <v>0</v>
      </c>
      <c r="E47" s="1"/>
      <c r="F47" s="5">
        <f t="shared" si="30"/>
        <v>0</v>
      </c>
      <c r="G47" s="1"/>
      <c r="H47" s="1">
        <f>SUM(OSRRefH22_6x_0)</f>
        <v>0</v>
      </c>
      <c r="I47" s="1"/>
      <c r="J47" s="5">
        <f t="shared" si="31"/>
        <v>0</v>
      </c>
      <c r="K47" s="1"/>
      <c r="L47" s="1">
        <f t="shared" si="32"/>
        <v>0</v>
      </c>
      <c r="M47" s="1"/>
      <c r="N47" s="5">
        <f t="shared" si="33"/>
        <v>0</v>
      </c>
      <c r="O47" s="12"/>
      <c r="P47" s="1">
        <f>SUM(OSRRefP22_6x_0)</f>
        <v>0</v>
      </c>
      <c r="Q47" s="1"/>
      <c r="R47" s="5">
        <f t="shared" si="34"/>
        <v>0</v>
      </c>
      <c r="S47" s="1"/>
      <c r="T47" s="1">
        <f>SUM(OSRRefT22_6x_0)</f>
        <v>236.02</v>
      </c>
      <c r="U47" s="1"/>
      <c r="V47" s="5">
        <f t="shared" si="35"/>
        <v>3.9872874423725298E-4</v>
      </c>
      <c r="W47" s="1"/>
      <c r="X47" s="1">
        <f t="shared" si="36"/>
        <v>-236.02</v>
      </c>
      <c r="Y47" s="1"/>
      <c r="Z47" s="5">
        <f t="shared" si="37"/>
        <v>-1</v>
      </c>
    </row>
    <row r="48" spans="1:26" s="23" customFormat="1" hidden="1" outlineLevel="2" x14ac:dyDescent="0.25">
      <c r="A48" s="25"/>
      <c r="B48" s="10" t="str">
        <f>CONCATENATE("          ", "6277", " - ", "EMPLOYEE APPRECIATION")</f>
        <v xml:space="preserve">          6277 - EMPLOYEE APPRECIATION</v>
      </c>
      <c r="C48" s="10"/>
      <c r="D48" s="6"/>
      <c r="E48" s="2"/>
      <c r="F48" s="7">
        <f t="shared" si="30"/>
        <v>0</v>
      </c>
      <c r="G48" s="2"/>
      <c r="H48" s="6"/>
      <c r="I48" s="2"/>
      <c r="J48" s="7">
        <f t="shared" si="31"/>
        <v>0</v>
      </c>
      <c r="K48" s="2"/>
      <c r="L48" s="6">
        <f t="shared" si="32"/>
        <v>0</v>
      </c>
      <c r="M48" s="2"/>
      <c r="N48" s="7">
        <f t="shared" si="33"/>
        <v>0</v>
      </c>
      <c r="O48" s="10"/>
      <c r="P48" s="6"/>
      <c r="Q48" s="2"/>
      <c r="R48" s="7">
        <f t="shared" si="34"/>
        <v>0</v>
      </c>
      <c r="S48" s="2"/>
      <c r="T48" s="6">
        <v>236.02</v>
      </c>
      <c r="U48" s="2"/>
      <c r="V48" s="7">
        <f t="shared" si="35"/>
        <v>3.9872874423725298E-4</v>
      </c>
      <c r="W48" s="2"/>
      <c r="X48" s="6">
        <f t="shared" si="36"/>
        <v>-236.02</v>
      </c>
      <c r="Y48" s="2"/>
      <c r="Z48" s="7">
        <f t="shared" si="37"/>
        <v>-1</v>
      </c>
    </row>
    <row r="49" spans="1:26" s="27" customFormat="1" outlineLevel="1" collapsed="1" x14ac:dyDescent="0.25">
      <c r="A49" s="26"/>
      <c r="B49" s="12" t="str">
        <f>CONCATENATE("     ","Equipment Rental                                  ")</f>
        <v xml:space="preserve">     Equipment Rental                                  </v>
      </c>
      <c r="C49" s="12"/>
      <c r="D49" s="1">
        <f>SUM(OSRRefD22_7x_0)</f>
        <v>0</v>
      </c>
      <c r="E49" s="1"/>
      <c r="F49" s="5">
        <f t="shared" si="30"/>
        <v>0</v>
      </c>
      <c r="G49" s="1"/>
      <c r="H49" s="1">
        <f>SUM(OSRRefH22_7x_0)</f>
        <v>0</v>
      </c>
      <c r="I49" s="1"/>
      <c r="J49" s="5">
        <f t="shared" si="31"/>
        <v>0</v>
      </c>
      <c r="K49" s="1"/>
      <c r="L49" s="1">
        <f t="shared" si="32"/>
        <v>0</v>
      </c>
      <c r="M49" s="1"/>
      <c r="N49" s="5">
        <f t="shared" si="33"/>
        <v>0</v>
      </c>
      <c r="O49" s="12"/>
      <c r="P49" s="1">
        <f>SUM(OSRRefP22_7x_0)</f>
        <v>96.3</v>
      </c>
      <c r="Q49" s="1"/>
      <c r="R49" s="5">
        <f t="shared" si="34"/>
        <v>9.8778348770655749E-2</v>
      </c>
      <c r="S49" s="1"/>
      <c r="T49" s="1">
        <f>SUM(OSRRefT22_7x_0)</f>
        <v>1191.5999999999999</v>
      </c>
      <c r="U49" s="1"/>
      <c r="V49" s="5">
        <f t="shared" si="35"/>
        <v>2.0130716533900118E-3</v>
      </c>
      <c r="W49" s="1"/>
      <c r="X49" s="1">
        <f t="shared" si="36"/>
        <v>-1095.3</v>
      </c>
      <c r="Y49" s="1"/>
      <c r="Z49" s="5">
        <f t="shared" si="37"/>
        <v>-0.91918429003021151</v>
      </c>
    </row>
    <row r="50" spans="1:26" s="23" customFormat="1" hidden="1" outlineLevel="2" x14ac:dyDescent="0.25">
      <c r="A50" s="25"/>
      <c r="B50" s="10" t="str">
        <f>CONCATENATE("          ", "6351", " - ", "EQUIPMENT RENTAL")</f>
        <v xml:space="preserve">          6351 - EQUIPMENT RENTAL</v>
      </c>
      <c r="C50" s="10"/>
      <c r="D50" s="6"/>
      <c r="E50" s="2"/>
      <c r="F50" s="7">
        <f t="shared" si="30"/>
        <v>0</v>
      </c>
      <c r="G50" s="2"/>
      <c r="H50" s="6"/>
      <c r="I50" s="2"/>
      <c r="J50" s="7">
        <f t="shared" si="31"/>
        <v>0</v>
      </c>
      <c r="K50" s="2"/>
      <c r="L50" s="6">
        <f t="shared" si="32"/>
        <v>0</v>
      </c>
      <c r="M50" s="2"/>
      <c r="N50" s="7">
        <f t="shared" si="33"/>
        <v>0</v>
      </c>
      <c r="O50" s="10"/>
      <c r="P50" s="6">
        <v>96.3</v>
      </c>
      <c r="Q50" s="2"/>
      <c r="R50" s="7">
        <f t="shared" si="34"/>
        <v>9.8778348770655749E-2</v>
      </c>
      <c r="S50" s="2"/>
      <c r="T50" s="6">
        <v>1191.5999999999999</v>
      </c>
      <c r="U50" s="2"/>
      <c r="V50" s="7">
        <f t="shared" si="35"/>
        <v>2.0130716533900118E-3</v>
      </c>
      <c r="W50" s="2"/>
      <c r="X50" s="6">
        <f t="shared" si="36"/>
        <v>-1095.3</v>
      </c>
      <c r="Y50" s="2"/>
      <c r="Z50" s="7">
        <f t="shared" si="37"/>
        <v>-0.91918429003021151</v>
      </c>
    </row>
    <row r="51" spans="1:26" s="27" customFormat="1" outlineLevel="1" collapsed="1" x14ac:dyDescent="0.25">
      <c r="A51" s="26"/>
      <c r="B51" s="12" t="str">
        <f>CONCATENATE("     ","General                                           ")</f>
        <v xml:space="preserve">     General                                           </v>
      </c>
      <c r="C51" s="12"/>
      <c r="D51" s="1">
        <f>SUM(OSRRefD22_8x_0)</f>
        <v>0</v>
      </c>
      <c r="E51" s="1"/>
      <c r="F51" s="5">
        <f t="shared" si="30"/>
        <v>0</v>
      </c>
      <c r="G51" s="1"/>
      <c r="H51" s="1">
        <f>SUM(OSRRefH22_8x_0)</f>
        <v>0</v>
      </c>
      <c r="I51" s="1"/>
      <c r="J51" s="5">
        <f t="shared" si="31"/>
        <v>0</v>
      </c>
      <c r="K51" s="1"/>
      <c r="L51" s="1">
        <f t="shared" si="32"/>
        <v>0</v>
      </c>
      <c r="M51" s="1"/>
      <c r="N51" s="5">
        <f t="shared" si="33"/>
        <v>0</v>
      </c>
      <c r="O51" s="12"/>
      <c r="P51" s="1">
        <f>SUM(OSRRefP22_8x_0)</f>
        <v>7.28</v>
      </c>
      <c r="Q51" s="1"/>
      <c r="R51" s="5">
        <f t="shared" si="34"/>
        <v>7.467355961063073E-3</v>
      </c>
      <c r="S51" s="1"/>
      <c r="T51" s="1">
        <f>SUM(OSRRefT22_8x_0)</f>
        <v>9129.7800000000007</v>
      </c>
      <c r="U51" s="1"/>
      <c r="V51" s="5">
        <f t="shared" si="35"/>
        <v>1.5423717119576255E-2</v>
      </c>
      <c r="W51" s="1"/>
      <c r="X51" s="1">
        <f t="shared" si="36"/>
        <v>-9122.5</v>
      </c>
      <c r="Y51" s="1"/>
      <c r="Z51" s="5">
        <f t="shared" si="37"/>
        <v>-0.99920260948237516</v>
      </c>
    </row>
    <row r="52" spans="1:26" s="23" customFormat="1" hidden="1" outlineLevel="2" x14ac:dyDescent="0.25">
      <c r="A52" s="25"/>
      <c r="B52" s="10" t="str">
        <f>CONCATENATE("          ", "6279", " - ", "GENERAL EXPENSE")</f>
        <v xml:space="preserve">          6279 - GENERAL EXPENSE</v>
      </c>
      <c r="C52" s="10"/>
      <c r="D52" s="6"/>
      <c r="E52" s="2"/>
      <c r="F52" s="7">
        <f t="shared" si="30"/>
        <v>0</v>
      </c>
      <c r="G52" s="2"/>
      <c r="H52" s="6"/>
      <c r="I52" s="2"/>
      <c r="J52" s="7">
        <f t="shared" si="31"/>
        <v>0</v>
      </c>
      <c r="K52" s="2"/>
      <c r="L52" s="6">
        <f t="shared" si="32"/>
        <v>0</v>
      </c>
      <c r="M52" s="2"/>
      <c r="N52" s="7">
        <f t="shared" si="33"/>
        <v>0</v>
      </c>
      <c r="O52" s="10"/>
      <c r="P52" s="6">
        <v>7.28</v>
      </c>
      <c r="Q52" s="2"/>
      <c r="R52" s="7">
        <f t="shared" si="34"/>
        <v>7.467355961063073E-3</v>
      </c>
      <c r="S52" s="2"/>
      <c r="T52" s="6">
        <v>9129.7800000000007</v>
      </c>
      <c r="U52" s="2"/>
      <c r="V52" s="7">
        <f t="shared" si="35"/>
        <v>1.5423717119576255E-2</v>
      </c>
      <c r="W52" s="2"/>
      <c r="X52" s="6">
        <f t="shared" si="36"/>
        <v>-9122.5</v>
      </c>
      <c r="Y52" s="2"/>
      <c r="Z52" s="7">
        <f t="shared" si="37"/>
        <v>-0.99920260948237516</v>
      </c>
    </row>
    <row r="53" spans="1:26" s="27" customFormat="1" outlineLevel="1" collapsed="1" x14ac:dyDescent="0.25">
      <c r="A53" s="26"/>
      <c r="B53" s="12" t="str">
        <f>CONCATENATE("     ","Repair and Maintenance                            ")</f>
        <v xml:space="preserve">     Repair and Maintenance                            </v>
      </c>
      <c r="C53" s="12"/>
      <c r="D53" s="1">
        <f>SUM(OSRRefD22_9x_0)</f>
        <v>129.16999999999999</v>
      </c>
      <c r="E53" s="1"/>
      <c r="F53" s="5">
        <f t="shared" si="30"/>
        <v>0</v>
      </c>
      <c r="G53" s="1"/>
      <c r="H53" s="1">
        <f>SUM(OSRRefH22_9x_0)</f>
        <v>129.58000000000001</v>
      </c>
      <c r="I53" s="1"/>
      <c r="J53" s="5">
        <f t="shared" si="31"/>
        <v>0</v>
      </c>
      <c r="K53" s="1"/>
      <c r="L53" s="1">
        <f t="shared" si="32"/>
        <v>-0.41000000000002501</v>
      </c>
      <c r="M53" s="1"/>
      <c r="N53" s="5">
        <f t="shared" si="33"/>
        <v>-3.1640685290941885E-3</v>
      </c>
      <c r="O53" s="12"/>
      <c r="P53" s="1">
        <f>SUM(OSRRefP22_9x_0)</f>
        <v>757.21</v>
      </c>
      <c r="Q53" s="1"/>
      <c r="R53" s="5">
        <f t="shared" si="34"/>
        <v>0.77669733616436398</v>
      </c>
      <c r="S53" s="1"/>
      <c r="T53" s="1">
        <f>SUM(OSRRefT22_9x_0)</f>
        <v>7706.76</v>
      </c>
      <c r="U53" s="1"/>
      <c r="V53" s="5">
        <f t="shared" si="35"/>
        <v>1.3019687894830488E-2</v>
      </c>
      <c r="W53" s="1"/>
      <c r="X53" s="1">
        <f t="shared" si="36"/>
        <v>-6949.55</v>
      </c>
      <c r="Y53" s="1"/>
      <c r="Z53" s="5">
        <f t="shared" si="37"/>
        <v>-0.9017472971780619</v>
      </c>
    </row>
    <row r="54" spans="1:26" s="23" customFormat="1" hidden="1" outlineLevel="2" x14ac:dyDescent="0.25">
      <c r="A54" s="25"/>
      <c r="B54" s="10" t="str">
        <f>CONCATENATE("          ", "6373", " - ", "MAINTENANCE CONTRACTS")</f>
        <v xml:space="preserve">          6373 - MAINTENANCE CONTRACTS</v>
      </c>
      <c r="C54" s="10"/>
      <c r="D54" s="6">
        <v>129.16999999999999</v>
      </c>
      <c r="E54" s="2"/>
      <c r="F54" s="7">
        <f t="shared" si="30"/>
        <v>0</v>
      </c>
      <c r="G54" s="2"/>
      <c r="H54" s="6">
        <v>129.58000000000001</v>
      </c>
      <c r="I54" s="2"/>
      <c r="J54" s="7">
        <f t="shared" si="31"/>
        <v>0</v>
      </c>
      <c r="K54" s="2"/>
      <c r="L54" s="6">
        <f t="shared" si="32"/>
        <v>-0.41000000000002501</v>
      </c>
      <c r="M54" s="2"/>
      <c r="N54" s="7">
        <f t="shared" si="33"/>
        <v>-3.1640685290941885E-3</v>
      </c>
      <c r="O54" s="10"/>
      <c r="P54" s="6">
        <v>557.21</v>
      </c>
      <c r="Q54" s="2"/>
      <c r="R54" s="7">
        <f t="shared" si="34"/>
        <v>0.5715501943769169</v>
      </c>
      <c r="S54" s="2"/>
      <c r="T54" s="6">
        <v>499.55</v>
      </c>
      <c r="U54" s="2"/>
      <c r="V54" s="7">
        <f t="shared" si="35"/>
        <v>8.439324810766872E-4</v>
      </c>
      <c r="W54" s="2"/>
      <c r="X54" s="6">
        <f t="shared" si="36"/>
        <v>57.660000000000025</v>
      </c>
      <c r="Y54" s="2"/>
      <c r="Z54" s="7">
        <f t="shared" si="37"/>
        <v>0.11542388149334405</v>
      </c>
    </row>
    <row r="55" spans="1:26" s="23" customFormat="1" hidden="1" outlineLevel="2" x14ac:dyDescent="0.25">
      <c r="A55" s="25"/>
      <c r="B55" s="10" t="str">
        <f>CONCATENATE("          ", "6375", " - ", "OUTSIDE REPAIRS &amp; MAINTENANCE")</f>
        <v xml:space="preserve">          6375 - OUTSIDE REPAIRS &amp; MAINTENANCE</v>
      </c>
      <c r="C55" s="10"/>
      <c r="D55" s="6"/>
      <c r="E55" s="2"/>
      <c r="F55" s="7">
        <f t="shared" si="30"/>
        <v>0</v>
      </c>
      <c r="G55" s="2"/>
      <c r="H55" s="6"/>
      <c r="I55" s="2"/>
      <c r="J55" s="7">
        <f t="shared" si="31"/>
        <v>0</v>
      </c>
      <c r="K55" s="2"/>
      <c r="L55" s="6">
        <f t="shared" si="32"/>
        <v>0</v>
      </c>
      <c r="M55" s="2"/>
      <c r="N55" s="7">
        <f t="shared" si="33"/>
        <v>0</v>
      </c>
      <c r="O55" s="10"/>
      <c r="P55" s="6">
        <v>200</v>
      </c>
      <c r="Q55" s="2"/>
      <c r="R55" s="7">
        <f t="shared" si="34"/>
        <v>0.20514714178744706</v>
      </c>
      <c r="S55" s="2"/>
      <c r="T55" s="6">
        <v>7207.21</v>
      </c>
      <c r="U55" s="2"/>
      <c r="V55" s="7">
        <f t="shared" si="35"/>
        <v>1.21757554137538E-2</v>
      </c>
      <c r="W55" s="2"/>
      <c r="X55" s="6">
        <f t="shared" si="36"/>
        <v>-7007.21</v>
      </c>
      <c r="Y55" s="2"/>
      <c r="Z55" s="7">
        <f t="shared" si="37"/>
        <v>-0.97225001075312079</v>
      </c>
    </row>
    <row r="56" spans="1:26" s="27" customFormat="1" outlineLevel="1" collapsed="1" x14ac:dyDescent="0.25">
      <c r="A56" s="26"/>
      <c r="B56" s="12" t="str">
        <f>CONCATENATE("     ","Royalty &amp; Commissions                             ")</f>
        <v xml:space="preserve">     Royalty &amp; Commissions                             </v>
      </c>
      <c r="C56" s="12"/>
      <c r="D56" s="1">
        <f>SUM(OSRRefD22_10x_0)</f>
        <v>0</v>
      </c>
      <c r="E56" s="1"/>
      <c r="F56" s="5">
        <f t="shared" ref="F56:F69" si="38">IF(D$12=0,0,D56/D$12)</f>
        <v>0</v>
      </c>
      <c r="G56" s="1"/>
      <c r="H56" s="1">
        <f>SUM(OSRRefH22_10x_0)</f>
        <v>0</v>
      </c>
      <c r="I56" s="1"/>
      <c r="J56" s="5">
        <f t="shared" ref="J56:J69" si="39">IF(H$12=0,0,H56/H$12)</f>
        <v>0</v>
      </c>
      <c r="K56" s="1"/>
      <c r="L56" s="1">
        <f t="shared" ref="L56:L69" si="40">+D56-H56</f>
        <v>0</v>
      </c>
      <c r="M56" s="1"/>
      <c r="N56" s="5">
        <f t="shared" ref="N56:N69" si="41">IF(H56=0,0,L56/H56)</f>
        <v>0</v>
      </c>
      <c r="O56" s="12"/>
      <c r="P56" s="1">
        <f>SUM(OSRRefP22_10x_0)</f>
        <v>0</v>
      </c>
      <c r="Q56" s="1"/>
      <c r="R56" s="5">
        <f t="shared" ref="R56:R69" si="42">IF(P$12=0,0,P56/P$12)</f>
        <v>0</v>
      </c>
      <c r="S56" s="1"/>
      <c r="T56" s="1">
        <f>SUM(OSRRefT22_10x_0)</f>
        <v>44134.64</v>
      </c>
      <c r="U56" s="1"/>
      <c r="V56" s="5">
        <f t="shared" ref="V56:V69" si="43">IF(T$12=0,0,T56/T$12)</f>
        <v>7.4560416848416383E-2</v>
      </c>
      <c r="W56" s="1"/>
      <c r="X56" s="1">
        <f t="shared" ref="X56:X69" si="44">+P56-T56</f>
        <v>-44134.64</v>
      </c>
      <c r="Y56" s="1"/>
      <c r="Z56" s="5">
        <f t="shared" ref="Z56:Z69" si="45">IF(T56=0,0,X56/T56)</f>
        <v>-1</v>
      </c>
    </row>
    <row r="57" spans="1:26" s="23" customFormat="1" hidden="1" outlineLevel="2" x14ac:dyDescent="0.25">
      <c r="A57" s="25"/>
      <c r="B57" s="10" t="str">
        <f>CONCATENATE("          ", "6259", " - ", "ROYALTY &amp; COMMISSIONS")</f>
        <v xml:space="preserve">          6259 - ROYALTY &amp; COMMISSIONS</v>
      </c>
      <c r="C57" s="10"/>
      <c r="D57" s="6"/>
      <c r="E57" s="2"/>
      <c r="F57" s="7">
        <f t="shared" si="38"/>
        <v>0</v>
      </c>
      <c r="G57" s="2"/>
      <c r="H57" s="6"/>
      <c r="I57" s="2"/>
      <c r="J57" s="7">
        <f t="shared" si="39"/>
        <v>0</v>
      </c>
      <c r="K57" s="2"/>
      <c r="L57" s="6">
        <f t="shared" si="40"/>
        <v>0</v>
      </c>
      <c r="M57" s="2"/>
      <c r="N57" s="7">
        <f t="shared" si="41"/>
        <v>0</v>
      </c>
      <c r="O57" s="10"/>
      <c r="P57" s="6"/>
      <c r="Q57" s="2"/>
      <c r="R57" s="7">
        <f t="shared" si="42"/>
        <v>0</v>
      </c>
      <c r="S57" s="2"/>
      <c r="T57" s="6">
        <v>44134.64</v>
      </c>
      <c r="U57" s="2"/>
      <c r="V57" s="7">
        <f t="shared" si="43"/>
        <v>7.4560416848416383E-2</v>
      </c>
      <c r="W57" s="2"/>
      <c r="X57" s="6">
        <f t="shared" si="44"/>
        <v>-44134.64</v>
      </c>
      <c r="Y57" s="2"/>
      <c r="Z57" s="7">
        <f t="shared" si="45"/>
        <v>-1</v>
      </c>
    </row>
    <row r="58" spans="1:26" s="27" customFormat="1" outlineLevel="1" collapsed="1" x14ac:dyDescent="0.25">
      <c r="A58" s="26"/>
      <c r="B58" s="12" t="str">
        <f>CONCATENATE("     ","Services                                          ")</f>
        <v xml:space="preserve">     Services                                          </v>
      </c>
      <c r="C58" s="12"/>
      <c r="D58" s="1">
        <f>SUM(OSRRefD22_11x_0)</f>
        <v>0</v>
      </c>
      <c r="E58" s="1"/>
      <c r="F58" s="5">
        <f t="shared" si="38"/>
        <v>0</v>
      </c>
      <c r="G58" s="1"/>
      <c r="H58" s="1">
        <f>SUM(OSRRefH22_11x_0)</f>
        <v>0</v>
      </c>
      <c r="I58" s="1"/>
      <c r="J58" s="5">
        <f t="shared" si="39"/>
        <v>0</v>
      </c>
      <c r="K58" s="1"/>
      <c r="L58" s="1">
        <f t="shared" si="40"/>
        <v>0</v>
      </c>
      <c r="M58" s="1"/>
      <c r="N58" s="5">
        <f t="shared" si="41"/>
        <v>0</v>
      </c>
      <c r="O58" s="12"/>
      <c r="P58" s="1">
        <f>SUM(OSRRefP22_11x_0)</f>
        <v>0</v>
      </c>
      <c r="Q58" s="1"/>
      <c r="R58" s="5">
        <f t="shared" si="42"/>
        <v>0</v>
      </c>
      <c r="S58" s="1"/>
      <c r="T58" s="1">
        <f>SUM(OSRRefT22_11x_0)</f>
        <v>508.6</v>
      </c>
      <c r="U58" s="1"/>
      <c r="V58" s="5">
        <f t="shared" si="43"/>
        <v>8.5922141902833175E-4</v>
      </c>
      <c r="W58" s="1"/>
      <c r="X58" s="1">
        <f t="shared" si="44"/>
        <v>-508.6</v>
      </c>
      <c r="Y58" s="1"/>
      <c r="Z58" s="5">
        <f t="shared" si="45"/>
        <v>-1</v>
      </c>
    </row>
    <row r="59" spans="1:26" s="23" customFormat="1" hidden="1" outlineLevel="2" x14ac:dyDescent="0.25">
      <c r="A59" s="25"/>
      <c r="B59" s="10" t="str">
        <f>CONCATENATE("          ", "6286", " - ", "LAUNDRY EXPENSE")</f>
        <v xml:space="preserve">          6286 - LAUNDRY EXPENSE</v>
      </c>
      <c r="C59" s="10"/>
      <c r="D59" s="6"/>
      <c r="E59" s="2"/>
      <c r="F59" s="7">
        <f t="shared" si="38"/>
        <v>0</v>
      </c>
      <c r="G59" s="2"/>
      <c r="H59" s="6"/>
      <c r="I59" s="2"/>
      <c r="J59" s="7">
        <f t="shared" si="39"/>
        <v>0</v>
      </c>
      <c r="K59" s="2"/>
      <c r="L59" s="6">
        <f t="shared" si="40"/>
        <v>0</v>
      </c>
      <c r="M59" s="2"/>
      <c r="N59" s="7">
        <f t="shared" si="41"/>
        <v>0</v>
      </c>
      <c r="O59" s="10"/>
      <c r="P59" s="6"/>
      <c r="Q59" s="2"/>
      <c r="R59" s="7">
        <f t="shared" si="42"/>
        <v>0</v>
      </c>
      <c r="S59" s="2"/>
      <c r="T59" s="6">
        <v>508.6</v>
      </c>
      <c r="U59" s="2"/>
      <c r="V59" s="7">
        <f t="shared" si="43"/>
        <v>8.5922141902833175E-4</v>
      </c>
      <c r="W59" s="2"/>
      <c r="X59" s="6">
        <f t="shared" si="44"/>
        <v>-508.6</v>
      </c>
      <c r="Y59" s="2"/>
      <c r="Z59" s="7">
        <f t="shared" si="45"/>
        <v>-1</v>
      </c>
    </row>
    <row r="60" spans="1:26" s="27" customFormat="1" outlineLevel="1" collapsed="1" x14ac:dyDescent="0.25">
      <c r="A60" s="26"/>
      <c r="B60" s="12" t="str">
        <f>CONCATENATE("     ","Subscriptions &amp; Dues                              ")</f>
        <v xml:space="preserve">     Subscriptions &amp; Dues                              </v>
      </c>
      <c r="C60" s="12"/>
      <c r="D60" s="1">
        <f>SUM(OSRRefD22_12x_0)</f>
        <v>0</v>
      </c>
      <c r="E60" s="1"/>
      <c r="F60" s="5">
        <f t="shared" si="38"/>
        <v>0</v>
      </c>
      <c r="G60" s="1"/>
      <c r="H60" s="1">
        <f>SUM(OSRRefH22_12x_0)</f>
        <v>0</v>
      </c>
      <c r="I60" s="1"/>
      <c r="J60" s="5">
        <f t="shared" si="39"/>
        <v>0</v>
      </c>
      <c r="K60" s="1"/>
      <c r="L60" s="1">
        <f t="shared" si="40"/>
        <v>0</v>
      </c>
      <c r="M60" s="1"/>
      <c r="N60" s="5">
        <f t="shared" si="41"/>
        <v>0</v>
      </c>
      <c r="O60" s="12"/>
      <c r="P60" s="1">
        <f>SUM(OSRRefP22_12x_0)</f>
        <v>0</v>
      </c>
      <c r="Q60" s="1"/>
      <c r="R60" s="5">
        <f t="shared" si="42"/>
        <v>0</v>
      </c>
      <c r="S60" s="1"/>
      <c r="T60" s="1">
        <f>SUM(OSRRefT22_12x_0)</f>
        <v>122.72</v>
      </c>
      <c r="U60" s="1"/>
      <c r="V60" s="5">
        <f t="shared" si="43"/>
        <v>2.0732137739511771E-4</v>
      </c>
      <c r="W60" s="1"/>
      <c r="X60" s="1">
        <f t="shared" si="44"/>
        <v>-122.72</v>
      </c>
      <c r="Y60" s="1"/>
      <c r="Z60" s="5">
        <f t="shared" si="45"/>
        <v>-1</v>
      </c>
    </row>
    <row r="61" spans="1:26" s="23" customFormat="1" hidden="1" outlineLevel="2" x14ac:dyDescent="0.25">
      <c r="A61" s="25"/>
      <c r="B61" s="10" t="str">
        <f>CONCATENATE("          ", "6275", " - ", "SUBSCRIPTIONS")</f>
        <v xml:space="preserve">          6275 - SUBSCRIPTIONS</v>
      </c>
      <c r="C61" s="10"/>
      <c r="D61" s="6"/>
      <c r="E61" s="2"/>
      <c r="F61" s="7">
        <f t="shared" si="38"/>
        <v>0</v>
      </c>
      <c r="G61" s="2"/>
      <c r="H61" s="6"/>
      <c r="I61" s="2"/>
      <c r="J61" s="7">
        <f t="shared" si="39"/>
        <v>0</v>
      </c>
      <c r="K61" s="2"/>
      <c r="L61" s="6">
        <f t="shared" si="40"/>
        <v>0</v>
      </c>
      <c r="M61" s="2"/>
      <c r="N61" s="7">
        <f t="shared" si="41"/>
        <v>0</v>
      </c>
      <c r="O61" s="10"/>
      <c r="P61" s="6"/>
      <c r="Q61" s="2"/>
      <c r="R61" s="7">
        <f t="shared" si="42"/>
        <v>0</v>
      </c>
      <c r="S61" s="2"/>
      <c r="T61" s="6">
        <v>122.72</v>
      </c>
      <c r="U61" s="2"/>
      <c r="V61" s="7">
        <f t="shared" si="43"/>
        <v>2.0732137739511771E-4</v>
      </c>
      <c r="W61" s="2"/>
      <c r="X61" s="6">
        <f t="shared" si="44"/>
        <v>-122.72</v>
      </c>
      <c r="Y61" s="2"/>
      <c r="Z61" s="7">
        <f t="shared" si="45"/>
        <v>-1</v>
      </c>
    </row>
    <row r="62" spans="1:26" s="27" customFormat="1" outlineLevel="1" collapsed="1" x14ac:dyDescent="0.25">
      <c r="A62" s="26"/>
      <c r="B62" s="12" t="str">
        <f>CONCATENATE("     ","Supplies                                          ")</f>
        <v xml:space="preserve">     Supplies                                          </v>
      </c>
      <c r="C62" s="12"/>
      <c r="D62" s="1">
        <f>SUM(OSRRefD22_13x_0)</f>
        <v>0</v>
      </c>
      <c r="E62" s="1"/>
      <c r="F62" s="5">
        <f t="shared" si="38"/>
        <v>0</v>
      </c>
      <c r="G62" s="1"/>
      <c r="H62" s="1">
        <f>SUM(OSRRefH22_13x_0)</f>
        <v>0</v>
      </c>
      <c r="I62" s="1"/>
      <c r="J62" s="5">
        <f t="shared" si="39"/>
        <v>0</v>
      </c>
      <c r="K62" s="1"/>
      <c r="L62" s="1">
        <f t="shared" si="40"/>
        <v>0</v>
      </c>
      <c r="M62" s="1"/>
      <c r="N62" s="5">
        <f t="shared" si="41"/>
        <v>0</v>
      </c>
      <c r="O62" s="12"/>
      <c r="P62" s="1">
        <f>SUM(OSRRefP22_13x_0)</f>
        <v>0</v>
      </c>
      <c r="Q62" s="1"/>
      <c r="R62" s="5">
        <f t="shared" si="42"/>
        <v>0</v>
      </c>
      <c r="S62" s="1"/>
      <c r="T62" s="1">
        <f>SUM(OSRRefT22_13x_0)</f>
        <v>11646.3</v>
      </c>
      <c r="U62" s="1"/>
      <c r="V62" s="5">
        <f t="shared" si="43"/>
        <v>1.9675089289087021E-2</v>
      </c>
      <c r="W62" s="1"/>
      <c r="X62" s="1">
        <f t="shared" si="44"/>
        <v>-11646.3</v>
      </c>
      <c r="Y62" s="1"/>
      <c r="Z62" s="5">
        <f t="shared" si="45"/>
        <v>-1</v>
      </c>
    </row>
    <row r="63" spans="1:26" s="23" customFormat="1" hidden="1" outlineLevel="2" x14ac:dyDescent="0.25">
      <c r="A63" s="25"/>
      <c r="B63" s="10" t="str">
        <f>CONCATENATE("          ", "6237", " - ", "JANITORIAL SUPPLIES")</f>
        <v xml:space="preserve">          6237 - JANITORIAL SUPPLIES</v>
      </c>
      <c r="C63" s="10"/>
      <c r="D63" s="6"/>
      <c r="E63" s="2"/>
      <c r="F63" s="7">
        <f t="shared" si="38"/>
        <v>0</v>
      </c>
      <c r="G63" s="2"/>
      <c r="H63" s="6"/>
      <c r="I63" s="2"/>
      <c r="J63" s="7">
        <f t="shared" si="39"/>
        <v>0</v>
      </c>
      <c r="K63" s="2"/>
      <c r="L63" s="6">
        <f t="shared" si="40"/>
        <v>0</v>
      </c>
      <c r="M63" s="2"/>
      <c r="N63" s="7">
        <f t="shared" si="41"/>
        <v>0</v>
      </c>
      <c r="O63" s="10"/>
      <c r="P63" s="6"/>
      <c r="Q63" s="2"/>
      <c r="R63" s="7">
        <f t="shared" si="42"/>
        <v>0</v>
      </c>
      <c r="S63" s="2"/>
      <c r="T63" s="6">
        <v>315.58999999999997</v>
      </c>
      <c r="U63" s="2"/>
      <c r="V63" s="7">
        <f t="shared" si="43"/>
        <v>5.3315314123309322E-4</v>
      </c>
      <c r="W63" s="2"/>
      <c r="X63" s="6">
        <f t="shared" si="44"/>
        <v>-315.58999999999997</v>
      </c>
      <c r="Y63" s="2"/>
      <c r="Z63" s="7">
        <f t="shared" si="45"/>
        <v>-1</v>
      </c>
    </row>
    <row r="64" spans="1:26" s="23" customFormat="1" hidden="1" outlineLevel="2" x14ac:dyDescent="0.25">
      <c r="A64" s="25"/>
      <c r="B64" s="10" t="str">
        <f>CONCATENATE("          ", "6239", " - ", "KITCHEN SUPPLIES")</f>
        <v xml:space="preserve">          6239 - KITCHEN SUPPLIES</v>
      </c>
      <c r="C64" s="10"/>
      <c r="D64" s="6"/>
      <c r="E64" s="2"/>
      <c r="F64" s="7">
        <f t="shared" si="38"/>
        <v>0</v>
      </c>
      <c r="G64" s="2"/>
      <c r="H64" s="6"/>
      <c r="I64" s="2"/>
      <c r="J64" s="7">
        <f t="shared" si="39"/>
        <v>0</v>
      </c>
      <c r="K64" s="2"/>
      <c r="L64" s="6">
        <f t="shared" si="40"/>
        <v>0</v>
      </c>
      <c r="M64" s="2"/>
      <c r="N64" s="7">
        <f t="shared" si="41"/>
        <v>0</v>
      </c>
      <c r="O64" s="10"/>
      <c r="P64" s="6"/>
      <c r="Q64" s="2"/>
      <c r="R64" s="7">
        <f t="shared" si="42"/>
        <v>0</v>
      </c>
      <c r="S64" s="2"/>
      <c r="T64" s="6">
        <v>2024.76</v>
      </c>
      <c r="U64" s="2"/>
      <c r="V64" s="7">
        <f t="shared" si="43"/>
        <v>3.4206000007703597E-3</v>
      </c>
      <c r="W64" s="2"/>
      <c r="X64" s="6">
        <f t="shared" si="44"/>
        <v>-2024.76</v>
      </c>
      <c r="Y64" s="2"/>
      <c r="Z64" s="7">
        <f t="shared" si="45"/>
        <v>-1</v>
      </c>
    </row>
    <row r="65" spans="1:26" s="23" customFormat="1" hidden="1" outlineLevel="2" x14ac:dyDescent="0.25">
      <c r="A65" s="25"/>
      <c r="B65" s="10" t="str">
        <f>CONCATENATE("          ", "6241", " - ", "OFFICE EXPENSE")</f>
        <v xml:space="preserve">          6241 - OFFICE EXPENSE</v>
      </c>
      <c r="C65" s="10"/>
      <c r="D65" s="6"/>
      <c r="E65" s="2"/>
      <c r="F65" s="7">
        <f t="shared" si="38"/>
        <v>0</v>
      </c>
      <c r="G65" s="2"/>
      <c r="H65" s="6"/>
      <c r="I65" s="2"/>
      <c r="J65" s="7">
        <f t="shared" si="39"/>
        <v>0</v>
      </c>
      <c r="K65" s="2"/>
      <c r="L65" s="6">
        <f t="shared" si="40"/>
        <v>0</v>
      </c>
      <c r="M65" s="2"/>
      <c r="N65" s="7">
        <f t="shared" si="41"/>
        <v>0</v>
      </c>
      <c r="O65" s="10"/>
      <c r="P65" s="6"/>
      <c r="Q65" s="2"/>
      <c r="R65" s="7">
        <f t="shared" si="42"/>
        <v>0</v>
      </c>
      <c r="S65" s="2"/>
      <c r="T65" s="6">
        <v>1499.6</v>
      </c>
      <c r="U65" s="2"/>
      <c r="V65" s="7">
        <f t="shared" si="43"/>
        <v>2.5334023593686318E-3</v>
      </c>
      <c r="W65" s="2"/>
      <c r="X65" s="6">
        <f t="shared" si="44"/>
        <v>-1499.6</v>
      </c>
      <c r="Y65" s="2"/>
      <c r="Z65" s="7">
        <f t="shared" si="45"/>
        <v>-1</v>
      </c>
    </row>
    <row r="66" spans="1:26" s="23" customFormat="1" hidden="1" outlineLevel="2" x14ac:dyDescent="0.25">
      <c r="A66" s="25"/>
      <c r="B66" s="10" t="str">
        <f>CONCATENATE("          ", "6243", " - ", "PAPER SUPPLIES")</f>
        <v xml:space="preserve">          6243 - PAPER SUPPLIES</v>
      </c>
      <c r="C66" s="10"/>
      <c r="D66" s="6"/>
      <c r="E66" s="2"/>
      <c r="F66" s="7">
        <f t="shared" si="38"/>
        <v>0</v>
      </c>
      <c r="G66" s="2"/>
      <c r="H66" s="6"/>
      <c r="I66" s="2"/>
      <c r="J66" s="7">
        <f t="shared" si="39"/>
        <v>0</v>
      </c>
      <c r="K66" s="2"/>
      <c r="L66" s="6">
        <f t="shared" si="40"/>
        <v>0</v>
      </c>
      <c r="M66" s="2"/>
      <c r="N66" s="7">
        <f t="shared" si="41"/>
        <v>0</v>
      </c>
      <c r="O66" s="10"/>
      <c r="P66" s="6"/>
      <c r="Q66" s="2"/>
      <c r="R66" s="7">
        <f t="shared" si="42"/>
        <v>0</v>
      </c>
      <c r="S66" s="2"/>
      <c r="T66" s="6">
        <v>3812.89</v>
      </c>
      <c r="U66" s="2"/>
      <c r="V66" s="7">
        <f t="shared" si="43"/>
        <v>6.4414407322039629E-3</v>
      </c>
      <c r="W66" s="2"/>
      <c r="X66" s="6">
        <f t="shared" si="44"/>
        <v>-3812.89</v>
      </c>
      <c r="Y66" s="2"/>
      <c r="Z66" s="7">
        <f t="shared" si="45"/>
        <v>-1</v>
      </c>
    </row>
    <row r="67" spans="1:26" s="23" customFormat="1" hidden="1" outlineLevel="2" x14ac:dyDescent="0.25">
      <c r="A67" s="25"/>
      <c r="B67" s="10" t="str">
        <f>CONCATENATE("          ", "6245", " - ", "PRINTING")</f>
        <v xml:space="preserve">          6245 - PRINTING</v>
      </c>
      <c r="C67" s="10"/>
      <c r="D67" s="6"/>
      <c r="E67" s="2"/>
      <c r="F67" s="7">
        <f t="shared" si="38"/>
        <v>0</v>
      </c>
      <c r="G67" s="2"/>
      <c r="H67" s="6"/>
      <c r="I67" s="2"/>
      <c r="J67" s="7">
        <f t="shared" si="39"/>
        <v>0</v>
      </c>
      <c r="K67" s="2"/>
      <c r="L67" s="6">
        <f t="shared" si="40"/>
        <v>0</v>
      </c>
      <c r="M67" s="2"/>
      <c r="N67" s="7">
        <f t="shared" si="41"/>
        <v>0</v>
      </c>
      <c r="O67" s="10"/>
      <c r="P67" s="6"/>
      <c r="Q67" s="2"/>
      <c r="R67" s="7">
        <f t="shared" si="42"/>
        <v>0</v>
      </c>
      <c r="S67" s="2"/>
      <c r="T67" s="6">
        <v>181.92</v>
      </c>
      <c r="U67" s="2"/>
      <c r="V67" s="7">
        <f t="shared" si="43"/>
        <v>3.0733299360919016E-4</v>
      </c>
      <c r="W67" s="2"/>
      <c r="X67" s="6">
        <f t="shared" si="44"/>
        <v>-181.92</v>
      </c>
      <c r="Y67" s="2"/>
      <c r="Z67" s="7">
        <f t="shared" si="45"/>
        <v>-1</v>
      </c>
    </row>
    <row r="68" spans="1:26" s="23" customFormat="1" hidden="1" outlineLevel="2" x14ac:dyDescent="0.25">
      <c r="A68" s="25"/>
      <c r="B68" s="10" t="str">
        <f>CONCATENATE("          ", "6247", " - ", "STORE SUPPLIES")</f>
        <v xml:space="preserve">          6247 - STORE SUPPLIES</v>
      </c>
      <c r="C68" s="10"/>
      <c r="D68" s="6"/>
      <c r="E68" s="2"/>
      <c r="F68" s="7">
        <f t="shared" si="38"/>
        <v>0</v>
      </c>
      <c r="G68" s="2"/>
      <c r="H68" s="6"/>
      <c r="I68" s="2"/>
      <c r="J68" s="7">
        <f t="shared" si="39"/>
        <v>0</v>
      </c>
      <c r="K68" s="2"/>
      <c r="L68" s="6">
        <f t="shared" si="40"/>
        <v>0</v>
      </c>
      <c r="M68" s="2"/>
      <c r="N68" s="7">
        <f t="shared" si="41"/>
        <v>0</v>
      </c>
      <c r="O68" s="10"/>
      <c r="P68" s="6"/>
      <c r="Q68" s="2"/>
      <c r="R68" s="7">
        <f t="shared" si="42"/>
        <v>0</v>
      </c>
      <c r="S68" s="2"/>
      <c r="T68" s="6">
        <v>3638.57</v>
      </c>
      <c r="U68" s="2"/>
      <c r="V68" s="7">
        <f t="shared" si="43"/>
        <v>6.1469470677033367E-3</v>
      </c>
      <c r="W68" s="2"/>
      <c r="X68" s="6">
        <f t="shared" si="44"/>
        <v>-3638.57</v>
      </c>
      <c r="Y68" s="2"/>
      <c r="Z68" s="7">
        <f t="shared" si="45"/>
        <v>-1</v>
      </c>
    </row>
    <row r="69" spans="1:26" s="23" customFormat="1" hidden="1" outlineLevel="2" x14ac:dyDescent="0.25">
      <c r="A69" s="25"/>
      <c r="B69" s="10" t="str">
        <f>CONCATENATE("          ", "6248", " - ", "UNIFORMS")</f>
        <v xml:space="preserve">          6248 - UNIFORMS</v>
      </c>
      <c r="C69" s="10"/>
      <c r="D69" s="6"/>
      <c r="E69" s="2"/>
      <c r="F69" s="7">
        <f t="shared" si="38"/>
        <v>0</v>
      </c>
      <c r="G69" s="2"/>
      <c r="H69" s="6"/>
      <c r="I69" s="2"/>
      <c r="J69" s="7">
        <f t="shared" si="39"/>
        <v>0</v>
      </c>
      <c r="K69" s="2"/>
      <c r="L69" s="6">
        <f t="shared" si="40"/>
        <v>0</v>
      </c>
      <c r="M69" s="2"/>
      <c r="N69" s="7">
        <f t="shared" si="41"/>
        <v>0</v>
      </c>
      <c r="O69" s="10"/>
      <c r="P69" s="6"/>
      <c r="Q69" s="2"/>
      <c r="R69" s="7">
        <f t="shared" si="42"/>
        <v>0</v>
      </c>
      <c r="S69" s="2"/>
      <c r="T69" s="6">
        <v>172.97</v>
      </c>
      <c r="U69" s="2"/>
      <c r="V69" s="7">
        <f t="shared" si="43"/>
        <v>2.9221299419844777E-4</v>
      </c>
      <c r="W69" s="2"/>
      <c r="X69" s="6">
        <f t="shared" si="44"/>
        <v>-172.97</v>
      </c>
      <c r="Y69" s="2"/>
      <c r="Z69" s="7">
        <f t="shared" si="45"/>
        <v>-1</v>
      </c>
    </row>
    <row r="70" spans="1:26" s="27" customFormat="1" outlineLevel="1" collapsed="1" x14ac:dyDescent="0.25">
      <c r="A70" s="26"/>
      <c r="B70" s="12" t="str">
        <f>CONCATENATE("     ","Telephone/Data Lines                              ")</f>
        <v xml:space="preserve">     Telephone/Data Lines                              </v>
      </c>
      <c r="C70" s="12"/>
      <c r="D70" s="1">
        <f>SUM(OSRRefD22_14x_0)</f>
        <v>0</v>
      </c>
      <c r="E70" s="1"/>
      <c r="F70" s="5">
        <f t="shared" ref="F70:F73" si="46">IF(D$12=0,0,D70/D$12)</f>
        <v>0</v>
      </c>
      <c r="G70" s="1"/>
      <c r="H70" s="1">
        <f>SUM(OSRRefH22_14x_0)</f>
        <v>-50</v>
      </c>
      <c r="I70" s="1"/>
      <c r="J70" s="5">
        <f t="shared" ref="J70:J73" si="47">IF(H$12=0,0,H70/H$12)</f>
        <v>0</v>
      </c>
      <c r="K70" s="1"/>
      <c r="L70" s="1">
        <f t="shared" ref="L70:L73" si="48">+D70-H70</f>
        <v>50</v>
      </c>
      <c r="M70" s="1"/>
      <c r="N70" s="5">
        <f t="shared" ref="N70:N73" si="49">IF(H70=0,0,L70/H70)</f>
        <v>-1</v>
      </c>
      <c r="O70" s="12"/>
      <c r="P70" s="1">
        <f>SUM(OSRRefP22_14x_0)</f>
        <v>0</v>
      </c>
      <c r="Q70" s="1"/>
      <c r="R70" s="5">
        <f t="shared" ref="R70:R73" si="50">IF(P$12=0,0,P70/P$12)</f>
        <v>0</v>
      </c>
      <c r="S70" s="1"/>
      <c r="T70" s="1">
        <f>SUM(OSRRefT22_14x_0)</f>
        <v>55</v>
      </c>
      <c r="U70" s="1"/>
      <c r="V70" s="5">
        <f t="shared" ref="V70:V73" si="51">IF(T$12=0,0,T70/T$12)</f>
        <v>9.2916197496182158E-5</v>
      </c>
      <c r="W70" s="1"/>
      <c r="X70" s="1">
        <f t="shared" ref="X70:X73" si="52">+P70-T70</f>
        <v>-55</v>
      </c>
      <c r="Y70" s="1"/>
      <c r="Z70" s="5">
        <f t="shared" ref="Z70:Z73" si="53">IF(T70=0,0,X70/T70)</f>
        <v>-1</v>
      </c>
    </row>
    <row r="71" spans="1:26" s="23" customFormat="1" hidden="1" outlineLevel="2" x14ac:dyDescent="0.25">
      <c r="A71" s="25"/>
      <c r="B71" s="10" t="str">
        <f>CONCATENATE("          ", "6309", " - ", "TELEPHONE")</f>
        <v xml:space="preserve">          6309 - TELEPHONE</v>
      </c>
      <c r="C71" s="10"/>
      <c r="D71" s="6"/>
      <c r="E71" s="2"/>
      <c r="F71" s="7">
        <f t="shared" si="46"/>
        <v>0</v>
      </c>
      <c r="G71" s="2"/>
      <c r="H71" s="6">
        <v>-50</v>
      </c>
      <c r="I71" s="2"/>
      <c r="J71" s="7">
        <f t="shared" si="47"/>
        <v>0</v>
      </c>
      <c r="K71" s="2"/>
      <c r="L71" s="6">
        <f t="shared" si="48"/>
        <v>50</v>
      </c>
      <c r="M71" s="2"/>
      <c r="N71" s="7">
        <f t="shared" si="49"/>
        <v>-1</v>
      </c>
      <c r="O71" s="10"/>
      <c r="P71" s="6"/>
      <c r="Q71" s="2"/>
      <c r="R71" s="7">
        <f t="shared" si="50"/>
        <v>0</v>
      </c>
      <c r="S71" s="2"/>
      <c r="T71" s="6">
        <v>55</v>
      </c>
      <c r="U71" s="2"/>
      <c r="V71" s="7">
        <f t="shared" si="51"/>
        <v>9.2916197496182158E-5</v>
      </c>
      <c r="W71" s="2"/>
      <c r="X71" s="6">
        <f t="shared" si="52"/>
        <v>-55</v>
      </c>
      <c r="Y71" s="2"/>
      <c r="Z71" s="7">
        <f t="shared" si="53"/>
        <v>-1</v>
      </c>
    </row>
    <row r="72" spans="1:26" s="27" customFormat="1" outlineLevel="1" collapsed="1" x14ac:dyDescent="0.25">
      <c r="A72" s="26"/>
      <c r="B72" s="12" t="str">
        <f>CONCATENATE("     ","Training                                          ")</f>
        <v xml:space="preserve">     Training                                          </v>
      </c>
      <c r="C72" s="12"/>
      <c r="D72" s="1">
        <f>SUM(OSRRefD22_15x_0)</f>
        <v>0</v>
      </c>
      <c r="E72" s="1"/>
      <c r="F72" s="5">
        <f t="shared" si="46"/>
        <v>0</v>
      </c>
      <c r="G72" s="1"/>
      <c r="H72" s="1">
        <f>SUM(OSRRefH22_15x_0)</f>
        <v>0</v>
      </c>
      <c r="I72" s="1"/>
      <c r="J72" s="5">
        <f t="shared" si="47"/>
        <v>0</v>
      </c>
      <c r="K72" s="1"/>
      <c r="L72" s="1">
        <f t="shared" si="48"/>
        <v>0</v>
      </c>
      <c r="M72" s="1"/>
      <c r="N72" s="5">
        <f t="shared" si="49"/>
        <v>0</v>
      </c>
      <c r="O72" s="12"/>
      <c r="P72" s="1">
        <f>SUM(OSRRefP22_15x_0)</f>
        <v>0</v>
      </c>
      <c r="Q72" s="1"/>
      <c r="R72" s="5">
        <f t="shared" si="50"/>
        <v>0</v>
      </c>
      <c r="S72" s="1"/>
      <c r="T72" s="1">
        <f>SUM(OSRRefT22_15x_0)</f>
        <v>96</v>
      </c>
      <c r="U72" s="1"/>
      <c r="V72" s="5">
        <f t="shared" si="51"/>
        <v>1.6218099926606342E-4</v>
      </c>
      <c r="W72" s="1"/>
      <c r="X72" s="1">
        <f t="shared" si="52"/>
        <v>-96</v>
      </c>
      <c r="Y72" s="1"/>
      <c r="Z72" s="5">
        <f t="shared" si="53"/>
        <v>-1</v>
      </c>
    </row>
    <row r="73" spans="1:26" s="23" customFormat="1" hidden="1" outlineLevel="2" x14ac:dyDescent="0.25">
      <c r="A73" s="25"/>
      <c r="B73" s="10" t="str">
        <f>CONCATENATE("          ", "6376", " - ", "TRAINING")</f>
        <v xml:space="preserve">          6376 - TRAINING</v>
      </c>
      <c r="C73" s="10"/>
      <c r="D73" s="6"/>
      <c r="E73" s="2"/>
      <c r="F73" s="7">
        <f t="shared" si="46"/>
        <v>0</v>
      </c>
      <c r="G73" s="2"/>
      <c r="H73" s="6"/>
      <c r="I73" s="2"/>
      <c r="J73" s="7">
        <f t="shared" si="47"/>
        <v>0</v>
      </c>
      <c r="K73" s="2"/>
      <c r="L73" s="6">
        <f t="shared" si="48"/>
        <v>0</v>
      </c>
      <c r="M73" s="2"/>
      <c r="N73" s="7">
        <f t="shared" si="49"/>
        <v>0</v>
      </c>
      <c r="O73" s="10"/>
      <c r="P73" s="6"/>
      <c r="Q73" s="2"/>
      <c r="R73" s="7">
        <f t="shared" si="50"/>
        <v>0</v>
      </c>
      <c r="S73" s="2"/>
      <c r="T73" s="6">
        <v>96</v>
      </c>
      <c r="U73" s="2"/>
      <c r="V73" s="7">
        <f t="shared" si="51"/>
        <v>1.6218099926606342E-4</v>
      </c>
      <c r="W73" s="2"/>
      <c r="X73" s="6">
        <f t="shared" si="52"/>
        <v>-96</v>
      </c>
      <c r="Y73" s="2"/>
      <c r="Z73" s="7">
        <f t="shared" si="53"/>
        <v>-1</v>
      </c>
    </row>
    <row r="74" spans="1:26" s="52" customFormat="1" x14ac:dyDescent="0.25">
      <c r="A74" s="37"/>
      <c r="B74" s="37"/>
      <c r="C74" s="37"/>
      <c r="D74" s="1"/>
      <c r="E74" s="1"/>
      <c r="F74" s="5"/>
      <c r="G74" s="1"/>
      <c r="H74" s="1"/>
      <c r="I74" s="1"/>
      <c r="J74" s="5"/>
      <c r="K74" s="1"/>
      <c r="L74" s="1"/>
      <c r="M74" s="1"/>
      <c r="N74" s="5"/>
      <c r="O74" s="37"/>
      <c r="P74" s="1"/>
      <c r="Q74" s="1"/>
      <c r="R74" s="5"/>
      <c r="S74" s="1"/>
      <c r="T74" s="1"/>
      <c r="U74" s="1"/>
      <c r="V74" s="5"/>
      <c r="W74" s="1"/>
      <c r="X74" s="1"/>
      <c r="Y74" s="1"/>
      <c r="Z74" s="5"/>
    </row>
    <row r="75" spans="1:26" s="24" customFormat="1" x14ac:dyDescent="0.25">
      <c r="A75" s="11"/>
      <c r="B75" s="29" t="s">
        <v>292</v>
      </c>
      <c r="C75" s="11"/>
      <c r="D75" s="4">
        <f>SUM(0)</f>
        <v>0</v>
      </c>
      <c r="E75" s="4"/>
      <c r="F75" s="13">
        <f>IF(D$12=0,0,D75/D$12)</f>
        <v>0</v>
      </c>
      <c r="G75" s="4"/>
      <c r="H75" s="4">
        <f>SUM(0)</f>
        <v>0</v>
      </c>
      <c r="I75" s="4"/>
      <c r="J75" s="13">
        <f>IF(H$12=0,0,H75/H$12)</f>
        <v>0</v>
      </c>
      <c r="K75" s="4"/>
      <c r="L75" s="4">
        <f>+D75-H75</f>
        <v>0</v>
      </c>
      <c r="M75" s="4"/>
      <c r="N75" s="13">
        <f>IF(H75=0,0,L75/H75)</f>
        <v>0</v>
      </c>
      <c r="O75" s="11"/>
      <c r="P75" s="4">
        <f>SUM(0)</f>
        <v>0</v>
      </c>
      <c r="Q75" s="4"/>
      <c r="R75" s="13">
        <f>IF(P$12=0,0,P75/P$12)</f>
        <v>0</v>
      </c>
      <c r="S75" s="4"/>
      <c r="T75" s="4">
        <f>SUM(0)</f>
        <v>0</v>
      </c>
      <c r="U75" s="4"/>
      <c r="V75" s="13">
        <f>IF(T$12=0,0,T75/T$12)</f>
        <v>0</v>
      </c>
      <c r="W75" s="4"/>
      <c r="X75" s="4">
        <f>+P75-T75</f>
        <v>0</v>
      </c>
      <c r="Y75" s="4"/>
      <c r="Z75" s="13">
        <f>IF(T75=0,0,X75/T75)</f>
        <v>0</v>
      </c>
    </row>
    <row r="76" spans="1:26" x14ac:dyDescent="0.25">
      <c r="A76" s="9"/>
      <c r="B76" s="11"/>
      <c r="C76" s="11"/>
      <c r="D76" s="3"/>
      <c r="E76" s="3"/>
      <c r="F76" s="8"/>
      <c r="G76" s="3"/>
      <c r="H76" s="3"/>
      <c r="I76" s="3"/>
      <c r="J76" s="8"/>
      <c r="K76" s="3"/>
      <c r="L76" s="3"/>
      <c r="M76" s="3"/>
      <c r="N76" s="8"/>
      <c r="O76" s="11"/>
      <c r="P76" s="3"/>
      <c r="Q76" s="3"/>
      <c r="R76" s="8"/>
      <c r="S76" s="3"/>
      <c r="T76" s="3"/>
      <c r="U76" s="3"/>
      <c r="V76" s="8"/>
      <c r="W76" s="3"/>
      <c r="X76" s="3"/>
      <c r="Y76" s="3"/>
      <c r="Z76" s="8"/>
    </row>
    <row r="77" spans="1:26" s="24" customFormat="1" x14ac:dyDescent="0.25">
      <c r="A77" s="11"/>
      <c r="B77" s="28" t="s">
        <v>276</v>
      </c>
      <c r="C77" s="28"/>
      <c r="D77" s="21">
        <f>+D20-D22+D75</f>
        <v>1036.0899999999999</v>
      </c>
      <c r="E77" s="14"/>
      <c r="F77" s="22">
        <f>IF(D$12=0,0,D77/D$12)</f>
        <v>0</v>
      </c>
      <c r="G77" s="14"/>
      <c r="H77" s="21">
        <f>+H20-H22+H75</f>
        <v>-8237.31</v>
      </c>
      <c r="I77" s="14"/>
      <c r="J77" s="22">
        <f>IF(H$12=0,0,H77/H$12)</f>
        <v>0</v>
      </c>
      <c r="K77" s="15"/>
      <c r="L77" s="21">
        <f>+D77-H77</f>
        <v>9273.4</v>
      </c>
      <c r="M77" s="15"/>
      <c r="N77" s="22">
        <f>IF(H77=0,0,L77/H77)</f>
        <v>-1.125780139390165</v>
      </c>
      <c r="O77" s="29"/>
      <c r="P77" s="21">
        <f>+P20-P22+P75</f>
        <v>-17362.019999999997</v>
      </c>
      <c r="Q77" s="14"/>
      <c r="R77" s="22">
        <f>IF(P$12=0,0,P77/P$12)</f>
        <v>-17.808843893282454</v>
      </c>
      <c r="S77" s="14"/>
      <c r="T77" s="21">
        <f>+T20-T22+T75</f>
        <v>41806.929999999993</v>
      </c>
      <c r="U77" s="14"/>
      <c r="V77" s="22">
        <f>IF(T$12=0,0,T77/T$12)</f>
        <v>7.0628017537982951E-2</v>
      </c>
      <c r="W77" s="15"/>
      <c r="X77" s="21">
        <f>+P77-T77</f>
        <v>-59168.94999999999</v>
      </c>
      <c r="Y77" s="15"/>
      <c r="Z77" s="22">
        <f>IF(T77=0,0,X77/T77)</f>
        <v>-1.4152904793535426</v>
      </c>
    </row>
    <row r="78" spans="1:26" x14ac:dyDescent="0.25">
      <c r="A78" s="9"/>
      <c r="B78" s="11"/>
      <c r="C78" s="9"/>
      <c r="D78" s="3"/>
      <c r="E78" s="3"/>
      <c r="F78" s="8"/>
      <c r="G78" s="3"/>
      <c r="H78" s="3"/>
      <c r="I78" s="3"/>
      <c r="J78" s="8"/>
      <c r="K78" s="3"/>
      <c r="L78" s="3"/>
      <c r="M78" s="3"/>
      <c r="N78" s="8"/>
      <c r="P78" s="3"/>
      <c r="Q78" s="3"/>
      <c r="R78" s="8"/>
      <c r="S78" s="3"/>
      <c r="T78" s="3"/>
      <c r="U78" s="3"/>
      <c r="V78" s="8"/>
      <c r="W78" s="3"/>
      <c r="X78" s="3"/>
      <c r="Y78" s="3"/>
      <c r="Z78" s="8"/>
    </row>
    <row r="79" spans="1:26" s="24" customFormat="1" x14ac:dyDescent="0.25">
      <c r="A79" s="51"/>
      <c r="B79" s="11" t="s">
        <v>127</v>
      </c>
      <c r="C79" s="11"/>
      <c r="D79" s="4">
        <v>61.52</v>
      </c>
      <c r="E79" s="4"/>
      <c r="F79" s="13">
        <f>IF(D$12=0,0,D79/D$12)</f>
        <v>0</v>
      </c>
      <c r="G79" s="4"/>
      <c r="H79" s="4">
        <v>19534.939999999999</v>
      </c>
      <c r="I79" s="4"/>
      <c r="J79" s="13">
        <f>IF(H$12=0,0,H79/H$12)</f>
        <v>0</v>
      </c>
      <c r="K79" s="4"/>
      <c r="L79" s="4">
        <f>+D79-H79</f>
        <v>-19473.419999999998</v>
      </c>
      <c r="M79" s="4"/>
      <c r="N79" s="13">
        <f>IF(H79=0,0,L79/H79)</f>
        <v>-0.99685077097754071</v>
      </c>
      <c r="O79" s="11"/>
      <c r="P79" s="4">
        <v>269.85000000000002</v>
      </c>
      <c r="Q79" s="4"/>
      <c r="R79" s="13">
        <f>IF(P$12=0,0,P79/P$12)</f>
        <v>0.27679478105671296</v>
      </c>
      <c r="S79" s="4"/>
      <c r="T79" s="4">
        <v>89631.78</v>
      </c>
      <c r="U79" s="4"/>
      <c r="V79" s="13">
        <f>IF(T$12=0,0,T79/T$12)</f>
        <v>0.15142262131662454</v>
      </c>
      <c r="W79" s="4"/>
      <c r="X79" s="4">
        <f>+P79-T79</f>
        <v>-89361.93</v>
      </c>
      <c r="Y79" s="4"/>
      <c r="Z79" s="13">
        <f>IF(T79=0,0,X79/T79)</f>
        <v>-0.9969893490902445</v>
      </c>
    </row>
    <row r="80" spans="1:26" x14ac:dyDescent="0.25">
      <c r="A80" s="9"/>
      <c r="B80" s="11"/>
      <c r="C80" s="11"/>
      <c r="D80" s="3"/>
      <c r="E80" s="3"/>
      <c r="F80" s="8"/>
      <c r="G80" s="3"/>
      <c r="H80" s="3"/>
      <c r="I80" s="3"/>
      <c r="J80" s="8"/>
      <c r="K80" s="3"/>
      <c r="L80" s="3"/>
      <c r="M80" s="3"/>
      <c r="N80" s="8"/>
      <c r="O80" s="11"/>
      <c r="P80" s="3"/>
      <c r="Q80" s="3"/>
      <c r="R80" s="8"/>
      <c r="S80" s="3"/>
      <c r="T80" s="3"/>
      <c r="U80" s="3"/>
      <c r="V80" s="8"/>
      <c r="W80" s="3"/>
      <c r="X80" s="3"/>
      <c r="Y80" s="3"/>
      <c r="Z80" s="8"/>
    </row>
    <row r="81" spans="1:26" s="24" customFormat="1" ht="15.75" thickBot="1" x14ac:dyDescent="0.3">
      <c r="A81" s="11"/>
      <c r="B81" s="28" t="s">
        <v>125</v>
      </c>
      <c r="C81" s="28"/>
      <c r="D81" s="34">
        <f>+D77-D79</f>
        <v>974.56999999999994</v>
      </c>
      <c r="E81" s="14"/>
      <c r="F81" s="31">
        <f>IF(D$12=0,0,D81/D$12)</f>
        <v>0</v>
      </c>
      <c r="G81" s="14"/>
      <c r="H81" s="34">
        <f>+H77-H79</f>
        <v>-27772.25</v>
      </c>
      <c r="I81" s="14"/>
      <c r="J81" s="31">
        <f>IF(H$12=0,0,H81/H$12)</f>
        <v>0</v>
      </c>
      <c r="K81" s="15"/>
      <c r="L81" s="34">
        <f>D81-H81</f>
        <v>28746.82</v>
      </c>
      <c r="M81" s="15"/>
      <c r="N81" s="31">
        <f>IF(H81=0,0,L81/H81)</f>
        <v>-1.0350915032091386</v>
      </c>
      <c r="O81" s="29"/>
      <c r="P81" s="34">
        <f>+P77-P79</f>
        <v>-17631.869999999995</v>
      </c>
      <c r="Q81" s="14"/>
      <c r="R81" s="31">
        <f>IF(P$12=0,0,P81/P$12)</f>
        <v>-18.085638674339165</v>
      </c>
      <c r="S81" s="14"/>
      <c r="T81" s="34">
        <f>+T77-T79</f>
        <v>-47824.850000000006</v>
      </c>
      <c r="U81" s="14"/>
      <c r="V81" s="31">
        <f>IF(T$12=0,0,T81/T$12)</f>
        <v>-8.0794603778641602E-2</v>
      </c>
      <c r="W81" s="15"/>
      <c r="X81" s="34">
        <f>P81-T81</f>
        <v>30192.98000000001</v>
      </c>
      <c r="Y81" s="15"/>
      <c r="Z81" s="31">
        <f>IF(T81=0,0,X81/T81)</f>
        <v>-0.63132409197310613</v>
      </c>
    </row>
    <row r="82" spans="1:26" ht="15.75" thickTop="1" x14ac:dyDescent="0.25">
      <c r="A82" s="9"/>
      <c r="B82" s="9"/>
      <c r="C82" s="9"/>
      <c r="D82" s="3"/>
      <c r="E82" s="3"/>
      <c r="F82" s="8"/>
      <c r="G82" s="3"/>
      <c r="H82" s="3"/>
      <c r="I82" s="3"/>
      <c r="J82" s="8"/>
      <c r="K82" s="3"/>
      <c r="L82" s="3"/>
      <c r="M82" s="3"/>
      <c r="N82" s="8"/>
      <c r="P82" s="3"/>
      <c r="Q82" s="3"/>
      <c r="R82" s="8"/>
      <c r="S82" s="3"/>
      <c r="T82" s="3"/>
      <c r="U82" s="3"/>
      <c r="V82" s="8"/>
      <c r="W82" s="3"/>
      <c r="X82" s="3"/>
      <c r="Y82" s="3"/>
      <c r="Z82" s="8"/>
    </row>
    <row r="83" spans="1:26" x14ac:dyDescent="0.25">
      <c r="A83" s="9"/>
      <c r="B83" s="9"/>
      <c r="C83" s="9"/>
      <c r="D83" s="3"/>
      <c r="E83" s="3"/>
      <c r="F83" s="8"/>
      <c r="G83" s="3"/>
      <c r="H83" s="3"/>
      <c r="I83" s="3"/>
      <c r="J83" s="8"/>
      <c r="K83" s="3"/>
      <c r="L83" s="3"/>
      <c r="M83" s="3"/>
      <c r="N83" s="8"/>
      <c r="P83" s="3"/>
      <c r="Q83" s="3"/>
      <c r="R83" s="8"/>
      <c r="S83" s="3"/>
      <c r="T83" s="3"/>
      <c r="U83" s="3"/>
      <c r="V83" s="8"/>
      <c r="W83" s="3"/>
      <c r="X83" s="3"/>
      <c r="Y83" s="3"/>
      <c r="Z83" s="8"/>
    </row>
    <row r="84" spans="1:26" s="24" customFormat="1" ht="15.75" thickBot="1" x14ac:dyDescent="0.3">
      <c r="A84" s="11"/>
      <c r="B84" s="28" t="s">
        <v>293</v>
      </c>
      <c r="C84" s="28"/>
      <c r="D84" s="33">
        <f>SUM(D81:D83)</f>
        <v>974.56999999999994</v>
      </c>
      <c r="E84" s="14"/>
      <c r="F84" s="35">
        <f>IF(D$12=0,0,D84/D$12)</f>
        <v>0</v>
      </c>
      <c r="G84" s="14"/>
      <c r="H84" s="33">
        <f>SUM(H81:H83)</f>
        <v>-27772.25</v>
      </c>
      <c r="I84" s="14"/>
      <c r="J84" s="35">
        <f>IF(H$12=0,0,H84/H$12)</f>
        <v>0</v>
      </c>
      <c r="K84" s="15"/>
      <c r="L84" s="33">
        <f>+D84-H84</f>
        <v>28746.82</v>
      </c>
      <c r="M84" s="15"/>
      <c r="N84" s="35">
        <f>IF(H84=0,0,L84/H84)</f>
        <v>-1.0350915032091386</v>
      </c>
      <c r="O84" s="29"/>
      <c r="P84" s="33">
        <f>SUM(P81:P83)</f>
        <v>-17631.869999999995</v>
      </c>
      <c r="Q84" s="14"/>
      <c r="R84" s="35">
        <f>IF(P$12=0,0,P84/P$12)</f>
        <v>-18.085638674339165</v>
      </c>
      <c r="S84" s="14"/>
      <c r="T84" s="33">
        <f>SUM(T81:T83)</f>
        <v>-47824.850000000006</v>
      </c>
      <c r="U84" s="14"/>
      <c r="V84" s="35">
        <f>IF(T$12=0,0,T84/T$12)</f>
        <v>-8.0794603778641602E-2</v>
      </c>
      <c r="W84" s="15"/>
      <c r="X84" s="33">
        <f>+P84-T84</f>
        <v>30192.98000000001</v>
      </c>
      <c r="Y84" s="15"/>
      <c r="Z84" s="35">
        <f>IF(T84=0,0,X84/T84)</f>
        <v>-0.63132409197310613</v>
      </c>
    </row>
    <row r="85" spans="1:26" ht="15.75" thickTop="1" x14ac:dyDescent="0.25">
      <c r="A85" s="9"/>
      <c r="C85" s="9"/>
      <c r="D85" s="18"/>
      <c r="E85" s="18"/>
      <c r="G85" s="18"/>
      <c r="H85" s="18"/>
      <c r="I85" s="18"/>
      <c r="J85" s="43"/>
      <c r="K85" s="18"/>
      <c r="L85" s="18"/>
      <c r="M85" s="18"/>
      <c r="P85" s="18"/>
      <c r="Q85" s="18"/>
      <c r="R85" s="43"/>
      <c r="S85" s="18"/>
      <c r="T85" s="18"/>
      <c r="U85" s="18"/>
      <c r="V85" s="43"/>
      <c r="W85" s="18"/>
      <c r="X85" s="18"/>
    </row>
    <row r="86" spans="1:26" x14ac:dyDescent="0.25">
      <c r="A86" s="9"/>
      <c r="B86" s="56">
        <v>44454.698585613427</v>
      </c>
      <c r="D86" s="18"/>
      <c r="E86" s="18"/>
      <c r="G86" s="18"/>
      <c r="H86" s="18"/>
      <c r="I86" s="18"/>
      <c r="J86" s="43"/>
      <c r="K86" s="18"/>
      <c r="L86" s="18"/>
      <c r="M86" s="18"/>
      <c r="P86" s="18"/>
      <c r="Q86" s="18"/>
      <c r="R86" s="43"/>
      <c r="S86" s="18"/>
      <c r="T86" s="18"/>
      <c r="U86" s="18"/>
      <c r="V86" s="43"/>
      <c r="W86" s="18"/>
      <c r="X86" s="18"/>
    </row>
    <row r="87" spans="1:26" x14ac:dyDescent="0.25">
      <c r="A87" s="9"/>
      <c r="B87" s="55" t="s">
        <v>56</v>
      </c>
      <c r="D87" s="18"/>
      <c r="E87" s="18"/>
      <c r="G87" s="18"/>
      <c r="H87" s="18"/>
      <c r="I87" s="18"/>
      <c r="J87" s="43"/>
      <c r="K87" s="18"/>
      <c r="L87" s="18"/>
      <c r="M87" s="18"/>
      <c r="P87" s="18"/>
      <c r="Q87" s="18"/>
      <c r="R87" s="43"/>
      <c r="S87" s="18"/>
      <c r="T87" s="18"/>
      <c r="U87" s="18"/>
      <c r="V87" s="43"/>
      <c r="W87" s="18"/>
      <c r="X87" s="18"/>
    </row>
    <row r="88" spans="1:26" x14ac:dyDescent="0.25">
      <c r="A88" s="9"/>
      <c r="B88" s="60"/>
      <c r="D88" s="18"/>
      <c r="E88" s="18"/>
      <c r="G88" s="18"/>
      <c r="H88" s="18"/>
      <c r="I88" s="18"/>
      <c r="J88" s="43"/>
      <c r="K88" s="18"/>
      <c r="L88" s="18"/>
      <c r="M88" s="18"/>
      <c r="P88" s="18"/>
      <c r="Q88" s="18"/>
      <c r="R88" s="43"/>
      <c r="S88" s="18"/>
      <c r="T88" s="18"/>
      <c r="U88" s="18"/>
      <c r="V88" s="43"/>
      <c r="W88" s="18"/>
      <c r="X88" s="18"/>
    </row>
    <row r="89" spans="1:26" x14ac:dyDescent="0.25">
      <c r="D89" s="18"/>
      <c r="E89" s="18"/>
      <c r="G89" s="18"/>
      <c r="H89" s="18"/>
      <c r="I89" s="18"/>
      <c r="J89" s="43"/>
      <c r="K89" s="18"/>
      <c r="L89" s="18"/>
      <c r="M89" s="18"/>
      <c r="P89" s="18"/>
      <c r="Q89" s="18"/>
      <c r="R89" s="43"/>
      <c r="S89" s="18"/>
      <c r="T89" s="18"/>
      <c r="U89" s="18"/>
      <c r="V89" s="43"/>
      <c r="W89" s="18"/>
      <c r="X89" s="18"/>
    </row>
  </sheetData>
  <pageMargins left="0.25" right="0.25" top="0.75" bottom="0.75" header="0.3" footer="0.3"/>
  <pageSetup scale="55" fitToWidth="2" orientation="landscape"/>
  <drawing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>
    <tabColor rgb="FF92D050"/>
    <outlinePr summaryBelow="0" summaryRight="0"/>
  </sheetPr>
  <dimension ref="A2:Z104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62" t="s">
        <v>23</v>
      </c>
    </row>
    <row r="3" spans="1:26" x14ac:dyDescent="0.25">
      <c r="D3" s="62" t="s">
        <v>236</v>
      </c>
      <c r="E3" s="17"/>
      <c r="F3" s="46"/>
      <c r="G3" s="17"/>
      <c r="H3" s="17"/>
      <c r="I3" s="17"/>
      <c r="J3" s="38"/>
      <c r="K3" s="17"/>
      <c r="L3" s="17"/>
      <c r="M3" s="17"/>
      <c r="N3" s="46"/>
      <c r="O3" s="53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2" t="str">
        <f>CONCATENATE("Period ",RIGHT(202112,2),", ",2021)</f>
        <v>Period 12, 2021</v>
      </c>
      <c r="E4" s="17"/>
      <c r="F4" s="46"/>
      <c r="G4" s="17"/>
      <c r="H4" s="17"/>
      <c r="I4" s="17"/>
      <c r="J4" s="38"/>
      <c r="K4" s="17"/>
      <c r="L4" s="17"/>
      <c r="M4" s="17"/>
      <c r="N4" s="46"/>
      <c r="O4" s="53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4"/>
      <c r="D5" s="63">
        <v>44377</v>
      </c>
      <c r="E5" s="17"/>
      <c r="F5" s="46"/>
      <c r="G5" s="17"/>
      <c r="H5" s="17"/>
      <c r="I5" s="17"/>
      <c r="J5" s="38"/>
      <c r="K5" s="17"/>
      <c r="L5" s="17"/>
      <c r="M5" s="17"/>
      <c r="N5" s="46"/>
      <c r="O5" s="53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4"/>
      <c r="B6" s="48"/>
      <c r="C6" s="48"/>
      <c r="D6" s="24" t="str">
        <f>CONCATENATE("Department ","415", " - ", "Outpost")</f>
        <v>Department 415 - Outpost</v>
      </c>
      <c r="E6" s="17"/>
      <c r="F6" s="46"/>
      <c r="G6" s="17"/>
      <c r="H6" s="17"/>
      <c r="I6" s="17"/>
      <c r="J6" s="38"/>
      <c r="K6" s="17"/>
      <c r="L6" s="17"/>
      <c r="M6" s="17"/>
      <c r="N6" s="46"/>
      <c r="O6" s="54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9"/>
    </row>
    <row r="8" spans="1:26" x14ac:dyDescent="0.25">
      <c r="B8" s="59"/>
    </row>
    <row r="9" spans="1:26" x14ac:dyDescent="0.25">
      <c r="B9" s="9"/>
      <c r="C9" s="9"/>
      <c r="D9" s="16" t="s">
        <v>291</v>
      </c>
      <c r="E9" s="16"/>
      <c r="F9" s="39"/>
      <c r="G9" s="16"/>
      <c r="H9" s="16"/>
      <c r="I9" s="16"/>
      <c r="J9" s="49"/>
      <c r="K9" s="16"/>
      <c r="L9" s="16"/>
      <c r="M9" s="16"/>
      <c r="N9" s="39"/>
      <c r="P9" s="16" t="s">
        <v>39</v>
      </c>
      <c r="Q9" s="16"/>
      <c r="R9" s="39"/>
      <c r="S9" s="16"/>
      <c r="T9" s="16"/>
      <c r="U9" s="16"/>
      <c r="V9" s="49"/>
      <c r="W9" s="16"/>
      <c r="X9" s="16"/>
      <c r="Y9" s="16"/>
      <c r="Z9" s="39"/>
    </row>
    <row r="10" spans="1:26" x14ac:dyDescent="0.25">
      <c r="A10" s="11"/>
      <c r="B10" s="58"/>
      <c r="C10" s="11"/>
      <c r="D10" s="42" t="s">
        <v>57</v>
      </c>
      <c r="E10" s="36"/>
      <c r="F10" s="30" t="s">
        <v>40</v>
      </c>
      <c r="G10" s="36"/>
      <c r="H10" s="50" t="s">
        <v>237</v>
      </c>
      <c r="I10" s="36"/>
      <c r="J10" s="30" t="s">
        <v>40</v>
      </c>
      <c r="K10" s="11"/>
      <c r="L10" s="42" t="s">
        <v>126</v>
      </c>
      <c r="M10" s="11"/>
      <c r="N10" s="30" t="s">
        <v>257</v>
      </c>
      <c r="O10" s="11"/>
      <c r="P10" s="61" t="s">
        <v>57</v>
      </c>
      <c r="Q10" s="36"/>
      <c r="R10" s="30" t="s">
        <v>40</v>
      </c>
      <c r="S10" s="36"/>
      <c r="T10" s="50" t="s">
        <v>237</v>
      </c>
      <c r="U10" s="36"/>
      <c r="V10" s="30" t="s">
        <v>40</v>
      </c>
      <c r="W10" s="11"/>
      <c r="X10" s="42" t="s">
        <v>126</v>
      </c>
      <c r="Y10" s="11"/>
      <c r="Z10" s="30" t="s">
        <v>257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4" customFormat="1" collapsed="1" x14ac:dyDescent="0.25">
      <c r="A12" s="11"/>
      <c r="B12" s="29" t="s">
        <v>139</v>
      </c>
      <c r="C12" s="11"/>
      <c r="D12" s="4">
        <f>SUM(OSRRefD13x_0)</f>
        <v>17061.97</v>
      </c>
      <c r="E12" s="4"/>
      <c r="F12" s="13"/>
      <c r="G12" s="4"/>
      <c r="H12" s="4">
        <f>SUM(OSRRefH13x_0)</f>
        <v>0</v>
      </c>
      <c r="I12" s="4"/>
      <c r="J12" s="13"/>
      <c r="K12" s="4"/>
      <c r="L12" s="4">
        <f t="shared" ref="L12:L14" si="0">+D12-H12</f>
        <v>17061.97</v>
      </c>
      <c r="M12" s="4"/>
      <c r="N12" s="13">
        <f t="shared" ref="N12:N14" si="1">IF(H12=0,0,L12/H12)</f>
        <v>0</v>
      </c>
      <c r="O12" s="11"/>
      <c r="P12" s="4">
        <f>SUM(OSRRefP13x_0)</f>
        <v>94228.160000000003</v>
      </c>
      <c r="Q12" s="4"/>
      <c r="R12" s="13"/>
      <c r="S12" s="4"/>
      <c r="T12" s="4">
        <f>SUM(OSRRefT13x_0)</f>
        <v>651784.93999999994</v>
      </c>
      <c r="U12" s="4"/>
      <c r="V12" s="13"/>
      <c r="W12" s="4"/>
      <c r="X12" s="4">
        <f t="shared" ref="X12:X14" si="2">+P12-T12</f>
        <v>-557556.77999999991</v>
      </c>
      <c r="Y12" s="4"/>
      <c r="Z12" s="13">
        <f t="shared" ref="Z12:Z14" si="3">IF(T12=0,0,X12/T12)</f>
        <v>-0.85543059647864828</v>
      </c>
    </row>
    <row r="13" spans="1:26" s="23" customFormat="1" hidden="1" outlineLevel="1" x14ac:dyDescent="0.25">
      <c r="A13" s="44"/>
      <c r="B13" s="10" t="str">
        <f>CONCATENATE("          ", "4051", " - ", "TAXABLE SALES-FOOD")</f>
        <v xml:space="preserve">          4051 - TAXABLE SALES-FOOD</v>
      </c>
      <c r="C13" s="10"/>
      <c r="D13" s="2">
        <f>--9799.52</f>
        <v>9799.52</v>
      </c>
      <c r="E13" s="2"/>
      <c r="F13" s="19"/>
      <c r="G13" s="2"/>
      <c r="H13" s="2">
        <f t="shared" ref="H13:H14" si="4">0</f>
        <v>0</v>
      </c>
      <c r="I13" s="2"/>
      <c r="J13" s="19"/>
      <c r="K13" s="2"/>
      <c r="L13" s="2">
        <f t="shared" si="0"/>
        <v>9799.52</v>
      </c>
      <c r="M13" s="2"/>
      <c r="N13" s="19">
        <f t="shared" si="1"/>
        <v>0</v>
      </c>
      <c r="O13" s="10"/>
      <c r="P13" s="2">
        <f>--49082.44</f>
        <v>49082.44</v>
      </c>
      <c r="Q13" s="2"/>
      <c r="R13" s="19"/>
      <c r="S13" s="2"/>
      <c r="T13" s="2">
        <f>--203771.51</f>
        <v>203771.51</v>
      </c>
      <c r="U13" s="2"/>
      <c r="V13" s="19"/>
      <c r="W13" s="2"/>
      <c r="X13" s="2">
        <f t="shared" si="2"/>
        <v>-154689.07</v>
      </c>
      <c r="Y13" s="2"/>
      <c r="Z13" s="19">
        <f t="shared" si="3"/>
        <v>-0.75913001773407873</v>
      </c>
    </row>
    <row r="14" spans="1:26" s="23" customFormat="1" hidden="1" outlineLevel="1" x14ac:dyDescent="0.25">
      <c r="A14" s="44"/>
      <c r="B14" s="10" t="str">
        <f>CONCATENATE("          ", "4151", " - ", "NON-TAXABLE SALES-FOOD")</f>
        <v xml:space="preserve">          4151 - NON-TAXABLE SALES-FOOD</v>
      </c>
      <c r="C14" s="10"/>
      <c r="D14" s="2">
        <f>--7262.45</f>
        <v>7262.45</v>
      </c>
      <c r="E14" s="2"/>
      <c r="F14" s="19"/>
      <c r="G14" s="2"/>
      <c r="H14" s="2">
        <f t="shared" si="4"/>
        <v>0</v>
      </c>
      <c r="I14" s="2"/>
      <c r="J14" s="19"/>
      <c r="K14" s="2"/>
      <c r="L14" s="2">
        <f t="shared" si="0"/>
        <v>7262.45</v>
      </c>
      <c r="M14" s="2"/>
      <c r="N14" s="19">
        <f t="shared" si="1"/>
        <v>0</v>
      </c>
      <c r="O14" s="10"/>
      <c r="P14" s="2">
        <f>--45145.72</f>
        <v>45145.72</v>
      </c>
      <c r="Q14" s="2"/>
      <c r="R14" s="19"/>
      <c r="S14" s="2"/>
      <c r="T14" s="2">
        <f>--448013.43</f>
        <v>448013.43</v>
      </c>
      <c r="U14" s="2"/>
      <c r="V14" s="19"/>
      <c r="W14" s="2"/>
      <c r="X14" s="2">
        <f t="shared" si="2"/>
        <v>-402867.70999999996</v>
      </c>
      <c r="Y14" s="2"/>
      <c r="Z14" s="19">
        <f t="shared" si="3"/>
        <v>-0.89923132438239628</v>
      </c>
    </row>
    <row r="15" spans="1:26" x14ac:dyDescent="0.25">
      <c r="A15" s="9"/>
      <c r="B15" s="11"/>
      <c r="C15" s="9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4" customFormat="1" collapsed="1" x14ac:dyDescent="0.25">
      <c r="A16" s="11"/>
      <c r="B16" s="29" t="s">
        <v>256</v>
      </c>
      <c r="C16" s="11"/>
      <c r="D16" s="4">
        <f>SUM(OSRRefD16x_0)</f>
        <v>5421.68</v>
      </c>
      <c r="E16" s="4"/>
      <c r="F16" s="13">
        <f t="shared" ref="F16:F18" si="5">IF(D$12=0,0,D16/D$12)</f>
        <v>0.31776400966594126</v>
      </c>
      <c r="G16" s="4"/>
      <c r="H16" s="4">
        <f>SUM(OSRRefH16x_0)</f>
        <v>3734</v>
      </c>
      <c r="I16" s="4"/>
      <c r="J16" s="13">
        <f t="shared" ref="J16:J18" si="6">IF(H$12=0,0,H16/H$12)</f>
        <v>0</v>
      </c>
      <c r="K16" s="4"/>
      <c r="L16" s="4">
        <f t="shared" ref="L16:L18" si="7">+D16-H16</f>
        <v>1687.6800000000003</v>
      </c>
      <c r="M16" s="4"/>
      <c r="N16" s="13">
        <f t="shared" ref="N16:N18" si="8">IF(H16=0,0,L16/H16)</f>
        <v>0.45197643277986083</v>
      </c>
      <c r="O16" s="11"/>
      <c r="P16" s="4">
        <f>SUM(OSRRefP16x_0)</f>
        <v>34819.31</v>
      </c>
      <c r="Q16" s="4"/>
      <c r="R16" s="13">
        <f t="shared" ref="R16:R18" si="9">IF(P$12=0,0,P16/P$12)</f>
        <v>0.36952127686670305</v>
      </c>
      <c r="S16" s="4"/>
      <c r="T16" s="4">
        <f>SUM(OSRRefT16x_0)</f>
        <v>220251.98</v>
      </c>
      <c r="U16" s="4"/>
      <c r="V16" s="13">
        <f t="shared" ref="V16:V18" si="10">IF(T$12=0,0,T16/T$12)</f>
        <v>0.33792124745932306</v>
      </c>
      <c r="W16" s="4"/>
      <c r="X16" s="4">
        <f t="shared" ref="X16:X18" si="11">+P16-T16</f>
        <v>-185432.67</v>
      </c>
      <c r="Y16" s="4"/>
      <c r="Z16" s="13">
        <f t="shared" ref="Z16:Z18" si="12">IF(T16=0,0,X16/T16)</f>
        <v>-0.84191147793540833</v>
      </c>
    </row>
    <row r="17" spans="1:26" s="23" customFormat="1" hidden="1" outlineLevel="1" x14ac:dyDescent="0.25">
      <c r="A17" s="44"/>
      <c r="B17" s="10" t="str">
        <f>CONCATENATE("          ", "5053", " - ", "PURCHASES @ COST-FOOD")</f>
        <v xml:space="preserve">          5053 - PURCHASES @ COST-FOOD</v>
      </c>
      <c r="C17" s="10"/>
      <c r="D17" s="2">
        <v>5530.68</v>
      </c>
      <c r="E17" s="2"/>
      <c r="F17" s="19">
        <f t="shared" si="5"/>
        <v>0.32415248649481859</v>
      </c>
      <c r="G17" s="2"/>
      <c r="H17" s="2"/>
      <c r="I17" s="2"/>
      <c r="J17" s="19">
        <f t="shared" si="6"/>
        <v>0</v>
      </c>
      <c r="K17" s="2"/>
      <c r="L17" s="2">
        <f t="shared" si="7"/>
        <v>5530.68</v>
      </c>
      <c r="M17" s="2"/>
      <c r="N17" s="19">
        <f t="shared" si="8"/>
        <v>0</v>
      </c>
      <c r="O17" s="10"/>
      <c r="P17" s="2">
        <v>29292.3</v>
      </c>
      <c r="Q17" s="2"/>
      <c r="R17" s="19">
        <f t="shared" si="9"/>
        <v>0.31086566903142326</v>
      </c>
      <c r="S17" s="2"/>
      <c r="T17" s="2">
        <v>214473.98</v>
      </c>
      <c r="U17" s="2"/>
      <c r="V17" s="19">
        <f t="shared" si="10"/>
        <v>0.32905636021599399</v>
      </c>
      <c r="W17" s="2"/>
      <c r="X17" s="2">
        <f t="shared" si="11"/>
        <v>-185181.68000000002</v>
      </c>
      <c r="Y17" s="2"/>
      <c r="Z17" s="19">
        <f t="shared" si="12"/>
        <v>-0.86342259326749105</v>
      </c>
    </row>
    <row r="18" spans="1:26" s="23" customFormat="1" hidden="1" outlineLevel="1" x14ac:dyDescent="0.25">
      <c r="A18" s="44"/>
      <c r="B18" s="10" t="str">
        <f>CONCATENATE("          ", "5059", " - ", "PURCHASES @ COST-FOOD")</f>
        <v xml:space="preserve">          5059 - PURCHASES @ COST-FOOD</v>
      </c>
      <c r="C18" s="10"/>
      <c r="D18" s="2">
        <v>-109</v>
      </c>
      <c r="E18" s="2"/>
      <c r="F18" s="19">
        <f t="shared" si="5"/>
        <v>-6.3884768288773215E-3</v>
      </c>
      <c r="G18" s="2"/>
      <c r="H18" s="2">
        <v>3734</v>
      </c>
      <c r="I18" s="2"/>
      <c r="J18" s="19">
        <f t="shared" si="6"/>
        <v>0</v>
      </c>
      <c r="K18" s="2"/>
      <c r="L18" s="2">
        <f t="shared" si="7"/>
        <v>-3843</v>
      </c>
      <c r="M18" s="2"/>
      <c r="N18" s="19">
        <f t="shared" si="8"/>
        <v>-1.0291912158543117</v>
      </c>
      <c r="O18" s="10"/>
      <c r="P18" s="2">
        <v>5527.01</v>
      </c>
      <c r="Q18" s="2"/>
      <c r="R18" s="19">
        <f t="shared" si="9"/>
        <v>5.8655607835279816E-2</v>
      </c>
      <c r="S18" s="2"/>
      <c r="T18" s="2">
        <v>5778</v>
      </c>
      <c r="U18" s="2"/>
      <c r="V18" s="19">
        <f t="shared" si="10"/>
        <v>8.8648872433290653E-3</v>
      </c>
      <c r="W18" s="2"/>
      <c r="X18" s="2">
        <f t="shared" si="11"/>
        <v>-250.98999999999978</v>
      </c>
      <c r="Y18" s="2"/>
      <c r="Z18" s="19">
        <f t="shared" si="12"/>
        <v>-4.3438906195915505E-2</v>
      </c>
    </row>
    <row r="19" spans="1:26" x14ac:dyDescent="0.25">
      <c r="A19" s="9"/>
      <c r="B19" s="11"/>
      <c r="C19" s="11"/>
      <c r="D19" s="3"/>
      <c r="E19" s="3"/>
      <c r="F19" s="8"/>
      <c r="G19" s="3"/>
      <c r="H19" s="3"/>
      <c r="I19" s="3"/>
      <c r="J19" s="8"/>
      <c r="K19" s="3"/>
      <c r="L19" s="3"/>
      <c r="M19" s="3"/>
      <c r="N19" s="8"/>
      <c r="O19" s="11"/>
      <c r="P19" s="3"/>
      <c r="Q19" s="3"/>
      <c r="R19" s="8"/>
      <c r="S19" s="3"/>
      <c r="T19" s="3"/>
      <c r="U19" s="3"/>
      <c r="V19" s="8"/>
      <c r="W19" s="3"/>
      <c r="X19" s="3"/>
      <c r="Y19" s="3"/>
      <c r="Z19" s="8"/>
    </row>
    <row r="20" spans="1:26" s="24" customFormat="1" x14ac:dyDescent="0.25">
      <c r="A20" s="11"/>
      <c r="B20" s="28" t="s">
        <v>107</v>
      </c>
      <c r="C20" s="28"/>
      <c r="D20" s="21">
        <f>D12-D16</f>
        <v>11640.29</v>
      </c>
      <c r="E20" s="14"/>
      <c r="F20" s="22">
        <f>IF(D$12=0,0,D20/D$12)</f>
        <v>0.68223599033405868</v>
      </c>
      <c r="G20" s="14"/>
      <c r="H20" s="21">
        <f>H12-H16</f>
        <v>-3734</v>
      </c>
      <c r="I20" s="14"/>
      <c r="J20" s="22">
        <f>IF(H$12=0,0,H20/H$12)</f>
        <v>0</v>
      </c>
      <c r="K20" s="15"/>
      <c r="L20" s="21">
        <f>+D20-H20</f>
        <v>15374.29</v>
      </c>
      <c r="M20" s="15"/>
      <c r="N20" s="22">
        <f>IF(H20=0,0,L20/H20)</f>
        <v>-4.1173781467595072</v>
      </c>
      <c r="O20" s="29"/>
      <c r="P20" s="21">
        <f>P12-P16</f>
        <v>59408.850000000006</v>
      </c>
      <c r="Q20" s="14"/>
      <c r="R20" s="22">
        <f>IF(P$12=0,0,P20/P$12)</f>
        <v>0.63047872313329689</v>
      </c>
      <c r="S20" s="14"/>
      <c r="T20" s="21">
        <f>T12-T16</f>
        <v>431532.95999999996</v>
      </c>
      <c r="U20" s="14"/>
      <c r="V20" s="22">
        <f>IF(T$12=0,0,T20/T$12)</f>
        <v>0.66207875254067694</v>
      </c>
      <c r="W20" s="15"/>
      <c r="X20" s="21">
        <f>+P20-T20</f>
        <v>-372124.11</v>
      </c>
      <c r="Y20" s="15"/>
      <c r="Z20" s="22">
        <f>IF(T20=0,0,X20/T20)</f>
        <v>-0.8623306780552753</v>
      </c>
    </row>
    <row r="21" spans="1:26" x14ac:dyDescent="0.25">
      <c r="A21" s="9"/>
      <c r="B21" s="11"/>
      <c r="C21" s="9"/>
      <c r="D21" s="1"/>
      <c r="E21" s="1"/>
      <c r="F21" s="5"/>
      <c r="G21" s="1"/>
      <c r="H21" s="1"/>
      <c r="I21" s="1"/>
      <c r="J21" s="5"/>
      <c r="K21" s="1"/>
      <c r="L21" s="1"/>
      <c r="M21" s="1"/>
      <c r="N21" s="5"/>
      <c r="O21" s="37"/>
      <c r="P21" s="1"/>
      <c r="Q21" s="1"/>
      <c r="R21" s="5"/>
      <c r="S21" s="1"/>
      <c r="T21" s="1"/>
      <c r="U21" s="1"/>
      <c r="V21" s="5"/>
      <c r="W21" s="1"/>
      <c r="X21" s="1"/>
      <c r="Y21" s="1"/>
      <c r="Z21" s="5"/>
    </row>
    <row r="22" spans="1:26" s="24" customFormat="1" x14ac:dyDescent="0.25">
      <c r="A22" s="11"/>
      <c r="B22" s="29" t="s">
        <v>294</v>
      </c>
      <c r="C22" s="11"/>
      <c r="D22" s="20">
        <f>SUM(OSRRefD22x_0)</f>
        <v>52241.710000000006</v>
      </c>
      <c r="E22" s="20"/>
      <c r="F22" s="32">
        <f t="shared" ref="F22:F31" si="13">IF(D$12=0,0,D22/D$12)</f>
        <v>3.0618803104213641</v>
      </c>
      <c r="G22" s="20"/>
      <c r="H22" s="20">
        <f>SUM(OSRRefH22x_0)</f>
        <v>38607.230000000003</v>
      </c>
      <c r="I22" s="20"/>
      <c r="J22" s="32">
        <f t="shared" ref="J22:J31" si="14">IF(H$12=0,0,H22/H$12)</f>
        <v>0</v>
      </c>
      <c r="K22" s="4"/>
      <c r="L22" s="20">
        <f t="shared" ref="L22:L31" si="15">+D22-H22</f>
        <v>13634.480000000003</v>
      </c>
      <c r="M22" s="4"/>
      <c r="N22" s="32">
        <f t="shared" ref="N22:N31" si="16">IF(H22=0,0,L22/H22)</f>
        <v>0.35315872182490177</v>
      </c>
      <c r="O22" s="11"/>
      <c r="P22" s="20">
        <f>SUM(OSRRefP22x_0)</f>
        <v>721319.13999999966</v>
      </c>
      <c r="Q22" s="20"/>
      <c r="R22" s="32">
        <f t="shared" ref="R22:R31" si="17">IF(P$12=0,0,P22/P$12)</f>
        <v>7.655027329409803</v>
      </c>
      <c r="S22" s="20"/>
      <c r="T22" s="20">
        <f>SUM(OSRRefT22x_0)</f>
        <v>748397.76000000013</v>
      </c>
      <c r="U22" s="20"/>
      <c r="V22" s="32">
        <f t="shared" ref="V22:V31" si="18">IF(T$12=0,0,T22/T$12)</f>
        <v>1.1482280643059968</v>
      </c>
      <c r="W22" s="4"/>
      <c r="X22" s="20">
        <f t="shared" ref="X22:X31" si="19">+P22-T22</f>
        <v>-27078.620000000461</v>
      </c>
      <c r="Y22" s="4"/>
      <c r="Z22" s="32">
        <f t="shared" ref="Z22:Z31" si="20">IF(T22=0,0,X22/T22)</f>
        <v>-3.618212326023057E-2</v>
      </c>
    </row>
    <row r="23" spans="1:26" s="27" customFormat="1" outlineLevel="1" collapsed="1" x14ac:dyDescent="0.25">
      <c r="A23" s="26"/>
      <c r="B23" s="12" t="str">
        <f>CONCATENATE("     ","*Benefits                                         ")</f>
        <v xml:space="preserve">     *Benefits                                         </v>
      </c>
      <c r="C23" s="12"/>
      <c r="D23" s="1">
        <f>SUM(OSRRefD22_0x_0)</f>
        <v>14117.14</v>
      </c>
      <c r="E23" s="1"/>
      <c r="F23" s="5">
        <f t="shared" si="13"/>
        <v>0.82740386954144207</v>
      </c>
      <c r="G23" s="1"/>
      <c r="H23" s="1">
        <f>SUM(OSRRefH22_0x_0)</f>
        <v>4395.12</v>
      </c>
      <c r="I23" s="1"/>
      <c r="J23" s="5">
        <f t="shared" si="14"/>
        <v>0</v>
      </c>
      <c r="K23" s="1"/>
      <c r="L23" s="1">
        <f t="shared" si="15"/>
        <v>9722.02</v>
      </c>
      <c r="M23" s="1"/>
      <c r="N23" s="5">
        <f t="shared" si="16"/>
        <v>2.2120033127650669</v>
      </c>
      <c r="O23" s="12"/>
      <c r="P23" s="1">
        <f>SUM(OSRRefP22_0x_0)</f>
        <v>163160.98000000001</v>
      </c>
      <c r="Q23" s="1"/>
      <c r="R23" s="5">
        <f t="shared" si="17"/>
        <v>1.7315522238787215</v>
      </c>
      <c r="S23" s="1"/>
      <c r="T23" s="1">
        <f>SUM(OSRRefT22_0x_0)</f>
        <v>89133.300000000017</v>
      </c>
      <c r="U23" s="1"/>
      <c r="V23" s="5">
        <f t="shared" si="18"/>
        <v>0.13675262272859515</v>
      </c>
      <c r="W23" s="1"/>
      <c r="X23" s="1">
        <f t="shared" si="19"/>
        <v>74027.679999999993</v>
      </c>
      <c r="Y23" s="1"/>
      <c r="Z23" s="5">
        <f t="shared" si="20"/>
        <v>0.83052776010761387</v>
      </c>
    </row>
    <row r="24" spans="1:26" s="23" customFormat="1" hidden="1" outlineLevel="2" x14ac:dyDescent="0.25">
      <c r="A24" s="25"/>
      <c r="B24" s="10" t="str">
        <f>CONCATENATE("          ", "6111", " - ", "F.I.C.A.")</f>
        <v xml:space="preserve">          6111 - F.I.C.A.</v>
      </c>
      <c r="C24" s="10"/>
      <c r="D24" s="6">
        <v>1530.77</v>
      </c>
      <c r="E24" s="2"/>
      <c r="F24" s="7">
        <f t="shared" si="13"/>
        <v>8.9718244727894844E-2</v>
      </c>
      <c r="G24" s="2"/>
      <c r="H24" s="6">
        <v>386.22</v>
      </c>
      <c r="I24" s="2"/>
      <c r="J24" s="7">
        <f t="shared" si="14"/>
        <v>0</v>
      </c>
      <c r="K24" s="2"/>
      <c r="L24" s="6">
        <f t="shared" si="15"/>
        <v>1144.55</v>
      </c>
      <c r="M24" s="2"/>
      <c r="N24" s="7">
        <f t="shared" si="16"/>
        <v>2.9634664181036712</v>
      </c>
      <c r="O24" s="10"/>
      <c r="P24" s="6">
        <v>18875.099999999999</v>
      </c>
      <c r="Q24" s="2"/>
      <c r="R24" s="7">
        <f t="shared" si="17"/>
        <v>0.20031273029209101</v>
      </c>
      <c r="S24" s="2"/>
      <c r="T24" s="6">
        <v>14083.42</v>
      </c>
      <c r="U24" s="2"/>
      <c r="V24" s="7">
        <f t="shared" si="18"/>
        <v>2.1607464572593531E-2</v>
      </c>
      <c r="W24" s="2"/>
      <c r="X24" s="6">
        <f t="shared" si="19"/>
        <v>4791.6799999999985</v>
      </c>
      <c r="Y24" s="2"/>
      <c r="Z24" s="7">
        <f t="shared" si="20"/>
        <v>0.34023553937892914</v>
      </c>
    </row>
    <row r="25" spans="1:26" s="23" customFormat="1" hidden="1" outlineLevel="2" x14ac:dyDescent="0.25">
      <c r="A25" s="25"/>
      <c r="B25" s="10" t="str">
        <f>CONCATENATE("          ", "6112", " - ", "COMPENSATION INSURANCE")</f>
        <v xml:space="preserve">          6112 - COMPENSATION INSURANCE</v>
      </c>
      <c r="C25" s="10"/>
      <c r="D25" s="6">
        <v>608.28</v>
      </c>
      <c r="E25" s="2"/>
      <c r="F25" s="7">
        <f t="shared" si="13"/>
        <v>3.5651217297885292E-2</v>
      </c>
      <c r="G25" s="2"/>
      <c r="H25" s="6">
        <v>195.88</v>
      </c>
      <c r="I25" s="2"/>
      <c r="J25" s="7">
        <f t="shared" si="14"/>
        <v>0</v>
      </c>
      <c r="K25" s="2"/>
      <c r="L25" s="6">
        <f t="shared" si="15"/>
        <v>412.4</v>
      </c>
      <c r="M25" s="2"/>
      <c r="N25" s="7">
        <f t="shared" si="16"/>
        <v>2.1053706350827035</v>
      </c>
      <c r="O25" s="10"/>
      <c r="P25" s="6">
        <v>7974.22</v>
      </c>
      <c r="Q25" s="2"/>
      <c r="R25" s="7">
        <f t="shared" si="17"/>
        <v>8.4626718806777079E-2</v>
      </c>
      <c r="S25" s="2"/>
      <c r="T25" s="6">
        <v>8055.46</v>
      </c>
      <c r="U25" s="2"/>
      <c r="V25" s="7">
        <f t="shared" si="18"/>
        <v>1.2359076599714011E-2</v>
      </c>
      <c r="W25" s="2"/>
      <c r="X25" s="6">
        <f t="shared" si="19"/>
        <v>-81.239999999999782</v>
      </c>
      <c r="Y25" s="2"/>
      <c r="Z25" s="7">
        <f t="shared" si="20"/>
        <v>-1.0085085147216892E-2</v>
      </c>
    </row>
    <row r="26" spans="1:26" s="23" customFormat="1" hidden="1" outlineLevel="2" x14ac:dyDescent="0.25">
      <c r="A26" s="25"/>
      <c r="B26" s="10" t="str">
        <f>CONCATENATE("          ", "6113", " - ", "GROUP INSURANCE")</f>
        <v xml:space="preserve">          6113 - GROUP INSURANCE</v>
      </c>
      <c r="C26" s="10"/>
      <c r="D26" s="6">
        <v>6634.06</v>
      </c>
      <c r="E26" s="2"/>
      <c r="F26" s="7">
        <f t="shared" si="13"/>
        <v>0.38882145496680631</v>
      </c>
      <c r="G26" s="2"/>
      <c r="H26" s="6">
        <v>3371.81</v>
      </c>
      <c r="I26" s="2"/>
      <c r="J26" s="7">
        <f t="shared" si="14"/>
        <v>0</v>
      </c>
      <c r="K26" s="2"/>
      <c r="L26" s="6">
        <f t="shared" si="15"/>
        <v>3262.2500000000005</v>
      </c>
      <c r="M26" s="2"/>
      <c r="N26" s="7">
        <f t="shared" si="16"/>
        <v>0.96750706593787916</v>
      </c>
      <c r="O26" s="10"/>
      <c r="P26" s="6">
        <v>80735.75</v>
      </c>
      <c r="Q26" s="2"/>
      <c r="R26" s="7">
        <f t="shared" si="17"/>
        <v>0.85681127594977968</v>
      </c>
      <c r="S26" s="2"/>
      <c r="T26" s="6">
        <v>38508.720000000001</v>
      </c>
      <c r="U26" s="2"/>
      <c r="V26" s="7">
        <f t="shared" si="18"/>
        <v>5.9081941966931617E-2</v>
      </c>
      <c r="W26" s="2"/>
      <c r="X26" s="6">
        <f t="shared" si="19"/>
        <v>42227.03</v>
      </c>
      <c r="Y26" s="2"/>
      <c r="Z26" s="7">
        <f t="shared" si="20"/>
        <v>1.0965576108476209</v>
      </c>
    </row>
    <row r="27" spans="1:26" s="23" customFormat="1" hidden="1" outlineLevel="2" x14ac:dyDescent="0.25">
      <c r="A27" s="25"/>
      <c r="B27" s="10" t="str">
        <f>CONCATENATE("          ", "6114", " - ", "STATE UNEMPLOYMENT INSURANCE")</f>
        <v xml:space="preserve">          6114 - STATE UNEMPLOYMENT INSURANCE</v>
      </c>
      <c r="C27" s="10"/>
      <c r="D27" s="6">
        <v>51.8</v>
      </c>
      <c r="E27" s="2"/>
      <c r="F27" s="7">
        <f t="shared" si="13"/>
        <v>3.0359917406958276E-3</v>
      </c>
      <c r="G27" s="2"/>
      <c r="H27" s="6">
        <v>-632.02</v>
      </c>
      <c r="I27" s="2"/>
      <c r="J27" s="7">
        <f t="shared" si="14"/>
        <v>0</v>
      </c>
      <c r="K27" s="2"/>
      <c r="L27" s="6">
        <f t="shared" si="15"/>
        <v>683.81999999999994</v>
      </c>
      <c r="M27" s="2"/>
      <c r="N27" s="7">
        <f t="shared" si="16"/>
        <v>-1.0819594316635548</v>
      </c>
      <c r="O27" s="10"/>
      <c r="P27" s="6">
        <v>698.73</v>
      </c>
      <c r="Q27" s="2"/>
      <c r="R27" s="7">
        <f t="shared" si="17"/>
        <v>7.4152992056726987E-3</v>
      </c>
      <c r="S27" s="2"/>
      <c r="T27" s="6">
        <v>0</v>
      </c>
      <c r="U27" s="2"/>
      <c r="V27" s="7">
        <f t="shared" si="18"/>
        <v>0</v>
      </c>
      <c r="W27" s="2"/>
      <c r="X27" s="6">
        <f t="shared" si="19"/>
        <v>698.73</v>
      </c>
      <c r="Y27" s="2"/>
      <c r="Z27" s="7">
        <f t="shared" si="20"/>
        <v>0</v>
      </c>
    </row>
    <row r="28" spans="1:26" s="23" customFormat="1" hidden="1" outlineLevel="2" x14ac:dyDescent="0.25">
      <c r="A28" s="25"/>
      <c r="B28" s="10" t="str">
        <f>CONCATENATE("          ", "6115", " - ", "P.E.R.S.")</f>
        <v xml:space="preserve">          6115 - P.E.R.S.</v>
      </c>
      <c r="C28" s="10"/>
      <c r="D28" s="6">
        <v>2343.89</v>
      </c>
      <c r="E28" s="2"/>
      <c r="F28" s="7">
        <f t="shared" si="13"/>
        <v>0.13737510967373637</v>
      </c>
      <c r="G28" s="2"/>
      <c r="H28" s="6">
        <v>352.64</v>
      </c>
      <c r="I28" s="2"/>
      <c r="J28" s="7">
        <f t="shared" si="14"/>
        <v>0</v>
      </c>
      <c r="K28" s="2"/>
      <c r="L28" s="6">
        <f t="shared" si="15"/>
        <v>1991.25</v>
      </c>
      <c r="M28" s="2"/>
      <c r="N28" s="7">
        <f t="shared" si="16"/>
        <v>5.6466935117967338</v>
      </c>
      <c r="O28" s="10"/>
      <c r="P28" s="6">
        <v>19834.61</v>
      </c>
      <c r="Q28" s="2"/>
      <c r="R28" s="7">
        <f t="shared" si="17"/>
        <v>0.21049556735481198</v>
      </c>
      <c r="S28" s="2"/>
      <c r="T28" s="6">
        <v>6682.96</v>
      </c>
      <c r="U28" s="2"/>
      <c r="V28" s="7">
        <f t="shared" si="18"/>
        <v>1.0253320673533821E-2</v>
      </c>
      <c r="W28" s="2"/>
      <c r="X28" s="6">
        <f t="shared" si="19"/>
        <v>13151.650000000001</v>
      </c>
      <c r="Y28" s="2"/>
      <c r="Z28" s="7">
        <f t="shared" si="20"/>
        <v>1.9679378598704769</v>
      </c>
    </row>
    <row r="29" spans="1:26" s="23" customFormat="1" hidden="1" outlineLevel="2" x14ac:dyDescent="0.25">
      <c r="A29" s="25"/>
      <c r="B29" s="10" t="str">
        <f>CONCATENATE("          ", "6118", " - ", "VACATION")</f>
        <v xml:space="preserve">          6118 - VACATION</v>
      </c>
      <c r="C29" s="10"/>
      <c r="D29" s="6">
        <v>1440.4</v>
      </c>
      <c r="E29" s="2"/>
      <c r="F29" s="7">
        <f t="shared" si="13"/>
        <v>8.4421669947843073E-2</v>
      </c>
      <c r="G29" s="2"/>
      <c r="H29" s="6">
        <v>290.92</v>
      </c>
      <c r="I29" s="2"/>
      <c r="J29" s="7">
        <f t="shared" si="14"/>
        <v>0</v>
      </c>
      <c r="K29" s="2"/>
      <c r="L29" s="6">
        <f t="shared" si="15"/>
        <v>1149.48</v>
      </c>
      <c r="M29" s="2"/>
      <c r="N29" s="7">
        <f t="shared" si="16"/>
        <v>3.9511893304001098</v>
      </c>
      <c r="O29" s="10"/>
      <c r="P29" s="6">
        <v>18139.68</v>
      </c>
      <c r="Q29" s="2"/>
      <c r="R29" s="7">
        <f t="shared" si="17"/>
        <v>0.19250805703942431</v>
      </c>
      <c r="S29" s="2"/>
      <c r="T29" s="6">
        <v>9445.0300000000007</v>
      </c>
      <c r="U29" s="2"/>
      <c r="V29" s="7">
        <f t="shared" si="18"/>
        <v>1.4491022146047132E-2</v>
      </c>
      <c r="W29" s="2"/>
      <c r="X29" s="6">
        <f t="shared" si="19"/>
        <v>8694.65</v>
      </c>
      <c r="Y29" s="2"/>
      <c r="Z29" s="7">
        <f t="shared" si="20"/>
        <v>0.92055292571860536</v>
      </c>
    </row>
    <row r="30" spans="1:26" s="23" customFormat="1" hidden="1" outlineLevel="2" x14ac:dyDescent="0.25">
      <c r="A30" s="25"/>
      <c r="B30" s="10" t="str">
        <f>CONCATENATE("          ", "6119", " - ", "SICK LEAVE")</f>
        <v xml:space="preserve">          6119 - SICK LEAVE</v>
      </c>
      <c r="C30" s="10"/>
      <c r="D30" s="6">
        <v>872.28</v>
      </c>
      <c r="E30" s="2"/>
      <c r="F30" s="7">
        <f t="shared" si="13"/>
        <v>5.1124225397184496E-2</v>
      </c>
      <c r="G30" s="2"/>
      <c r="H30" s="6">
        <v>232.86</v>
      </c>
      <c r="I30" s="2"/>
      <c r="J30" s="7">
        <f t="shared" si="14"/>
        <v>0</v>
      </c>
      <c r="K30" s="2"/>
      <c r="L30" s="6">
        <f t="shared" si="15"/>
        <v>639.41999999999996</v>
      </c>
      <c r="M30" s="2"/>
      <c r="N30" s="7">
        <f t="shared" si="16"/>
        <v>2.7459417675856734</v>
      </c>
      <c r="O30" s="10"/>
      <c r="P30" s="6">
        <v>11254.42</v>
      </c>
      <c r="Q30" s="2"/>
      <c r="R30" s="7">
        <f t="shared" si="17"/>
        <v>0.11943796843746073</v>
      </c>
      <c r="S30" s="2"/>
      <c r="T30" s="6">
        <v>9126.6299999999992</v>
      </c>
      <c r="U30" s="2"/>
      <c r="V30" s="7">
        <f t="shared" si="18"/>
        <v>1.4002517456141285E-2</v>
      </c>
      <c r="W30" s="2"/>
      <c r="X30" s="6">
        <f t="shared" si="19"/>
        <v>2127.7900000000009</v>
      </c>
      <c r="Y30" s="2"/>
      <c r="Z30" s="7">
        <f t="shared" si="20"/>
        <v>0.23314081977685094</v>
      </c>
    </row>
    <row r="31" spans="1:26" s="23" customFormat="1" hidden="1" outlineLevel="2" x14ac:dyDescent="0.25">
      <c r="A31" s="25"/>
      <c r="B31" s="10" t="str">
        <f>CONCATENATE("          ", "6156", " - ", "EMPLOYEE MEALS")</f>
        <v xml:space="preserve">          6156 - EMPLOYEE MEALS</v>
      </c>
      <c r="C31" s="10"/>
      <c r="D31" s="6">
        <v>635.66</v>
      </c>
      <c r="E31" s="2"/>
      <c r="F31" s="7">
        <f t="shared" si="13"/>
        <v>3.7255955789395945E-2</v>
      </c>
      <c r="G31" s="2"/>
      <c r="H31" s="6">
        <v>196.81</v>
      </c>
      <c r="I31" s="2"/>
      <c r="J31" s="7">
        <f t="shared" si="14"/>
        <v>0</v>
      </c>
      <c r="K31" s="2"/>
      <c r="L31" s="6">
        <f t="shared" si="15"/>
        <v>438.84999999999997</v>
      </c>
      <c r="M31" s="2"/>
      <c r="N31" s="7">
        <f t="shared" si="16"/>
        <v>2.2298155581525325</v>
      </c>
      <c r="O31" s="10"/>
      <c r="P31" s="6">
        <v>5648.47</v>
      </c>
      <c r="Q31" s="2"/>
      <c r="R31" s="7">
        <f t="shared" si="17"/>
        <v>5.9944606792704004E-2</v>
      </c>
      <c r="S31" s="2"/>
      <c r="T31" s="6">
        <v>3231.08</v>
      </c>
      <c r="U31" s="2"/>
      <c r="V31" s="7">
        <f t="shared" si="18"/>
        <v>4.9572793136337277E-3</v>
      </c>
      <c r="W31" s="2"/>
      <c r="X31" s="6">
        <f t="shared" si="19"/>
        <v>2417.3900000000003</v>
      </c>
      <c r="Y31" s="2"/>
      <c r="Z31" s="7">
        <f t="shared" si="20"/>
        <v>0.74816779528826283</v>
      </c>
    </row>
    <row r="32" spans="1:26" s="27" customFormat="1" outlineLevel="1" collapsed="1" x14ac:dyDescent="0.25">
      <c r="A32" s="26"/>
      <c r="B32" s="12" t="str">
        <f>CONCATENATE("     ","*Payroll                                          ")</f>
        <v xml:space="preserve">     *Payroll                                          </v>
      </c>
      <c r="C32" s="12"/>
      <c r="D32" s="1">
        <f>SUM(OSRRefD22_1x_0)</f>
        <v>16852.73</v>
      </c>
      <c r="E32" s="1"/>
      <c r="F32" s="5">
        <f t="shared" ref="F32:F38" si="21">IF(D$12=0,0,D32/D$12)</f>
        <v>0.98773646888372202</v>
      </c>
      <c r="G32" s="1"/>
      <c r="H32" s="1">
        <f>SUM(OSRRefH22_1x_0)</f>
        <v>5048.58</v>
      </c>
      <c r="I32" s="1"/>
      <c r="J32" s="5">
        <f t="shared" ref="J32:J38" si="22">IF(H$12=0,0,H32/H$12)</f>
        <v>0</v>
      </c>
      <c r="K32" s="1"/>
      <c r="L32" s="1">
        <f t="shared" ref="L32:L38" si="23">+D32-H32</f>
        <v>11804.15</v>
      </c>
      <c r="M32" s="1"/>
      <c r="N32" s="5">
        <f t="shared" ref="N32:N38" si="24">IF(H32=0,0,L32/H32)</f>
        <v>2.3381128951111005</v>
      </c>
      <c r="O32" s="12"/>
      <c r="P32" s="1">
        <f>SUM(OSRRefP22_1x_0)</f>
        <v>208764.41999999998</v>
      </c>
      <c r="Q32" s="1"/>
      <c r="R32" s="5">
        <f t="shared" ref="R32:R38" si="25">IF(P$12=0,0,P32/P$12)</f>
        <v>2.2155204983308598</v>
      </c>
      <c r="S32" s="1"/>
      <c r="T32" s="1">
        <f>SUM(OSRRefT22_1x_0)</f>
        <v>235600.61</v>
      </c>
      <c r="U32" s="1"/>
      <c r="V32" s="5">
        <f t="shared" ref="V32:V38" si="26">IF(T$12=0,0,T32/T$12)</f>
        <v>0.36146985844748114</v>
      </c>
      <c r="W32" s="1"/>
      <c r="X32" s="1">
        <f t="shared" ref="X32:X38" si="27">+P32-T32</f>
        <v>-26836.190000000002</v>
      </c>
      <c r="Y32" s="1"/>
      <c r="Z32" s="5">
        <f t="shared" ref="Z32:Z38" si="28">IF(T32=0,0,X32/T32)</f>
        <v>-0.1139054351344846</v>
      </c>
    </row>
    <row r="33" spans="1:26" s="23" customFormat="1" hidden="1" outlineLevel="2" x14ac:dyDescent="0.25">
      <c r="A33" s="25"/>
      <c r="B33" s="10" t="str">
        <f>CONCATENATE("          ", "6002", " - ", "STAFF SALARIES")</f>
        <v xml:space="preserve">          6002 - STAFF SALARIES</v>
      </c>
      <c r="C33" s="10"/>
      <c r="D33" s="6">
        <v>12905.62</v>
      </c>
      <c r="E33" s="2"/>
      <c r="F33" s="7">
        <f t="shared" si="21"/>
        <v>0.75639682873665814</v>
      </c>
      <c r="G33" s="2"/>
      <c r="H33" s="6">
        <v>5048.58</v>
      </c>
      <c r="I33" s="2"/>
      <c r="J33" s="7">
        <f t="shared" si="22"/>
        <v>0</v>
      </c>
      <c r="K33" s="2"/>
      <c r="L33" s="6">
        <f t="shared" si="23"/>
        <v>7857.0400000000009</v>
      </c>
      <c r="M33" s="2"/>
      <c r="N33" s="7">
        <f t="shared" si="24"/>
        <v>1.5562871143965236</v>
      </c>
      <c r="O33" s="10"/>
      <c r="P33" s="6">
        <v>169250.19</v>
      </c>
      <c r="Q33" s="2"/>
      <c r="R33" s="7">
        <f t="shared" si="25"/>
        <v>1.796174201003182</v>
      </c>
      <c r="S33" s="2"/>
      <c r="T33" s="6">
        <v>57401.88</v>
      </c>
      <c r="U33" s="2"/>
      <c r="V33" s="7">
        <f t="shared" si="26"/>
        <v>8.8068742429059502E-2</v>
      </c>
      <c r="W33" s="2"/>
      <c r="X33" s="6">
        <f t="shared" si="27"/>
        <v>111848.31</v>
      </c>
      <c r="Y33" s="2"/>
      <c r="Z33" s="7">
        <f t="shared" si="28"/>
        <v>1.9485130103752699</v>
      </c>
    </row>
    <row r="34" spans="1:26" s="23" customFormat="1" hidden="1" outlineLevel="2" x14ac:dyDescent="0.25">
      <c r="A34" s="25"/>
      <c r="B34" s="10" t="str">
        <f>CONCATENATE("          ", "6004", " - ", "STAFF HOURLY")</f>
        <v xml:space="preserve">          6004 - STAFF HOURLY</v>
      </c>
      <c r="C34" s="10"/>
      <c r="D34" s="6">
        <v>3068.89</v>
      </c>
      <c r="E34" s="2"/>
      <c r="F34" s="7">
        <f t="shared" si="21"/>
        <v>0.17986727206764516</v>
      </c>
      <c r="G34" s="2"/>
      <c r="H34" s="6"/>
      <c r="I34" s="2"/>
      <c r="J34" s="7">
        <f t="shared" si="22"/>
        <v>0</v>
      </c>
      <c r="K34" s="2"/>
      <c r="L34" s="6">
        <f t="shared" si="23"/>
        <v>3068.89</v>
      </c>
      <c r="M34" s="2"/>
      <c r="N34" s="7">
        <f t="shared" si="24"/>
        <v>0</v>
      </c>
      <c r="O34" s="10"/>
      <c r="P34" s="6">
        <v>34461.919999999998</v>
      </c>
      <c r="Q34" s="2"/>
      <c r="R34" s="7">
        <f t="shared" si="25"/>
        <v>0.3657284616403419</v>
      </c>
      <c r="S34" s="2"/>
      <c r="T34" s="6">
        <v>30886.32</v>
      </c>
      <c r="U34" s="2"/>
      <c r="V34" s="7">
        <f t="shared" si="26"/>
        <v>4.7387286978431878E-2</v>
      </c>
      <c r="W34" s="2"/>
      <c r="X34" s="6">
        <f t="shared" si="27"/>
        <v>3575.5999999999985</v>
      </c>
      <c r="Y34" s="2"/>
      <c r="Z34" s="7">
        <f t="shared" si="28"/>
        <v>0.11576646230434699</v>
      </c>
    </row>
    <row r="35" spans="1:26" s="23" customFormat="1" hidden="1" outlineLevel="2" x14ac:dyDescent="0.25">
      <c r="A35" s="25"/>
      <c r="B35" s="10" t="str">
        <f>CONCATENATE("          ", "6005", " - ", "TEMPORARY WAGES-HOURLY")</f>
        <v xml:space="preserve">          6005 - TEMPORARY WAGES-HOURLY</v>
      </c>
      <c r="C35" s="10"/>
      <c r="D35" s="6">
        <v>792.54</v>
      </c>
      <c r="E35" s="2"/>
      <c r="F35" s="7">
        <f t="shared" si="21"/>
        <v>4.6450673632646169E-2</v>
      </c>
      <c r="G35" s="2"/>
      <c r="H35" s="6"/>
      <c r="I35" s="2"/>
      <c r="J35" s="7">
        <f t="shared" si="22"/>
        <v>0</v>
      </c>
      <c r="K35" s="2"/>
      <c r="L35" s="6">
        <f t="shared" si="23"/>
        <v>792.54</v>
      </c>
      <c r="M35" s="2"/>
      <c r="N35" s="7">
        <f t="shared" si="24"/>
        <v>0</v>
      </c>
      <c r="O35" s="10"/>
      <c r="P35" s="6">
        <v>4818.9399999999996</v>
      </c>
      <c r="Q35" s="2"/>
      <c r="R35" s="7">
        <f t="shared" si="25"/>
        <v>5.1141187517616808E-2</v>
      </c>
      <c r="S35" s="2"/>
      <c r="T35" s="6">
        <v>71622.42</v>
      </c>
      <c r="U35" s="2"/>
      <c r="V35" s="7">
        <f t="shared" si="26"/>
        <v>0.10988658314197933</v>
      </c>
      <c r="W35" s="2"/>
      <c r="X35" s="6">
        <f t="shared" si="27"/>
        <v>-66803.48</v>
      </c>
      <c r="Y35" s="2"/>
      <c r="Z35" s="7">
        <f t="shared" si="28"/>
        <v>-0.9327174368026101</v>
      </c>
    </row>
    <row r="36" spans="1:26" s="23" customFormat="1" hidden="1" outlineLevel="2" x14ac:dyDescent="0.25">
      <c r="A36" s="25"/>
      <c r="B36" s="10" t="str">
        <f>CONCATENATE("          ", "6006", " - ", "TEMPORARY PART TIME")</f>
        <v xml:space="preserve">          6006 - TEMPORARY PART TIME</v>
      </c>
      <c r="C36" s="10"/>
      <c r="D36" s="6"/>
      <c r="E36" s="2"/>
      <c r="F36" s="7">
        <f t="shared" si="21"/>
        <v>0</v>
      </c>
      <c r="G36" s="2"/>
      <c r="H36" s="6"/>
      <c r="I36" s="2"/>
      <c r="J36" s="7">
        <f t="shared" si="22"/>
        <v>0</v>
      </c>
      <c r="K36" s="2"/>
      <c r="L36" s="6">
        <f t="shared" si="23"/>
        <v>0</v>
      </c>
      <c r="M36" s="2"/>
      <c r="N36" s="7">
        <f t="shared" si="24"/>
        <v>0</v>
      </c>
      <c r="O36" s="10"/>
      <c r="P36" s="6"/>
      <c r="Q36" s="2"/>
      <c r="R36" s="7">
        <f t="shared" si="25"/>
        <v>0</v>
      </c>
      <c r="S36" s="2"/>
      <c r="T36" s="6">
        <v>200.5</v>
      </c>
      <c r="U36" s="2"/>
      <c r="V36" s="7">
        <f t="shared" si="26"/>
        <v>3.0761680378807161E-4</v>
      </c>
      <c r="W36" s="2"/>
      <c r="X36" s="6">
        <f t="shared" si="27"/>
        <v>-200.5</v>
      </c>
      <c r="Y36" s="2"/>
      <c r="Z36" s="7">
        <f t="shared" si="28"/>
        <v>-1</v>
      </c>
    </row>
    <row r="37" spans="1:26" s="23" customFormat="1" hidden="1" outlineLevel="2" x14ac:dyDescent="0.25">
      <c r="A37" s="25"/>
      <c r="B37" s="10" t="str">
        <f>CONCATENATE("          ", "6007", " - ", "STUDENT HOURLY")</f>
        <v xml:space="preserve">          6007 - STUDENT HOURLY</v>
      </c>
      <c r="C37" s="10"/>
      <c r="D37" s="6">
        <v>85.68</v>
      </c>
      <c r="E37" s="2"/>
      <c r="F37" s="7">
        <f t="shared" si="21"/>
        <v>5.0216944467725592E-3</v>
      </c>
      <c r="G37" s="2"/>
      <c r="H37" s="6"/>
      <c r="I37" s="2"/>
      <c r="J37" s="7">
        <f t="shared" si="22"/>
        <v>0</v>
      </c>
      <c r="K37" s="2"/>
      <c r="L37" s="6">
        <f t="shared" si="23"/>
        <v>85.68</v>
      </c>
      <c r="M37" s="2"/>
      <c r="N37" s="7">
        <f t="shared" si="24"/>
        <v>0</v>
      </c>
      <c r="O37" s="10"/>
      <c r="P37" s="6">
        <v>233.37</v>
      </c>
      <c r="Q37" s="2"/>
      <c r="R37" s="7">
        <f t="shared" si="25"/>
        <v>2.4766481697191156E-3</v>
      </c>
      <c r="S37" s="2"/>
      <c r="T37" s="6">
        <v>73786.490000000005</v>
      </c>
      <c r="U37" s="2"/>
      <c r="V37" s="7">
        <f t="shared" si="26"/>
        <v>0.11320680407252123</v>
      </c>
      <c r="W37" s="2"/>
      <c r="X37" s="6">
        <f t="shared" si="27"/>
        <v>-73553.12000000001</v>
      </c>
      <c r="Y37" s="2"/>
      <c r="Z37" s="7">
        <f t="shared" si="28"/>
        <v>-0.99683722589324963</v>
      </c>
    </row>
    <row r="38" spans="1:26" s="23" customFormat="1" hidden="1" outlineLevel="2" x14ac:dyDescent="0.25">
      <c r="A38" s="25"/>
      <c r="B38" s="10" t="str">
        <f>CONCATENATE("          ", "6008", " - ", "STUDENT HOURLY-FICA EXEMPT")</f>
        <v xml:space="preserve">          6008 - STUDENT HOURLY-FICA EXEMPT</v>
      </c>
      <c r="C38" s="10"/>
      <c r="D38" s="6"/>
      <c r="E38" s="2"/>
      <c r="F38" s="7">
        <f t="shared" si="21"/>
        <v>0</v>
      </c>
      <c r="G38" s="2"/>
      <c r="H38" s="6"/>
      <c r="I38" s="2"/>
      <c r="J38" s="7">
        <f t="shared" si="22"/>
        <v>0</v>
      </c>
      <c r="K38" s="2"/>
      <c r="L38" s="6">
        <f t="shared" si="23"/>
        <v>0</v>
      </c>
      <c r="M38" s="2"/>
      <c r="N38" s="7">
        <f t="shared" si="24"/>
        <v>0</v>
      </c>
      <c r="O38" s="10"/>
      <c r="P38" s="6"/>
      <c r="Q38" s="2"/>
      <c r="R38" s="7">
        <f t="shared" si="25"/>
        <v>0</v>
      </c>
      <c r="S38" s="2"/>
      <c r="T38" s="6">
        <v>1703</v>
      </c>
      <c r="U38" s="2"/>
      <c r="V38" s="7">
        <f t="shared" si="26"/>
        <v>2.6128250217011765E-3</v>
      </c>
      <c r="W38" s="2"/>
      <c r="X38" s="6">
        <f t="shared" si="27"/>
        <v>-1703</v>
      </c>
      <c r="Y38" s="2"/>
      <c r="Z38" s="7">
        <f t="shared" si="28"/>
        <v>-1</v>
      </c>
    </row>
    <row r="39" spans="1:26" s="27" customFormat="1" outlineLevel="1" collapsed="1" x14ac:dyDescent="0.25">
      <c r="A39" s="26"/>
      <c r="B39" s="12" t="str">
        <f>CONCATENATE("     ","Advertising/Promo                                 ")</f>
        <v xml:space="preserve">     Advertising/Promo                                 </v>
      </c>
      <c r="C39" s="12"/>
      <c r="D39" s="1">
        <f>SUM(OSRRefD22_2x_0)</f>
        <v>38.29</v>
      </c>
      <c r="E39" s="1"/>
      <c r="F39" s="5">
        <f t="shared" ref="F39:F47" si="29">IF(D$12=0,0,D39/D$12)</f>
        <v>2.244172273190024E-3</v>
      </c>
      <c r="G39" s="1"/>
      <c r="H39" s="1">
        <f>SUM(OSRRefH22_2x_0)</f>
        <v>0</v>
      </c>
      <c r="I39" s="1"/>
      <c r="J39" s="5">
        <f t="shared" ref="J39:J47" si="30">IF(H$12=0,0,H39/H$12)</f>
        <v>0</v>
      </c>
      <c r="K39" s="1"/>
      <c r="L39" s="1">
        <f t="shared" ref="L39:L47" si="31">+D39-H39</f>
        <v>38.29</v>
      </c>
      <c r="M39" s="1"/>
      <c r="N39" s="5">
        <f t="shared" ref="N39:N47" si="32">IF(H39=0,0,L39/H39)</f>
        <v>0</v>
      </c>
      <c r="O39" s="12"/>
      <c r="P39" s="1">
        <f>SUM(OSRRefP22_2x_0)</f>
        <v>338.36</v>
      </c>
      <c r="Q39" s="1"/>
      <c r="R39" s="5">
        <f t="shared" ref="R39:R47" si="33">IF(P$12=0,0,P39/P$12)</f>
        <v>3.5908586138156577E-3</v>
      </c>
      <c r="S39" s="1"/>
      <c r="T39" s="1">
        <f>SUM(OSRRefT22_2x_0)</f>
        <v>6418.96</v>
      </c>
      <c r="U39" s="1"/>
      <c r="V39" s="5">
        <f t="shared" ref="V39:V47" si="34">IF(T$12=0,0,T39/T$12)</f>
        <v>9.8482790964762104E-3</v>
      </c>
      <c r="W39" s="1"/>
      <c r="X39" s="1">
        <f t="shared" ref="X39:X47" si="35">+P39-T39</f>
        <v>-6080.6</v>
      </c>
      <c r="Y39" s="1"/>
      <c r="Z39" s="5">
        <f t="shared" ref="Z39:Z47" si="36">IF(T39=0,0,X39/T39)</f>
        <v>-0.94728741104477987</v>
      </c>
    </row>
    <row r="40" spans="1:26" s="23" customFormat="1" hidden="1" outlineLevel="2" x14ac:dyDescent="0.25">
      <c r="A40" s="25"/>
      <c r="B40" s="10" t="str">
        <f>CONCATENATE("          ", "6362", " - ", "ADVERTISING EXPENSE")</f>
        <v xml:space="preserve">          6362 - ADVERTISING EXPENSE</v>
      </c>
      <c r="C40" s="10"/>
      <c r="D40" s="6">
        <v>38.29</v>
      </c>
      <c r="E40" s="2"/>
      <c r="F40" s="7">
        <f t="shared" si="29"/>
        <v>2.244172273190024E-3</v>
      </c>
      <c r="G40" s="2"/>
      <c r="H40" s="6"/>
      <c r="I40" s="2"/>
      <c r="J40" s="7">
        <f t="shared" si="30"/>
        <v>0</v>
      </c>
      <c r="K40" s="2"/>
      <c r="L40" s="6">
        <f t="shared" si="31"/>
        <v>38.29</v>
      </c>
      <c r="M40" s="2"/>
      <c r="N40" s="7">
        <f t="shared" si="32"/>
        <v>0</v>
      </c>
      <c r="O40" s="10"/>
      <c r="P40" s="6">
        <v>338.36</v>
      </c>
      <c r="Q40" s="2"/>
      <c r="R40" s="7">
        <f t="shared" si="33"/>
        <v>3.5908586138156577E-3</v>
      </c>
      <c r="S40" s="2"/>
      <c r="T40" s="6">
        <v>6418.96</v>
      </c>
      <c r="U40" s="2"/>
      <c r="V40" s="7">
        <f t="shared" si="34"/>
        <v>9.8482790964762104E-3</v>
      </c>
      <c r="W40" s="2"/>
      <c r="X40" s="6">
        <f t="shared" si="35"/>
        <v>-6080.6</v>
      </c>
      <c r="Y40" s="2"/>
      <c r="Z40" s="7">
        <f t="shared" si="36"/>
        <v>-0.94728741104477987</v>
      </c>
    </row>
    <row r="41" spans="1:26" s="27" customFormat="1" outlineLevel="1" collapsed="1" x14ac:dyDescent="0.25">
      <c r="A41" s="26"/>
      <c r="B41" s="12" t="str">
        <f>CONCATENATE("     ","Bad Debts/Over/Short                              ")</f>
        <v xml:space="preserve">     Bad Debts/Over/Short                              </v>
      </c>
      <c r="C41" s="12"/>
      <c r="D41" s="1">
        <f>SUM(OSRRefD22_3x_0)</f>
        <v>-2.67</v>
      </c>
      <c r="E41" s="1"/>
      <c r="F41" s="5">
        <f t="shared" si="29"/>
        <v>-1.5648837736791237E-4</v>
      </c>
      <c r="G41" s="1"/>
      <c r="H41" s="1">
        <f>SUM(OSRRefH22_3x_0)</f>
        <v>0</v>
      </c>
      <c r="I41" s="1"/>
      <c r="J41" s="5">
        <f t="shared" si="30"/>
        <v>0</v>
      </c>
      <c r="K41" s="1"/>
      <c r="L41" s="1">
        <f t="shared" si="31"/>
        <v>-2.67</v>
      </c>
      <c r="M41" s="1"/>
      <c r="N41" s="5">
        <f t="shared" si="32"/>
        <v>0</v>
      </c>
      <c r="O41" s="12"/>
      <c r="P41" s="1">
        <f>SUM(OSRRefP22_3x_0)</f>
        <v>13.53</v>
      </c>
      <c r="Q41" s="1"/>
      <c r="R41" s="5">
        <f t="shared" si="33"/>
        <v>1.4358764938209552E-4</v>
      </c>
      <c r="S41" s="1"/>
      <c r="T41" s="1">
        <f>SUM(OSRRefT22_3x_0)</f>
        <v>-37.450000000000003</v>
      </c>
      <c r="U41" s="1"/>
      <c r="V41" s="5">
        <f t="shared" si="34"/>
        <v>-5.7457602503058765E-5</v>
      </c>
      <c r="W41" s="1"/>
      <c r="X41" s="1">
        <f t="shared" si="35"/>
        <v>50.980000000000004</v>
      </c>
      <c r="Y41" s="1"/>
      <c r="Z41" s="5">
        <f t="shared" si="36"/>
        <v>-1.3612817089452605</v>
      </c>
    </row>
    <row r="42" spans="1:26" s="23" customFormat="1" hidden="1" outlineLevel="2" x14ac:dyDescent="0.25">
      <c r="A42" s="25"/>
      <c r="B42" s="10" t="str">
        <f>CONCATENATE("          ", "6272", " - ", "CASH (OVER/SHORT)")</f>
        <v xml:space="preserve">          6272 - CASH (OVER/SHORT)</v>
      </c>
      <c r="C42" s="10"/>
      <c r="D42" s="6">
        <v>-2.67</v>
      </c>
      <c r="E42" s="2"/>
      <c r="F42" s="7">
        <f t="shared" si="29"/>
        <v>-1.5648837736791237E-4</v>
      </c>
      <c r="G42" s="2"/>
      <c r="H42" s="6"/>
      <c r="I42" s="2"/>
      <c r="J42" s="7">
        <f t="shared" si="30"/>
        <v>0</v>
      </c>
      <c r="K42" s="2"/>
      <c r="L42" s="6">
        <f t="shared" si="31"/>
        <v>-2.67</v>
      </c>
      <c r="M42" s="2"/>
      <c r="N42" s="7">
        <f t="shared" si="32"/>
        <v>0</v>
      </c>
      <c r="O42" s="10"/>
      <c r="P42" s="6">
        <v>13.53</v>
      </c>
      <c r="Q42" s="2"/>
      <c r="R42" s="7">
        <f t="shared" si="33"/>
        <v>1.4358764938209552E-4</v>
      </c>
      <c r="S42" s="2"/>
      <c r="T42" s="6">
        <v>-37.450000000000003</v>
      </c>
      <c r="U42" s="2"/>
      <c r="V42" s="7">
        <f t="shared" si="34"/>
        <v>-5.7457602503058765E-5</v>
      </c>
      <c r="W42" s="2"/>
      <c r="X42" s="6">
        <f t="shared" si="35"/>
        <v>50.980000000000004</v>
      </c>
      <c r="Y42" s="2"/>
      <c r="Z42" s="7">
        <f t="shared" si="36"/>
        <v>-1.3612817089452605</v>
      </c>
    </row>
    <row r="43" spans="1:26" s="27" customFormat="1" outlineLevel="1" collapsed="1" x14ac:dyDescent="0.25">
      <c r="A43" s="26"/>
      <c r="B43" s="12" t="str">
        <f>CONCATENATE("     ","Bank/card Fees                                    ")</f>
        <v xml:space="preserve">     Bank/card Fees                                    </v>
      </c>
      <c r="C43" s="12"/>
      <c r="D43" s="1">
        <f>SUM(OSRRefD22_4x_0)</f>
        <v>510.58</v>
      </c>
      <c r="E43" s="1"/>
      <c r="F43" s="5">
        <f t="shared" si="29"/>
        <v>2.992503210356131E-2</v>
      </c>
      <c r="G43" s="1"/>
      <c r="H43" s="1">
        <f>SUM(OSRRefH22_4x_0)</f>
        <v>0</v>
      </c>
      <c r="I43" s="1"/>
      <c r="J43" s="5">
        <f t="shared" si="30"/>
        <v>0</v>
      </c>
      <c r="K43" s="1"/>
      <c r="L43" s="1">
        <f t="shared" si="31"/>
        <v>510.58</v>
      </c>
      <c r="M43" s="1"/>
      <c r="N43" s="5">
        <f t="shared" si="32"/>
        <v>0</v>
      </c>
      <c r="O43" s="12"/>
      <c r="P43" s="1">
        <f>SUM(OSRRefP22_4x_0)</f>
        <v>2909.49</v>
      </c>
      <c r="Q43" s="1"/>
      <c r="R43" s="5">
        <f t="shared" si="33"/>
        <v>3.0877075388079312E-2</v>
      </c>
      <c r="S43" s="1"/>
      <c r="T43" s="1">
        <f>SUM(OSRRefT22_4x_0)</f>
        <v>27203.67</v>
      </c>
      <c r="U43" s="1"/>
      <c r="V43" s="5">
        <f t="shared" si="34"/>
        <v>4.17371871157379E-2</v>
      </c>
      <c r="W43" s="1"/>
      <c r="X43" s="1">
        <f t="shared" si="35"/>
        <v>-24294.18</v>
      </c>
      <c r="Y43" s="1"/>
      <c r="Z43" s="5">
        <f t="shared" si="36"/>
        <v>-0.89304788655354228</v>
      </c>
    </row>
    <row r="44" spans="1:26" s="23" customFormat="1" hidden="1" outlineLevel="2" x14ac:dyDescent="0.25">
      <c r="A44" s="25"/>
      <c r="B44" s="10" t="str">
        <f>CONCATENATE("          ", "6381", " - ", "BANK/CREDIT CARD FEES")</f>
        <v xml:space="preserve">          6381 - BANK/CREDIT CARD FEES</v>
      </c>
      <c r="C44" s="10"/>
      <c r="D44" s="6">
        <v>510.58</v>
      </c>
      <c r="E44" s="2"/>
      <c r="F44" s="7">
        <f t="shared" si="29"/>
        <v>2.992503210356131E-2</v>
      </c>
      <c r="G44" s="2"/>
      <c r="H44" s="6"/>
      <c r="I44" s="2"/>
      <c r="J44" s="7">
        <f t="shared" si="30"/>
        <v>0</v>
      </c>
      <c r="K44" s="2"/>
      <c r="L44" s="6">
        <f t="shared" si="31"/>
        <v>510.58</v>
      </c>
      <c r="M44" s="2"/>
      <c r="N44" s="7">
        <f t="shared" si="32"/>
        <v>0</v>
      </c>
      <c r="O44" s="10"/>
      <c r="P44" s="6">
        <v>2909.49</v>
      </c>
      <c r="Q44" s="2"/>
      <c r="R44" s="7">
        <f t="shared" si="33"/>
        <v>3.0877075388079312E-2</v>
      </c>
      <c r="S44" s="2"/>
      <c r="T44" s="6">
        <v>27203.67</v>
      </c>
      <c r="U44" s="2"/>
      <c r="V44" s="7">
        <f t="shared" si="34"/>
        <v>4.17371871157379E-2</v>
      </c>
      <c r="W44" s="2"/>
      <c r="X44" s="6">
        <f t="shared" si="35"/>
        <v>-24294.18</v>
      </c>
      <c r="Y44" s="2"/>
      <c r="Z44" s="7">
        <f t="shared" si="36"/>
        <v>-0.89304788655354228</v>
      </c>
    </row>
    <row r="45" spans="1:26" s="27" customFormat="1" outlineLevel="1" collapsed="1" x14ac:dyDescent="0.25">
      <c r="A45" s="26"/>
      <c r="B45" s="12" t="str">
        <f>CONCATENATE("     ","Depreciation                                      ")</f>
        <v xml:space="preserve">     Depreciation                                      </v>
      </c>
      <c r="C45" s="12"/>
      <c r="D45" s="1">
        <f>SUM(OSRRefD22_5x_0)</f>
        <v>14006.39</v>
      </c>
      <c r="E45" s="1"/>
      <c r="F45" s="5">
        <f t="shared" si="29"/>
        <v>0.82091282542402777</v>
      </c>
      <c r="G45" s="1"/>
      <c r="H45" s="1">
        <f>SUM(OSRRefH22_5x_0)</f>
        <v>13686.800000000001</v>
      </c>
      <c r="I45" s="1"/>
      <c r="J45" s="5">
        <f t="shared" si="30"/>
        <v>0</v>
      </c>
      <c r="K45" s="1"/>
      <c r="L45" s="1">
        <f t="shared" si="31"/>
        <v>319.58999999999833</v>
      </c>
      <c r="M45" s="1"/>
      <c r="N45" s="5">
        <f t="shared" si="32"/>
        <v>2.3350235263173154E-2</v>
      </c>
      <c r="O45" s="12"/>
      <c r="P45" s="1">
        <f>SUM(OSRRefP22_5x_0)</f>
        <v>166897.19</v>
      </c>
      <c r="Q45" s="1"/>
      <c r="R45" s="5">
        <f t="shared" si="33"/>
        <v>1.771202897307981</v>
      </c>
      <c r="S45" s="1"/>
      <c r="T45" s="1">
        <f>SUM(OSRRefT22_5x_0)</f>
        <v>161961.41999999998</v>
      </c>
      <c r="U45" s="1"/>
      <c r="V45" s="5">
        <f t="shared" si="34"/>
        <v>0.24848904916397729</v>
      </c>
      <c r="W45" s="1"/>
      <c r="X45" s="1">
        <f t="shared" si="35"/>
        <v>4935.7700000000186</v>
      </c>
      <c r="Y45" s="1"/>
      <c r="Z45" s="5">
        <f t="shared" si="36"/>
        <v>3.0474973607912421E-2</v>
      </c>
    </row>
    <row r="46" spans="1:26" s="23" customFormat="1" hidden="1" outlineLevel="2" x14ac:dyDescent="0.25">
      <c r="A46" s="25"/>
      <c r="B46" s="10" t="str">
        <f>CONCATENATE("          ", "6321", " - ", "BUILDING DEPRECIATION")</f>
        <v xml:space="preserve">          6321 - BUILDING DEPRECIATION</v>
      </c>
      <c r="C46" s="10"/>
      <c r="D46" s="6">
        <v>10597.27</v>
      </c>
      <c r="E46" s="2"/>
      <c r="F46" s="7">
        <f t="shared" si="29"/>
        <v>0.62110471416841073</v>
      </c>
      <c r="G46" s="2"/>
      <c r="H46" s="6">
        <v>10597.27</v>
      </c>
      <c r="I46" s="2"/>
      <c r="J46" s="7">
        <f t="shared" si="30"/>
        <v>0</v>
      </c>
      <c r="K46" s="2"/>
      <c r="L46" s="6">
        <f t="shared" si="31"/>
        <v>0</v>
      </c>
      <c r="M46" s="2"/>
      <c r="N46" s="7">
        <f t="shared" si="32"/>
        <v>0</v>
      </c>
      <c r="O46" s="10"/>
      <c r="P46" s="6">
        <v>127167.13</v>
      </c>
      <c r="Q46" s="2"/>
      <c r="R46" s="7">
        <f t="shared" si="33"/>
        <v>1.3495660957403817</v>
      </c>
      <c r="S46" s="2"/>
      <c r="T46" s="6">
        <v>127334.33</v>
      </c>
      <c r="U46" s="2"/>
      <c r="V46" s="7">
        <f t="shared" si="34"/>
        <v>0.19536249180596288</v>
      </c>
      <c r="W46" s="2"/>
      <c r="X46" s="6">
        <f t="shared" si="35"/>
        <v>-167.19999999999709</v>
      </c>
      <c r="Y46" s="2"/>
      <c r="Z46" s="7">
        <f t="shared" si="36"/>
        <v>-1.3130787274727646E-3</v>
      </c>
    </row>
    <row r="47" spans="1:26" s="23" customFormat="1" hidden="1" outlineLevel="2" x14ac:dyDescent="0.25">
      <c r="A47" s="25"/>
      <c r="B47" s="10" t="str">
        <f>CONCATENATE("          ", "6322", " - ", "EQUIPMENT DEPRECIATION EXPENSE")</f>
        <v xml:space="preserve">          6322 - EQUIPMENT DEPRECIATION EXPENSE</v>
      </c>
      <c r="C47" s="10"/>
      <c r="D47" s="6">
        <v>3409.12</v>
      </c>
      <c r="E47" s="2"/>
      <c r="F47" s="7">
        <f t="shared" si="29"/>
        <v>0.19980811125561701</v>
      </c>
      <c r="G47" s="2"/>
      <c r="H47" s="6">
        <v>3089.53</v>
      </c>
      <c r="I47" s="2"/>
      <c r="J47" s="7">
        <f t="shared" si="30"/>
        <v>0</v>
      </c>
      <c r="K47" s="2"/>
      <c r="L47" s="6">
        <f t="shared" si="31"/>
        <v>319.58999999999969</v>
      </c>
      <c r="M47" s="2"/>
      <c r="N47" s="7">
        <f t="shared" si="32"/>
        <v>0.10344291850216689</v>
      </c>
      <c r="O47" s="10"/>
      <c r="P47" s="6">
        <v>39730.06</v>
      </c>
      <c r="Q47" s="2"/>
      <c r="R47" s="7">
        <f t="shared" si="33"/>
        <v>0.42163680156759931</v>
      </c>
      <c r="S47" s="2"/>
      <c r="T47" s="6">
        <v>34627.089999999997</v>
      </c>
      <c r="U47" s="2"/>
      <c r="V47" s="7">
        <f t="shared" si="34"/>
        <v>5.3126557358014435E-2</v>
      </c>
      <c r="W47" s="2"/>
      <c r="X47" s="6">
        <f t="shared" si="35"/>
        <v>5102.9700000000012</v>
      </c>
      <c r="Y47" s="2"/>
      <c r="Z47" s="7">
        <f t="shared" si="36"/>
        <v>0.14736929958596007</v>
      </c>
    </row>
    <row r="48" spans="1:26" s="27" customFormat="1" outlineLevel="1" collapsed="1" x14ac:dyDescent="0.25">
      <c r="A48" s="26"/>
      <c r="B48" s="12" t="str">
        <f>CONCATENATE("     ","Employees' Appreciation                           ")</f>
        <v xml:space="preserve">     Employees' Appreciation                           </v>
      </c>
      <c r="C48" s="12"/>
      <c r="D48" s="1">
        <f>SUM(OSRRefD22_6x_0)</f>
        <v>0</v>
      </c>
      <c r="E48" s="1"/>
      <c r="F48" s="5">
        <f t="shared" ref="F48:F62" si="37">IF(D$12=0,0,D48/D$12)</f>
        <v>0</v>
      </c>
      <c r="G48" s="1"/>
      <c r="H48" s="1">
        <f>SUM(OSRRefH22_6x_0)</f>
        <v>0</v>
      </c>
      <c r="I48" s="1"/>
      <c r="J48" s="5">
        <f t="shared" ref="J48:J62" si="38">IF(H$12=0,0,H48/H$12)</f>
        <v>0</v>
      </c>
      <c r="K48" s="1"/>
      <c r="L48" s="1">
        <f t="shared" ref="L48:L62" si="39">+D48-H48</f>
        <v>0</v>
      </c>
      <c r="M48" s="1"/>
      <c r="N48" s="5">
        <f t="shared" ref="N48:N62" si="40">IF(H48=0,0,L48/H48)</f>
        <v>0</v>
      </c>
      <c r="O48" s="12"/>
      <c r="P48" s="1">
        <f>SUM(OSRRefP22_6x_0)</f>
        <v>10</v>
      </c>
      <c r="Q48" s="1"/>
      <c r="R48" s="5">
        <f t="shared" ref="R48:R62" si="41">IF(P$12=0,0,P48/P$12)</f>
        <v>1.061253875699154E-4</v>
      </c>
      <c r="S48" s="1"/>
      <c r="T48" s="1">
        <f>SUM(OSRRefT22_6x_0)</f>
        <v>146.37</v>
      </c>
      <c r="U48" s="1"/>
      <c r="V48" s="5">
        <f t="shared" ref="V48:V62" si="42">IF(T$12=0,0,T48/T$12)</f>
        <v>2.2456793800728199E-4</v>
      </c>
      <c r="W48" s="1"/>
      <c r="X48" s="1">
        <f t="shared" ref="X48:X62" si="43">+P48-T48</f>
        <v>-136.37</v>
      </c>
      <c r="Y48" s="1"/>
      <c r="Z48" s="5">
        <f t="shared" ref="Z48:Z62" si="44">IF(T48=0,0,X48/T48)</f>
        <v>-0.93167998906879823</v>
      </c>
    </row>
    <row r="49" spans="1:26" s="23" customFormat="1" hidden="1" outlineLevel="2" x14ac:dyDescent="0.25">
      <c r="A49" s="25"/>
      <c r="B49" s="10" t="str">
        <f>CONCATENATE("          ", "6277", " - ", "EMPLOYEE APPRECIATION")</f>
        <v xml:space="preserve">          6277 - EMPLOYEE APPRECIATION</v>
      </c>
      <c r="C49" s="10"/>
      <c r="D49" s="6"/>
      <c r="E49" s="2"/>
      <c r="F49" s="7">
        <f t="shared" si="37"/>
        <v>0</v>
      </c>
      <c r="G49" s="2"/>
      <c r="H49" s="6"/>
      <c r="I49" s="2"/>
      <c r="J49" s="7">
        <f t="shared" si="38"/>
        <v>0</v>
      </c>
      <c r="K49" s="2"/>
      <c r="L49" s="6">
        <f t="shared" si="39"/>
        <v>0</v>
      </c>
      <c r="M49" s="2"/>
      <c r="N49" s="7">
        <f t="shared" si="40"/>
        <v>0</v>
      </c>
      <c r="O49" s="10"/>
      <c r="P49" s="6">
        <v>10</v>
      </c>
      <c r="Q49" s="2"/>
      <c r="R49" s="7">
        <f t="shared" si="41"/>
        <v>1.061253875699154E-4</v>
      </c>
      <c r="S49" s="2"/>
      <c r="T49" s="6">
        <v>146.37</v>
      </c>
      <c r="U49" s="2"/>
      <c r="V49" s="7">
        <f t="shared" si="42"/>
        <v>2.2456793800728199E-4</v>
      </c>
      <c r="W49" s="2"/>
      <c r="X49" s="6">
        <f t="shared" si="43"/>
        <v>-136.37</v>
      </c>
      <c r="Y49" s="2"/>
      <c r="Z49" s="7">
        <f t="shared" si="44"/>
        <v>-0.93167998906879823</v>
      </c>
    </row>
    <row r="50" spans="1:26" s="27" customFormat="1" outlineLevel="1" collapsed="1" x14ac:dyDescent="0.25">
      <c r="A50" s="26"/>
      <c r="B50" s="12" t="str">
        <f>CONCATENATE("     ","Equipment Rental                                  ")</f>
        <v xml:space="preserve">     Equipment Rental                                  </v>
      </c>
      <c r="C50" s="12"/>
      <c r="D50" s="1">
        <f>SUM(OSRRefD22_7x_0)</f>
        <v>267.86</v>
      </c>
      <c r="E50" s="1"/>
      <c r="F50" s="5">
        <f t="shared" si="37"/>
        <v>1.569924223287229E-2</v>
      </c>
      <c r="G50" s="1"/>
      <c r="H50" s="1">
        <f>SUM(OSRRefH22_7x_0)</f>
        <v>36.270000000000003</v>
      </c>
      <c r="I50" s="1"/>
      <c r="J50" s="5">
        <f t="shared" si="38"/>
        <v>0</v>
      </c>
      <c r="K50" s="1"/>
      <c r="L50" s="1">
        <f t="shared" si="39"/>
        <v>231.59</v>
      </c>
      <c r="M50" s="1"/>
      <c r="N50" s="5">
        <f t="shared" si="40"/>
        <v>6.385166804521643</v>
      </c>
      <c r="O50" s="12"/>
      <c r="P50" s="1">
        <f>SUM(OSRRefP22_7x_0)</f>
        <v>2361.3200000000002</v>
      </c>
      <c r="Q50" s="1"/>
      <c r="R50" s="5">
        <f t="shared" si="41"/>
        <v>2.5059600017659264E-2</v>
      </c>
      <c r="S50" s="1"/>
      <c r="T50" s="1">
        <f>SUM(OSRRefT22_7x_0)</f>
        <v>1082.9000000000001</v>
      </c>
      <c r="U50" s="1"/>
      <c r="V50" s="5">
        <f t="shared" si="42"/>
        <v>1.661437590135176E-3</v>
      </c>
      <c r="W50" s="1"/>
      <c r="X50" s="1">
        <f t="shared" si="43"/>
        <v>1278.42</v>
      </c>
      <c r="Y50" s="1"/>
      <c r="Z50" s="5">
        <f t="shared" si="44"/>
        <v>1.1805522208883552</v>
      </c>
    </row>
    <row r="51" spans="1:26" s="23" customFormat="1" hidden="1" outlineLevel="2" x14ac:dyDescent="0.25">
      <c r="A51" s="25"/>
      <c r="B51" s="10" t="str">
        <f>CONCATENATE("          ", "6351", " - ", "EQUIPMENT RENTAL")</f>
        <v xml:space="preserve">          6351 - EQUIPMENT RENTAL</v>
      </c>
      <c r="C51" s="10"/>
      <c r="D51" s="6">
        <v>267.86</v>
      </c>
      <c r="E51" s="2"/>
      <c r="F51" s="7">
        <f t="shared" si="37"/>
        <v>1.569924223287229E-2</v>
      </c>
      <c r="G51" s="2"/>
      <c r="H51" s="6">
        <v>36.270000000000003</v>
      </c>
      <c r="I51" s="2"/>
      <c r="J51" s="7">
        <f t="shared" si="38"/>
        <v>0</v>
      </c>
      <c r="K51" s="2"/>
      <c r="L51" s="6">
        <f t="shared" si="39"/>
        <v>231.59</v>
      </c>
      <c r="M51" s="2"/>
      <c r="N51" s="7">
        <f t="shared" si="40"/>
        <v>6.385166804521643</v>
      </c>
      <c r="O51" s="10"/>
      <c r="P51" s="6">
        <v>2361.3200000000002</v>
      </c>
      <c r="Q51" s="2"/>
      <c r="R51" s="7">
        <f t="shared" si="41"/>
        <v>2.5059600017659264E-2</v>
      </c>
      <c r="S51" s="2"/>
      <c r="T51" s="6">
        <v>1082.9000000000001</v>
      </c>
      <c r="U51" s="2"/>
      <c r="V51" s="7">
        <f t="shared" si="42"/>
        <v>1.661437590135176E-3</v>
      </c>
      <c r="W51" s="2"/>
      <c r="X51" s="6">
        <f t="shared" si="43"/>
        <v>1278.42</v>
      </c>
      <c r="Y51" s="2"/>
      <c r="Z51" s="7">
        <f t="shared" si="44"/>
        <v>1.1805522208883552</v>
      </c>
    </row>
    <row r="52" spans="1:26" s="27" customFormat="1" outlineLevel="1" collapsed="1" x14ac:dyDescent="0.25">
      <c r="A52" s="26"/>
      <c r="B52" s="12" t="str">
        <f>CONCATENATE("     ","General                                           ")</f>
        <v xml:space="preserve">     General                                           </v>
      </c>
      <c r="C52" s="12"/>
      <c r="D52" s="1">
        <f>SUM(OSRRefD22_8x_0)</f>
        <v>0</v>
      </c>
      <c r="E52" s="1"/>
      <c r="F52" s="5">
        <f t="shared" si="37"/>
        <v>0</v>
      </c>
      <c r="G52" s="1"/>
      <c r="H52" s="1">
        <f>SUM(OSRRefH22_8x_0)</f>
        <v>0</v>
      </c>
      <c r="I52" s="1"/>
      <c r="J52" s="5">
        <f t="shared" si="38"/>
        <v>0</v>
      </c>
      <c r="K52" s="1"/>
      <c r="L52" s="1">
        <f t="shared" si="39"/>
        <v>0</v>
      </c>
      <c r="M52" s="1"/>
      <c r="N52" s="5">
        <f t="shared" si="40"/>
        <v>0</v>
      </c>
      <c r="O52" s="12"/>
      <c r="P52" s="1">
        <f>SUM(OSRRefP22_8x_0)</f>
        <v>2498.69</v>
      </c>
      <c r="Q52" s="1"/>
      <c r="R52" s="5">
        <f t="shared" si="41"/>
        <v>2.6517444466707191E-2</v>
      </c>
      <c r="S52" s="1"/>
      <c r="T52" s="1">
        <f>SUM(OSRRefT22_8x_0)</f>
        <v>1937.01</v>
      </c>
      <c r="U52" s="1"/>
      <c r="V52" s="5">
        <f t="shared" si="42"/>
        <v>2.9718544893044016E-3</v>
      </c>
      <c r="W52" s="1"/>
      <c r="X52" s="1">
        <f t="shared" si="43"/>
        <v>561.68000000000006</v>
      </c>
      <c r="Y52" s="1"/>
      <c r="Z52" s="5">
        <f t="shared" si="44"/>
        <v>0.28997268986737296</v>
      </c>
    </row>
    <row r="53" spans="1:26" s="23" customFormat="1" hidden="1" outlineLevel="2" x14ac:dyDescent="0.25">
      <c r="A53" s="25"/>
      <c r="B53" s="10" t="str">
        <f>CONCATENATE("          ", "6279", " - ", "GENERAL EXPENSE")</f>
        <v xml:space="preserve">          6279 - GENERAL EXPENSE</v>
      </c>
      <c r="C53" s="10"/>
      <c r="D53" s="6"/>
      <c r="E53" s="2"/>
      <c r="F53" s="7">
        <f t="shared" si="37"/>
        <v>0</v>
      </c>
      <c r="G53" s="2"/>
      <c r="H53" s="6"/>
      <c r="I53" s="2"/>
      <c r="J53" s="7">
        <f t="shared" si="38"/>
        <v>0</v>
      </c>
      <c r="K53" s="2"/>
      <c r="L53" s="6">
        <f t="shared" si="39"/>
        <v>0</v>
      </c>
      <c r="M53" s="2"/>
      <c r="N53" s="7">
        <f t="shared" si="40"/>
        <v>0</v>
      </c>
      <c r="O53" s="10"/>
      <c r="P53" s="6">
        <v>2498.69</v>
      </c>
      <c r="Q53" s="2"/>
      <c r="R53" s="7">
        <f t="shared" si="41"/>
        <v>2.6517444466707191E-2</v>
      </c>
      <c r="S53" s="2"/>
      <c r="T53" s="6">
        <v>1937.01</v>
      </c>
      <c r="U53" s="2"/>
      <c r="V53" s="7">
        <f t="shared" si="42"/>
        <v>2.9718544893044016E-3</v>
      </c>
      <c r="W53" s="2"/>
      <c r="X53" s="6">
        <f t="shared" si="43"/>
        <v>561.68000000000006</v>
      </c>
      <c r="Y53" s="2"/>
      <c r="Z53" s="7">
        <f t="shared" si="44"/>
        <v>0.28997268986737296</v>
      </c>
    </row>
    <row r="54" spans="1:26" s="27" customFormat="1" outlineLevel="1" collapsed="1" x14ac:dyDescent="0.25">
      <c r="A54" s="26"/>
      <c r="B54" s="12" t="str">
        <f>CONCATENATE("     ","Insurance                                         ")</f>
        <v xml:space="preserve">     Insurance                                         </v>
      </c>
      <c r="C54" s="12"/>
      <c r="D54" s="1">
        <f>SUM(OSRRefD22_9x_0)</f>
        <v>1376.74</v>
      </c>
      <c r="E54" s="1"/>
      <c r="F54" s="5">
        <f t="shared" si="37"/>
        <v>8.0690565040262049E-2</v>
      </c>
      <c r="G54" s="1"/>
      <c r="H54" s="1">
        <f>SUM(OSRRefH22_9x_0)</f>
        <v>641.28</v>
      </c>
      <c r="I54" s="1"/>
      <c r="J54" s="5">
        <f t="shared" si="38"/>
        <v>0</v>
      </c>
      <c r="K54" s="1"/>
      <c r="L54" s="1">
        <f t="shared" si="39"/>
        <v>735.46</v>
      </c>
      <c r="M54" s="1"/>
      <c r="N54" s="5">
        <f t="shared" si="40"/>
        <v>1.1468625249500999</v>
      </c>
      <c r="O54" s="12"/>
      <c r="P54" s="1">
        <f>SUM(OSRRefP22_9x_0)</f>
        <v>8430.82</v>
      </c>
      <c r="Q54" s="1"/>
      <c r="R54" s="5">
        <f t="shared" si="41"/>
        <v>8.9472404003219416E-2</v>
      </c>
      <c r="S54" s="1"/>
      <c r="T54" s="1">
        <f>SUM(OSRRefT22_9x_0)</f>
        <v>7695.36</v>
      </c>
      <c r="U54" s="1"/>
      <c r="V54" s="5">
        <f t="shared" si="42"/>
        <v>1.1806593751613838E-2</v>
      </c>
      <c r="W54" s="1"/>
      <c r="X54" s="1">
        <f t="shared" si="43"/>
        <v>735.46</v>
      </c>
      <c r="Y54" s="1"/>
      <c r="Z54" s="5">
        <f t="shared" si="44"/>
        <v>9.5571877079174986E-2</v>
      </c>
    </row>
    <row r="55" spans="1:26" s="23" customFormat="1" hidden="1" outlineLevel="2" x14ac:dyDescent="0.25">
      <c r="A55" s="25"/>
      <c r="B55" s="10" t="str">
        <f>CONCATENATE("          ", "6314", " - ", "LIABILITY INSURANCE")</f>
        <v xml:space="preserve">          6314 - LIABILITY INSURANCE</v>
      </c>
      <c r="C55" s="10"/>
      <c r="D55" s="6">
        <v>1376.74</v>
      </c>
      <c r="E55" s="2"/>
      <c r="F55" s="7">
        <f t="shared" si="37"/>
        <v>8.0690565040262049E-2</v>
      </c>
      <c r="G55" s="2"/>
      <c r="H55" s="6">
        <v>641.28</v>
      </c>
      <c r="I55" s="2"/>
      <c r="J55" s="7">
        <f t="shared" si="38"/>
        <v>0</v>
      </c>
      <c r="K55" s="2"/>
      <c r="L55" s="6">
        <f t="shared" si="39"/>
        <v>735.46</v>
      </c>
      <c r="M55" s="2"/>
      <c r="N55" s="7">
        <f t="shared" si="40"/>
        <v>1.1468625249500999</v>
      </c>
      <c r="O55" s="10"/>
      <c r="P55" s="6">
        <v>8430.82</v>
      </c>
      <c r="Q55" s="2"/>
      <c r="R55" s="7">
        <f t="shared" si="41"/>
        <v>8.9472404003219416E-2</v>
      </c>
      <c r="S55" s="2"/>
      <c r="T55" s="6">
        <v>7695.36</v>
      </c>
      <c r="U55" s="2"/>
      <c r="V55" s="7">
        <f t="shared" si="42"/>
        <v>1.1806593751613838E-2</v>
      </c>
      <c r="W55" s="2"/>
      <c r="X55" s="6">
        <f t="shared" si="43"/>
        <v>735.46</v>
      </c>
      <c r="Y55" s="2"/>
      <c r="Z55" s="7">
        <f t="shared" si="44"/>
        <v>9.5571877079174986E-2</v>
      </c>
    </row>
    <row r="56" spans="1:26" s="27" customFormat="1" outlineLevel="1" collapsed="1" x14ac:dyDescent="0.25">
      <c r="A56" s="26"/>
      <c r="B56" s="12" t="str">
        <f>CONCATENATE("     ","Interest                                          ")</f>
        <v xml:space="preserve">     Interest                                          </v>
      </c>
      <c r="C56" s="12"/>
      <c r="D56" s="1">
        <f>SUM(OSRRefD22_10x_0)</f>
        <v>-815.7</v>
      </c>
      <c r="E56" s="1"/>
      <c r="F56" s="5">
        <f t="shared" si="37"/>
        <v>-4.7808078434084689E-2</v>
      </c>
      <c r="G56" s="1"/>
      <c r="H56" s="1">
        <f>SUM(OSRRefH22_10x_0)</f>
        <v>-571.70000000000005</v>
      </c>
      <c r="I56" s="1"/>
      <c r="J56" s="5">
        <f t="shared" si="38"/>
        <v>0</v>
      </c>
      <c r="K56" s="1"/>
      <c r="L56" s="1">
        <f t="shared" si="39"/>
        <v>-244</v>
      </c>
      <c r="M56" s="1"/>
      <c r="N56" s="5">
        <f t="shared" si="40"/>
        <v>0.42679727129613432</v>
      </c>
      <c r="O56" s="12"/>
      <c r="P56" s="1">
        <f>SUM(OSRRefP22_10x_0)</f>
        <v>79764.45</v>
      </c>
      <c r="Q56" s="1"/>
      <c r="R56" s="5">
        <f t="shared" si="41"/>
        <v>0.84650331705511384</v>
      </c>
      <c r="S56" s="1"/>
      <c r="T56" s="1">
        <f>SUM(OSRRefT22_10x_0)</f>
        <v>82378.58</v>
      </c>
      <c r="U56" s="1"/>
      <c r="V56" s="5">
        <f t="shared" si="42"/>
        <v>0.12638920439002474</v>
      </c>
      <c r="W56" s="1"/>
      <c r="X56" s="1">
        <f t="shared" si="43"/>
        <v>-2614.1300000000047</v>
      </c>
      <c r="Y56" s="1"/>
      <c r="Z56" s="5">
        <f t="shared" si="44"/>
        <v>-3.1733127713539179E-2</v>
      </c>
    </row>
    <row r="57" spans="1:26" s="23" customFormat="1" hidden="1" outlineLevel="2" x14ac:dyDescent="0.25">
      <c r="A57" s="25"/>
      <c r="B57" s="10" t="str">
        <f>CONCATENATE("          ", "6401", " - ", "INTEREST EXPENSE")</f>
        <v xml:space="preserve">          6401 - INTEREST EXPENSE</v>
      </c>
      <c r="C57" s="10"/>
      <c r="D57" s="6">
        <v>-815.7</v>
      </c>
      <c r="E57" s="2"/>
      <c r="F57" s="7">
        <f t="shared" si="37"/>
        <v>-4.7808078434084689E-2</v>
      </c>
      <c r="G57" s="2"/>
      <c r="H57" s="6">
        <v>-571.70000000000005</v>
      </c>
      <c r="I57" s="2"/>
      <c r="J57" s="7">
        <f t="shared" si="38"/>
        <v>0</v>
      </c>
      <c r="K57" s="2"/>
      <c r="L57" s="6">
        <f t="shared" si="39"/>
        <v>-244</v>
      </c>
      <c r="M57" s="2"/>
      <c r="N57" s="7">
        <f t="shared" si="40"/>
        <v>0.42679727129613432</v>
      </c>
      <c r="O57" s="10"/>
      <c r="P57" s="6">
        <v>79764.45</v>
      </c>
      <c r="Q57" s="2"/>
      <c r="R57" s="7">
        <f t="shared" si="41"/>
        <v>0.84650331705511384</v>
      </c>
      <c r="S57" s="2"/>
      <c r="T57" s="6">
        <v>82378.58</v>
      </c>
      <c r="U57" s="2"/>
      <c r="V57" s="7">
        <f t="shared" si="42"/>
        <v>0.12638920439002474</v>
      </c>
      <c r="W57" s="2"/>
      <c r="X57" s="6">
        <f t="shared" si="43"/>
        <v>-2614.1300000000047</v>
      </c>
      <c r="Y57" s="2"/>
      <c r="Z57" s="7">
        <f t="shared" si="44"/>
        <v>-3.1733127713539179E-2</v>
      </c>
    </row>
    <row r="58" spans="1:26" s="27" customFormat="1" outlineLevel="1" collapsed="1" x14ac:dyDescent="0.25">
      <c r="A58" s="26"/>
      <c r="B58" s="12" t="str">
        <f>CONCATENATE("     ","Repair and Maintenance                            ")</f>
        <v xml:space="preserve">     Repair and Maintenance                            </v>
      </c>
      <c r="C58" s="12"/>
      <c r="D58" s="1">
        <f>SUM(OSRRefD22_11x_0)</f>
        <v>1964.36</v>
      </c>
      <c r="E58" s="1"/>
      <c r="F58" s="5">
        <f t="shared" si="37"/>
        <v>0.11513090223461885</v>
      </c>
      <c r="G58" s="1"/>
      <c r="H58" s="1">
        <f>SUM(OSRRefH22_11x_0)</f>
        <v>108.52</v>
      </c>
      <c r="I58" s="1"/>
      <c r="J58" s="5">
        <f t="shared" si="38"/>
        <v>0</v>
      </c>
      <c r="K58" s="1"/>
      <c r="L58" s="1">
        <f t="shared" si="39"/>
        <v>1855.84</v>
      </c>
      <c r="M58" s="1"/>
      <c r="N58" s="5">
        <f t="shared" si="40"/>
        <v>17.101363803907113</v>
      </c>
      <c r="O58" s="12"/>
      <c r="P58" s="1">
        <f>SUM(OSRRefP22_11x_0)</f>
        <v>26743.119999999999</v>
      </c>
      <c r="Q58" s="1"/>
      <c r="R58" s="5">
        <f t="shared" si="41"/>
        <v>0.28381239748287557</v>
      </c>
      <c r="S58" s="1"/>
      <c r="T58" s="1">
        <f>SUM(OSRRefT22_11x_0)</f>
        <v>24724.98</v>
      </c>
      <c r="U58" s="1"/>
      <c r="V58" s="5">
        <f t="shared" si="42"/>
        <v>3.7934260954234383E-2</v>
      </c>
      <c r="W58" s="1"/>
      <c r="X58" s="1">
        <f t="shared" si="43"/>
        <v>2018.1399999999994</v>
      </c>
      <c r="Y58" s="1"/>
      <c r="Z58" s="5">
        <f t="shared" si="44"/>
        <v>8.162352406351793E-2</v>
      </c>
    </row>
    <row r="59" spans="1:26" s="23" customFormat="1" hidden="1" outlineLevel="2" x14ac:dyDescent="0.25">
      <c r="A59" s="25"/>
      <c r="B59" s="10" t="str">
        <f>CONCATENATE("          ", "6371", " - ", "COMPUTER SOFTWARE MAINTENANCE")</f>
        <v xml:space="preserve">          6371 - COMPUTER SOFTWARE MAINTENANCE</v>
      </c>
      <c r="C59" s="10"/>
      <c r="D59" s="6"/>
      <c r="E59" s="2"/>
      <c r="F59" s="7">
        <f t="shared" si="37"/>
        <v>0</v>
      </c>
      <c r="G59" s="2"/>
      <c r="H59" s="6"/>
      <c r="I59" s="2"/>
      <c r="J59" s="7">
        <f t="shared" si="38"/>
        <v>0</v>
      </c>
      <c r="K59" s="2"/>
      <c r="L59" s="6">
        <f t="shared" si="39"/>
        <v>0</v>
      </c>
      <c r="M59" s="2"/>
      <c r="N59" s="7">
        <f t="shared" si="40"/>
        <v>0</v>
      </c>
      <c r="O59" s="10"/>
      <c r="P59" s="6"/>
      <c r="Q59" s="2"/>
      <c r="R59" s="7">
        <f t="shared" si="41"/>
        <v>0</v>
      </c>
      <c r="S59" s="2"/>
      <c r="T59" s="6">
        <v>2623.84</v>
      </c>
      <c r="U59" s="2"/>
      <c r="V59" s="7">
        <f t="shared" si="42"/>
        <v>4.0256223164653058E-3</v>
      </c>
      <c r="W59" s="2"/>
      <c r="X59" s="6">
        <f t="shared" si="43"/>
        <v>-2623.84</v>
      </c>
      <c r="Y59" s="2"/>
      <c r="Z59" s="7">
        <f t="shared" si="44"/>
        <v>-1</v>
      </c>
    </row>
    <row r="60" spans="1:26" s="23" customFormat="1" hidden="1" outlineLevel="2" x14ac:dyDescent="0.25">
      <c r="A60" s="25"/>
      <c r="B60" s="10" t="str">
        <f>CONCATENATE("          ", "6372", " - ", "COMPUTER HARDWARE MAINTENANCE")</f>
        <v xml:space="preserve">          6372 - COMPUTER HARDWARE MAINTENANCE</v>
      </c>
      <c r="C60" s="10"/>
      <c r="D60" s="6">
        <v>10.039999999999999</v>
      </c>
      <c r="E60" s="2"/>
      <c r="F60" s="7">
        <f t="shared" si="37"/>
        <v>5.8844318680668169E-4</v>
      </c>
      <c r="G60" s="2"/>
      <c r="H60" s="6"/>
      <c r="I60" s="2"/>
      <c r="J60" s="7">
        <f t="shared" si="38"/>
        <v>0</v>
      </c>
      <c r="K60" s="2"/>
      <c r="L60" s="6">
        <f t="shared" si="39"/>
        <v>10.039999999999999</v>
      </c>
      <c r="M60" s="2"/>
      <c r="N60" s="7">
        <f t="shared" si="40"/>
        <v>0</v>
      </c>
      <c r="O60" s="10"/>
      <c r="P60" s="6">
        <v>10.039999999999999</v>
      </c>
      <c r="Q60" s="2"/>
      <c r="R60" s="7">
        <f t="shared" si="41"/>
        <v>1.0654988912019506E-4</v>
      </c>
      <c r="S60" s="2"/>
      <c r="T60" s="6">
        <v>-0.01</v>
      </c>
      <c r="U60" s="2"/>
      <c r="V60" s="7">
        <f t="shared" si="42"/>
        <v>-1.5342483979454943E-8</v>
      </c>
      <c r="W60" s="2"/>
      <c r="X60" s="6">
        <f t="shared" si="43"/>
        <v>10.049999999999999</v>
      </c>
      <c r="Y60" s="2"/>
      <c r="Z60" s="7">
        <f t="shared" si="44"/>
        <v>-1004.9999999999999</v>
      </c>
    </row>
    <row r="61" spans="1:26" s="23" customFormat="1" hidden="1" outlineLevel="2" x14ac:dyDescent="0.25">
      <c r="A61" s="25"/>
      <c r="B61" s="10" t="str">
        <f>CONCATENATE("          ", "6373", " - ", "MAINTENANCE CONTRACTS")</f>
        <v xml:space="preserve">          6373 - MAINTENANCE CONTRACTS</v>
      </c>
      <c r="C61" s="10"/>
      <c r="D61" s="6">
        <v>107.78</v>
      </c>
      <c r="E61" s="2"/>
      <c r="F61" s="7">
        <f t="shared" si="37"/>
        <v>6.3169727762972267E-3</v>
      </c>
      <c r="G61" s="2"/>
      <c r="H61" s="6">
        <v>108.52</v>
      </c>
      <c r="I61" s="2"/>
      <c r="J61" s="7">
        <f t="shared" si="38"/>
        <v>0</v>
      </c>
      <c r="K61" s="2"/>
      <c r="L61" s="6">
        <f t="shared" si="39"/>
        <v>-0.73999999999999488</v>
      </c>
      <c r="M61" s="2"/>
      <c r="N61" s="7">
        <f t="shared" si="40"/>
        <v>-6.8190195355694334E-3</v>
      </c>
      <c r="O61" s="10"/>
      <c r="P61" s="6">
        <v>7575.64</v>
      </c>
      <c r="Q61" s="2"/>
      <c r="R61" s="7">
        <f t="shared" si="41"/>
        <v>8.0396773109015399E-2</v>
      </c>
      <c r="S61" s="2"/>
      <c r="T61" s="6">
        <v>3985.78</v>
      </c>
      <c r="U61" s="2"/>
      <c r="V61" s="7">
        <f t="shared" si="42"/>
        <v>6.1151765795631925E-3</v>
      </c>
      <c r="W61" s="2"/>
      <c r="X61" s="6">
        <f t="shared" si="43"/>
        <v>3589.86</v>
      </c>
      <c r="Y61" s="2"/>
      <c r="Z61" s="7">
        <f t="shared" si="44"/>
        <v>0.90066687072542884</v>
      </c>
    </row>
    <row r="62" spans="1:26" s="23" customFormat="1" hidden="1" outlineLevel="2" x14ac:dyDescent="0.25">
      <c r="A62" s="25"/>
      <c r="B62" s="10" t="str">
        <f>CONCATENATE("          ", "6375", " - ", "OUTSIDE REPAIRS &amp; MAINTENANCE")</f>
        <v xml:space="preserve">          6375 - OUTSIDE REPAIRS &amp; MAINTENANCE</v>
      </c>
      <c r="C62" s="10"/>
      <c r="D62" s="6">
        <v>1846.54</v>
      </c>
      <c r="E62" s="2"/>
      <c r="F62" s="7">
        <f t="shared" si="37"/>
        <v>0.10822548627151495</v>
      </c>
      <c r="G62" s="2"/>
      <c r="H62" s="6"/>
      <c r="I62" s="2"/>
      <c r="J62" s="7">
        <f t="shared" si="38"/>
        <v>0</v>
      </c>
      <c r="K62" s="2"/>
      <c r="L62" s="6">
        <f t="shared" si="39"/>
        <v>1846.54</v>
      </c>
      <c r="M62" s="2"/>
      <c r="N62" s="7">
        <f t="shared" si="40"/>
        <v>0</v>
      </c>
      <c r="O62" s="10"/>
      <c r="P62" s="6">
        <v>19157.439999999999</v>
      </c>
      <c r="Q62" s="2"/>
      <c r="R62" s="7">
        <f t="shared" si="41"/>
        <v>0.20330907448474</v>
      </c>
      <c r="S62" s="2"/>
      <c r="T62" s="6">
        <v>18115.37</v>
      </c>
      <c r="U62" s="2"/>
      <c r="V62" s="7">
        <f t="shared" si="42"/>
        <v>2.7793477400689867E-2</v>
      </c>
      <c r="W62" s="2"/>
      <c r="X62" s="6">
        <f t="shared" si="43"/>
        <v>1042.0699999999997</v>
      </c>
      <c r="Y62" s="2"/>
      <c r="Z62" s="7">
        <f t="shared" si="44"/>
        <v>5.752408038036208E-2</v>
      </c>
    </row>
    <row r="63" spans="1:26" s="27" customFormat="1" outlineLevel="1" collapsed="1" x14ac:dyDescent="0.25">
      <c r="A63" s="26"/>
      <c r="B63" s="12" t="str">
        <f>CONCATENATE("     ","Services                                          ")</f>
        <v xml:space="preserve">     Services                                          </v>
      </c>
      <c r="C63" s="12"/>
      <c r="D63" s="1">
        <f>SUM(OSRRefD22_12x_0)</f>
        <v>3227.48</v>
      </c>
      <c r="E63" s="1"/>
      <c r="F63" s="5">
        <f t="shared" ref="F63:F68" si="45">IF(D$12=0,0,D63/D$12)</f>
        <v>0.18916221280426584</v>
      </c>
      <c r="G63" s="1"/>
      <c r="H63" s="1">
        <f>SUM(OSRRefH22_12x_0)</f>
        <v>9621.7799999999988</v>
      </c>
      <c r="I63" s="1"/>
      <c r="J63" s="5">
        <f t="shared" ref="J63:J68" si="46">IF(H$12=0,0,H63/H$12)</f>
        <v>0</v>
      </c>
      <c r="K63" s="1"/>
      <c r="L63" s="1">
        <f t="shared" ref="L63:L68" si="47">+D63-H63</f>
        <v>-6394.2999999999993</v>
      </c>
      <c r="M63" s="1"/>
      <c r="N63" s="5">
        <f t="shared" ref="N63:N68" si="48">IF(H63=0,0,L63/H63)</f>
        <v>-0.66456518440454881</v>
      </c>
      <c r="O63" s="12"/>
      <c r="P63" s="1">
        <f>SUM(OSRRefP22_12x_0)</f>
        <v>34018.85</v>
      </c>
      <c r="Q63" s="1"/>
      <c r="R63" s="5">
        <f t="shared" ref="R63:R68" si="49">IF(P$12=0,0,P63/P$12)</f>
        <v>0.36102636409328165</v>
      </c>
      <c r="S63" s="1"/>
      <c r="T63" s="1">
        <f>SUM(OSRRefT22_12x_0)</f>
        <v>53552.85</v>
      </c>
      <c r="U63" s="1"/>
      <c r="V63" s="5">
        <f t="shared" ref="V63:V68" si="50">IF(T$12=0,0,T63/T$12)</f>
        <v>8.2163374317915358E-2</v>
      </c>
      <c r="W63" s="1"/>
      <c r="X63" s="1">
        <f t="shared" ref="X63:X68" si="51">+P63-T63</f>
        <v>-19534</v>
      </c>
      <c r="Y63" s="1"/>
      <c r="Z63" s="5">
        <f t="shared" ref="Z63:Z68" si="52">IF(T63=0,0,X63/T63)</f>
        <v>-0.36476116583897966</v>
      </c>
    </row>
    <row r="64" spans="1:26" s="23" customFormat="1" hidden="1" outlineLevel="2" x14ac:dyDescent="0.25">
      <c r="A64" s="25"/>
      <c r="B64" s="10" t="str">
        <f>CONCATENATE("          ", "6282", " - ", "JANITORIAL/EXTERMINATOR EXPENS")</f>
        <v xml:space="preserve">          6282 - JANITORIAL/EXTERMINATOR EXPENS</v>
      </c>
      <c r="C64" s="10"/>
      <c r="D64" s="6">
        <v>703.1</v>
      </c>
      <c r="E64" s="2"/>
      <c r="F64" s="7">
        <f t="shared" si="45"/>
        <v>4.1208606040216929E-2</v>
      </c>
      <c r="G64" s="2"/>
      <c r="H64" s="6">
        <v>657.08</v>
      </c>
      <c r="I64" s="2"/>
      <c r="J64" s="7">
        <f t="shared" si="46"/>
        <v>0</v>
      </c>
      <c r="K64" s="2"/>
      <c r="L64" s="6">
        <f t="shared" si="47"/>
        <v>46.019999999999982</v>
      </c>
      <c r="M64" s="2"/>
      <c r="N64" s="7">
        <f t="shared" si="48"/>
        <v>7.003713398672913E-2</v>
      </c>
      <c r="O64" s="10"/>
      <c r="P64" s="6">
        <v>4851.7299999999996</v>
      </c>
      <c r="Q64" s="2"/>
      <c r="R64" s="7">
        <f t="shared" si="49"/>
        <v>5.1489172663458559E-2</v>
      </c>
      <c r="S64" s="2"/>
      <c r="T64" s="6">
        <v>3942.48</v>
      </c>
      <c r="U64" s="2"/>
      <c r="V64" s="7">
        <f t="shared" si="50"/>
        <v>6.0487436239321521E-3</v>
      </c>
      <c r="W64" s="2"/>
      <c r="X64" s="6">
        <f t="shared" si="51"/>
        <v>909.24999999999955</v>
      </c>
      <c r="Y64" s="2"/>
      <c r="Z64" s="7">
        <f t="shared" si="52"/>
        <v>0.2306289442178526</v>
      </c>
    </row>
    <row r="65" spans="1:26" s="23" customFormat="1" hidden="1" outlineLevel="2" x14ac:dyDescent="0.25">
      <c r="A65" s="25"/>
      <c r="B65" s="10" t="str">
        <f>CONCATENATE("          ", "6283", " - ", "PLANT SERVICE")</f>
        <v xml:space="preserve">          6283 - PLANT SERVICE</v>
      </c>
      <c r="C65" s="10"/>
      <c r="D65" s="6"/>
      <c r="E65" s="2"/>
      <c r="F65" s="7">
        <f t="shared" si="45"/>
        <v>0</v>
      </c>
      <c r="G65" s="2"/>
      <c r="H65" s="6"/>
      <c r="I65" s="2"/>
      <c r="J65" s="7">
        <f t="shared" si="46"/>
        <v>0</v>
      </c>
      <c r="K65" s="2"/>
      <c r="L65" s="6">
        <f t="shared" si="47"/>
        <v>0</v>
      </c>
      <c r="M65" s="2"/>
      <c r="N65" s="7">
        <f t="shared" si="48"/>
        <v>0</v>
      </c>
      <c r="O65" s="10"/>
      <c r="P65" s="6"/>
      <c r="Q65" s="2"/>
      <c r="R65" s="7">
        <f t="shared" si="49"/>
        <v>0</v>
      </c>
      <c r="S65" s="2"/>
      <c r="T65" s="6">
        <v>553.95000000000005</v>
      </c>
      <c r="U65" s="2"/>
      <c r="V65" s="7">
        <f t="shared" si="50"/>
        <v>8.4989690004190661E-4</v>
      </c>
      <c r="W65" s="2"/>
      <c r="X65" s="6">
        <f t="shared" si="51"/>
        <v>-553.95000000000005</v>
      </c>
      <c r="Y65" s="2"/>
      <c r="Z65" s="7">
        <f t="shared" si="52"/>
        <v>-1</v>
      </c>
    </row>
    <row r="66" spans="1:26" s="23" customFormat="1" hidden="1" outlineLevel="2" x14ac:dyDescent="0.25">
      <c r="A66" s="25"/>
      <c r="B66" s="10" t="str">
        <f>CONCATENATE("          ", "6284", " - ", "TRASH REMOVAL EXPENSE")</f>
        <v xml:space="preserve">          6284 - TRASH REMOVAL EXPENSE</v>
      </c>
      <c r="C66" s="10"/>
      <c r="D66" s="6">
        <v>-980</v>
      </c>
      <c r="E66" s="2"/>
      <c r="F66" s="7">
        <f t="shared" si="45"/>
        <v>-5.7437681580731884E-2</v>
      </c>
      <c r="G66" s="2"/>
      <c r="H66" s="6">
        <v>4610</v>
      </c>
      <c r="I66" s="2"/>
      <c r="J66" s="7">
        <f t="shared" si="46"/>
        <v>0</v>
      </c>
      <c r="K66" s="2"/>
      <c r="L66" s="6">
        <f t="shared" si="47"/>
        <v>-5590</v>
      </c>
      <c r="M66" s="2"/>
      <c r="N66" s="7">
        <f t="shared" si="48"/>
        <v>-1.2125813449023861</v>
      </c>
      <c r="O66" s="10"/>
      <c r="P66" s="6">
        <v>3844</v>
      </c>
      <c r="Q66" s="2"/>
      <c r="R66" s="7">
        <f t="shared" si="49"/>
        <v>4.0794598981875478E-2</v>
      </c>
      <c r="S66" s="2"/>
      <c r="T66" s="6">
        <v>12973</v>
      </c>
      <c r="U66" s="2"/>
      <c r="V66" s="7">
        <f t="shared" si="50"/>
        <v>1.9903804466546896E-2</v>
      </c>
      <c r="W66" s="2"/>
      <c r="X66" s="6">
        <f t="shared" si="51"/>
        <v>-9129</v>
      </c>
      <c r="Y66" s="2"/>
      <c r="Z66" s="7">
        <f t="shared" si="52"/>
        <v>-0.70369228397440842</v>
      </c>
    </row>
    <row r="67" spans="1:26" s="23" customFormat="1" hidden="1" outlineLevel="2" x14ac:dyDescent="0.25">
      <c r="A67" s="25"/>
      <c r="B67" s="10" t="str">
        <f>CONCATENATE("          ", "6285", " - ", "JANITORIAL SERVICES")</f>
        <v xml:space="preserve">          6285 - JANITORIAL SERVICES</v>
      </c>
      <c r="C67" s="10"/>
      <c r="D67" s="6">
        <v>3385.52</v>
      </c>
      <c r="E67" s="2"/>
      <c r="F67" s="7">
        <f t="shared" si="45"/>
        <v>0.19842491810734633</v>
      </c>
      <c r="G67" s="2"/>
      <c r="H67" s="6">
        <v>4354.7</v>
      </c>
      <c r="I67" s="2"/>
      <c r="J67" s="7">
        <f t="shared" si="46"/>
        <v>0</v>
      </c>
      <c r="K67" s="2"/>
      <c r="L67" s="6">
        <f t="shared" si="47"/>
        <v>-969.17999999999984</v>
      </c>
      <c r="M67" s="2"/>
      <c r="N67" s="7">
        <f t="shared" si="48"/>
        <v>-0.22255953337772977</v>
      </c>
      <c r="O67" s="10"/>
      <c r="P67" s="6">
        <v>24620.13</v>
      </c>
      <c r="Q67" s="2"/>
      <c r="R67" s="7">
        <f t="shared" si="49"/>
        <v>0.26128208382717016</v>
      </c>
      <c r="S67" s="2"/>
      <c r="T67" s="6">
        <v>34137</v>
      </c>
      <c r="U67" s="2"/>
      <c r="V67" s="7">
        <f t="shared" si="50"/>
        <v>5.2374637560665335E-2</v>
      </c>
      <c r="W67" s="2"/>
      <c r="X67" s="6">
        <f t="shared" si="51"/>
        <v>-9516.869999999999</v>
      </c>
      <c r="Y67" s="2"/>
      <c r="Z67" s="7">
        <f t="shared" si="52"/>
        <v>-0.27878460321645132</v>
      </c>
    </row>
    <row r="68" spans="1:26" s="23" customFormat="1" hidden="1" outlineLevel="2" x14ac:dyDescent="0.25">
      <c r="A68" s="25"/>
      <c r="B68" s="10" t="str">
        <f>CONCATENATE("          ", "6286", " - ", "LAUNDRY EXPENSE")</f>
        <v xml:space="preserve">          6286 - LAUNDRY EXPENSE</v>
      </c>
      <c r="C68" s="10"/>
      <c r="D68" s="6">
        <v>118.86</v>
      </c>
      <c r="E68" s="2"/>
      <c r="F68" s="7">
        <f t="shared" si="45"/>
        <v>6.9663702374344813E-3</v>
      </c>
      <c r="G68" s="2"/>
      <c r="H68" s="6"/>
      <c r="I68" s="2"/>
      <c r="J68" s="7">
        <f t="shared" si="46"/>
        <v>0</v>
      </c>
      <c r="K68" s="2"/>
      <c r="L68" s="6">
        <f t="shared" si="47"/>
        <v>118.86</v>
      </c>
      <c r="M68" s="2"/>
      <c r="N68" s="7">
        <f t="shared" si="48"/>
        <v>0</v>
      </c>
      <c r="O68" s="10"/>
      <c r="P68" s="6">
        <v>702.99</v>
      </c>
      <c r="Q68" s="2"/>
      <c r="R68" s="7">
        <f t="shared" si="49"/>
        <v>7.4605086207774826E-3</v>
      </c>
      <c r="S68" s="2"/>
      <c r="T68" s="6">
        <v>1946.42</v>
      </c>
      <c r="U68" s="2"/>
      <c r="V68" s="7">
        <f t="shared" si="50"/>
        <v>2.986291766729069E-3</v>
      </c>
      <c r="W68" s="2"/>
      <c r="X68" s="6">
        <f t="shared" si="51"/>
        <v>-1243.43</v>
      </c>
      <c r="Y68" s="2"/>
      <c r="Z68" s="7">
        <f t="shared" si="52"/>
        <v>-0.63882923521131108</v>
      </c>
    </row>
    <row r="69" spans="1:26" s="27" customFormat="1" outlineLevel="1" collapsed="1" x14ac:dyDescent="0.25">
      <c r="A69" s="26"/>
      <c r="B69" s="12" t="str">
        <f>CONCATENATE("     ","Subscriptions &amp; Dues                              ")</f>
        <v xml:space="preserve">     Subscriptions &amp; Dues                              </v>
      </c>
      <c r="C69" s="12"/>
      <c r="D69" s="1">
        <f>SUM(OSRRefD22_13x_0)</f>
        <v>130.66999999999999</v>
      </c>
      <c r="E69" s="1"/>
      <c r="F69" s="5">
        <f t="shared" ref="F69:F71" si="53">IF(D$12=0,0,D69/D$12)</f>
        <v>7.6585529103614632E-3</v>
      </c>
      <c r="G69" s="1"/>
      <c r="H69" s="1">
        <f>SUM(OSRRefH22_13x_0)</f>
        <v>0</v>
      </c>
      <c r="I69" s="1"/>
      <c r="J69" s="5">
        <f t="shared" ref="J69:J71" si="54">IF(H$12=0,0,H69/H$12)</f>
        <v>0</v>
      </c>
      <c r="K69" s="1"/>
      <c r="L69" s="1">
        <f t="shared" ref="L69:L71" si="55">+D69-H69</f>
        <v>130.66999999999999</v>
      </c>
      <c r="M69" s="1"/>
      <c r="N69" s="5">
        <f t="shared" ref="N69:N71" si="56">IF(H69=0,0,L69/H69)</f>
        <v>0</v>
      </c>
      <c r="O69" s="12"/>
      <c r="P69" s="1">
        <f>SUM(OSRRefP22_13x_0)</f>
        <v>1059.8499999999999</v>
      </c>
      <c r="Q69" s="1"/>
      <c r="R69" s="5">
        <f t="shared" ref="R69:R71" si="57">IF(P$12=0,0,P69/P$12)</f>
        <v>1.1247699201597483E-2</v>
      </c>
      <c r="S69" s="1"/>
      <c r="T69" s="1">
        <f>SUM(OSRRefT22_13x_0)</f>
        <v>2638.42</v>
      </c>
      <c r="U69" s="1"/>
      <c r="V69" s="5">
        <f t="shared" ref="V69:V71" si="58">IF(T$12=0,0,T69/T$12)</f>
        <v>4.0479916581073506E-3</v>
      </c>
      <c r="W69" s="1"/>
      <c r="X69" s="1">
        <f t="shared" ref="X69:X71" si="59">+P69-T69</f>
        <v>-1578.5700000000002</v>
      </c>
      <c r="Y69" s="1"/>
      <c r="Z69" s="5">
        <f t="shared" ref="Z69:Z71" si="60">IF(T69=0,0,X69/T69)</f>
        <v>-0.59830125605476014</v>
      </c>
    </row>
    <row r="70" spans="1:26" s="23" customFormat="1" hidden="1" outlineLevel="2" x14ac:dyDescent="0.25">
      <c r="A70" s="25"/>
      <c r="B70" s="10" t="str">
        <f>CONCATENATE("          ", "6258", " - ", "MEMBERSHIP DUES")</f>
        <v xml:space="preserve">          6258 - MEMBERSHIP DUES</v>
      </c>
      <c r="C70" s="10"/>
      <c r="D70" s="6"/>
      <c r="E70" s="2"/>
      <c r="F70" s="7">
        <f t="shared" si="53"/>
        <v>0</v>
      </c>
      <c r="G70" s="2"/>
      <c r="H70" s="6"/>
      <c r="I70" s="2"/>
      <c r="J70" s="7">
        <f t="shared" si="54"/>
        <v>0</v>
      </c>
      <c r="K70" s="2"/>
      <c r="L70" s="6">
        <f t="shared" si="55"/>
        <v>0</v>
      </c>
      <c r="M70" s="2"/>
      <c r="N70" s="7">
        <f t="shared" si="56"/>
        <v>0</v>
      </c>
      <c r="O70" s="10"/>
      <c r="P70" s="6"/>
      <c r="Q70" s="2"/>
      <c r="R70" s="7">
        <f t="shared" si="57"/>
        <v>0</v>
      </c>
      <c r="S70" s="2"/>
      <c r="T70" s="6">
        <v>978</v>
      </c>
      <c r="U70" s="2"/>
      <c r="V70" s="7">
        <f t="shared" si="58"/>
        <v>1.5004949331906933E-3</v>
      </c>
      <c r="W70" s="2"/>
      <c r="X70" s="6">
        <f t="shared" si="59"/>
        <v>-978</v>
      </c>
      <c r="Y70" s="2"/>
      <c r="Z70" s="7">
        <f t="shared" si="60"/>
        <v>-1</v>
      </c>
    </row>
    <row r="71" spans="1:26" s="23" customFormat="1" hidden="1" outlineLevel="2" x14ac:dyDescent="0.25">
      <c r="A71" s="25"/>
      <c r="B71" s="10" t="str">
        <f>CONCATENATE("          ", "6275", " - ", "SUBSCRIPTIONS")</f>
        <v xml:space="preserve">          6275 - SUBSCRIPTIONS</v>
      </c>
      <c r="C71" s="10"/>
      <c r="D71" s="6">
        <v>130.66999999999999</v>
      </c>
      <c r="E71" s="2"/>
      <c r="F71" s="7">
        <f t="shared" si="53"/>
        <v>7.6585529103614632E-3</v>
      </c>
      <c r="G71" s="2"/>
      <c r="H71" s="6"/>
      <c r="I71" s="2"/>
      <c r="J71" s="7">
        <f t="shared" si="54"/>
        <v>0</v>
      </c>
      <c r="K71" s="2"/>
      <c r="L71" s="6">
        <f t="shared" si="55"/>
        <v>130.66999999999999</v>
      </c>
      <c r="M71" s="2"/>
      <c r="N71" s="7">
        <f t="shared" si="56"/>
        <v>0</v>
      </c>
      <c r="O71" s="10"/>
      <c r="P71" s="6">
        <v>1059.8499999999999</v>
      </c>
      <c r="Q71" s="2"/>
      <c r="R71" s="7">
        <f t="shared" si="57"/>
        <v>1.1247699201597483E-2</v>
      </c>
      <c r="S71" s="2"/>
      <c r="T71" s="6">
        <v>1660.42</v>
      </c>
      <c r="U71" s="2"/>
      <c r="V71" s="7">
        <f t="shared" si="58"/>
        <v>2.5474967249166577E-3</v>
      </c>
      <c r="W71" s="2"/>
      <c r="X71" s="6">
        <f t="shared" si="59"/>
        <v>-600.57000000000016</v>
      </c>
      <c r="Y71" s="2"/>
      <c r="Z71" s="7">
        <f t="shared" si="60"/>
        <v>-0.36169764276508359</v>
      </c>
    </row>
    <row r="72" spans="1:26" s="27" customFormat="1" outlineLevel="1" collapsed="1" x14ac:dyDescent="0.25">
      <c r="A72" s="26"/>
      <c r="B72" s="12" t="str">
        <f>CONCATENATE("     ","Supplies                                          ")</f>
        <v xml:space="preserve">     Supplies                                          </v>
      </c>
      <c r="C72" s="12"/>
      <c r="D72" s="1">
        <f>SUM(OSRRefD22_14x_0)</f>
        <v>1860.8400000000001</v>
      </c>
      <c r="E72" s="1"/>
      <c r="F72" s="5">
        <f t="shared" ref="F72:F81" si="61">IF(D$12=0,0,D72/D$12)</f>
        <v>0.10906360754356033</v>
      </c>
      <c r="G72" s="1"/>
      <c r="H72" s="1">
        <f>SUM(OSRRefH22_14x_0)</f>
        <v>-171.42</v>
      </c>
      <c r="I72" s="1"/>
      <c r="J72" s="5">
        <f t="shared" ref="J72:J81" si="62">IF(H$12=0,0,H72/H$12)</f>
        <v>0</v>
      </c>
      <c r="K72" s="1"/>
      <c r="L72" s="1">
        <f t="shared" ref="L72:L81" si="63">+D72-H72</f>
        <v>2032.2600000000002</v>
      </c>
      <c r="M72" s="1"/>
      <c r="N72" s="5">
        <f t="shared" ref="N72:N81" si="64">IF(H72=0,0,L72/H72)</f>
        <v>-11.855442772138609</v>
      </c>
      <c r="O72" s="12"/>
      <c r="P72" s="1">
        <f>SUM(OSRRefP22_14x_0)</f>
        <v>10236.07</v>
      </c>
      <c r="Q72" s="1"/>
      <c r="R72" s="5">
        <f t="shared" ref="R72:R81" si="65">IF(P$12=0,0,P72/P$12)</f>
        <v>0.10863068959427839</v>
      </c>
      <c r="S72" s="1"/>
      <c r="T72" s="1">
        <f>SUM(OSRRefT22_14x_0)</f>
        <v>21603.140000000003</v>
      </c>
      <c r="U72" s="1"/>
      <c r="V72" s="5">
        <f t="shared" ref="V72:V81" si="66">IF(T$12=0,0,T72/T$12)</f>
        <v>3.3144582935592228E-2</v>
      </c>
      <c r="W72" s="1"/>
      <c r="X72" s="1">
        <f t="shared" ref="X72:X81" si="67">+P72-T72</f>
        <v>-11367.070000000003</v>
      </c>
      <c r="Y72" s="1"/>
      <c r="Z72" s="5">
        <f t="shared" ref="Z72:Z81" si="68">IF(T72=0,0,X72/T72)</f>
        <v>-0.52617675023167931</v>
      </c>
    </row>
    <row r="73" spans="1:26" s="23" customFormat="1" hidden="1" outlineLevel="2" x14ac:dyDescent="0.25">
      <c r="A73" s="25"/>
      <c r="B73" s="10" t="str">
        <f>CONCATENATE("          ", "6234", " - ", "EXPENDABLE SUPPLIES &amp; EQUIPMEN")</f>
        <v xml:space="preserve">          6234 - EXPENDABLE SUPPLIES &amp; EQUIPMEN</v>
      </c>
      <c r="C73" s="10"/>
      <c r="D73" s="6"/>
      <c r="E73" s="2"/>
      <c r="F73" s="7">
        <f t="shared" si="61"/>
        <v>0</v>
      </c>
      <c r="G73" s="2"/>
      <c r="H73" s="6"/>
      <c r="I73" s="2"/>
      <c r="J73" s="7">
        <f t="shared" si="62"/>
        <v>0</v>
      </c>
      <c r="K73" s="2"/>
      <c r="L73" s="6">
        <f t="shared" si="63"/>
        <v>0</v>
      </c>
      <c r="M73" s="2"/>
      <c r="N73" s="7">
        <f t="shared" si="64"/>
        <v>0</v>
      </c>
      <c r="O73" s="10"/>
      <c r="P73" s="6">
        <v>337.16</v>
      </c>
      <c r="Q73" s="2"/>
      <c r="R73" s="7">
        <f t="shared" si="65"/>
        <v>3.5781235673072679E-3</v>
      </c>
      <c r="S73" s="2"/>
      <c r="T73" s="6">
        <v>1090.83</v>
      </c>
      <c r="U73" s="2"/>
      <c r="V73" s="7">
        <f t="shared" si="66"/>
        <v>1.6736041799308833E-3</v>
      </c>
      <c r="W73" s="2"/>
      <c r="X73" s="6">
        <f t="shared" si="67"/>
        <v>-753.66999999999985</v>
      </c>
      <c r="Y73" s="2"/>
      <c r="Z73" s="7">
        <f t="shared" si="68"/>
        <v>-0.69091425795036798</v>
      </c>
    </row>
    <row r="74" spans="1:26" s="23" customFormat="1" hidden="1" outlineLevel="2" x14ac:dyDescent="0.25">
      <c r="A74" s="25"/>
      <c r="B74" s="10" t="str">
        <f>CONCATENATE("          ", "6235", " - ", "COVID-19 EXPENSES")</f>
        <v xml:space="preserve">          6235 - COVID-19 EXPENSES</v>
      </c>
      <c r="C74" s="10"/>
      <c r="D74" s="6"/>
      <c r="E74" s="2"/>
      <c r="F74" s="7">
        <f t="shared" si="61"/>
        <v>0</v>
      </c>
      <c r="G74" s="2"/>
      <c r="H74" s="6"/>
      <c r="I74" s="2"/>
      <c r="J74" s="7">
        <f t="shared" si="62"/>
        <v>0</v>
      </c>
      <c r="K74" s="2"/>
      <c r="L74" s="6">
        <f t="shared" si="63"/>
        <v>0</v>
      </c>
      <c r="M74" s="2"/>
      <c r="N74" s="7">
        <f t="shared" si="64"/>
        <v>0</v>
      </c>
      <c r="O74" s="10"/>
      <c r="P74" s="6">
        <v>6819.42</v>
      </c>
      <c r="Q74" s="2"/>
      <c r="R74" s="7">
        <f t="shared" si="65"/>
        <v>7.2371359050203254E-2</v>
      </c>
      <c r="S74" s="2"/>
      <c r="T74" s="6"/>
      <c r="U74" s="2"/>
      <c r="V74" s="7">
        <f t="shared" si="66"/>
        <v>0</v>
      </c>
      <c r="W74" s="2"/>
      <c r="X74" s="6">
        <f t="shared" si="67"/>
        <v>6819.42</v>
      </c>
      <c r="Y74" s="2"/>
      <c r="Z74" s="7">
        <f t="shared" si="68"/>
        <v>0</v>
      </c>
    </row>
    <row r="75" spans="1:26" s="23" customFormat="1" hidden="1" outlineLevel="2" x14ac:dyDescent="0.25">
      <c r="A75" s="25"/>
      <c r="B75" s="10" t="str">
        <f>CONCATENATE("          ", "6237", " - ", "JANITORIAL SUPPLIES")</f>
        <v xml:space="preserve">          6237 - JANITORIAL SUPPLIES</v>
      </c>
      <c r="C75" s="10"/>
      <c r="D75" s="6">
        <v>363.7</v>
      </c>
      <c r="E75" s="2"/>
      <c r="F75" s="7">
        <f t="shared" si="61"/>
        <v>2.131641305195121E-2</v>
      </c>
      <c r="G75" s="2"/>
      <c r="H75" s="6"/>
      <c r="I75" s="2"/>
      <c r="J75" s="7">
        <f t="shared" si="62"/>
        <v>0</v>
      </c>
      <c r="K75" s="2"/>
      <c r="L75" s="6">
        <f t="shared" si="63"/>
        <v>363.7</v>
      </c>
      <c r="M75" s="2"/>
      <c r="N75" s="7">
        <f t="shared" si="64"/>
        <v>0</v>
      </c>
      <c r="O75" s="10"/>
      <c r="P75" s="6">
        <v>650.61</v>
      </c>
      <c r="Q75" s="2"/>
      <c r="R75" s="7">
        <f t="shared" si="65"/>
        <v>6.9046238406862658E-3</v>
      </c>
      <c r="S75" s="2"/>
      <c r="T75" s="6">
        <v>8948.91</v>
      </c>
      <c r="U75" s="2"/>
      <c r="V75" s="7">
        <f t="shared" si="66"/>
        <v>1.3729850830858413E-2</v>
      </c>
      <c r="W75" s="2"/>
      <c r="X75" s="6">
        <f t="shared" si="67"/>
        <v>-8298.2999999999993</v>
      </c>
      <c r="Y75" s="2"/>
      <c r="Z75" s="7">
        <f t="shared" si="68"/>
        <v>-0.9272972909549877</v>
      </c>
    </row>
    <row r="76" spans="1:26" s="23" customFormat="1" hidden="1" outlineLevel="2" x14ac:dyDescent="0.25">
      <c r="A76" s="25"/>
      <c r="B76" s="10" t="str">
        <f>CONCATENATE("          ", "6239", " - ", "KITCHEN SUPPLIES")</f>
        <v xml:space="preserve">          6239 - KITCHEN SUPPLIES</v>
      </c>
      <c r="C76" s="10"/>
      <c r="D76" s="6">
        <v>1497.14</v>
      </c>
      <c r="E76" s="2"/>
      <c r="F76" s="7">
        <f t="shared" si="61"/>
        <v>8.7747194491609115E-2</v>
      </c>
      <c r="G76" s="2"/>
      <c r="H76" s="6"/>
      <c r="I76" s="2"/>
      <c r="J76" s="7">
        <f t="shared" si="62"/>
        <v>0</v>
      </c>
      <c r="K76" s="2"/>
      <c r="L76" s="6">
        <f t="shared" si="63"/>
        <v>1497.14</v>
      </c>
      <c r="M76" s="2"/>
      <c r="N76" s="7">
        <f t="shared" si="64"/>
        <v>0</v>
      </c>
      <c r="O76" s="10"/>
      <c r="P76" s="6">
        <v>1516.97</v>
      </c>
      <c r="Q76" s="2"/>
      <c r="R76" s="7">
        <f t="shared" si="65"/>
        <v>1.6098902918193457E-2</v>
      </c>
      <c r="S76" s="2"/>
      <c r="T76" s="6">
        <v>425.78</v>
      </c>
      <c r="U76" s="2"/>
      <c r="V76" s="7">
        <f t="shared" si="66"/>
        <v>6.5325228287723249E-4</v>
      </c>
      <c r="W76" s="2"/>
      <c r="X76" s="6">
        <f t="shared" si="67"/>
        <v>1091.19</v>
      </c>
      <c r="Y76" s="2"/>
      <c r="Z76" s="7">
        <f t="shared" si="68"/>
        <v>2.5628023862088405</v>
      </c>
    </row>
    <row r="77" spans="1:26" s="23" customFormat="1" hidden="1" outlineLevel="2" x14ac:dyDescent="0.25">
      <c r="A77" s="25"/>
      <c r="B77" s="10" t="str">
        <f>CONCATENATE("          ", "6241", " - ", "OFFICE EXPENSE")</f>
        <v xml:space="preserve">          6241 - OFFICE EXPENSE</v>
      </c>
      <c r="C77" s="10"/>
      <c r="D77" s="6"/>
      <c r="E77" s="2"/>
      <c r="F77" s="7">
        <f t="shared" si="61"/>
        <v>0</v>
      </c>
      <c r="G77" s="2"/>
      <c r="H77" s="6">
        <v>-171.42</v>
      </c>
      <c r="I77" s="2"/>
      <c r="J77" s="7">
        <f t="shared" si="62"/>
        <v>0</v>
      </c>
      <c r="K77" s="2"/>
      <c r="L77" s="6">
        <f t="shared" si="63"/>
        <v>171.42</v>
      </c>
      <c r="M77" s="2"/>
      <c r="N77" s="7">
        <f t="shared" si="64"/>
        <v>-1</v>
      </c>
      <c r="O77" s="10"/>
      <c r="P77" s="6">
        <v>656.58</v>
      </c>
      <c r="Q77" s="2"/>
      <c r="R77" s="7">
        <f t="shared" si="65"/>
        <v>6.9679806970655055E-3</v>
      </c>
      <c r="S77" s="2"/>
      <c r="T77" s="6">
        <v>5531.92</v>
      </c>
      <c r="U77" s="2"/>
      <c r="V77" s="7">
        <f t="shared" si="66"/>
        <v>8.4873393975626391E-3</v>
      </c>
      <c r="W77" s="2"/>
      <c r="X77" s="6">
        <f t="shared" si="67"/>
        <v>-4875.34</v>
      </c>
      <c r="Y77" s="2"/>
      <c r="Z77" s="7">
        <f t="shared" si="68"/>
        <v>-0.88131064802094028</v>
      </c>
    </row>
    <row r="78" spans="1:26" s="23" customFormat="1" hidden="1" outlineLevel="2" x14ac:dyDescent="0.25">
      <c r="A78" s="25"/>
      <c r="B78" s="10" t="str">
        <f>CONCATENATE("          ", "6243", " - ", "PAPER SUPPLIES")</f>
        <v xml:space="preserve">          6243 - PAPER SUPPLIES</v>
      </c>
      <c r="C78" s="10"/>
      <c r="D78" s="6"/>
      <c r="E78" s="2"/>
      <c r="F78" s="7">
        <f t="shared" si="61"/>
        <v>0</v>
      </c>
      <c r="G78" s="2"/>
      <c r="H78" s="6"/>
      <c r="I78" s="2"/>
      <c r="J78" s="7">
        <f t="shared" si="62"/>
        <v>0</v>
      </c>
      <c r="K78" s="2"/>
      <c r="L78" s="6">
        <f t="shared" si="63"/>
        <v>0</v>
      </c>
      <c r="M78" s="2"/>
      <c r="N78" s="7">
        <f t="shared" si="64"/>
        <v>0</v>
      </c>
      <c r="O78" s="10"/>
      <c r="P78" s="6">
        <v>255.33</v>
      </c>
      <c r="Q78" s="2"/>
      <c r="R78" s="7">
        <f t="shared" si="65"/>
        <v>2.7096995208226501E-3</v>
      </c>
      <c r="S78" s="2"/>
      <c r="T78" s="6">
        <v>5123.8</v>
      </c>
      <c r="U78" s="2"/>
      <c r="V78" s="7">
        <f t="shared" si="66"/>
        <v>7.8611819413931232E-3</v>
      </c>
      <c r="W78" s="2"/>
      <c r="X78" s="6">
        <f t="shared" si="67"/>
        <v>-4868.47</v>
      </c>
      <c r="Y78" s="2"/>
      <c r="Z78" s="7">
        <f t="shared" si="68"/>
        <v>-0.95016784417814903</v>
      </c>
    </row>
    <row r="79" spans="1:26" s="23" customFormat="1" hidden="1" outlineLevel="2" x14ac:dyDescent="0.25">
      <c r="A79" s="25"/>
      <c r="B79" s="10" t="str">
        <f>CONCATENATE("          ", "6246", " - ", "REPLACEMENTS")</f>
        <v xml:space="preserve">          6246 - REPLACEMENTS</v>
      </c>
      <c r="C79" s="10"/>
      <c r="D79" s="6"/>
      <c r="E79" s="2"/>
      <c r="F79" s="7">
        <f t="shared" si="61"/>
        <v>0</v>
      </c>
      <c r="G79" s="2"/>
      <c r="H79" s="6"/>
      <c r="I79" s="2"/>
      <c r="J79" s="7">
        <f t="shared" si="62"/>
        <v>0</v>
      </c>
      <c r="K79" s="2"/>
      <c r="L79" s="6">
        <f t="shared" si="63"/>
        <v>0</v>
      </c>
      <c r="M79" s="2"/>
      <c r="N79" s="7">
        <f t="shared" si="64"/>
        <v>0</v>
      </c>
      <c r="O79" s="10"/>
      <c r="P79" s="6"/>
      <c r="Q79" s="2"/>
      <c r="R79" s="7">
        <f t="shared" si="65"/>
        <v>0</v>
      </c>
      <c r="S79" s="2"/>
      <c r="T79" s="6">
        <v>25.87</v>
      </c>
      <c r="U79" s="2"/>
      <c r="V79" s="7">
        <f t="shared" si="66"/>
        <v>3.9691006054849937E-5</v>
      </c>
      <c r="W79" s="2"/>
      <c r="X79" s="6">
        <f t="shared" si="67"/>
        <v>-25.87</v>
      </c>
      <c r="Y79" s="2"/>
      <c r="Z79" s="7">
        <f t="shared" si="68"/>
        <v>-1</v>
      </c>
    </row>
    <row r="80" spans="1:26" s="23" customFormat="1" hidden="1" outlineLevel="2" x14ac:dyDescent="0.25">
      <c r="A80" s="25"/>
      <c r="B80" s="10" t="str">
        <f>CONCATENATE("          ", "6247", " - ", "STORE SUPPLIES")</f>
        <v xml:space="preserve">          6247 - STORE SUPPLIES</v>
      </c>
      <c r="C80" s="10"/>
      <c r="D80" s="6"/>
      <c r="E80" s="2"/>
      <c r="F80" s="7">
        <f t="shared" si="61"/>
        <v>0</v>
      </c>
      <c r="G80" s="2"/>
      <c r="H80" s="6"/>
      <c r="I80" s="2"/>
      <c r="J80" s="7">
        <f t="shared" si="62"/>
        <v>0</v>
      </c>
      <c r="K80" s="2"/>
      <c r="L80" s="6">
        <f t="shared" si="63"/>
        <v>0</v>
      </c>
      <c r="M80" s="2"/>
      <c r="N80" s="7">
        <f t="shared" si="64"/>
        <v>0</v>
      </c>
      <c r="O80" s="10"/>
      <c r="P80" s="6"/>
      <c r="Q80" s="2"/>
      <c r="R80" s="7">
        <f t="shared" si="65"/>
        <v>0</v>
      </c>
      <c r="S80" s="2"/>
      <c r="T80" s="6">
        <v>440.56</v>
      </c>
      <c r="U80" s="2"/>
      <c r="V80" s="7">
        <f t="shared" si="66"/>
        <v>6.7592847419886692E-4</v>
      </c>
      <c r="W80" s="2"/>
      <c r="X80" s="6">
        <f t="shared" si="67"/>
        <v>-440.56</v>
      </c>
      <c r="Y80" s="2"/>
      <c r="Z80" s="7">
        <f t="shared" si="68"/>
        <v>-1</v>
      </c>
    </row>
    <row r="81" spans="1:26" s="23" customFormat="1" hidden="1" outlineLevel="2" x14ac:dyDescent="0.25">
      <c r="A81" s="25"/>
      <c r="B81" s="10" t="str">
        <f>CONCATENATE("          ", "6248", " - ", "UNIFORMS")</f>
        <v xml:space="preserve">          6248 - UNIFORMS</v>
      </c>
      <c r="C81" s="10"/>
      <c r="D81" s="6"/>
      <c r="E81" s="2"/>
      <c r="F81" s="7">
        <f t="shared" si="61"/>
        <v>0</v>
      </c>
      <c r="G81" s="2"/>
      <c r="H81" s="6"/>
      <c r="I81" s="2"/>
      <c r="J81" s="7">
        <f t="shared" si="62"/>
        <v>0</v>
      </c>
      <c r="K81" s="2"/>
      <c r="L81" s="6">
        <f t="shared" si="63"/>
        <v>0</v>
      </c>
      <c r="M81" s="2"/>
      <c r="N81" s="7">
        <f t="shared" si="64"/>
        <v>0</v>
      </c>
      <c r="O81" s="10"/>
      <c r="P81" s="6"/>
      <c r="Q81" s="2"/>
      <c r="R81" s="7">
        <f t="shared" si="65"/>
        <v>0</v>
      </c>
      <c r="S81" s="2"/>
      <c r="T81" s="6">
        <v>15.47</v>
      </c>
      <c r="U81" s="2"/>
      <c r="V81" s="7">
        <f t="shared" si="66"/>
        <v>2.3734822716216798E-5</v>
      </c>
      <c r="W81" s="2"/>
      <c r="X81" s="6">
        <f t="shared" si="67"/>
        <v>-15.47</v>
      </c>
      <c r="Y81" s="2"/>
      <c r="Z81" s="7">
        <f t="shared" si="68"/>
        <v>-1</v>
      </c>
    </row>
    <row r="82" spans="1:26" s="27" customFormat="1" outlineLevel="1" collapsed="1" x14ac:dyDescent="0.25">
      <c r="A82" s="26"/>
      <c r="B82" s="12" t="str">
        <f>CONCATENATE("     ","Telephone/Data Lines                              ")</f>
        <v xml:space="preserve">     Telephone/Data Lines                              </v>
      </c>
      <c r="C82" s="12"/>
      <c r="D82" s="1">
        <f>SUM(OSRRefD22_15x_0)</f>
        <v>532</v>
      </c>
      <c r="E82" s="1"/>
      <c r="F82" s="5">
        <f t="shared" ref="F82:F87" si="69">IF(D$12=0,0,D82/D$12)</f>
        <v>3.1180455715254449E-2</v>
      </c>
      <c r="G82" s="1"/>
      <c r="H82" s="1">
        <f>SUM(OSRRefH22_15x_0)</f>
        <v>64</v>
      </c>
      <c r="I82" s="1"/>
      <c r="J82" s="5">
        <f t="shared" ref="J82:J87" si="70">IF(H$12=0,0,H82/H$12)</f>
        <v>0</v>
      </c>
      <c r="K82" s="1"/>
      <c r="L82" s="1">
        <f t="shared" ref="L82:L87" si="71">+D82-H82</f>
        <v>468</v>
      </c>
      <c r="M82" s="1"/>
      <c r="N82" s="5">
        <f t="shared" ref="N82:N87" si="72">IF(H82=0,0,L82/H82)</f>
        <v>7.3125</v>
      </c>
      <c r="O82" s="12"/>
      <c r="P82" s="1">
        <f>SUM(OSRRefP22_15x_0)</f>
        <v>2612</v>
      </c>
      <c r="Q82" s="1"/>
      <c r="R82" s="5">
        <f t="shared" ref="R82:R87" si="73">IF(P$12=0,0,P82/P$12)</f>
        <v>2.7719951233261902E-2</v>
      </c>
      <c r="S82" s="1"/>
      <c r="T82" s="1">
        <f>SUM(OSRRefT22_15x_0)</f>
        <v>1652.64</v>
      </c>
      <c r="U82" s="1"/>
      <c r="V82" s="5">
        <f t="shared" ref="V82:V87" si="74">IF(T$12=0,0,T82/T$12)</f>
        <v>2.5355602723806415E-3</v>
      </c>
      <c r="W82" s="1"/>
      <c r="X82" s="1">
        <f t="shared" ref="X82:X87" si="75">+P82-T82</f>
        <v>959.3599999999999</v>
      </c>
      <c r="Y82" s="1"/>
      <c r="Z82" s="5">
        <f t="shared" ref="Z82:Z87" si="76">IF(T82=0,0,X82/T82)</f>
        <v>0.58050150062929606</v>
      </c>
    </row>
    <row r="83" spans="1:26" s="23" customFormat="1" hidden="1" outlineLevel="2" x14ac:dyDescent="0.25">
      <c r="A83" s="25"/>
      <c r="B83" s="10" t="str">
        <f>CONCATENATE("          ", "6309", " - ", "TELEPHONE")</f>
        <v xml:space="preserve">          6309 - TELEPHONE</v>
      </c>
      <c r="C83" s="10"/>
      <c r="D83" s="6">
        <v>532</v>
      </c>
      <c r="E83" s="2"/>
      <c r="F83" s="7">
        <f t="shared" si="69"/>
        <v>3.1180455715254449E-2</v>
      </c>
      <c r="G83" s="2"/>
      <c r="H83" s="6">
        <v>64</v>
      </c>
      <c r="I83" s="2"/>
      <c r="J83" s="7">
        <f t="shared" si="70"/>
        <v>0</v>
      </c>
      <c r="K83" s="2"/>
      <c r="L83" s="6">
        <f t="shared" si="71"/>
        <v>468</v>
      </c>
      <c r="M83" s="2"/>
      <c r="N83" s="7">
        <f t="shared" si="72"/>
        <v>7.3125</v>
      </c>
      <c r="O83" s="10"/>
      <c r="P83" s="6">
        <v>2612</v>
      </c>
      <c r="Q83" s="2"/>
      <c r="R83" s="7">
        <f t="shared" si="73"/>
        <v>2.7719951233261902E-2</v>
      </c>
      <c r="S83" s="2"/>
      <c r="T83" s="6">
        <v>1652.64</v>
      </c>
      <c r="U83" s="2"/>
      <c r="V83" s="7">
        <f t="shared" si="74"/>
        <v>2.5355602723806415E-3</v>
      </c>
      <c r="W83" s="2"/>
      <c r="X83" s="6">
        <f t="shared" si="75"/>
        <v>959.3599999999999</v>
      </c>
      <c r="Y83" s="2"/>
      <c r="Z83" s="7">
        <f t="shared" si="76"/>
        <v>0.58050150062929606</v>
      </c>
    </row>
    <row r="84" spans="1:26" s="27" customFormat="1" outlineLevel="1" collapsed="1" x14ac:dyDescent="0.25">
      <c r="A84" s="26"/>
      <c r="B84" s="12" t="str">
        <f>CONCATENATE("     ","Training                                          ")</f>
        <v xml:space="preserve">     Training                                          </v>
      </c>
      <c r="C84" s="12"/>
      <c r="D84" s="1">
        <f>SUM(OSRRefD22_16x_0)</f>
        <v>0</v>
      </c>
      <c r="E84" s="1"/>
      <c r="F84" s="5">
        <f t="shared" si="69"/>
        <v>0</v>
      </c>
      <c r="G84" s="1"/>
      <c r="H84" s="1">
        <f>SUM(OSRRefH22_16x_0)</f>
        <v>0</v>
      </c>
      <c r="I84" s="1"/>
      <c r="J84" s="5">
        <f t="shared" si="70"/>
        <v>0</v>
      </c>
      <c r="K84" s="1"/>
      <c r="L84" s="1">
        <f t="shared" si="71"/>
        <v>0</v>
      </c>
      <c r="M84" s="1"/>
      <c r="N84" s="5">
        <f t="shared" si="72"/>
        <v>0</v>
      </c>
      <c r="O84" s="12"/>
      <c r="P84" s="1">
        <f>SUM(OSRRefP22_16x_0)</f>
        <v>400</v>
      </c>
      <c r="Q84" s="1"/>
      <c r="R84" s="5">
        <f t="shared" si="73"/>
        <v>4.2450155027966164E-3</v>
      </c>
      <c r="S84" s="1"/>
      <c r="T84" s="1">
        <f>SUM(OSRRefT22_16x_0)</f>
        <v>185</v>
      </c>
      <c r="U84" s="1"/>
      <c r="V84" s="5">
        <f t="shared" si="74"/>
        <v>2.8383595361991645E-4</v>
      </c>
      <c r="W84" s="1"/>
      <c r="X84" s="1">
        <f t="shared" si="75"/>
        <v>215</v>
      </c>
      <c r="Y84" s="1"/>
      <c r="Z84" s="5">
        <f t="shared" si="76"/>
        <v>1.1621621621621621</v>
      </c>
    </row>
    <row r="85" spans="1:26" s="23" customFormat="1" hidden="1" outlineLevel="2" x14ac:dyDescent="0.25">
      <c r="A85" s="25"/>
      <c r="B85" s="10" t="str">
        <f>CONCATENATE("          ", "6376", " - ", "TRAINING")</f>
        <v xml:space="preserve">          6376 - TRAINING</v>
      </c>
      <c r="C85" s="10"/>
      <c r="D85" s="6"/>
      <c r="E85" s="2"/>
      <c r="F85" s="7">
        <f t="shared" si="69"/>
        <v>0</v>
      </c>
      <c r="G85" s="2"/>
      <c r="H85" s="6"/>
      <c r="I85" s="2"/>
      <c r="J85" s="7">
        <f t="shared" si="70"/>
        <v>0</v>
      </c>
      <c r="K85" s="2"/>
      <c r="L85" s="6">
        <f t="shared" si="71"/>
        <v>0</v>
      </c>
      <c r="M85" s="2"/>
      <c r="N85" s="7">
        <f t="shared" si="72"/>
        <v>0</v>
      </c>
      <c r="O85" s="10"/>
      <c r="P85" s="6">
        <v>400</v>
      </c>
      <c r="Q85" s="2"/>
      <c r="R85" s="7">
        <f t="shared" si="73"/>
        <v>4.2450155027966164E-3</v>
      </c>
      <c r="S85" s="2"/>
      <c r="T85" s="6">
        <v>185</v>
      </c>
      <c r="U85" s="2"/>
      <c r="V85" s="7">
        <f t="shared" si="74"/>
        <v>2.8383595361991645E-4</v>
      </c>
      <c r="W85" s="2"/>
      <c r="X85" s="6">
        <f t="shared" si="75"/>
        <v>215</v>
      </c>
      <c r="Y85" s="2"/>
      <c r="Z85" s="7">
        <f t="shared" si="76"/>
        <v>1.1621621621621621</v>
      </c>
    </row>
    <row r="86" spans="1:26" s="27" customFormat="1" outlineLevel="1" collapsed="1" x14ac:dyDescent="0.25">
      <c r="A86" s="26"/>
      <c r="B86" s="12" t="str">
        <f>CONCATENATE("     ","Utilities                                         ")</f>
        <v xml:space="preserve">     Utilities                                         </v>
      </c>
      <c r="C86" s="12"/>
      <c r="D86" s="1">
        <f>SUM(OSRRefD22_17x_0)</f>
        <v>-1825</v>
      </c>
      <c r="E86" s="1"/>
      <c r="F86" s="5">
        <f t="shared" si="69"/>
        <v>-0.10696302947432212</v>
      </c>
      <c r="G86" s="1"/>
      <c r="H86" s="1">
        <f>SUM(OSRRefH22_17x_0)</f>
        <v>5748</v>
      </c>
      <c r="I86" s="1"/>
      <c r="J86" s="5">
        <f t="shared" si="70"/>
        <v>0</v>
      </c>
      <c r="K86" s="1"/>
      <c r="L86" s="1">
        <f t="shared" si="71"/>
        <v>-7573</v>
      </c>
      <c r="M86" s="1"/>
      <c r="N86" s="5">
        <f t="shared" si="72"/>
        <v>-1.3175017397355602</v>
      </c>
      <c r="O86" s="12"/>
      <c r="P86" s="1">
        <f>SUM(OSRRefP22_17x_0)</f>
        <v>11100</v>
      </c>
      <c r="Q86" s="1"/>
      <c r="R86" s="5">
        <f t="shared" si="73"/>
        <v>0.1177991802026061</v>
      </c>
      <c r="S86" s="1"/>
      <c r="T86" s="1">
        <f>SUM(OSRRefT22_17x_0)</f>
        <v>30520</v>
      </c>
      <c r="U86" s="1"/>
      <c r="V86" s="5">
        <f t="shared" si="74"/>
        <v>4.6825261105296487E-2</v>
      </c>
      <c r="W86" s="1"/>
      <c r="X86" s="1">
        <f t="shared" si="75"/>
        <v>-19420</v>
      </c>
      <c r="Y86" s="1"/>
      <c r="Z86" s="5">
        <f t="shared" si="76"/>
        <v>-0.63630406290956754</v>
      </c>
    </row>
    <row r="87" spans="1:26" s="23" customFormat="1" hidden="1" outlineLevel="2" x14ac:dyDescent="0.25">
      <c r="A87" s="25"/>
      <c r="B87" s="10" t="str">
        <f>CONCATENATE("          ", "6274", " - ", "UTILITIES")</f>
        <v xml:space="preserve">          6274 - UTILITIES</v>
      </c>
      <c r="C87" s="10"/>
      <c r="D87" s="6">
        <v>-1825</v>
      </c>
      <c r="E87" s="2"/>
      <c r="F87" s="7">
        <f t="shared" si="69"/>
        <v>-0.10696302947432212</v>
      </c>
      <c r="G87" s="2"/>
      <c r="H87" s="6">
        <v>5748</v>
      </c>
      <c r="I87" s="2"/>
      <c r="J87" s="7">
        <f t="shared" si="70"/>
        <v>0</v>
      </c>
      <c r="K87" s="2"/>
      <c r="L87" s="6">
        <f t="shared" si="71"/>
        <v>-7573</v>
      </c>
      <c r="M87" s="2"/>
      <c r="N87" s="7">
        <f t="shared" si="72"/>
        <v>-1.3175017397355602</v>
      </c>
      <c r="O87" s="10"/>
      <c r="P87" s="6">
        <v>11100</v>
      </c>
      <c r="Q87" s="2"/>
      <c r="R87" s="7">
        <f t="shared" si="73"/>
        <v>0.1177991802026061</v>
      </c>
      <c r="S87" s="2"/>
      <c r="T87" s="6">
        <v>30520</v>
      </c>
      <c r="U87" s="2"/>
      <c r="V87" s="7">
        <f t="shared" si="74"/>
        <v>4.6825261105296487E-2</v>
      </c>
      <c r="W87" s="2"/>
      <c r="X87" s="6">
        <f t="shared" si="75"/>
        <v>-19420</v>
      </c>
      <c r="Y87" s="2"/>
      <c r="Z87" s="7">
        <f t="shared" si="76"/>
        <v>-0.63630406290956754</v>
      </c>
    </row>
    <row r="88" spans="1:26" s="52" customFormat="1" x14ac:dyDescent="0.25">
      <c r="A88" s="37"/>
      <c r="B88" s="37"/>
      <c r="C88" s="37"/>
      <c r="D88" s="1"/>
      <c r="E88" s="1"/>
      <c r="F88" s="5"/>
      <c r="G88" s="1"/>
      <c r="H88" s="1"/>
      <c r="I88" s="1"/>
      <c r="J88" s="5"/>
      <c r="K88" s="1"/>
      <c r="L88" s="1"/>
      <c r="M88" s="1"/>
      <c r="N88" s="5"/>
      <c r="O88" s="37"/>
      <c r="P88" s="1"/>
      <c r="Q88" s="1"/>
      <c r="R88" s="5"/>
      <c r="S88" s="1"/>
      <c r="T88" s="1"/>
      <c r="U88" s="1"/>
      <c r="V88" s="5"/>
      <c r="W88" s="1"/>
      <c r="X88" s="1"/>
      <c r="Y88" s="1"/>
      <c r="Z88" s="5"/>
    </row>
    <row r="89" spans="1:26" s="24" customFormat="1" collapsed="1" x14ac:dyDescent="0.25">
      <c r="A89" s="11"/>
      <c r="B89" s="29" t="s">
        <v>292</v>
      </c>
      <c r="C89" s="11"/>
      <c r="D89" s="4">
        <f>SUM(OSRRefD25x_0)</f>
        <v>0</v>
      </c>
      <c r="E89" s="4"/>
      <c r="F89" s="13">
        <f t="shared" ref="F89:F90" si="77">IF(D$12=0,0,D89/D$12)</f>
        <v>0</v>
      </c>
      <c r="G89" s="4"/>
      <c r="H89" s="4">
        <f>SUM(OSRRefH25x_0)</f>
        <v>0</v>
      </c>
      <c r="I89" s="4"/>
      <c r="J89" s="13">
        <f t="shared" ref="J89:J90" si="78">IF(H$12=0,0,H89/H$12)</f>
        <v>0</v>
      </c>
      <c r="K89" s="4"/>
      <c r="L89" s="4">
        <f t="shared" ref="L89:L90" si="79">+D89-H89</f>
        <v>0</v>
      </c>
      <c r="M89" s="4"/>
      <c r="N89" s="13">
        <f t="shared" ref="N89:N90" si="80">IF(H89=0,0,L89/H89)</f>
        <v>0</v>
      </c>
      <c r="O89" s="11"/>
      <c r="P89" s="4">
        <f>SUM(OSRRefP25x_0)</f>
        <v>0</v>
      </c>
      <c r="Q89" s="4"/>
      <c r="R89" s="13">
        <f t="shared" ref="R89:R90" si="81">IF(P$12=0,0,P89/P$12)</f>
        <v>0</v>
      </c>
      <c r="S89" s="4"/>
      <c r="T89" s="4">
        <f>SUM(OSRRefT25x_0)</f>
        <v>68.760000000000005</v>
      </c>
      <c r="U89" s="4"/>
      <c r="V89" s="13">
        <f t="shared" ref="V89:V90" si="82">IF(T$12=0,0,T89/T$12)</f>
        <v>1.0549491984273219E-4</v>
      </c>
      <c r="W89" s="4"/>
      <c r="X89" s="4">
        <f t="shared" ref="X89:X90" si="83">+P89-T89</f>
        <v>-68.760000000000005</v>
      </c>
      <c r="Y89" s="4"/>
      <c r="Z89" s="13">
        <f t="shared" ref="Z89:Z90" si="84">IF(T89=0,0,X89/T89)</f>
        <v>-1</v>
      </c>
    </row>
    <row r="90" spans="1:26" s="23" customFormat="1" hidden="1" outlineLevel="1" x14ac:dyDescent="0.25">
      <c r="A90" s="44"/>
      <c r="B90" s="10" t="str">
        <f>CONCATENATE("          ", "9150", " - ", "MISC. INCOME")</f>
        <v xml:space="preserve">          9150 - MISC. INCOME</v>
      </c>
      <c r="C90" s="10"/>
      <c r="D90" s="2">
        <f>0</f>
        <v>0</v>
      </c>
      <c r="E90" s="2"/>
      <c r="F90" s="19">
        <f t="shared" si="77"/>
        <v>0</v>
      </c>
      <c r="G90" s="2"/>
      <c r="H90" s="2">
        <f>0</f>
        <v>0</v>
      </c>
      <c r="I90" s="2"/>
      <c r="J90" s="19">
        <f t="shared" si="78"/>
        <v>0</v>
      </c>
      <c r="K90" s="2"/>
      <c r="L90" s="2">
        <f t="shared" si="79"/>
        <v>0</v>
      </c>
      <c r="M90" s="2"/>
      <c r="N90" s="19">
        <f t="shared" si="80"/>
        <v>0</v>
      </c>
      <c r="O90" s="10"/>
      <c r="P90" s="2">
        <f>0</f>
        <v>0</v>
      </c>
      <c r="Q90" s="2"/>
      <c r="R90" s="19">
        <f t="shared" si="81"/>
        <v>0</v>
      </c>
      <c r="S90" s="2"/>
      <c r="T90" s="2">
        <f>--68.76</f>
        <v>68.760000000000005</v>
      </c>
      <c r="U90" s="2"/>
      <c r="V90" s="19">
        <f t="shared" si="82"/>
        <v>1.0549491984273219E-4</v>
      </c>
      <c r="W90" s="2"/>
      <c r="X90" s="2">
        <f t="shared" si="83"/>
        <v>-68.760000000000005</v>
      </c>
      <c r="Y90" s="2"/>
      <c r="Z90" s="19">
        <f t="shared" si="84"/>
        <v>-1</v>
      </c>
    </row>
    <row r="91" spans="1:26" x14ac:dyDescent="0.25">
      <c r="A91" s="9"/>
      <c r="B91" s="11"/>
      <c r="C91" s="11"/>
      <c r="D91" s="3"/>
      <c r="E91" s="3"/>
      <c r="F91" s="8"/>
      <c r="G91" s="3"/>
      <c r="H91" s="3"/>
      <c r="I91" s="3"/>
      <c r="J91" s="8"/>
      <c r="K91" s="3"/>
      <c r="L91" s="3"/>
      <c r="M91" s="3"/>
      <c r="N91" s="8"/>
      <c r="O91" s="11"/>
      <c r="P91" s="3"/>
      <c r="Q91" s="3"/>
      <c r="R91" s="8"/>
      <c r="S91" s="3"/>
      <c r="T91" s="3"/>
      <c r="U91" s="3"/>
      <c r="V91" s="8"/>
      <c r="W91" s="3"/>
      <c r="X91" s="3"/>
      <c r="Y91" s="3"/>
      <c r="Z91" s="8"/>
    </row>
    <row r="92" spans="1:26" s="24" customFormat="1" x14ac:dyDescent="0.25">
      <c r="A92" s="11"/>
      <c r="B92" s="28" t="s">
        <v>276</v>
      </c>
      <c r="C92" s="28"/>
      <c r="D92" s="21">
        <f>+D20-D22+D89</f>
        <v>-40601.420000000006</v>
      </c>
      <c r="E92" s="14"/>
      <c r="F92" s="22">
        <f>IF(D$12=0,0,D92/D$12)</f>
        <v>-2.3796443200873054</v>
      </c>
      <c r="G92" s="14"/>
      <c r="H92" s="21">
        <f>+H20-H22+H89</f>
        <v>-42341.23</v>
      </c>
      <c r="I92" s="14"/>
      <c r="J92" s="22">
        <f>IF(H$12=0,0,H92/H$12)</f>
        <v>0</v>
      </c>
      <c r="K92" s="15"/>
      <c r="L92" s="21">
        <f>+D92-H92</f>
        <v>1739.8099999999977</v>
      </c>
      <c r="M92" s="15"/>
      <c r="N92" s="22">
        <f>IF(H92=0,0,L92/H92)</f>
        <v>-4.1090209235773209E-2</v>
      </c>
      <c r="O92" s="29"/>
      <c r="P92" s="21">
        <f>+P20-P22+P89</f>
        <v>-661910.28999999969</v>
      </c>
      <c r="Q92" s="14"/>
      <c r="R92" s="22">
        <f>IF(P$12=0,0,P92/P$12)</f>
        <v>-7.0245486062765066</v>
      </c>
      <c r="S92" s="14"/>
      <c r="T92" s="21">
        <f>+T20-T22+T89</f>
        <v>-316796.04000000015</v>
      </c>
      <c r="U92" s="14"/>
      <c r="V92" s="22">
        <f>IF(T$12=0,0,T92/T$12)</f>
        <v>-0.48604381684547693</v>
      </c>
      <c r="W92" s="15"/>
      <c r="X92" s="21">
        <f>+P92-T92</f>
        <v>-345114.24999999953</v>
      </c>
      <c r="Y92" s="15"/>
      <c r="Z92" s="22">
        <f>IF(T92=0,0,X92/T92)</f>
        <v>1.0893894065089935</v>
      </c>
    </row>
    <row r="93" spans="1:26" x14ac:dyDescent="0.25">
      <c r="A93" s="9"/>
      <c r="B93" s="11"/>
      <c r="C93" s="9"/>
      <c r="D93" s="3"/>
      <c r="E93" s="3"/>
      <c r="F93" s="8"/>
      <c r="G93" s="3"/>
      <c r="H93" s="3"/>
      <c r="I93" s="3"/>
      <c r="J93" s="8"/>
      <c r="K93" s="3"/>
      <c r="L93" s="3"/>
      <c r="M93" s="3"/>
      <c r="N93" s="8"/>
      <c r="P93" s="3"/>
      <c r="Q93" s="3"/>
      <c r="R93" s="8"/>
      <c r="S93" s="3"/>
      <c r="T93" s="3"/>
      <c r="U93" s="3"/>
      <c r="V93" s="8"/>
      <c r="W93" s="3"/>
      <c r="X93" s="3"/>
      <c r="Y93" s="3"/>
      <c r="Z93" s="8"/>
    </row>
    <row r="94" spans="1:26" s="24" customFormat="1" x14ac:dyDescent="0.25">
      <c r="A94" s="51"/>
      <c r="B94" s="11" t="s">
        <v>127</v>
      </c>
      <c r="C94" s="11"/>
      <c r="D94" s="4">
        <v>9592.17</v>
      </c>
      <c r="E94" s="4"/>
      <c r="F94" s="13">
        <f>IF(D$12=0,0,D94/D$12)</f>
        <v>0.56219592462066215</v>
      </c>
      <c r="G94" s="4"/>
      <c r="H94" s="4">
        <v>21510.23</v>
      </c>
      <c r="I94" s="4"/>
      <c r="J94" s="13">
        <f>IF(H$12=0,0,H94/H$12)</f>
        <v>0</v>
      </c>
      <c r="K94" s="4"/>
      <c r="L94" s="4">
        <f>+D94-H94</f>
        <v>-11918.06</v>
      </c>
      <c r="M94" s="4"/>
      <c r="N94" s="13">
        <f>IF(H94=0,0,L94/H94)</f>
        <v>-0.55406474035842479</v>
      </c>
      <c r="O94" s="11"/>
      <c r="P94" s="4">
        <v>26081.85</v>
      </c>
      <c r="Q94" s="4"/>
      <c r="R94" s="13">
        <f>IF(P$12=0,0,P94/P$12)</f>
        <v>0.2767946439790398</v>
      </c>
      <c r="S94" s="4"/>
      <c r="T94" s="4">
        <v>98694.98</v>
      </c>
      <c r="U94" s="4"/>
      <c r="V94" s="13">
        <f>IF(T$12=0,0,T94/T$12)</f>
        <v>0.1514226149502626</v>
      </c>
      <c r="W94" s="4"/>
      <c r="X94" s="4">
        <f>+P94-T94</f>
        <v>-72613.13</v>
      </c>
      <c r="Y94" s="4"/>
      <c r="Z94" s="13">
        <f>IF(T94=0,0,X94/T94)</f>
        <v>-0.73573275966011653</v>
      </c>
    </row>
    <row r="95" spans="1:26" x14ac:dyDescent="0.25">
      <c r="A95" s="9"/>
      <c r="B95" s="11"/>
      <c r="C95" s="11"/>
      <c r="D95" s="3"/>
      <c r="E95" s="3"/>
      <c r="F95" s="8"/>
      <c r="G95" s="3"/>
      <c r="H95" s="3"/>
      <c r="I95" s="3"/>
      <c r="J95" s="8"/>
      <c r="K95" s="3"/>
      <c r="L95" s="3"/>
      <c r="M95" s="3"/>
      <c r="N95" s="8"/>
      <c r="O95" s="11"/>
      <c r="P95" s="3"/>
      <c r="Q95" s="3"/>
      <c r="R95" s="8"/>
      <c r="S95" s="3"/>
      <c r="T95" s="3"/>
      <c r="U95" s="3"/>
      <c r="V95" s="8"/>
      <c r="W95" s="3"/>
      <c r="X95" s="3"/>
      <c r="Y95" s="3"/>
      <c r="Z95" s="8"/>
    </row>
    <row r="96" spans="1:26" s="24" customFormat="1" ht="15.75" thickBot="1" x14ac:dyDescent="0.3">
      <c r="A96" s="11"/>
      <c r="B96" s="28" t="s">
        <v>125</v>
      </c>
      <c r="C96" s="28"/>
      <c r="D96" s="34">
        <f>+D92-D94</f>
        <v>-50193.590000000004</v>
      </c>
      <c r="E96" s="14"/>
      <c r="F96" s="31">
        <f>IF(D$12=0,0,D96/D$12)</f>
        <v>-2.9418402447079677</v>
      </c>
      <c r="G96" s="14"/>
      <c r="H96" s="34">
        <f>+H92-H94</f>
        <v>-63851.460000000006</v>
      </c>
      <c r="I96" s="14"/>
      <c r="J96" s="31">
        <f>IF(H$12=0,0,H96/H$12)</f>
        <v>0</v>
      </c>
      <c r="K96" s="15"/>
      <c r="L96" s="34">
        <f>D96-H96</f>
        <v>13657.870000000003</v>
      </c>
      <c r="M96" s="15"/>
      <c r="N96" s="31">
        <f>IF(H96=0,0,L96/H96)</f>
        <v>-0.21390066883357092</v>
      </c>
      <c r="O96" s="29"/>
      <c r="P96" s="34">
        <f>+P92-P94</f>
        <v>-687992.13999999966</v>
      </c>
      <c r="Q96" s="14"/>
      <c r="R96" s="31">
        <f>IF(P$12=0,0,P96/P$12)</f>
        <v>-7.3013432502555462</v>
      </c>
      <c r="S96" s="14"/>
      <c r="T96" s="34">
        <f>+T92-T94</f>
        <v>-415491.02000000014</v>
      </c>
      <c r="U96" s="14"/>
      <c r="V96" s="31">
        <f>IF(T$12=0,0,T96/T$12)</f>
        <v>-0.63746643179573947</v>
      </c>
      <c r="W96" s="15"/>
      <c r="X96" s="34">
        <f>P96-T96</f>
        <v>-272501.11999999953</v>
      </c>
      <c r="Y96" s="15"/>
      <c r="Z96" s="31">
        <f>IF(T96=0,0,X96/T96)</f>
        <v>0.65585321194185964</v>
      </c>
    </row>
    <row r="97" spans="1:26" ht="15.75" thickTop="1" x14ac:dyDescent="0.25">
      <c r="A97" s="9"/>
      <c r="B97" s="9"/>
      <c r="C97" s="9"/>
      <c r="D97" s="3"/>
      <c r="E97" s="3"/>
      <c r="F97" s="8"/>
      <c r="G97" s="3"/>
      <c r="H97" s="3"/>
      <c r="I97" s="3"/>
      <c r="J97" s="8"/>
      <c r="K97" s="3"/>
      <c r="L97" s="3"/>
      <c r="M97" s="3"/>
      <c r="N97" s="8"/>
      <c r="P97" s="3"/>
      <c r="Q97" s="3"/>
      <c r="R97" s="8"/>
      <c r="S97" s="3"/>
      <c r="T97" s="3"/>
      <c r="U97" s="3"/>
      <c r="V97" s="8"/>
      <c r="W97" s="3"/>
      <c r="X97" s="3"/>
      <c r="Y97" s="3"/>
      <c r="Z97" s="8"/>
    </row>
    <row r="98" spans="1:26" x14ac:dyDescent="0.25">
      <c r="A98" s="9"/>
      <c r="B98" s="9"/>
      <c r="C98" s="9"/>
      <c r="D98" s="3"/>
      <c r="E98" s="3"/>
      <c r="F98" s="8"/>
      <c r="G98" s="3"/>
      <c r="H98" s="3"/>
      <c r="I98" s="3"/>
      <c r="J98" s="8"/>
      <c r="K98" s="3"/>
      <c r="L98" s="3"/>
      <c r="M98" s="3"/>
      <c r="N98" s="8"/>
      <c r="P98" s="3"/>
      <c r="Q98" s="3"/>
      <c r="R98" s="8"/>
      <c r="S98" s="3"/>
      <c r="T98" s="3"/>
      <c r="U98" s="3"/>
      <c r="V98" s="8"/>
      <c r="W98" s="3"/>
      <c r="X98" s="3"/>
      <c r="Y98" s="3"/>
      <c r="Z98" s="8"/>
    </row>
    <row r="99" spans="1:26" s="24" customFormat="1" ht="15.75" thickBot="1" x14ac:dyDescent="0.3">
      <c r="A99" s="11"/>
      <c r="B99" s="28" t="s">
        <v>293</v>
      </c>
      <c r="C99" s="28"/>
      <c r="D99" s="33">
        <f>SUM(D96:D98)</f>
        <v>-50193.590000000004</v>
      </c>
      <c r="E99" s="14"/>
      <c r="F99" s="35">
        <f>IF(D$12=0,0,D99/D$12)</f>
        <v>-2.9418402447079677</v>
      </c>
      <c r="G99" s="14"/>
      <c r="H99" s="33">
        <f>SUM(H96:H98)</f>
        <v>-63851.460000000006</v>
      </c>
      <c r="I99" s="14"/>
      <c r="J99" s="35">
        <f>IF(H$12=0,0,H99/H$12)</f>
        <v>0</v>
      </c>
      <c r="K99" s="15"/>
      <c r="L99" s="33">
        <f>+D99-H99</f>
        <v>13657.870000000003</v>
      </c>
      <c r="M99" s="15"/>
      <c r="N99" s="35">
        <f>IF(H99=0,0,L99/H99)</f>
        <v>-0.21390066883357092</v>
      </c>
      <c r="O99" s="29"/>
      <c r="P99" s="33">
        <f>SUM(P96:P98)</f>
        <v>-687992.13999999966</v>
      </c>
      <c r="Q99" s="14"/>
      <c r="R99" s="35">
        <f>IF(P$12=0,0,P99/P$12)</f>
        <v>-7.3013432502555462</v>
      </c>
      <c r="S99" s="14"/>
      <c r="T99" s="33">
        <f>SUM(T96:T98)</f>
        <v>-415491.02000000014</v>
      </c>
      <c r="U99" s="14"/>
      <c r="V99" s="35">
        <f>IF(T$12=0,0,T99/T$12)</f>
        <v>-0.63746643179573947</v>
      </c>
      <c r="W99" s="15"/>
      <c r="X99" s="33">
        <f>+P99-T99</f>
        <v>-272501.11999999953</v>
      </c>
      <c r="Y99" s="15"/>
      <c r="Z99" s="35">
        <f>IF(T99=0,0,X99/T99)</f>
        <v>0.65585321194185964</v>
      </c>
    </row>
    <row r="100" spans="1:26" ht="15.75" thickTop="1" x14ac:dyDescent="0.25">
      <c r="A100" s="9"/>
      <c r="C100" s="9"/>
      <c r="D100" s="18"/>
      <c r="E100" s="18"/>
      <c r="G100" s="18"/>
      <c r="H100" s="18"/>
      <c r="I100" s="18"/>
      <c r="J100" s="43"/>
      <c r="K100" s="18"/>
      <c r="L100" s="18"/>
      <c r="M100" s="18"/>
      <c r="P100" s="18"/>
      <c r="Q100" s="18"/>
      <c r="R100" s="43"/>
      <c r="S100" s="18"/>
      <c r="T100" s="18"/>
      <c r="U100" s="18"/>
      <c r="V100" s="43"/>
      <c r="W100" s="18"/>
      <c r="X100" s="18"/>
    </row>
    <row r="101" spans="1:26" x14ac:dyDescent="0.25">
      <c r="A101" s="9"/>
      <c r="B101" s="56">
        <v>44454.698585613427</v>
      </c>
      <c r="D101" s="18"/>
      <c r="E101" s="18"/>
      <c r="G101" s="18"/>
      <c r="H101" s="18"/>
      <c r="I101" s="18"/>
      <c r="J101" s="43"/>
      <c r="K101" s="18"/>
      <c r="L101" s="18"/>
      <c r="M101" s="18"/>
      <c r="P101" s="18"/>
      <c r="Q101" s="18"/>
      <c r="R101" s="43"/>
      <c r="S101" s="18"/>
      <c r="T101" s="18"/>
      <c r="U101" s="18"/>
      <c r="V101" s="43"/>
      <c r="W101" s="18"/>
      <c r="X101" s="18"/>
    </row>
    <row r="102" spans="1:26" x14ac:dyDescent="0.25">
      <c r="A102" s="9"/>
      <c r="B102" s="55" t="s">
        <v>56</v>
      </c>
      <c r="D102" s="18"/>
      <c r="E102" s="18"/>
      <c r="G102" s="18"/>
      <c r="H102" s="18"/>
      <c r="I102" s="18"/>
      <c r="J102" s="43"/>
      <c r="K102" s="18"/>
      <c r="L102" s="18"/>
      <c r="M102" s="18"/>
      <c r="P102" s="18"/>
      <c r="Q102" s="18"/>
      <c r="R102" s="43"/>
      <c r="S102" s="18"/>
      <c r="T102" s="18"/>
      <c r="U102" s="18"/>
      <c r="V102" s="43"/>
      <c r="W102" s="18"/>
      <c r="X102" s="18"/>
    </row>
    <row r="103" spans="1:26" x14ac:dyDescent="0.25">
      <c r="A103" s="9"/>
      <c r="B103" s="60"/>
      <c r="D103" s="18"/>
      <c r="E103" s="18"/>
      <c r="G103" s="18"/>
      <c r="H103" s="18"/>
      <c r="I103" s="18"/>
      <c r="J103" s="43"/>
      <c r="K103" s="18"/>
      <c r="L103" s="18"/>
      <c r="M103" s="18"/>
      <c r="P103" s="18"/>
      <c r="Q103" s="18"/>
      <c r="R103" s="43"/>
      <c r="S103" s="18"/>
      <c r="T103" s="18"/>
      <c r="U103" s="18"/>
      <c r="V103" s="43"/>
      <c r="W103" s="18"/>
      <c r="X103" s="18"/>
    </row>
    <row r="104" spans="1:26" x14ac:dyDescent="0.25">
      <c r="D104" s="18"/>
      <c r="E104" s="18"/>
      <c r="G104" s="18"/>
      <c r="H104" s="18"/>
      <c r="I104" s="18"/>
      <c r="J104" s="43"/>
      <c r="K104" s="18"/>
      <c r="L104" s="18"/>
      <c r="M104" s="18"/>
      <c r="P104" s="18"/>
      <c r="Q104" s="18"/>
      <c r="R104" s="43"/>
      <c r="S104" s="18"/>
      <c r="T104" s="18"/>
      <c r="U104" s="18"/>
      <c r="V104" s="43"/>
      <c r="W104" s="18"/>
      <c r="X104" s="18"/>
    </row>
  </sheetData>
  <pageMargins left="0.25" right="0.25" top="0.75" bottom="0.75" header="0.3" footer="0.3"/>
  <pageSetup scale="55" fitToWidth="2" orientation="landscape"/>
  <drawing r:id="rId1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>
    <tabColor rgb="FF92D050"/>
    <outlinePr summaryBelow="0" summaryRight="0"/>
  </sheetPr>
  <dimension ref="A2:Z99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62" t="s">
        <v>23</v>
      </c>
    </row>
    <row r="3" spans="1:26" x14ac:dyDescent="0.25">
      <c r="D3" s="62" t="s">
        <v>236</v>
      </c>
      <c r="E3" s="17"/>
      <c r="F3" s="46"/>
      <c r="G3" s="17"/>
      <c r="H3" s="17"/>
      <c r="I3" s="17"/>
      <c r="J3" s="38"/>
      <c r="K3" s="17"/>
      <c r="L3" s="17"/>
      <c r="M3" s="17"/>
      <c r="N3" s="46"/>
      <c r="O3" s="53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2" t="str">
        <f>CONCATENATE("Period ",RIGHT(202112,2),", ",2021)</f>
        <v>Period 12, 2021</v>
      </c>
      <c r="E4" s="17"/>
      <c r="F4" s="46"/>
      <c r="G4" s="17"/>
      <c r="H4" s="17"/>
      <c r="I4" s="17"/>
      <c r="J4" s="38"/>
      <c r="K4" s="17"/>
      <c r="L4" s="17"/>
      <c r="M4" s="17"/>
      <c r="N4" s="46"/>
      <c r="O4" s="53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4"/>
      <c r="D5" s="63">
        <v>44377</v>
      </c>
      <c r="E5" s="17"/>
      <c r="F5" s="46"/>
      <c r="G5" s="17"/>
      <c r="H5" s="17"/>
      <c r="I5" s="17"/>
      <c r="J5" s="38"/>
      <c r="K5" s="17"/>
      <c r="L5" s="17"/>
      <c r="M5" s="17"/>
      <c r="N5" s="46"/>
      <c r="O5" s="53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4"/>
      <c r="B6" s="48"/>
      <c r="C6" s="48"/>
      <c r="D6" s="24" t="str">
        <f>CONCATENATE("Department ","418", " - ", "Nugget")</f>
        <v>Department 418 - Nugget</v>
      </c>
      <c r="E6" s="17"/>
      <c r="F6" s="46"/>
      <c r="G6" s="17"/>
      <c r="H6" s="17"/>
      <c r="I6" s="17"/>
      <c r="J6" s="38"/>
      <c r="K6" s="17"/>
      <c r="L6" s="17"/>
      <c r="M6" s="17"/>
      <c r="N6" s="46"/>
      <c r="O6" s="54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9"/>
    </row>
    <row r="8" spans="1:26" x14ac:dyDescent="0.25">
      <c r="B8" s="59"/>
    </row>
    <row r="9" spans="1:26" x14ac:dyDescent="0.25">
      <c r="B9" s="9"/>
      <c r="C9" s="9"/>
      <c r="D9" s="16" t="s">
        <v>291</v>
      </c>
      <c r="E9" s="16"/>
      <c r="F9" s="39"/>
      <c r="G9" s="16"/>
      <c r="H9" s="16"/>
      <c r="I9" s="16"/>
      <c r="J9" s="49"/>
      <c r="K9" s="16"/>
      <c r="L9" s="16"/>
      <c r="M9" s="16"/>
      <c r="N9" s="39"/>
      <c r="P9" s="16" t="s">
        <v>39</v>
      </c>
      <c r="Q9" s="16"/>
      <c r="R9" s="39"/>
      <c r="S9" s="16"/>
      <c r="T9" s="16"/>
      <c r="U9" s="16"/>
      <c r="V9" s="49"/>
      <c r="W9" s="16"/>
      <c r="X9" s="16"/>
      <c r="Y9" s="16"/>
      <c r="Z9" s="39"/>
    </row>
    <row r="10" spans="1:26" x14ac:dyDescent="0.25">
      <c r="A10" s="11"/>
      <c r="B10" s="58"/>
      <c r="C10" s="11"/>
      <c r="D10" s="42" t="s">
        <v>57</v>
      </c>
      <c r="E10" s="36"/>
      <c r="F10" s="30" t="s">
        <v>40</v>
      </c>
      <c r="G10" s="36"/>
      <c r="H10" s="50" t="s">
        <v>237</v>
      </c>
      <c r="I10" s="36"/>
      <c r="J10" s="30" t="s">
        <v>40</v>
      </c>
      <c r="K10" s="11"/>
      <c r="L10" s="42" t="s">
        <v>126</v>
      </c>
      <c r="M10" s="11"/>
      <c r="N10" s="30" t="s">
        <v>257</v>
      </c>
      <c r="O10" s="11"/>
      <c r="P10" s="61" t="s">
        <v>57</v>
      </c>
      <c r="Q10" s="36"/>
      <c r="R10" s="30" t="s">
        <v>40</v>
      </c>
      <c r="S10" s="36"/>
      <c r="T10" s="50" t="s">
        <v>237</v>
      </c>
      <c r="U10" s="36"/>
      <c r="V10" s="30" t="s">
        <v>40</v>
      </c>
      <c r="W10" s="11"/>
      <c r="X10" s="42" t="s">
        <v>126</v>
      </c>
      <c r="Y10" s="11"/>
      <c r="Z10" s="30" t="s">
        <v>257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4" customFormat="1" collapsed="1" x14ac:dyDescent="0.25">
      <c r="A12" s="11"/>
      <c r="B12" s="29" t="s">
        <v>139</v>
      </c>
      <c r="C12" s="11"/>
      <c r="D12" s="4">
        <f>SUM(OSRRefD13x_0)</f>
        <v>0</v>
      </c>
      <c r="E12" s="4"/>
      <c r="F12" s="13"/>
      <c r="G12" s="4"/>
      <c r="H12" s="4">
        <f>SUM(OSRRefH13x_0)</f>
        <v>0</v>
      </c>
      <c r="I12" s="4"/>
      <c r="J12" s="13"/>
      <c r="K12" s="4"/>
      <c r="L12" s="4">
        <f t="shared" ref="L12:L14" si="0">+D12-H12</f>
        <v>0</v>
      </c>
      <c r="M12" s="4"/>
      <c r="N12" s="13">
        <f t="shared" ref="N12:N14" si="1">IF(H12=0,0,L12/H12)</f>
        <v>0</v>
      </c>
      <c r="O12" s="11"/>
      <c r="P12" s="4">
        <f>SUM(OSRRefP13x_0)</f>
        <v>0</v>
      </c>
      <c r="Q12" s="4"/>
      <c r="R12" s="13"/>
      <c r="S12" s="4"/>
      <c r="T12" s="4">
        <f>SUM(OSRRefT13x_0)</f>
        <v>1068795.77</v>
      </c>
      <c r="U12" s="4"/>
      <c r="V12" s="13"/>
      <c r="W12" s="4"/>
      <c r="X12" s="4">
        <f t="shared" ref="X12:X14" si="2">+P12-T12</f>
        <v>-1068795.77</v>
      </c>
      <c r="Y12" s="4"/>
      <c r="Z12" s="13">
        <f t="shared" ref="Z12:Z14" si="3">IF(T12=0,0,X12/T12)</f>
        <v>-1</v>
      </c>
    </row>
    <row r="13" spans="1:26" s="23" customFormat="1" hidden="1" outlineLevel="1" x14ac:dyDescent="0.25">
      <c r="A13" s="44"/>
      <c r="B13" s="10" t="str">
        <f>CONCATENATE("          ", "4055", " - ", "TAXABLE SALES-FOOD")</f>
        <v xml:space="preserve">          4055 - TAXABLE SALES-FOOD</v>
      </c>
      <c r="C13" s="10"/>
      <c r="D13" s="2">
        <f t="shared" ref="D13:D14" si="4">0</f>
        <v>0</v>
      </c>
      <c r="E13" s="2"/>
      <c r="F13" s="19"/>
      <c r="G13" s="2"/>
      <c r="H13" s="2">
        <f t="shared" ref="H13:H14" si="5">0</f>
        <v>0</v>
      </c>
      <c r="I13" s="2"/>
      <c r="J13" s="19"/>
      <c r="K13" s="2"/>
      <c r="L13" s="2">
        <f t="shared" si="0"/>
        <v>0</v>
      </c>
      <c r="M13" s="2"/>
      <c r="N13" s="19">
        <f t="shared" si="1"/>
        <v>0</v>
      </c>
      <c r="O13" s="10"/>
      <c r="P13" s="2">
        <f t="shared" ref="P13:P14" si="6">0</f>
        <v>0</v>
      </c>
      <c r="Q13" s="2"/>
      <c r="R13" s="19"/>
      <c r="S13" s="2"/>
      <c r="T13" s="2">
        <f>--381406.04</f>
        <v>381406.04</v>
      </c>
      <c r="U13" s="2"/>
      <c r="V13" s="19"/>
      <c r="W13" s="2"/>
      <c r="X13" s="2">
        <f t="shared" si="2"/>
        <v>-381406.04</v>
      </c>
      <c r="Y13" s="2"/>
      <c r="Z13" s="19">
        <f t="shared" si="3"/>
        <v>-1</v>
      </c>
    </row>
    <row r="14" spans="1:26" s="23" customFormat="1" hidden="1" outlineLevel="1" x14ac:dyDescent="0.25">
      <c r="A14" s="44"/>
      <c r="B14" s="10" t="str">
        <f>CONCATENATE("          ", "4155", " - ", "NON-TAXABLE SALES-FOOD")</f>
        <v xml:space="preserve">          4155 - NON-TAXABLE SALES-FOOD</v>
      </c>
      <c r="C14" s="10"/>
      <c r="D14" s="2">
        <f t="shared" si="4"/>
        <v>0</v>
      </c>
      <c r="E14" s="2"/>
      <c r="F14" s="19"/>
      <c r="G14" s="2"/>
      <c r="H14" s="2">
        <f t="shared" si="5"/>
        <v>0</v>
      </c>
      <c r="I14" s="2"/>
      <c r="J14" s="19"/>
      <c r="K14" s="2"/>
      <c r="L14" s="2">
        <f t="shared" si="0"/>
        <v>0</v>
      </c>
      <c r="M14" s="2"/>
      <c r="N14" s="19">
        <f t="shared" si="1"/>
        <v>0</v>
      </c>
      <c r="O14" s="10"/>
      <c r="P14" s="2">
        <f t="shared" si="6"/>
        <v>0</v>
      </c>
      <c r="Q14" s="2"/>
      <c r="R14" s="19"/>
      <c r="S14" s="2"/>
      <c r="T14" s="2">
        <f>--687389.73</f>
        <v>687389.73</v>
      </c>
      <c r="U14" s="2"/>
      <c r="V14" s="19"/>
      <c r="W14" s="2"/>
      <c r="X14" s="2">
        <f t="shared" si="2"/>
        <v>-687389.73</v>
      </c>
      <c r="Y14" s="2"/>
      <c r="Z14" s="19">
        <f t="shared" si="3"/>
        <v>-1</v>
      </c>
    </row>
    <row r="15" spans="1:26" x14ac:dyDescent="0.25">
      <c r="A15" s="9"/>
      <c r="B15" s="11"/>
      <c r="C15" s="9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4" customFormat="1" collapsed="1" x14ac:dyDescent="0.25">
      <c r="A16" s="11"/>
      <c r="B16" s="29" t="s">
        <v>256</v>
      </c>
      <c r="C16" s="11"/>
      <c r="D16" s="4">
        <f>SUM(OSRRefD16x_0)</f>
        <v>0</v>
      </c>
      <c r="E16" s="4"/>
      <c r="F16" s="13">
        <f t="shared" ref="F16:F18" si="7">IF(D$12=0,0,D16/D$12)</f>
        <v>0</v>
      </c>
      <c r="G16" s="4"/>
      <c r="H16" s="4">
        <f>SUM(OSRRefH16x_0)</f>
        <v>9455</v>
      </c>
      <c r="I16" s="4"/>
      <c r="J16" s="13">
        <f t="shared" ref="J16:J18" si="8">IF(H$12=0,0,H16/H$12)</f>
        <v>0</v>
      </c>
      <c r="K16" s="4"/>
      <c r="L16" s="4">
        <f t="shared" ref="L16:L18" si="9">+D16-H16</f>
        <v>-9455</v>
      </c>
      <c r="M16" s="4"/>
      <c r="N16" s="13">
        <f t="shared" ref="N16:N18" si="10">IF(H16=0,0,L16/H16)</f>
        <v>-1</v>
      </c>
      <c r="O16" s="11"/>
      <c r="P16" s="4">
        <f>SUM(OSRRefP16x_0)</f>
        <v>-301.68</v>
      </c>
      <c r="Q16" s="4"/>
      <c r="R16" s="13">
        <f t="shared" ref="R16:R18" si="11">IF(P$12=0,0,P16/P$12)</f>
        <v>0</v>
      </c>
      <c r="S16" s="4"/>
      <c r="T16" s="4">
        <f>SUM(OSRRefT16x_0)</f>
        <v>371630.07</v>
      </c>
      <c r="U16" s="4"/>
      <c r="V16" s="13">
        <f t="shared" ref="V16:V18" si="12">IF(T$12=0,0,T16/T$12)</f>
        <v>0.34770915120668938</v>
      </c>
      <c r="W16" s="4"/>
      <c r="X16" s="4">
        <f t="shared" ref="X16:X18" si="13">+P16-T16</f>
        <v>-371931.75</v>
      </c>
      <c r="Y16" s="4"/>
      <c r="Z16" s="13">
        <f t="shared" ref="Z16:Z18" si="14">IF(T16=0,0,X16/T16)</f>
        <v>-1.0008117749998002</v>
      </c>
    </row>
    <row r="17" spans="1:26" s="23" customFormat="1" hidden="1" outlineLevel="1" x14ac:dyDescent="0.25">
      <c r="A17" s="44"/>
      <c r="B17" s="10" t="str">
        <f>CONCATENATE("          ", "5053", " - ", "PURCHASES @ COST-FOOD")</f>
        <v xml:space="preserve">          5053 - PURCHASES @ COST-FOOD</v>
      </c>
      <c r="C17" s="10"/>
      <c r="D17" s="2"/>
      <c r="E17" s="2"/>
      <c r="F17" s="19">
        <f t="shared" si="7"/>
        <v>0</v>
      </c>
      <c r="G17" s="2"/>
      <c r="H17" s="2"/>
      <c r="I17" s="2"/>
      <c r="J17" s="19">
        <f t="shared" si="8"/>
        <v>0</v>
      </c>
      <c r="K17" s="2"/>
      <c r="L17" s="2">
        <f t="shared" si="9"/>
        <v>0</v>
      </c>
      <c r="M17" s="2"/>
      <c r="N17" s="19">
        <f t="shared" si="10"/>
        <v>0</v>
      </c>
      <c r="O17" s="10"/>
      <c r="P17" s="2">
        <v>-301.68</v>
      </c>
      <c r="Q17" s="2"/>
      <c r="R17" s="19">
        <f t="shared" si="11"/>
        <v>0</v>
      </c>
      <c r="S17" s="2"/>
      <c r="T17" s="2">
        <v>360936.4</v>
      </c>
      <c r="U17" s="2"/>
      <c r="V17" s="19">
        <f t="shared" si="12"/>
        <v>0.3377038065934711</v>
      </c>
      <c r="W17" s="2"/>
      <c r="X17" s="2">
        <f t="shared" si="13"/>
        <v>-361238.08</v>
      </c>
      <c r="Y17" s="2"/>
      <c r="Z17" s="19">
        <f t="shared" si="14"/>
        <v>-1.0008358259239023</v>
      </c>
    </row>
    <row r="18" spans="1:26" s="23" customFormat="1" hidden="1" outlineLevel="1" x14ac:dyDescent="0.25">
      <c r="A18" s="44"/>
      <c r="B18" s="10" t="str">
        <f>CONCATENATE("          ", "5059", " - ", "PURCHASES @ COST-FOOD")</f>
        <v xml:space="preserve">          5059 - PURCHASES @ COST-FOOD</v>
      </c>
      <c r="C18" s="10"/>
      <c r="D18" s="2"/>
      <c r="E18" s="2"/>
      <c r="F18" s="19">
        <f t="shared" si="7"/>
        <v>0</v>
      </c>
      <c r="G18" s="2"/>
      <c r="H18" s="2">
        <v>9455</v>
      </c>
      <c r="I18" s="2"/>
      <c r="J18" s="19">
        <f t="shared" si="8"/>
        <v>0</v>
      </c>
      <c r="K18" s="2"/>
      <c r="L18" s="2">
        <f t="shared" si="9"/>
        <v>-9455</v>
      </c>
      <c r="M18" s="2"/>
      <c r="N18" s="19">
        <f t="shared" si="10"/>
        <v>-1</v>
      </c>
      <c r="O18" s="10"/>
      <c r="P18" s="2"/>
      <c r="Q18" s="2"/>
      <c r="R18" s="19">
        <f t="shared" si="11"/>
        <v>0</v>
      </c>
      <c r="S18" s="2"/>
      <c r="T18" s="2">
        <v>10693.67</v>
      </c>
      <c r="U18" s="2"/>
      <c r="V18" s="19">
        <f t="shared" si="12"/>
        <v>1.0005344613218295E-2</v>
      </c>
      <c r="W18" s="2"/>
      <c r="X18" s="2">
        <f t="shared" si="13"/>
        <v>-10693.67</v>
      </c>
      <c r="Y18" s="2"/>
      <c r="Z18" s="19">
        <f t="shared" si="14"/>
        <v>-1</v>
      </c>
    </row>
    <row r="19" spans="1:26" x14ac:dyDescent="0.25">
      <c r="A19" s="9"/>
      <c r="B19" s="11"/>
      <c r="C19" s="11"/>
      <c r="D19" s="3"/>
      <c r="E19" s="3"/>
      <c r="F19" s="8"/>
      <c r="G19" s="3"/>
      <c r="H19" s="3"/>
      <c r="I19" s="3"/>
      <c r="J19" s="8"/>
      <c r="K19" s="3"/>
      <c r="L19" s="3"/>
      <c r="M19" s="3"/>
      <c r="N19" s="8"/>
      <c r="O19" s="11"/>
      <c r="P19" s="3"/>
      <c r="Q19" s="3"/>
      <c r="R19" s="8"/>
      <c r="S19" s="3"/>
      <c r="T19" s="3"/>
      <c r="U19" s="3"/>
      <c r="V19" s="8"/>
      <c r="W19" s="3"/>
      <c r="X19" s="3"/>
      <c r="Y19" s="3"/>
      <c r="Z19" s="8"/>
    </row>
    <row r="20" spans="1:26" s="24" customFormat="1" x14ac:dyDescent="0.25">
      <c r="A20" s="11"/>
      <c r="B20" s="28" t="s">
        <v>107</v>
      </c>
      <c r="C20" s="28"/>
      <c r="D20" s="21">
        <f>D12-D16</f>
        <v>0</v>
      </c>
      <c r="E20" s="14"/>
      <c r="F20" s="22">
        <f>IF(D$12=0,0,D20/D$12)</f>
        <v>0</v>
      </c>
      <c r="G20" s="14"/>
      <c r="H20" s="21">
        <f>H12-H16</f>
        <v>-9455</v>
      </c>
      <c r="I20" s="14"/>
      <c r="J20" s="22">
        <f>IF(H$12=0,0,H20/H$12)</f>
        <v>0</v>
      </c>
      <c r="K20" s="15"/>
      <c r="L20" s="21">
        <f>+D20-H20</f>
        <v>9455</v>
      </c>
      <c r="M20" s="15"/>
      <c r="N20" s="22">
        <f>IF(H20=0,0,L20/H20)</f>
        <v>-1</v>
      </c>
      <c r="O20" s="29"/>
      <c r="P20" s="21">
        <f>P12-P16</f>
        <v>301.68</v>
      </c>
      <c r="Q20" s="14"/>
      <c r="R20" s="22">
        <f>IF(P$12=0,0,P20/P$12)</f>
        <v>0</v>
      </c>
      <c r="S20" s="14"/>
      <c r="T20" s="21">
        <f>T12-T16</f>
        <v>697165.7</v>
      </c>
      <c r="U20" s="14"/>
      <c r="V20" s="22">
        <f>IF(T$12=0,0,T20/T$12)</f>
        <v>0.65229084879331056</v>
      </c>
      <c r="W20" s="15"/>
      <c r="X20" s="21">
        <f>+P20-T20</f>
        <v>-696864.0199999999</v>
      </c>
      <c r="Y20" s="15"/>
      <c r="Z20" s="22">
        <f>IF(T20=0,0,X20/T20)</f>
        <v>-0.99956727647387122</v>
      </c>
    </row>
    <row r="21" spans="1:26" x14ac:dyDescent="0.25">
      <c r="A21" s="9"/>
      <c r="B21" s="11"/>
      <c r="C21" s="9"/>
      <c r="D21" s="1"/>
      <c r="E21" s="1"/>
      <c r="F21" s="5"/>
      <c r="G21" s="1"/>
      <c r="H21" s="1"/>
      <c r="I21" s="1"/>
      <c r="J21" s="5"/>
      <c r="K21" s="1"/>
      <c r="L21" s="1"/>
      <c r="M21" s="1"/>
      <c r="N21" s="5"/>
      <c r="O21" s="37"/>
      <c r="P21" s="1"/>
      <c r="Q21" s="1"/>
      <c r="R21" s="5"/>
      <c r="S21" s="1"/>
      <c r="T21" s="1"/>
      <c r="U21" s="1"/>
      <c r="V21" s="5"/>
      <c r="W21" s="1"/>
      <c r="X21" s="1"/>
      <c r="Y21" s="1"/>
      <c r="Z21" s="5"/>
    </row>
    <row r="22" spans="1:26" s="24" customFormat="1" x14ac:dyDescent="0.25">
      <c r="A22" s="11"/>
      <c r="B22" s="29" t="s">
        <v>294</v>
      </c>
      <c r="C22" s="11"/>
      <c r="D22" s="20">
        <f>SUM(OSRRefD22x_0)</f>
        <v>9992.8899999999976</v>
      </c>
      <c r="E22" s="20"/>
      <c r="F22" s="32">
        <f t="shared" ref="F22:F31" si="15">IF(D$12=0,0,D22/D$12)</f>
        <v>0</v>
      </c>
      <c r="G22" s="20"/>
      <c r="H22" s="20">
        <f>SUM(OSRRefH22x_0)</f>
        <v>19199.530000000002</v>
      </c>
      <c r="I22" s="20"/>
      <c r="J22" s="32">
        <f t="shared" ref="J22:J31" si="16">IF(H$12=0,0,H22/H$12)</f>
        <v>0</v>
      </c>
      <c r="K22" s="4"/>
      <c r="L22" s="20">
        <f t="shared" ref="L22:L31" si="17">+D22-H22</f>
        <v>-9206.6400000000049</v>
      </c>
      <c r="M22" s="4"/>
      <c r="N22" s="32">
        <f t="shared" ref="N22:N31" si="18">IF(H22=0,0,L22/H22)</f>
        <v>-0.47952423835375158</v>
      </c>
      <c r="O22" s="11"/>
      <c r="P22" s="20">
        <f>SUM(OSRRefP22x_0)</f>
        <v>98064.25</v>
      </c>
      <c r="Q22" s="20"/>
      <c r="R22" s="32">
        <f t="shared" ref="R22:R31" si="19">IF(P$12=0,0,P22/P$12)</f>
        <v>0</v>
      </c>
      <c r="S22" s="20"/>
      <c r="T22" s="20">
        <f>SUM(OSRRefT22x_0)</f>
        <v>613821.81999999995</v>
      </c>
      <c r="U22" s="20"/>
      <c r="V22" s="32">
        <f t="shared" ref="V22:V31" si="20">IF(T$12=0,0,T22/T$12)</f>
        <v>0.57431161053341362</v>
      </c>
      <c r="W22" s="4"/>
      <c r="X22" s="20">
        <f t="shared" ref="X22:X31" si="21">+P22-T22</f>
        <v>-515757.56999999995</v>
      </c>
      <c r="Y22" s="4"/>
      <c r="Z22" s="32">
        <f t="shared" ref="Z22:Z31" si="22">IF(T22=0,0,X22/T22)</f>
        <v>-0.84023987612561568</v>
      </c>
    </row>
    <row r="23" spans="1:26" s="27" customFormat="1" outlineLevel="1" collapsed="1" x14ac:dyDescent="0.25">
      <c r="A23" s="26"/>
      <c r="B23" s="12" t="str">
        <f>CONCATENATE("     ","*Benefits                                         ")</f>
        <v xml:space="preserve">     *Benefits                                         </v>
      </c>
      <c r="C23" s="12"/>
      <c r="D23" s="1">
        <f>SUM(OSRRefD22_0x_0)</f>
        <v>555.15</v>
      </c>
      <c r="E23" s="1"/>
      <c r="F23" s="5">
        <f t="shared" si="15"/>
        <v>0</v>
      </c>
      <c r="G23" s="1"/>
      <c r="H23" s="1">
        <f>SUM(OSRRefH22_0x_0)</f>
        <v>5667.1100000000006</v>
      </c>
      <c r="I23" s="1"/>
      <c r="J23" s="5">
        <f t="shared" si="16"/>
        <v>0</v>
      </c>
      <c r="K23" s="1"/>
      <c r="L23" s="1">
        <f t="shared" si="17"/>
        <v>-5111.9600000000009</v>
      </c>
      <c r="M23" s="1"/>
      <c r="N23" s="5">
        <f t="shared" si="18"/>
        <v>-0.90204001686926849</v>
      </c>
      <c r="O23" s="12"/>
      <c r="P23" s="1">
        <f>SUM(OSRRefP22_0x_0)</f>
        <v>6641.4699999999993</v>
      </c>
      <c r="Q23" s="1"/>
      <c r="R23" s="5">
        <f t="shared" si="19"/>
        <v>0</v>
      </c>
      <c r="S23" s="1"/>
      <c r="T23" s="1">
        <f>SUM(OSRRefT22_0x_0)</f>
        <v>92443.250000000015</v>
      </c>
      <c r="U23" s="1"/>
      <c r="V23" s="5">
        <f t="shared" si="20"/>
        <v>8.6492904065292114E-2</v>
      </c>
      <c r="W23" s="1"/>
      <c r="X23" s="1">
        <f t="shared" si="21"/>
        <v>-85801.780000000013</v>
      </c>
      <c r="Y23" s="1"/>
      <c r="Z23" s="5">
        <f t="shared" si="22"/>
        <v>-0.92815624721112677</v>
      </c>
    </row>
    <row r="24" spans="1:26" s="23" customFormat="1" hidden="1" outlineLevel="2" x14ac:dyDescent="0.25">
      <c r="A24" s="25"/>
      <c r="B24" s="10" t="str">
        <f>CONCATENATE("          ", "6111", " - ", "F.I.C.A.")</f>
        <v xml:space="preserve">          6111 - F.I.C.A.</v>
      </c>
      <c r="C24" s="10"/>
      <c r="D24" s="6">
        <v>184.9</v>
      </c>
      <c r="E24" s="2"/>
      <c r="F24" s="7">
        <f t="shared" si="15"/>
        <v>0</v>
      </c>
      <c r="G24" s="2"/>
      <c r="H24" s="6">
        <v>470.3</v>
      </c>
      <c r="I24" s="2"/>
      <c r="J24" s="7">
        <f t="shared" si="16"/>
        <v>0</v>
      </c>
      <c r="K24" s="2"/>
      <c r="L24" s="6">
        <f t="shared" si="17"/>
        <v>-285.39999999999998</v>
      </c>
      <c r="M24" s="2"/>
      <c r="N24" s="7">
        <f t="shared" si="18"/>
        <v>-0.60684669359982979</v>
      </c>
      <c r="O24" s="10"/>
      <c r="P24" s="6">
        <v>422.41</v>
      </c>
      <c r="Q24" s="2"/>
      <c r="R24" s="7">
        <f t="shared" si="19"/>
        <v>0</v>
      </c>
      <c r="S24" s="2"/>
      <c r="T24" s="6">
        <v>19003.47</v>
      </c>
      <c r="U24" s="2"/>
      <c r="V24" s="7">
        <f t="shared" si="20"/>
        <v>1.7780263108638613E-2</v>
      </c>
      <c r="W24" s="2"/>
      <c r="X24" s="6">
        <f t="shared" si="21"/>
        <v>-18581.060000000001</v>
      </c>
      <c r="Y24" s="2"/>
      <c r="Z24" s="7">
        <f t="shared" si="22"/>
        <v>-0.97777195427992891</v>
      </c>
    </row>
    <row r="25" spans="1:26" s="23" customFormat="1" hidden="1" outlineLevel="2" x14ac:dyDescent="0.25">
      <c r="A25" s="25"/>
      <c r="B25" s="10" t="str">
        <f>CONCATENATE("          ", "6112", " - ", "COMPENSATION INSURANCE")</f>
        <v xml:space="preserve">          6112 - COMPENSATION INSURANCE</v>
      </c>
      <c r="C25" s="10"/>
      <c r="D25" s="6">
        <v>103.55</v>
      </c>
      <c r="E25" s="2"/>
      <c r="F25" s="7">
        <f t="shared" si="15"/>
        <v>0</v>
      </c>
      <c r="G25" s="2"/>
      <c r="H25" s="6">
        <v>20.9</v>
      </c>
      <c r="I25" s="2"/>
      <c r="J25" s="7">
        <f t="shared" si="16"/>
        <v>0</v>
      </c>
      <c r="K25" s="2"/>
      <c r="L25" s="6">
        <f t="shared" si="17"/>
        <v>82.65</v>
      </c>
      <c r="M25" s="2"/>
      <c r="N25" s="7">
        <f t="shared" si="18"/>
        <v>3.954545454545455</v>
      </c>
      <c r="O25" s="10"/>
      <c r="P25" s="6">
        <v>103.55</v>
      </c>
      <c r="Q25" s="2"/>
      <c r="R25" s="7">
        <f t="shared" si="19"/>
        <v>0</v>
      </c>
      <c r="S25" s="2"/>
      <c r="T25" s="6">
        <v>10598.72</v>
      </c>
      <c r="U25" s="2"/>
      <c r="V25" s="7">
        <f t="shared" si="20"/>
        <v>9.9165063125203051E-3</v>
      </c>
      <c r="W25" s="2"/>
      <c r="X25" s="6">
        <f t="shared" si="21"/>
        <v>-10495.17</v>
      </c>
      <c r="Y25" s="2"/>
      <c r="Z25" s="7">
        <f t="shared" si="22"/>
        <v>-0.99022995229612643</v>
      </c>
    </row>
    <row r="26" spans="1:26" s="23" customFormat="1" hidden="1" outlineLevel="2" x14ac:dyDescent="0.25">
      <c r="A26" s="25"/>
      <c r="B26" s="10" t="str">
        <f>CONCATENATE("          ", "6113", " - ", "GROUP INSURANCE")</f>
        <v xml:space="preserve">          6113 - GROUP INSURANCE</v>
      </c>
      <c r="C26" s="10"/>
      <c r="D26" s="6"/>
      <c r="E26" s="2"/>
      <c r="F26" s="7">
        <f t="shared" si="15"/>
        <v>0</v>
      </c>
      <c r="G26" s="2"/>
      <c r="H26" s="6">
        <v>4780.67</v>
      </c>
      <c r="I26" s="2"/>
      <c r="J26" s="7">
        <f t="shared" si="16"/>
        <v>0</v>
      </c>
      <c r="K26" s="2"/>
      <c r="L26" s="6">
        <f t="shared" si="17"/>
        <v>-4780.67</v>
      </c>
      <c r="M26" s="2"/>
      <c r="N26" s="7">
        <f t="shared" si="18"/>
        <v>-1</v>
      </c>
      <c r="O26" s="10"/>
      <c r="P26" s="6">
        <v>4780.67</v>
      </c>
      <c r="Q26" s="2"/>
      <c r="R26" s="7">
        <f t="shared" si="19"/>
        <v>0</v>
      </c>
      <c r="S26" s="2"/>
      <c r="T26" s="6">
        <v>49586.97</v>
      </c>
      <c r="U26" s="2"/>
      <c r="V26" s="7">
        <f t="shared" si="20"/>
        <v>4.6395178004868039E-2</v>
      </c>
      <c r="W26" s="2"/>
      <c r="X26" s="6">
        <f t="shared" si="21"/>
        <v>-44806.3</v>
      </c>
      <c r="Y26" s="2"/>
      <c r="Z26" s="7">
        <f t="shared" si="22"/>
        <v>-0.90359019718284872</v>
      </c>
    </row>
    <row r="27" spans="1:26" s="23" customFormat="1" hidden="1" outlineLevel="2" x14ac:dyDescent="0.25">
      <c r="A27" s="25"/>
      <c r="B27" s="10" t="str">
        <f>CONCATENATE("          ", "6114", " - ", "STATE UNEMPLOYMENT INSURANCE")</f>
        <v xml:space="preserve">          6114 - STATE UNEMPLOYMENT INSURANCE</v>
      </c>
      <c r="C27" s="10"/>
      <c r="D27" s="6">
        <v>6.28</v>
      </c>
      <c r="E27" s="2"/>
      <c r="F27" s="7">
        <f t="shared" si="15"/>
        <v>0</v>
      </c>
      <c r="G27" s="2"/>
      <c r="H27" s="6">
        <v>-860.67</v>
      </c>
      <c r="I27" s="2"/>
      <c r="J27" s="7">
        <f t="shared" si="16"/>
        <v>0</v>
      </c>
      <c r="K27" s="2"/>
      <c r="L27" s="6">
        <f t="shared" si="17"/>
        <v>866.94999999999993</v>
      </c>
      <c r="M27" s="2"/>
      <c r="N27" s="7">
        <f t="shared" si="18"/>
        <v>-1.007296640988997</v>
      </c>
      <c r="O27" s="10"/>
      <c r="P27" s="6">
        <v>6.28</v>
      </c>
      <c r="Q27" s="2"/>
      <c r="R27" s="7">
        <f t="shared" si="19"/>
        <v>0</v>
      </c>
      <c r="S27" s="2"/>
      <c r="T27" s="6">
        <v>0</v>
      </c>
      <c r="U27" s="2"/>
      <c r="V27" s="7">
        <f t="shared" si="20"/>
        <v>0</v>
      </c>
      <c r="W27" s="2"/>
      <c r="X27" s="6">
        <f t="shared" si="21"/>
        <v>6.28</v>
      </c>
      <c r="Y27" s="2"/>
      <c r="Z27" s="7">
        <f t="shared" si="22"/>
        <v>0</v>
      </c>
    </row>
    <row r="28" spans="1:26" s="23" customFormat="1" hidden="1" outlineLevel="2" x14ac:dyDescent="0.25">
      <c r="A28" s="25"/>
      <c r="B28" s="10" t="str">
        <f>CONCATENATE("          ", "6115", " - ", "P.E.R.S.")</f>
        <v xml:space="preserve">          6115 - P.E.R.S.</v>
      </c>
      <c r="C28" s="10"/>
      <c r="D28" s="6"/>
      <c r="E28" s="2"/>
      <c r="F28" s="7">
        <f t="shared" si="15"/>
        <v>0</v>
      </c>
      <c r="G28" s="2"/>
      <c r="H28" s="6">
        <v>314.18</v>
      </c>
      <c r="I28" s="2"/>
      <c r="J28" s="7">
        <f t="shared" si="16"/>
        <v>0</v>
      </c>
      <c r="K28" s="2"/>
      <c r="L28" s="6">
        <f t="shared" si="17"/>
        <v>-314.18</v>
      </c>
      <c r="M28" s="2"/>
      <c r="N28" s="7">
        <f t="shared" si="18"/>
        <v>-1</v>
      </c>
      <c r="O28" s="10"/>
      <c r="P28" s="6">
        <v>678.15</v>
      </c>
      <c r="Q28" s="2"/>
      <c r="R28" s="7">
        <f t="shared" si="19"/>
        <v>0</v>
      </c>
      <c r="S28" s="2"/>
      <c r="T28" s="6">
        <v>5982.07</v>
      </c>
      <c r="U28" s="2"/>
      <c r="V28" s="7">
        <f t="shared" si="20"/>
        <v>5.5970187831113887E-3</v>
      </c>
      <c r="W28" s="2"/>
      <c r="X28" s="6">
        <f t="shared" si="21"/>
        <v>-5303.92</v>
      </c>
      <c r="Y28" s="2"/>
      <c r="Z28" s="7">
        <f t="shared" si="22"/>
        <v>-0.88663623127111524</v>
      </c>
    </row>
    <row r="29" spans="1:26" s="23" customFormat="1" hidden="1" outlineLevel="2" x14ac:dyDescent="0.25">
      <c r="A29" s="25"/>
      <c r="B29" s="10" t="str">
        <f>CONCATENATE("          ", "6118", " - ", "VACATION")</f>
        <v xml:space="preserve">          6118 - VACATION</v>
      </c>
      <c r="C29" s="10"/>
      <c r="D29" s="6">
        <v>133.08000000000001</v>
      </c>
      <c r="E29" s="2"/>
      <c r="F29" s="7">
        <f t="shared" si="15"/>
        <v>0</v>
      </c>
      <c r="G29" s="2"/>
      <c r="H29" s="6">
        <v>496.42</v>
      </c>
      <c r="I29" s="2"/>
      <c r="J29" s="7">
        <f t="shared" si="16"/>
        <v>0</v>
      </c>
      <c r="K29" s="2"/>
      <c r="L29" s="6">
        <f t="shared" si="17"/>
        <v>-363.34000000000003</v>
      </c>
      <c r="M29" s="2"/>
      <c r="N29" s="7">
        <f t="shared" si="18"/>
        <v>-0.73192055114620691</v>
      </c>
      <c r="O29" s="10"/>
      <c r="P29" s="6">
        <v>381.29</v>
      </c>
      <c r="Q29" s="2"/>
      <c r="R29" s="7">
        <f t="shared" si="19"/>
        <v>0</v>
      </c>
      <c r="S29" s="2"/>
      <c r="T29" s="6">
        <v>6518.73</v>
      </c>
      <c r="U29" s="2"/>
      <c r="V29" s="7">
        <f t="shared" si="20"/>
        <v>6.0991352913007876E-3</v>
      </c>
      <c r="W29" s="2"/>
      <c r="X29" s="6">
        <f t="shared" si="21"/>
        <v>-6137.44</v>
      </c>
      <c r="Y29" s="2"/>
      <c r="Z29" s="7">
        <f t="shared" si="22"/>
        <v>-0.9415085453761699</v>
      </c>
    </row>
    <row r="30" spans="1:26" s="23" customFormat="1" hidden="1" outlineLevel="2" x14ac:dyDescent="0.25">
      <c r="A30" s="25"/>
      <c r="B30" s="10" t="str">
        <f>CONCATENATE("          ", "6119", " - ", "SICK LEAVE")</f>
        <v xml:space="preserve">          6119 - SICK LEAVE</v>
      </c>
      <c r="C30" s="10"/>
      <c r="D30" s="6">
        <v>127.34</v>
      </c>
      <c r="E30" s="2"/>
      <c r="F30" s="7">
        <f t="shared" si="15"/>
        <v>0</v>
      </c>
      <c r="G30" s="2"/>
      <c r="H30" s="6">
        <v>283.56</v>
      </c>
      <c r="I30" s="2"/>
      <c r="J30" s="7">
        <f t="shared" si="16"/>
        <v>0</v>
      </c>
      <c r="K30" s="2"/>
      <c r="L30" s="6">
        <f t="shared" si="17"/>
        <v>-156.22</v>
      </c>
      <c r="M30" s="2"/>
      <c r="N30" s="7">
        <f t="shared" si="18"/>
        <v>-0.55092396670898569</v>
      </c>
      <c r="O30" s="10"/>
      <c r="P30" s="6">
        <v>269.12</v>
      </c>
      <c r="Q30" s="2"/>
      <c r="R30" s="7">
        <f t="shared" si="19"/>
        <v>0</v>
      </c>
      <c r="S30" s="2"/>
      <c r="T30" s="6">
        <v>-3729.23</v>
      </c>
      <c r="U30" s="2"/>
      <c r="V30" s="7">
        <f t="shared" si="20"/>
        <v>-3.4891885846441927E-3</v>
      </c>
      <c r="W30" s="2"/>
      <c r="X30" s="6">
        <f t="shared" si="21"/>
        <v>3998.35</v>
      </c>
      <c r="Y30" s="2"/>
      <c r="Z30" s="7">
        <f t="shared" si="22"/>
        <v>-1.0721650313871764</v>
      </c>
    </row>
    <row r="31" spans="1:26" s="23" customFormat="1" hidden="1" outlineLevel="2" x14ac:dyDescent="0.25">
      <c r="A31" s="25"/>
      <c r="B31" s="10" t="str">
        <f>CONCATENATE("          ", "6156", " - ", "EMPLOYEE MEALS")</f>
        <v xml:space="preserve">          6156 - EMPLOYEE MEALS</v>
      </c>
      <c r="C31" s="10"/>
      <c r="D31" s="6"/>
      <c r="E31" s="2"/>
      <c r="F31" s="7">
        <f t="shared" si="15"/>
        <v>0</v>
      </c>
      <c r="G31" s="2"/>
      <c r="H31" s="6">
        <v>161.75</v>
      </c>
      <c r="I31" s="2"/>
      <c r="J31" s="7">
        <f t="shared" si="16"/>
        <v>0</v>
      </c>
      <c r="K31" s="2"/>
      <c r="L31" s="6">
        <f t="shared" si="17"/>
        <v>-161.75</v>
      </c>
      <c r="M31" s="2"/>
      <c r="N31" s="7">
        <f t="shared" si="18"/>
        <v>-1</v>
      </c>
      <c r="O31" s="10"/>
      <c r="P31" s="6"/>
      <c r="Q31" s="2"/>
      <c r="R31" s="7">
        <f t="shared" si="19"/>
        <v>0</v>
      </c>
      <c r="S31" s="2"/>
      <c r="T31" s="6">
        <v>4482.5200000000004</v>
      </c>
      <c r="U31" s="2"/>
      <c r="V31" s="7">
        <f t="shared" si="20"/>
        <v>4.1939911494971579E-3</v>
      </c>
      <c r="W31" s="2"/>
      <c r="X31" s="6">
        <f t="shared" si="21"/>
        <v>-4482.5200000000004</v>
      </c>
      <c r="Y31" s="2"/>
      <c r="Z31" s="7">
        <f t="shared" si="22"/>
        <v>-1</v>
      </c>
    </row>
    <row r="32" spans="1:26" s="27" customFormat="1" outlineLevel="1" collapsed="1" x14ac:dyDescent="0.25">
      <c r="A32" s="26"/>
      <c r="B32" s="12" t="str">
        <f>CONCATENATE("     ","*Payroll                                          ")</f>
        <v xml:space="preserve">     *Payroll                                          </v>
      </c>
      <c r="C32" s="12"/>
      <c r="D32" s="1">
        <f>SUM(OSRRefD22_1x_0)</f>
        <v>1375.8</v>
      </c>
      <c r="E32" s="1"/>
      <c r="F32" s="5">
        <f t="shared" ref="F32:F38" si="23">IF(D$12=0,0,D32/D$12)</f>
        <v>0</v>
      </c>
      <c r="G32" s="1"/>
      <c r="H32" s="1">
        <f>SUM(OSRRefH22_1x_0)</f>
        <v>5840.3</v>
      </c>
      <c r="I32" s="1"/>
      <c r="J32" s="5">
        <f t="shared" ref="J32:J38" si="24">IF(H$12=0,0,H32/H$12)</f>
        <v>0</v>
      </c>
      <c r="K32" s="1"/>
      <c r="L32" s="1">
        <f t="shared" ref="L32:L38" si="25">+D32-H32</f>
        <v>-4464.5</v>
      </c>
      <c r="M32" s="1"/>
      <c r="N32" s="5">
        <f t="shared" ref="N32:N38" si="26">IF(H32=0,0,L32/H32)</f>
        <v>-0.76442990942246114</v>
      </c>
      <c r="O32" s="12"/>
      <c r="P32" s="1">
        <f>SUM(OSRRefP22_1x_0)</f>
        <v>3527.49</v>
      </c>
      <c r="Q32" s="1"/>
      <c r="R32" s="5">
        <f t="shared" ref="R32:R38" si="27">IF(P$12=0,0,P32/P$12)</f>
        <v>0</v>
      </c>
      <c r="S32" s="1"/>
      <c r="T32" s="1">
        <f>SUM(OSRRefT22_1x_0)</f>
        <v>322528.69</v>
      </c>
      <c r="U32" s="1"/>
      <c r="V32" s="5">
        <f t="shared" ref="V32:V38" si="28">IF(T$12=0,0,T32/T$12)</f>
        <v>0.30176830696102025</v>
      </c>
      <c r="W32" s="1"/>
      <c r="X32" s="1">
        <f t="shared" ref="X32:X38" si="29">+P32-T32</f>
        <v>-319001.2</v>
      </c>
      <c r="Y32" s="1"/>
      <c r="Z32" s="5">
        <f t="shared" ref="Z32:Z38" si="30">IF(T32=0,0,X32/T32)</f>
        <v>-0.98906301947898034</v>
      </c>
    </row>
    <row r="33" spans="1:26" s="23" customFormat="1" hidden="1" outlineLevel="2" x14ac:dyDescent="0.25">
      <c r="A33" s="25"/>
      <c r="B33" s="10" t="str">
        <f>CONCATENATE("          ", "6002", " - ", "STAFF SALARIES")</f>
        <v xml:space="preserve">          6002 - STAFF SALARIES</v>
      </c>
      <c r="C33" s="10"/>
      <c r="D33" s="6"/>
      <c r="E33" s="2"/>
      <c r="F33" s="7">
        <f t="shared" si="23"/>
        <v>0</v>
      </c>
      <c r="G33" s="2"/>
      <c r="H33" s="6">
        <v>5840.3</v>
      </c>
      <c r="I33" s="2"/>
      <c r="J33" s="7">
        <f t="shared" si="24"/>
        <v>0</v>
      </c>
      <c r="K33" s="2"/>
      <c r="L33" s="6">
        <f t="shared" si="25"/>
        <v>-5840.3</v>
      </c>
      <c r="M33" s="2"/>
      <c r="N33" s="7">
        <f t="shared" si="26"/>
        <v>-1</v>
      </c>
      <c r="O33" s="10"/>
      <c r="P33" s="6">
        <v>2151.69</v>
      </c>
      <c r="Q33" s="2"/>
      <c r="R33" s="7">
        <f t="shared" si="27"/>
        <v>0</v>
      </c>
      <c r="S33" s="2"/>
      <c r="T33" s="6">
        <v>90172.72</v>
      </c>
      <c r="U33" s="2"/>
      <c r="V33" s="7">
        <f t="shared" si="28"/>
        <v>8.4368522528864426E-2</v>
      </c>
      <c r="W33" s="2"/>
      <c r="X33" s="6">
        <f t="shared" si="29"/>
        <v>-88021.03</v>
      </c>
      <c r="Y33" s="2"/>
      <c r="Z33" s="7">
        <f t="shared" si="30"/>
        <v>-0.97613812691909485</v>
      </c>
    </row>
    <row r="34" spans="1:26" s="23" customFormat="1" hidden="1" outlineLevel="2" x14ac:dyDescent="0.25">
      <c r="A34" s="25"/>
      <c r="B34" s="10" t="str">
        <f>CONCATENATE("          ", "6004", " - ", "STAFF HOURLY")</f>
        <v xml:space="preserve">          6004 - STAFF HOURLY</v>
      </c>
      <c r="C34" s="10"/>
      <c r="D34" s="6">
        <v>1375.8</v>
      </c>
      <c r="E34" s="2"/>
      <c r="F34" s="7">
        <f t="shared" si="23"/>
        <v>0</v>
      </c>
      <c r="G34" s="2"/>
      <c r="H34" s="6"/>
      <c r="I34" s="2"/>
      <c r="J34" s="7">
        <f t="shared" si="24"/>
        <v>0</v>
      </c>
      <c r="K34" s="2"/>
      <c r="L34" s="6">
        <f t="shared" si="25"/>
        <v>1375.8</v>
      </c>
      <c r="M34" s="2"/>
      <c r="N34" s="7">
        <f t="shared" si="26"/>
        <v>0</v>
      </c>
      <c r="O34" s="10"/>
      <c r="P34" s="6">
        <v>1375.8</v>
      </c>
      <c r="Q34" s="2"/>
      <c r="R34" s="7">
        <f t="shared" si="27"/>
        <v>0</v>
      </c>
      <c r="S34" s="2"/>
      <c r="T34" s="6">
        <v>38197.160000000003</v>
      </c>
      <c r="U34" s="2"/>
      <c r="V34" s="7">
        <f t="shared" si="28"/>
        <v>3.5738502221055762E-2</v>
      </c>
      <c r="W34" s="2"/>
      <c r="X34" s="6">
        <f t="shared" si="29"/>
        <v>-36821.360000000001</v>
      </c>
      <c r="Y34" s="2"/>
      <c r="Z34" s="7">
        <f t="shared" si="30"/>
        <v>-0.96398161538711247</v>
      </c>
    </row>
    <row r="35" spans="1:26" s="23" customFormat="1" hidden="1" outlineLevel="2" x14ac:dyDescent="0.25">
      <c r="A35" s="25"/>
      <c r="B35" s="10" t="str">
        <f>CONCATENATE("          ", "6005", " - ", "TEMPORARY WAGES-HOURLY")</f>
        <v xml:space="preserve">          6005 - TEMPORARY WAGES-HOURLY</v>
      </c>
      <c r="C35" s="10"/>
      <c r="D35" s="6"/>
      <c r="E35" s="2"/>
      <c r="F35" s="7">
        <f t="shared" si="23"/>
        <v>0</v>
      </c>
      <c r="G35" s="2"/>
      <c r="H35" s="6"/>
      <c r="I35" s="2"/>
      <c r="J35" s="7">
        <f t="shared" si="24"/>
        <v>0</v>
      </c>
      <c r="K35" s="2"/>
      <c r="L35" s="6">
        <f t="shared" si="25"/>
        <v>0</v>
      </c>
      <c r="M35" s="2"/>
      <c r="N35" s="7">
        <f t="shared" si="26"/>
        <v>0</v>
      </c>
      <c r="O35" s="10"/>
      <c r="P35" s="6"/>
      <c r="Q35" s="2"/>
      <c r="R35" s="7">
        <f t="shared" si="27"/>
        <v>0</v>
      </c>
      <c r="S35" s="2"/>
      <c r="T35" s="6">
        <v>91629.97</v>
      </c>
      <c r="U35" s="2"/>
      <c r="V35" s="7">
        <f t="shared" si="28"/>
        <v>8.5731972910034995E-2</v>
      </c>
      <c r="W35" s="2"/>
      <c r="X35" s="6">
        <f t="shared" si="29"/>
        <v>-91629.97</v>
      </c>
      <c r="Y35" s="2"/>
      <c r="Z35" s="7">
        <f t="shared" si="30"/>
        <v>-1</v>
      </c>
    </row>
    <row r="36" spans="1:26" s="23" customFormat="1" hidden="1" outlineLevel="2" x14ac:dyDescent="0.25">
      <c r="A36" s="25"/>
      <c r="B36" s="10" t="str">
        <f>CONCATENATE("          ", "6006", " - ", "TEMPORARY PART TIME")</f>
        <v xml:space="preserve">          6006 - TEMPORARY PART TIME</v>
      </c>
      <c r="C36" s="10"/>
      <c r="D36" s="6"/>
      <c r="E36" s="2"/>
      <c r="F36" s="7">
        <f t="shared" si="23"/>
        <v>0</v>
      </c>
      <c r="G36" s="2"/>
      <c r="H36" s="6"/>
      <c r="I36" s="2"/>
      <c r="J36" s="7">
        <f t="shared" si="24"/>
        <v>0</v>
      </c>
      <c r="K36" s="2"/>
      <c r="L36" s="6">
        <f t="shared" si="25"/>
        <v>0</v>
      </c>
      <c r="M36" s="2"/>
      <c r="N36" s="7">
        <f t="shared" si="26"/>
        <v>0</v>
      </c>
      <c r="O36" s="10"/>
      <c r="P36" s="6"/>
      <c r="Q36" s="2"/>
      <c r="R36" s="7">
        <f t="shared" si="27"/>
        <v>0</v>
      </c>
      <c r="S36" s="2"/>
      <c r="T36" s="6">
        <v>7215.01</v>
      </c>
      <c r="U36" s="2"/>
      <c r="V36" s="7">
        <f t="shared" si="28"/>
        <v>6.7505974504371404E-3</v>
      </c>
      <c r="W36" s="2"/>
      <c r="X36" s="6">
        <f t="shared" si="29"/>
        <v>-7215.01</v>
      </c>
      <c r="Y36" s="2"/>
      <c r="Z36" s="7">
        <f t="shared" si="30"/>
        <v>-1</v>
      </c>
    </row>
    <row r="37" spans="1:26" s="23" customFormat="1" hidden="1" outlineLevel="2" x14ac:dyDescent="0.25">
      <c r="A37" s="25"/>
      <c r="B37" s="10" t="str">
        <f>CONCATENATE("          ", "6007", " - ", "STUDENT HOURLY")</f>
        <v xml:space="preserve">          6007 - STUDENT HOURLY</v>
      </c>
      <c r="C37" s="10"/>
      <c r="D37" s="6"/>
      <c r="E37" s="2"/>
      <c r="F37" s="7">
        <f t="shared" si="23"/>
        <v>0</v>
      </c>
      <c r="G37" s="2"/>
      <c r="H37" s="6"/>
      <c r="I37" s="2"/>
      <c r="J37" s="7">
        <f t="shared" si="24"/>
        <v>0</v>
      </c>
      <c r="K37" s="2"/>
      <c r="L37" s="6">
        <f t="shared" si="25"/>
        <v>0</v>
      </c>
      <c r="M37" s="2"/>
      <c r="N37" s="7">
        <f t="shared" si="26"/>
        <v>0</v>
      </c>
      <c r="O37" s="10"/>
      <c r="P37" s="6"/>
      <c r="Q37" s="2"/>
      <c r="R37" s="7">
        <f t="shared" si="27"/>
        <v>0</v>
      </c>
      <c r="S37" s="2"/>
      <c r="T37" s="6">
        <v>93483.83</v>
      </c>
      <c r="U37" s="2"/>
      <c r="V37" s="7">
        <f t="shared" si="28"/>
        <v>8.7466504475405993E-2</v>
      </c>
      <c r="W37" s="2"/>
      <c r="X37" s="6">
        <f t="shared" si="29"/>
        <v>-93483.83</v>
      </c>
      <c r="Y37" s="2"/>
      <c r="Z37" s="7">
        <f t="shared" si="30"/>
        <v>-1</v>
      </c>
    </row>
    <row r="38" spans="1:26" s="23" customFormat="1" hidden="1" outlineLevel="2" x14ac:dyDescent="0.25">
      <c r="A38" s="25"/>
      <c r="B38" s="10" t="str">
        <f>CONCATENATE("          ", "6008", " - ", "STUDENT HOURLY-FICA EXEMPT")</f>
        <v xml:space="preserve">          6008 - STUDENT HOURLY-FICA EXEMPT</v>
      </c>
      <c r="C38" s="10"/>
      <c r="D38" s="6"/>
      <c r="E38" s="2"/>
      <c r="F38" s="7">
        <f t="shared" si="23"/>
        <v>0</v>
      </c>
      <c r="G38" s="2"/>
      <c r="H38" s="6"/>
      <c r="I38" s="2"/>
      <c r="J38" s="7">
        <f t="shared" si="24"/>
        <v>0</v>
      </c>
      <c r="K38" s="2"/>
      <c r="L38" s="6">
        <f t="shared" si="25"/>
        <v>0</v>
      </c>
      <c r="M38" s="2"/>
      <c r="N38" s="7">
        <f t="shared" si="26"/>
        <v>0</v>
      </c>
      <c r="O38" s="10"/>
      <c r="P38" s="6"/>
      <c r="Q38" s="2"/>
      <c r="R38" s="7">
        <f t="shared" si="27"/>
        <v>0</v>
      </c>
      <c r="S38" s="2"/>
      <c r="T38" s="6">
        <v>1830</v>
      </c>
      <c r="U38" s="2"/>
      <c r="V38" s="7">
        <f t="shared" si="28"/>
        <v>1.7122073752219285E-3</v>
      </c>
      <c r="W38" s="2"/>
      <c r="X38" s="6">
        <f t="shared" si="29"/>
        <v>-1830</v>
      </c>
      <c r="Y38" s="2"/>
      <c r="Z38" s="7">
        <f t="shared" si="30"/>
        <v>-1</v>
      </c>
    </row>
    <row r="39" spans="1:26" s="27" customFormat="1" outlineLevel="1" collapsed="1" x14ac:dyDescent="0.25">
      <c r="A39" s="26"/>
      <c r="B39" s="12" t="str">
        <f>CONCATENATE("     ","Advertising/Promo                                 ")</f>
        <v xml:space="preserve">     Advertising/Promo                                 </v>
      </c>
      <c r="C39" s="12"/>
      <c r="D39" s="1">
        <f>SUM(OSRRefD22_2x_0)</f>
        <v>0</v>
      </c>
      <c r="E39" s="1"/>
      <c r="F39" s="5">
        <f t="shared" ref="F39:F47" si="31">IF(D$12=0,0,D39/D$12)</f>
        <v>0</v>
      </c>
      <c r="G39" s="1"/>
      <c r="H39" s="1">
        <f>SUM(OSRRefH22_2x_0)</f>
        <v>0</v>
      </c>
      <c r="I39" s="1"/>
      <c r="J39" s="5">
        <f t="shared" ref="J39:J47" si="32">IF(H$12=0,0,H39/H$12)</f>
        <v>0</v>
      </c>
      <c r="K39" s="1"/>
      <c r="L39" s="1">
        <f t="shared" ref="L39:L47" si="33">+D39-H39</f>
        <v>0</v>
      </c>
      <c r="M39" s="1"/>
      <c r="N39" s="5">
        <f t="shared" ref="N39:N47" si="34">IF(H39=0,0,L39/H39)</f>
        <v>0</v>
      </c>
      <c r="O39" s="12"/>
      <c r="P39" s="1">
        <f>SUM(OSRRefP22_2x_0)</f>
        <v>0</v>
      </c>
      <c r="Q39" s="1"/>
      <c r="R39" s="5">
        <f t="shared" ref="R39:R47" si="35">IF(P$12=0,0,P39/P$12)</f>
        <v>0</v>
      </c>
      <c r="S39" s="1"/>
      <c r="T39" s="1">
        <f>SUM(OSRRefT22_2x_0)</f>
        <v>4363.6499999999996</v>
      </c>
      <c r="U39" s="1"/>
      <c r="V39" s="5">
        <f t="shared" ref="V39:V47" si="36">IF(T$12=0,0,T39/T$12)</f>
        <v>4.0827725207033703E-3</v>
      </c>
      <c r="W39" s="1"/>
      <c r="X39" s="1">
        <f t="shared" ref="X39:X47" si="37">+P39-T39</f>
        <v>-4363.6499999999996</v>
      </c>
      <c r="Y39" s="1"/>
      <c r="Z39" s="5">
        <f t="shared" ref="Z39:Z47" si="38">IF(T39=0,0,X39/T39)</f>
        <v>-1</v>
      </c>
    </row>
    <row r="40" spans="1:26" s="23" customFormat="1" hidden="1" outlineLevel="2" x14ac:dyDescent="0.25">
      <c r="A40" s="25"/>
      <c r="B40" s="10" t="str">
        <f>CONCATENATE("          ", "6362", " - ", "ADVERTISING EXPENSE")</f>
        <v xml:space="preserve">          6362 - ADVERTISING EXPENSE</v>
      </c>
      <c r="C40" s="10"/>
      <c r="D40" s="6"/>
      <c r="E40" s="2"/>
      <c r="F40" s="7">
        <f t="shared" si="31"/>
        <v>0</v>
      </c>
      <c r="G40" s="2"/>
      <c r="H40" s="6"/>
      <c r="I40" s="2"/>
      <c r="J40" s="7">
        <f t="shared" si="32"/>
        <v>0</v>
      </c>
      <c r="K40" s="2"/>
      <c r="L40" s="6">
        <f t="shared" si="33"/>
        <v>0</v>
      </c>
      <c r="M40" s="2"/>
      <c r="N40" s="7">
        <f t="shared" si="34"/>
        <v>0</v>
      </c>
      <c r="O40" s="10"/>
      <c r="P40" s="6"/>
      <c r="Q40" s="2"/>
      <c r="R40" s="7">
        <f t="shared" si="35"/>
        <v>0</v>
      </c>
      <c r="S40" s="2"/>
      <c r="T40" s="6">
        <v>4363.6499999999996</v>
      </c>
      <c r="U40" s="2"/>
      <c r="V40" s="7">
        <f t="shared" si="36"/>
        <v>4.0827725207033703E-3</v>
      </c>
      <c r="W40" s="2"/>
      <c r="X40" s="6">
        <f t="shared" si="37"/>
        <v>-4363.6499999999996</v>
      </c>
      <c r="Y40" s="2"/>
      <c r="Z40" s="7">
        <f t="shared" si="38"/>
        <v>-1</v>
      </c>
    </row>
    <row r="41" spans="1:26" s="27" customFormat="1" outlineLevel="1" collapsed="1" x14ac:dyDescent="0.25">
      <c r="A41" s="26"/>
      <c r="B41" s="12" t="str">
        <f>CONCATENATE("     ","Bad Debts/Over/Short                              ")</f>
        <v xml:space="preserve">     Bad Debts/Over/Short                              </v>
      </c>
      <c r="C41" s="12"/>
      <c r="D41" s="1">
        <f>SUM(OSRRefD22_3x_0)</f>
        <v>0</v>
      </c>
      <c r="E41" s="1"/>
      <c r="F41" s="5">
        <f t="shared" si="31"/>
        <v>0</v>
      </c>
      <c r="G41" s="1"/>
      <c r="H41" s="1">
        <f>SUM(OSRRefH22_3x_0)</f>
        <v>0</v>
      </c>
      <c r="I41" s="1"/>
      <c r="J41" s="5">
        <f t="shared" si="32"/>
        <v>0</v>
      </c>
      <c r="K41" s="1"/>
      <c r="L41" s="1">
        <f t="shared" si="33"/>
        <v>0</v>
      </c>
      <c r="M41" s="1"/>
      <c r="N41" s="5">
        <f t="shared" si="34"/>
        <v>0</v>
      </c>
      <c r="O41" s="12"/>
      <c r="P41" s="1">
        <f>SUM(OSRRefP22_3x_0)</f>
        <v>0</v>
      </c>
      <c r="Q41" s="1"/>
      <c r="R41" s="5">
        <f t="shared" si="35"/>
        <v>0</v>
      </c>
      <c r="S41" s="1"/>
      <c r="T41" s="1">
        <f>SUM(OSRRefT22_3x_0)</f>
        <v>-326.89</v>
      </c>
      <c r="U41" s="1"/>
      <c r="V41" s="5">
        <f t="shared" si="36"/>
        <v>-3.0584889010180119E-4</v>
      </c>
      <c r="W41" s="1"/>
      <c r="X41" s="1">
        <f t="shared" si="37"/>
        <v>326.89</v>
      </c>
      <c r="Y41" s="1"/>
      <c r="Z41" s="5">
        <f t="shared" si="38"/>
        <v>-1</v>
      </c>
    </row>
    <row r="42" spans="1:26" s="23" customFormat="1" hidden="1" outlineLevel="2" x14ac:dyDescent="0.25">
      <c r="A42" s="25"/>
      <c r="B42" s="10" t="str">
        <f>CONCATENATE("          ", "6272", " - ", "CASH (OVER/SHORT)")</f>
        <v xml:space="preserve">          6272 - CASH (OVER/SHORT)</v>
      </c>
      <c r="C42" s="10"/>
      <c r="D42" s="6"/>
      <c r="E42" s="2"/>
      <c r="F42" s="7">
        <f t="shared" si="31"/>
        <v>0</v>
      </c>
      <c r="G42" s="2"/>
      <c r="H42" s="6"/>
      <c r="I42" s="2"/>
      <c r="J42" s="7">
        <f t="shared" si="32"/>
        <v>0</v>
      </c>
      <c r="K42" s="2"/>
      <c r="L42" s="6">
        <f t="shared" si="33"/>
        <v>0</v>
      </c>
      <c r="M42" s="2"/>
      <c r="N42" s="7">
        <f t="shared" si="34"/>
        <v>0</v>
      </c>
      <c r="O42" s="10"/>
      <c r="P42" s="6"/>
      <c r="Q42" s="2"/>
      <c r="R42" s="7">
        <f t="shared" si="35"/>
        <v>0</v>
      </c>
      <c r="S42" s="2"/>
      <c r="T42" s="6">
        <v>-326.89</v>
      </c>
      <c r="U42" s="2"/>
      <c r="V42" s="7">
        <f t="shared" si="36"/>
        <v>-3.0584889010180119E-4</v>
      </c>
      <c r="W42" s="2"/>
      <c r="X42" s="6">
        <f t="shared" si="37"/>
        <v>326.89</v>
      </c>
      <c r="Y42" s="2"/>
      <c r="Z42" s="7">
        <f t="shared" si="38"/>
        <v>-1</v>
      </c>
    </row>
    <row r="43" spans="1:26" s="27" customFormat="1" outlineLevel="1" collapsed="1" x14ac:dyDescent="0.25">
      <c r="A43" s="26"/>
      <c r="B43" s="12" t="str">
        <f>CONCATENATE("     ","Bank/card Fees                                    ")</f>
        <v xml:space="preserve">     Bank/card Fees                                    </v>
      </c>
      <c r="C43" s="12"/>
      <c r="D43" s="1">
        <f>SUM(OSRRefD22_4x_0)</f>
        <v>0</v>
      </c>
      <c r="E43" s="1"/>
      <c r="F43" s="5">
        <f t="shared" si="31"/>
        <v>0</v>
      </c>
      <c r="G43" s="1"/>
      <c r="H43" s="1">
        <f>SUM(OSRRefH22_4x_0)</f>
        <v>0</v>
      </c>
      <c r="I43" s="1"/>
      <c r="J43" s="5">
        <f t="shared" si="32"/>
        <v>0</v>
      </c>
      <c r="K43" s="1"/>
      <c r="L43" s="1">
        <f t="shared" si="33"/>
        <v>0</v>
      </c>
      <c r="M43" s="1"/>
      <c r="N43" s="5">
        <f t="shared" si="34"/>
        <v>0</v>
      </c>
      <c r="O43" s="12"/>
      <c r="P43" s="1">
        <f>SUM(OSRRefP22_4x_0)</f>
        <v>0</v>
      </c>
      <c r="Q43" s="1"/>
      <c r="R43" s="5">
        <f t="shared" si="35"/>
        <v>0</v>
      </c>
      <c r="S43" s="1"/>
      <c r="T43" s="1">
        <f>SUM(OSRRefT22_4x_0)</f>
        <v>42823.43</v>
      </c>
      <c r="U43" s="1"/>
      <c r="V43" s="5">
        <f t="shared" si="36"/>
        <v>4.0066990534590161E-2</v>
      </c>
      <c r="W43" s="1"/>
      <c r="X43" s="1">
        <f t="shared" si="37"/>
        <v>-42823.43</v>
      </c>
      <c r="Y43" s="1"/>
      <c r="Z43" s="5">
        <f t="shared" si="38"/>
        <v>-1</v>
      </c>
    </row>
    <row r="44" spans="1:26" s="23" customFormat="1" hidden="1" outlineLevel="2" x14ac:dyDescent="0.25">
      <c r="A44" s="25"/>
      <c r="B44" s="10" t="str">
        <f>CONCATENATE("          ", "6381", " - ", "BANK/CREDIT CARD FEES")</f>
        <v xml:space="preserve">          6381 - BANK/CREDIT CARD FEES</v>
      </c>
      <c r="C44" s="10"/>
      <c r="D44" s="6"/>
      <c r="E44" s="2"/>
      <c r="F44" s="7">
        <f t="shared" si="31"/>
        <v>0</v>
      </c>
      <c r="G44" s="2"/>
      <c r="H44" s="6"/>
      <c r="I44" s="2"/>
      <c r="J44" s="7">
        <f t="shared" si="32"/>
        <v>0</v>
      </c>
      <c r="K44" s="2"/>
      <c r="L44" s="6">
        <f t="shared" si="33"/>
        <v>0</v>
      </c>
      <c r="M44" s="2"/>
      <c r="N44" s="7">
        <f t="shared" si="34"/>
        <v>0</v>
      </c>
      <c r="O44" s="10"/>
      <c r="P44" s="6"/>
      <c r="Q44" s="2"/>
      <c r="R44" s="7">
        <f t="shared" si="35"/>
        <v>0</v>
      </c>
      <c r="S44" s="2"/>
      <c r="T44" s="6">
        <v>42823.43</v>
      </c>
      <c r="U44" s="2"/>
      <c r="V44" s="7">
        <f t="shared" si="36"/>
        <v>4.0066990534590161E-2</v>
      </c>
      <c r="W44" s="2"/>
      <c r="X44" s="6">
        <f t="shared" si="37"/>
        <v>-42823.43</v>
      </c>
      <c r="Y44" s="2"/>
      <c r="Z44" s="7">
        <f t="shared" si="38"/>
        <v>-1</v>
      </c>
    </row>
    <row r="45" spans="1:26" s="27" customFormat="1" outlineLevel="1" collapsed="1" x14ac:dyDescent="0.25">
      <c r="A45" s="26"/>
      <c r="B45" s="12" t="str">
        <f>CONCATENATE("     ","Depreciation                                      ")</f>
        <v xml:space="preserve">     Depreciation                                      </v>
      </c>
      <c r="C45" s="12"/>
      <c r="D45" s="1">
        <f>SUM(OSRRefD22_5x_0)</f>
        <v>6745.21</v>
      </c>
      <c r="E45" s="1"/>
      <c r="F45" s="5">
        <f t="shared" si="31"/>
        <v>0</v>
      </c>
      <c r="G45" s="1"/>
      <c r="H45" s="1">
        <f>SUM(OSRRefH22_5x_0)</f>
        <v>7177.5300000000007</v>
      </c>
      <c r="I45" s="1"/>
      <c r="J45" s="5">
        <f t="shared" si="32"/>
        <v>0</v>
      </c>
      <c r="K45" s="1"/>
      <c r="L45" s="1">
        <f t="shared" si="33"/>
        <v>-432.32000000000062</v>
      </c>
      <c r="M45" s="1"/>
      <c r="N45" s="5">
        <f t="shared" si="34"/>
        <v>-6.0232419787865824E-2</v>
      </c>
      <c r="O45" s="12"/>
      <c r="P45" s="1">
        <f>SUM(OSRRefP22_5x_0)</f>
        <v>82239.23</v>
      </c>
      <c r="Q45" s="1"/>
      <c r="R45" s="5">
        <f t="shared" si="35"/>
        <v>0</v>
      </c>
      <c r="S45" s="1"/>
      <c r="T45" s="1">
        <f>SUM(OSRRefT22_5x_0)</f>
        <v>96111.98</v>
      </c>
      <c r="U45" s="1"/>
      <c r="V45" s="5">
        <f t="shared" si="36"/>
        <v>8.9925486886984957E-2</v>
      </c>
      <c r="W45" s="1"/>
      <c r="X45" s="1">
        <f t="shared" si="37"/>
        <v>-13872.75</v>
      </c>
      <c r="Y45" s="1"/>
      <c r="Z45" s="5">
        <f t="shared" si="38"/>
        <v>-0.14433944654974334</v>
      </c>
    </row>
    <row r="46" spans="1:26" s="23" customFormat="1" hidden="1" outlineLevel="2" x14ac:dyDescent="0.25">
      <c r="A46" s="25"/>
      <c r="B46" s="10" t="str">
        <f>CONCATENATE("          ", "6321", " - ", "BUILDING DEPRECIATION")</f>
        <v xml:space="preserve">          6321 - BUILDING DEPRECIATION</v>
      </c>
      <c r="C46" s="10"/>
      <c r="D46" s="6">
        <v>6537.06</v>
      </c>
      <c r="E46" s="2"/>
      <c r="F46" s="7">
        <f t="shared" si="31"/>
        <v>0</v>
      </c>
      <c r="G46" s="2"/>
      <c r="H46" s="6">
        <v>6537.06</v>
      </c>
      <c r="I46" s="2"/>
      <c r="J46" s="7">
        <f t="shared" si="32"/>
        <v>0</v>
      </c>
      <c r="K46" s="2"/>
      <c r="L46" s="6">
        <f t="shared" si="33"/>
        <v>0</v>
      </c>
      <c r="M46" s="2"/>
      <c r="N46" s="7">
        <f t="shared" si="34"/>
        <v>0</v>
      </c>
      <c r="O46" s="10"/>
      <c r="P46" s="6">
        <v>78444.61</v>
      </c>
      <c r="Q46" s="2"/>
      <c r="R46" s="7">
        <f t="shared" si="35"/>
        <v>0</v>
      </c>
      <c r="S46" s="2"/>
      <c r="T46" s="6">
        <v>78444.61</v>
      </c>
      <c r="U46" s="2"/>
      <c r="V46" s="7">
        <f t="shared" si="36"/>
        <v>7.3395322288747455E-2</v>
      </c>
      <c r="W46" s="2"/>
      <c r="X46" s="6">
        <f t="shared" si="37"/>
        <v>0</v>
      </c>
      <c r="Y46" s="2"/>
      <c r="Z46" s="7">
        <f t="shared" si="38"/>
        <v>0</v>
      </c>
    </row>
    <row r="47" spans="1:26" s="23" customFormat="1" hidden="1" outlineLevel="2" x14ac:dyDescent="0.25">
      <c r="A47" s="25"/>
      <c r="B47" s="10" t="str">
        <f>CONCATENATE("          ", "6322", " - ", "EQUIPMENT DEPRECIATION EXPENSE")</f>
        <v xml:space="preserve">          6322 - EQUIPMENT DEPRECIATION EXPENSE</v>
      </c>
      <c r="C47" s="10"/>
      <c r="D47" s="6">
        <v>208.15</v>
      </c>
      <c r="E47" s="2"/>
      <c r="F47" s="7">
        <f t="shared" si="31"/>
        <v>0</v>
      </c>
      <c r="G47" s="2"/>
      <c r="H47" s="6">
        <v>640.47</v>
      </c>
      <c r="I47" s="2"/>
      <c r="J47" s="7">
        <f t="shared" si="32"/>
        <v>0</v>
      </c>
      <c r="K47" s="2"/>
      <c r="L47" s="6">
        <f t="shared" si="33"/>
        <v>-432.32000000000005</v>
      </c>
      <c r="M47" s="2"/>
      <c r="N47" s="7">
        <f t="shared" si="34"/>
        <v>-0.67500429372179815</v>
      </c>
      <c r="O47" s="10"/>
      <c r="P47" s="6">
        <v>3794.62</v>
      </c>
      <c r="Q47" s="2"/>
      <c r="R47" s="7">
        <f t="shared" si="35"/>
        <v>0</v>
      </c>
      <c r="S47" s="2"/>
      <c r="T47" s="6">
        <v>17667.37</v>
      </c>
      <c r="U47" s="2"/>
      <c r="V47" s="7">
        <f t="shared" si="36"/>
        <v>1.6530164598237508E-2</v>
      </c>
      <c r="W47" s="2"/>
      <c r="X47" s="6">
        <f t="shared" si="37"/>
        <v>-13872.75</v>
      </c>
      <c r="Y47" s="2"/>
      <c r="Z47" s="7">
        <f t="shared" si="38"/>
        <v>-0.78521873940490294</v>
      </c>
    </row>
    <row r="48" spans="1:26" s="27" customFormat="1" outlineLevel="1" collapsed="1" x14ac:dyDescent="0.25">
      <c r="A48" s="26"/>
      <c r="B48" s="12" t="str">
        <f>CONCATENATE("     ","Discounts and Markdowns                           ")</f>
        <v xml:space="preserve">     Discounts and Markdowns                           </v>
      </c>
      <c r="C48" s="12"/>
      <c r="D48" s="1">
        <f>SUM(OSRRefD22_6x_0)</f>
        <v>0</v>
      </c>
      <c r="E48" s="1"/>
      <c r="F48" s="5">
        <f t="shared" ref="F48:F58" si="39">IF(D$12=0,0,D48/D$12)</f>
        <v>0</v>
      </c>
      <c r="G48" s="1"/>
      <c r="H48" s="1">
        <f>SUM(OSRRefH22_6x_0)</f>
        <v>0</v>
      </c>
      <c r="I48" s="1"/>
      <c r="J48" s="5">
        <f t="shared" ref="J48:J58" si="40">IF(H$12=0,0,H48/H$12)</f>
        <v>0</v>
      </c>
      <c r="K48" s="1"/>
      <c r="L48" s="1">
        <f t="shared" ref="L48:L58" si="41">+D48-H48</f>
        <v>0</v>
      </c>
      <c r="M48" s="1"/>
      <c r="N48" s="5">
        <f t="shared" ref="N48:N58" si="42">IF(H48=0,0,L48/H48)</f>
        <v>0</v>
      </c>
      <c r="O48" s="12"/>
      <c r="P48" s="1">
        <f>SUM(OSRRefP22_6x_0)</f>
        <v>0</v>
      </c>
      <c r="Q48" s="1"/>
      <c r="R48" s="5">
        <f t="shared" ref="R48:R58" si="43">IF(P$12=0,0,P48/P$12)</f>
        <v>0</v>
      </c>
      <c r="S48" s="1"/>
      <c r="T48" s="1">
        <f>SUM(OSRRefT22_6x_0)</f>
        <v>0.09</v>
      </c>
      <c r="U48" s="1"/>
      <c r="V48" s="5">
        <f t="shared" ref="V48:V58" si="44">IF(T$12=0,0,T48/T$12)</f>
        <v>8.4206920092881724E-8</v>
      </c>
      <c r="W48" s="1"/>
      <c r="X48" s="1">
        <f t="shared" ref="X48:X58" si="45">+P48-T48</f>
        <v>-0.09</v>
      </c>
      <c r="Y48" s="1"/>
      <c r="Z48" s="5">
        <f t="shared" ref="Z48:Z58" si="46">IF(T48=0,0,X48/T48)</f>
        <v>-1</v>
      </c>
    </row>
    <row r="49" spans="1:26" s="23" customFormat="1" hidden="1" outlineLevel="2" x14ac:dyDescent="0.25">
      <c r="A49" s="25"/>
      <c r="B49" s="10" t="str">
        <f>CONCATENATE("          ", "6382", " - ", "DISCOUNTS/MARK DOWNS")</f>
        <v xml:space="preserve">          6382 - DISCOUNTS/MARK DOWNS</v>
      </c>
      <c r="C49" s="10"/>
      <c r="D49" s="6"/>
      <c r="E49" s="2"/>
      <c r="F49" s="7">
        <f t="shared" si="39"/>
        <v>0</v>
      </c>
      <c r="G49" s="2"/>
      <c r="H49" s="6"/>
      <c r="I49" s="2"/>
      <c r="J49" s="7">
        <f t="shared" si="40"/>
        <v>0</v>
      </c>
      <c r="K49" s="2"/>
      <c r="L49" s="6">
        <f t="shared" si="41"/>
        <v>0</v>
      </c>
      <c r="M49" s="2"/>
      <c r="N49" s="7">
        <f t="shared" si="42"/>
        <v>0</v>
      </c>
      <c r="O49" s="10"/>
      <c r="P49" s="6"/>
      <c r="Q49" s="2"/>
      <c r="R49" s="7">
        <f t="shared" si="43"/>
        <v>0</v>
      </c>
      <c r="S49" s="2"/>
      <c r="T49" s="6">
        <v>0.09</v>
      </c>
      <c r="U49" s="2"/>
      <c r="V49" s="7">
        <f t="shared" si="44"/>
        <v>8.4206920092881724E-8</v>
      </c>
      <c r="W49" s="2"/>
      <c r="X49" s="6">
        <f t="shared" si="45"/>
        <v>-0.09</v>
      </c>
      <c r="Y49" s="2"/>
      <c r="Z49" s="7">
        <f t="shared" si="46"/>
        <v>-1</v>
      </c>
    </row>
    <row r="50" spans="1:26" s="27" customFormat="1" outlineLevel="1" collapsed="1" x14ac:dyDescent="0.25">
      <c r="A50" s="26"/>
      <c r="B50" s="12" t="str">
        <f>CONCATENATE("     ","Donations                                         ")</f>
        <v xml:space="preserve">     Donations                                         </v>
      </c>
      <c r="C50" s="12"/>
      <c r="D50" s="1">
        <f>SUM(OSRRefD22_7x_0)</f>
        <v>0</v>
      </c>
      <c r="E50" s="1"/>
      <c r="F50" s="5">
        <f t="shared" si="39"/>
        <v>0</v>
      </c>
      <c r="G50" s="1"/>
      <c r="H50" s="1">
        <f>SUM(OSRRefH22_7x_0)</f>
        <v>0</v>
      </c>
      <c r="I50" s="1"/>
      <c r="J50" s="5">
        <f t="shared" si="40"/>
        <v>0</v>
      </c>
      <c r="K50" s="1"/>
      <c r="L50" s="1">
        <f t="shared" si="41"/>
        <v>0</v>
      </c>
      <c r="M50" s="1"/>
      <c r="N50" s="5">
        <f t="shared" si="42"/>
        <v>0</v>
      </c>
      <c r="O50" s="12"/>
      <c r="P50" s="1">
        <f>SUM(OSRRefP22_7x_0)</f>
        <v>0</v>
      </c>
      <c r="Q50" s="1"/>
      <c r="R50" s="5">
        <f t="shared" si="43"/>
        <v>0</v>
      </c>
      <c r="S50" s="1"/>
      <c r="T50" s="1">
        <f>SUM(OSRRefT22_7x_0)</f>
        <v>73</v>
      </c>
      <c r="U50" s="1"/>
      <c r="V50" s="5">
        <f t="shared" si="44"/>
        <v>6.8301168519781851E-5</v>
      </c>
      <c r="W50" s="1"/>
      <c r="X50" s="1">
        <f t="shared" si="45"/>
        <v>-73</v>
      </c>
      <c r="Y50" s="1"/>
      <c r="Z50" s="5">
        <f t="shared" si="46"/>
        <v>-1</v>
      </c>
    </row>
    <row r="51" spans="1:26" s="23" customFormat="1" hidden="1" outlineLevel="2" x14ac:dyDescent="0.25">
      <c r="A51" s="25"/>
      <c r="B51" s="10" t="str">
        <f>CONCATENATE("          ", "6399", " - ", "DONATION-ON CAMPUS")</f>
        <v xml:space="preserve">          6399 - DONATION-ON CAMPUS</v>
      </c>
      <c r="C51" s="10"/>
      <c r="D51" s="6"/>
      <c r="E51" s="2"/>
      <c r="F51" s="7">
        <f t="shared" si="39"/>
        <v>0</v>
      </c>
      <c r="G51" s="2"/>
      <c r="H51" s="6"/>
      <c r="I51" s="2"/>
      <c r="J51" s="7">
        <f t="shared" si="40"/>
        <v>0</v>
      </c>
      <c r="K51" s="2"/>
      <c r="L51" s="6">
        <f t="shared" si="41"/>
        <v>0</v>
      </c>
      <c r="M51" s="2"/>
      <c r="N51" s="7">
        <f t="shared" si="42"/>
        <v>0</v>
      </c>
      <c r="O51" s="10"/>
      <c r="P51" s="6"/>
      <c r="Q51" s="2"/>
      <c r="R51" s="7">
        <f t="shared" si="43"/>
        <v>0</v>
      </c>
      <c r="S51" s="2"/>
      <c r="T51" s="6">
        <v>73</v>
      </c>
      <c r="U51" s="2"/>
      <c r="V51" s="7">
        <f t="shared" si="44"/>
        <v>6.8301168519781851E-5</v>
      </c>
      <c r="W51" s="2"/>
      <c r="X51" s="6">
        <f t="shared" si="45"/>
        <v>-73</v>
      </c>
      <c r="Y51" s="2"/>
      <c r="Z51" s="7">
        <f t="shared" si="46"/>
        <v>-1</v>
      </c>
    </row>
    <row r="52" spans="1:26" s="27" customFormat="1" outlineLevel="1" collapsed="1" x14ac:dyDescent="0.25">
      <c r="A52" s="26"/>
      <c r="B52" s="12" t="str">
        <f>CONCATENATE("     ","Employees' Appreciation                           ")</f>
        <v xml:space="preserve">     Employees' Appreciation                           </v>
      </c>
      <c r="C52" s="12"/>
      <c r="D52" s="1">
        <f>SUM(OSRRefD22_8x_0)</f>
        <v>0</v>
      </c>
      <c r="E52" s="1"/>
      <c r="F52" s="5">
        <f t="shared" si="39"/>
        <v>0</v>
      </c>
      <c r="G52" s="1"/>
      <c r="H52" s="1">
        <f>SUM(OSRRefH22_8x_0)</f>
        <v>0</v>
      </c>
      <c r="I52" s="1"/>
      <c r="J52" s="5">
        <f t="shared" si="40"/>
        <v>0</v>
      </c>
      <c r="K52" s="1"/>
      <c r="L52" s="1">
        <f t="shared" si="41"/>
        <v>0</v>
      </c>
      <c r="M52" s="1"/>
      <c r="N52" s="5">
        <f t="shared" si="42"/>
        <v>0</v>
      </c>
      <c r="O52" s="12"/>
      <c r="P52" s="1">
        <f>SUM(OSRRefP22_8x_0)</f>
        <v>0</v>
      </c>
      <c r="Q52" s="1"/>
      <c r="R52" s="5">
        <f t="shared" si="43"/>
        <v>0</v>
      </c>
      <c r="S52" s="1"/>
      <c r="T52" s="1">
        <f>SUM(OSRRefT22_8x_0)</f>
        <v>8.25</v>
      </c>
      <c r="U52" s="1"/>
      <c r="V52" s="5">
        <f t="shared" si="44"/>
        <v>7.7189676751808245E-6</v>
      </c>
      <c r="W52" s="1"/>
      <c r="X52" s="1">
        <f t="shared" si="45"/>
        <v>-8.25</v>
      </c>
      <c r="Y52" s="1"/>
      <c r="Z52" s="5">
        <f t="shared" si="46"/>
        <v>-1</v>
      </c>
    </row>
    <row r="53" spans="1:26" s="23" customFormat="1" hidden="1" outlineLevel="2" x14ac:dyDescent="0.25">
      <c r="A53" s="25"/>
      <c r="B53" s="10" t="str">
        <f>CONCATENATE("          ", "6277", " - ", "EMPLOYEE APPRECIATION")</f>
        <v xml:space="preserve">          6277 - EMPLOYEE APPRECIATION</v>
      </c>
      <c r="C53" s="10"/>
      <c r="D53" s="6"/>
      <c r="E53" s="2"/>
      <c r="F53" s="7">
        <f t="shared" si="39"/>
        <v>0</v>
      </c>
      <c r="G53" s="2"/>
      <c r="H53" s="6"/>
      <c r="I53" s="2"/>
      <c r="J53" s="7">
        <f t="shared" si="40"/>
        <v>0</v>
      </c>
      <c r="K53" s="2"/>
      <c r="L53" s="6">
        <f t="shared" si="41"/>
        <v>0</v>
      </c>
      <c r="M53" s="2"/>
      <c r="N53" s="7">
        <f t="shared" si="42"/>
        <v>0</v>
      </c>
      <c r="O53" s="10"/>
      <c r="P53" s="6"/>
      <c r="Q53" s="2"/>
      <c r="R53" s="7">
        <f t="shared" si="43"/>
        <v>0</v>
      </c>
      <c r="S53" s="2"/>
      <c r="T53" s="6">
        <v>8.25</v>
      </c>
      <c r="U53" s="2"/>
      <c r="V53" s="7">
        <f t="shared" si="44"/>
        <v>7.7189676751808245E-6</v>
      </c>
      <c r="W53" s="2"/>
      <c r="X53" s="6">
        <f t="shared" si="45"/>
        <v>-8.25</v>
      </c>
      <c r="Y53" s="2"/>
      <c r="Z53" s="7">
        <f t="shared" si="46"/>
        <v>-1</v>
      </c>
    </row>
    <row r="54" spans="1:26" s="27" customFormat="1" outlineLevel="1" collapsed="1" x14ac:dyDescent="0.25">
      <c r="A54" s="26"/>
      <c r="B54" s="12" t="str">
        <f>CONCATENATE("     ","Equipment Rental                                  ")</f>
        <v xml:space="preserve">     Equipment Rental                                  </v>
      </c>
      <c r="C54" s="12"/>
      <c r="D54" s="1">
        <f>SUM(OSRRefD22_9x_0)</f>
        <v>60</v>
      </c>
      <c r="E54" s="1"/>
      <c r="F54" s="5">
        <f t="shared" si="39"/>
        <v>0</v>
      </c>
      <c r="G54" s="1"/>
      <c r="H54" s="1">
        <f>SUM(OSRRefH22_9x_0)</f>
        <v>263.72000000000003</v>
      </c>
      <c r="I54" s="1"/>
      <c r="J54" s="5">
        <f t="shared" si="40"/>
        <v>0</v>
      </c>
      <c r="K54" s="1"/>
      <c r="L54" s="1">
        <f t="shared" si="41"/>
        <v>-203.72000000000003</v>
      </c>
      <c r="M54" s="1"/>
      <c r="N54" s="5">
        <f t="shared" si="42"/>
        <v>-0.77248596996814811</v>
      </c>
      <c r="O54" s="12"/>
      <c r="P54" s="1">
        <f>SUM(OSRRefP22_9x_0)</f>
        <v>503.72</v>
      </c>
      <c r="Q54" s="1"/>
      <c r="R54" s="5">
        <f t="shared" si="43"/>
        <v>0</v>
      </c>
      <c r="S54" s="1"/>
      <c r="T54" s="1">
        <f>SUM(OSRRefT22_9x_0)</f>
        <v>7114.86</v>
      </c>
      <c r="U54" s="1"/>
      <c r="V54" s="5">
        <f t="shared" si="44"/>
        <v>6.6568938610226721E-3</v>
      </c>
      <c r="W54" s="1"/>
      <c r="X54" s="1">
        <f t="shared" si="45"/>
        <v>-6611.1399999999994</v>
      </c>
      <c r="Y54" s="1"/>
      <c r="Z54" s="5">
        <f t="shared" si="46"/>
        <v>-0.92920169897931926</v>
      </c>
    </row>
    <row r="55" spans="1:26" s="23" customFormat="1" hidden="1" outlineLevel="2" x14ac:dyDescent="0.25">
      <c r="A55" s="25"/>
      <c r="B55" s="10" t="str">
        <f>CONCATENATE("          ", "6351", " - ", "EQUIPMENT RENTAL")</f>
        <v xml:space="preserve">          6351 - EQUIPMENT RENTAL</v>
      </c>
      <c r="C55" s="10"/>
      <c r="D55" s="6">
        <v>60</v>
      </c>
      <c r="E55" s="2"/>
      <c r="F55" s="7">
        <f t="shared" si="39"/>
        <v>0</v>
      </c>
      <c r="G55" s="2"/>
      <c r="H55" s="6">
        <v>263.72000000000003</v>
      </c>
      <c r="I55" s="2"/>
      <c r="J55" s="7">
        <f t="shared" si="40"/>
        <v>0</v>
      </c>
      <c r="K55" s="2"/>
      <c r="L55" s="6">
        <f t="shared" si="41"/>
        <v>-203.72000000000003</v>
      </c>
      <c r="M55" s="2"/>
      <c r="N55" s="7">
        <f t="shared" si="42"/>
        <v>-0.77248596996814811</v>
      </c>
      <c r="O55" s="10"/>
      <c r="P55" s="6">
        <v>503.72</v>
      </c>
      <c r="Q55" s="2"/>
      <c r="R55" s="7">
        <f t="shared" si="43"/>
        <v>0</v>
      </c>
      <c r="S55" s="2"/>
      <c r="T55" s="6">
        <v>7114.86</v>
      </c>
      <c r="U55" s="2"/>
      <c r="V55" s="7">
        <f t="shared" si="44"/>
        <v>6.6568938610226721E-3</v>
      </c>
      <c r="W55" s="2"/>
      <c r="X55" s="6">
        <f t="shared" si="45"/>
        <v>-6611.1399999999994</v>
      </c>
      <c r="Y55" s="2"/>
      <c r="Z55" s="7">
        <f t="shared" si="46"/>
        <v>-0.92920169897931926</v>
      </c>
    </row>
    <row r="56" spans="1:26" s="27" customFormat="1" outlineLevel="1" collapsed="1" x14ac:dyDescent="0.25">
      <c r="A56" s="26"/>
      <c r="B56" s="12" t="str">
        <f>CONCATENATE("     ","General                                           ")</f>
        <v xml:space="preserve">     General                                           </v>
      </c>
      <c r="C56" s="12"/>
      <c r="D56" s="1">
        <f>SUM(OSRRefD22_10x_0)</f>
        <v>0</v>
      </c>
      <c r="E56" s="1"/>
      <c r="F56" s="5">
        <f t="shared" si="39"/>
        <v>0</v>
      </c>
      <c r="G56" s="1"/>
      <c r="H56" s="1">
        <f>SUM(OSRRefH22_10x_0)</f>
        <v>0</v>
      </c>
      <c r="I56" s="1"/>
      <c r="J56" s="5">
        <f t="shared" si="40"/>
        <v>0</v>
      </c>
      <c r="K56" s="1"/>
      <c r="L56" s="1">
        <f t="shared" si="41"/>
        <v>0</v>
      </c>
      <c r="M56" s="1"/>
      <c r="N56" s="5">
        <f t="shared" si="42"/>
        <v>0</v>
      </c>
      <c r="O56" s="12"/>
      <c r="P56" s="1">
        <f>SUM(OSRRefP22_10x_0)</f>
        <v>2969.55</v>
      </c>
      <c r="Q56" s="1"/>
      <c r="R56" s="5">
        <f t="shared" si="43"/>
        <v>0</v>
      </c>
      <c r="S56" s="1"/>
      <c r="T56" s="1">
        <f>SUM(OSRRefT22_10x_0)</f>
        <v>13442.380000000001</v>
      </c>
      <c r="U56" s="1"/>
      <c r="V56" s="5">
        <f t="shared" si="44"/>
        <v>1.2577126872423907E-2</v>
      </c>
      <c r="W56" s="1"/>
      <c r="X56" s="1">
        <f t="shared" si="45"/>
        <v>-10472.830000000002</v>
      </c>
      <c r="Y56" s="1"/>
      <c r="Z56" s="5">
        <f t="shared" si="46"/>
        <v>-0.77909045868365578</v>
      </c>
    </row>
    <row r="57" spans="1:26" s="23" customFormat="1" hidden="1" outlineLevel="2" x14ac:dyDescent="0.25">
      <c r="A57" s="25"/>
      <c r="B57" s="10" t="str">
        <f>CONCATENATE("          ", "6269", " - ", "ENTERTAINMENT")</f>
        <v xml:space="preserve">          6269 - ENTERTAINMENT</v>
      </c>
      <c r="C57" s="10"/>
      <c r="D57" s="6"/>
      <c r="E57" s="2"/>
      <c r="F57" s="7">
        <f t="shared" si="39"/>
        <v>0</v>
      </c>
      <c r="G57" s="2"/>
      <c r="H57" s="6"/>
      <c r="I57" s="2"/>
      <c r="J57" s="7">
        <f t="shared" si="40"/>
        <v>0</v>
      </c>
      <c r="K57" s="2"/>
      <c r="L57" s="6">
        <f t="shared" si="41"/>
        <v>0</v>
      </c>
      <c r="M57" s="2"/>
      <c r="N57" s="7">
        <f t="shared" si="42"/>
        <v>0</v>
      </c>
      <c r="O57" s="10"/>
      <c r="P57" s="6"/>
      <c r="Q57" s="2"/>
      <c r="R57" s="7">
        <f t="shared" si="43"/>
        <v>0</v>
      </c>
      <c r="S57" s="2"/>
      <c r="T57" s="6">
        <v>10050</v>
      </c>
      <c r="U57" s="2"/>
      <c r="V57" s="7">
        <f t="shared" si="44"/>
        <v>9.4031060770384603E-3</v>
      </c>
      <c r="W57" s="2"/>
      <c r="X57" s="6">
        <f t="shared" si="45"/>
        <v>-10050</v>
      </c>
      <c r="Y57" s="2"/>
      <c r="Z57" s="7">
        <f t="shared" si="46"/>
        <v>-1</v>
      </c>
    </row>
    <row r="58" spans="1:26" s="23" customFormat="1" hidden="1" outlineLevel="2" x14ac:dyDescent="0.25">
      <c r="A58" s="25"/>
      <c r="B58" s="10" t="str">
        <f>CONCATENATE("          ", "6279", " - ", "GENERAL EXPENSE")</f>
        <v xml:space="preserve">          6279 - GENERAL EXPENSE</v>
      </c>
      <c r="C58" s="10"/>
      <c r="D58" s="6"/>
      <c r="E58" s="2"/>
      <c r="F58" s="7">
        <f t="shared" si="39"/>
        <v>0</v>
      </c>
      <c r="G58" s="2"/>
      <c r="H58" s="6"/>
      <c r="I58" s="2"/>
      <c r="J58" s="7">
        <f t="shared" si="40"/>
        <v>0</v>
      </c>
      <c r="K58" s="2"/>
      <c r="L58" s="6">
        <f t="shared" si="41"/>
        <v>0</v>
      </c>
      <c r="M58" s="2"/>
      <c r="N58" s="7">
        <f t="shared" si="42"/>
        <v>0</v>
      </c>
      <c r="O58" s="10"/>
      <c r="P58" s="6">
        <v>2969.55</v>
      </c>
      <c r="Q58" s="2"/>
      <c r="R58" s="7">
        <f t="shared" si="43"/>
        <v>0</v>
      </c>
      <c r="S58" s="2"/>
      <c r="T58" s="6">
        <v>3392.38</v>
      </c>
      <c r="U58" s="2"/>
      <c r="V58" s="7">
        <f t="shared" si="44"/>
        <v>3.1740207953854459E-3</v>
      </c>
      <c r="W58" s="2"/>
      <c r="X58" s="6">
        <f t="shared" si="45"/>
        <v>-422.82999999999993</v>
      </c>
      <c r="Y58" s="2"/>
      <c r="Z58" s="7">
        <f t="shared" si="46"/>
        <v>-0.12464110742310705</v>
      </c>
    </row>
    <row r="59" spans="1:26" s="27" customFormat="1" outlineLevel="1" collapsed="1" x14ac:dyDescent="0.25">
      <c r="A59" s="26"/>
      <c r="B59" s="12" t="str">
        <f>CONCATENATE("     ","Repair and Maintenance                            ")</f>
        <v xml:space="preserve">     Repair and Maintenance                            </v>
      </c>
      <c r="C59" s="12"/>
      <c r="D59" s="1">
        <f>SUM(OSRRefD22_11x_0)</f>
        <v>955.09</v>
      </c>
      <c r="E59" s="1"/>
      <c r="F59" s="5">
        <f t="shared" ref="F59:F62" si="47">IF(D$12=0,0,D59/D$12)</f>
        <v>0</v>
      </c>
      <c r="G59" s="1"/>
      <c r="H59" s="1">
        <f>SUM(OSRRefH22_11x_0)</f>
        <v>198.87</v>
      </c>
      <c r="I59" s="1"/>
      <c r="J59" s="5">
        <f t="shared" ref="J59:J62" si="48">IF(H$12=0,0,H59/H$12)</f>
        <v>0</v>
      </c>
      <c r="K59" s="1"/>
      <c r="L59" s="1">
        <f t="shared" ref="L59:L62" si="49">+D59-H59</f>
        <v>756.22</v>
      </c>
      <c r="M59" s="1"/>
      <c r="N59" s="5">
        <f t="shared" ref="N59:N62" si="50">IF(H59=0,0,L59/H59)</f>
        <v>3.8025846030069896</v>
      </c>
      <c r="O59" s="12"/>
      <c r="P59" s="1">
        <f>SUM(OSRRefP22_11x_0)</f>
        <v>1630.28</v>
      </c>
      <c r="Q59" s="1"/>
      <c r="R59" s="5">
        <f t="shared" ref="R59:R62" si="51">IF(P$12=0,0,P59/P$12)</f>
        <v>0</v>
      </c>
      <c r="S59" s="1"/>
      <c r="T59" s="1">
        <f>SUM(OSRRefT22_11x_0)</f>
        <v>18055.849999999999</v>
      </c>
      <c r="U59" s="1"/>
      <c r="V59" s="5">
        <f t="shared" ref="V59:V62" si="52">IF(T$12=0,0,T59/T$12)</f>
        <v>1.6893639090656203E-2</v>
      </c>
      <c r="W59" s="1"/>
      <c r="X59" s="1">
        <f t="shared" ref="X59:X62" si="53">+P59-T59</f>
        <v>-16425.57</v>
      </c>
      <c r="Y59" s="1"/>
      <c r="Z59" s="5">
        <f t="shared" ref="Z59:Z62" si="54">IF(T59=0,0,X59/T59)</f>
        <v>-0.90970904166793598</v>
      </c>
    </row>
    <row r="60" spans="1:26" s="23" customFormat="1" hidden="1" outlineLevel="2" x14ac:dyDescent="0.25">
      <c r="A60" s="25"/>
      <c r="B60" s="10" t="str">
        <f>CONCATENATE("          ", "6371", " - ", "COMPUTER SOFTWARE MAINTENANCE")</f>
        <v xml:space="preserve">          6371 - COMPUTER SOFTWARE MAINTENANCE</v>
      </c>
      <c r="C60" s="10"/>
      <c r="D60" s="6"/>
      <c r="E60" s="2"/>
      <c r="F60" s="7">
        <f t="shared" si="47"/>
        <v>0</v>
      </c>
      <c r="G60" s="2"/>
      <c r="H60" s="6"/>
      <c r="I60" s="2"/>
      <c r="J60" s="7">
        <f t="shared" si="48"/>
        <v>0</v>
      </c>
      <c r="K60" s="2"/>
      <c r="L60" s="6">
        <f t="shared" si="49"/>
        <v>0</v>
      </c>
      <c r="M60" s="2"/>
      <c r="N60" s="7">
        <f t="shared" si="50"/>
        <v>0</v>
      </c>
      <c r="O60" s="10"/>
      <c r="P60" s="6"/>
      <c r="Q60" s="2"/>
      <c r="R60" s="7">
        <f t="shared" si="51"/>
        <v>0</v>
      </c>
      <c r="S60" s="2"/>
      <c r="T60" s="6">
        <v>2623.85</v>
      </c>
      <c r="U60" s="2"/>
      <c r="V60" s="7">
        <f t="shared" si="52"/>
        <v>2.454959192063419E-3</v>
      </c>
      <c r="W60" s="2"/>
      <c r="X60" s="6">
        <f t="shared" si="53"/>
        <v>-2623.85</v>
      </c>
      <c r="Y60" s="2"/>
      <c r="Z60" s="7">
        <f t="shared" si="54"/>
        <v>-1</v>
      </c>
    </row>
    <row r="61" spans="1:26" s="23" customFormat="1" hidden="1" outlineLevel="2" x14ac:dyDescent="0.25">
      <c r="A61" s="25"/>
      <c r="B61" s="10" t="str">
        <f>CONCATENATE("          ", "6373", " - ", "MAINTENANCE CONTRACTS")</f>
        <v xml:space="preserve">          6373 - MAINTENANCE CONTRACTS</v>
      </c>
      <c r="C61" s="10"/>
      <c r="D61" s="6">
        <v>198.46</v>
      </c>
      <c r="E61" s="2"/>
      <c r="F61" s="7">
        <f t="shared" si="47"/>
        <v>0</v>
      </c>
      <c r="G61" s="2"/>
      <c r="H61" s="6">
        <v>198.87</v>
      </c>
      <c r="I61" s="2"/>
      <c r="J61" s="7">
        <f t="shared" si="48"/>
        <v>0</v>
      </c>
      <c r="K61" s="2"/>
      <c r="L61" s="6">
        <f t="shared" si="49"/>
        <v>-0.40999999999999659</v>
      </c>
      <c r="M61" s="2"/>
      <c r="N61" s="7">
        <f t="shared" si="50"/>
        <v>-2.0616483129682534E-3</v>
      </c>
      <c r="O61" s="10"/>
      <c r="P61" s="6">
        <v>873.65</v>
      </c>
      <c r="Q61" s="2"/>
      <c r="R61" s="7">
        <f t="shared" si="51"/>
        <v>0</v>
      </c>
      <c r="S61" s="2"/>
      <c r="T61" s="6">
        <v>1642.82</v>
      </c>
      <c r="U61" s="2"/>
      <c r="V61" s="7">
        <f t="shared" si="52"/>
        <v>1.537075694077644E-3</v>
      </c>
      <c r="W61" s="2"/>
      <c r="X61" s="6">
        <f t="shared" si="53"/>
        <v>-769.17</v>
      </c>
      <c r="Y61" s="2"/>
      <c r="Z61" s="7">
        <f t="shared" si="54"/>
        <v>-0.46820102019697835</v>
      </c>
    </row>
    <row r="62" spans="1:26" s="23" customFormat="1" hidden="1" outlineLevel="2" x14ac:dyDescent="0.25">
      <c r="A62" s="25"/>
      <c r="B62" s="10" t="str">
        <f>CONCATENATE("          ", "6375", " - ", "OUTSIDE REPAIRS &amp; MAINTENANCE")</f>
        <v xml:space="preserve">          6375 - OUTSIDE REPAIRS &amp; MAINTENANCE</v>
      </c>
      <c r="C62" s="10"/>
      <c r="D62" s="6">
        <v>756.63</v>
      </c>
      <c r="E62" s="2"/>
      <c r="F62" s="7">
        <f t="shared" si="47"/>
        <v>0</v>
      </c>
      <c r="G62" s="2"/>
      <c r="H62" s="6"/>
      <c r="I62" s="2"/>
      <c r="J62" s="7">
        <f t="shared" si="48"/>
        <v>0</v>
      </c>
      <c r="K62" s="2"/>
      <c r="L62" s="6">
        <f t="shared" si="49"/>
        <v>756.63</v>
      </c>
      <c r="M62" s="2"/>
      <c r="N62" s="7">
        <f t="shared" si="50"/>
        <v>0</v>
      </c>
      <c r="O62" s="10"/>
      <c r="P62" s="6">
        <v>756.63</v>
      </c>
      <c r="Q62" s="2"/>
      <c r="R62" s="7">
        <f t="shared" si="51"/>
        <v>0</v>
      </c>
      <c r="S62" s="2"/>
      <c r="T62" s="6">
        <v>13789.18</v>
      </c>
      <c r="U62" s="2"/>
      <c r="V62" s="7">
        <f t="shared" si="52"/>
        <v>1.2901604204515143E-2</v>
      </c>
      <c r="W62" s="2"/>
      <c r="X62" s="6">
        <f t="shared" si="53"/>
        <v>-13032.550000000001</v>
      </c>
      <c r="Y62" s="2"/>
      <c r="Z62" s="7">
        <f t="shared" si="54"/>
        <v>-0.94512871686351185</v>
      </c>
    </row>
    <row r="63" spans="1:26" s="27" customFormat="1" outlineLevel="1" collapsed="1" x14ac:dyDescent="0.25">
      <c r="A63" s="26"/>
      <c r="B63" s="12" t="str">
        <f>CONCATENATE("     ","Services                                          ")</f>
        <v xml:space="preserve">     Services                                          </v>
      </c>
      <c r="C63" s="12"/>
      <c r="D63" s="1">
        <f>SUM(OSRRefD22_12x_0)</f>
        <v>0</v>
      </c>
      <c r="E63" s="1"/>
      <c r="F63" s="5">
        <f t="shared" ref="F63:F66" si="55">IF(D$12=0,0,D63/D$12)</f>
        <v>0</v>
      </c>
      <c r="G63" s="1"/>
      <c r="H63" s="1">
        <f>SUM(OSRRefH22_12x_0)</f>
        <v>0</v>
      </c>
      <c r="I63" s="1"/>
      <c r="J63" s="5">
        <f t="shared" ref="J63:J66" si="56">IF(H$12=0,0,H63/H$12)</f>
        <v>0</v>
      </c>
      <c r="K63" s="1"/>
      <c r="L63" s="1">
        <f t="shared" ref="L63:L66" si="57">+D63-H63</f>
        <v>0</v>
      </c>
      <c r="M63" s="1"/>
      <c r="N63" s="5">
        <f t="shared" ref="N63:N66" si="58">IF(H63=0,0,L63/H63)</f>
        <v>0</v>
      </c>
      <c r="O63" s="12"/>
      <c r="P63" s="1">
        <f>SUM(OSRRefP22_12x_0)</f>
        <v>0</v>
      </c>
      <c r="Q63" s="1"/>
      <c r="R63" s="5">
        <f t="shared" ref="R63:R66" si="59">IF(P$12=0,0,P63/P$12)</f>
        <v>0</v>
      </c>
      <c r="S63" s="1"/>
      <c r="T63" s="1">
        <f>SUM(OSRRefT22_12x_0)</f>
        <v>3851.3999999999996</v>
      </c>
      <c r="U63" s="1"/>
      <c r="V63" s="5">
        <f t="shared" ref="V63:V66" si="60">IF(T$12=0,0,T63/T$12)</f>
        <v>3.6034948005080518E-3</v>
      </c>
      <c r="W63" s="1"/>
      <c r="X63" s="1">
        <f t="shared" ref="X63:X66" si="61">+P63-T63</f>
        <v>-3851.3999999999996</v>
      </c>
      <c r="Y63" s="1"/>
      <c r="Z63" s="5">
        <f t="shared" ref="Z63:Z66" si="62">IF(T63=0,0,X63/T63)</f>
        <v>-1</v>
      </c>
    </row>
    <row r="64" spans="1:26" s="23" customFormat="1" hidden="1" outlineLevel="2" x14ac:dyDescent="0.25">
      <c r="A64" s="25"/>
      <c r="B64" s="10" t="str">
        <f>CONCATENATE("          ", "6283", " - ", "PLANT SERVICE")</f>
        <v xml:space="preserve">          6283 - PLANT SERVICE</v>
      </c>
      <c r="C64" s="10"/>
      <c r="D64" s="6"/>
      <c r="E64" s="2"/>
      <c r="F64" s="7">
        <f t="shared" si="55"/>
        <v>0</v>
      </c>
      <c r="G64" s="2"/>
      <c r="H64" s="6"/>
      <c r="I64" s="2"/>
      <c r="J64" s="7">
        <f t="shared" si="56"/>
        <v>0</v>
      </c>
      <c r="K64" s="2"/>
      <c r="L64" s="6">
        <f t="shared" si="57"/>
        <v>0</v>
      </c>
      <c r="M64" s="2"/>
      <c r="N64" s="7">
        <f t="shared" si="58"/>
        <v>0</v>
      </c>
      <c r="O64" s="10"/>
      <c r="P64" s="6"/>
      <c r="Q64" s="2"/>
      <c r="R64" s="7">
        <f t="shared" si="59"/>
        <v>0</v>
      </c>
      <c r="S64" s="2"/>
      <c r="T64" s="6">
        <v>357.75</v>
      </c>
      <c r="U64" s="2"/>
      <c r="V64" s="7">
        <f t="shared" si="60"/>
        <v>3.3472250736920489E-4</v>
      </c>
      <c r="W64" s="2"/>
      <c r="X64" s="6">
        <f t="shared" si="61"/>
        <v>-357.75</v>
      </c>
      <c r="Y64" s="2"/>
      <c r="Z64" s="7">
        <f t="shared" si="62"/>
        <v>-1</v>
      </c>
    </row>
    <row r="65" spans="1:26" s="23" customFormat="1" hidden="1" outlineLevel="2" x14ac:dyDescent="0.25">
      <c r="A65" s="25"/>
      <c r="B65" s="10" t="str">
        <f>CONCATENATE("          ", "6285", " - ", "JANITORIAL SERVICES")</f>
        <v xml:space="preserve">          6285 - JANITORIAL SERVICES</v>
      </c>
      <c r="C65" s="10"/>
      <c r="D65" s="6"/>
      <c r="E65" s="2"/>
      <c r="F65" s="7">
        <f t="shared" si="55"/>
        <v>0</v>
      </c>
      <c r="G65" s="2"/>
      <c r="H65" s="6"/>
      <c r="I65" s="2"/>
      <c r="J65" s="7">
        <f t="shared" si="56"/>
        <v>0</v>
      </c>
      <c r="K65" s="2"/>
      <c r="L65" s="6">
        <f t="shared" si="57"/>
        <v>0</v>
      </c>
      <c r="M65" s="2"/>
      <c r="N65" s="7">
        <f t="shared" si="58"/>
        <v>0</v>
      </c>
      <c r="O65" s="10"/>
      <c r="P65" s="6"/>
      <c r="Q65" s="2"/>
      <c r="R65" s="7">
        <f t="shared" si="59"/>
        <v>0</v>
      </c>
      <c r="S65" s="2"/>
      <c r="T65" s="6">
        <v>1876.6</v>
      </c>
      <c r="U65" s="2"/>
      <c r="V65" s="7">
        <f t="shared" si="60"/>
        <v>1.7558078471811315E-3</v>
      </c>
      <c r="W65" s="2"/>
      <c r="X65" s="6">
        <f t="shared" si="61"/>
        <v>-1876.6</v>
      </c>
      <c r="Y65" s="2"/>
      <c r="Z65" s="7">
        <f t="shared" si="62"/>
        <v>-1</v>
      </c>
    </row>
    <row r="66" spans="1:26" s="23" customFormat="1" hidden="1" outlineLevel="2" x14ac:dyDescent="0.25">
      <c r="A66" s="25"/>
      <c r="B66" s="10" t="str">
        <f>CONCATENATE("          ", "6286", " - ", "LAUNDRY EXPENSE")</f>
        <v xml:space="preserve">          6286 - LAUNDRY EXPENSE</v>
      </c>
      <c r="C66" s="10"/>
      <c r="D66" s="6"/>
      <c r="E66" s="2"/>
      <c r="F66" s="7">
        <f t="shared" si="55"/>
        <v>0</v>
      </c>
      <c r="G66" s="2"/>
      <c r="H66" s="6"/>
      <c r="I66" s="2"/>
      <c r="J66" s="7">
        <f t="shared" si="56"/>
        <v>0</v>
      </c>
      <c r="K66" s="2"/>
      <c r="L66" s="6">
        <f t="shared" si="57"/>
        <v>0</v>
      </c>
      <c r="M66" s="2"/>
      <c r="N66" s="7">
        <f t="shared" si="58"/>
        <v>0</v>
      </c>
      <c r="O66" s="10"/>
      <c r="P66" s="6"/>
      <c r="Q66" s="2"/>
      <c r="R66" s="7">
        <f t="shared" si="59"/>
        <v>0</v>
      </c>
      <c r="S66" s="2"/>
      <c r="T66" s="6">
        <v>1617.05</v>
      </c>
      <c r="U66" s="2"/>
      <c r="V66" s="7">
        <f t="shared" si="60"/>
        <v>1.5129644459577155E-3</v>
      </c>
      <c r="W66" s="2"/>
      <c r="X66" s="6">
        <f t="shared" si="61"/>
        <v>-1617.05</v>
      </c>
      <c r="Y66" s="2"/>
      <c r="Z66" s="7">
        <f t="shared" si="62"/>
        <v>-1</v>
      </c>
    </row>
    <row r="67" spans="1:26" s="27" customFormat="1" outlineLevel="1" collapsed="1" x14ac:dyDescent="0.25">
      <c r="A67" s="26"/>
      <c r="B67" s="12" t="str">
        <f>CONCATENATE("     ","Subscriptions &amp; Dues                              ")</f>
        <v xml:space="preserve">     Subscriptions &amp; Dues                              </v>
      </c>
      <c r="C67" s="12"/>
      <c r="D67" s="1">
        <f>SUM(OSRRefD22_13x_0)</f>
        <v>0</v>
      </c>
      <c r="E67" s="1"/>
      <c r="F67" s="5">
        <f t="shared" ref="F67:F69" si="63">IF(D$12=0,0,D67/D$12)</f>
        <v>0</v>
      </c>
      <c r="G67" s="1"/>
      <c r="H67" s="1">
        <f>SUM(OSRRefH22_13x_0)</f>
        <v>0</v>
      </c>
      <c r="I67" s="1"/>
      <c r="J67" s="5">
        <f t="shared" ref="J67:J69" si="64">IF(H$12=0,0,H67/H$12)</f>
        <v>0</v>
      </c>
      <c r="K67" s="1"/>
      <c r="L67" s="1">
        <f t="shared" ref="L67:L69" si="65">+D67-H67</f>
        <v>0</v>
      </c>
      <c r="M67" s="1"/>
      <c r="N67" s="5">
        <f t="shared" ref="N67:N69" si="66">IF(H67=0,0,L67/H67)</f>
        <v>0</v>
      </c>
      <c r="O67" s="12"/>
      <c r="P67" s="1">
        <f>SUM(OSRRefP22_13x_0)</f>
        <v>0</v>
      </c>
      <c r="Q67" s="1"/>
      <c r="R67" s="5">
        <f t="shared" ref="R67:R69" si="67">IF(P$12=0,0,P67/P$12)</f>
        <v>0</v>
      </c>
      <c r="S67" s="1"/>
      <c r="T67" s="1">
        <f>SUM(OSRRefT22_13x_0)</f>
        <v>2642.69</v>
      </c>
      <c r="U67" s="1"/>
      <c r="V67" s="5">
        <f t="shared" ref="V67:V69" si="68">IF(T$12=0,0,T67/T$12)</f>
        <v>2.4725865073361958E-3</v>
      </c>
      <c r="W67" s="1"/>
      <c r="X67" s="1">
        <f t="shared" ref="X67:X69" si="69">+P67-T67</f>
        <v>-2642.69</v>
      </c>
      <c r="Y67" s="1"/>
      <c r="Z67" s="5">
        <f t="shared" ref="Z67:Z69" si="70">IF(T67=0,0,X67/T67)</f>
        <v>-1</v>
      </c>
    </row>
    <row r="68" spans="1:26" s="23" customFormat="1" hidden="1" outlineLevel="2" x14ac:dyDescent="0.25">
      <c r="A68" s="25"/>
      <c r="B68" s="10" t="str">
        <f>CONCATENATE("          ", "6258", " - ", "MEMBERSHIP DUES")</f>
        <v xml:space="preserve">          6258 - MEMBERSHIP DUES</v>
      </c>
      <c r="C68" s="10"/>
      <c r="D68" s="6"/>
      <c r="E68" s="2"/>
      <c r="F68" s="7">
        <f t="shared" si="63"/>
        <v>0</v>
      </c>
      <c r="G68" s="2"/>
      <c r="H68" s="6"/>
      <c r="I68" s="2"/>
      <c r="J68" s="7">
        <f t="shared" si="64"/>
        <v>0</v>
      </c>
      <c r="K68" s="2"/>
      <c r="L68" s="6">
        <f t="shared" si="65"/>
        <v>0</v>
      </c>
      <c r="M68" s="2"/>
      <c r="N68" s="7">
        <f t="shared" si="66"/>
        <v>0</v>
      </c>
      <c r="O68" s="10"/>
      <c r="P68" s="6"/>
      <c r="Q68" s="2"/>
      <c r="R68" s="7">
        <f t="shared" si="67"/>
        <v>0</v>
      </c>
      <c r="S68" s="2"/>
      <c r="T68" s="6">
        <v>978</v>
      </c>
      <c r="U68" s="2"/>
      <c r="V68" s="7">
        <f t="shared" si="68"/>
        <v>9.1504853167598146E-4</v>
      </c>
      <c r="W68" s="2"/>
      <c r="X68" s="6">
        <f t="shared" si="69"/>
        <v>-978</v>
      </c>
      <c r="Y68" s="2"/>
      <c r="Z68" s="7">
        <f t="shared" si="70"/>
        <v>-1</v>
      </c>
    </row>
    <row r="69" spans="1:26" s="23" customFormat="1" hidden="1" outlineLevel="2" x14ac:dyDescent="0.25">
      <c r="A69" s="25"/>
      <c r="B69" s="10" t="str">
        <f>CONCATENATE("          ", "6275", " - ", "SUBSCRIPTIONS")</f>
        <v xml:space="preserve">          6275 - SUBSCRIPTIONS</v>
      </c>
      <c r="C69" s="10"/>
      <c r="D69" s="6"/>
      <c r="E69" s="2"/>
      <c r="F69" s="7">
        <f t="shared" si="63"/>
        <v>0</v>
      </c>
      <c r="G69" s="2"/>
      <c r="H69" s="6"/>
      <c r="I69" s="2"/>
      <c r="J69" s="7">
        <f t="shared" si="64"/>
        <v>0</v>
      </c>
      <c r="K69" s="2"/>
      <c r="L69" s="6">
        <f t="shared" si="65"/>
        <v>0</v>
      </c>
      <c r="M69" s="2"/>
      <c r="N69" s="7">
        <f t="shared" si="66"/>
        <v>0</v>
      </c>
      <c r="O69" s="10"/>
      <c r="P69" s="6"/>
      <c r="Q69" s="2"/>
      <c r="R69" s="7">
        <f t="shared" si="67"/>
        <v>0</v>
      </c>
      <c r="S69" s="2"/>
      <c r="T69" s="6">
        <v>1664.69</v>
      </c>
      <c r="U69" s="2"/>
      <c r="V69" s="7">
        <f t="shared" si="68"/>
        <v>1.5575379756602144E-3</v>
      </c>
      <c r="W69" s="2"/>
      <c r="X69" s="6">
        <f t="shared" si="69"/>
        <v>-1664.69</v>
      </c>
      <c r="Y69" s="2"/>
      <c r="Z69" s="7">
        <f t="shared" si="70"/>
        <v>-1</v>
      </c>
    </row>
    <row r="70" spans="1:26" s="27" customFormat="1" outlineLevel="1" collapsed="1" x14ac:dyDescent="0.25">
      <c r="A70" s="26"/>
      <c r="B70" s="12" t="str">
        <f>CONCATENATE("     ","Supplies                                          ")</f>
        <v xml:space="preserve">     Supplies                                          </v>
      </c>
      <c r="C70" s="12"/>
      <c r="D70" s="1">
        <f>SUM(OSRRefD22_14x_0)</f>
        <v>301.64</v>
      </c>
      <c r="E70" s="1"/>
      <c r="F70" s="5">
        <f t="shared" ref="F70:F78" si="71">IF(D$12=0,0,D70/D$12)</f>
        <v>0</v>
      </c>
      <c r="G70" s="1"/>
      <c r="H70" s="1">
        <f>SUM(OSRRefH22_14x_0)</f>
        <v>0</v>
      </c>
      <c r="I70" s="1"/>
      <c r="J70" s="5">
        <f t="shared" ref="J70:J78" si="72">IF(H$12=0,0,H70/H$12)</f>
        <v>0</v>
      </c>
      <c r="K70" s="1"/>
      <c r="L70" s="1">
        <f t="shared" ref="L70:L78" si="73">+D70-H70</f>
        <v>301.64</v>
      </c>
      <c r="M70" s="1"/>
      <c r="N70" s="5">
        <f t="shared" ref="N70:N78" si="74">IF(H70=0,0,L70/H70)</f>
        <v>0</v>
      </c>
      <c r="O70" s="12"/>
      <c r="P70" s="1">
        <f>SUM(OSRRefP22_14x_0)</f>
        <v>301.64</v>
      </c>
      <c r="Q70" s="1"/>
      <c r="R70" s="5">
        <f t="shared" ref="R70:R78" si="75">IF(P$12=0,0,P70/P$12)</f>
        <v>0</v>
      </c>
      <c r="S70" s="1"/>
      <c r="T70" s="1">
        <f>SUM(OSRRefT22_14x_0)</f>
        <v>8790.9</v>
      </c>
      <c r="U70" s="1"/>
      <c r="V70" s="5">
        <f t="shared" ref="V70:V78" si="76">IF(T$12=0,0,T70/T$12)</f>
        <v>8.2250512649390435E-3</v>
      </c>
      <c r="W70" s="1"/>
      <c r="X70" s="1">
        <f t="shared" ref="X70:X78" si="77">+P70-T70</f>
        <v>-8489.26</v>
      </c>
      <c r="Y70" s="1"/>
      <c r="Z70" s="5">
        <f t="shared" ref="Z70:Z78" si="78">IF(T70=0,0,X70/T70)</f>
        <v>-0.96568724476447243</v>
      </c>
    </row>
    <row r="71" spans="1:26" s="23" customFormat="1" hidden="1" outlineLevel="2" x14ac:dyDescent="0.25">
      <c r="A71" s="25"/>
      <c r="B71" s="10" t="str">
        <f>CONCATENATE("          ", "6234", " - ", "EXPENDABLE SUPPLIES &amp; EQUIPMEN")</f>
        <v xml:space="preserve">          6234 - EXPENDABLE SUPPLIES &amp; EQUIPMEN</v>
      </c>
      <c r="C71" s="10"/>
      <c r="D71" s="6"/>
      <c r="E71" s="2"/>
      <c r="F71" s="7">
        <f t="shared" si="71"/>
        <v>0</v>
      </c>
      <c r="G71" s="2"/>
      <c r="H71" s="6"/>
      <c r="I71" s="2"/>
      <c r="J71" s="7">
        <f t="shared" si="72"/>
        <v>0</v>
      </c>
      <c r="K71" s="2"/>
      <c r="L71" s="6">
        <f t="shared" si="73"/>
        <v>0</v>
      </c>
      <c r="M71" s="2"/>
      <c r="N71" s="7">
        <f t="shared" si="74"/>
        <v>0</v>
      </c>
      <c r="O71" s="10"/>
      <c r="P71" s="6"/>
      <c r="Q71" s="2"/>
      <c r="R71" s="7">
        <f t="shared" si="75"/>
        <v>0</v>
      </c>
      <c r="S71" s="2"/>
      <c r="T71" s="6">
        <v>333.92</v>
      </c>
      <c r="U71" s="2"/>
      <c r="V71" s="7">
        <f t="shared" si="76"/>
        <v>3.1242638619350077E-4</v>
      </c>
      <c r="W71" s="2"/>
      <c r="X71" s="6">
        <f t="shared" si="77"/>
        <v>-333.92</v>
      </c>
      <c r="Y71" s="2"/>
      <c r="Z71" s="7">
        <f t="shared" si="78"/>
        <v>-1</v>
      </c>
    </row>
    <row r="72" spans="1:26" s="23" customFormat="1" hidden="1" outlineLevel="2" x14ac:dyDescent="0.25">
      <c r="A72" s="25"/>
      <c r="B72" s="10" t="str">
        <f>CONCATENATE("          ", "6237", " - ", "JANITORIAL SUPPLIES")</f>
        <v xml:space="preserve">          6237 - JANITORIAL SUPPLIES</v>
      </c>
      <c r="C72" s="10"/>
      <c r="D72" s="6"/>
      <c r="E72" s="2"/>
      <c r="F72" s="7">
        <f t="shared" si="71"/>
        <v>0</v>
      </c>
      <c r="G72" s="2"/>
      <c r="H72" s="6"/>
      <c r="I72" s="2"/>
      <c r="J72" s="7">
        <f t="shared" si="72"/>
        <v>0</v>
      </c>
      <c r="K72" s="2"/>
      <c r="L72" s="6">
        <f t="shared" si="73"/>
        <v>0</v>
      </c>
      <c r="M72" s="2"/>
      <c r="N72" s="7">
        <f t="shared" si="74"/>
        <v>0</v>
      </c>
      <c r="O72" s="10"/>
      <c r="P72" s="6"/>
      <c r="Q72" s="2"/>
      <c r="R72" s="7">
        <f t="shared" si="75"/>
        <v>0</v>
      </c>
      <c r="S72" s="2"/>
      <c r="T72" s="6">
        <v>17.62</v>
      </c>
      <c r="U72" s="2"/>
      <c r="V72" s="7">
        <f t="shared" si="76"/>
        <v>1.6485843689295292E-5</v>
      </c>
      <c r="W72" s="2"/>
      <c r="X72" s="6">
        <f t="shared" si="77"/>
        <v>-17.62</v>
      </c>
      <c r="Y72" s="2"/>
      <c r="Z72" s="7">
        <f t="shared" si="78"/>
        <v>-1</v>
      </c>
    </row>
    <row r="73" spans="1:26" s="23" customFormat="1" hidden="1" outlineLevel="2" x14ac:dyDescent="0.25">
      <c r="A73" s="25"/>
      <c r="B73" s="10" t="str">
        <f>CONCATENATE("          ", "6239", " - ", "KITCHEN SUPPLIES")</f>
        <v xml:space="preserve">          6239 - KITCHEN SUPPLIES</v>
      </c>
      <c r="C73" s="10"/>
      <c r="D73" s="6">
        <v>301.64</v>
      </c>
      <c r="E73" s="2"/>
      <c r="F73" s="7">
        <f t="shared" si="71"/>
        <v>0</v>
      </c>
      <c r="G73" s="2"/>
      <c r="H73" s="6"/>
      <c r="I73" s="2"/>
      <c r="J73" s="7">
        <f t="shared" si="72"/>
        <v>0</v>
      </c>
      <c r="K73" s="2"/>
      <c r="L73" s="6">
        <f t="shared" si="73"/>
        <v>301.64</v>
      </c>
      <c r="M73" s="2"/>
      <c r="N73" s="7">
        <f t="shared" si="74"/>
        <v>0</v>
      </c>
      <c r="O73" s="10"/>
      <c r="P73" s="6">
        <v>301.64</v>
      </c>
      <c r="Q73" s="2"/>
      <c r="R73" s="7">
        <f t="shared" si="75"/>
        <v>0</v>
      </c>
      <c r="S73" s="2"/>
      <c r="T73" s="6">
        <v>788.08</v>
      </c>
      <c r="U73" s="2"/>
      <c r="V73" s="7">
        <f t="shared" si="76"/>
        <v>7.3735321763109148E-4</v>
      </c>
      <c r="W73" s="2"/>
      <c r="X73" s="6">
        <f t="shared" si="77"/>
        <v>-486.44000000000005</v>
      </c>
      <c r="Y73" s="2"/>
      <c r="Z73" s="7">
        <f t="shared" si="78"/>
        <v>-0.61724698000203027</v>
      </c>
    </row>
    <row r="74" spans="1:26" s="23" customFormat="1" hidden="1" outlineLevel="2" x14ac:dyDescent="0.25">
      <c r="A74" s="25"/>
      <c r="B74" s="10" t="str">
        <f>CONCATENATE("          ", "6241", " - ", "OFFICE EXPENSE")</f>
        <v xml:space="preserve">          6241 - OFFICE EXPENSE</v>
      </c>
      <c r="C74" s="10"/>
      <c r="D74" s="6"/>
      <c r="E74" s="2"/>
      <c r="F74" s="7">
        <f t="shared" si="71"/>
        <v>0</v>
      </c>
      <c r="G74" s="2"/>
      <c r="H74" s="6"/>
      <c r="I74" s="2"/>
      <c r="J74" s="7">
        <f t="shared" si="72"/>
        <v>0</v>
      </c>
      <c r="K74" s="2"/>
      <c r="L74" s="6">
        <f t="shared" si="73"/>
        <v>0</v>
      </c>
      <c r="M74" s="2"/>
      <c r="N74" s="7">
        <f t="shared" si="74"/>
        <v>0</v>
      </c>
      <c r="O74" s="10"/>
      <c r="P74" s="6"/>
      <c r="Q74" s="2"/>
      <c r="R74" s="7">
        <f t="shared" si="75"/>
        <v>0</v>
      </c>
      <c r="S74" s="2"/>
      <c r="T74" s="6">
        <v>1698.1</v>
      </c>
      <c r="U74" s="2"/>
      <c r="V74" s="7">
        <f t="shared" si="76"/>
        <v>1.5887974556635829E-3</v>
      </c>
      <c r="W74" s="2"/>
      <c r="X74" s="6">
        <f t="shared" si="77"/>
        <v>-1698.1</v>
      </c>
      <c r="Y74" s="2"/>
      <c r="Z74" s="7">
        <f t="shared" si="78"/>
        <v>-1</v>
      </c>
    </row>
    <row r="75" spans="1:26" s="23" customFormat="1" hidden="1" outlineLevel="2" x14ac:dyDescent="0.25">
      <c r="A75" s="25"/>
      <c r="B75" s="10" t="str">
        <f>CONCATENATE("          ", "6243", " - ", "PAPER SUPPLIES")</f>
        <v xml:space="preserve">          6243 - PAPER SUPPLIES</v>
      </c>
      <c r="C75" s="10"/>
      <c r="D75" s="6"/>
      <c r="E75" s="2"/>
      <c r="F75" s="7">
        <f t="shared" si="71"/>
        <v>0</v>
      </c>
      <c r="G75" s="2"/>
      <c r="H75" s="6"/>
      <c r="I75" s="2"/>
      <c r="J75" s="7">
        <f t="shared" si="72"/>
        <v>0</v>
      </c>
      <c r="K75" s="2"/>
      <c r="L75" s="6">
        <f t="shared" si="73"/>
        <v>0</v>
      </c>
      <c r="M75" s="2"/>
      <c r="N75" s="7">
        <f t="shared" si="74"/>
        <v>0</v>
      </c>
      <c r="O75" s="10"/>
      <c r="P75" s="6"/>
      <c r="Q75" s="2"/>
      <c r="R75" s="7">
        <f t="shared" si="75"/>
        <v>0</v>
      </c>
      <c r="S75" s="2"/>
      <c r="T75" s="6">
        <v>3574.75</v>
      </c>
      <c r="U75" s="2"/>
      <c r="V75" s="7">
        <f t="shared" si="76"/>
        <v>3.3446520844669886E-3</v>
      </c>
      <c r="W75" s="2"/>
      <c r="X75" s="6">
        <f t="shared" si="77"/>
        <v>-3574.75</v>
      </c>
      <c r="Y75" s="2"/>
      <c r="Z75" s="7">
        <f t="shared" si="78"/>
        <v>-1</v>
      </c>
    </row>
    <row r="76" spans="1:26" s="23" customFormat="1" hidden="1" outlineLevel="2" x14ac:dyDescent="0.25">
      <c r="A76" s="25"/>
      <c r="B76" s="10" t="str">
        <f>CONCATENATE("          ", "6245", " - ", "PRINTING")</f>
        <v xml:space="preserve">          6245 - PRINTING</v>
      </c>
      <c r="C76" s="10"/>
      <c r="D76" s="6"/>
      <c r="E76" s="2"/>
      <c r="F76" s="7">
        <f t="shared" si="71"/>
        <v>0</v>
      </c>
      <c r="G76" s="2"/>
      <c r="H76" s="6"/>
      <c r="I76" s="2"/>
      <c r="J76" s="7">
        <f t="shared" si="72"/>
        <v>0</v>
      </c>
      <c r="K76" s="2"/>
      <c r="L76" s="6">
        <f t="shared" si="73"/>
        <v>0</v>
      </c>
      <c r="M76" s="2"/>
      <c r="N76" s="7">
        <f t="shared" si="74"/>
        <v>0</v>
      </c>
      <c r="O76" s="10"/>
      <c r="P76" s="6"/>
      <c r="Q76" s="2"/>
      <c r="R76" s="7">
        <f t="shared" si="75"/>
        <v>0</v>
      </c>
      <c r="S76" s="2"/>
      <c r="T76" s="6">
        <v>22.05</v>
      </c>
      <c r="U76" s="2"/>
      <c r="V76" s="7">
        <f t="shared" si="76"/>
        <v>2.0630695422756023E-5</v>
      </c>
      <c r="W76" s="2"/>
      <c r="X76" s="6">
        <f t="shared" si="77"/>
        <v>-22.05</v>
      </c>
      <c r="Y76" s="2"/>
      <c r="Z76" s="7">
        <f t="shared" si="78"/>
        <v>-1</v>
      </c>
    </row>
    <row r="77" spans="1:26" s="23" customFormat="1" hidden="1" outlineLevel="2" x14ac:dyDescent="0.25">
      <c r="A77" s="25"/>
      <c r="B77" s="10" t="str">
        <f>CONCATENATE("          ", "6247", " - ", "STORE SUPPLIES")</f>
        <v xml:space="preserve">          6247 - STORE SUPPLIES</v>
      </c>
      <c r="C77" s="10"/>
      <c r="D77" s="6"/>
      <c r="E77" s="2"/>
      <c r="F77" s="7">
        <f t="shared" si="71"/>
        <v>0</v>
      </c>
      <c r="G77" s="2"/>
      <c r="H77" s="6"/>
      <c r="I77" s="2"/>
      <c r="J77" s="7">
        <f t="shared" si="72"/>
        <v>0</v>
      </c>
      <c r="K77" s="2"/>
      <c r="L77" s="6">
        <f t="shared" si="73"/>
        <v>0</v>
      </c>
      <c r="M77" s="2"/>
      <c r="N77" s="7">
        <f t="shared" si="74"/>
        <v>0</v>
      </c>
      <c r="O77" s="10"/>
      <c r="P77" s="6"/>
      <c r="Q77" s="2"/>
      <c r="R77" s="7">
        <f t="shared" si="75"/>
        <v>0</v>
      </c>
      <c r="S77" s="2"/>
      <c r="T77" s="6">
        <v>1534.61</v>
      </c>
      <c r="U77" s="2"/>
      <c r="V77" s="7">
        <f t="shared" si="76"/>
        <v>1.4358309071526357E-3</v>
      </c>
      <c r="W77" s="2"/>
      <c r="X77" s="6">
        <f t="shared" si="77"/>
        <v>-1534.61</v>
      </c>
      <c r="Y77" s="2"/>
      <c r="Z77" s="7">
        <f t="shared" si="78"/>
        <v>-1</v>
      </c>
    </row>
    <row r="78" spans="1:26" s="23" customFormat="1" hidden="1" outlineLevel="2" x14ac:dyDescent="0.25">
      <c r="A78" s="25"/>
      <c r="B78" s="10" t="str">
        <f>CONCATENATE("          ", "6248", " - ", "UNIFORMS")</f>
        <v xml:space="preserve">          6248 - UNIFORMS</v>
      </c>
      <c r="C78" s="10"/>
      <c r="D78" s="6"/>
      <c r="E78" s="2"/>
      <c r="F78" s="7">
        <f t="shared" si="71"/>
        <v>0</v>
      </c>
      <c r="G78" s="2"/>
      <c r="H78" s="6"/>
      <c r="I78" s="2"/>
      <c r="J78" s="7">
        <f t="shared" si="72"/>
        <v>0</v>
      </c>
      <c r="K78" s="2"/>
      <c r="L78" s="6">
        <f t="shared" si="73"/>
        <v>0</v>
      </c>
      <c r="M78" s="2"/>
      <c r="N78" s="7">
        <f t="shared" si="74"/>
        <v>0</v>
      </c>
      <c r="O78" s="10"/>
      <c r="P78" s="6"/>
      <c r="Q78" s="2"/>
      <c r="R78" s="7">
        <f t="shared" si="75"/>
        <v>0</v>
      </c>
      <c r="S78" s="2"/>
      <c r="T78" s="6">
        <v>821.77</v>
      </c>
      <c r="U78" s="2"/>
      <c r="V78" s="7">
        <f t="shared" si="76"/>
        <v>7.6887467471919351E-4</v>
      </c>
      <c r="W78" s="2"/>
      <c r="X78" s="6">
        <f t="shared" si="77"/>
        <v>-821.77</v>
      </c>
      <c r="Y78" s="2"/>
      <c r="Z78" s="7">
        <f t="shared" si="78"/>
        <v>-1</v>
      </c>
    </row>
    <row r="79" spans="1:26" s="27" customFormat="1" outlineLevel="1" collapsed="1" x14ac:dyDescent="0.25">
      <c r="A79" s="26"/>
      <c r="B79" s="12" t="str">
        <f>CONCATENATE("     ","Telephone/Data Lines                              ")</f>
        <v xml:space="preserve">     Telephone/Data Lines                              </v>
      </c>
      <c r="C79" s="12"/>
      <c r="D79" s="1">
        <f>SUM(OSRRefD22_15x_0)</f>
        <v>0</v>
      </c>
      <c r="E79" s="1"/>
      <c r="F79" s="5">
        <f t="shared" ref="F79:F82" si="79">IF(D$12=0,0,D79/D$12)</f>
        <v>0</v>
      </c>
      <c r="G79" s="1"/>
      <c r="H79" s="1">
        <f>SUM(OSRRefH22_15x_0)</f>
        <v>52</v>
      </c>
      <c r="I79" s="1"/>
      <c r="J79" s="5">
        <f t="shared" ref="J79:J82" si="80">IF(H$12=0,0,H79/H$12)</f>
        <v>0</v>
      </c>
      <c r="K79" s="1"/>
      <c r="L79" s="1">
        <f t="shared" ref="L79:L82" si="81">+D79-H79</f>
        <v>-52</v>
      </c>
      <c r="M79" s="1"/>
      <c r="N79" s="5">
        <f t="shared" ref="N79:N82" si="82">IF(H79=0,0,L79/H79)</f>
        <v>-1</v>
      </c>
      <c r="O79" s="12"/>
      <c r="P79" s="1">
        <f>SUM(OSRRefP22_15x_0)</f>
        <v>250.87</v>
      </c>
      <c r="Q79" s="1"/>
      <c r="R79" s="5">
        <f t="shared" ref="R79:R82" si="83">IF(P$12=0,0,P79/P$12)</f>
        <v>0</v>
      </c>
      <c r="S79" s="1"/>
      <c r="T79" s="1">
        <f>SUM(OSRRefT22_15x_0)</f>
        <v>1618.34</v>
      </c>
      <c r="U79" s="1"/>
      <c r="V79" s="5">
        <f t="shared" ref="V79:V82" si="84">IF(T$12=0,0,T79/T$12)</f>
        <v>1.5141714118123801E-3</v>
      </c>
      <c r="W79" s="1"/>
      <c r="X79" s="1">
        <f t="shared" ref="X79:X82" si="85">+P79-T79</f>
        <v>-1367.4699999999998</v>
      </c>
      <c r="Y79" s="1"/>
      <c r="Z79" s="5">
        <f t="shared" ref="Z79:Z82" si="86">IF(T79=0,0,X79/T79)</f>
        <v>-0.84498313086248866</v>
      </c>
    </row>
    <row r="80" spans="1:26" s="23" customFormat="1" hidden="1" outlineLevel="2" x14ac:dyDescent="0.25">
      <c r="A80" s="25"/>
      <c r="B80" s="10" t="str">
        <f>CONCATENATE("          ", "6309", " - ", "TELEPHONE")</f>
        <v xml:space="preserve">          6309 - TELEPHONE</v>
      </c>
      <c r="C80" s="10"/>
      <c r="D80" s="6"/>
      <c r="E80" s="2"/>
      <c r="F80" s="7">
        <f t="shared" si="79"/>
        <v>0</v>
      </c>
      <c r="G80" s="2"/>
      <c r="H80" s="6">
        <v>52</v>
      </c>
      <c r="I80" s="2"/>
      <c r="J80" s="7">
        <f t="shared" si="80"/>
        <v>0</v>
      </c>
      <c r="K80" s="2"/>
      <c r="L80" s="6">
        <f t="shared" si="81"/>
        <v>-52</v>
      </c>
      <c r="M80" s="2"/>
      <c r="N80" s="7">
        <f t="shared" si="82"/>
        <v>-1</v>
      </c>
      <c r="O80" s="10"/>
      <c r="P80" s="6">
        <v>250.87</v>
      </c>
      <c r="Q80" s="2"/>
      <c r="R80" s="7">
        <f t="shared" si="83"/>
        <v>0</v>
      </c>
      <c r="S80" s="2"/>
      <c r="T80" s="6">
        <v>1618.34</v>
      </c>
      <c r="U80" s="2"/>
      <c r="V80" s="7">
        <f t="shared" si="84"/>
        <v>1.5141714118123801E-3</v>
      </c>
      <c r="W80" s="2"/>
      <c r="X80" s="6">
        <f t="shared" si="85"/>
        <v>-1367.4699999999998</v>
      </c>
      <c r="Y80" s="2"/>
      <c r="Z80" s="7">
        <f t="shared" si="86"/>
        <v>-0.84498313086248866</v>
      </c>
    </row>
    <row r="81" spans="1:26" s="27" customFormat="1" outlineLevel="1" collapsed="1" x14ac:dyDescent="0.25">
      <c r="A81" s="26"/>
      <c r="B81" s="12" t="str">
        <f>CONCATENATE("     ","Training                                          ")</f>
        <v xml:space="preserve">     Training                                          </v>
      </c>
      <c r="C81" s="12"/>
      <c r="D81" s="1">
        <f>SUM(OSRRefD22_16x_0)</f>
        <v>0</v>
      </c>
      <c r="E81" s="1"/>
      <c r="F81" s="5">
        <f t="shared" si="79"/>
        <v>0</v>
      </c>
      <c r="G81" s="1"/>
      <c r="H81" s="1">
        <f>SUM(OSRRefH22_16x_0)</f>
        <v>0</v>
      </c>
      <c r="I81" s="1"/>
      <c r="J81" s="5">
        <f t="shared" si="80"/>
        <v>0</v>
      </c>
      <c r="K81" s="1"/>
      <c r="L81" s="1">
        <f t="shared" si="81"/>
        <v>0</v>
      </c>
      <c r="M81" s="1"/>
      <c r="N81" s="5">
        <f t="shared" si="82"/>
        <v>0</v>
      </c>
      <c r="O81" s="12"/>
      <c r="P81" s="1">
        <f>SUM(OSRRefP22_16x_0)</f>
        <v>0</v>
      </c>
      <c r="Q81" s="1"/>
      <c r="R81" s="5">
        <f t="shared" si="83"/>
        <v>0</v>
      </c>
      <c r="S81" s="1"/>
      <c r="T81" s="1">
        <f>SUM(OSRRefT22_16x_0)</f>
        <v>279.95</v>
      </c>
      <c r="U81" s="1"/>
      <c r="V81" s="5">
        <f t="shared" si="84"/>
        <v>2.6193030311113597E-4</v>
      </c>
      <c r="W81" s="1"/>
      <c r="X81" s="1">
        <f t="shared" si="85"/>
        <v>-279.95</v>
      </c>
      <c r="Y81" s="1"/>
      <c r="Z81" s="5">
        <f t="shared" si="86"/>
        <v>-1</v>
      </c>
    </row>
    <row r="82" spans="1:26" s="23" customFormat="1" hidden="1" outlineLevel="2" x14ac:dyDescent="0.25">
      <c r="A82" s="25"/>
      <c r="B82" s="10" t="str">
        <f>CONCATENATE("          ", "6376", " - ", "TRAINING")</f>
        <v xml:space="preserve">          6376 - TRAINING</v>
      </c>
      <c r="C82" s="10"/>
      <c r="D82" s="6"/>
      <c r="E82" s="2"/>
      <c r="F82" s="7">
        <f t="shared" si="79"/>
        <v>0</v>
      </c>
      <c r="G82" s="2"/>
      <c r="H82" s="6"/>
      <c r="I82" s="2"/>
      <c r="J82" s="7">
        <f t="shared" si="80"/>
        <v>0</v>
      </c>
      <c r="K82" s="2"/>
      <c r="L82" s="6">
        <f t="shared" si="81"/>
        <v>0</v>
      </c>
      <c r="M82" s="2"/>
      <c r="N82" s="7">
        <f t="shared" si="82"/>
        <v>0</v>
      </c>
      <c r="O82" s="10"/>
      <c r="P82" s="6"/>
      <c r="Q82" s="2"/>
      <c r="R82" s="7">
        <f t="shared" si="83"/>
        <v>0</v>
      </c>
      <c r="S82" s="2"/>
      <c r="T82" s="6">
        <v>279.95</v>
      </c>
      <c r="U82" s="2"/>
      <c r="V82" s="7">
        <f t="shared" si="84"/>
        <v>2.6193030311113597E-4</v>
      </c>
      <c r="W82" s="2"/>
      <c r="X82" s="6">
        <f t="shared" si="85"/>
        <v>-279.95</v>
      </c>
      <c r="Y82" s="2"/>
      <c r="Z82" s="7">
        <f t="shared" si="86"/>
        <v>-1</v>
      </c>
    </row>
    <row r="83" spans="1:26" s="52" customFormat="1" x14ac:dyDescent="0.25">
      <c r="A83" s="37"/>
      <c r="B83" s="37"/>
      <c r="C83" s="37"/>
      <c r="D83" s="1"/>
      <c r="E83" s="1"/>
      <c r="F83" s="5"/>
      <c r="G83" s="1"/>
      <c r="H83" s="1"/>
      <c r="I83" s="1"/>
      <c r="J83" s="5"/>
      <c r="K83" s="1"/>
      <c r="L83" s="1"/>
      <c r="M83" s="1"/>
      <c r="N83" s="5"/>
      <c r="O83" s="37"/>
      <c r="P83" s="1"/>
      <c r="Q83" s="1"/>
      <c r="R83" s="5"/>
      <c r="S83" s="1"/>
      <c r="T83" s="1"/>
      <c r="U83" s="1"/>
      <c r="V83" s="5"/>
      <c r="W83" s="1"/>
      <c r="X83" s="1"/>
      <c r="Y83" s="1"/>
      <c r="Z83" s="5"/>
    </row>
    <row r="84" spans="1:26" s="24" customFormat="1" collapsed="1" x14ac:dyDescent="0.25">
      <c r="A84" s="11"/>
      <c r="B84" s="29" t="s">
        <v>292</v>
      </c>
      <c r="C84" s="11"/>
      <c r="D84" s="4">
        <f>SUM(OSRRefD25x_0)</f>
        <v>0</v>
      </c>
      <c r="E84" s="4"/>
      <c r="F84" s="13">
        <f t="shared" ref="F84:F85" si="87">IF(D$12=0,0,D84/D$12)</f>
        <v>0</v>
      </c>
      <c r="G84" s="4"/>
      <c r="H84" s="4">
        <f>SUM(OSRRefH25x_0)</f>
        <v>0</v>
      </c>
      <c r="I84" s="4"/>
      <c r="J84" s="13">
        <f t="shared" ref="J84:J85" si="88">IF(H$12=0,0,H84/H$12)</f>
        <v>0</v>
      </c>
      <c r="K84" s="4"/>
      <c r="L84" s="4">
        <f t="shared" ref="L84:L85" si="89">+D84-H84</f>
        <v>0</v>
      </c>
      <c r="M84" s="4"/>
      <c r="N84" s="13">
        <f t="shared" ref="N84:N85" si="90">IF(H84=0,0,L84/H84)</f>
        <v>0</v>
      </c>
      <c r="O84" s="11"/>
      <c r="P84" s="4">
        <f>SUM(OSRRefP25x_0)</f>
        <v>111.42</v>
      </c>
      <c r="Q84" s="4"/>
      <c r="R84" s="13">
        <f t="shared" ref="R84:R85" si="91">IF(P$12=0,0,P84/P$12)</f>
        <v>0</v>
      </c>
      <c r="S84" s="4"/>
      <c r="T84" s="4">
        <f>SUM(OSRRefT25x_0)</f>
        <v>0</v>
      </c>
      <c r="U84" s="4"/>
      <c r="V84" s="13">
        <f t="shared" ref="V84:V85" si="92">IF(T$12=0,0,T84/T$12)</f>
        <v>0</v>
      </c>
      <c r="W84" s="4"/>
      <c r="X84" s="4">
        <f t="shared" ref="X84:X85" si="93">+P84-T84</f>
        <v>111.42</v>
      </c>
      <c r="Y84" s="4"/>
      <c r="Z84" s="13">
        <f t="shared" ref="Z84:Z85" si="94">IF(T84=0,0,X84/T84)</f>
        <v>0</v>
      </c>
    </row>
    <row r="85" spans="1:26" s="23" customFormat="1" hidden="1" outlineLevel="1" x14ac:dyDescent="0.25">
      <c r="A85" s="44"/>
      <c r="B85" s="10" t="str">
        <f>CONCATENATE("          ", "9150", " - ", "MISC. INCOME")</f>
        <v xml:space="preserve">          9150 - MISC. INCOME</v>
      </c>
      <c r="C85" s="10"/>
      <c r="D85" s="2">
        <f>0</f>
        <v>0</v>
      </c>
      <c r="E85" s="2"/>
      <c r="F85" s="19">
        <f t="shared" si="87"/>
        <v>0</v>
      </c>
      <c r="G85" s="2"/>
      <c r="H85" s="2">
        <f>0</f>
        <v>0</v>
      </c>
      <c r="I85" s="2"/>
      <c r="J85" s="19">
        <f t="shared" si="88"/>
        <v>0</v>
      </c>
      <c r="K85" s="2"/>
      <c r="L85" s="2">
        <f t="shared" si="89"/>
        <v>0</v>
      </c>
      <c r="M85" s="2"/>
      <c r="N85" s="19">
        <f t="shared" si="90"/>
        <v>0</v>
      </c>
      <c r="O85" s="10"/>
      <c r="P85" s="2">
        <f>--111.42</f>
        <v>111.42</v>
      </c>
      <c r="Q85" s="2"/>
      <c r="R85" s="19">
        <f t="shared" si="91"/>
        <v>0</v>
      </c>
      <c r="S85" s="2"/>
      <c r="T85" s="2">
        <f>0</f>
        <v>0</v>
      </c>
      <c r="U85" s="2"/>
      <c r="V85" s="19">
        <f t="shared" si="92"/>
        <v>0</v>
      </c>
      <c r="W85" s="2"/>
      <c r="X85" s="2">
        <f t="shared" si="93"/>
        <v>111.42</v>
      </c>
      <c r="Y85" s="2"/>
      <c r="Z85" s="19">
        <f t="shared" si="94"/>
        <v>0</v>
      </c>
    </row>
    <row r="86" spans="1:26" x14ac:dyDescent="0.25">
      <c r="A86" s="9"/>
      <c r="B86" s="11"/>
      <c r="C86" s="11"/>
      <c r="D86" s="3"/>
      <c r="E86" s="3"/>
      <c r="F86" s="8"/>
      <c r="G86" s="3"/>
      <c r="H86" s="3"/>
      <c r="I86" s="3"/>
      <c r="J86" s="8"/>
      <c r="K86" s="3"/>
      <c r="L86" s="3"/>
      <c r="M86" s="3"/>
      <c r="N86" s="8"/>
      <c r="O86" s="11"/>
      <c r="P86" s="3"/>
      <c r="Q86" s="3"/>
      <c r="R86" s="8"/>
      <c r="S86" s="3"/>
      <c r="T86" s="3"/>
      <c r="U86" s="3"/>
      <c r="V86" s="8"/>
      <c r="W86" s="3"/>
      <c r="X86" s="3"/>
      <c r="Y86" s="3"/>
      <c r="Z86" s="8"/>
    </row>
    <row r="87" spans="1:26" s="24" customFormat="1" x14ac:dyDescent="0.25">
      <c r="A87" s="11"/>
      <c r="B87" s="28" t="s">
        <v>276</v>
      </c>
      <c r="C87" s="28"/>
      <c r="D87" s="21">
        <f>+D20-D22+D84</f>
        <v>-9992.8899999999976</v>
      </c>
      <c r="E87" s="14"/>
      <c r="F87" s="22">
        <f>IF(D$12=0,0,D87/D$12)</f>
        <v>0</v>
      </c>
      <c r="G87" s="14"/>
      <c r="H87" s="21">
        <f>+H20-H22+H84</f>
        <v>-28654.530000000002</v>
      </c>
      <c r="I87" s="14"/>
      <c r="J87" s="22">
        <f>IF(H$12=0,0,H87/H$12)</f>
        <v>0</v>
      </c>
      <c r="K87" s="15"/>
      <c r="L87" s="21">
        <f>+D87-H87</f>
        <v>18661.640000000007</v>
      </c>
      <c r="M87" s="15"/>
      <c r="N87" s="22">
        <f>IF(H87=0,0,L87/H87)</f>
        <v>-0.6512631685112269</v>
      </c>
      <c r="O87" s="29"/>
      <c r="P87" s="21">
        <f>+P20-P22+P84</f>
        <v>-97651.150000000009</v>
      </c>
      <c r="Q87" s="14"/>
      <c r="R87" s="22">
        <f>IF(P$12=0,0,P87/P$12)</f>
        <v>0</v>
      </c>
      <c r="S87" s="14"/>
      <c r="T87" s="21">
        <f>+T20-T22+T84</f>
        <v>83343.88</v>
      </c>
      <c r="U87" s="14"/>
      <c r="V87" s="22">
        <f>IF(T$12=0,0,T87/T$12)</f>
        <v>7.797923825989693E-2</v>
      </c>
      <c r="W87" s="15"/>
      <c r="X87" s="21">
        <f>+P87-T87</f>
        <v>-180995.03000000003</v>
      </c>
      <c r="Y87" s="15"/>
      <c r="Z87" s="22">
        <f>IF(T87=0,0,X87/T87)</f>
        <v>-2.1716655140125467</v>
      </c>
    </row>
    <row r="88" spans="1:26" x14ac:dyDescent="0.25">
      <c r="A88" s="9"/>
      <c r="B88" s="11"/>
      <c r="C88" s="9"/>
      <c r="D88" s="3"/>
      <c r="E88" s="3"/>
      <c r="F88" s="8"/>
      <c r="G88" s="3"/>
      <c r="H88" s="3"/>
      <c r="I88" s="3"/>
      <c r="J88" s="8"/>
      <c r="K88" s="3"/>
      <c r="L88" s="3"/>
      <c r="M88" s="3"/>
      <c r="N88" s="8"/>
      <c r="P88" s="3"/>
      <c r="Q88" s="3"/>
      <c r="R88" s="8"/>
      <c r="S88" s="3"/>
      <c r="T88" s="3"/>
      <c r="U88" s="3"/>
      <c r="V88" s="8"/>
      <c r="W88" s="3"/>
      <c r="X88" s="3"/>
      <c r="Y88" s="3"/>
      <c r="Z88" s="8"/>
    </row>
    <row r="89" spans="1:26" s="24" customFormat="1" x14ac:dyDescent="0.25">
      <c r="A89" s="51"/>
      <c r="B89" s="11" t="s">
        <v>127</v>
      </c>
      <c r="C89" s="11"/>
      <c r="D89" s="4"/>
      <c r="E89" s="4"/>
      <c r="F89" s="13">
        <f>IF(D$12=0,0,D89/D$12)</f>
        <v>0</v>
      </c>
      <c r="G89" s="4"/>
      <c r="H89" s="4">
        <v>35272.449999999997</v>
      </c>
      <c r="I89" s="4"/>
      <c r="J89" s="13">
        <f>IF(H$12=0,0,H89/H$12)</f>
        <v>0</v>
      </c>
      <c r="K89" s="4"/>
      <c r="L89" s="4">
        <f>+D89-H89</f>
        <v>-35272.449999999997</v>
      </c>
      <c r="M89" s="4"/>
      <c r="N89" s="13">
        <f>IF(H89=0,0,L89/H89)</f>
        <v>-1</v>
      </c>
      <c r="O89" s="11"/>
      <c r="P89" s="4"/>
      <c r="Q89" s="4"/>
      <c r="R89" s="13">
        <f>IF(P$12=0,0,P89/P$12)</f>
        <v>0</v>
      </c>
      <c r="S89" s="4"/>
      <c r="T89" s="4">
        <v>161839.85999999999</v>
      </c>
      <c r="U89" s="4"/>
      <c r="V89" s="13">
        <f>IF(T$12=0,0,T89/T$12)</f>
        <v>0.1514226239873685</v>
      </c>
      <c r="W89" s="4"/>
      <c r="X89" s="4">
        <f>+P89-T89</f>
        <v>-161839.85999999999</v>
      </c>
      <c r="Y89" s="4"/>
      <c r="Z89" s="13">
        <f>IF(T89=0,0,X89/T89)</f>
        <v>-1</v>
      </c>
    </row>
    <row r="90" spans="1:26" x14ac:dyDescent="0.25">
      <c r="A90" s="9"/>
      <c r="B90" s="11"/>
      <c r="C90" s="11"/>
      <c r="D90" s="3"/>
      <c r="E90" s="3"/>
      <c r="F90" s="8"/>
      <c r="G90" s="3"/>
      <c r="H90" s="3"/>
      <c r="I90" s="3"/>
      <c r="J90" s="8"/>
      <c r="K90" s="3"/>
      <c r="L90" s="3"/>
      <c r="M90" s="3"/>
      <c r="N90" s="8"/>
      <c r="O90" s="11"/>
      <c r="P90" s="3"/>
      <c r="Q90" s="3"/>
      <c r="R90" s="8"/>
      <c r="S90" s="3"/>
      <c r="T90" s="3"/>
      <c r="U90" s="3"/>
      <c r="V90" s="8"/>
      <c r="W90" s="3"/>
      <c r="X90" s="3"/>
      <c r="Y90" s="3"/>
      <c r="Z90" s="8"/>
    </row>
    <row r="91" spans="1:26" s="24" customFormat="1" ht="15.75" thickBot="1" x14ac:dyDescent="0.3">
      <c r="A91" s="11"/>
      <c r="B91" s="28" t="s">
        <v>125</v>
      </c>
      <c r="C91" s="28"/>
      <c r="D91" s="34">
        <f>+D87-D89</f>
        <v>-9992.8899999999976</v>
      </c>
      <c r="E91" s="14"/>
      <c r="F91" s="31">
        <f>IF(D$12=0,0,D91/D$12)</f>
        <v>0</v>
      </c>
      <c r="G91" s="14"/>
      <c r="H91" s="34">
        <f>+H87-H89</f>
        <v>-63926.979999999996</v>
      </c>
      <c r="I91" s="14"/>
      <c r="J91" s="31">
        <f>IF(H$12=0,0,H91/H$12)</f>
        <v>0</v>
      </c>
      <c r="K91" s="15"/>
      <c r="L91" s="34">
        <f>D91-H91</f>
        <v>53934.09</v>
      </c>
      <c r="M91" s="15"/>
      <c r="N91" s="31">
        <f>IF(H91=0,0,L91/H91)</f>
        <v>-0.84368274553248102</v>
      </c>
      <c r="O91" s="29"/>
      <c r="P91" s="34">
        <f>+P87-P89</f>
        <v>-97651.150000000009</v>
      </c>
      <c r="Q91" s="14"/>
      <c r="R91" s="31">
        <f>IF(P$12=0,0,P91/P$12)</f>
        <v>0</v>
      </c>
      <c r="S91" s="14"/>
      <c r="T91" s="34">
        <f>+T87-T89</f>
        <v>-78495.979999999981</v>
      </c>
      <c r="U91" s="14"/>
      <c r="V91" s="31">
        <f>IF(T$12=0,0,T91/T$12)</f>
        <v>-7.3443385727471569E-2</v>
      </c>
      <c r="W91" s="15"/>
      <c r="X91" s="34">
        <f>P91-T91</f>
        <v>-19155.170000000027</v>
      </c>
      <c r="Y91" s="15"/>
      <c r="Z91" s="31">
        <f>IF(T91=0,0,X91/T91)</f>
        <v>0.24402740114844138</v>
      </c>
    </row>
    <row r="92" spans="1:26" ht="15.75" thickTop="1" x14ac:dyDescent="0.25">
      <c r="A92" s="9"/>
      <c r="B92" s="9"/>
      <c r="C92" s="9"/>
      <c r="D92" s="3"/>
      <c r="E92" s="3"/>
      <c r="F92" s="8"/>
      <c r="G92" s="3"/>
      <c r="H92" s="3"/>
      <c r="I92" s="3"/>
      <c r="J92" s="8"/>
      <c r="K92" s="3"/>
      <c r="L92" s="3"/>
      <c r="M92" s="3"/>
      <c r="N92" s="8"/>
      <c r="P92" s="3"/>
      <c r="Q92" s="3"/>
      <c r="R92" s="8"/>
      <c r="S92" s="3"/>
      <c r="T92" s="3"/>
      <c r="U92" s="3"/>
      <c r="V92" s="8"/>
      <c r="W92" s="3"/>
      <c r="X92" s="3"/>
      <c r="Y92" s="3"/>
      <c r="Z92" s="8"/>
    </row>
    <row r="93" spans="1:26" x14ac:dyDescent="0.25">
      <c r="A93" s="9"/>
      <c r="B93" s="9"/>
      <c r="C93" s="9"/>
      <c r="D93" s="3"/>
      <c r="E93" s="3"/>
      <c r="F93" s="8"/>
      <c r="G93" s="3"/>
      <c r="H93" s="3"/>
      <c r="I93" s="3"/>
      <c r="J93" s="8"/>
      <c r="K93" s="3"/>
      <c r="L93" s="3"/>
      <c r="M93" s="3"/>
      <c r="N93" s="8"/>
      <c r="P93" s="3"/>
      <c r="Q93" s="3"/>
      <c r="R93" s="8"/>
      <c r="S93" s="3"/>
      <c r="T93" s="3"/>
      <c r="U93" s="3"/>
      <c r="V93" s="8"/>
      <c r="W93" s="3"/>
      <c r="X93" s="3"/>
      <c r="Y93" s="3"/>
      <c r="Z93" s="8"/>
    </row>
    <row r="94" spans="1:26" s="24" customFormat="1" ht="15.75" thickBot="1" x14ac:dyDescent="0.3">
      <c r="A94" s="11"/>
      <c r="B94" s="28" t="s">
        <v>293</v>
      </c>
      <c r="C94" s="28"/>
      <c r="D94" s="33">
        <f>SUM(D91:D93)</f>
        <v>-9992.8899999999976</v>
      </c>
      <c r="E94" s="14"/>
      <c r="F94" s="35">
        <f>IF(D$12=0,0,D94/D$12)</f>
        <v>0</v>
      </c>
      <c r="G94" s="14"/>
      <c r="H94" s="33">
        <f>SUM(H91:H93)</f>
        <v>-63926.979999999996</v>
      </c>
      <c r="I94" s="14"/>
      <c r="J94" s="35">
        <f>IF(H$12=0,0,H94/H$12)</f>
        <v>0</v>
      </c>
      <c r="K94" s="15"/>
      <c r="L94" s="33">
        <f>+D94-H94</f>
        <v>53934.09</v>
      </c>
      <c r="M94" s="15"/>
      <c r="N94" s="35">
        <f>IF(H94=0,0,L94/H94)</f>
        <v>-0.84368274553248102</v>
      </c>
      <c r="O94" s="29"/>
      <c r="P94" s="33">
        <f>SUM(P91:P93)</f>
        <v>-97651.150000000009</v>
      </c>
      <c r="Q94" s="14"/>
      <c r="R94" s="35">
        <f>IF(P$12=0,0,P94/P$12)</f>
        <v>0</v>
      </c>
      <c r="S94" s="14"/>
      <c r="T94" s="33">
        <f>SUM(T91:T93)</f>
        <v>-78495.979999999981</v>
      </c>
      <c r="U94" s="14"/>
      <c r="V94" s="35">
        <f>IF(T$12=0,0,T94/T$12)</f>
        <v>-7.3443385727471569E-2</v>
      </c>
      <c r="W94" s="15"/>
      <c r="X94" s="33">
        <f>+P94-T94</f>
        <v>-19155.170000000027</v>
      </c>
      <c r="Y94" s="15"/>
      <c r="Z94" s="35">
        <f>IF(T94=0,0,X94/T94)</f>
        <v>0.24402740114844138</v>
      </c>
    </row>
    <row r="95" spans="1:26" ht="15.75" thickTop="1" x14ac:dyDescent="0.25">
      <c r="A95" s="9"/>
      <c r="C95" s="9"/>
      <c r="D95" s="18"/>
      <c r="E95" s="18"/>
      <c r="G95" s="18"/>
      <c r="H95" s="18"/>
      <c r="I95" s="18"/>
      <c r="J95" s="43"/>
      <c r="K95" s="18"/>
      <c r="L95" s="18"/>
      <c r="M95" s="18"/>
      <c r="P95" s="18"/>
      <c r="Q95" s="18"/>
      <c r="R95" s="43"/>
      <c r="S95" s="18"/>
      <c r="T95" s="18"/>
      <c r="U95" s="18"/>
      <c r="V95" s="43"/>
      <c r="W95" s="18"/>
      <c r="X95" s="18"/>
    </row>
    <row r="96" spans="1:26" x14ac:dyDescent="0.25">
      <c r="A96" s="9"/>
      <c r="B96" s="56">
        <v>44454.698585613427</v>
      </c>
      <c r="D96" s="18"/>
      <c r="E96" s="18"/>
      <c r="G96" s="18"/>
      <c r="H96" s="18"/>
      <c r="I96" s="18"/>
      <c r="J96" s="43"/>
      <c r="K96" s="18"/>
      <c r="L96" s="18"/>
      <c r="M96" s="18"/>
      <c r="P96" s="18"/>
      <c r="Q96" s="18"/>
      <c r="R96" s="43"/>
      <c r="S96" s="18"/>
      <c r="T96" s="18"/>
      <c r="U96" s="18"/>
      <c r="V96" s="43"/>
      <c r="W96" s="18"/>
      <c r="X96" s="18"/>
    </row>
    <row r="97" spans="1:24" x14ac:dyDescent="0.25">
      <c r="A97" s="9"/>
      <c r="B97" s="55" t="s">
        <v>56</v>
      </c>
      <c r="D97" s="18"/>
      <c r="E97" s="18"/>
      <c r="G97" s="18"/>
      <c r="H97" s="18"/>
      <c r="I97" s="18"/>
      <c r="J97" s="43"/>
      <c r="K97" s="18"/>
      <c r="L97" s="18"/>
      <c r="M97" s="18"/>
      <c r="P97" s="18"/>
      <c r="Q97" s="18"/>
      <c r="R97" s="43"/>
      <c r="S97" s="18"/>
      <c r="T97" s="18"/>
      <c r="U97" s="18"/>
      <c r="V97" s="43"/>
      <c r="W97" s="18"/>
      <c r="X97" s="18"/>
    </row>
    <row r="98" spans="1:24" x14ac:dyDescent="0.25">
      <c r="A98" s="9"/>
      <c r="B98" s="60"/>
      <c r="D98" s="18"/>
      <c r="E98" s="18"/>
      <c r="G98" s="18"/>
      <c r="H98" s="18"/>
      <c r="I98" s="18"/>
      <c r="J98" s="43"/>
      <c r="K98" s="18"/>
      <c r="L98" s="18"/>
      <c r="M98" s="18"/>
      <c r="P98" s="18"/>
      <c r="Q98" s="18"/>
      <c r="R98" s="43"/>
      <c r="S98" s="18"/>
      <c r="T98" s="18"/>
      <c r="U98" s="18"/>
      <c r="V98" s="43"/>
      <c r="W98" s="18"/>
      <c r="X98" s="18"/>
    </row>
    <row r="99" spans="1:24" x14ac:dyDescent="0.25">
      <c r="D99" s="18"/>
      <c r="E99" s="18"/>
      <c r="G99" s="18"/>
      <c r="H99" s="18"/>
      <c r="I99" s="18"/>
      <c r="J99" s="43"/>
      <c r="K99" s="18"/>
      <c r="L99" s="18"/>
      <c r="M99" s="18"/>
      <c r="P99" s="18"/>
      <c r="Q99" s="18"/>
      <c r="R99" s="43"/>
      <c r="S99" s="18"/>
      <c r="T99" s="18"/>
      <c r="U99" s="18"/>
      <c r="V99" s="43"/>
      <c r="W99" s="18"/>
      <c r="X99" s="18"/>
    </row>
  </sheetData>
  <pageMargins left="0.25" right="0.25" top="0.75" bottom="0.75" header="0.3" footer="0.3"/>
  <pageSetup scale="55" fitToWidth="2" orientation="landscape"/>
  <drawing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>
    <tabColor rgb="FF92D050"/>
    <outlinePr summaryBelow="0" summaryRight="0"/>
  </sheetPr>
  <dimension ref="A2:Z65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62" t="s">
        <v>23</v>
      </c>
    </row>
    <row r="3" spans="1:26" x14ac:dyDescent="0.25">
      <c r="D3" s="62" t="s">
        <v>236</v>
      </c>
      <c r="E3" s="17"/>
      <c r="F3" s="46"/>
      <c r="G3" s="17"/>
      <c r="H3" s="17"/>
      <c r="I3" s="17"/>
      <c r="J3" s="38"/>
      <c r="K3" s="17"/>
      <c r="L3" s="17"/>
      <c r="M3" s="17"/>
      <c r="N3" s="46"/>
      <c r="O3" s="53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2" t="str">
        <f>CONCATENATE("Period ",RIGHT(202112,2),", ",2021)</f>
        <v>Period 12, 2021</v>
      </c>
      <c r="E4" s="17"/>
      <c r="F4" s="46"/>
      <c r="G4" s="17"/>
      <c r="H4" s="17"/>
      <c r="I4" s="17"/>
      <c r="J4" s="38"/>
      <c r="K4" s="17"/>
      <c r="L4" s="17"/>
      <c r="M4" s="17"/>
      <c r="N4" s="46"/>
      <c r="O4" s="53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4"/>
      <c r="D5" s="63">
        <v>44377</v>
      </c>
      <c r="E5" s="17"/>
      <c r="F5" s="46"/>
      <c r="G5" s="17"/>
      <c r="H5" s="17"/>
      <c r="I5" s="17"/>
      <c r="J5" s="38"/>
      <c r="K5" s="17"/>
      <c r="L5" s="17"/>
      <c r="M5" s="17"/>
      <c r="N5" s="46"/>
      <c r="O5" s="53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4"/>
      <c r="B6" s="48"/>
      <c r="C6" s="48"/>
      <c r="D6" s="24" t="str">
        <f>CONCATENATE("Department ","420", " - ", "Catering")</f>
        <v>Department 420 - Catering</v>
      </c>
      <c r="E6" s="17"/>
      <c r="F6" s="46"/>
      <c r="G6" s="17"/>
      <c r="H6" s="17"/>
      <c r="I6" s="17"/>
      <c r="J6" s="38"/>
      <c r="K6" s="17"/>
      <c r="L6" s="17"/>
      <c r="M6" s="17"/>
      <c r="N6" s="46"/>
      <c r="O6" s="54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9"/>
    </row>
    <row r="8" spans="1:26" x14ac:dyDescent="0.25">
      <c r="B8" s="59"/>
    </row>
    <row r="9" spans="1:26" x14ac:dyDescent="0.25">
      <c r="B9" s="9"/>
      <c r="C9" s="9"/>
      <c r="D9" s="16" t="s">
        <v>291</v>
      </c>
      <c r="E9" s="16"/>
      <c r="F9" s="39"/>
      <c r="G9" s="16"/>
      <c r="H9" s="16"/>
      <c r="I9" s="16"/>
      <c r="J9" s="49"/>
      <c r="K9" s="16"/>
      <c r="L9" s="16"/>
      <c r="M9" s="16"/>
      <c r="N9" s="39"/>
      <c r="P9" s="16" t="s">
        <v>39</v>
      </c>
      <c r="Q9" s="16"/>
      <c r="R9" s="39"/>
      <c r="S9" s="16"/>
      <c r="T9" s="16"/>
      <c r="U9" s="16"/>
      <c r="V9" s="49"/>
      <c r="W9" s="16"/>
      <c r="X9" s="16"/>
      <c r="Y9" s="16"/>
      <c r="Z9" s="39"/>
    </row>
    <row r="10" spans="1:26" x14ac:dyDescent="0.25">
      <c r="A10" s="11"/>
      <c r="B10" s="58"/>
      <c r="C10" s="11"/>
      <c r="D10" s="42" t="s">
        <v>57</v>
      </c>
      <c r="E10" s="36"/>
      <c r="F10" s="30" t="s">
        <v>40</v>
      </c>
      <c r="G10" s="36"/>
      <c r="H10" s="50" t="s">
        <v>237</v>
      </c>
      <c r="I10" s="36"/>
      <c r="J10" s="30" t="s">
        <v>40</v>
      </c>
      <c r="K10" s="11"/>
      <c r="L10" s="42" t="s">
        <v>126</v>
      </c>
      <c r="M10" s="11"/>
      <c r="N10" s="30" t="s">
        <v>257</v>
      </c>
      <c r="O10" s="11"/>
      <c r="P10" s="61" t="s">
        <v>57</v>
      </c>
      <c r="Q10" s="36"/>
      <c r="R10" s="30" t="s">
        <v>40</v>
      </c>
      <c r="S10" s="36"/>
      <c r="T10" s="50" t="s">
        <v>237</v>
      </c>
      <c r="U10" s="36"/>
      <c r="V10" s="30" t="s">
        <v>40</v>
      </c>
      <c r="W10" s="11"/>
      <c r="X10" s="42" t="s">
        <v>126</v>
      </c>
      <c r="Y10" s="11"/>
      <c r="Z10" s="30" t="s">
        <v>257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4" customFormat="1" collapsed="1" x14ac:dyDescent="0.25">
      <c r="A12" s="11"/>
      <c r="B12" s="29" t="s">
        <v>139</v>
      </c>
      <c r="C12" s="11"/>
      <c r="D12" s="4">
        <f>SUM(OSRRefD13x_0)</f>
        <v>49632.639999999999</v>
      </c>
      <c r="E12" s="4"/>
      <c r="F12" s="13"/>
      <c r="G12" s="4"/>
      <c r="H12" s="4">
        <f>SUM(OSRRefH13x_0)</f>
        <v>0</v>
      </c>
      <c r="I12" s="4"/>
      <c r="J12" s="13"/>
      <c r="K12" s="4"/>
      <c r="L12" s="4">
        <f t="shared" ref="L12:L14" si="0">+D12-H12</f>
        <v>49632.639999999999</v>
      </c>
      <c r="M12" s="4"/>
      <c r="N12" s="13">
        <f t="shared" ref="N12:N14" si="1">IF(H12=0,0,L12/H12)</f>
        <v>0</v>
      </c>
      <c r="O12" s="11"/>
      <c r="P12" s="4">
        <f>SUM(OSRRefP13x_0)</f>
        <v>489866.6</v>
      </c>
      <c r="Q12" s="4"/>
      <c r="R12" s="13"/>
      <c r="S12" s="4"/>
      <c r="T12" s="4">
        <f>SUM(OSRRefT13x_0)</f>
        <v>211082.08000000002</v>
      </c>
      <c r="U12" s="4"/>
      <c r="V12" s="13"/>
      <c r="W12" s="4"/>
      <c r="X12" s="4">
        <f t="shared" ref="X12:X14" si="2">+P12-T12</f>
        <v>278784.51999999996</v>
      </c>
      <c r="Y12" s="4"/>
      <c r="Z12" s="13">
        <f t="shared" ref="Z12:Z14" si="3">IF(T12=0,0,X12/T12)</f>
        <v>1.3207398752182087</v>
      </c>
    </row>
    <row r="13" spans="1:26" s="23" customFormat="1" hidden="1" outlineLevel="1" x14ac:dyDescent="0.25">
      <c r="A13" s="44"/>
      <c r="B13" s="10" t="str">
        <f>CONCATENATE("          ", "4052", " - ", "TAXABLE SALES-FOOD")</f>
        <v xml:space="preserve">          4052 - TAXABLE SALES-FOOD</v>
      </c>
      <c r="C13" s="10"/>
      <c r="D13" s="2">
        <f>--61213.59</f>
        <v>61213.59</v>
      </c>
      <c r="E13" s="2"/>
      <c r="F13" s="19"/>
      <c r="G13" s="2"/>
      <c r="H13" s="2">
        <f t="shared" ref="H13:H14" si="4">0</f>
        <v>0</v>
      </c>
      <c r="I13" s="2"/>
      <c r="J13" s="19"/>
      <c r="K13" s="2"/>
      <c r="L13" s="2">
        <f t="shared" si="0"/>
        <v>61213.59</v>
      </c>
      <c r="M13" s="2"/>
      <c r="N13" s="19">
        <f t="shared" si="1"/>
        <v>0</v>
      </c>
      <c r="O13" s="10"/>
      <c r="P13" s="2">
        <f>--489866.6</f>
        <v>489866.6</v>
      </c>
      <c r="Q13" s="2"/>
      <c r="R13" s="19"/>
      <c r="S13" s="2"/>
      <c r="T13" s="2">
        <f>--210141.41</f>
        <v>210141.41</v>
      </c>
      <c r="U13" s="2"/>
      <c r="V13" s="19"/>
      <c r="W13" s="2"/>
      <c r="X13" s="2">
        <f t="shared" si="2"/>
        <v>279725.18999999994</v>
      </c>
      <c r="Y13" s="2"/>
      <c r="Z13" s="19">
        <f t="shared" si="3"/>
        <v>1.3311283578043944</v>
      </c>
    </row>
    <row r="14" spans="1:26" s="23" customFormat="1" hidden="1" outlineLevel="1" x14ac:dyDescent="0.25">
      <c r="A14" s="44"/>
      <c r="B14" s="10" t="str">
        <f>CONCATENATE("          ", "4152", " - ", "NON-TAXABLE SALES-FOOD")</f>
        <v xml:space="preserve">          4152 - NON-TAXABLE SALES-FOOD</v>
      </c>
      <c r="C14" s="10"/>
      <c r="D14" s="2">
        <f>-11580.95</f>
        <v>-11580.95</v>
      </c>
      <c r="E14" s="2"/>
      <c r="F14" s="19"/>
      <c r="G14" s="2"/>
      <c r="H14" s="2">
        <f t="shared" si="4"/>
        <v>0</v>
      </c>
      <c r="I14" s="2"/>
      <c r="J14" s="19"/>
      <c r="K14" s="2"/>
      <c r="L14" s="2">
        <f t="shared" si="0"/>
        <v>-11580.95</v>
      </c>
      <c r="M14" s="2"/>
      <c r="N14" s="19">
        <f t="shared" si="1"/>
        <v>0</v>
      </c>
      <c r="O14" s="10"/>
      <c r="P14" s="2">
        <f>0</f>
        <v>0</v>
      </c>
      <c r="Q14" s="2"/>
      <c r="R14" s="19"/>
      <c r="S14" s="2"/>
      <c r="T14" s="2">
        <f>--940.67</f>
        <v>940.67</v>
      </c>
      <c r="U14" s="2"/>
      <c r="V14" s="19"/>
      <c r="W14" s="2"/>
      <c r="X14" s="2">
        <f t="shared" si="2"/>
        <v>-940.67</v>
      </c>
      <c r="Y14" s="2"/>
      <c r="Z14" s="19">
        <f t="shared" si="3"/>
        <v>-1</v>
      </c>
    </row>
    <row r="15" spans="1:26" x14ac:dyDescent="0.25">
      <c r="A15" s="9"/>
      <c r="B15" s="11"/>
      <c r="C15" s="9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4" customFormat="1" collapsed="1" x14ac:dyDescent="0.25">
      <c r="A16" s="11"/>
      <c r="B16" s="29" t="s">
        <v>256</v>
      </c>
      <c r="C16" s="11"/>
      <c r="D16" s="4">
        <f>SUM(OSRRefD16x_0)</f>
        <v>0</v>
      </c>
      <c r="E16" s="4"/>
      <c r="F16" s="13">
        <f t="shared" ref="F16:F18" si="5">IF(D$12=0,0,D16/D$12)</f>
        <v>0</v>
      </c>
      <c r="G16" s="4"/>
      <c r="H16" s="4">
        <f>SUM(OSRRefH16x_0)</f>
        <v>0</v>
      </c>
      <c r="I16" s="4"/>
      <c r="J16" s="13">
        <f t="shared" ref="J16:J18" si="6">IF(H$12=0,0,H16/H$12)</f>
        <v>0</v>
      </c>
      <c r="K16" s="4"/>
      <c r="L16" s="4">
        <f t="shared" ref="L16:L18" si="7">+D16-H16</f>
        <v>0</v>
      </c>
      <c r="M16" s="4"/>
      <c r="N16" s="13">
        <f t="shared" ref="N16:N18" si="8">IF(H16=0,0,L16/H16)</f>
        <v>0</v>
      </c>
      <c r="O16" s="11"/>
      <c r="P16" s="4">
        <f>SUM(OSRRefP16x_0)</f>
        <v>0</v>
      </c>
      <c r="Q16" s="4"/>
      <c r="R16" s="13">
        <f t="shared" ref="R16:R18" si="9">IF(P$12=0,0,P16/P$12)</f>
        <v>0</v>
      </c>
      <c r="S16" s="4"/>
      <c r="T16" s="4">
        <f>SUM(OSRRefT16x_0)</f>
        <v>9795.24</v>
      </c>
      <c r="U16" s="4"/>
      <c r="V16" s="13">
        <f t="shared" ref="V16:V18" si="10">IF(T$12=0,0,T16/T$12)</f>
        <v>4.6404886667783446E-2</v>
      </c>
      <c r="W16" s="4"/>
      <c r="X16" s="4">
        <f t="shared" ref="X16:X18" si="11">+P16-T16</f>
        <v>-9795.24</v>
      </c>
      <c r="Y16" s="4"/>
      <c r="Z16" s="13">
        <f t="shared" ref="Z16:Z18" si="12">IF(T16=0,0,X16/T16)</f>
        <v>-1</v>
      </c>
    </row>
    <row r="17" spans="1:26" s="23" customFormat="1" hidden="1" outlineLevel="1" x14ac:dyDescent="0.25">
      <c r="A17" s="44"/>
      <c r="B17" s="10" t="str">
        <f>CONCATENATE("          ", "5053", " - ", "PURCHASES @ COST-FOOD")</f>
        <v xml:space="preserve">          5053 - PURCHASES @ COST-FOOD</v>
      </c>
      <c r="C17" s="10"/>
      <c r="D17" s="2"/>
      <c r="E17" s="2"/>
      <c r="F17" s="19">
        <f t="shared" si="5"/>
        <v>0</v>
      </c>
      <c r="G17" s="2"/>
      <c r="H17" s="2"/>
      <c r="I17" s="2"/>
      <c r="J17" s="19">
        <f t="shared" si="6"/>
        <v>0</v>
      </c>
      <c r="K17" s="2"/>
      <c r="L17" s="2">
        <f t="shared" si="7"/>
        <v>0</v>
      </c>
      <c r="M17" s="2"/>
      <c r="N17" s="19">
        <f t="shared" si="8"/>
        <v>0</v>
      </c>
      <c r="O17" s="10"/>
      <c r="P17" s="2"/>
      <c r="Q17" s="2"/>
      <c r="R17" s="19">
        <f t="shared" si="9"/>
        <v>0</v>
      </c>
      <c r="S17" s="2"/>
      <c r="T17" s="2">
        <v>373.24</v>
      </c>
      <c r="U17" s="2"/>
      <c r="V17" s="19">
        <f t="shared" si="10"/>
        <v>1.7682221058272687E-3</v>
      </c>
      <c r="W17" s="2"/>
      <c r="X17" s="2">
        <f t="shared" si="11"/>
        <v>-373.24</v>
      </c>
      <c r="Y17" s="2"/>
      <c r="Z17" s="19">
        <f t="shared" si="12"/>
        <v>-1</v>
      </c>
    </row>
    <row r="18" spans="1:26" s="23" customFormat="1" hidden="1" outlineLevel="1" x14ac:dyDescent="0.25">
      <c r="A18" s="44"/>
      <c r="B18" s="10" t="str">
        <f>CONCATENATE("          ", "5059", " - ", "PURCHASES @ COST-FOOD")</f>
        <v xml:space="preserve">          5059 - PURCHASES @ COST-FOOD</v>
      </c>
      <c r="C18" s="10"/>
      <c r="D18" s="2"/>
      <c r="E18" s="2"/>
      <c r="F18" s="19">
        <f t="shared" si="5"/>
        <v>0</v>
      </c>
      <c r="G18" s="2"/>
      <c r="H18" s="2"/>
      <c r="I18" s="2"/>
      <c r="J18" s="19">
        <f t="shared" si="6"/>
        <v>0</v>
      </c>
      <c r="K18" s="2"/>
      <c r="L18" s="2">
        <f t="shared" si="7"/>
        <v>0</v>
      </c>
      <c r="M18" s="2"/>
      <c r="N18" s="19">
        <f t="shared" si="8"/>
        <v>0</v>
      </c>
      <c r="O18" s="10"/>
      <c r="P18" s="2"/>
      <c r="Q18" s="2"/>
      <c r="R18" s="19">
        <f t="shared" si="9"/>
        <v>0</v>
      </c>
      <c r="S18" s="2"/>
      <c r="T18" s="2">
        <v>9422</v>
      </c>
      <c r="U18" s="2"/>
      <c r="V18" s="19">
        <f t="shared" si="10"/>
        <v>4.4636664561956182E-2</v>
      </c>
      <c r="W18" s="2"/>
      <c r="X18" s="2">
        <f t="shared" si="11"/>
        <v>-9422</v>
      </c>
      <c r="Y18" s="2"/>
      <c r="Z18" s="19">
        <f t="shared" si="12"/>
        <v>-1</v>
      </c>
    </row>
    <row r="19" spans="1:26" x14ac:dyDescent="0.25">
      <c r="A19" s="9"/>
      <c r="B19" s="11"/>
      <c r="C19" s="11"/>
      <c r="D19" s="3"/>
      <c r="E19" s="3"/>
      <c r="F19" s="8"/>
      <c r="G19" s="3"/>
      <c r="H19" s="3"/>
      <c r="I19" s="3"/>
      <c r="J19" s="8"/>
      <c r="K19" s="3"/>
      <c r="L19" s="3"/>
      <c r="M19" s="3"/>
      <c r="N19" s="8"/>
      <c r="O19" s="11"/>
      <c r="P19" s="3"/>
      <c r="Q19" s="3"/>
      <c r="R19" s="8"/>
      <c r="S19" s="3"/>
      <c r="T19" s="3"/>
      <c r="U19" s="3"/>
      <c r="V19" s="8"/>
      <c r="W19" s="3"/>
      <c r="X19" s="3"/>
      <c r="Y19" s="3"/>
      <c r="Z19" s="8"/>
    </row>
    <row r="20" spans="1:26" s="24" customFormat="1" x14ac:dyDescent="0.25">
      <c r="A20" s="11"/>
      <c r="B20" s="28" t="s">
        <v>107</v>
      </c>
      <c r="C20" s="28"/>
      <c r="D20" s="21">
        <f>D12-D16</f>
        <v>49632.639999999999</v>
      </c>
      <c r="E20" s="14"/>
      <c r="F20" s="22">
        <f>IF(D$12=0,0,D20/D$12)</f>
        <v>1</v>
      </c>
      <c r="G20" s="14"/>
      <c r="H20" s="21">
        <f>H12-H16</f>
        <v>0</v>
      </c>
      <c r="I20" s="14"/>
      <c r="J20" s="22">
        <f>IF(H$12=0,0,H20/H$12)</f>
        <v>0</v>
      </c>
      <c r="K20" s="15"/>
      <c r="L20" s="21">
        <f>+D20-H20</f>
        <v>49632.639999999999</v>
      </c>
      <c r="M20" s="15"/>
      <c r="N20" s="22">
        <f>IF(H20=0,0,L20/H20)</f>
        <v>0</v>
      </c>
      <c r="O20" s="29"/>
      <c r="P20" s="21">
        <f>P12-P16</f>
        <v>489866.6</v>
      </c>
      <c r="Q20" s="14"/>
      <c r="R20" s="22">
        <f>IF(P$12=0,0,P20/P$12)</f>
        <v>1</v>
      </c>
      <c r="S20" s="14"/>
      <c r="T20" s="21">
        <f>T12-T16</f>
        <v>201286.84000000003</v>
      </c>
      <c r="U20" s="14"/>
      <c r="V20" s="22">
        <f>IF(T$12=0,0,T20/T$12)</f>
        <v>0.95359511333221658</v>
      </c>
      <c r="W20" s="15"/>
      <c r="X20" s="21">
        <f>+P20-T20</f>
        <v>288579.75999999995</v>
      </c>
      <c r="Y20" s="15"/>
      <c r="Z20" s="22">
        <f>IF(T20=0,0,X20/T20)</f>
        <v>1.4336742531205713</v>
      </c>
    </row>
    <row r="21" spans="1:26" x14ac:dyDescent="0.25">
      <c r="A21" s="9"/>
      <c r="B21" s="11"/>
      <c r="C21" s="9"/>
      <c r="D21" s="1"/>
      <c r="E21" s="1"/>
      <c r="F21" s="5"/>
      <c r="G21" s="1"/>
      <c r="H21" s="1"/>
      <c r="I21" s="1"/>
      <c r="J21" s="5"/>
      <c r="K21" s="1"/>
      <c r="L21" s="1"/>
      <c r="M21" s="1"/>
      <c r="N21" s="5"/>
      <c r="O21" s="37"/>
      <c r="P21" s="1"/>
      <c r="Q21" s="1"/>
      <c r="R21" s="5"/>
      <c r="S21" s="1"/>
      <c r="T21" s="1"/>
      <c r="U21" s="1"/>
      <c r="V21" s="5"/>
      <c r="W21" s="1"/>
      <c r="X21" s="1"/>
      <c r="Y21" s="1"/>
      <c r="Z21" s="5"/>
    </row>
    <row r="22" spans="1:26" s="24" customFormat="1" x14ac:dyDescent="0.25">
      <c r="A22" s="11"/>
      <c r="B22" s="29" t="s">
        <v>294</v>
      </c>
      <c r="C22" s="11"/>
      <c r="D22" s="20">
        <f>SUM(OSRRefD22x_0)</f>
        <v>0</v>
      </c>
      <c r="E22" s="20"/>
      <c r="F22" s="32">
        <f t="shared" ref="F22:F31" si="13">IF(D$12=0,0,D22/D$12)</f>
        <v>0</v>
      </c>
      <c r="G22" s="20"/>
      <c r="H22" s="20">
        <f>SUM(OSRRefH22x_0)</f>
        <v>-538.16</v>
      </c>
      <c r="I22" s="20"/>
      <c r="J22" s="32">
        <f t="shared" ref="J22:J31" si="14">IF(H$12=0,0,H22/H$12)</f>
        <v>0</v>
      </c>
      <c r="K22" s="4"/>
      <c r="L22" s="20">
        <f t="shared" ref="L22:L31" si="15">+D22-H22</f>
        <v>538.16</v>
      </c>
      <c r="M22" s="4"/>
      <c r="N22" s="32">
        <f t="shared" ref="N22:N31" si="16">IF(H22=0,0,L22/H22)</f>
        <v>-1</v>
      </c>
      <c r="O22" s="11"/>
      <c r="P22" s="20">
        <f>SUM(OSRRefP22x_0)</f>
        <v>349.08000000000004</v>
      </c>
      <c r="Q22" s="20"/>
      <c r="R22" s="32">
        <f t="shared" ref="R22:R31" si="17">IF(P$12=0,0,P22/P$12)</f>
        <v>7.1260216556915713E-4</v>
      </c>
      <c r="S22" s="20"/>
      <c r="T22" s="20">
        <f>SUM(OSRRefT22x_0)</f>
        <v>199587.37999999998</v>
      </c>
      <c r="U22" s="20"/>
      <c r="V22" s="32">
        <f t="shared" ref="V22:V31" si="18">IF(T$12=0,0,T22/T$12)</f>
        <v>0.9455439324835152</v>
      </c>
      <c r="W22" s="4"/>
      <c r="X22" s="20">
        <f t="shared" ref="X22:X31" si="19">+P22-T22</f>
        <v>-199238.3</v>
      </c>
      <c r="Y22" s="4"/>
      <c r="Z22" s="32">
        <f t="shared" ref="Z22:Z31" si="20">IF(T22=0,0,X22/T22)</f>
        <v>-0.99825099162081299</v>
      </c>
    </row>
    <row r="23" spans="1:26" s="27" customFormat="1" outlineLevel="1" collapsed="1" x14ac:dyDescent="0.25">
      <c r="A23" s="26"/>
      <c r="B23" s="12" t="str">
        <f>CONCATENATE("     ","*Benefits                                         ")</f>
        <v xml:space="preserve">     *Benefits                                         </v>
      </c>
      <c r="C23" s="12"/>
      <c r="D23" s="1">
        <f>SUM(OSRRefD22_0x_0)</f>
        <v>0</v>
      </c>
      <c r="E23" s="1"/>
      <c r="F23" s="5">
        <f t="shared" si="13"/>
        <v>0</v>
      </c>
      <c r="G23" s="1"/>
      <c r="H23" s="1">
        <f>SUM(OSRRefH22_0x_0)</f>
        <v>-538.16</v>
      </c>
      <c r="I23" s="1"/>
      <c r="J23" s="5">
        <f t="shared" si="14"/>
        <v>0</v>
      </c>
      <c r="K23" s="1"/>
      <c r="L23" s="1">
        <f t="shared" si="15"/>
        <v>538.16</v>
      </c>
      <c r="M23" s="1"/>
      <c r="N23" s="5">
        <f t="shared" si="16"/>
        <v>-1</v>
      </c>
      <c r="O23" s="12"/>
      <c r="P23" s="1">
        <f>SUM(OSRRefP22_0x_0)</f>
        <v>7.86</v>
      </c>
      <c r="Q23" s="1"/>
      <c r="R23" s="5">
        <f t="shared" si="17"/>
        <v>1.6045184546160119E-5</v>
      </c>
      <c r="S23" s="1"/>
      <c r="T23" s="1">
        <f>SUM(OSRRefT22_0x_0)</f>
        <v>34276.46</v>
      </c>
      <c r="U23" s="1"/>
      <c r="V23" s="5">
        <f t="shared" si="18"/>
        <v>0.16238450938137428</v>
      </c>
      <c r="W23" s="1"/>
      <c r="X23" s="1">
        <f t="shared" si="19"/>
        <v>-34268.6</v>
      </c>
      <c r="Y23" s="1"/>
      <c r="Z23" s="5">
        <f t="shared" si="20"/>
        <v>-0.99977068810489766</v>
      </c>
    </row>
    <row r="24" spans="1:26" s="23" customFormat="1" hidden="1" outlineLevel="2" x14ac:dyDescent="0.25">
      <c r="A24" s="25"/>
      <c r="B24" s="10" t="str">
        <f>CONCATENATE("          ", "6111", " - ", "F.I.C.A.")</f>
        <v xml:space="preserve">          6111 - F.I.C.A.</v>
      </c>
      <c r="C24" s="10"/>
      <c r="D24" s="6"/>
      <c r="E24" s="2"/>
      <c r="F24" s="7">
        <f t="shared" si="13"/>
        <v>0</v>
      </c>
      <c r="G24" s="2"/>
      <c r="H24" s="6"/>
      <c r="I24" s="2"/>
      <c r="J24" s="7">
        <f t="shared" si="14"/>
        <v>0</v>
      </c>
      <c r="K24" s="2"/>
      <c r="L24" s="6">
        <f t="shared" si="15"/>
        <v>0</v>
      </c>
      <c r="M24" s="2"/>
      <c r="N24" s="7">
        <f t="shared" si="16"/>
        <v>0</v>
      </c>
      <c r="O24" s="10"/>
      <c r="P24" s="6">
        <v>7.86</v>
      </c>
      <c r="Q24" s="2"/>
      <c r="R24" s="7">
        <f t="shared" si="17"/>
        <v>1.6045184546160119E-5</v>
      </c>
      <c r="S24" s="2"/>
      <c r="T24" s="6">
        <v>14309.01</v>
      </c>
      <c r="U24" s="2"/>
      <c r="V24" s="7">
        <f t="shared" si="18"/>
        <v>6.7788843088906453E-2</v>
      </c>
      <c r="W24" s="2"/>
      <c r="X24" s="6">
        <f t="shared" si="19"/>
        <v>-14301.15</v>
      </c>
      <c r="Y24" s="2"/>
      <c r="Z24" s="7">
        <f t="shared" si="20"/>
        <v>-0.99945069575043977</v>
      </c>
    </row>
    <row r="25" spans="1:26" s="23" customFormat="1" hidden="1" outlineLevel="2" x14ac:dyDescent="0.25">
      <c r="A25" s="25"/>
      <c r="B25" s="10" t="str">
        <f>CONCATENATE("          ", "6112", " - ", "COMPENSATION INSURANCE")</f>
        <v xml:space="preserve">          6112 - COMPENSATION INSURANCE</v>
      </c>
      <c r="C25" s="10"/>
      <c r="D25" s="6"/>
      <c r="E25" s="2"/>
      <c r="F25" s="7">
        <f t="shared" si="13"/>
        <v>0</v>
      </c>
      <c r="G25" s="2"/>
      <c r="H25" s="6"/>
      <c r="I25" s="2"/>
      <c r="J25" s="7">
        <f t="shared" si="14"/>
        <v>0</v>
      </c>
      <c r="K25" s="2"/>
      <c r="L25" s="6">
        <f t="shared" si="15"/>
        <v>0</v>
      </c>
      <c r="M25" s="2"/>
      <c r="N25" s="7">
        <f t="shared" si="16"/>
        <v>0</v>
      </c>
      <c r="O25" s="10"/>
      <c r="P25" s="6"/>
      <c r="Q25" s="2"/>
      <c r="R25" s="7">
        <f t="shared" si="17"/>
        <v>0</v>
      </c>
      <c r="S25" s="2"/>
      <c r="T25" s="6">
        <v>8030.89</v>
      </c>
      <c r="U25" s="2"/>
      <c r="V25" s="7">
        <f t="shared" si="18"/>
        <v>3.8046289860323525E-2</v>
      </c>
      <c r="W25" s="2"/>
      <c r="X25" s="6">
        <f t="shared" si="19"/>
        <v>-8030.89</v>
      </c>
      <c r="Y25" s="2"/>
      <c r="Z25" s="7">
        <f t="shared" si="20"/>
        <v>-1</v>
      </c>
    </row>
    <row r="26" spans="1:26" s="23" customFormat="1" hidden="1" outlineLevel="2" x14ac:dyDescent="0.25">
      <c r="A26" s="25"/>
      <c r="B26" s="10" t="str">
        <f>CONCATENATE("          ", "6113", " - ", "GROUP INSURANCE")</f>
        <v xml:space="preserve">          6113 - GROUP INSURANCE</v>
      </c>
      <c r="C26" s="10"/>
      <c r="D26" s="6"/>
      <c r="E26" s="2"/>
      <c r="F26" s="7">
        <f t="shared" si="13"/>
        <v>0</v>
      </c>
      <c r="G26" s="2"/>
      <c r="H26" s="6"/>
      <c r="I26" s="2"/>
      <c r="J26" s="7">
        <f t="shared" si="14"/>
        <v>0</v>
      </c>
      <c r="K26" s="2"/>
      <c r="L26" s="6">
        <f t="shared" si="15"/>
        <v>0</v>
      </c>
      <c r="M26" s="2"/>
      <c r="N26" s="7">
        <f t="shared" si="16"/>
        <v>0</v>
      </c>
      <c r="O26" s="10"/>
      <c r="P26" s="6"/>
      <c r="Q26" s="2"/>
      <c r="R26" s="7">
        <f t="shared" si="17"/>
        <v>0</v>
      </c>
      <c r="S26" s="2"/>
      <c r="T26" s="6">
        <v>19739.060000000001</v>
      </c>
      <c r="U26" s="2"/>
      <c r="V26" s="7">
        <f t="shared" si="18"/>
        <v>9.3513670132490637E-2</v>
      </c>
      <c r="W26" s="2"/>
      <c r="X26" s="6">
        <f t="shared" si="19"/>
        <v>-19739.060000000001</v>
      </c>
      <c r="Y26" s="2"/>
      <c r="Z26" s="7">
        <f t="shared" si="20"/>
        <v>-1</v>
      </c>
    </row>
    <row r="27" spans="1:26" s="23" customFormat="1" hidden="1" outlineLevel="2" x14ac:dyDescent="0.25">
      <c r="A27" s="25"/>
      <c r="B27" s="10" t="str">
        <f>CONCATENATE("          ", "6114", " - ", "STATE UNEMPLOYMENT INSURANCE")</f>
        <v xml:space="preserve">          6114 - STATE UNEMPLOYMENT INSURANCE</v>
      </c>
      <c r="C27" s="10"/>
      <c r="D27" s="6"/>
      <c r="E27" s="2"/>
      <c r="F27" s="7">
        <f t="shared" si="13"/>
        <v>0</v>
      </c>
      <c r="G27" s="2"/>
      <c r="H27" s="6">
        <v>-538.16</v>
      </c>
      <c r="I27" s="2"/>
      <c r="J27" s="7">
        <f t="shared" si="14"/>
        <v>0</v>
      </c>
      <c r="K27" s="2"/>
      <c r="L27" s="6">
        <f t="shared" si="15"/>
        <v>538.16</v>
      </c>
      <c r="M27" s="2"/>
      <c r="N27" s="7">
        <f t="shared" si="16"/>
        <v>-1</v>
      </c>
      <c r="O27" s="10"/>
      <c r="P27" s="6"/>
      <c r="Q27" s="2"/>
      <c r="R27" s="7">
        <f t="shared" si="17"/>
        <v>0</v>
      </c>
      <c r="S27" s="2"/>
      <c r="T27" s="6">
        <v>0</v>
      </c>
      <c r="U27" s="2"/>
      <c r="V27" s="7">
        <f t="shared" si="18"/>
        <v>0</v>
      </c>
      <c r="W27" s="2"/>
      <c r="X27" s="6">
        <f t="shared" si="19"/>
        <v>0</v>
      </c>
      <c r="Y27" s="2"/>
      <c r="Z27" s="7">
        <f t="shared" si="20"/>
        <v>0</v>
      </c>
    </row>
    <row r="28" spans="1:26" s="23" customFormat="1" hidden="1" outlineLevel="2" x14ac:dyDescent="0.25">
      <c r="A28" s="25"/>
      <c r="B28" s="10" t="str">
        <f>CONCATENATE("          ", "6115", " - ", "P.E.R.S.")</f>
        <v xml:space="preserve">          6115 - P.E.R.S.</v>
      </c>
      <c r="C28" s="10"/>
      <c r="D28" s="6"/>
      <c r="E28" s="2"/>
      <c r="F28" s="7">
        <f t="shared" si="13"/>
        <v>0</v>
      </c>
      <c r="G28" s="2"/>
      <c r="H28" s="6"/>
      <c r="I28" s="2"/>
      <c r="J28" s="7">
        <f t="shared" si="14"/>
        <v>0</v>
      </c>
      <c r="K28" s="2"/>
      <c r="L28" s="6">
        <f t="shared" si="15"/>
        <v>0</v>
      </c>
      <c r="M28" s="2"/>
      <c r="N28" s="7">
        <f t="shared" si="16"/>
        <v>0</v>
      </c>
      <c r="O28" s="10"/>
      <c r="P28" s="6"/>
      <c r="Q28" s="2"/>
      <c r="R28" s="7">
        <f t="shared" si="17"/>
        <v>0</v>
      </c>
      <c r="S28" s="2"/>
      <c r="T28" s="6">
        <v>10221.48</v>
      </c>
      <c r="U28" s="2"/>
      <c r="V28" s="7">
        <f t="shared" si="18"/>
        <v>4.8424195933638697E-2</v>
      </c>
      <c r="W28" s="2"/>
      <c r="X28" s="6">
        <f t="shared" si="19"/>
        <v>-10221.48</v>
      </c>
      <c r="Y28" s="2"/>
      <c r="Z28" s="7">
        <f t="shared" si="20"/>
        <v>-1</v>
      </c>
    </row>
    <row r="29" spans="1:26" s="23" customFormat="1" hidden="1" outlineLevel="2" x14ac:dyDescent="0.25">
      <c r="A29" s="25"/>
      <c r="B29" s="10" t="str">
        <f>CONCATENATE("          ", "6118", " - ", "VACATION")</f>
        <v xml:space="preserve">          6118 - VACATION</v>
      </c>
      <c r="C29" s="10"/>
      <c r="D29" s="6"/>
      <c r="E29" s="2"/>
      <c r="F29" s="7">
        <f t="shared" si="13"/>
        <v>0</v>
      </c>
      <c r="G29" s="2"/>
      <c r="H29" s="6"/>
      <c r="I29" s="2"/>
      <c r="J29" s="7">
        <f t="shared" si="14"/>
        <v>0</v>
      </c>
      <c r="K29" s="2"/>
      <c r="L29" s="6">
        <f t="shared" si="15"/>
        <v>0</v>
      </c>
      <c r="M29" s="2"/>
      <c r="N29" s="7">
        <f t="shared" si="16"/>
        <v>0</v>
      </c>
      <c r="O29" s="10"/>
      <c r="P29" s="6"/>
      <c r="Q29" s="2"/>
      <c r="R29" s="7">
        <f t="shared" si="17"/>
        <v>0</v>
      </c>
      <c r="S29" s="2"/>
      <c r="T29" s="6">
        <v>6534.07</v>
      </c>
      <c r="U29" s="2"/>
      <c r="V29" s="7">
        <f t="shared" si="18"/>
        <v>3.0955114711774676E-2</v>
      </c>
      <c r="W29" s="2"/>
      <c r="X29" s="6">
        <f t="shared" si="19"/>
        <v>-6534.07</v>
      </c>
      <c r="Y29" s="2"/>
      <c r="Z29" s="7">
        <f t="shared" si="20"/>
        <v>-1</v>
      </c>
    </row>
    <row r="30" spans="1:26" s="23" customFormat="1" hidden="1" outlineLevel="2" x14ac:dyDescent="0.25">
      <c r="A30" s="25"/>
      <c r="B30" s="10" t="str">
        <f>CONCATENATE("          ", "6119", " - ", "SICK LEAVE")</f>
        <v xml:space="preserve">          6119 - SICK LEAVE</v>
      </c>
      <c r="C30" s="10"/>
      <c r="D30" s="6"/>
      <c r="E30" s="2"/>
      <c r="F30" s="7">
        <f t="shared" si="13"/>
        <v>0</v>
      </c>
      <c r="G30" s="2"/>
      <c r="H30" s="6"/>
      <c r="I30" s="2"/>
      <c r="J30" s="7">
        <f t="shared" si="14"/>
        <v>0</v>
      </c>
      <c r="K30" s="2"/>
      <c r="L30" s="6">
        <f t="shared" si="15"/>
        <v>0</v>
      </c>
      <c r="M30" s="2"/>
      <c r="N30" s="7">
        <f t="shared" si="16"/>
        <v>0</v>
      </c>
      <c r="O30" s="10"/>
      <c r="P30" s="6"/>
      <c r="Q30" s="2"/>
      <c r="R30" s="7">
        <f t="shared" si="17"/>
        <v>0</v>
      </c>
      <c r="S30" s="2"/>
      <c r="T30" s="6">
        <v>-25661.23</v>
      </c>
      <c r="U30" s="2"/>
      <c r="V30" s="7">
        <f t="shared" si="18"/>
        <v>-0.12156991251933844</v>
      </c>
      <c r="W30" s="2"/>
      <c r="X30" s="6">
        <f t="shared" si="19"/>
        <v>25661.23</v>
      </c>
      <c r="Y30" s="2"/>
      <c r="Z30" s="7">
        <f t="shared" si="20"/>
        <v>-1</v>
      </c>
    </row>
    <row r="31" spans="1:26" s="23" customFormat="1" hidden="1" outlineLevel="2" x14ac:dyDescent="0.25">
      <c r="A31" s="25"/>
      <c r="B31" s="10" t="str">
        <f>CONCATENATE("          ", "6156", " - ", "EMPLOYEE MEALS")</f>
        <v xml:space="preserve">          6156 - EMPLOYEE MEALS</v>
      </c>
      <c r="C31" s="10"/>
      <c r="D31" s="6"/>
      <c r="E31" s="2"/>
      <c r="F31" s="7">
        <f t="shared" si="13"/>
        <v>0</v>
      </c>
      <c r="G31" s="2"/>
      <c r="H31" s="6"/>
      <c r="I31" s="2"/>
      <c r="J31" s="7">
        <f t="shared" si="14"/>
        <v>0</v>
      </c>
      <c r="K31" s="2"/>
      <c r="L31" s="6">
        <f t="shared" si="15"/>
        <v>0</v>
      </c>
      <c r="M31" s="2"/>
      <c r="N31" s="7">
        <f t="shared" si="16"/>
        <v>0</v>
      </c>
      <c r="O31" s="10"/>
      <c r="P31" s="6"/>
      <c r="Q31" s="2"/>
      <c r="R31" s="7">
        <f t="shared" si="17"/>
        <v>0</v>
      </c>
      <c r="S31" s="2"/>
      <c r="T31" s="6">
        <v>1103.18</v>
      </c>
      <c r="U31" s="2"/>
      <c r="V31" s="7">
        <f t="shared" si="18"/>
        <v>5.2263081735787328E-3</v>
      </c>
      <c r="W31" s="2"/>
      <c r="X31" s="6">
        <f t="shared" si="19"/>
        <v>-1103.18</v>
      </c>
      <c r="Y31" s="2"/>
      <c r="Z31" s="7">
        <f t="shared" si="20"/>
        <v>-1</v>
      </c>
    </row>
    <row r="32" spans="1:26" s="27" customFormat="1" outlineLevel="1" collapsed="1" x14ac:dyDescent="0.25">
      <c r="A32" s="26"/>
      <c r="B32" s="12" t="str">
        <f>CONCATENATE("     ","*Payroll                                          ")</f>
        <v xml:space="preserve">     *Payroll                                          </v>
      </c>
      <c r="C32" s="12"/>
      <c r="D32" s="1">
        <f>SUM(OSRRefD22_1x_0)</f>
        <v>0</v>
      </c>
      <c r="E32" s="1"/>
      <c r="F32" s="5">
        <f t="shared" ref="F32:F36" si="21">IF(D$12=0,0,D32/D$12)</f>
        <v>0</v>
      </c>
      <c r="G32" s="1"/>
      <c r="H32" s="1">
        <f>SUM(OSRRefH22_1x_0)</f>
        <v>0</v>
      </c>
      <c r="I32" s="1"/>
      <c r="J32" s="5">
        <f t="shared" ref="J32:J36" si="22">IF(H$12=0,0,H32/H$12)</f>
        <v>0</v>
      </c>
      <c r="K32" s="1"/>
      <c r="L32" s="1">
        <f t="shared" ref="L32:L36" si="23">+D32-H32</f>
        <v>0</v>
      </c>
      <c r="M32" s="1"/>
      <c r="N32" s="5">
        <f t="shared" ref="N32:N36" si="24">IF(H32=0,0,L32/H32)</f>
        <v>0</v>
      </c>
      <c r="O32" s="12"/>
      <c r="P32" s="1">
        <f>SUM(OSRRefP22_1x_0)</f>
        <v>0</v>
      </c>
      <c r="Q32" s="1"/>
      <c r="R32" s="5">
        <f t="shared" ref="R32:R36" si="25">IF(P$12=0,0,P32/P$12)</f>
        <v>0</v>
      </c>
      <c r="S32" s="1"/>
      <c r="T32" s="1">
        <f>SUM(OSRRefT22_1x_0)</f>
        <v>160569.98000000001</v>
      </c>
      <c r="U32" s="1"/>
      <c r="V32" s="5">
        <f t="shared" ref="V32:V36" si="26">IF(T$12=0,0,T32/T$12)</f>
        <v>0.76069925026321517</v>
      </c>
      <c r="W32" s="1"/>
      <c r="X32" s="1">
        <f t="shared" ref="X32:X36" si="27">+P32-T32</f>
        <v>-160569.98000000001</v>
      </c>
      <c r="Y32" s="1"/>
      <c r="Z32" s="5">
        <f t="shared" ref="Z32:Z36" si="28">IF(T32=0,0,X32/T32)</f>
        <v>-1</v>
      </c>
    </row>
    <row r="33" spans="1:26" s="23" customFormat="1" hidden="1" outlineLevel="2" x14ac:dyDescent="0.25">
      <c r="A33" s="25"/>
      <c r="B33" s="10" t="str">
        <f>CONCATENATE("          ", "6002", " - ", "STAFF SALARIES")</f>
        <v xml:space="preserve">          6002 - STAFF SALARIES</v>
      </c>
      <c r="C33" s="10"/>
      <c r="D33" s="6"/>
      <c r="E33" s="2"/>
      <c r="F33" s="7">
        <f t="shared" si="21"/>
        <v>0</v>
      </c>
      <c r="G33" s="2"/>
      <c r="H33" s="6"/>
      <c r="I33" s="2"/>
      <c r="J33" s="7">
        <f t="shared" si="22"/>
        <v>0</v>
      </c>
      <c r="K33" s="2"/>
      <c r="L33" s="6">
        <f t="shared" si="23"/>
        <v>0</v>
      </c>
      <c r="M33" s="2"/>
      <c r="N33" s="7">
        <f t="shared" si="24"/>
        <v>0</v>
      </c>
      <c r="O33" s="10"/>
      <c r="P33" s="6"/>
      <c r="Q33" s="2"/>
      <c r="R33" s="7">
        <f t="shared" si="25"/>
        <v>0</v>
      </c>
      <c r="S33" s="2"/>
      <c r="T33" s="6">
        <v>113004.92</v>
      </c>
      <c r="U33" s="2"/>
      <c r="V33" s="7">
        <f t="shared" si="26"/>
        <v>0.53536008362244669</v>
      </c>
      <c r="W33" s="2"/>
      <c r="X33" s="6">
        <f t="shared" si="27"/>
        <v>-113004.92</v>
      </c>
      <c r="Y33" s="2"/>
      <c r="Z33" s="7">
        <f t="shared" si="28"/>
        <v>-1</v>
      </c>
    </row>
    <row r="34" spans="1:26" s="23" customFormat="1" hidden="1" outlineLevel="2" x14ac:dyDescent="0.25">
      <c r="A34" s="25"/>
      <c r="B34" s="10" t="str">
        <f>CONCATENATE("          ", "6005", " - ", "TEMPORARY WAGES-HOURLY")</f>
        <v xml:space="preserve">          6005 - TEMPORARY WAGES-HOURLY</v>
      </c>
      <c r="C34" s="10"/>
      <c r="D34" s="6"/>
      <c r="E34" s="2"/>
      <c r="F34" s="7">
        <f t="shared" si="21"/>
        <v>0</v>
      </c>
      <c r="G34" s="2"/>
      <c r="H34" s="6"/>
      <c r="I34" s="2"/>
      <c r="J34" s="7">
        <f t="shared" si="22"/>
        <v>0</v>
      </c>
      <c r="K34" s="2"/>
      <c r="L34" s="6">
        <f t="shared" si="23"/>
        <v>0</v>
      </c>
      <c r="M34" s="2"/>
      <c r="N34" s="7">
        <f t="shared" si="24"/>
        <v>0</v>
      </c>
      <c r="O34" s="10"/>
      <c r="P34" s="6"/>
      <c r="Q34" s="2"/>
      <c r="R34" s="7">
        <f t="shared" si="25"/>
        <v>0</v>
      </c>
      <c r="S34" s="2"/>
      <c r="T34" s="6">
        <v>18036.650000000001</v>
      </c>
      <c r="U34" s="2"/>
      <c r="V34" s="7">
        <f t="shared" si="26"/>
        <v>8.5448513677712487E-2</v>
      </c>
      <c r="W34" s="2"/>
      <c r="X34" s="6">
        <f t="shared" si="27"/>
        <v>-18036.650000000001</v>
      </c>
      <c r="Y34" s="2"/>
      <c r="Z34" s="7">
        <f t="shared" si="28"/>
        <v>-1</v>
      </c>
    </row>
    <row r="35" spans="1:26" s="23" customFormat="1" hidden="1" outlineLevel="2" x14ac:dyDescent="0.25">
      <c r="A35" s="25"/>
      <c r="B35" s="10" t="str">
        <f>CONCATENATE("          ", "6007", " - ", "STUDENT HOURLY")</f>
        <v xml:space="preserve">          6007 - STUDENT HOURLY</v>
      </c>
      <c r="C35" s="10"/>
      <c r="D35" s="6"/>
      <c r="E35" s="2"/>
      <c r="F35" s="7">
        <f t="shared" si="21"/>
        <v>0</v>
      </c>
      <c r="G35" s="2"/>
      <c r="H35" s="6"/>
      <c r="I35" s="2"/>
      <c r="J35" s="7">
        <f t="shared" si="22"/>
        <v>0</v>
      </c>
      <c r="K35" s="2"/>
      <c r="L35" s="6">
        <f t="shared" si="23"/>
        <v>0</v>
      </c>
      <c r="M35" s="2"/>
      <c r="N35" s="7">
        <f t="shared" si="24"/>
        <v>0</v>
      </c>
      <c r="O35" s="10"/>
      <c r="P35" s="6"/>
      <c r="Q35" s="2"/>
      <c r="R35" s="7">
        <f t="shared" si="25"/>
        <v>0</v>
      </c>
      <c r="S35" s="2"/>
      <c r="T35" s="6">
        <v>25720.959999999999</v>
      </c>
      <c r="U35" s="2"/>
      <c r="V35" s="7">
        <f t="shared" si="26"/>
        <v>0.12185288301119639</v>
      </c>
      <c r="W35" s="2"/>
      <c r="X35" s="6">
        <f t="shared" si="27"/>
        <v>-25720.959999999999</v>
      </c>
      <c r="Y35" s="2"/>
      <c r="Z35" s="7">
        <f t="shared" si="28"/>
        <v>-1</v>
      </c>
    </row>
    <row r="36" spans="1:26" s="23" customFormat="1" hidden="1" outlineLevel="2" x14ac:dyDescent="0.25">
      <c r="A36" s="25"/>
      <c r="B36" s="10" t="str">
        <f>CONCATENATE("          ", "6008", " - ", "STUDENT HOURLY-FICA EXEMPT")</f>
        <v xml:space="preserve">          6008 - STUDENT HOURLY-FICA EXEMPT</v>
      </c>
      <c r="C36" s="10"/>
      <c r="D36" s="6"/>
      <c r="E36" s="2"/>
      <c r="F36" s="7">
        <f t="shared" si="21"/>
        <v>0</v>
      </c>
      <c r="G36" s="2"/>
      <c r="H36" s="6"/>
      <c r="I36" s="2"/>
      <c r="J36" s="7">
        <f t="shared" si="22"/>
        <v>0</v>
      </c>
      <c r="K36" s="2"/>
      <c r="L36" s="6">
        <f t="shared" si="23"/>
        <v>0</v>
      </c>
      <c r="M36" s="2"/>
      <c r="N36" s="7">
        <f t="shared" si="24"/>
        <v>0</v>
      </c>
      <c r="O36" s="10"/>
      <c r="P36" s="6"/>
      <c r="Q36" s="2"/>
      <c r="R36" s="7">
        <f t="shared" si="25"/>
        <v>0</v>
      </c>
      <c r="S36" s="2"/>
      <c r="T36" s="6">
        <v>3807.45</v>
      </c>
      <c r="U36" s="2"/>
      <c r="V36" s="7">
        <f t="shared" si="26"/>
        <v>1.8037769951859482E-2</v>
      </c>
      <c r="W36" s="2"/>
      <c r="X36" s="6">
        <f t="shared" si="27"/>
        <v>-3807.45</v>
      </c>
      <c r="Y36" s="2"/>
      <c r="Z36" s="7">
        <f t="shared" si="28"/>
        <v>-1</v>
      </c>
    </row>
    <row r="37" spans="1:26" s="27" customFormat="1" outlineLevel="1" collapsed="1" x14ac:dyDescent="0.25">
      <c r="A37" s="26"/>
      <c r="B37" s="12" t="str">
        <f>CONCATENATE("     ","Advertising/Promo                                 ")</f>
        <v xml:space="preserve">     Advertising/Promo                                 </v>
      </c>
      <c r="C37" s="12"/>
      <c r="D37" s="1">
        <f>SUM(OSRRefD22_2x_0)</f>
        <v>0</v>
      </c>
      <c r="E37" s="1"/>
      <c r="F37" s="5">
        <f t="shared" ref="F37:F47" si="29">IF(D$12=0,0,D37/D$12)</f>
        <v>0</v>
      </c>
      <c r="G37" s="1"/>
      <c r="H37" s="1">
        <f>SUM(OSRRefH22_2x_0)</f>
        <v>0</v>
      </c>
      <c r="I37" s="1"/>
      <c r="J37" s="5">
        <f t="shared" ref="J37:J47" si="30">IF(H$12=0,0,H37/H$12)</f>
        <v>0</v>
      </c>
      <c r="K37" s="1"/>
      <c r="L37" s="1">
        <f t="shared" ref="L37:L47" si="31">+D37-H37</f>
        <v>0</v>
      </c>
      <c r="M37" s="1"/>
      <c r="N37" s="5">
        <f t="shared" ref="N37:N47" si="32">IF(H37=0,0,L37/H37)</f>
        <v>0</v>
      </c>
      <c r="O37" s="12"/>
      <c r="P37" s="1">
        <f>SUM(OSRRefP22_2x_0)</f>
        <v>0</v>
      </c>
      <c r="Q37" s="1"/>
      <c r="R37" s="5">
        <f t="shared" ref="R37:R47" si="33">IF(P$12=0,0,P37/P$12)</f>
        <v>0</v>
      </c>
      <c r="S37" s="1"/>
      <c r="T37" s="1">
        <f>SUM(OSRRefT22_2x_0)</f>
        <v>500</v>
      </c>
      <c r="U37" s="1"/>
      <c r="V37" s="5">
        <f t="shared" ref="V37:V47" si="34">IF(T$12=0,0,T37/T$12)</f>
        <v>2.3687467927168424E-3</v>
      </c>
      <c r="W37" s="1"/>
      <c r="X37" s="1">
        <f t="shared" ref="X37:X47" si="35">+P37-T37</f>
        <v>-500</v>
      </c>
      <c r="Y37" s="1"/>
      <c r="Z37" s="5">
        <f t="shared" ref="Z37:Z47" si="36">IF(T37=0,0,X37/T37)</f>
        <v>-1</v>
      </c>
    </row>
    <row r="38" spans="1:26" s="23" customFormat="1" hidden="1" outlineLevel="2" x14ac:dyDescent="0.25">
      <c r="A38" s="25"/>
      <c r="B38" s="10" t="str">
        <f>CONCATENATE("          ", "6362", " - ", "ADVERTISING EXPENSE")</f>
        <v xml:space="preserve">          6362 - ADVERTISING EXPENSE</v>
      </c>
      <c r="C38" s="10"/>
      <c r="D38" s="6"/>
      <c r="E38" s="2"/>
      <c r="F38" s="7">
        <f t="shared" si="29"/>
        <v>0</v>
      </c>
      <c r="G38" s="2"/>
      <c r="H38" s="6"/>
      <c r="I38" s="2"/>
      <c r="J38" s="7">
        <f t="shared" si="30"/>
        <v>0</v>
      </c>
      <c r="K38" s="2"/>
      <c r="L38" s="6">
        <f t="shared" si="31"/>
        <v>0</v>
      </c>
      <c r="M38" s="2"/>
      <c r="N38" s="7">
        <f t="shared" si="32"/>
        <v>0</v>
      </c>
      <c r="O38" s="10"/>
      <c r="P38" s="6"/>
      <c r="Q38" s="2"/>
      <c r="R38" s="7">
        <f t="shared" si="33"/>
        <v>0</v>
      </c>
      <c r="S38" s="2"/>
      <c r="T38" s="6">
        <v>500</v>
      </c>
      <c r="U38" s="2"/>
      <c r="V38" s="7">
        <f t="shared" si="34"/>
        <v>2.3687467927168424E-3</v>
      </c>
      <c r="W38" s="2"/>
      <c r="X38" s="6">
        <f t="shared" si="35"/>
        <v>-500</v>
      </c>
      <c r="Y38" s="2"/>
      <c r="Z38" s="7">
        <f t="shared" si="36"/>
        <v>-1</v>
      </c>
    </row>
    <row r="39" spans="1:26" s="27" customFormat="1" outlineLevel="1" collapsed="1" x14ac:dyDescent="0.25">
      <c r="A39" s="26"/>
      <c r="B39" s="12" t="str">
        <f>CONCATENATE("     ","Bad Debts/Over/Short                              ")</f>
        <v xml:space="preserve">     Bad Debts/Over/Short                              </v>
      </c>
      <c r="C39" s="12"/>
      <c r="D39" s="1">
        <f>SUM(OSRRefD22_3x_0)</f>
        <v>0</v>
      </c>
      <c r="E39" s="1"/>
      <c r="F39" s="5">
        <f t="shared" si="29"/>
        <v>0</v>
      </c>
      <c r="G39" s="1"/>
      <c r="H39" s="1">
        <f>SUM(OSRRefH22_3x_0)</f>
        <v>0</v>
      </c>
      <c r="I39" s="1"/>
      <c r="J39" s="5">
        <f t="shared" si="30"/>
        <v>0</v>
      </c>
      <c r="K39" s="1"/>
      <c r="L39" s="1">
        <f t="shared" si="31"/>
        <v>0</v>
      </c>
      <c r="M39" s="1"/>
      <c r="N39" s="5">
        <f t="shared" si="32"/>
        <v>0</v>
      </c>
      <c r="O39" s="12"/>
      <c r="P39" s="1">
        <f>SUM(OSRRefP22_3x_0)</f>
        <v>0</v>
      </c>
      <c r="Q39" s="1"/>
      <c r="R39" s="5">
        <f t="shared" si="33"/>
        <v>0</v>
      </c>
      <c r="S39" s="1"/>
      <c r="T39" s="1">
        <f>SUM(OSRRefT22_3x_0)</f>
        <v>-1.98</v>
      </c>
      <c r="U39" s="1"/>
      <c r="V39" s="5">
        <f t="shared" si="34"/>
        <v>-9.3802372991586962E-6</v>
      </c>
      <c r="W39" s="1"/>
      <c r="X39" s="1">
        <f t="shared" si="35"/>
        <v>1.98</v>
      </c>
      <c r="Y39" s="1"/>
      <c r="Z39" s="5">
        <f t="shared" si="36"/>
        <v>-1</v>
      </c>
    </row>
    <row r="40" spans="1:26" s="23" customFormat="1" hidden="1" outlineLevel="2" x14ac:dyDescent="0.25">
      <c r="A40" s="25"/>
      <c r="B40" s="10" t="str">
        <f>CONCATENATE("          ", "6272", " - ", "CASH (OVER/SHORT)")</f>
        <v xml:space="preserve">          6272 - CASH (OVER/SHORT)</v>
      </c>
      <c r="C40" s="10"/>
      <c r="D40" s="6"/>
      <c r="E40" s="2"/>
      <c r="F40" s="7">
        <f t="shared" si="29"/>
        <v>0</v>
      </c>
      <c r="G40" s="2"/>
      <c r="H40" s="6"/>
      <c r="I40" s="2"/>
      <c r="J40" s="7">
        <f t="shared" si="30"/>
        <v>0</v>
      </c>
      <c r="K40" s="2"/>
      <c r="L40" s="6">
        <f t="shared" si="31"/>
        <v>0</v>
      </c>
      <c r="M40" s="2"/>
      <c r="N40" s="7">
        <f t="shared" si="32"/>
        <v>0</v>
      </c>
      <c r="O40" s="10"/>
      <c r="P40" s="6"/>
      <c r="Q40" s="2"/>
      <c r="R40" s="7">
        <f t="shared" si="33"/>
        <v>0</v>
      </c>
      <c r="S40" s="2"/>
      <c r="T40" s="6">
        <v>-1.98</v>
      </c>
      <c r="U40" s="2"/>
      <c r="V40" s="7">
        <f t="shared" si="34"/>
        <v>-9.3802372991586962E-6</v>
      </c>
      <c r="W40" s="2"/>
      <c r="X40" s="6">
        <f t="shared" si="35"/>
        <v>1.98</v>
      </c>
      <c r="Y40" s="2"/>
      <c r="Z40" s="7">
        <f t="shared" si="36"/>
        <v>-1</v>
      </c>
    </row>
    <row r="41" spans="1:26" s="27" customFormat="1" outlineLevel="1" collapsed="1" x14ac:dyDescent="0.25">
      <c r="A41" s="26"/>
      <c r="B41" s="12" t="str">
        <f>CONCATENATE("     ","Bank/card Fees                                    ")</f>
        <v xml:space="preserve">     Bank/card Fees                                    </v>
      </c>
      <c r="C41" s="12"/>
      <c r="D41" s="1">
        <f>SUM(OSRRefD22_4x_0)</f>
        <v>0</v>
      </c>
      <c r="E41" s="1"/>
      <c r="F41" s="5">
        <f t="shared" si="29"/>
        <v>0</v>
      </c>
      <c r="G41" s="1"/>
      <c r="H41" s="1">
        <f>SUM(OSRRefH22_4x_0)</f>
        <v>0</v>
      </c>
      <c r="I41" s="1"/>
      <c r="J41" s="5">
        <f t="shared" si="30"/>
        <v>0</v>
      </c>
      <c r="K41" s="1"/>
      <c r="L41" s="1">
        <f t="shared" si="31"/>
        <v>0</v>
      </c>
      <c r="M41" s="1"/>
      <c r="N41" s="5">
        <f t="shared" si="32"/>
        <v>0</v>
      </c>
      <c r="O41" s="12"/>
      <c r="P41" s="1">
        <f>SUM(OSRRefP22_4x_0)</f>
        <v>0</v>
      </c>
      <c r="Q41" s="1"/>
      <c r="R41" s="5">
        <f t="shared" si="33"/>
        <v>0</v>
      </c>
      <c r="S41" s="1"/>
      <c r="T41" s="1">
        <f>SUM(OSRRefT22_4x_0)</f>
        <v>685.09</v>
      </c>
      <c r="U41" s="1"/>
      <c r="V41" s="5">
        <f t="shared" si="34"/>
        <v>3.2456094804447634E-3</v>
      </c>
      <c r="W41" s="1"/>
      <c r="X41" s="1">
        <f t="shared" si="35"/>
        <v>-685.09</v>
      </c>
      <c r="Y41" s="1"/>
      <c r="Z41" s="5">
        <f t="shared" si="36"/>
        <v>-1</v>
      </c>
    </row>
    <row r="42" spans="1:26" s="23" customFormat="1" hidden="1" outlineLevel="2" x14ac:dyDescent="0.25">
      <c r="A42" s="25"/>
      <c r="B42" s="10" t="str">
        <f>CONCATENATE("          ", "6381", " - ", "BANK/CREDIT CARD FEES")</f>
        <v xml:space="preserve">          6381 - BANK/CREDIT CARD FEES</v>
      </c>
      <c r="C42" s="10"/>
      <c r="D42" s="6"/>
      <c r="E42" s="2"/>
      <c r="F42" s="7">
        <f t="shared" si="29"/>
        <v>0</v>
      </c>
      <c r="G42" s="2"/>
      <c r="H42" s="6"/>
      <c r="I42" s="2"/>
      <c r="J42" s="7">
        <f t="shared" si="30"/>
        <v>0</v>
      </c>
      <c r="K42" s="2"/>
      <c r="L42" s="6">
        <f t="shared" si="31"/>
        <v>0</v>
      </c>
      <c r="M42" s="2"/>
      <c r="N42" s="7">
        <f t="shared" si="32"/>
        <v>0</v>
      </c>
      <c r="O42" s="10"/>
      <c r="P42" s="6"/>
      <c r="Q42" s="2"/>
      <c r="R42" s="7">
        <f t="shared" si="33"/>
        <v>0</v>
      </c>
      <c r="S42" s="2"/>
      <c r="T42" s="6">
        <v>685.09</v>
      </c>
      <c r="U42" s="2"/>
      <c r="V42" s="7">
        <f t="shared" si="34"/>
        <v>3.2456094804447634E-3</v>
      </c>
      <c r="W42" s="2"/>
      <c r="X42" s="6">
        <f t="shared" si="35"/>
        <v>-685.09</v>
      </c>
      <c r="Y42" s="2"/>
      <c r="Z42" s="7">
        <f t="shared" si="36"/>
        <v>-1</v>
      </c>
    </row>
    <row r="43" spans="1:26" s="27" customFormat="1" outlineLevel="1" collapsed="1" x14ac:dyDescent="0.25">
      <c r="A43" s="26"/>
      <c r="B43" s="12" t="str">
        <f>CONCATENATE("     ","Repair and Maintenance                            ")</f>
        <v xml:space="preserve">     Repair and Maintenance                            </v>
      </c>
      <c r="C43" s="12"/>
      <c r="D43" s="1">
        <f>SUM(OSRRefD22_5x_0)</f>
        <v>0</v>
      </c>
      <c r="E43" s="1"/>
      <c r="F43" s="5">
        <f t="shared" si="29"/>
        <v>0</v>
      </c>
      <c r="G43" s="1"/>
      <c r="H43" s="1">
        <f>SUM(OSRRefH22_5x_0)</f>
        <v>0</v>
      </c>
      <c r="I43" s="1"/>
      <c r="J43" s="5">
        <f t="shared" si="30"/>
        <v>0</v>
      </c>
      <c r="K43" s="1"/>
      <c r="L43" s="1">
        <f t="shared" si="31"/>
        <v>0</v>
      </c>
      <c r="M43" s="1"/>
      <c r="N43" s="5">
        <f t="shared" si="32"/>
        <v>0</v>
      </c>
      <c r="O43" s="12"/>
      <c r="P43" s="1">
        <f>SUM(OSRRefP22_5x_0)</f>
        <v>341.22</v>
      </c>
      <c r="Q43" s="1"/>
      <c r="R43" s="5">
        <f t="shared" si="33"/>
        <v>6.9655698102299697E-4</v>
      </c>
      <c r="S43" s="1"/>
      <c r="T43" s="1">
        <f>SUM(OSRRefT22_5x_0)</f>
        <v>1151.21</v>
      </c>
      <c r="U43" s="1"/>
      <c r="V43" s="5">
        <f t="shared" si="34"/>
        <v>5.4538499904871127E-3</v>
      </c>
      <c r="W43" s="1"/>
      <c r="X43" s="1">
        <f t="shared" si="35"/>
        <v>-809.99</v>
      </c>
      <c r="Y43" s="1"/>
      <c r="Z43" s="5">
        <f t="shared" si="36"/>
        <v>-0.70359882210891145</v>
      </c>
    </row>
    <row r="44" spans="1:26" s="23" customFormat="1" hidden="1" outlineLevel="2" x14ac:dyDescent="0.25">
      <c r="A44" s="25"/>
      <c r="B44" s="10" t="str">
        <f>CONCATENATE("          ", "6375", " - ", "OUTSIDE REPAIRS &amp; MAINTENANCE")</f>
        <v xml:space="preserve">          6375 - OUTSIDE REPAIRS &amp; MAINTENANCE</v>
      </c>
      <c r="C44" s="10"/>
      <c r="D44" s="6"/>
      <c r="E44" s="2"/>
      <c r="F44" s="7">
        <f t="shared" si="29"/>
        <v>0</v>
      </c>
      <c r="G44" s="2"/>
      <c r="H44" s="6"/>
      <c r="I44" s="2"/>
      <c r="J44" s="7">
        <f t="shared" si="30"/>
        <v>0</v>
      </c>
      <c r="K44" s="2"/>
      <c r="L44" s="6">
        <f t="shared" si="31"/>
        <v>0</v>
      </c>
      <c r="M44" s="2"/>
      <c r="N44" s="7">
        <f t="shared" si="32"/>
        <v>0</v>
      </c>
      <c r="O44" s="10"/>
      <c r="P44" s="6">
        <v>341.22</v>
      </c>
      <c r="Q44" s="2"/>
      <c r="R44" s="7">
        <f t="shared" si="33"/>
        <v>6.9655698102299697E-4</v>
      </c>
      <c r="S44" s="2"/>
      <c r="T44" s="6">
        <v>1151.21</v>
      </c>
      <c r="U44" s="2"/>
      <c r="V44" s="7">
        <f t="shared" si="34"/>
        <v>5.4538499904871127E-3</v>
      </c>
      <c r="W44" s="2"/>
      <c r="X44" s="6">
        <f t="shared" si="35"/>
        <v>-809.99</v>
      </c>
      <c r="Y44" s="2"/>
      <c r="Z44" s="7">
        <f t="shared" si="36"/>
        <v>-0.70359882210891145</v>
      </c>
    </row>
    <row r="45" spans="1:26" s="27" customFormat="1" outlineLevel="1" collapsed="1" x14ac:dyDescent="0.25">
      <c r="A45" s="26"/>
      <c r="B45" s="12" t="str">
        <f>CONCATENATE("     ","Supplies                                          ")</f>
        <v xml:space="preserve">     Supplies                                          </v>
      </c>
      <c r="C45" s="12"/>
      <c r="D45" s="1">
        <f>SUM(OSRRefD22_6x_0)</f>
        <v>0</v>
      </c>
      <c r="E45" s="1"/>
      <c r="F45" s="5">
        <f t="shared" si="29"/>
        <v>0</v>
      </c>
      <c r="G45" s="1"/>
      <c r="H45" s="1">
        <f>SUM(OSRRefH22_6x_0)</f>
        <v>0</v>
      </c>
      <c r="I45" s="1"/>
      <c r="J45" s="5">
        <f t="shared" si="30"/>
        <v>0</v>
      </c>
      <c r="K45" s="1"/>
      <c r="L45" s="1">
        <f t="shared" si="31"/>
        <v>0</v>
      </c>
      <c r="M45" s="1"/>
      <c r="N45" s="5">
        <f t="shared" si="32"/>
        <v>0</v>
      </c>
      <c r="O45" s="12"/>
      <c r="P45" s="1">
        <f>SUM(OSRRefP22_6x_0)</f>
        <v>0</v>
      </c>
      <c r="Q45" s="1"/>
      <c r="R45" s="5">
        <f t="shared" si="33"/>
        <v>0</v>
      </c>
      <c r="S45" s="1"/>
      <c r="T45" s="1">
        <f>SUM(OSRRefT22_6x_0)</f>
        <v>1137.47</v>
      </c>
      <c r="U45" s="1"/>
      <c r="V45" s="5">
        <f t="shared" si="34"/>
        <v>5.388756828623254E-3</v>
      </c>
      <c r="W45" s="1"/>
      <c r="X45" s="1">
        <f t="shared" si="35"/>
        <v>-1137.47</v>
      </c>
      <c r="Y45" s="1"/>
      <c r="Z45" s="5">
        <f t="shared" si="36"/>
        <v>-1</v>
      </c>
    </row>
    <row r="46" spans="1:26" s="23" customFormat="1" hidden="1" outlineLevel="2" x14ac:dyDescent="0.25">
      <c r="A46" s="25"/>
      <c r="B46" s="10" t="str">
        <f>CONCATENATE("          ", "6241", " - ", "OFFICE EXPENSE")</f>
        <v xml:space="preserve">          6241 - OFFICE EXPENSE</v>
      </c>
      <c r="C46" s="10"/>
      <c r="D46" s="6"/>
      <c r="E46" s="2"/>
      <c r="F46" s="7">
        <f t="shared" si="29"/>
        <v>0</v>
      </c>
      <c r="G46" s="2"/>
      <c r="H46" s="6"/>
      <c r="I46" s="2"/>
      <c r="J46" s="7">
        <f t="shared" si="30"/>
        <v>0</v>
      </c>
      <c r="K46" s="2"/>
      <c r="L46" s="6">
        <f t="shared" si="31"/>
        <v>0</v>
      </c>
      <c r="M46" s="2"/>
      <c r="N46" s="7">
        <f t="shared" si="32"/>
        <v>0</v>
      </c>
      <c r="O46" s="10"/>
      <c r="P46" s="6"/>
      <c r="Q46" s="2"/>
      <c r="R46" s="7">
        <f t="shared" si="33"/>
        <v>0</v>
      </c>
      <c r="S46" s="2"/>
      <c r="T46" s="6">
        <v>914.08</v>
      </c>
      <c r="U46" s="2"/>
      <c r="V46" s="7">
        <f t="shared" si="34"/>
        <v>4.330448136573223E-3</v>
      </c>
      <c r="W46" s="2"/>
      <c r="X46" s="6">
        <f t="shared" si="35"/>
        <v>-914.08</v>
      </c>
      <c r="Y46" s="2"/>
      <c r="Z46" s="7">
        <f t="shared" si="36"/>
        <v>-1</v>
      </c>
    </row>
    <row r="47" spans="1:26" s="23" customFormat="1" hidden="1" outlineLevel="2" x14ac:dyDescent="0.25">
      <c r="A47" s="25"/>
      <c r="B47" s="10" t="str">
        <f>CONCATENATE("          ", "6247", " - ", "STORE SUPPLIES")</f>
        <v xml:space="preserve">          6247 - STORE SUPPLIES</v>
      </c>
      <c r="C47" s="10"/>
      <c r="D47" s="6"/>
      <c r="E47" s="2"/>
      <c r="F47" s="7">
        <f t="shared" si="29"/>
        <v>0</v>
      </c>
      <c r="G47" s="2"/>
      <c r="H47" s="6"/>
      <c r="I47" s="2"/>
      <c r="J47" s="7">
        <f t="shared" si="30"/>
        <v>0</v>
      </c>
      <c r="K47" s="2"/>
      <c r="L47" s="6">
        <f t="shared" si="31"/>
        <v>0</v>
      </c>
      <c r="M47" s="2"/>
      <c r="N47" s="7">
        <f t="shared" si="32"/>
        <v>0</v>
      </c>
      <c r="O47" s="10"/>
      <c r="P47" s="6"/>
      <c r="Q47" s="2"/>
      <c r="R47" s="7">
        <f t="shared" si="33"/>
        <v>0</v>
      </c>
      <c r="S47" s="2"/>
      <c r="T47" s="6">
        <v>223.39</v>
      </c>
      <c r="U47" s="2"/>
      <c r="V47" s="7">
        <f t="shared" si="34"/>
        <v>1.0583086920500308E-3</v>
      </c>
      <c r="W47" s="2"/>
      <c r="X47" s="6">
        <f t="shared" si="35"/>
        <v>-223.39</v>
      </c>
      <c r="Y47" s="2"/>
      <c r="Z47" s="7">
        <f t="shared" si="36"/>
        <v>-1</v>
      </c>
    </row>
    <row r="48" spans="1:26" s="27" customFormat="1" outlineLevel="1" collapsed="1" x14ac:dyDescent="0.25">
      <c r="A48" s="26"/>
      <c r="B48" s="12" t="str">
        <f>CONCATENATE("     ","Travel                                            ")</f>
        <v xml:space="preserve">     Travel                                            </v>
      </c>
      <c r="C48" s="12"/>
      <c r="D48" s="1">
        <f>SUM(OSRRefD22_7x_0)</f>
        <v>0</v>
      </c>
      <c r="E48" s="1"/>
      <c r="F48" s="5">
        <f t="shared" ref="F48:F49" si="37">IF(D$12=0,0,D48/D$12)</f>
        <v>0</v>
      </c>
      <c r="G48" s="1"/>
      <c r="H48" s="1">
        <f>SUM(OSRRefH22_7x_0)</f>
        <v>0</v>
      </c>
      <c r="I48" s="1"/>
      <c r="J48" s="5">
        <f t="shared" ref="J48:J49" si="38">IF(H$12=0,0,H48/H$12)</f>
        <v>0</v>
      </c>
      <c r="K48" s="1"/>
      <c r="L48" s="1">
        <f t="shared" ref="L48:L49" si="39">+D48-H48</f>
        <v>0</v>
      </c>
      <c r="M48" s="1"/>
      <c r="N48" s="5">
        <f t="shared" ref="N48:N49" si="40">IF(H48=0,0,L48/H48)</f>
        <v>0</v>
      </c>
      <c r="O48" s="12"/>
      <c r="P48" s="1">
        <f>SUM(OSRRefP22_7x_0)</f>
        <v>0</v>
      </c>
      <c r="Q48" s="1"/>
      <c r="R48" s="5">
        <f t="shared" ref="R48:R49" si="41">IF(P$12=0,0,P48/P$12)</f>
        <v>0</v>
      </c>
      <c r="S48" s="1"/>
      <c r="T48" s="1">
        <f>SUM(OSRRefT22_7x_0)</f>
        <v>1269.1500000000001</v>
      </c>
      <c r="U48" s="1"/>
      <c r="V48" s="5">
        <f t="shared" ref="V48:V49" si="42">IF(T$12=0,0,T48/T$12)</f>
        <v>6.0125899839531616E-3</v>
      </c>
      <c r="W48" s="1"/>
      <c r="X48" s="1">
        <f t="shared" ref="X48:X49" si="43">+P48-T48</f>
        <v>-1269.1500000000001</v>
      </c>
      <c r="Y48" s="1"/>
      <c r="Z48" s="5">
        <f t="shared" ref="Z48:Z49" si="44">IF(T48=0,0,X48/T48)</f>
        <v>-1</v>
      </c>
    </row>
    <row r="49" spans="1:26" s="23" customFormat="1" hidden="1" outlineLevel="2" x14ac:dyDescent="0.25">
      <c r="A49" s="25"/>
      <c r="B49" s="10" t="str">
        <f>CONCATENATE("          ", "6292", " - ", "TRAVEL/CONFERENCE")</f>
        <v xml:space="preserve">          6292 - TRAVEL/CONFERENCE</v>
      </c>
      <c r="C49" s="10"/>
      <c r="D49" s="6"/>
      <c r="E49" s="2"/>
      <c r="F49" s="7">
        <f t="shared" si="37"/>
        <v>0</v>
      </c>
      <c r="G49" s="2"/>
      <c r="H49" s="6"/>
      <c r="I49" s="2"/>
      <c r="J49" s="7">
        <f t="shared" si="38"/>
        <v>0</v>
      </c>
      <c r="K49" s="2"/>
      <c r="L49" s="6">
        <f t="shared" si="39"/>
        <v>0</v>
      </c>
      <c r="M49" s="2"/>
      <c r="N49" s="7">
        <f t="shared" si="40"/>
        <v>0</v>
      </c>
      <c r="O49" s="10"/>
      <c r="P49" s="6"/>
      <c r="Q49" s="2"/>
      <c r="R49" s="7">
        <f t="shared" si="41"/>
        <v>0</v>
      </c>
      <c r="S49" s="2"/>
      <c r="T49" s="6">
        <v>1269.1500000000001</v>
      </c>
      <c r="U49" s="2"/>
      <c r="V49" s="7">
        <f t="shared" si="42"/>
        <v>6.0125899839531616E-3</v>
      </c>
      <c r="W49" s="2"/>
      <c r="X49" s="6">
        <f t="shared" si="43"/>
        <v>-1269.1500000000001</v>
      </c>
      <c r="Y49" s="2"/>
      <c r="Z49" s="7">
        <f t="shared" si="44"/>
        <v>-1</v>
      </c>
    </row>
    <row r="50" spans="1:26" s="52" customFormat="1" x14ac:dyDescent="0.25">
      <c r="A50" s="37"/>
      <c r="B50" s="37"/>
      <c r="C50" s="37"/>
      <c r="D50" s="1"/>
      <c r="E50" s="1"/>
      <c r="F50" s="5"/>
      <c r="G50" s="1"/>
      <c r="H50" s="1"/>
      <c r="I50" s="1"/>
      <c r="J50" s="5"/>
      <c r="K50" s="1"/>
      <c r="L50" s="1"/>
      <c r="M50" s="1"/>
      <c r="N50" s="5"/>
      <c r="O50" s="37"/>
      <c r="P50" s="1"/>
      <c r="Q50" s="1"/>
      <c r="R50" s="5"/>
      <c r="S50" s="1"/>
      <c r="T50" s="1"/>
      <c r="U50" s="1"/>
      <c r="V50" s="5"/>
      <c r="W50" s="1"/>
      <c r="X50" s="1"/>
      <c r="Y50" s="1"/>
      <c r="Z50" s="5"/>
    </row>
    <row r="51" spans="1:26" s="24" customFormat="1" x14ac:dyDescent="0.25">
      <c r="A51" s="11"/>
      <c r="B51" s="29" t="s">
        <v>292</v>
      </c>
      <c r="C51" s="11"/>
      <c r="D51" s="4">
        <f>SUM(0)</f>
        <v>0</v>
      </c>
      <c r="E51" s="4"/>
      <c r="F51" s="13">
        <f>IF(D$12=0,0,D51/D$12)</f>
        <v>0</v>
      </c>
      <c r="G51" s="4"/>
      <c r="H51" s="4">
        <f>SUM(0)</f>
        <v>0</v>
      </c>
      <c r="I51" s="4"/>
      <c r="J51" s="13">
        <f>IF(H$12=0,0,H51/H$12)</f>
        <v>0</v>
      </c>
      <c r="K51" s="4"/>
      <c r="L51" s="4">
        <f>+D51-H51</f>
        <v>0</v>
      </c>
      <c r="M51" s="4"/>
      <c r="N51" s="13">
        <f>IF(H51=0,0,L51/H51)</f>
        <v>0</v>
      </c>
      <c r="O51" s="11"/>
      <c r="P51" s="4">
        <f>SUM(0)</f>
        <v>0</v>
      </c>
      <c r="Q51" s="4"/>
      <c r="R51" s="13">
        <f>IF(P$12=0,0,P51/P$12)</f>
        <v>0</v>
      </c>
      <c r="S51" s="4"/>
      <c r="T51" s="4">
        <f>SUM(0)</f>
        <v>0</v>
      </c>
      <c r="U51" s="4"/>
      <c r="V51" s="13">
        <f>IF(T$12=0,0,T51/T$12)</f>
        <v>0</v>
      </c>
      <c r="W51" s="4"/>
      <c r="X51" s="4">
        <f>+P51-T51</f>
        <v>0</v>
      </c>
      <c r="Y51" s="4"/>
      <c r="Z51" s="13">
        <f>IF(T51=0,0,X51/T51)</f>
        <v>0</v>
      </c>
    </row>
    <row r="52" spans="1:26" x14ac:dyDescent="0.25">
      <c r="A52" s="9"/>
      <c r="B52" s="11"/>
      <c r="C52" s="11"/>
      <c r="D52" s="3"/>
      <c r="E52" s="3"/>
      <c r="F52" s="8"/>
      <c r="G52" s="3"/>
      <c r="H52" s="3"/>
      <c r="I52" s="3"/>
      <c r="J52" s="8"/>
      <c r="K52" s="3"/>
      <c r="L52" s="3"/>
      <c r="M52" s="3"/>
      <c r="N52" s="8"/>
      <c r="O52" s="11"/>
      <c r="P52" s="3"/>
      <c r="Q52" s="3"/>
      <c r="R52" s="8"/>
      <c r="S52" s="3"/>
      <c r="T52" s="3"/>
      <c r="U52" s="3"/>
      <c r="V52" s="8"/>
      <c r="W52" s="3"/>
      <c r="X52" s="3"/>
      <c r="Y52" s="3"/>
      <c r="Z52" s="8"/>
    </row>
    <row r="53" spans="1:26" s="24" customFormat="1" x14ac:dyDescent="0.25">
      <c r="A53" s="11"/>
      <c r="B53" s="28" t="s">
        <v>276</v>
      </c>
      <c r="C53" s="28"/>
      <c r="D53" s="21">
        <f>+D20-D22+D51</f>
        <v>49632.639999999999</v>
      </c>
      <c r="E53" s="14"/>
      <c r="F53" s="22">
        <f>IF(D$12=0,0,D53/D$12)</f>
        <v>1</v>
      </c>
      <c r="G53" s="14"/>
      <c r="H53" s="21">
        <f>+H20-H22+H51</f>
        <v>538.16</v>
      </c>
      <c r="I53" s="14"/>
      <c r="J53" s="22">
        <f>IF(H$12=0,0,H53/H$12)</f>
        <v>0</v>
      </c>
      <c r="K53" s="15"/>
      <c r="L53" s="21">
        <f>+D53-H53</f>
        <v>49094.479999999996</v>
      </c>
      <c r="M53" s="15"/>
      <c r="N53" s="22">
        <f>IF(H53=0,0,L53/H53)</f>
        <v>91.226549724988843</v>
      </c>
      <c r="O53" s="29"/>
      <c r="P53" s="21">
        <f>+P20-P22+P51</f>
        <v>489517.51999999996</v>
      </c>
      <c r="Q53" s="14"/>
      <c r="R53" s="22">
        <f>IF(P$12=0,0,P53/P$12)</f>
        <v>0.99928739783443077</v>
      </c>
      <c r="S53" s="14"/>
      <c r="T53" s="21">
        <f>+T20-T22+T51</f>
        <v>1699.4600000000501</v>
      </c>
      <c r="U53" s="14"/>
      <c r="V53" s="22">
        <f>IF(T$12=0,0,T53/T$12)</f>
        <v>8.0511808487013677E-3</v>
      </c>
      <c r="W53" s="15"/>
      <c r="X53" s="21">
        <f>+P53-T53</f>
        <v>487818.05999999994</v>
      </c>
      <c r="Y53" s="15"/>
      <c r="Z53" s="22">
        <f>IF(T53=0,0,X53/T53)</f>
        <v>287.04297835782285</v>
      </c>
    </row>
    <row r="54" spans="1:26" x14ac:dyDescent="0.25">
      <c r="A54" s="9"/>
      <c r="B54" s="11"/>
      <c r="C54" s="9"/>
      <c r="D54" s="3"/>
      <c r="E54" s="3"/>
      <c r="F54" s="8"/>
      <c r="G54" s="3"/>
      <c r="H54" s="3"/>
      <c r="I54" s="3"/>
      <c r="J54" s="8"/>
      <c r="K54" s="3"/>
      <c r="L54" s="3"/>
      <c r="M54" s="3"/>
      <c r="N54" s="8"/>
      <c r="P54" s="3"/>
      <c r="Q54" s="3"/>
      <c r="R54" s="8"/>
      <c r="S54" s="3"/>
      <c r="T54" s="3"/>
      <c r="U54" s="3"/>
      <c r="V54" s="8"/>
      <c r="W54" s="3"/>
      <c r="X54" s="3"/>
      <c r="Y54" s="3"/>
      <c r="Z54" s="8"/>
    </row>
    <row r="55" spans="1:26" s="24" customFormat="1" x14ac:dyDescent="0.25">
      <c r="A55" s="51"/>
      <c r="B55" s="11" t="s">
        <v>127</v>
      </c>
      <c r="C55" s="11"/>
      <c r="D55" s="4">
        <v>41518.629999999997</v>
      </c>
      <c r="E55" s="4"/>
      <c r="F55" s="13">
        <f>IF(D$12=0,0,D55/D$12)</f>
        <v>0.8365186699720184</v>
      </c>
      <c r="G55" s="4"/>
      <c r="H55" s="4">
        <v>6966.14</v>
      </c>
      <c r="I55" s="4"/>
      <c r="J55" s="13">
        <f>IF(H$12=0,0,H55/H$12)</f>
        <v>0</v>
      </c>
      <c r="K55" s="4"/>
      <c r="L55" s="4">
        <f>+D55-H55</f>
        <v>34552.49</v>
      </c>
      <c r="M55" s="4"/>
      <c r="N55" s="13">
        <f>IF(H55=0,0,L55/H55)</f>
        <v>4.9600625310430164</v>
      </c>
      <c r="O55" s="11"/>
      <c r="P55" s="4">
        <v>135592.45000000001</v>
      </c>
      <c r="Q55" s="4"/>
      <c r="R55" s="13">
        <f>IF(P$12=0,0,P55/P$12)</f>
        <v>0.27679464164325557</v>
      </c>
      <c r="S55" s="4"/>
      <c r="T55" s="4">
        <v>31962.6</v>
      </c>
      <c r="U55" s="4"/>
      <c r="V55" s="13">
        <f>IF(T$12=0,0,T55/T$12)</f>
        <v>0.15142261247378269</v>
      </c>
      <c r="W55" s="4"/>
      <c r="X55" s="4">
        <f>+P55-T55</f>
        <v>103629.85</v>
      </c>
      <c r="Y55" s="4"/>
      <c r="Z55" s="13">
        <f>IF(T55=0,0,X55/T55)</f>
        <v>3.2422221596490903</v>
      </c>
    </row>
    <row r="56" spans="1:26" x14ac:dyDescent="0.25">
      <c r="A56" s="9"/>
      <c r="B56" s="11"/>
      <c r="C56" s="11"/>
      <c r="D56" s="3"/>
      <c r="E56" s="3"/>
      <c r="F56" s="8"/>
      <c r="G56" s="3"/>
      <c r="H56" s="3"/>
      <c r="I56" s="3"/>
      <c r="J56" s="8"/>
      <c r="K56" s="3"/>
      <c r="L56" s="3"/>
      <c r="M56" s="3"/>
      <c r="N56" s="8"/>
      <c r="O56" s="11"/>
      <c r="P56" s="3"/>
      <c r="Q56" s="3"/>
      <c r="R56" s="8"/>
      <c r="S56" s="3"/>
      <c r="T56" s="3"/>
      <c r="U56" s="3"/>
      <c r="V56" s="8"/>
      <c r="W56" s="3"/>
      <c r="X56" s="3"/>
      <c r="Y56" s="3"/>
      <c r="Z56" s="8"/>
    </row>
    <row r="57" spans="1:26" s="24" customFormat="1" ht="15.75" thickBot="1" x14ac:dyDescent="0.3">
      <c r="A57" s="11"/>
      <c r="B57" s="28" t="s">
        <v>125</v>
      </c>
      <c r="C57" s="28"/>
      <c r="D57" s="34">
        <f>+D53-D55</f>
        <v>8114.010000000002</v>
      </c>
      <c r="E57" s="14"/>
      <c r="F57" s="31">
        <f>IF(D$12=0,0,D57/D$12)</f>
        <v>0.16348133002798163</v>
      </c>
      <c r="G57" s="14"/>
      <c r="H57" s="34">
        <f>+H53-H55</f>
        <v>-6427.9800000000005</v>
      </c>
      <c r="I57" s="14"/>
      <c r="J57" s="31">
        <f>IF(H$12=0,0,H57/H$12)</f>
        <v>0</v>
      </c>
      <c r="K57" s="15"/>
      <c r="L57" s="34">
        <f>D57-H57</f>
        <v>14541.990000000002</v>
      </c>
      <c r="M57" s="15"/>
      <c r="N57" s="31">
        <f>IF(H57=0,0,L57/H57)</f>
        <v>-2.2622954645160691</v>
      </c>
      <c r="O57" s="29"/>
      <c r="P57" s="34">
        <f>+P53-P55</f>
        <v>353925.06999999995</v>
      </c>
      <c r="Q57" s="14"/>
      <c r="R57" s="31">
        <f>IF(P$12=0,0,P57/P$12)</f>
        <v>0.72249275619117526</v>
      </c>
      <c r="S57" s="14"/>
      <c r="T57" s="34">
        <f>+T53-T55</f>
        <v>-30263.139999999948</v>
      </c>
      <c r="U57" s="14"/>
      <c r="V57" s="31">
        <f>IF(T$12=0,0,T57/T$12)</f>
        <v>-0.14337143162508131</v>
      </c>
      <c r="W57" s="15"/>
      <c r="X57" s="34">
        <f>P57-T57</f>
        <v>384188.2099999999</v>
      </c>
      <c r="Y57" s="15"/>
      <c r="Z57" s="31">
        <f>IF(T57=0,0,X57/T57)</f>
        <v>-12.694922271780145</v>
      </c>
    </row>
    <row r="58" spans="1:26" ht="15.75" thickTop="1" x14ac:dyDescent="0.25">
      <c r="A58" s="9"/>
      <c r="B58" s="9"/>
      <c r="C58" s="9"/>
      <c r="D58" s="3"/>
      <c r="E58" s="3"/>
      <c r="F58" s="8"/>
      <c r="G58" s="3"/>
      <c r="H58" s="3"/>
      <c r="I58" s="3"/>
      <c r="J58" s="8"/>
      <c r="K58" s="3"/>
      <c r="L58" s="3"/>
      <c r="M58" s="3"/>
      <c r="N58" s="8"/>
      <c r="P58" s="3"/>
      <c r="Q58" s="3"/>
      <c r="R58" s="8"/>
      <c r="S58" s="3"/>
      <c r="T58" s="3"/>
      <c r="U58" s="3"/>
      <c r="V58" s="8"/>
      <c r="W58" s="3"/>
      <c r="X58" s="3"/>
      <c r="Y58" s="3"/>
      <c r="Z58" s="8"/>
    </row>
    <row r="59" spans="1:26" x14ac:dyDescent="0.25">
      <c r="A59" s="9"/>
      <c r="B59" s="9"/>
      <c r="C59" s="9"/>
      <c r="D59" s="3"/>
      <c r="E59" s="3"/>
      <c r="F59" s="8"/>
      <c r="G59" s="3"/>
      <c r="H59" s="3"/>
      <c r="I59" s="3"/>
      <c r="J59" s="8"/>
      <c r="K59" s="3"/>
      <c r="L59" s="3"/>
      <c r="M59" s="3"/>
      <c r="N59" s="8"/>
      <c r="P59" s="3"/>
      <c r="Q59" s="3"/>
      <c r="R59" s="8"/>
      <c r="S59" s="3"/>
      <c r="T59" s="3"/>
      <c r="U59" s="3"/>
      <c r="V59" s="8"/>
      <c r="W59" s="3"/>
      <c r="X59" s="3"/>
      <c r="Y59" s="3"/>
      <c r="Z59" s="8"/>
    </row>
    <row r="60" spans="1:26" s="24" customFormat="1" ht="15.75" thickBot="1" x14ac:dyDescent="0.3">
      <c r="A60" s="11"/>
      <c r="B60" s="28" t="s">
        <v>293</v>
      </c>
      <c r="C60" s="28"/>
      <c r="D60" s="33">
        <f>SUM(D57:D59)</f>
        <v>8114.010000000002</v>
      </c>
      <c r="E60" s="14"/>
      <c r="F60" s="35">
        <f>IF(D$12=0,0,D60/D$12)</f>
        <v>0.16348133002798163</v>
      </c>
      <c r="G60" s="14"/>
      <c r="H60" s="33">
        <f>SUM(H57:H59)</f>
        <v>-6427.9800000000005</v>
      </c>
      <c r="I60" s="14"/>
      <c r="J60" s="35">
        <f>IF(H$12=0,0,H60/H$12)</f>
        <v>0</v>
      </c>
      <c r="K60" s="15"/>
      <c r="L60" s="33">
        <f>+D60-H60</f>
        <v>14541.990000000002</v>
      </c>
      <c r="M60" s="15"/>
      <c r="N60" s="35">
        <f>IF(H60=0,0,L60/H60)</f>
        <v>-2.2622954645160691</v>
      </c>
      <c r="O60" s="29"/>
      <c r="P60" s="33">
        <f>SUM(P57:P59)</f>
        <v>353925.06999999995</v>
      </c>
      <c r="Q60" s="14"/>
      <c r="R60" s="35">
        <f>IF(P$12=0,0,P60/P$12)</f>
        <v>0.72249275619117526</v>
      </c>
      <c r="S60" s="14"/>
      <c r="T60" s="33">
        <f>SUM(T57:T59)</f>
        <v>-30263.139999999948</v>
      </c>
      <c r="U60" s="14"/>
      <c r="V60" s="35">
        <f>IF(T$12=0,0,T60/T$12)</f>
        <v>-0.14337143162508131</v>
      </c>
      <c r="W60" s="15"/>
      <c r="X60" s="33">
        <f>+P60-T60</f>
        <v>384188.2099999999</v>
      </c>
      <c r="Y60" s="15"/>
      <c r="Z60" s="35">
        <f>IF(T60=0,0,X60/T60)</f>
        <v>-12.694922271780145</v>
      </c>
    </row>
    <row r="61" spans="1:26" ht="15.75" thickTop="1" x14ac:dyDescent="0.25">
      <c r="A61" s="9"/>
      <c r="C61" s="9"/>
      <c r="D61" s="18"/>
      <c r="E61" s="18"/>
      <c r="G61" s="18"/>
      <c r="H61" s="18"/>
      <c r="I61" s="18"/>
      <c r="J61" s="43"/>
      <c r="K61" s="18"/>
      <c r="L61" s="18"/>
      <c r="M61" s="18"/>
      <c r="P61" s="18"/>
      <c r="Q61" s="18"/>
      <c r="R61" s="43"/>
      <c r="S61" s="18"/>
      <c r="T61" s="18"/>
      <c r="U61" s="18"/>
      <c r="V61" s="43"/>
      <c r="W61" s="18"/>
      <c r="X61" s="18"/>
    </row>
    <row r="62" spans="1:26" x14ac:dyDescent="0.25">
      <c r="A62" s="9"/>
      <c r="B62" s="56">
        <v>44454.698585613427</v>
      </c>
      <c r="D62" s="18"/>
      <c r="E62" s="18"/>
      <c r="G62" s="18"/>
      <c r="H62" s="18"/>
      <c r="I62" s="18"/>
      <c r="J62" s="43"/>
      <c r="K62" s="18"/>
      <c r="L62" s="18"/>
      <c r="M62" s="18"/>
      <c r="P62" s="18"/>
      <c r="Q62" s="18"/>
      <c r="R62" s="43"/>
      <c r="S62" s="18"/>
      <c r="T62" s="18"/>
      <c r="U62" s="18"/>
      <c r="V62" s="43"/>
      <c r="W62" s="18"/>
      <c r="X62" s="18"/>
    </row>
    <row r="63" spans="1:26" x14ac:dyDescent="0.25">
      <c r="A63" s="9"/>
      <c r="B63" s="55" t="s">
        <v>56</v>
      </c>
      <c r="D63" s="18"/>
      <c r="E63" s="18"/>
      <c r="G63" s="18"/>
      <c r="H63" s="18"/>
      <c r="I63" s="18"/>
      <c r="J63" s="43"/>
      <c r="K63" s="18"/>
      <c r="L63" s="18"/>
      <c r="M63" s="18"/>
      <c r="P63" s="18"/>
      <c r="Q63" s="18"/>
      <c r="R63" s="43"/>
      <c r="S63" s="18"/>
      <c r="T63" s="18"/>
      <c r="U63" s="18"/>
      <c r="V63" s="43"/>
      <c r="W63" s="18"/>
      <c r="X63" s="18"/>
    </row>
    <row r="64" spans="1:26" x14ac:dyDescent="0.25">
      <c r="A64" s="9"/>
      <c r="B64" s="60"/>
      <c r="D64" s="18"/>
      <c r="E64" s="18"/>
      <c r="G64" s="18"/>
      <c r="H64" s="18"/>
      <c r="I64" s="18"/>
      <c r="J64" s="43"/>
      <c r="K64" s="18"/>
      <c r="L64" s="18"/>
      <c r="M64" s="18"/>
      <c r="P64" s="18"/>
      <c r="Q64" s="18"/>
      <c r="R64" s="43"/>
      <c r="S64" s="18"/>
      <c r="T64" s="18"/>
      <c r="U64" s="18"/>
      <c r="V64" s="43"/>
      <c r="W64" s="18"/>
      <c r="X64" s="18"/>
    </row>
    <row r="65" spans="4:24" x14ac:dyDescent="0.25">
      <c r="D65" s="18"/>
      <c r="E65" s="18"/>
      <c r="G65" s="18"/>
      <c r="H65" s="18"/>
      <c r="I65" s="18"/>
      <c r="J65" s="43"/>
      <c r="K65" s="18"/>
      <c r="L65" s="18"/>
      <c r="M65" s="18"/>
      <c r="P65" s="18"/>
      <c r="Q65" s="18"/>
      <c r="R65" s="43"/>
      <c r="S65" s="18"/>
      <c r="T65" s="18"/>
      <c r="U65" s="18"/>
      <c r="V65" s="43"/>
      <c r="W65" s="18"/>
      <c r="X65" s="18"/>
    </row>
  </sheetData>
  <pageMargins left="0.25" right="0.25" top="0.75" bottom="0.75" header="0.3" footer="0.3"/>
  <pageSetup scale="55" fitToWidth="2" orientation="landscape"/>
  <drawing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>
    <tabColor rgb="FF92D050"/>
    <outlinePr summaryBelow="0" summaryRight="0"/>
  </sheetPr>
  <dimension ref="A2:Z58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62" t="s">
        <v>23</v>
      </c>
    </row>
    <row r="3" spans="1:26" x14ac:dyDescent="0.25">
      <c r="D3" s="62" t="s">
        <v>236</v>
      </c>
      <c r="E3" s="17"/>
      <c r="F3" s="46"/>
      <c r="G3" s="17"/>
      <c r="H3" s="17"/>
      <c r="I3" s="17"/>
      <c r="J3" s="38"/>
      <c r="K3" s="17"/>
      <c r="L3" s="17"/>
      <c r="M3" s="17"/>
      <c r="N3" s="46"/>
      <c r="O3" s="53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2" t="str">
        <f>CONCATENATE("Period ",RIGHT(202112,2),", ",2021)</f>
        <v>Period 12, 2021</v>
      </c>
      <c r="E4" s="17"/>
      <c r="F4" s="46"/>
      <c r="G4" s="17"/>
      <c r="H4" s="17"/>
      <c r="I4" s="17"/>
      <c r="J4" s="38"/>
      <c r="K4" s="17"/>
      <c r="L4" s="17"/>
      <c r="M4" s="17"/>
      <c r="N4" s="46"/>
      <c r="O4" s="53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4"/>
      <c r="D5" s="63">
        <v>44377</v>
      </c>
      <c r="E5" s="17"/>
      <c r="F5" s="46"/>
      <c r="G5" s="17"/>
      <c r="H5" s="17"/>
      <c r="I5" s="17"/>
      <c r="J5" s="38"/>
      <c r="K5" s="17"/>
      <c r="L5" s="17"/>
      <c r="M5" s="17"/>
      <c r="N5" s="46"/>
      <c r="O5" s="53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4"/>
      <c r="B6" s="48"/>
      <c r="C6" s="48"/>
      <c r="D6" s="24" t="str">
        <f>CONCATENATE("Department ","423", " - ", "Contract/Vending Revenue")</f>
        <v>Department 423 - Contract/Vending Revenue</v>
      </c>
      <c r="E6" s="17"/>
      <c r="F6" s="46"/>
      <c r="G6" s="17"/>
      <c r="H6" s="17"/>
      <c r="I6" s="17"/>
      <c r="J6" s="38"/>
      <c r="K6" s="17"/>
      <c r="L6" s="17"/>
      <c r="M6" s="17"/>
      <c r="N6" s="46"/>
      <c r="O6" s="54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9"/>
    </row>
    <row r="8" spans="1:26" x14ac:dyDescent="0.25">
      <c r="B8" s="59"/>
    </row>
    <row r="9" spans="1:26" x14ac:dyDescent="0.25">
      <c r="B9" s="9"/>
      <c r="C9" s="9"/>
      <c r="D9" s="16" t="s">
        <v>291</v>
      </c>
      <c r="E9" s="16"/>
      <c r="F9" s="39"/>
      <c r="G9" s="16"/>
      <c r="H9" s="16"/>
      <c r="I9" s="16"/>
      <c r="J9" s="49"/>
      <c r="K9" s="16"/>
      <c r="L9" s="16"/>
      <c r="M9" s="16"/>
      <c r="N9" s="39"/>
      <c r="P9" s="16" t="s">
        <v>39</v>
      </c>
      <c r="Q9" s="16"/>
      <c r="R9" s="39"/>
      <c r="S9" s="16"/>
      <c r="T9" s="16"/>
      <c r="U9" s="16"/>
      <c r="V9" s="49"/>
      <c r="W9" s="16"/>
      <c r="X9" s="16"/>
      <c r="Y9" s="16"/>
      <c r="Z9" s="39"/>
    </row>
    <row r="10" spans="1:26" x14ac:dyDescent="0.25">
      <c r="A10" s="11"/>
      <c r="B10" s="58"/>
      <c r="C10" s="11"/>
      <c r="D10" s="42" t="s">
        <v>57</v>
      </c>
      <c r="E10" s="36"/>
      <c r="F10" s="30" t="s">
        <v>40</v>
      </c>
      <c r="G10" s="36"/>
      <c r="H10" s="50" t="s">
        <v>237</v>
      </c>
      <c r="I10" s="36"/>
      <c r="J10" s="30" t="s">
        <v>40</v>
      </c>
      <c r="K10" s="11"/>
      <c r="L10" s="42" t="s">
        <v>126</v>
      </c>
      <c r="M10" s="11"/>
      <c r="N10" s="30" t="s">
        <v>257</v>
      </c>
      <c r="O10" s="11"/>
      <c r="P10" s="61" t="s">
        <v>57</v>
      </c>
      <c r="Q10" s="36"/>
      <c r="R10" s="30" t="s">
        <v>40</v>
      </c>
      <c r="S10" s="36"/>
      <c r="T10" s="50" t="s">
        <v>237</v>
      </c>
      <c r="U10" s="36"/>
      <c r="V10" s="30" t="s">
        <v>40</v>
      </c>
      <c r="W10" s="11"/>
      <c r="X10" s="42" t="s">
        <v>126</v>
      </c>
      <c r="Y10" s="11"/>
      <c r="Z10" s="30" t="s">
        <v>257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4" customFormat="1" x14ac:dyDescent="0.25">
      <c r="A12" s="11"/>
      <c r="B12" s="29" t="s">
        <v>139</v>
      </c>
      <c r="C12" s="11"/>
      <c r="D12" s="4">
        <f>SUM(0)</f>
        <v>0</v>
      </c>
      <c r="E12" s="4"/>
      <c r="F12" s="13"/>
      <c r="G12" s="4"/>
      <c r="H12" s="4">
        <f>SUM(0)</f>
        <v>0</v>
      </c>
      <c r="I12" s="4"/>
      <c r="J12" s="13"/>
      <c r="K12" s="4"/>
      <c r="L12" s="4">
        <f>+D12-H12</f>
        <v>0</v>
      </c>
      <c r="M12" s="4"/>
      <c r="N12" s="13">
        <f>IF(H12=0,0,L12/H12)</f>
        <v>0</v>
      </c>
      <c r="O12" s="11"/>
      <c r="P12" s="4">
        <f>SUM(0)</f>
        <v>0</v>
      </c>
      <c r="Q12" s="4"/>
      <c r="R12" s="13"/>
      <c r="S12" s="4"/>
      <c r="T12" s="4">
        <f>SUM(0)</f>
        <v>0</v>
      </c>
      <c r="U12" s="4"/>
      <c r="V12" s="13"/>
      <c r="W12" s="4"/>
      <c r="X12" s="4">
        <f>+P12-T12</f>
        <v>0</v>
      </c>
      <c r="Y12" s="4"/>
      <c r="Z12" s="13">
        <f>IF(T12=0,0,X12/T12)</f>
        <v>0</v>
      </c>
    </row>
    <row r="13" spans="1:26" x14ac:dyDescent="0.25">
      <c r="A13" s="9"/>
      <c r="B13" s="11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4" customFormat="1" collapsed="1" x14ac:dyDescent="0.25">
      <c r="A14" s="11"/>
      <c r="B14" s="29" t="s">
        <v>256</v>
      </c>
      <c r="C14" s="11"/>
      <c r="D14" s="4">
        <f>SUM(OSRRefD16x_0)</f>
        <v>0</v>
      </c>
      <c r="E14" s="4"/>
      <c r="F14" s="13">
        <f t="shared" ref="F14:F15" si="0">IF(D$12=0,0,D14/D$12)</f>
        <v>0</v>
      </c>
      <c r="G14" s="4"/>
      <c r="H14" s="4">
        <f>SUM(OSRRefH16x_0)</f>
        <v>0</v>
      </c>
      <c r="I14" s="4"/>
      <c r="J14" s="13">
        <f t="shared" ref="J14:J15" si="1">IF(H$12=0,0,H14/H$12)</f>
        <v>0</v>
      </c>
      <c r="K14" s="4"/>
      <c r="L14" s="4">
        <f t="shared" ref="L14:L15" si="2">+D14-H14</f>
        <v>0</v>
      </c>
      <c r="M14" s="4"/>
      <c r="N14" s="13">
        <f t="shared" ref="N14:N15" si="3">IF(H14=0,0,L14/H14)</f>
        <v>0</v>
      </c>
      <c r="O14" s="11"/>
      <c r="P14" s="4">
        <f>SUM(OSRRefP16x_0)</f>
        <v>0</v>
      </c>
      <c r="Q14" s="4"/>
      <c r="R14" s="13">
        <f t="shared" ref="R14:R15" si="4">IF(P$12=0,0,P14/P$12)</f>
        <v>0</v>
      </c>
      <c r="S14" s="4"/>
      <c r="T14" s="4">
        <f>SUM(OSRRefT16x_0)</f>
        <v>-729.38</v>
      </c>
      <c r="U14" s="4"/>
      <c r="V14" s="13">
        <f t="shared" ref="V14:V15" si="5">IF(T$12=0,0,T14/T$12)</f>
        <v>0</v>
      </c>
      <c r="W14" s="4"/>
      <c r="X14" s="4">
        <f t="shared" ref="X14:X15" si="6">+P14-T14</f>
        <v>729.38</v>
      </c>
      <c r="Y14" s="4"/>
      <c r="Z14" s="13">
        <f t="shared" ref="Z14:Z15" si="7">IF(T14=0,0,X14/T14)</f>
        <v>-1</v>
      </c>
    </row>
    <row r="15" spans="1:26" s="23" customFormat="1" hidden="1" outlineLevel="1" x14ac:dyDescent="0.25">
      <c r="A15" s="44"/>
      <c r="B15" s="10" t="str">
        <f>CONCATENATE("          ", "5053", " - ", "PURCHASES @ COST-FOOD")</f>
        <v xml:space="preserve">          5053 - PURCHASES @ COST-FOOD</v>
      </c>
      <c r="C15" s="10"/>
      <c r="D15" s="2"/>
      <c r="E15" s="2"/>
      <c r="F15" s="19">
        <f t="shared" si="0"/>
        <v>0</v>
      </c>
      <c r="G15" s="2"/>
      <c r="H15" s="2"/>
      <c r="I15" s="2"/>
      <c r="J15" s="19">
        <f t="shared" si="1"/>
        <v>0</v>
      </c>
      <c r="K15" s="2"/>
      <c r="L15" s="2">
        <f t="shared" si="2"/>
        <v>0</v>
      </c>
      <c r="M15" s="2"/>
      <c r="N15" s="19">
        <f t="shared" si="3"/>
        <v>0</v>
      </c>
      <c r="O15" s="10"/>
      <c r="P15" s="2"/>
      <c r="Q15" s="2"/>
      <c r="R15" s="19">
        <f t="shared" si="4"/>
        <v>0</v>
      </c>
      <c r="S15" s="2"/>
      <c r="T15" s="2">
        <v>-729.38</v>
      </c>
      <c r="U15" s="2"/>
      <c r="V15" s="19">
        <f t="shared" si="5"/>
        <v>0</v>
      </c>
      <c r="W15" s="2"/>
      <c r="X15" s="2">
        <f t="shared" si="6"/>
        <v>729.38</v>
      </c>
      <c r="Y15" s="2"/>
      <c r="Z15" s="19">
        <f t="shared" si="7"/>
        <v>-1</v>
      </c>
    </row>
    <row r="16" spans="1:26" x14ac:dyDescent="0.25">
      <c r="A16" s="9"/>
      <c r="B16" s="11"/>
      <c r="C16" s="11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O16" s="11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4" customFormat="1" x14ac:dyDescent="0.25">
      <c r="A17" s="11"/>
      <c r="B17" s="28" t="s">
        <v>107</v>
      </c>
      <c r="C17" s="28"/>
      <c r="D17" s="21">
        <f>D12-D14</f>
        <v>0</v>
      </c>
      <c r="E17" s="14"/>
      <c r="F17" s="22">
        <f>IF(D$12=0,0,D17/D$12)</f>
        <v>0</v>
      </c>
      <c r="G17" s="14"/>
      <c r="H17" s="21">
        <f>H12-H14</f>
        <v>0</v>
      </c>
      <c r="I17" s="14"/>
      <c r="J17" s="22">
        <f>IF(H$12=0,0,H17/H$12)</f>
        <v>0</v>
      </c>
      <c r="K17" s="15"/>
      <c r="L17" s="21">
        <f>+D17-H17</f>
        <v>0</v>
      </c>
      <c r="M17" s="15"/>
      <c r="N17" s="22">
        <f>IF(H17=0,0,L17/H17)</f>
        <v>0</v>
      </c>
      <c r="O17" s="29"/>
      <c r="P17" s="21">
        <f>P12-P14</f>
        <v>0</v>
      </c>
      <c r="Q17" s="14"/>
      <c r="R17" s="22">
        <f>IF(P$12=0,0,P17/P$12)</f>
        <v>0</v>
      </c>
      <c r="S17" s="14"/>
      <c r="T17" s="21">
        <f>T12-T14</f>
        <v>729.38</v>
      </c>
      <c r="U17" s="14"/>
      <c r="V17" s="22">
        <f>IF(T$12=0,0,T17/T$12)</f>
        <v>0</v>
      </c>
      <c r="W17" s="15"/>
      <c r="X17" s="21">
        <f>+P17-T17</f>
        <v>-729.38</v>
      </c>
      <c r="Y17" s="15"/>
      <c r="Z17" s="22">
        <f>IF(T17=0,0,X17/T17)</f>
        <v>-1</v>
      </c>
    </row>
    <row r="18" spans="1:26" x14ac:dyDescent="0.25">
      <c r="A18" s="9"/>
      <c r="B18" s="11"/>
      <c r="C18" s="9"/>
      <c r="D18" s="1"/>
      <c r="E18" s="1"/>
      <c r="F18" s="5"/>
      <c r="G18" s="1"/>
      <c r="H18" s="1"/>
      <c r="I18" s="1"/>
      <c r="J18" s="5"/>
      <c r="K18" s="1"/>
      <c r="L18" s="1"/>
      <c r="M18" s="1"/>
      <c r="N18" s="5"/>
      <c r="O18" s="37"/>
      <c r="P18" s="1"/>
      <c r="Q18" s="1"/>
      <c r="R18" s="5"/>
      <c r="S18" s="1"/>
      <c r="T18" s="1"/>
      <c r="U18" s="1"/>
      <c r="V18" s="5"/>
      <c r="W18" s="1"/>
      <c r="X18" s="1"/>
      <c r="Y18" s="1"/>
      <c r="Z18" s="5"/>
    </row>
    <row r="19" spans="1:26" s="24" customFormat="1" x14ac:dyDescent="0.25">
      <c r="A19" s="11"/>
      <c r="B19" s="29" t="s">
        <v>294</v>
      </c>
      <c r="C19" s="11"/>
      <c r="D19" s="20">
        <f>SUM(OSRRefD22x_0)</f>
        <v>186</v>
      </c>
      <c r="E19" s="20"/>
      <c r="F19" s="32">
        <f t="shared" ref="F19:F28" si="8">IF(D$12=0,0,D19/D$12)</f>
        <v>0</v>
      </c>
      <c r="G19" s="20"/>
      <c r="H19" s="20">
        <f>SUM(OSRRefH22x_0)</f>
        <v>17788.2</v>
      </c>
      <c r="I19" s="20"/>
      <c r="J19" s="32">
        <f t="shared" ref="J19:J28" si="9">IF(H$12=0,0,H19/H$12)</f>
        <v>0</v>
      </c>
      <c r="K19" s="4"/>
      <c r="L19" s="20">
        <f t="shared" ref="L19:L28" si="10">+D19-H19</f>
        <v>-17602.2</v>
      </c>
      <c r="M19" s="4"/>
      <c r="N19" s="32">
        <f t="shared" ref="N19:N28" si="11">IF(H19=0,0,L19/H19)</f>
        <v>-0.98954363004688506</v>
      </c>
      <c r="O19" s="11"/>
      <c r="P19" s="20">
        <f>SUM(OSRRefP22x_0)</f>
        <v>3402.9900000000002</v>
      </c>
      <c r="Q19" s="20"/>
      <c r="R19" s="32">
        <f t="shared" ref="R19:R28" si="12">IF(P$12=0,0,P19/P$12)</f>
        <v>0</v>
      </c>
      <c r="S19" s="20"/>
      <c r="T19" s="20">
        <f>SUM(OSRRefT22x_0)</f>
        <v>169908.99999999997</v>
      </c>
      <c r="U19" s="20"/>
      <c r="V19" s="32">
        <f t="shared" ref="V19:V28" si="13">IF(T$12=0,0,T19/T$12)</f>
        <v>0</v>
      </c>
      <c r="W19" s="4"/>
      <c r="X19" s="20">
        <f t="shared" ref="X19:X28" si="14">+P19-T19</f>
        <v>-166506.00999999998</v>
      </c>
      <c r="Y19" s="4"/>
      <c r="Z19" s="32">
        <f t="shared" ref="Z19:Z28" si="15">IF(T19=0,0,X19/T19)</f>
        <v>-0.97997169072856649</v>
      </c>
    </row>
    <row r="20" spans="1:26" s="27" customFormat="1" outlineLevel="1" collapsed="1" x14ac:dyDescent="0.25">
      <c r="A20" s="26"/>
      <c r="B20" s="12" t="str">
        <f>CONCATENATE("     ","*Benefits                                         ")</f>
        <v xml:space="preserve">     *Benefits                                         </v>
      </c>
      <c r="C20" s="12"/>
      <c r="D20" s="1">
        <f>SUM(OSRRefD22_0x_0)</f>
        <v>0</v>
      </c>
      <c r="E20" s="1"/>
      <c r="F20" s="5">
        <f t="shared" si="8"/>
        <v>0</v>
      </c>
      <c r="G20" s="1"/>
      <c r="H20" s="1">
        <f>SUM(OSRRefH22_0x_0)</f>
        <v>5296.6399999999994</v>
      </c>
      <c r="I20" s="1"/>
      <c r="J20" s="5">
        <f t="shared" si="9"/>
        <v>0</v>
      </c>
      <c r="K20" s="1"/>
      <c r="L20" s="1">
        <f t="shared" si="10"/>
        <v>-5296.6399999999994</v>
      </c>
      <c r="M20" s="1"/>
      <c r="N20" s="5">
        <f t="shared" si="11"/>
        <v>-1</v>
      </c>
      <c r="O20" s="12"/>
      <c r="P20" s="1">
        <f>SUM(OSRRefP22_0x_0)</f>
        <v>2478.73</v>
      </c>
      <c r="Q20" s="1"/>
      <c r="R20" s="5">
        <f t="shared" si="12"/>
        <v>0</v>
      </c>
      <c r="S20" s="1"/>
      <c r="T20" s="1">
        <f>SUM(OSRRefT22_0x_0)</f>
        <v>69521.09</v>
      </c>
      <c r="U20" s="1"/>
      <c r="V20" s="5">
        <f t="shared" si="13"/>
        <v>0</v>
      </c>
      <c r="W20" s="1"/>
      <c r="X20" s="1">
        <f t="shared" si="14"/>
        <v>-67042.36</v>
      </c>
      <c r="Y20" s="1"/>
      <c r="Z20" s="5">
        <f t="shared" si="15"/>
        <v>-0.96434563957498376</v>
      </c>
    </row>
    <row r="21" spans="1:26" s="23" customFormat="1" hidden="1" outlineLevel="2" x14ac:dyDescent="0.25">
      <c r="A21" s="25"/>
      <c r="B21" s="10" t="str">
        <f>CONCATENATE("          ", "6111", " - ", "F.I.C.A.")</f>
        <v xml:space="preserve">          6111 - F.I.C.A.</v>
      </c>
      <c r="C21" s="10"/>
      <c r="D21" s="6"/>
      <c r="E21" s="2"/>
      <c r="F21" s="7">
        <f t="shared" si="8"/>
        <v>0</v>
      </c>
      <c r="G21" s="2"/>
      <c r="H21" s="6">
        <v>846.8</v>
      </c>
      <c r="I21" s="2"/>
      <c r="J21" s="7">
        <f t="shared" si="9"/>
        <v>0</v>
      </c>
      <c r="K21" s="2"/>
      <c r="L21" s="6">
        <f t="shared" si="10"/>
        <v>-846.8</v>
      </c>
      <c r="M21" s="2"/>
      <c r="N21" s="7">
        <f t="shared" si="11"/>
        <v>-1</v>
      </c>
      <c r="O21" s="10"/>
      <c r="P21" s="6"/>
      <c r="Q21" s="2"/>
      <c r="R21" s="7">
        <f t="shared" si="12"/>
        <v>0</v>
      </c>
      <c r="S21" s="2"/>
      <c r="T21" s="6">
        <v>8369.75</v>
      </c>
      <c r="U21" s="2"/>
      <c r="V21" s="7">
        <f t="shared" si="13"/>
        <v>0</v>
      </c>
      <c r="W21" s="2"/>
      <c r="X21" s="6">
        <f t="shared" si="14"/>
        <v>-8369.75</v>
      </c>
      <c r="Y21" s="2"/>
      <c r="Z21" s="7">
        <f t="shared" si="15"/>
        <v>-1</v>
      </c>
    </row>
    <row r="22" spans="1:26" s="23" customFormat="1" hidden="1" outlineLevel="2" x14ac:dyDescent="0.25">
      <c r="A22" s="25"/>
      <c r="B22" s="10" t="str">
        <f>CONCATENATE("          ", "6112", " - ", "COMPENSATION INSURANCE")</f>
        <v xml:space="preserve">          6112 - COMPENSATION INSURANCE</v>
      </c>
      <c r="C22" s="10"/>
      <c r="D22" s="6"/>
      <c r="E22" s="2"/>
      <c r="F22" s="7">
        <f t="shared" si="8"/>
        <v>0</v>
      </c>
      <c r="G22" s="2"/>
      <c r="H22" s="6">
        <v>37.64</v>
      </c>
      <c r="I22" s="2"/>
      <c r="J22" s="7">
        <f t="shared" si="9"/>
        <v>0</v>
      </c>
      <c r="K22" s="2"/>
      <c r="L22" s="6">
        <f t="shared" si="10"/>
        <v>-37.64</v>
      </c>
      <c r="M22" s="2"/>
      <c r="N22" s="7">
        <f t="shared" si="11"/>
        <v>-1</v>
      </c>
      <c r="O22" s="10"/>
      <c r="P22" s="6"/>
      <c r="Q22" s="2"/>
      <c r="R22" s="7">
        <f t="shared" si="12"/>
        <v>0</v>
      </c>
      <c r="S22" s="2"/>
      <c r="T22" s="6">
        <v>328.69</v>
      </c>
      <c r="U22" s="2"/>
      <c r="V22" s="7">
        <f t="shared" si="13"/>
        <v>0</v>
      </c>
      <c r="W22" s="2"/>
      <c r="X22" s="6">
        <f t="shared" si="14"/>
        <v>-328.69</v>
      </c>
      <c r="Y22" s="2"/>
      <c r="Z22" s="7">
        <f t="shared" si="15"/>
        <v>-1</v>
      </c>
    </row>
    <row r="23" spans="1:26" s="23" customFormat="1" hidden="1" outlineLevel="2" x14ac:dyDescent="0.25">
      <c r="A23" s="25"/>
      <c r="B23" s="10" t="str">
        <f>CONCATENATE("          ", "6113", " - ", "GROUP INSURANCE")</f>
        <v xml:space="preserve">          6113 - GROUP INSURANCE</v>
      </c>
      <c r="C23" s="10"/>
      <c r="D23" s="6"/>
      <c r="E23" s="2"/>
      <c r="F23" s="7">
        <f t="shared" si="8"/>
        <v>0</v>
      </c>
      <c r="G23" s="2"/>
      <c r="H23" s="6">
        <v>1950.75</v>
      </c>
      <c r="I23" s="2"/>
      <c r="J23" s="7">
        <f t="shared" si="9"/>
        <v>0</v>
      </c>
      <c r="K23" s="2"/>
      <c r="L23" s="6">
        <f t="shared" si="10"/>
        <v>-1950.75</v>
      </c>
      <c r="M23" s="2"/>
      <c r="N23" s="7">
        <f t="shared" si="11"/>
        <v>-1</v>
      </c>
      <c r="O23" s="10"/>
      <c r="P23" s="6">
        <v>1868.2</v>
      </c>
      <c r="Q23" s="2"/>
      <c r="R23" s="7">
        <f t="shared" si="12"/>
        <v>0</v>
      </c>
      <c r="S23" s="2"/>
      <c r="T23" s="6">
        <v>14888.23</v>
      </c>
      <c r="U23" s="2"/>
      <c r="V23" s="7">
        <f t="shared" si="13"/>
        <v>0</v>
      </c>
      <c r="W23" s="2"/>
      <c r="X23" s="6">
        <f t="shared" si="14"/>
        <v>-13020.029999999999</v>
      </c>
      <c r="Y23" s="2"/>
      <c r="Z23" s="7">
        <f t="shared" si="15"/>
        <v>-0.87451832756479442</v>
      </c>
    </row>
    <row r="24" spans="1:26" s="23" customFormat="1" hidden="1" outlineLevel="2" x14ac:dyDescent="0.25">
      <c r="A24" s="25"/>
      <c r="B24" s="10" t="str">
        <f>CONCATENATE("          ", "6114", " - ", "STATE UNEMPLOYMENT INSURANCE")</f>
        <v xml:space="preserve">          6114 - STATE UNEMPLOYMENT INSURANCE</v>
      </c>
      <c r="C24" s="10"/>
      <c r="D24" s="6"/>
      <c r="E24" s="2"/>
      <c r="F24" s="7">
        <f t="shared" si="8"/>
        <v>0</v>
      </c>
      <c r="G24" s="2"/>
      <c r="H24" s="6">
        <v>-235.04</v>
      </c>
      <c r="I24" s="2"/>
      <c r="J24" s="7">
        <f t="shared" si="9"/>
        <v>0</v>
      </c>
      <c r="K24" s="2"/>
      <c r="L24" s="6">
        <f t="shared" si="10"/>
        <v>235.04</v>
      </c>
      <c r="M24" s="2"/>
      <c r="N24" s="7">
        <f t="shared" si="11"/>
        <v>-1</v>
      </c>
      <c r="O24" s="10"/>
      <c r="P24" s="6"/>
      <c r="Q24" s="2"/>
      <c r="R24" s="7">
        <f t="shared" si="12"/>
        <v>0</v>
      </c>
      <c r="S24" s="2"/>
      <c r="T24" s="6">
        <v>0</v>
      </c>
      <c r="U24" s="2"/>
      <c r="V24" s="7">
        <f t="shared" si="13"/>
        <v>0</v>
      </c>
      <c r="W24" s="2"/>
      <c r="X24" s="6">
        <f t="shared" si="14"/>
        <v>0</v>
      </c>
      <c r="Y24" s="2"/>
      <c r="Z24" s="7">
        <f t="shared" si="15"/>
        <v>0</v>
      </c>
    </row>
    <row r="25" spans="1:26" s="23" customFormat="1" hidden="1" outlineLevel="2" x14ac:dyDescent="0.25">
      <c r="A25" s="25"/>
      <c r="B25" s="10" t="str">
        <f>CONCATENATE("          ", "6115", " - ", "P.E.R.S.")</f>
        <v xml:space="preserve">          6115 - P.E.R.S.</v>
      </c>
      <c r="C25" s="10"/>
      <c r="D25" s="6"/>
      <c r="E25" s="2"/>
      <c r="F25" s="7">
        <f t="shared" si="8"/>
        <v>0</v>
      </c>
      <c r="G25" s="2"/>
      <c r="H25" s="6">
        <v>1131.3900000000001</v>
      </c>
      <c r="I25" s="2"/>
      <c r="J25" s="7">
        <f t="shared" si="9"/>
        <v>0</v>
      </c>
      <c r="K25" s="2"/>
      <c r="L25" s="6">
        <f t="shared" si="10"/>
        <v>-1131.3900000000001</v>
      </c>
      <c r="M25" s="2"/>
      <c r="N25" s="7">
        <f t="shared" si="11"/>
        <v>-1</v>
      </c>
      <c r="O25" s="10"/>
      <c r="P25" s="6">
        <v>610.53</v>
      </c>
      <c r="Q25" s="2"/>
      <c r="R25" s="7">
        <f t="shared" si="12"/>
        <v>0</v>
      </c>
      <c r="S25" s="2"/>
      <c r="T25" s="6">
        <v>9806.17</v>
      </c>
      <c r="U25" s="2"/>
      <c r="V25" s="7">
        <f t="shared" si="13"/>
        <v>0</v>
      </c>
      <c r="W25" s="2"/>
      <c r="X25" s="6">
        <f t="shared" si="14"/>
        <v>-9195.64</v>
      </c>
      <c r="Y25" s="2"/>
      <c r="Z25" s="7">
        <f t="shared" si="15"/>
        <v>-0.93774021865825286</v>
      </c>
    </row>
    <row r="26" spans="1:26" s="23" customFormat="1" hidden="1" outlineLevel="2" x14ac:dyDescent="0.25">
      <c r="A26" s="25"/>
      <c r="B26" s="10" t="str">
        <f>CONCATENATE("          ", "6118", " - ", "VACATION")</f>
        <v xml:space="preserve">          6118 - VACATION</v>
      </c>
      <c r="C26" s="10"/>
      <c r="D26" s="6"/>
      <c r="E26" s="2"/>
      <c r="F26" s="7">
        <f t="shared" si="8"/>
        <v>0</v>
      </c>
      <c r="G26" s="2"/>
      <c r="H26" s="6">
        <v>1022.52</v>
      </c>
      <c r="I26" s="2"/>
      <c r="J26" s="7">
        <f t="shared" si="9"/>
        <v>0</v>
      </c>
      <c r="K26" s="2"/>
      <c r="L26" s="6">
        <f t="shared" si="10"/>
        <v>-1022.52</v>
      </c>
      <c r="M26" s="2"/>
      <c r="N26" s="7">
        <f t="shared" si="11"/>
        <v>-1</v>
      </c>
      <c r="O26" s="10"/>
      <c r="P26" s="6"/>
      <c r="Q26" s="2"/>
      <c r="R26" s="7">
        <f t="shared" si="12"/>
        <v>0</v>
      </c>
      <c r="S26" s="2"/>
      <c r="T26" s="6">
        <v>12265.5</v>
      </c>
      <c r="U26" s="2"/>
      <c r="V26" s="7">
        <f t="shared" si="13"/>
        <v>0</v>
      </c>
      <c r="W26" s="2"/>
      <c r="X26" s="6">
        <f t="shared" si="14"/>
        <v>-12265.5</v>
      </c>
      <c r="Y26" s="2"/>
      <c r="Z26" s="7">
        <f t="shared" si="15"/>
        <v>-1</v>
      </c>
    </row>
    <row r="27" spans="1:26" s="23" customFormat="1" hidden="1" outlineLevel="2" x14ac:dyDescent="0.25">
      <c r="A27" s="25"/>
      <c r="B27" s="10" t="str">
        <f>CONCATENATE("          ", "6119", " - ", "SICK LEAVE")</f>
        <v xml:space="preserve">          6119 - SICK LEAVE</v>
      </c>
      <c r="C27" s="10"/>
      <c r="D27" s="6"/>
      <c r="E27" s="2"/>
      <c r="F27" s="7">
        <f t="shared" si="8"/>
        <v>0</v>
      </c>
      <c r="G27" s="2"/>
      <c r="H27" s="6">
        <v>510.58</v>
      </c>
      <c r="I27" s="2"/>
      <c r="J27" s="7">
        <f t="shared" si="9"/>
        <v>0</v>
      </c>
      <c r="K27" s="2"/>
      <c r="L27" s="6">
        <f t="shared" si="10"/>
        <v>-510.58</v>
      </c>
      <c r="M27" s="2"/>
      <c r="N27" s="7">
        <f t="shared" si="11"/>
        <v>-1</v>
      </c>
      <c r="O27" s="10"/>
      <c r="P27" s="6"/>
      <c r="Q27" s="2"/>
      <c r="R27" s="7">
        <f t="shared" si="12"/>
        <v>0</v>
      </c>
      <c r="S27" s="2"/>
      <c r="T27" s="6">
        <v>22540.66</v>
      </c>
      <c r="U27" s="2"/>
      <c r="V27" s="7">
        <f t="shared" si="13"/>
        <v>0</v>
      </c>
      <c r="W27" s="2"/>
      <c r="X27" s="6">
        <f t="shared" si="14"/>
        <v>-22540.66</v>
      </c>
      <c r="Y27" s="2"/>
      <c r="Z27" s="7">
        <f t="shared" si="15"/>
        <v>-1</v>
      </c>
    </row>
    <row r="28" spans="1:26" s="23" customFormat="1" hidden="1" outlineLevel="2" x14ac:dyDescent="0.25">
      <c r="A28" s="25"/>
      <c r="B28" s="10" t="str">
        <f>CONCATENATE("          ", "6156", " - ", "EMPLOYEE MEALS")</f>
        <v xml:space="preserve">          6156 - EMPLOYEE MEALS</v>
      </c>
      <c r="C28" s="10"/>
      <c r="D28" s="6"/>
      <c r="E28" s="2"/>
      <c r="F28" s="7">
        <f t="shared" si="8"/>
        <v>0</v>
      </c>
      <c r="G28" s="2"/>
      <c r="H28" s="6">
        <v>32</v>
      </c>
      <c r="I28" s="2"/>
      <c r="J28" s="7">
        <f t="shared" si="9"/>
        <v>0</v>
      </c>
      <c r="K28" s="2"/>
      <c r="L28" s="6">
        <f t="shared" si="10"/>
        <v>-32</v>
      </c>
      <c r="M28" s="2"/>
      <c r="N28" s="7">
        <f t="shared" si="11"/>
        <v>-1</v>
      </c>
      <c r="O28" s="10"/>
      <c r="P28" s="6"/>
      <c r="Q28" s="2"/>
      <c r="R28" s="7">
        <f t="shared" si="12"/>
        <v>0</v>
      </c>
      <c r="S28" s="2"/>
      <c r="T28" s="6">
        <v>1322.09</v>
      </c>
      <c r="U28" s="2"/>
      <c r="V28" s="7">
        <f t="shared" si="13"/>
        <v>0</v>
      </c>
      <c r="W28" s="2"/>
      <c r="X28" s="6">
        <f t="shared" si="14"/>
        <v>-1322.09</v>
      </c>
      <c r="Y28" s="2"/>
      <c r="Z28" s="7">
        <f t="shared" si="15"/>
        <v>-1</v>
      </c>
    </row>
    <row r="29" spans="1:26" s="27" customFormat="1" outlineLevel="1" collapsed="1" x14ac:dyDescent="0.25">
      <c r="A29" s="26"/>
      <c r="B29" s="12" t="str">
        <f>CONCATENATE("     ","*Payroll                                          ")</f>
        <v xml:space="preserve">     *Payroll                                          </v>
      </c>
      <c r="C29" s="12"/>
      <c r="D29" s="1">
        <f>SUM(OSRRefD22_1x_0)</f>
        <v>0</v>
      </c>
      <c r="E29" s="1"/>
      <c r="F29" s="5">
        <f t="shared" ref="F29:F31" si="16">IF(D$12=0,0,D29/D$12)</f>
        <v>0</v>
      </c>
      <c r="G29" s="1"/>
      <c r="H29" s="1">
        <f>SUM(OSRRefH22_1x_0)</f>
        <v>7748.5</v>
      </c>
      <c r="I29" s="1"/>
      <c r="J29" s="5">
        <f t="shared" ref="J29:J31" si="17">IF(H$12=0,0,H29/H$12)</f>
        <v>0</v>
      </c>
      <c r="K29" s="1"/>
      <c r="L29" s="1">
        <f t="shared" ref="L29:L31" si="18">+D29-H29</f>
        <v>-7748.5</v>
      </c>
      <c r="M29" s="1"/>
      <c r="N29" s="5">
        <f t="shared" ref="N29:N31" si="19">IF(H29=0,0,L29/H29)</f>
        <v>-1</v>
      </c>
      <c r="O29" s="12"/>
      <c r="P29" s="1">
        <f>SUM(OSRRefP22_1x_0)</f>
        <v>0</v>
      </c>
      <c r="Q29" s="1"/>
      <c r="R29" s="5">
        <f t="shared" ref="R29:R31" si="20">IF(P$12=0,0,P29/P$12)</f>
        <v>0</v>
      </c>
      <c r="S29" s="1"/>
      <c r="T29" s="1">
        <f>SUM(OSRRefT22_1x_0)</f>
        <v>78697.179999999993</v>
      </c>
      <c r="U29" s="1"/>
      <c r="V29" s="5">
        <f t="shared" ref="V29:V31" si="21">IF(T$12=0,0,T29/T$12)</f>
        <v>0</v>
      </c>
      <c r="W29" s="1"/>
      <c r="X29" s="1">
        <f t="shared" ref="X29:X31" si="22">+P29-T29</f>
        <v>-78697.179999999993</v>
      </c>
      <c r="Y29" s="1"/>
      <c r="Z29" s="5">
        <f t="shared" ref="Z29:Z31" si="23">IF(T29=0,0,X29/T29)</f>
        <v>-1</v>
      </c>
    </row>
    <row r="30" spans="1:26" s="23" customFormat="1" hidden="1" outlineLevel="2" x14ac:dyDescent="0.25">
      <c r="A30" s="25"/>
      <c r="B30" s="10" t="str">
        <f>CONCATENATE("          ", "6001", " - ", "ADMINISTRATIVE SALARIES")</f>
        <v xml:space="preserve">          6001 - ADMINISTRATIVE SALARIES</v>
      </c>
      <c r="C30" s="10"/>
      <c r="D30" s="6"/>
      <c r="E30" s="2"/>
      <c r="F30" s="7">
        <f t="shared" si="16"/>
        <v>0</v>
      </c>
      <c r="G30" s="2"/>
      <c r="H30" s="6">
        <v>7748.5</v>
      </c>
      <c r="I30" s="2"/>
      <c r="J30" s="7">
        <f t="shared" si="17"/>
        <v>0</v>
      </c>
      <c r="K30" s="2"/>
      <c r="L30" s="6">
        <f t="shared" si="18"/>
        <v>-7748.5</v>
      </c>
      <c r="M30" s="2"/>
      <c r="N30" s="7">
        <f t="shared" si="19"/>
        <v>-1</v>
      </c>
      <c r="O30" s="10"/>
      <c r="P30" s="6"/>
      <c r="Q30" s="2"/>
      <c r="R30" s="7">
        <f t="shared" si="20"/>
        <v>0</v>
      </c>
      <c r="S30" s="2"/>
      <c r="T30" s="6">
        <v>82571.429999999993</v>
      </c>
      <c r="U30" s="2"/>
      <c r="V30" s="7">
        <f t="shared" si="21"/>
        <v>0</v>
      </c>
      <c r="W30" s="2"/>
      <c r="X30" s="6">
        <f t="shared" si="22"/>
        <v>-82571.429999999993</v>
      </c>
      <c r="Y30" s="2"/>
      <c r="Z30" s="7">
        <f t="shared" si="23"/>
        <v>-1</v>
      </c>
    </row>
    <row r="31" spans="1:26" s="23" customFormat="1" hidden="1" outlineLevel="2" x14ac:dyDescent="0.25">
      <c r="A31" s="25"/>
      <c r="B31" s="10" t="str">
        <f>CONCATENATE("          ", "6002", " - ", "STAFF SALARIES")</f>
        <v xml:space="preserve">          6002 - STAFF SALARIES</v>
      </c>
      <c r="C31" s="10"/>
      <c r="D31" s="6"/>
      <c r="E31" s="2"/>
      <c r="F31" s="7">
        <f t="shared" si="16"/>
        <v>0</v>
      </c>
      <c r="G31" s="2"/>
      <c r="H31" s="6"/>
      <c r="I31" s="2"/>
      <c r="J31" s="7">
        <f t="shared" si="17"/>
        <v>0</v>
      </c>
      <c r="K31" s="2"/>
      <c r="L31" s="6">
        <f t="shared" si="18"/>
        <v>0</v>
      </c>
      <c r="M31" s="2"/>
      <c r="N31" s="7">
        <f t="shared" si="19"/>
        <v>0</v>
      </c>
      <c r="O31" s="10"/>
      <c r="P31" s="6"/>
      <c r="Q31" s="2"/>
      <c r="R31" s="7">
        <f t="shared" si="20"/>
        <v>0</v>
      </c>
      <c r="S31" s="2"/>
      <c r="T31" s="6">
        <v>-3874.25</v>
      </c>
      <c r="U31" s="2"/>
      <c r="V31" s="7">
        <f t="shared" si="21"/>
        <v>0</v>
      </c>
      <c r="W31" s="2"/>
      <c r="X31" s="6">
        <f t="shared" si="22"/>
        <v>3874.25</v>
      </c>
      <c r="Y31" s="2"/>
      <c r="Z31" s="7">
        <f t="shared" si="23"/>
        <v>-1</v>
      </c>
    </row>
    <row r="32" spans="1:26" s="27" customFormat="1" outlineLevel="1" collapsed="1" x14ac:dyDescent="0.25">
      <c r="A32" s="26"/>
      <c r="B32" s="12" t="str">
        <f>CONCATENATE("     ","General                                           ")</f>
        <v xml:space="preserve">     General                                           </v>
      </c>
      <c r="C32" s="12"/>
      <c r="D32" s="1">
        <f>SUM(OSRRefD22_2x_0)</f>
        <v>0</v>
      </c>
      <c r="E32" s="1"/>
      <c r="F32" s="5">
        <f t="shared" ref="F32:F41" si="24">IF(D$12=0,0,D32/D$12)</f>
        <v>0</v>
      </c>
      <c r="G32" s="1"/>
      <c r="H32" s="1">
        <f>SUM(OSRRefH22_2x_0)</f>
        <v>4574.0600000000004</v>
      </c>
      <c r="I32" s="1"/>
      <c r="J32" s="5">
        <f t="shared" ref="J32:J41" si="25">IF(H$12=0,0,H32/H$12)</f>
        <v>0</v>
      </c>
      <c r="K32" s="1"/>
      <c r="L32" s="1">
        <f t="shared" ref="L32:L41" si="26">+D32-H32</f>
        <v>-4574.0600000000004</v>
      </c>
      <c r="M32" s="1"/>
      <c r="N32" s="5">
        <f t="shared" ref="N32:N41" si="27">IF(H32=0,0,L32/H32)</f>
        <v>-1</v>
      </c>
      <c r="O32" s="12"/>
      <c r="P32" s="1">
        <f>SUM(OSRRefP22_2x_0)</f>
        <v>0</v>
      </c>
      <c r="Q32" s="1"/>
      <c r="R32" s="5">
        <f t="shared" ref="R32:R41" si="28">IF(P$12=0,0,P32/P$12)</f>
        <v>0</v>
      </c>
      <c r="S32" s="1"/>
      <c r="T32" s="1">
        <f>SUM(OSRRefT22_2x_0)</f>
        <v>7017.71</v>
      </c>
      <c r="U32" s="1"/>
      <c r="V32" s="5">
        <f t="shared" ref="V32:V41" si="29">IF(T$12=0,0,T32/T$12)</f>
        <v>0</v>
      </c>
      <c r="W32" s="1"/>
      <c r="X32" s="1">
        <f t="shared" ref="X32:X41" si="30">+P32-T32</f>
        <v>-7017.71</v>
      </c>
      <c r="Y32" s="1"/>
      <c r="Z32" s="5">
        <f t="shared" ref="Z32:Z41" si="31">IF(T32=0,0,X32/T32)</f>
        <v>-1</v>
      </c>
    </row>
    <row r="33" spans="1:26" s="23" customFormat="1" hidden="1" outlineLevel="2" x14ac:dyDescent="0.25">
      <c r="A33" s="25"/>
      <c r="B33" s="10" t="str">
        <f>CONCATENATE("          ", "6279", " - ", "GENERAL EXPENSE")</f>
        <v xml:space="preserve">          6279 - GENERAL EXPENSE</v>
      </c>
      <c r="C33" s="10"/>
      <c r="D33" s="6"/>
      <c r="E33" s="2"/>
      <c r="F33" s="7">
        <f t="shared" si="24"/>
        <v>0</v>
      </c>
      <c r="G33" s="2"/>
      <c r="H33" s="6">
        <v>4574.0600000000004</v>
      </c>
      <c r="I33" s="2"/>
      <c r="J33" s="7">
        <f t="shared" si="25"/>
        <v>0</v>
      </c>
      <c r="K33" s="2"/>
      <c r="L33" s="6">
        <f t="shared" si="26"/>
        <v>-4574.0600000000004</v>
      </c>
      <c r="M33" s="2"/>
      <c r="N33" s="7">
        <f t="shared" si="27"/>
        <v>-1</v>
      </c>
      <c r="O33" s="10"/>
      <c r="P33" s="6"/>
      <c r="Q33" s="2"/>
      <c r="R33" s="7">
        <f t="shared" si="28"/>
        <v>0</v>
      </c>
      <c r="S33" s="2"/>
      <c r="T33" s="6">
        <v>7017.71</v>
      </c>
      <c r="U33" s="2"/>
      <c r="V33" s="7">
        <f t="shared" si="29"/>
        <v>0</v>
      </c>
      <c r="W33" s="2"/>
      <c r="X33" s="6">
        <f t="shared" si="30"/>
        <v>-7017.71</v>
      </c>
      <c r="Y33" s="2"/>
      <c r="Z33" s="7">
        <f t="shared" si="31"/>
        <v>-1</v>
      </c>
    </row>
    <row r="34" spans="1:26" s="27" customFormat="1" outlineLevel="1" collapsed="1" x14ac:dyDescent="0.25">
      <c r="A34" s="26"/>
      <c r="B34" s="12" t="str">
        <f>CONCATENATE("     ","Royalty &amp; Commissions                             ")</f>
        <v xml:space="preserve">     Royalty &amp; Commissions                             </v>
      </c>
      <c r="C34" s="12"/>
      <c r="D34" s="1">
        <f>SUM(OSRRefD22_3x_0)</f>
        <v>0</v>
      </c>
      <c r="E34" s="1"/>
      <c r="F34" s="5">
        <f t="shared" si="24"/>
        <v>0</v>
      </c>
      <c r="G34" s="1"/>
      <c r="H34" s="1">
        <f>SUM(OSRRefH22_3x_0)</f>
        <v>0</v>
      </c>
      <c r="I34" s="1"/>
      <c r="J34" s="5">
        <f t="shared" si="25"/>
        <v>0</v>
      </c>
      <c r="K34" s="1"/>
      <c r="L34" s="1">
        <f t="shared" si="26"/>
        <v>0</v>
      </c>
      <c r="M34" s="1"/>
      <c r="N34" s="5">
        <f t="shared" si="27"/>
        <v>0</v>
      </c>
      <c r="O34" s="12"/>
      <c r="P34" s="1">
        <f>SUM(OSRRefP22_3x_0)</f>
        <v>0</v>
      </c>
      <c r="Q34" s="1"/>
      <c r="R34" s="5">
        <f t="shared" si="28"/>
        <v>0</v>
      </c>
      <c r="S34" s="1"/>
      <c r="T34" s="1">
        <f>SUM(OSRRefT22_3x_0)</f>
        <v>10393.31</v>
      </c>
      <c r="U34" s="1"/>
      <c r="V34" s="5">
        <f t="shared" si="29"/>
        <v>0</v>
      </c>
      <c r="W34" s="1"/>
      <c r="X34" s="1">
        <f t="shared" si="30"/>
        <v>-10393.31</v>
      </c>
      <c r="Y34" s="1"/>
      <c r="Z34" s="5">
        <f t="shared" si="31"/>
        <v>-1</v>
      </c>
    </row>
    <row r="35" spans="1:26" s="23" customFormat="1" hidden="1" outlineLevel="2" x14ac:dyDescent="0.25">
      <c r="A35" s="25"/>
      <c r="B35" s="10" t="str">
        <f>CONCATENATE("          ", "6254", " - ", "ROYALTY &amp; COMMISSIONS")</f>
        <v xml:space="preserve">          6254 - ROYALTY &amp; COMMISSIONS</v>
      </c>
      <c r="C35" s="10"/>
      <c r="D35" s="6"/>
      <c r="E35" s="2"/>
      <c r="F35" s="7">
        <f t="shared" si="24"/>
        <v>0</v>
      </c>
      <c r="G35" s="2"/>
      <c r="H35" s="6"/>
      <c r="I35" s="2"/>
      <c r="J35" s="7">
        <f t="shared" si="25"/>
        <v>0</v>
      </c>
      <c r="K35" s="2"/>
      <c r="L35" s="6">
        <f t="shared" si="26"/>
        <v>0</v>
      </c>
      <c r="M35" s="2"/>
      <c r="N35" s="7">
        <f t="shared" si="27"/>
        <v>0</v>
      </c>
      <c r="O35" s="10"/>
      <c r="P35" s="6"/>
      <c r="Q35" s="2"/>
      <c r="R35" s="7">
        <f t="shared" si="28"/>
        <v>0</v>
      </c>
      <c r="S35" s="2"/>
      <c r="T35" s="6">
        <v>10393.31</v>
      </c>
      <c r="U35" s="2"/>
      <c r="V35" s="7">
        <f t="shared" si="29"/>
        <v>0</v>
      </c>
      <c r="W35" s="2"/>
      <c r="X35" s="6">
        <f t="shared" si="30"/>
        <v>-10393.31</v>
      </c>
      <c r="Y35" s="2"/>
      <c r="Z35" s="7">
        <f t="shared" si="31"/>
        <v>-1</v>
      </c>
    </row>
    <row r="36" spans="1:26" s="27" customFormat="1" outlineLevel="1" collapsed="1" x14ac:dyDescent="0.25">
      <c r="A36" s="26"/>
      <c r="B36" s="12" t="str">
        <f>CONCATENATE("     ","Supplies                                          ")</f>
        <v xml:space="preserve">     Supplies                                          </v>
      </c>
      <c r="C36" s="12"/>
      <c r="D36" s="1">
        <f>SUM(OSRRefD22_4x_0)</f>
        <v>0</v>
      </c>
      <c r="E36" s="1"/>
      <c r="F36" s="5">
        <f t="shared" si="24"/>
        <v>0</v>
      </c>
      <c r="G36" s="1"/>
      <c r="H36" s="1">
        <f>SUM(OSRRefH22_4x_0)</f>
        <v>56.3</v>
      </c>
      <c r="I36" s="1"/>
      <c r="J36" s="5">
        <f t="shared" si="25"/>
        <v>0</v>
      </c>
      <c r="K36" s="1"/>
      <c r="L36" s="1">
        <f t="shared" si="26"/>
        <v>-56.3</v>
      </c>
      <c r="M36" s="1"/>
      <c r="N36" s="5">
        <f t="shared" si="27"/>
        <v>-1</v>
      </c>
      <c r="O36" s="12"/>
      <c r="P36" s="1">
        <f>SUM(OSRRefP22_4x_0)</f>
        <v>3.26</v>
      </c>
      <c r="Q36" s="1"/>
      <c r="R36" s="5">
        <f t="shared" si="28"/>
        <v>0</v>
      </c>
      <c r="S36" s="1"/>
      <c r="T36" s="1">
        <f>SUM(OSRRefT22_4x_0)</f>
        <v>196.85</v>
      </c>
      <c r="U36" s="1"/>
      <c r="V36" s="5">
        <f t="shared" si="29"/>
        <v>0</v>
      </c>
      <c r="W36" s="1"/>
      <c r="X36" s="1">
        <f t="shared" si="30"/>
        <v>-193.59</v>
      </c>
      <c r="Y36" s="1"/>
      <c r="Z36" s="5">
        <f t="shared" si="31"/>
        <v>-0.98343916687833377</v>
      </c>
    </row>
    <row r="37" spans="1:26" s="23" customFormat="1" hidden="1" outlineLevel="2" x14ac:dyDescent="0.25">
      <c r="A37" s="25"/>
      <c r="B37" s="10" t="str">
        <f>CONCATENATE("          ", "6241", " - ", "OFFICE EXPENSE")</f>
        <v xml:space="preserve">          6241 - OFFICE EXPENSE</v>
      </c>
      <c r="C37" s="10"/>
      <c r="D37" s="6"/>
      <c r="E37" s="2"/>
      <c r="F37" s="7">
        <f t="shared" si="24"/>
        <v>0</v>
      </c>
      <c r="G37" s="2"/>
      <c r="H37" s="6">
        <v>56.3</v>
      </c>
      <c r="I37" s="2"/>
      <c r="J37" s="7">
        <f t="shared" si="25"/>
        <v>0</v>
      </c>
      <c r="K37" s="2"/>
      <c r="L37" s="6">
        <f t="shared" si="26"/>
        <v>-56.3</v>
      </c>
      <c r="M37" s="2"/>
      <c r="N37" s="7">
        <f t="shared" si="27"/>
        <v>-1</v>
      </c>
      <c r="O37" s="10"/>
      <c r="P37" s="6">
        <v>3.26</v>
      </c>
      <c r="Q37" s="2"/>
      <c r="R37" s="7">
        <f t="shared" si="28"/>
        <v>0</v>
      </c>
      <c r="S37" s="2"/>
      <c r="T37" s="6">
        <v>196.85</v>
      </c>
      <c r="U37" s="2"/>
      <c r="V37" s="7">
        <f t="shared" si="29"/>
        <v>0</v>
      </c>
      <c r="W37" s="2"/>
      <c r="X37" s="6">
        <f t="shared" si="30"/>
        <v>-193.59</v>
      </c>
      <c r="Y37" s="2"/>
      <c r="Z37" s="7">
        <f t="shared" si="31"/>
        <v>-0.98343916687833377</v>
      </c>
    </row>
    <row r="38" spans="1:26" s="27" customFormat="1" outlineLevel="1" collapsed="1" x14ac:dyDescent="0.25">
      <c r="A38" s="26"/>
      <c r="B38" s="12" t="str">
        <f>CONCATENATE("     ","Telephone/Data Lines                              ")</f>
        <v xml:space="preserve">     Telephone/Data Lines                              </v>
      </c>
      <c r="C38" s="12"/>
      <c r="D38" s="1">
        <f>SUM(OSRRefD22_5x_0)</f>
        <v>186</v>
      </c>
      <c r="E38" s="1"/>
      <c r="F38" s="5">
        <f t="shared" si="24"/>
        <v>0</v>
      </c>
      <c r="G38" s="1"/>
      <c r="H38" s="1">
        <f>SUM(OSRRefH22_5x_0)</f>
        <v>112.7</v>
      </c>
      <c r="I38" s="1"/>
      <c r="J38" s="5">
        <f t="shared" si="25"/>
        <v>0</v>
      </c>
      <c r="K38" s="1"/>
      <c r="L38" s="1">
        <f t="shared" si="26"/>
        <v>73.3</v>
      </c>
      <c r="M38" s="1"/>
      <c r="N38" s="5">
        <f t="shared" si="27"/>
        <v>0.65039929015084286</v>
      </c>
      <c r="O38" s="12"/>
      <c r="P38" s="1">
        <f>SUM(OSRRefP22_5x_0)</f>
        <v>921</v>
      </c>
      <c r="Q38" s="1"/>
      <c r="R38" s="5">
        <f t="shared" si="28"/>
        <v>0</v>
      </c>
      <c r="S38" s="1"/>
      <c r="T38" s="1">
        <f>SUM(OSRRefT22_5x_0)</f>
        <v>1323.05</v>
      </c>
      <c r="U38" s="1"/>
      <c r="V38" s="5">
        <f t="shared" si="29"/>
        <v>0</v>
      </c>
      <c r="W38" s="1"/>
      <c r="X38" s="1">
        <f t="shared" si="30"/>
        <v>-402.04999999999995</v>
      </c>
      <c r="Y38" s="1"/>
      <c r="Z38" s="5">
        <f t="shared" si="31"/>
        <v>-0.30388118362873662</v>
      </c>
    </row>
    <row r="39" spans="1:26" s="23" customFormat="1" hidden="1" outlineLevel="2" x14ac:dyDescent="0.25">
      <c r="A39" s="25"/>
      <c r="B39" s="10" t="str">
        <f>CONCATENATE("          ", "6309", " - ", "TELEPHONE")</f>
        <v xml:space="preserve">          6309 - TELEPHONE</v>
      </c>
      <c r="C39" s="10"/>
      <c r="D39" s="6">
        <v>186</v>
      </c>
      <c r="E39" s="2"/>
      <c r="F39" s="7">
        <f t="shared" si="24"/>
        <v>0</v>
      </c>
      <c r="G39" s="2"/>
      <c r="H39" s="6">
        <v>112.7</v>
      </c>
      <c r="I39" s="2"/>
      <c r="J39" s="7">
        <f t="shared" si="25"/>
        <v>0</v>
      </c>
      <c r="K39" s="2"/>
      <c r="L39" s="6">
        <f t="shared" si="26"/>
        <v>73.3</v>
      </c>
      <c r="M39" s="2"/>
      <c r="N39" s="7">
        <f t="shared" si="27"/>
        <v>0.65039929015084286</v>
      </c>
      <c r="O39" s="10"/>
      <c r="P39" s="6">
        <v>921</v>
      </c>
      <c r="Q39" s="2"/>
      <c r="R39" s="7">
        <f t="shared" si="28"/>
        <v>0</v>
      </c>
      <c r="S39" s="2"/>
      <c r="T39" s="6">
        <v>1323.05</v>
      </c>
      <c r="U39" s="2"/>
      <c r="V39" s="7">
        <f t="shared" si="29"/>
        <v>0</v>
      </c>
      <c r="W39" s="2"/>
      <c r="X39" s="6">
        <f t="shared" si="30"/>
        <v>-402.04999999999995</v>
      </c>
      <c r="Y39" s="2"/>
      <c r="Z39" s="7">
        <f t="shared" si="31"/>
        <v>-0.30388118362873662</v>
      </c>
    </row>
    <row r="40" spans="1:26" s="27" customFormat="1" outlineLevel="1" collapsed="1" x14ac:dyDescent="0.25">
      <c r="A40" s="26"/>
      <c r="B40" s="12" t="str">
        <f>CONCATENATE("     ","Travel                                            ")</f>
        <v xml:space="preserve">     Travel                                            </v>
      </c>
      <c r="C40" s="12"/>
      <c r="D40" s="1">
        <f>SUM(OSRRefD22_6x_0)</f>
        <v>0</v>
      </c>
      <c r="E40" s="1"/>
      <c r="F40" s="5">
        <f t="shared" si="24"/>
        <v>0</v>
      </c>
      <c r="G40" s="1"/>
      <c r="H40" s="1">
        <f>SUM(OSRRefH22_6x_0)</f>
        <v>0</v>
      </c>
      <c r="I40" s="1"/>
      <c r="J40" s="5">
        <f t="shared" si="25"/>
        <v>0</v>
      </c>
      <c r="K40" s="1"/>
      <c r="L40" s="1">
        <f t="shared" si="26"/>
        <v>0</v>
      </c>
      <c r="M40" s="1"/>
      <c r="N40" s="5">
        <f t="shared" si="27"/>
        <v>0</v>
      </c>
      <c r="O40" s="12"/>
      <c r="P40" s="1">
        <f>SUM(OSRRefP22_6x_0)</f>
        <v>0</v>
      </c>
      <c r="Q40" s="1"/>
      <c r="R40" s="5">
        <f t="shared" si="28"/>
        <v>0</v>
      </c>
      <c r="S40" s="1"/>
      <c r="T40" s="1">
        <f>SUM(OSRRefT22_6x_0)</f>
        <v>2759.81</v>
      </c>
      <c r="U40" s="1"/>
      <c r="V40" s="5">
        <f t="shared" si="29"/>
        <v>0</v>
      </c>
      <c r="W40" s="1"/>
      <c r="X40" s="1">
        <f t="shared" si="30"/>
        <v>-2759.81</v>
      </c>
      <c r="Y40" s="1"/>
      <c r="Z40" s="5">
        <f t="shared" si="31"/>
        <v>-1</v>
      </c>
    </row>
    <row r="41" spans="1:26" s="23" customFormat="1" hidden="1" outlineLevel="2" x14ac:dyDescent="0.25">
      <c r="A41" s="25"/>
      <c r="B41" s="10" t="str">
        <f>CONCATENATE("          ", "6292", " - ", "TRAVEL/CONFERENCE")</f>
        <v xml:space="preserve">          6292 - TRAVEL/CONFERENCE</v>
      </c>
      <c r="C41" s="10"/>
      <c r="D41" s="6"/>
      <c r="E41" s="2"/>
      <c r="F41" s="7">
        <f t="shared" si="24"/>
        <v>0</v>
      </c>
      <c r="G41" s="2"/>
      <c r="H41" s="6"/>
      <c r="I41" s="2"/>
      <c r="J41" s="7">
        <f t="shared" si="25"/>
        <v>0</v>
      </c>
      <c r="K41" s="2"/>
      <c r="L41" s="6">
        <f t="shared" si="26"/>
        <v>0</v>
      </c>
      <c r="M41" s="2"/>
      <c r="N41" s="7">
        <f t="shared" si="27"/>
        <v>0</v>
      </c>
      <c r="O41" s="10"/>
      <c r="P41" s="6"/>
      <c r="Q41" s="2"/>
      <c r="R41" s="7">
        <f t="shared" si="28"/>
        <v>0</v>
      </c>
      <c r="S41" s="2"/>
      <c r="T41" s="6">
        <v>2759.81</v>
      </c>
      <c r="U41" s="2"/>
      <c r="V41" s="7">
        <f t="shared" si="29"/>
        <v>0</v>
      </c>
      <c r="W41" s="2"/>
      <c r="X41" s="6">
        <f t="shared" si="30"/>
        <v>-2759.81</v>
      </c>
      <c r="Y41" s="2"/>
      <c r="Z41" s="7">
        <f t="shared" si="31"/>
        <v>-1</v>
      </c>
    </row>
    <row r="42" spans="1:26" s="52" customFormat="1" x14ac:dyDescent="0.25">
      <c r="A42" s="37"/>
      <c r="B42" s="37"/>
      <c r="C42" s="37"/>
      <c r="D42" s="1"/>
      <c r="E42" s="1"/>
      <c r="F42" s="5"/>
      <c r="G42" s="1"/>
      <c r="H42" s="1"/>
      <c r="I42" s="1"/>
      <c r="J42" s="5"/>
      <c r="K42" s="1"/>
      <c r="L42" s="1"/>
      <c r="M42" s="1"/>
      <c r="N42" s="5"/>
      <c r="O42" s="37"/>
      <c r="P42" s="1"/>
      <c r="Q42" s="1"/>
      <c r="R42" s="5"/>
      <c r="S42" s="1"/>
      <c r="T42" s="1"/>
      <c r="U42" s="1"/>
      <c r="V42" s="5"/>
      <c r="W42" s="1"/>
      <c r="X42" s="1"/>
      <c r="Y42" s="1"/>
      <c r="Z42" s="5"/>
    </row>
    <row r="43" spans="1:26" s="24" customFormat="1" collapsed="1" x14ac:dyDescent="0.25">
      <c r="A43" s="11"/>
      <c r="B43" s="29" t="s">
        <v>292</v>
      </c>
      <c r="C43" s="11"/>
      <c r="D43" s="4">
        <f>SUM(OSRRefD25x_0)</f>
        <v>0</v>
      </c>
      <c r="E43" s="4"/>
      <c r="F43" s="13">
        <f t="shared" ref="F43:F44" si="32">IF(D$12=0,0,D43/D$12)</f>
        <v>0</v>
      </c>
      <c r="G43" s="4"/>
      <c r="H43" s="4">
        <f>SUM(OSRRefH25x_0)</f>
        <v>0</v>
      </c>
      <c r="I43" s="4"/>
      <c r="J43" s="13">
        <f t="shared" ref="J43:J44" si="33">IF(H$12=0,0,H43/H$12)</f>
        <v>0</v>
      </c>
      <c r="K43" s="4"/>
      <c r="L43" s="4">
        <f t="shared" ref="L43:L44" si="34">+D43-H43</f>
        <v>0</v>
      </c>
      <c r="M43" s="4"/>
      <c r="N43" s="13">
        <f t="shared" ref="N43:N44" si="35">IF(H43=0,0,L43/H43)</f>
        <v>0</v>
      </c>
      <c r="O43" s="11"/>
      <c r="P43" s="4">
        <f>SUM(OSRRefP25x_0)</f>
        <v>0</v>
      </c>
      <c r="Q43" s="4"/>
      <c r="R43" s="13">
        <f t="shared" ref="R43:R44" si="36">IF(P$12=0,0,P43/P$12)</f>
        <v>0</v>
      </c>
      <c r="S43" s="4"/>
      <c r="T43" s="4">
        <f>SUM(OSRRefT25x_0)</f>
        <v>155658.1</v>
      </c>
      <c r="U43" s="4"/>
      <c r="V43" s="13">
        <f t="shared" ref="V43:V44" si="37">IF(T$12=0,0,T43/T$12)</f>
        <v>0</v>
      </c>
      <c r="W43" s="4"/>
      <c r="X43" s="4">
        <f t="shared" ref="X43:X44" si="38">+P43-T43</f>
        <v>-155658.1</v>
      </c>
      <c r="Y43" s="4"/>
      <c r="Z43" s="13">
        <f t="shared" ref="Z43:Z44" si="39">IF(T43=0,0,X43/T43)</f>
        <v>-1</v>
      </c>
    </row>
    <row r="44" spans="1:26" s="23" customFormat="1" hidden="1" outlineLevel="1" x14ac:dyDescent="0.25">
      <c r="A44" s="44"/>
      <c r="B44" s="10" t="str">
        <f>CONCATENATE("          ", "9150", " - ", "MISC. INCOME")</f>
        <v xml:space="preserve">          9150 - MISC. INCOME</v>
      </c>
      <c r="C44" s="10"/>
      <c r="D44" s="2">
        <f>0</f>
        <v>0</v>
      </c>
      <c r="E44" s="2"/>
      <c r="F44" s="19">
        <f t="shared" si="32"/>
        <v>0</v>
      </c>
      <c r="G44" s="2"/>
      <c r="H44" s="2">
        <f>0</f>
        <v>0</v>
      </c>
      <c r="I44" s="2"/>
      <c r="J44" s="19">
        <f t="shared" si="33"/>
        <v>0</v>
      </c>
      <c r="K44" s="2"/>
      <c r="L44" s="2">
        <f t="shared" si="34"/>
        <v>0</v>
      </c>
      <c r="M44" s="2"/>
      <c r="N44" s="19">
        <f t="shared" si="35"/>
        <v>0</v>
      </c>
      <c r="O44" s="10"/>
      <c r="P44" s="2">
        <f>0</f>
        <v>0</v>
      </c>
      <c r="Q44" s="2"/>
      <c r="R44" s="19">
        <f t="shared" si="36"/>
        <v>0</v>
      </c>
      <c r="S44" s="2"/>
      <c r="T44" s="2">
        <f>--155658.1</f>
        <v>155658.1</v>
      </c>
      <c r="U44" s="2"/>
      <c r="V44" s="19">
        <f t="shared" si="37"/>
        <v>0</v>
      </c>
      <c r="W44" s="2"/>
      <c r="X44" s="2">
        <f t="shared" si="38"/>
        <v>-155658.1</v>
      </c>
      <c r="Y44" s="2"/>
      <c r="Z44" s="19">
        <f t="shared" si="39"/>
        <v>-1</v>
      </c>
    </row>
    <row r="45" spans="1:26" x14ac:dyDescent="0.25">
      <c r="A45" s="9"/>
      <c r="B45" s="11"/>
      <c r="C45" s="11"/>
      <c r="D45" s="3"/>
      <c r="E45" s="3"/>
      <c r="F45" s="8"/>
      <c r="G45" s="3"/>
      <c r="H45" s="3"/>
      <c r="I45" s="3"/>
      <c r="J45" s="8"/>
      <c r="K45" s="3"/>
      <c r="L45" s="3"/>
      <c r="M45" s="3"/>
      <c r="N45" s="8"/>
      <c r="O45" s="11"/>
      <c r="P45" s="3"/>
      <c r="Q45" s="3"/>
      <c r="R45" s="8"/>
      <c r="S45" s="3"/>
      <c r="T45" s="3"/>
      <c r="U45" s="3"/>
      <c r="V45" s="8"/>
      <c r="W45" s="3"/>
      <c r="X45" s="3"/>
      <c r="Y45" s="3"/>
      <c r="Z45" s="8"/>
    </row>
    <row r="46" spans="1:26" s="24" customFormat="1" x14ac:dyDescent="0.25">
      <c r="A46" s="11"/>
      <c r="B46" s="28" t="s">
        <v>276</v>
      </c>
      <c r="C46" s="28"/>
      <c r="D46" s="21">
        <f>+D17-D19+D43</f>
        <v>-186</v>
      </c>
      <c r="E46" s="14"/>
      <c r="F46" s="22">
        <f>IF(D$12=0,0,D46/D$12)</f>
        <v>0</v>
      </c>
      <c r="G46" s="14"/>
      <c r="H46" s="21">
        <f>+H17-H19+H43</f>
        <v>-17788.2</v>
      </c>
      <c r="I46" s="14"/>
      <c r="J46" s="22">
        <f>IF(H$12=0,0,H46/H$12)</f>
        <v>0</v>
      </c>
      <c r="K46" s="15"/>
      <c r="L46" s="21">
        <f>+D46-H46</f>
        <v>17602.2</v>
      </c>
      <c r="M46" s="15"/>
      <c r="N46" s="22">
        <f>IF(H46=0,0,L46/H46)</f>
        <v>-0.98954363004688506</v>
      </c>
      <c r="O46" s="29"/>
      <c r="P46" s="21">
        <f>+P17-P19+P43</f>
        <v>-3402.9900000000002</v>
      </c>
      <c r="Q46" s="14"/>
      <c r="R46" s="22">
        <f>IF(P$12=0,0,P46/P$12)</f>
        <v>0</v>
      </c>
      <c r="S46" s="14"/>
      <c r="T46" s="21">
        <f>+T17-T19+T43</f>
        <v>-13521.51999999996</v>
      </c>
      <c r="U46" s="14"/>
      <c r="V46" s="22">
        <f>IF(T$12=0,0,T46/T$12)</f>
        <v>0</v>
      </c>
      <c r="W46" s="15"/>
      <c r="X46" s="21">
        <f>+P46-T46</f>
        <v>10118.529999999961</v>
      </c>
      <c r="Y46" s="15"/>
      <c r="Z46" s="22">
        <f>IF(T46=0,0,X46/T46)</f>
        <v>-0.74832785071500763</v>
      </c>
    </row>
    <row r="47" spans="1:26" x14ac:dyDescent="0.25">
      <c r="A47" s="9"/>
      <c r="B47" s="11"/>
      <c r="C47" s="9"/>
      <c r="D47" s="3"/>
      <c r="E47" s="3"/>
      <c r="F47" s="8"/>
      <c r="G47" s="3"/>
      <c r="H47" s="3"/>
      <c r="I47" s="3"/>
      <c r="J47" s="8"/>
      <c r="K47" s="3"/>
      <c r="L47" s="3"/>
      <c r="M47" s="3"/>
      <c r="N47" s="8"/>
      <c r="P47" s="3"/>
      <c r="Q47" s="3"/>
      <c r="R47" s="8"/>
      <c r="S47" s="3"/>
      <c r="T47" s="3"/>
      <c r="U47" s="3"/>
      <c r="V47" s="8"/>
      <c r="W47" s="3"/>
      <c r="X47" s="3"/>
      <c r="Y47" s="3"/>
      <c r="Z47" s="8"/>
    </row>
    <row r="48" spans="1:26" s="24" customFormat="1" x14ac:dyDescent="0.25">
      <c r="A48" s="51"/>
      <c r="B48" s="11" t="s">
        <v>127</v>
      </c>
      <c r="C48" s="11"/>
      <c r="D48" s="4"/>
      <c r="E48" s="4"/>
      <c r="F48" s="13">
        <f>IF(D$12=0,0,D48/D$12)</f>
        <v>0</v>
      </c>
      <c r="G48" s="4"/>
      <c r="H48" s="4"/>
      <c r="I48" s="4"/>
      <c r="J48" s="13">
        <f>IF(H$12=0,0,H48/H$12)</f>
        <v>0</v>
      </c>
      <c r="K48" s="4"/>
      <c r="L48" s="4">
        <f>+D48-H48</f>
        <v>0</v>
      </c>
      <c r="M48" s="4"/>
      <c r="N48" s="13">
        <f>IF(H48=0,0,L48/H48)</f>
        <v>0</v>
      </c>
      <c r="O48" s="11"/>
      <c r="P48" s="4"/>
      <c r="Q48" s="4"/>
      <c r="R48" s="13">
        <f>IF(P$12=0,0,P48/P$12)</f>
        <v>0</v>
      </c>
      <c r="S48" s="4"/>
      <c r="T48" s="4"/>
      <c r="U48" s="4"/>
      <c r="V48" s="13">
        <f>IF(T$12=0,0,T48/T$12)</f>
        <v>0</v>
      </c>
      <c r="W48" s="4"/>
      <c r="X48" s="4">
        <f>+P48-T48</f>
        <v>0</v>
      </c>
      <c r="Y48" s="4"/>
      <c r="Z48" s="13">
        <f>IF(T48=0,0,X48/T48)</f>
        <v>0</v>
      </c>
    </row>
    <row r="49" spans="1:26" x14ac:dyDescent="0.25">
      <c r="A49" s="9"/>
      <c r="B49" s="11"/>
      <c r="C49" s="11"/>
      <c r="D49" s="3"/>
      <c r="E49" s="3"/>
      <c r="F49" s="8"/>
      <c r="G49" s="3"/>
      <c r="H49" s="3"/>
      <c r="I49" s="3"/>
      <c r="J49" s="8"/>
      <c r="K49" s="3"/>
      <c r="L49" s="3"/>
      <c r="M49" s="3"/>
      <c r="N49" s="8"/>
      <c r="O49" s="11"/>
      <c r="P49" s="3"/>
      <c r="Q49" s="3"/>
      <c r="R49" s="8"/>
      <c r="S49" s="3"/>
      <c r="T49" s="3"/>
      <c r="U49" s="3"/>
      <c r="V49" s="8"/>
      <c r="W49" s="3"/>
      <c r="X49" s="3"/>
      <c r="Y49" s="3"/>
      <c r="Z49" s="8"/>
    </row>
    <row r="50" spans="1:26" s="24" customFormat="1" ht="15.75" thickBot="1" x14ac:dyDescent="0.3">
      <c r="A50" s="11"/>
      <c r="B50" s="28" t="s">
        <v>125</v>
      </c>
      <c r="C50" s="28"/>
      <c r="D50" s="34">
        <f>+D46-D48</f>
        <v>-186</v>
      </c>
      <c r="E50" s="14"/>
      <c r="F50" s="31">
        <f>IF(D$12=0,0,D50/D$12)</f>
        <v>0</v>
      </c>
      <c r="G50" s="14"/>
      <c r="H50" s="34">
        <f>+H46-H48</f>
        <v>-17788.2</v>
      </c>
      <c r="I50" s="14"/>
      <c r="J50" s="31">
        <f>IF(H$12=0,0,H50/H$12)</f>
        <v>0</v>
      </c>
      <c r="K50" s="15"/>
      <c r="L50" s="34">
        <f>D50-H50</f>
        <v>17602.2</v>
      </c>
      <c r="M50" s="15"/>
      <c r="N50" s="31">
        <f>IF(H50=0,0,L50/H50)</f>
        <v>-0.98954363004688506</v>
      </c>
      <c r="O50" s="29"/>
      <c r="P50" s="34">
        <f>+P46-P48</f>
        <v>-3402.9900000000002</v>
      </c>
      <c r="Q50" s="14"/>
      <c r="R50" s="31">
        <f>IF(P$12=0,0,P50/P$12)</f>
        <v>0</v>
      </c>
      <c r="S50" s="14"/>
      <c r="T50" s="34">
        <f>+T46-T48</f>
        <v>-13521.51999999996</v>
      </c>
      <c r="U50" s="14"/>
      <c r="V50" s="31">
        <f>IF(T$12=0,0,T50/T$12)</f>
        <v>0</v>
      </c>
      <c r="W50" s="15"/>
      <c r="X50" s="34">
        <f>P50-T50</f>
        <v>10118.529999999961</v>
      </c>
      <c r="Y50" s="15"/>
      <c r="Z50" s="31">
        <f>IF(T50=0,0,X50/T50)</f>
        <v>-0.74832785071500763</v>
      </c>
    </row>
    <row r="51" spans="1:26" ht="15.75" thickTop="1" x14ac:dyDescent="0.25">
      <c r="A51" s="9"/>
      <c r="B51" s="9"/>
      <c r="C51" s="9"/>
      <c r="D51" s="3"/>
      <c r="E51" s="3"/>
      <c r="F51" s="8"/>
      <c r="G51" s="3"/>
      <c r="H51" s="3"/>
      <c r="I51" s="3"/>
      <c r="J51" s="8"/>
      <c r="K51" s="3"/>
      <c r="L51" s="3"/>
      <c r="M51" s="3"/>
      <c r="N51" s="8"/>
      <c r="P51" s="3"/>
      <c r="Q51" s="3"/>
      <c r="R51" s="8"/>
      <c r="S51" s="3"/>
      <c r="T51" s="3"/>
      <c r="U51" s="3"/>
      <c r="V51" s="8"/>
      <c r="W51" s="3"/>
      <c r="X51" s="3"/>
      <c r="Y51" s="3"/>
      <c r="Z51" s="8"/>
    </row>
    <row r="52" spans="1:26" x14ac:dyDescent="0.25">
      <c r="A52" s="9"/>
      <c r="B52" s="9"/>
      <c r="C52" s="9"/>
      <c r="D52" s="3"/>
      <c r="E52" s="3"/>
      <c r="F52" s="8"/>
      <c r="G52" s="3"/>
      <c r="H52" s="3"/>
      <c r="I52" s="3"/>
      <c r="J52" s="8"/>
      <c r="K52" s="3"/>
      <c r="L52" s="3"/>
      <c r="M52" s="3"/>
      <c r="N52" s="8"/>
      <c r="P52" s="3"/>
      <c r="Q52" s="3"/>
      <c r="R52" s="8"/>
      <c r="S52" s="3"/>
      <c r="T52" s="3"/>
      <c r="U52" s="3"/>
      <c r="V52" s="8"/>
      <c r="W52" s="3"/>
      <c r="X52" s="3"/>
      <c r="Y52" s="3"/>
      <c r="Z52" s="8"/>
    </row>
    <row r="53" spans="1:26" s="24" customFormat="1" ht="15.75" thickBot="1" x14ac:dyDescent="0.3">
      <c r="A53" s="11"/>
      <c r="B53" s="28" t="s">
        <v>293</v>
      </c>
      <c r="C53" s="28"/>
      <c r="D53" s="33">
        <f>SUM(D50:D52)</f>
        <v>-186</v>
      </c>
      <c r="E53" s="14"/>
      <c r="F53" s="35">
        <f>IF(D$12=0,0,D53/D$12)</f>
        <v>0</v>
      </c>
      <c r="G53" s="14"/>
      <c r="H53" s="33">
        <f>SUM(H50:H52)</f>
        <v>-17788.2</v>
      </c>
      <c r="I53" s="14"/>
      <c r="J53" s="35">
        <f>IF(H$12=0,0,H53/H$12)</f>
        <v>0</v>
      </c>
      <c r="K53" s="15"/>
      <c r="L53" s="33">
        <f>+D53-H53</f>
        <v>17602.2</v>
      </c>
      <c r="M53" s="15"/>
      <c r="N53" s="35">
        <f>IF(H53=0,0,L53/H53)</f>
        <v>-0.98954363004688506</v>
      </c>
      <c r="O53" s="29"/>
      <c r="P53" s="33">
        <f>SUM(P50:P52)</f>
        <v>-3402.9900000000002</v>
      </c>
      <c r="Q53" s="14"/>
      <c r="R53" s="35">
        <f>IF(P$12=0,0,P53/P$12)</f>
        <v>0</v>
      </c>
      <c r="S53" s="14"/>
      <c r="T53" s="33">
        <f>SUM(T50:T52)</f>
        <v>-13521.51999999996</v>
      </c>
      <c r="U53" s="14"/>
      <c r="V53" s="35">
        <f>IF(T$12=0,0,T53/T$12)</f>
        <v>0</v>
      </c>
      <c r="W53" s="15"/>
      <c r="X53" s="33">
        <f>+P53-T53</f>
        <v>10118.529999999961</v>
      </c>
      <c r="Y53" s="15"/>
      <c r="Z53" s="35">
        <f>IF(T53=0,0,X53/T53)</f>
        <v>-0.74832785071500763</v>
      </c>
    </row>
    <row r="54" spans="1:26" ht="15.75" thickTop="1" x14ac:dyDescent="0.25">
      <c r="A54" s="9"/>
      <c r="C54" s="9"/>
      <c r="D54" s="18"/>
      <c r="E54" s="18"/>
      <c r="G54" s="18"/>
      <c r="H54" s="18"/>
      <c r="I54" s="18"/>
      <c r="J54" s="43"/>
      <c r="K54" s="18"/>
      <c r="L54" s="18"/>
      <c r="M54" s="18"/>
      <c r="P54" s="18"/>
      <c r="Q54" s="18"/>
      <c r="R54" s="43"/>
      <c r="S54" s="18"/>
      <c r="T54" s="18"/>
      <c r="U54" s="18"/>
      <c r="V54" s="43"/>
      <c r="W54" s="18"/>
      <c r="X54" s="18"/>
    </row>
    <row r="55" spans="1:26" x14ac:dyDescent="0.25">
      <c r="A55" s="9"/>
      <c r="B55" s="56">
        <v>44454.698585613427</v>
      </c>
      <c r="D55" s="18"/>
      <c r="E55" s="18"/>
      <c r="G55" s="18"/>
      <c r="H55" s="18"/>
      <c r="I55" s="18"/>
      <c r="J55" s="43"/>
      <c r="K55" s="18"/>
      <c r="L55" s="18"/>
      <c r="M55" s="18"/>
      <c r="P55" s="18"/>
      <c r="Q55" s="18"/>
      <c r="R55" s="43"/>
      <c r="S55" s="18"/>
      <c r="T55" s="18"/>
      <c r="U55" s="18"/>
      <c r="V55" s="43"/>
      <c r="W55" s="18"/>
      <c r="X55" s="18"/>
    </row>
    <row r="56" spans="1:26" x14ac:dyDescent="0.25">
      <c r="A56" s="9"/>
      <c r="B56" s="55" t="s">
        <v>56</v>
      </c>
      <c r="D56" s="18"/>
      <c r="E56" s="18"/>
      <c r="G56" s="18"/>
      <c r="H56" s="18"/>
      <c r="I56" s="18"/>
      <c r="J56" s="43"/>
      <c r="K56" s="18"/>
      <c r="L56" s="18"/>
      <c r="M56" s="18"/>
      <c r="P56" s="18"/>
      <c r="Q56" s="18"/>
      <c r="R56" s="43"/>
      <c r="S56" s="18"/>
      <c r="T56" s="18"/>
      <c r="U56" s="18"/>
      <c r="V56" s="43"/>
      <c r="W56" s="18"/>
      <c r="X56" s="18"/>
    </row>
    <row r="57" spans="1:26" x14ac:dyDescent="0.25">
      <c r="A57" s="9"/>
      <c r="B57" s="60"/>
      <c r="D57" s="18"/>
      <c r="E57" s="18"/>
      <c r="G57" s="18"/>
      <c r="H57" s="18"/>
      <c r="I57" s="18"/>
      <c r="J57" s="43"/>
      <c r="K57" s="18"/>
      <c r="L57" s="18"/>
      <c r="M57" s="18"/>
      <c r="P57" s="18"/>
      <c r="Q57" s="18"/>
      <c r="R57" s="43"/>
      <c r="S57" s="18"/>
      <c r="T57" s="18"/>
      <c r="U57" s="18"/>
      <c r="V57" s="43"/>
      <c r="W57" s="18"/>
      <c r="X57" s="18"/>
    </row>
    <row r="58" spans="1:26" x14ac:dyDescent="0.25">
      <c r="D58" s="18"/>
      <c r="E58" s="18"/>
      <c r="G58" s="18"/>
      <c r="H58" s="18"/>
      <c r="I58" s="18"/>
      <c r="J58" s="43"/>
      <c r="K58" s="18"/>
      <c r="L58" s="18"/>
      <c r="M58" s="18"/>
      <c r="P58" s="18"/>
      <c r="Q58" s="18"/>
      <c r="R58" s="43"/>
      <c r="S58" s="18"/>
      <c r="T58" s="18"/>
      <c r="U58" s="18"/>
      <c r="V58" s="43"/>
      <c r="W58" s="18"/>
      <c r="X58" s="18"/>
    </row>
  </sheetData>
  <pageMargins left="0.25" right="0.25" top="0.75" bottom="0.75" header="0.3" footer="0.3"/>
  <pageSetup scale="55" fitToWidth="2" orientation="landscape"/>
  <drawing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>
    <tabColor rgb="FF92D050"/>
    <outlinePr summaryBelow="0" summaryRight="0"/>
  </sheetPr>
  <dimension ref="A2:Z75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62" t="s">
        <v>23</v>
      </c>
    </row>
    <row r="3" spans="1:26" x14ac:dyDescent="0.25">
      <c r="D3" s="62" t="s">
        <v>236</v>
      </c>
      <c r="E3" s="17"/>
      <c r="F3" s="46"/>
      <c r="G3" s="17"/>
      <c r="H3" s="17"/>
      <c r="I3" s="17"/>
      <c r="J3" s="38"/>
      <c r="K3" s="17"/>
      <c r="L3" s="17"/>
      <c r="M3" s="17"/>
      <c r="N3" s="46"/>
      <c r="O3" s="53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2" t="str">
        <f>CONCATENATE("Period ",RIGHT(202112,2),", ",2021)</f>
        <v>Period 12, 2021</v>
      </c>
      <c r="E4" s="17"/>
      <c r="F4" s="46"/>
      <c r="G4" s="17"/>
      <c r="H4" s="17"/>
      <c r="I4" s="17"/>
      <c r="J4" s="38"/>
      <c r="K4" s="17"/>
      <c r="L4" s="17"/>
      <c r="M4" s="17"/>
      <c r="N4" s="46"/>
      <c r="O4" s="53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4"/>
      <c r="D5" s="63">
        <v>44377</v>
      </c>
      <c r="E5" s="17"/>
      <c r="F5" s="46"/>
      <c r="G5" s="17"/>
      <c r="H5" s="17"/>
      <c r="I5" s="17"/>
      <c r="J5" s="38"/>
      <c r="K5" s="17"/>
      <c r="L5" s="17"/>
      <c r="M5" s="17"/>
      <c r="N5" s="46"/>
      <c r="O5" s="53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4"/>
      <c r="B6" s="48"/>
      <c r="C6" s="48"/>
      <c r="D6" s="24" t="str">
        <f>CONCATENATE("Department ","424", " - ", "Blair Field")</f>
        <v>Department 424 - Blair Field</v>
      </c>
      <c r="E6" s="17"/>
      <c r="F6" s="46"/>
      <c r="G6" s="17"/>
      <c r="H6" s="17"/>
      <c r="I6" s="17"/>
      <c r="J6" s="38"/>
      <c r="K6" s="17"/>
      <c r="L6" s="17"/>
      <c r="M6" s="17"/>
      <c r="N6" s="46"/>
      <c r="O6" s="54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9"/>
    </row>
    <row r="8" spans="1:26" x14ac:dyDescent="0.25">
      <c r="B8" s="59"/>
    </row>
    <row r="9" spans="1:26" x14ac:dyDescent="0.25">
      <c r="B9" s="9"/>
      <c r="C9" s="9"/>
      <c r="D9" s="16" t="s">
        <v>291</v>
      </c>
      <c r="E9" s="16"/>
      <c r="F9" s="39"/>
      <c r="G9" s="16"/>
      <c r="H9" s="16"/>
      <c r="I9" s="16"/>
      <c r="J9" s="49"/>
      <c r="K9" s="16"/>
      <c r="L9" s="16"/>
      <c r="M9" s="16"/>
      <c r="N9" s="39"/>
      <c r="P9" s="16" t="s">
        <v>39</v>
      </c>
      <c r="Q9" s="16"/>
      <c r="R9" s="39"/>
      <c r="S9" s="16"/>
      <c r="T9" s="16"/>
      <c r="U9" s="16"/>
      <c r="V9" s="49"/>
      <c r="W9" s="16"/>
      <c r="X9" s="16"/>
      <c r="Y9" s="16"/>
      <c r="Z9" s="39"/>
    </row>
    <row r="10" spans="1:26" x14ac:dyDescent="0.25">
      <c r="A10" s="11"/>
      <c r="B10" s="58"/>
      <c r="C10" s="11"/>
      <c r="D10" s="42" t="s">
        <v>57</v>
      </c>
      <c r="E10" s="36"/>
      <c r="F10" s="30" t="s">
        <v>40</v>
      </c>
      <c r="G10" s="36"/>
      <c r="H10" s="50" t="s">
        <v>237</v>
      </c>
      <c r="I10" s="36"/>
      <c r="J10" s="30" t="s">
        <v>40</v>
      </c>
      <c r="K10" s="11"/>
      <c r="L10" s="42" t="s">
        <v>126</v>
      </c>
      <c r="M10" s="11"/>
      <c r="N10" s="30" t="s">
        <v>257</v>
      </c>
      <c r="O10" s="11"/>
      <c r="P10" s="61" t="s">
        <v>57</v>
      </c>
      <c r="Q10" s="36"/>
      <c r="R10" s="30" t="s">
        <v>40</v>
      </c>
      <c r="S10" s="36"/>
      <c r="T10" s="50" t="s">
        <v>237</v>
      </c>
      <c r="U10" s="36"/>
      <c r="V10" s="30" t="s">
        <v>40</v>
      </c>
      <c r="W10" s="11"/>
      <c r="X10" s="42" t="s">
        <v>126</v>
      </c>
      <c r="Y10" s="11"/>
      <c r="Z10" s="30" t="s">
        <v>257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4" customFormat="1" collapsed="1" x14ac:dyDescent="0.25">
      <c r="A12" s="11"/>
      <c r="B12" s="29" t="s">
        <v>139</v>
      </c>
      <c r="C12" s="11"/>
      <c r="D12" s="4">
        <f>SUM(OSRRefD13x_0)</f>
        <v>0</v>
      </c>
      <c r="E12" s="4"/>
      <c r="F12" s="13"/>
      <c r="G12" s="4"/>
      <c r="H12" s="4">
        <f>SUM(OSRRefH13x_0)</f>
        <v>0</v>
      </c>
      <c r="I12" s="4"/>
      <c r="J12" s="13"/>
      <c r="K12" s="4"/>
      <c r="L12" s="4">
        <f t="shared" ref="L12:L14" si="0">+D12-H12</f>
        <v>0</v>
      </c>
      <c r="M12" s="4"/>
      <c r="N12" s="13">
        <f t="shared" ref="N12:N14" si="1">IF(H12=0,0,L12/H12)</f>
        <v>0</v>
      </c>
      <c r="O12" s="11"/>
      <c r="P12" s="4">
        <f>SUM(OSRRefP13x_0)</f>
        <v>0</v>
      </c>
      <c r="Q12" s="4"/>
      <c r="R12" s="13"/>
      <c r="S12" s="4"/>
      <c r="T12" s="4">
        <f>SUM(OSRRefT13x_0)</f>
        <v>157290.23000000001</v>
      </c>
      <c r="U12" s="4"/>
      <c r="V12" s="13"/>
      <c r="W12" s="4"/>
      <c r="X12" s="4">
        <f t="shared" ref="X12:X14" si="2">+P12-T12</f>
        <v>-157290.23000000001</v>
      </c>
      <c r="Y12" s="4"/>
      <c r="Z12" s="13">
        <f t="shared" ref="Z12:Z14" si="3">IF(T12=0,0,X12/T12)</f>
        <v>-1</v>
      </c>
    </row>
    <row r="13" spans="1:26" s="23" customFormat="1" hidden="1" outlineLevel="1" x14ac:dyDescent="0.25">
      <c r="A13" s="44"/>
      <c r="B13" s="10" t="str">
        <f>CONCATENATE("          ", "4053", " - ", "TAXABLE SALES-FOOD")</f>
        <v xml:space="preserve">          4053 - TAXABLE SALES-FOOD</v>
      </c>
      <c r="C13" s="10"/>
      <c r="D13" s="2">
        <f t="shared" ref="D13:D14" si="4">0</f>
        <v>0</v>
      </c>
      <c r="E13" s="2"/>
      <c r="F13" s="19"/>
      <c r="G13" s="2"/>
      <c r="H13" s="2">
        <f t="shared" ref="H13:H14" si="5">0</f>
        <v>0</v>
      </c>
      <c r="I13" s="2"/>
      <c r="J13" s="19"/>
      <c r="K13" s="2"/>
      <c r="L13" s="2">
        <f t="shared" si="0"/>
        <v>0</v>
      </c>
      <c r="M13" s="2"/>
      <c r="N13" s="19">
        <f t="shared" si="1"/>
        <v>0</v>
      </c>
      <c r="O13" s="10"/>
      <c r="P13" s="2">
        <f t="shared" ref="P13:P14" si="6">0</f>
        <v>0</v>
      </c>
      <c r="Q13" s="2"/>
      <c r="R13" s="19"/>
      <c r="S13" s="2"/>
      <c r="T13" s="2">
        <f>--157788.64</f>
        <v>157788.64000000001</v>
      </c>
      <c r="U13" s="2"/>
      <c r="V13" s="19"/>
      <c r="W13" s="2"/>
      <c r="X13" s="2">
        <f t="shared" si="2"/>
        <v>-157788.64000000001</v>
      </c>
      <c r="Y13" s="2"/>
      <c r="Z13" s="19">
        <f t="shared" si="3"/>
        <v>-1</v>
      </c>
    </row>
    <row r="14" spans="1:26" s="23" customFormat="1" hidden="1" outlineLevel="1" x14ac:dyDescent="0.25">
      <c r="A14" s="44"/>
      <c r="B14" s="10" t="str">
        <f>CONCATENATE("          ", "4153", " - ", "NON-TAXABLE SALES-FOOD")</f>
        <v xml:space="preserve">          4153 - NON-TAXABLE SALES-FOOD</v>
      </c>
      <c r="C14" s="10"/>
      <c r="D14" s="2">
        <f t="shared" si="4"/>
        <v>0</v>
      </c>
      <c r="E14" s="2"/>
      <c r="F14" s="19"/>
      <c r="G14" s="2"/>
      <c r="H14" s="2">
        <f t="shared" si="5"/>
        <v>0</v>
      </c>
      <c r="I14" s="2"/>
      <c r="J14" s="19"/>
      <c r="K14" s="2"/>
      <c r="L14" s="2">
        <f t="shared" si="0"/>
        <v>0</v>
      </c>
      <c r="M14" s="2"/>
      <c r="N14" s="19">
        <f t="shared" si="1"/>
        <v>0</v>
      </c>
      <c r="O14" s="10"/>
      <c r="P14" s="2">
        <f t="shared" si="6"/>
        <v>0</v>
      </c>
      <c r="Q14" s="2"/>
      <c r="R14" s="19"/>
      <c r="S14" s="2"/>
      <c r="T14" s="2">
        <f>-498.41</f>
        <v>-498.41</v>
      </c>
      <c r="U14" s="2"/>
      <c r="V14" s="19"/>
      <c r="W14" s="2"/>
      <c r="X14" s="2">
        <f t="shared" si="2"/>
        <v>498.41</v>
      </c>
      <c r="Y14" s="2"/>
      <c r="Z14" s="19">
        <f t="shared" si="3"/>
        <v>-1</v>
      </c>
    </row>
    <row r="15" spans="1:26" x14ac:dyDescent="0.25">
      <c r="A15" s="9"/>
      <c r="B15" s="11"/>
      <c r="C15" s="9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4" customFormat="1" collapsed="1" x14ac:dyDescent="0.25">
      <c r="A16" s="11"/>
      <c r="B16" s="29" t="s">
        <v>256</v>
      </c>
      <c r="C16" s="11"/>
      <c r="D16" s="4">
        <f>SUM(OSRRefD16x_0)</f>
        <v>0</v>
      </c>
      <c r="E16" s="4"/>
      <c r="F16" s="13">
        <f t="shared" ref="F16:F18" si="7">IF(D$12=0,0,D16/D$12)</f>
        <v>0</v>
      </c>
      <c r="G16" s="4"/>
      <c r="H16" s="4">
        <f>SUM(OSRRefH16x_0)</f>
        <v>0</v>
      </c>
      <c r="I16" s="4"/>
      <c r="J16" s="13">
        <f t="shared" ref="J16:J18" si="8">IF(H$12=0,0,H16/H$12)</f>
        <v>0</v>
      </c>
      <c r="K16" s="4"/>
      <c r="L16" s="4">
        <f t="shared" ref="L16:L18" si="9">+D16-H16</f>
        <v>0</v>
      </c>
      <c r="M16" s="4"/>
      <c r="N16" s="13">
        <f t="shared" ref="N16:N18" si="10">IF(H16=0,0,L16/H16)</f>
        <v>0</v>
      </c>
      <c r="O16" s="11"/>
      <c r="P16" s="4">
        <f>SUM(OSRRefP16x_0)</f>
        <v>0</v>
      </c>
      <c r="Q16" s="4"/>
      <c r="R16" s="13">
        <f t="shared" ref="R16:R18" si="11">IF(P$12=0,0,P16/P$12)</f>
        <v>0</v>
      </c>
      <c r="S16" s="4"/>
      <c r="T16" s="4">
        <f>SUM(OSRRefT16x_0)</f>
        <v>43321.25</v>
      </c>
      <c r="U16" s="4"/>
      <c r="V16" s="13">
        <f t="shared" ref="V16:V18" si="12">IF(T$12=0,0,T16/T$12)</f>
        <v>0.27542238319570134</v>
      </c>
      <c r="W16" s="4"/>
      <c r="X16" s="4">
        <f t="shared" ref="X16:X18" si="13">+P16-T16</f>
        <v>-43321.25</v>
      </c>
      <c r="Y16" s="4"/>
      <c r="Z16" s="13">
        <f t="shared" ref="Z16:Z18" si="14">IF(T16=0,0,X16/T16)</f>
        <v>-1</v>
      </c>
    </row>
    <row r="17" spans="1:26" s="23" customFormat="1" hidden="1" outlineLevel="1" x14ac:dyDescent="0.25">
      <c r="A17" s="44"/>
      <c r="B17" s="10" t="str">
        <f>CONCATENATE("          ", "5053", " - ", "PURCHASES @ COST-FOOD")</f>
        <v xml:space="preserve">          5053 - PURCHASES @ COST-FOOD</v>
      </c>
      <c r="C17" s="10"/>
      <c r="D17" s="2"/>
      <c r="E17" s="2"/>
      <c r="F17" s="19">
        <f t="shared" si="7"/>
        <v>0</v>
      </c>
      <c r="G17" s="2"/>
      <c r="H17" s="2"/>
      <c r="I17" s="2"/>
      <c r="J17" s="19">
        <f t="shared" si="8"/>
        <v>0</v>
      </c>
      <c r="K17" s="2"/>
      <c r="L17" s="2">
        <f t="shared" si="9"/>
        <v>0</v>
      </c>
      <c r="M17" s="2"/>
      <c r="N17" s="19">
        <f t="shared" si="10"/>
        <v>0</v>
      </c>
      <c r="O17" s="10"/>
      <c r="P17" s="2"/>
      <c r="Q17" s="2"/>
      <c r="R17" s="19">
        <f t="shared" si="11"/>
        <v>0</v>
      </c>
      <c r="S17" s="2"/>
      <c r="T17" s="2">
        <v>43126.25</v>
      </c>
      <c r="U17" s="2"/>
      <c r="V17" s="19">
        <f t="shared" si="12"/>
        <v>0.27418263677279892</v>
      </c>
      <c r="W17" s="2"/>
      <c r="X17" s="2">
        <f t="shared" si="13"/>
        <v>-43126.25</v>
      </c>
      <c r="Y17" s="2"/>
      <c r="Z17" s="19">
        <f t="shared" si="14"/>
        <v>-1</v>
      </c>
    </row>
    <row r="18" spans="1:26" s="23" customFormat="1" hidden="1" outlineLevel="1" x14ac:dyDescent="0.25">
      <c r="A18" s="44"/>
      <c r="B18" s="10" t="str">
        <f>CONCATENATE("          ", "5059", " - ", "PURCHASES @ COST-FOOD")</f>
        <v xml:space="preserve">          5059 - PURCHASES @ COST-FOOD</v>
      </c>
      <c r="C18" s="10"/>
      <c r="D18" s="2"/>
      <c r="E18" s="2"/>
      <c r="F18" s="19">
        <f t="shared" si="7"/>
        <v>0</v>
      </c>
      <c r="G18" s="2"/>
      <c r="H18" s="2"/>
      <c r="I18" s="2"/>
      <c r="J18" s="19">
        <f t="shared" si="8"/>
        <v>0</v>
      </c>
      <c r="K18" s="2"/>
      <c r="L18" s="2">
        <f t="shared" si="9"/>
        <v>0</v>
      </c>
      <c r="M18" s="2"/>
      <c r="N18" s="19">
        <f t="shared" si="10"/>
        <v>0</v>
      </c>
      <c r="O18" s="10"/>
      <c r="P18" s="2"/>
      <c r="Q18" s="2"/>
      <c r="R18" s="19">
        <f t="shared" si="11"/>
        <v>0</v>
      </c>
      <c r="S18" s="2"/>
      <c r="T18" s="2">
        <v>195</v>
      </c>
      <c r="U18" s="2"/>
      <c r="V18" s="19">
        <f t="shared" si="12"/>
        <v>1.239746422902427E-3</v>
      </c>
      <c r="W18" s="2"/>
      <c r="X18" s="2">
        <f t="shared" si="13"/>
        <v>-195</v>
      </c>
      <c r="Y18" s="2"/>
      <c r="Z18" s="19">
        <f t="shared" si="14"/>
        <v>-1</v>
      </c>
    </row>
    <row r="19" spans="1:26" x14ac:dyDescent="0.25">
      <c r="A19" s="9"/>
      <c r="B19" s="11"/>
      <c r="C19" s="11"/>
      <c r="D19" s="3"/>
      <c r="E19" s="3"/>
      <c r="F19" s="8"/>
      <c r="G19" s="3"/>
      <c r="H19" s="3"/>
      <c r="I19" s="3"/>
      <c r="J19" s="8"/>
      <c r="K19" s="3"/>
      <c r="L19" s="3"/>
      <c r="M19" s="3"/>
      <c r="N19" s="8"/>
      <c r="O19" s="11"/>
      <c r="P19" s="3"/>
      <c r="Q19" s="3"/>
      <c r="R19" s="8"/>
      <c r="S19" s="3"/>
      <c r="T19" s="3"/>
      <c r="U19" s="3"/>
      <c r="V19" s="8"/>
      <c r="W19" s="3"/>
      <c r="X19" s="3"/>
      <c r="Y19" s="3"/>
      <c r="Z19" s="8"/>
    </row>
    <row r="20" spans="1:26" s="24" customFormat="1" x14ac:dyDescent="0.25">
      <c r="A20" s="11"/>
      <c r="B20" s="28" t="s">
        <v>107</v>
      </c>
      <c r="C20" s="28"/>
      <c r="D20" s="21">
        <f>D12-D16</f>
        <v>0</v>
      </c>
      <c r="E20" s="14"/>
      <c r="F20" s="22">
        <f>IF(D$12=0,0,D20/D$12)</f>
        <v>0</v>
      </c>
      <c r="G20" s="14"/>
      <c r="H20" s="21">
        <f>H12-H16</f>
        <v>0</v>
      </c>
      <c r="I20" s="14"/>
      <c r="J20" s="22">
        <f>IF(H$12=0,0,H20/H$12)</f>
        <v>0</v>
      </c>
      <c r="K20" s="15"/>
      <c r="L20" s="21">
        <f>+D20-H20</f>
        <v>0</v>
      </c>
      <c r="M20" s="15"/>
      <c r="N20" s="22">
        <f>IF(H20=0,0,L20/H20)</f>
        <v>0</v>
      </c>
      <c r="O20" s="29"/>
      <c r="P20" s="21">
        <f>P12-P16</f>
        <v>0</v>
      </c>
      <c r="Q20" s="14"/>
      <c r="R20" s="22">
        <f>IF(P$12=0,0,P20/P$12)</f>
        <v>0</v>
      </c>
      <c r="S20" s="14"/>
      <c r="T20" s="21">
        <f>T12-T16</f>
        <v>113968.98000000001</v>
      </c>
      <c r="U20" s="14"/>
      <c r="V20" s="22">
        <f>IF(T$12=0,0,T20/T$12)</f>
        <v>0.72457761680429866</v>
      </c>
      <c r="W20" s="15"/>
      <c r="X20" s="21">
        <f>+P20-T20</f>
        <v>-113968.98000000001</v>
      </c>
      <c r="Y20" s="15"/>
      <c r="Z20" s="22">
        <f>IF(T20=0,0,X20/T20)</f>
        <v>-1</v>
      </c>
    </row>
    <row r="21" spans="1:26" x14ac:dyDescent="0.25">
      <c r="A21" s="9"/>
      <c r="B21" s="11"/>
      <c r="C21" s="9"/>
      <c r="D21" s="1"/>
      <c r="E21" s="1"/>
      <c r="F21" s="5"/>
      <c r="G21" s="1"/>
      <c r="H21" s="1"/>
      <c r="I21" s="1"/>
      <c r="J21" s="5"/>
      <c r="K21" s="1"/>
      <c r="L21" s="1"/>
      <c r="M21" s="1"/>
      <c r="N21" s="5"/>
      <c r="O21" s="37"/>
      <c r="P21" s="1"/>
      <c r="Q21" s="1"/>
      <c r="R21" s="5"/>
      <c r="S21" s="1"/>
      <c r="T21" s="1"/>
      <c r="U21" s="1"/>
      <c r="V21" s="5"/>
      <c r="W21" s="1"/>
      <c r="X21" s="1"/>
      <c r="Y21" s="1"/>
      <c r="Z21" s="5"/>
    </row>
    <row r="22" spans="1:26" s="24" customFormat="1" x14ac:dyDescent="0.25">
      <c r="A22" s="11"/>
      <c r="B22" s="29" t="s">
        <v>294</v>
      </c>
      <c r="C22" s="11"/>
      <c r="D22" s="20">
        <f>SUM(OSRRefD22x_0)</f>
        <v>479.29</v>
      </c>
      <c r="E22" s="20"/>
      <c r="F22" s="32">
        <f t="shared" ref="F22:F25" si="15">IF(D$12=0,0,D22/D$12)</f>
        <v>0</v>
      </c>
      <c r="G22" s="20"/>
      <c r="H22" s="20">
        <f>SUM(OSRRefH22x_0)</f>
        <v>395.3</v>
      </c>
      <c r="I22" s="20"/>
      <c r="J22" s="32">
        <f t="shared" ref="J22:J25" si="16">IF(H$12=0,0,H22/H$12)</f>
        <v>0</v>
      </c>
      <c r="K22" s="4"/>
      <c r="L22" s="20">
        <f t="shared" ref="L22:L25" si="17">+D22-H22</f>
        <v>83.990000000000009</v>
      </c>
      <c r="M22" s="4"/>
      <c r="N22" s="32">
        <f t="shared" ref="N22:N25" si="18">IF(H22=0,0,L22/H22)</f>
        <v>0.2124715406020744</v>
      </c>
      <c r="O22" s="11"/>
      <c r="P22" s="20">
        <f>SUM(OSRRefP22x_0)</f>
        <v>7312.37</v>
      </c>
      <c r="Q22" s="20"/>
      <c r="R22" s="32">
        <f t="shared" ref="R22:R25" si="19">IF(P$12=0,0,P22/P$12)</f>
        <v>0</v>
      </c>
      <c r="S22" s="20"/>
      <c r="T22" s="20">
        <f>SUM(OSRRefT22x_0)</f>
        <v>90627.54</v>
      </c>
      <c r="U22" s="20"/>
      <c r="V22" s="32">
        <f t="shared" ref="V22:V25" si="20">IF(T$12=0,0,T22/T$12)</f>
        <v>0.57618035144331592</v>
      </c>
      <c r="W22" s="4"/>
      <c r="X22" s="20">
        <f t="shared" ref="X22:X25" si="21">+P22-T22</f>
        <v>-83315.17</v>
      </c>
      <c r="Y22" s="4"/>
      <c r="Z22" s="32">
        <f t="shared" ref="Z22:Z25" si="22">IF(T22=0,0,X22/T22)</f>
        <v>-0.91931404074302359</v>
      </c>
    </row>
    <row r="23" spans="1:26" s="27" customFormat="1" outlineLevel="1" collapsed="1" x14ac:dyDescent="0.25">
      <c r="A23" s="26"/>
      <c r="B23" s="12" t="str">
        <f>CONCATENATE("     ","*Benefits                                         ")</f>
        <v xml:space="preserve">     *Benefits                                         </v>
      </c>
      <c r="C23" s="12"/>
      <c r="D23" s="1">
        <f>SUM(OSRRefD22_0x_0)</f>
        <v>0</v>
      </c>
      <c r="E23" s="1"/>
      <c r="F23" s="5">
        <f t="shared" si="15"/>
        <v>0</v>
      </c>
      <c r="G23" s="1"/>
      <c r="H23" s="1">
        <f>SUM(OSRRefH22_0x_0)</f>
        <v>0</v>
      </c>
      <c r="I23" s="1"/>
      <c r="J23" s="5">
        <f t="shared" si="16"/>
        <v>0</v>
      </c>
      <c r="K23" s="1"/>
      <c r="L23" s="1">
        <f t="shared" si="17"/>
        <v>0</v>
      </c>
      <c r="M23" s="1"/>
      <c r="N23" s="5">
        <f t="shared" si="18"/>
        <v>0</v>
      </c>
      <c r="O23" s="12"/>
      <c r="P23" s="1">
        <f>SUM(OSRRefP22_0x_0)</f>
        <v>0</v>
      </c>
      <c r="Q23" s="1"/>
      <c r="R23" s="5">
        <f t="shared" si="19"/>
        <v>0</v>
      </c>
      <c r="S23" s="1"/>
      <c r="T23" s="1">
        <f>SUM(OSRRefT22_0x_0)</f>
        <v>1171.8399999999999</v>
      </c>
      <c r="U23" s="1"/>
      <c r="V23" s="5">
        <f t="shared" si="20"/>
        <v>7.4501766575075885E-3</v>
      </c>
      <c r="W23" s="1"/>
      <c r="X23" s="1">
        <f t="shared" si="21"/>
        <v>-1171.8399999999999</v>
      </c>
      <c r="Y23" s="1"/>
      <c r="Z23" s="5">
        <f t="shared" si="22"/>
        <v>-1</v>
      </c>
    </row>
    <row r="24" spans="1:26" s="23" customFormat="1" hidden="1" outlineLevel="2" x14ac:dyDescent="0.25">
      <c r="A24" s="25"/>
      <c r="B24" s="10" t="str">
        <f>CONCATENATE("          ", "6111", " - ", "F.I.C.A.")</f>
        <v xml:space="preserve">          6111 - F.I.C.A.</v>
      </c>
      <c r="C24" s="10"/>
      <c r="D24" s="6"/>
      <c r="E24" s="2"/>
      <c r="F24" s="7">
        <f t="shared" si="15"/>
        <v>0</v>
      </c>
      <c r="G24" s="2"/>
      <c r="H24" s="6"/>
      <c r="I24" s="2"/>
      <c r="J24" s="7">
        <f t="shared" si="16"/>
        <v>0</v>
      </c>
      <c r="K24" s="2"/>
      <c r="L24" s="6">
        <f t="shared" si="17"/>
        <v>0</v>
      </c>
      <c r="M24" s="2"/>
      <c r="N24" s="7">
        <f t="shared" si="18"/>
        <v>0</v>
      </c>
      <c r="O24" s="10"/>
      <c r="P24" s="6"/>
      <c r="Q24" s="2"/>
      <c r="R24" s="7">
        <f t="shared" si="19"/>
        <v>0</v>
      </c>
      <c r="S24" s="2"/>
      <c r="T24" s="6">
        <v>1182.24</v>
      </c>
      <c r="U24" s="2"/>
      <c r="V24" s="7">
        <f t="shared" si="20"/>
        <v>7.5162964667290517E-3</v>
      </c>
      <c r="W24" s="2"/>
      <c r="X24" s="6">
        <f t="shared" si="21"/>
        <v>-1182.24</v>
      </c>
      <c r="Y24" s="2"/>
      <c r="Z24" s="7">
        <f t="shared" si="22"/>
        <v>-1</v>
      </c>
    </row>
    <row r="25" spans="1:26" s="23" customFormat="1" hidden="1" outlineLevel="2" x14ac:dyDescent="0.25">
      <c r="A25" s="25"/>
      <c r="B25" s="10" t="str">
        <f>CONCATENATE("          ", "6112", " - ", "COMPENSATION INSURANCE")</f>
        <v xml:space="preserve">          6112 - COMPENSATION INSURANCE</v>
      </c>
      <c r="C25" s="10"/>
      <c r="D25" s="6"/>
      <c r="E25" s="2"/>
      <c r="F25" s="7">
        <f t="shared" si="15"/>
        <v>0</v>
      </c>
      <c r="G25" s="2"/>
      <c r="H25" s="6"/>
      <c r="I25" s="2"/>
      <c r="J25" s="7">
        <f t="shared" si="16"/>
        <v>0</v>
      </c>
      <c r="K25" s="2"/>
      <c r="L25" s="6">
        <f t="shared" si="17"/>
        <v>0</v>
      </c>
      <c r="M25" s="2"/>
      <c r="N25" s="7">
        <f t="shared" si="18"/>
        <v>0</v>
      </c>
      <c r="O25" s="10"/>
      <c r="P25" s="6"/>
      <c r="Q25" s="2"/>
      <c r="R25" s="7">
        <f t="shared" si="19"/>
        <v>0</v>
      </c>
      <c r="S25" s="2"/>
      <c r="T25" s="6">
        <v>-10.4</v>
      </c>
      <c r="U25" s="2"/>
      <c r="V25" s="7">
        <f t="shared" si="20"/>
        <v>-6.6119809221462769E-5</v>
      </c>
      <c r="W25" s="2"/>
      <c r="X25" s="6">
        <f t="shared" si="21"/>
        <v>10.4</v>
      </c>
      <c r="Y25" s="2"/>
      <c r="Z25" s="7">
        <f t="shared" si="22"/>
        <v>-1</v>
      </c>
    </row>
    <row r="26" spans="1:26" s="27" customFormat="1" outlineLevel="1" collapsed="1" x14ac:dyDescent="0.25">
      <c r="A26" s="26"/>
      <c r="B26" s="12" t="str">
        <f>CONCATENATE("     ","*Payroll                                          ")</f>
        <v xml:space="preserve">     *Payroll                                          </v>
      </c>
      <c r="C26" s="12"/>
      <c r="D26" s="1">
        <f>SUM(OSRRefD22_1x_0)</f>
        <v>0</v>
      </c>
      <c r="E26" s="1"/>
      <c r="F26" s="5">
        <f t="shared" ref="F26:F31" si="23">IF(D$12=0,0,D26/D$12)</f>
        <v>0</v>
      </c>
      <c r="G26" s="1"/>
      <c r="H26" s="1">
        <f>SUM(OSRRefH22_1x_0)</f>
        <v>0</v>
      </c>
      <c r="I26" s="1"/>
      <c r="J26" s="5">
        <f t="shared" ref="J26:J31" si="24">IF(H$12=0,0,H26/H$12)</f>
        <v>0</v>
      </c>
      <c r="K26" s="1"/>
      <c r="L26" s="1">
        <f t="shared" ref="L26:L31" si="25">+D26-H26</f>
        <v>0</v>
      </c>
      <c r="M26" s="1"/>
      <c r="N26" s="5">
        <f t="shared" ref="N26:N31" si="26">IF(H26=0,0,L26/H26)</f>
        <v>0</v>
      </c>
      <c r="O26" s="12"/>
      <c r="P26" s="1">
        <f>SUM(OSRRefP22_1x_0)</f>
        <v>0</v>
      </c>
      <c r="Q26" s="1"/>
      <c r="R26" s="5">
        <f t="shared" ref="R26:R31" si="27">IF(P$12=0,0,P26/P$12)</f>
        <v>0</v>
      </c>
      <c r="S26" s="1"/>
      <c r="T26" s="1">
        <f>SUM(OSRRefT22_1x_0)</f>
        <v>29540.829999999998</v>
      </c>
      <c r="U26" s="1"/>
      <c r="V26" s="5">
        <f t="shared" ref="V26:V31" si="28">IF(T$12=0,0,T26/T$12)</f>
        <v>0.18781096575419845</v>
      </c>
      <c r="W26" s="1"/>
      <c r="X26" s="1">
        <f t="shared" ref="X26:X31" si="29">+P26-T26</f>
        <v>-29540.829999999998</v>
      </c>
      <c r="Y26" s="1"/>
      <c r="Z26" s="5">
        <f t="shared" ref="Z26:Z31" si="30">IF(T26=0,0,X26/T26)</f>
        <v>-1</v>
      </c>
    </row>
    <row r="27" spans="1:26" s="23" customFormat="1" hidden="1" outlineLevel="2" x14ac:dyDescent="0.25">
      <c r="A27" s="25"/>
      <c r="B27" s="10" t="str">
        <f>CONCATENATE("          ", "6004", " - ", "STAFF HOURLY")</f>
        <v xml:space="preserve">          6004 - STAFF HOURLY</v>
      </c>
      <c r="C27" s="10"/>
      <c r="D27" s="6"/>
      <c r="E27" s="2"/>
      <c r="F27" s="7">
        <f t="shared" si="23"/>
        <v>0</v>
      </c>
      <c r="G27" s="2"/>
      <c r="H27" s="6"/>
      <c r="I27" s="2"/>
      <c r="J27" s="7">
        <f t="shared" si="24"/>
        <v>0</v>
      </c>
      <c r="K27" s="2"/>
      <c r="L27" s="6">
        <f t="shared" si="25"/>
        <v>0</v>
      </c>
      <c r="M27" s="2"/>
      <c r="N27" s="7">
        <f t="shared" si="26"/>
        <v>0</v>
      </c>
      <c r="O27" s="10"/>
      <c r="P27" s="6"/>
      <c r="Q27" s="2"/>
      <c r="R27" s="7">
        <f t="shared" si="27"/>
        <v>0</v>
      </c>
      <c r="S27" s="2"/>
      <c r="T27" s="6">
        <v>3193.41</v>
      </c>
      <c r="U27" s="2"/>
      <c r="V27" s="7">
        <f t="shared" si="28"/>
        <v>2.0302659612106866E-2</v>
      </c>
      <c r="W27" s="2"/>
      <c r="X27" s="6">
        <f t="shared" si="29"/>
        <v>-3193.41</v>
      </c>
      <c r="Y27" s="2"/>
      <c r="Z27" s="7">
        <f t="shared" si="30"/>
        <v>-1</v>
      </c>
    </row>
    <row r="28" spans="1:26" s="23" customFormat="1" hidden="1" outlineLevel="2" x14ac:dyDescent="0.25">
      <c r="A28" s="25"/>
      <c r="B28" s="10" t="str">
        <f>CONCATENATE("          ", "6005", " - ", "TEMPORARY WAGES-HOURLY")</f>
        <v xml:space="preserve">          6005 - TEMPORARY WAGES-HOURLY</v>
      </c>
      <c r="C28" s="10"/>
      <c r="D28" s="6"/>
      <c r="E28" s="2"/>
      <c r="F28" s="7">
        <f t="shared" si="23"/>
        <v>0</v>
      </c>
      <c r="G28" s="2"/>
      <c r="H28" s="6"/>
      <c r="I28" s="2"/>
      <c r="J28" s="7">
        <f t="shared" si="24"/>
        <v>0</v>
      </c>
      <c r="K28" s="2"/>
      <c r="L28" s="6">
        <f t="shared" si="25"/>
        <v>0</v>
      </c>
      <c r="M28" s="2"/>
      <c r="N28" s="7">
        <f t="shared" si="26"/>
        <v>0</v>
      </c>
      <c r="O28" s="10"/>
      <c r="P28" s="6"/>
      <c r="Q28" s="2"/>
      <c r="R28" s="7">
        <f t="shared" si="27"/>
        <v>0</v>
      </c>
      <c r="S28" s="2"/>
      <c r="T28" s="6">
        <v>9782.57</v>
      </c>
      <c r="U28" s="2"/>
      <c r="V28" s="7">
        <f t="shared" si="28"/>
        <v>6.2194390586115866E-2</v>
      </c>
      <c r="W28" s="2"/>
      <c r="X28" s="6">
        <f t="shared" si="29"/>
        <v>-9782.57</v>
      </c>
      <c r="Y28" s="2"/>
      <c r="Z28" s="7">
        <f t="shared" si="30"/>
        <v>-1</v>
      </c>
    </row>
    <row r="29" spans="1:26" s="23" customFormat="1" hidden="1" outlineLevel="2" x14ac:dyDescent="0.25">
      <c r="A29" s="25"/>
      <c r="B29" s="10" t="str">
        <f>CONCATENATE("          ", "6006", " - ", "TEMPORARY PART TIME")</f>
        <v xml:space="preserve">          6006 - TEMPORARY PART TIME</v>
      </c>
      <c r="C29" s="10"/>
      <c r="D29" s="6"/>
      <c r="E29" s="2"/>
      <c r="F29" s="7">
        <f t="shared" si="23"/>
        <v>0</v>
      </c>
      <c r="G29" s="2"/>
      <c r="H29" s="6"/>
      <c r="I29" s="2"/>
      <c r="J29" s="7">
        <f t="shared" si="24"/>
        <v>0</v>
      </c>
      <c r="K29" s="2"/>
      <c r="L29" s="6">
        <f t="shared" si="25"/>
        <v>0</v>
      </c>
      <c r="M29" s="2"/>
      <c r="N29" s="7">
        <f t="shared" si="26"/>
        <v>0</v>
      </c>
      <c r="O29" s="10"/>
      <c r="P29" s="6"/>
      <c r="Q29" s="2"/>
      <c r="R29" s="7">
        <f t="shared" si="27"/>
        <v>0</v>
      </c>
      <c r="S29" s="2"/>
      <c r="T29" s="6">
        <v>247.5</v>
      </c>
      <c r="U29" s="2"/>
      <c r="V29" s="7">
        <f t="shared" si="28"/>
        <v>1.5735243059915418E-3</v>
      </c>
      <c r="W29" s="2"/>
      <c r="X29" s="6">
        <f t="shared" si="29"/>
        <v>-247.5</v>
      </c>
      <c r="Y29" s="2"/>
      <c r="Z29" s="7">
        <f t="shared" si="30"/>
        <v>-1</v>
      </c>
    </row>
    <row r="30" spans="1:26" s="23" customFormat="1" hidden="1" outlineLevel="2" x14ac:dyDescent="0.25">
      <c r="A30" s="25"/>
      <c r="B30" s="10" t="str">
        <f>CONCATENATE("          ", "6007", " - ", "STUDENT HOURLY")</f>
        <v xml:space="preserve">          6007 - STUDENT HOURLY</v>
      </c>
      <c r="C30" s="10"/>
      <c r="D30" s="6"/>
      <c r="E30" s="2"/>
      <c r="F30" s="7">
        <f t="shared" si="23"/>
        <v>0</v>
      </c>
      <c r="G30" s="2"/>
      <c r="H30" s="6"/>
      <c r="I30" s="2"/>
      <c r="J30" s="7">
        <f t="shared" si="24"/>
        <v>0</v>
      </c>
      <c r="K30" s="2"/>
      <c r="L30" s="6">
        <f t="shared" si="25"/>
        <v>0</v>
      </c>
      <c r="M30" s="2"/>
      <c r="N30" s="7">
        <f t="shared" si="26"/>
        <v>0</v>
      </c>
      <c r="O30" s="10"/>
      <c r="P30" s="6"/>
      <c r="Q30" s="2"/>
      <c r="R30" s="7">
        <f t="shared" si="27"/>
        <v>0</v>
      </c>
      <c r="S30" s="2"/>
      <c r="T30" s="6">
        <v>13228</v>
      </c>
      <c r="U30" s="2"/>
      <c r="V30" s="7">
        <f t="shared" si="28"/>
        <v>8.4099311190529755E-2</v>
      </c>
      <c r="W30" s="2"/>
      <c r="X30" s="6">
        <f t="shared" si="29"/>
        <v>-13228</v>
      </c>
      <c r="Y30" s="2"/>
      <c r="Z30" s="7">
        <f t="shared" si="30"/>
        <v>-1</v>
      </c>
    </row>
    <row r="31" spans="1:26" s="23" customFormat="1" hidden="1" outlineLevel="2" x14ac:dyDescent="0.25">
      <c r="A31" s="25"/>
      <c r="B31" s="10" t="str">
        <f>CONCATENATE("          ", "6008", " - ", "STUDENT HOURLY-FICA EXEMPT")</f>
        <v xml:space="preserve">          6008 - STUDENT HOURLY-FICA EXEMPT</v>
      </c>
      <c r="C31" s="10"/>
      <c r="D31" s="6"/>
      <c r="E31" s="2"/>
      <c r="F31" s="7">
        <f t="shared" si="23"/>
        <v>0</v>
      </c>
      <c r="G31" s="2"/>
      <c r="H31" s="6"/>
      <c r="I31" s="2"/>
      <c r="J31" s="7">
        <f t="shared" si="24"/>
        <v>0</v>
      </c>
      <c r="K31" s="2"/>
      <c r="L31" s="6">
        <f t="shared" si="25"/>
        <v>0</v>
      </c>
      <c r="M31" s="2"/>
      <c r="N31" s="7">
        <f t="shared" si="26"/>
        <v>0</v>
      </c>
      <c r="O31" s="10"/>
      <c r="P31" s="6"/>
      <c r="Q31" s="2"/>
      <c r="R31" s="7">
        <f t="shared" si="27"/>
        <v>0</v>
      </c>
      <c r="S31" s="2"/>
      <c r="T31" s="6">
        <v>3089.35</v>
      </c>
      <c r="U31" s="2"/>
      <c r="V31" s="7">
        <f t="shared" si="28"/>
        <v>1.9641080059454422E-2</v>
      </c>
      <c r="W31" s="2"/>
      <c r="X31" s="6">
        <f t="shared" si="29"/>
        <v>-3089.35</v>
      </c>
      <c r="Y31" s="2"/>
      <c r="Z31" s="7">
        <f t="shared" si="30"/>
        <v>-1</v>
      </c>
    </row>
    <row r="32" spans="1:26" s="27" customFormat="1" outlineLevel="1" collapsed="1" x14ac:dyDescent="0.25">
      <c r="A32" s="26"/>
      <c r="B32" s="12" t="str">
        <f>CONCATENATE("     ","Advertising/Promo                                 ")</f>
        <v xml:space="preserve">     Advertising/Promo                                 </v>
      </c>
      <c r="C32" s="12"/>
      <c r="D32" s="1">
        <f>SUM(OSRRefD22_2x_0)</f>
        <v>0</v>
      </c>
      <c r="E32" s="1"/>
      <c r="F32" s="5">
        <f t="shared" ref="F32:F46" si="31">IF(D$12=0,0,D32/D$12)</f>
        <v>0</v>
      </c>
      <c r="G32" s="1"/>
      <c r="H32" s="1">
        <f>SUM(OSRRefH22_2x_0)</f>
        <v>0</v>
      </c>
      <c r="I32" s="1"/>
      <c r="J32" s="5">
        <f t="shared" ref="J32:J46" si="32">IF(H$12=0,0,H32/H$12)</f>
        <v>0</v>
      </c>
      <c r="K32" s="1"/>
      <c r="L32" s="1">
        <f t="shared" ref="L32:L46" si="33">+D32-H32</f>
        <v>0</v>
      </c>
      <c r="M32" s="1"/>
      <c r="N32" s="5">
        <f t="shared" ref="N32:N46" si="34">IF(H32=0,0,L32/H32)</f>
        <v>0</v>
      </c>
      <c r="O32" s="12"/>
      <c r="P32" s="1">
        <f>SUM(OSRRefP22_2x_0)</f>
        <v>0</v>
      </c>
      <c r="Q32" s="1"/>
      <c r="R32" s="5">
        <f t="shared" ref="R32:R46" si="35">IF(P$12=0,0,P32/P$12)</f>
        <v>0</v>
      </c>
      <c r="S32" s="1"/>
      <c r="T32" s="1">
        <f>SUM(OSRRefT22_2x_0)</f>
        <v>3023.77</v>
      </c>
      <c r="U32" s="1"/>
      <c r="V32" s="5">
        <f t="shared" ref="V32:V46" si="36">IF(T$12=0,0,T32/T$12)</f>
        <v>1.9224143800921391E-2</v>
      </c>
      <c r="W32" s="1"/>
      <c r="X32" s="1">
        <f t="shared" ref="X32:X46" si="37">+P32-T32</f>
        <v>-3023.77</v>
      </c>
      <c r="Y32" s="1"/>
      <c r="Z32" s="5">
        <f t="shared" ref="Z32:Z46" si="38">IF(T32=0,0,X32/T32)</f>
        <v>-1</v>
      </c>
    </row>
    <row r="33" spans="1:26" s="23" customFormat="1" hidden="1" outlineLevel="2" x14ac:dyDescent="0.25">
      <c r="A33" s="25"/>
      <c r="B33" s="10" t="str">
        <f>CONCATENATE("          ", "6362", " - ", "ADVERTISING EXPENSE")</f>
        <v xml:space="preserve">          6362 - ADVERTISING EXPENSE</v>
      </c>
      <c r="C33" s="10"/>
      <c r="D33" s="6"/>
      <c r="E33" s="2"/>
      <c r="F33" s="7">
        <f t="shared" si="31"/>
        <v>0</v>
      </c>
      <c r="G33" s="2"/>
      <c r="H33" s="6"/>
      <c r="I33" s="2"/>
      <c r="J33" s="7">
        <f t="shared" si="32"/>
        <v>0</v>
      </c>
      <c r="K33" s="2"/>
      <c r="L33" s="6">
        <f t="shared" si="33"/>
        <v>0</v>
      </c>
      <c r="M33" s="2"/>
      <c r="N33" s="7">
        <f t="shared" si="34"/>
        <v>0</v>
      </c>
      <c r="O33" s="10"/>
      <c r="P33" s="6"/>
      <c r="Q33" s="2"/>
      <c r="R33" s="7">
        <f t="shared" si="35"/>
        <v>0</v>
      </c>
      <c r="S33" s="2"/>
      <c r="T33" s="6">
        <v>3023.77</v>
      </c>
      <c r="U33" s="2"/>
      <c r="V33" s="7">
        <f t="shared" si="36"/>
        <v>1.9224143800921391E-2</v>
      </c>
      <c r="W33" s="2"/>
      <c r="X33" s="6">
        <f t="shared" si="37"/>
        <v>-3023.77</v>
      </c>
      <c r="Y33" s="2"/>
      <c r="Z33" s="7">
        <f t="shared" si="38"/>
        <v>-1</v>
      </c>
    </row>
    <row r="34" spans="1:26" s="27" customFormat="1" outlineLevel="1" collapsed="1" x14ac:dyDescent="0.25">
      <c r="A34" s="26"/>
      <c r="B34" s="12" t="str">
        <f>CONCATENATE("     ","Bad Debts/Over/Short                              ")</f>
        <v xml:space="preserve">     Bad Debts/Over/Short                              </v>
      </c>
      <c r="C34" s="12"/>
      <c r="D34" s="1">
        <f>SUM(OSRRefD22_3x_0)</f>
        <v>0</v>
      </c>
      <c r="E34" s="1"/>
      <c r="F34" s="5">
        <f t="shared" si="31"/>
        <v>0</v>
      </c>
      <c r="G34" s="1"/>
      <c r="H34" s="1">
        <f>SUM(OSRRefH22_3x_0)</f>
        <v>0</v>
      </c>
      <c r="I34" s="1"/>
      <c r="J34" s="5">
        <f t="shared" si="32"/>
        <v>0</v>
      </c>
      <c r="K34" s="1"/>
      <c r="L34" s="1">
        <f t="shared" si="33"/>
        <v>0</v>
      </c>
      <c r="M34" s="1"/>
      <c r="N34" s="5">
        <f t="shared" si="34"/>
        <v>0</v>
      </c>
      <c r="O34" s="12"/>
      <c r="P34" s="1">
        <f>SUM(OSRRefP22_3x_0)</f>
        <v>0</v>
      </c>
      <c r="Q34" s="1"/>
      <c r="R34" s="5">
        <f t="shared" si="35"/>
        <v>0</v>
      </c>
      <c r="S34" s="1"/>
      <c r="T34" s="1">
        <f>SUM(OSRRefT22_3x_0)</f>
        <v>19.399999999999999</v>
      </c>
      <c r="U34" s="1"/>
      <c r="V34" s="5">
        <f t="shared" si="36"/>
        <v>1.2333887489388246E-4</v>
      </c>
      <c r="W34" s="1"/>
      <c r="X34" s="1">
        <f t="shared" si="37"/>
        <v>-19.399999999999999</v>
      </c>
      <c r="Y34" s="1"/>
      <c r="Z34" s="5">
        <f t="shared" si="38"/>
        <v>-1</v>
      </c>
    </row>
    <row r="35" spans="1:26" s="23" customFormat="1" hidden="1" outlineLevel="2" x14ac:dyDescent="0.25">
      <c r="A35" s="25"/>
      <c r="B35" s="10" t="str">
        <f>CONCATENATE("          ", "6272", " - ", "CASH (OVER/SHORT)")</f>
        <v xml:space="preserve">          6272 - CASH (OVER/SHORT)</v>
      </c>
      <c r="C35" s="10"/>
      <c r="D35" s="6"/>
      <c r="E35" s="2"/>
      <c r="F35" s="7">
        <f t="shared" si="31"/>
        <v>0</v>
      </c>
      <c r="G35" s="2"/>
      <c r="H35" s="6"/>
      <c r="I35" s="2"/>
      <c r="J35" s="7">
        <f t="shared" si="32"/>
        <v>0</v>
      </c>
      <c r="K35" s="2"/>
      <c r="L35" s="6">
        <f t="shared" si="33"/>
        <v>0</v>
      </c>
      <c r="M35" s="2"/>
      <c r="N35" s="7">
        <f t="shared" si="34"/>
        <v>0</v>
      </c>
      <c r="O35" s="10"/>
      <c r="P35" s="6"/>
      <c r="Q35" s="2"/>
      <c r="R35" s="7">
        <f t="shared" si="35"/>
        <v>0</v>
      </c>
      <c r="S35" s="2"/>
      <c r="T35" s="6">
        <v>19.399999999999999</v>
      </c>
      <c r="U35" s="2"/>
      <c r="V35" s="7">
        <f t="shared" si="36"/>
        <v>1.2333887489388246E-4</v>
      </c>
      <c r="W35" s="2"/>
      <c r="X35" s="6">
        <f t="shared" si="37"/>
        <v>-19.399999999999999</v>
      </c>
      <c r="Y35" s="2"/>
      <c r="Z35" s="7">
        <f t="shared" si="38"/>
        <v>-1</v>
      </c>
    </row>
    <row r="36" spans="1:26" s="27" customFormat="1" outlineLevel="1" collapsed="1" x14ac:dyDescent="0.25">
      <c r="A36" s="26"/>
      <c r="B36" s="12" t="str">
        <f>CONCATENATE("     ","Bank/card Fees                                    ")</f>
        <v xml:space="preserve">     Bank/card Fees                                    </v>
      </c>
      <c r="C36" s="12"/>
      <c r="D36" s="1">
        <f>SUM(OSRRefD22_4x_0)</f>
        <v>0</v>
      </c>
      <c r="E36" s="1"/>
      <c r="F36" s="5">
        <f t="shared" si="31"/>
        <v>0</v>
      </c>
      <c r="G36" s="1"/>
      <c r="H36" s="1">
        <f>SUM(OSRRefH22_4x_0)</f>
        <v>0</v>
      </c>
      <c r="I36" s="1"/>
      <c r="J36" s="5">
        <f t="shared" si="32"/>
        <v>0</v>
      </c>
      <c r="K36" s="1"/>
      <c r="L36" s="1">
        <f t="shared" si="33"/>
        <v>0</v>
      </c>
      <c r="M36" s="1"/>
      <c r="N36" s="5">
        <f t="shared" si="34"/>
        <v>0</v>
      </c>
      <c r="O36" s="12"/>
      <c r="P36" s="1">
        <f>SUM(OSRRefP22_4x_0)</f>
        <v>0</v>
      </c>
      <c r="Q36" s="1"/>
      <c r="R36" s="5">
        <f t="shared" si="35"/>
        <v>0</v>
      </c>
      <c r="S36" s="1"/>
      <c r="T36" s="1">
        <f>SUM(OSRRefT22_4x_0)</f>
        <v>4064.54</v>
      </c>
      <c r="U36" s="1"/>
      <c r="V36" s="5">
        <f t="shared" si="36"/>
        <v>2.5841020132019641E-2</v>
      </c>
      <c r="W36" s="1"/>
      <c r="X36" s="1">
        <f t="shared" si="37"/>
        <v>-4064.54</v>
      </c>
      <c r="Y36" s="1"/>
      <c r="Z36" s="5">
        <f t="shared" si="38"/>
        <v>-1</v>
      </c>
    </row>
    <row r="37" spans="1:26" s="23" customFormat="1" hidden="1" outlineLevel="2" x14ac:dyDescent="0.25">
      <c r="A37" s="25"/>
      <c r="B37" s="10" t="str">
        <f>CONCATENATE("          ", "6381", " - ", "BANK/CREDIT CARD FEES")</f>
        <v xml:space="preserve">          6381 - BANK/CREDIT CARD FEES</v>
      </c>
      <c r="C37" s="10"/>
      <c r="D37" s="6"/>
      <c r="E37" s="2"/>
      <c r="F37" s="7">
        <f t="shared" si="31"/>
        <v>0</v>
      </c>
      <c r="G37" s="2"/>
      <c r="H37" s="6"/>
      <c r="I37" s="2"/>
      <c r="J37" s="7">
        <f t="shared" si="32"/>
        <v>0</v>
      </c>
      <c r="K37" s="2"/>
      <c r="L37" s="6">
        <f t="shared" si="33"/>
        <v>0</v>
      </c>
      <c r="M37" s="2"/>
      <c r="N37" s="7">
        <f t="shared" si="34"/>
        <v>0</v>
      </c>
      <c r="O37" s="10"/>
      <c r="P37" s="6"/>
      <c r="Q37" s="2"/>
      <c r="R37" s="7">
        <f t="shared" si="35"/>
        <v>0</v>
      </c>
      <c r="S37" s="2"/>
      <c r="T37" s="6">
        <v>4064.54</v>
      </c>
      <c r="U37" s="2"/>
      <c r="V37" s="7">
        <f t="shared" si="36"/>
        <v>2.5841020132019641E-2</v>
      </c>
      <c r="W37" s="2"/>
      <c r="X37" s="6">
        <f t="shared" si="37"/>
        <v>-4064.54</v>
      </c>
      <c r="Y37" s="2"/>
      <c r="Z37" s="7">
        <f t="shared" si="38"/>
        <v>-1</v>
      </c>
    </row>
    <row r="38" spans="1:26" s="27" customFormat="1" outlineLevel="1" collapsed="1" x14ac:dyDescent="0.25">
      <c r="A38" s="26"/>
      <c r="B38" s="12" t="str">
        <f>CONCATENATE("     ","Depreciation                                      ")</f>
        <v xml:space="preserve">     Depreciation                                      </v>
      </c>
      <c r="C38" s="12"/>
      <c r="D38" s="1">
        <f>SUM(OSRRefD22_5x_0)</f>
        <v>479.29</v>
      </c>
      <c r="E38" s="1"/>
      <c r="F38" s="5">
        <f t="shared" si="31"/>
        <v>0</v>
      </c>
      <c r="G38" s="1"/>
      <c r="H38" s="1">
        <f>SUM(OSRRefH22_5x_0)</f>
        <v>479.29</v>
      </c>
      <c r="I38" s="1"/>
      <c r="J38" s="5">
        <f t="shared" si="32"/>
        <v>0</v>
      </c>
      <c r="K38" s="1"/>
      <c r="L38" s="1">
        <f t="shared" si="33"/>
        <v>0</v>
      </c>
      <c r="M38" s="1"/>
      <c r="N38" s="5">
        <f t="shared" si="34"/>
        <v>0</v>
      </c>
      <c r="O38" s="12"/>
      <c r="P38" s="1">
        <f>SUM(OSRRefP22_5x_0)</f>
        <v>5751.48</v>
      </c>
      <c r="Q38" s="1"/>
      <c r="R38" s="5">
        <f t="shared" si="35"/>
        <v>0</v>
      </c>
      <c r="S38" s="1"/>
      <c r="T38" s="1">
        <f>SUM(OSRRefT22_5x_0)</f>
        <v>1917.16</v>
      </c>
      <c r="U38" s="1"/>
      <c r="V38" s="5">
        <f t="shared" si="36"/>
        <v>1.2188678216059573E-2</v>
      </c>
      <c r="W38" s="1"/>
      <c r="X38" s="1">
        <f t="shared" si="37"/>
        <v>3834.3199999999997</v>
      </c>
      <c r="Y38" s="1"/>
      <c r="Z38" s="5">
        <f t="shared" si="38"/>
        <v>1.9999999999999998</v>
      </c>
    </row>
    <row r="39" spans="1:26" s="23" customFormat="1" hidden="1" outlineLevel="2" x14ac:dyDescent="0.25">
      <c r="A39" s="25"/>
      <c r="B39" s="10" t="str">
        <f>CONCATENATE("          ", "6322", " - ", "EQUIPMENT DEPRECIATION EXPENSE")</f>
        <v xml:space="preserve">          6322 - EQUIPMENT DEPRECIATION EXPENSE</v>
      </c>
      <c r="C39" s="10"/>
      <c r="D39" s="6">
        <v>479.29</v>
      </c>
      <c r="E39" s="2"/>
      <c r="F39" s="7">
        <f t="shared" si="31"/>
        <v>0</v>
      </c>
      <c r="G39" s="2"/>
      <c r="H39" s="6">
        <v>479.29</v>
      </c>
      <c r="I39" s="2"/>
      <c r="J39" s="7">
        <f t="shared" si="32"/>
        <v>0</v>
      </c>
      <c r="K39" s="2"/>
      <c r="L39" s="6">
        <f t="shared" si="33"/>
        <v>0</v>
      </c>
      <c r="M39" s="2"/>
      <c r="N39" s="7">
        <f t="shared" si="34"/>
        <v>0</v>
      </c>
      <c r="O39" s="10"/>
      <c r="P39" s="6">
        <v>5751.48</v>
      </c>
      <c r="Q39" s="2"/>
      <c r="R39" s="7">
        <f t="shared" si="35"/>
        <v>0</v>
      </c>
      <c r="S39" s="2"/>
      <c r="T39" s="6">
        <v>1917.16</v>
      </c>
      <c r="U39" s="2"/>
      <c r="V39" s="7">
        <f t="shared" si="36"/>
        <v>1.2188678216059573E-2</v>
      </c>
      <c r="W39" s="2"/>
      <c r="X39" s="6">
        <f t="shared" si="37"/>
        <v>3834.3199999999997</v>
      </c>
      <c r="Y39" s="2"/>
      <c r="Z39" s="7">
        <f t="shared" si="38"/>
        <v>1.9999999999999998</v>
      </c>
    </row>
    <row r="40" spans="1:26" s="27" customFormat="1" outlineLevel="1" collapsed="1" x14ac:dyDescent="0.25">
      <c r="A40" s="26"/>
      <c r="B40" s="12" t="str">
        <f>CONCATENATE("     ","Employees' Appreciation                           ")</f>
        <v xml:space="preserve">     Employees' Appreciation                           </v>
      </c>
      <c r="C40" s="12"/>
      <c r="D40" s="1">
        <f>SUM(OSRRefD22_6x_0)</f>
        <v>0</v>
      </c>
      <c r="E40" s="1"/>
      <c r="F40" s="5">
        <f t="shared" si="31"/>
        <v>0</v>
      </c>
      <c r="G40" s="1"/>
      <c r="H40" s="1">
        <f>SUM(OSRRefH22_6x_0)</f>
        <v>0</v>
      </c>
      <c r="I40" s="1"/>
      <c r="J40" s="5">
        <f t="shared" si="32"/>
        <v>0</v>
      </c>
      <c r="K40" s="1"/>
      <c r="L40" s="1">
        <f t="shared" si="33"/>
        <v>0</v>
      </c>
      <c r="M40" s="1"/>
      <c r="N40" s="5">
        <f t="shared" si="34"/>
        <v>0</v>
      </c>
      <c r="O40" s="12"/>
      <c r="P40" s="1">
        <f>SUM(OSRRefP22_6x_0)</f>
        <v>0</v>
      </c>
      <c r="Q40" s="1"/>
      <c r="R40" s="5">
        <f t="shared" si="35"/>
        <v>0</v>
      </c>
      <c r="S40" s="1"/>
      <c r="T40" s="1">
        <f>SUM(OSRRefT22_6x_0)</f>
        <v>307.2</v>
      </c>
      <c r="U40" s="1"/>
      <c r="V40" s="5">
        <f t="shared" si="36"/>
        <v>1.9530774416185923E-3</v>
      </c>
      <c r="W40" s="1"/>
      <c r="X40" s="1">
        <f t="shared" si="37"/>
        <v>-307.2</v>
      </c>
      <c r="Y40" s="1"/>
      <c r="Z40" s="5">
        <f t="shared" si="38"/>
        <v>-1</v>
      </c>
    </row>
    <row r="41" spans="1:26" s="23" customFormat="1" hidden="1" outlineLevel="2" x14ac:dyDescent="0.25">
      <c r="A41" s="25"/>
      <c r="B41" s="10" t="str">
        <f>CONCATENATE("          ", "6277", " - ", "EMPLOYEE APPRECIATION")</f>
        <v xml:space="preserve">          6277 - EMPLOYEE APPRECIATION</v>
      </c>
      <c r="C41" s="10"/>
      <c r="D41" s="6"/>
      <c r="E41" s="2"/>
      <c r="F41" s="7">
        <f t="shared" si="31"/>
        <v>0</v>
      </c>
      <c r="G41" s="2"/>
      <c r="H41" s="6"/>
      <c r="I41" s="2"/>
      <c r="J41" s="7">
        <f t="shared" si="32"/>
        <v>0</v>
      </c>
      <c r="K41" s="2"/>
      <c r="L41" s="6">
        <f t="shared" si="33"/>
        <v>0</v>
      </c>
      <c r="M41" s="2"/>
      <c r="N41" s="7">
        <f t="shared" si="34"/>
        <v>0</v>
      </c>
      <c r="O41" s="10"/>
      <c r="P41" s="6"/>
      <c r="Q41" s="2"/>
      <c r="R41" s="7">
        <f t="shared" si="35"/>
        <v>0</v>
      </c>
      <c r="S41" s="2"/>
      <c r="T41" s="6">
        <v>307.2</v>
      </c>
      <c r="U41" s="2"/>
      <c r="V41" s="7">
        <f t="shared" si="36"/>
        <v>1.9530774416185923E-3</v>
      </c>
      <c r="W41" s="2"/>
      <c r="X41" s="6">
        <f t="shared" si="37"/>
        <v>-307.2</v>
      </c>
      <c r="Y41" s="2"/>
      <c r="Z41" s="7">
        <f t="shared" si="38"/>
        <v>-1</v>
      </c>
    </row>
    <row r="42" spans="1:26" s="27" customFormat="1" outlineLevel="1" collapsed="1" x14ac:dyDescent="0.25">
      <c r="A42" s="26"/>
      <c r="B42" s="12" t="str">
        <f>CONCATENATE("     ","General                                           ")</f>
        <v xml:space="preserve">     General                                           </v>
      </c>
      <c r="C42" s="12"/>
      <c r="D42" s="1">
        <f>SUM(OSRRefD22_7x_0)</f>
        <v>0</v>
      </c>
      <c r="E42" s="1"/>
      <c r="F42" s="5">
        <f t="shared" si="31"/>
        <v>0</v>
      </c>
      <c r="G42" s="1"/>
      <c r="H42" s="1">
        <f>SUM(OSRRefH22_7x_0)</f>
        <v>0</v>
      </c>
      <c r="I42" s="1"/>
      <c r="J42" s="5">
        <f t="shared" si="32"/>
        <v>0</v>
      </c>
      <c r="K42" s="1"/>
      <c r="L42" s="1">
        <f t="shared" si="33"/>
        <v>0</v>
      </c>
      <c r="M42" s="1"/>
      <c r="N42" s="5">
        <f t="shared" si="34"/>
        <v>0</v>
      </c>
      <c r="O42" s="12"/>
      <c r="P42" s="1">
        <f>SUM(OSRRefP22_7x_0)</f>
        <v>978.55</v>
      </c>
      <c r="Q42" s="1"/>
      <c r="R42" s="5">
        <f t="shared" si="35"/>
        <v>0</v>
      </c>
      <c r="S42" s="1"/>
      <c r="T42" s="1">
        <f>SUM(OSRRefT22_7x_0)</f>
        <v>5005.68</v>
      </c>
      <c r="U42" s="1"/>
      <c r="V42" s="5">
        <f t="shared" si="36"/>
        <v>3.1824481406124205E-2</v>
      </c>
      <c r="W42" s="1"/>
      <c r="X42" s="1">
        <f t="shared" si="37"/>
        <v>-4027.13</v>
      </c>
      <c r="Y42" s="1"/>
      <c r="Z42" s="5">
        <f t="shared" si="38"/>
        <v>-0.80451207428361382</v>
      </c>
    </row>
    <row r="43" spans="1:26" s="23" customFormat="1" hidden="1" outlineLevel="2" x14ac:dyDescent="0.25">
      <c r="A43" s="25"/>
      <c r="B43" s="10" t="str">
        <f>CONCATENATE("          ", "6279", " - ", "GENERAL EXPENSE")</f>
        <v xml:space="preserve">          6279 - GENERAL EXPENSE</v>
      </c>
      <c r="C43" s="10"/>
      <c r="D43" s="6"/>
      <c r="E43" s="2"/>
      <c r="F43" s="7">
        <f t="shared" si="31"/>
        <v>0</v>
      </c>
      <c r="G43" s="2"/>
      <c r="H43" s="6"/>
      <c r="I43" s="2"/>
      <c r="J43" s="7">
        <f t="shared" si="32"/>
        <v>0</v>
      </c>
      <c r="K43" s="2"/>
      <c r="L43" s="6">
        <f t="shared" si="33"/>
        <v>0</v>
      </c>
      <c r="M43" s="2"/>
      <c r="N43" s="7">
        <f t="shared" si="34"/>
        <v>0</v>
      </c>
      <c r="O43" s="10"/>
      <c r="P43" s="6">
        <v>978.55</v>
      </c>
      <c r="Q43" s="2"/>
      <c r="R43" s="7">
        <f t="shared" si="35"/>
        <v>0</v>
      </c>
      <c r="S43" s="2"/>
      <c r="T43" s="6">
        <v>5005.68</v>
      </c>
      <c r="U43" s="2"/>
      <c r="V43" s="7">
        <f t="shared" si="36"/>
        <v>3.1824481406124205E-2</v>
      </c>
      <c r="W43" s="2"/>
      <c r="X43" s="6">
        <f t="shared" si="37"/>
        <v>-4027.13</v>
      </c>
      <c r="Y43" s="2"/>
      <c r="Z43" s="7">
        <f t="shared" si="38"/>
        <v>-0.80451207428361382</v>
      </c>
    </row>
    <row r="44" spans="1:26" s="27" customFormat="1" outlineLevel="1" collapsed="1" x14ac:dyDescent="0.25">
      <c r="A44" s="26"/>
      <c r="B44" s="12" t="str">
        <f>CONCATENATE("     ","Repair and Maintenance                            ")</f>
        <v xml:space="preserve">     Repair and Maintenance                            </v>
      </c>
      <c r="C44" s="12"/>
      <c r="D44" s="1">
        <f>SUM(OSRRefD22_8x_0)</f>
        <v>0</v>
      </c>
      <c r="E44" s="1"/>
      <c r="F44" s="5">
        <f t="shared" si="31"/>
        <v>0</v>
      </c>
      <c r="G44" s="1"/>
      <c r="H44" s="1">
        <f>SUM(OSRRefH22_8x_0)</f>
        <v>0</v>
      </c>
      <c r="I44" s="1"/>
      <c r="J44" s="5">
        <f t="shared" si="32"/>
        <v>0</v>
      </c>
      <c r="K44" s="1"/>
      <c r="L44" s="1">
        <f t="shared" si="33"/>
        <v>0</v>
      </c>
      <c r="M44" s="1"/>
      <c r="N44" s="5">
        <f t="shared" si="34"/>
        <v>0</v>
      </c>
      <c r="O44" s="12"/>
      <c r="P44" s="1">
        <f>SUM(OSRRefP22_8x_0)</f>
        <v>154.33000000000001</v>
      </c>
      <c r="Q44" s="1"/>
      <c r="R44" s="5">
        <f t="shared" si="35"/>
        <v>0</v>
      </c>
      <c r="S44" s="1"/>
      <c r="T44" s="1">
        <f>SUM(OSRRefT22_8x_0)</f>
        <v>1797.2199999999998</v>
      </c>
      <c r="U44" s="1"/>
      <c r="V44" s="5">
        <f t="shared" si="36"/>
        <v>1.1426138800865125E-2</v>
      </c>
      <c r="W44" s="1"/>
      <c r="X44" s="1">
        <f t="shared" si="37"/>
        <v>-1642.8899999999999</v>
      </c>
      <c r="Y44" s="1"/>
      <c r="Z44" s="5">
        <f t="shared" si="38"/>
        <v>-0.91412848733043262</v>
      </c>
    </row>
    <row r="45" spans="1:26" s="23" customFormat="1" hidden="1" outlineLevel="2" x14ac:dyDescent="0.25">
      <c r="A45" s="25"/>
      <c r="B45" s="10" t="str">
        <f>CONCATENATE("          ", "6373", " - ", "MAINTENANCE CONTRACTS")</f>
        <v xml:space="preserve">          6373 - MAINTENANCE CONTRACTS</v>
      </c>
      <c r="C45" s="10"/>
      <c r="D45" s="6"/>
      <c r="E45" s="2"/>
      <c r="F45" s="7">
        <f t="shared" si="31"/>
        <v>0</v>
      </c>
      <c r="G45" s="2"/>
      <c r="H45" s="6"/>
      <c r="I45" s="2"/>
      <c r="J45" s="7">
        <f t="shared" si="32"/>
        <v>0</v>
      </c>
      <c r="K45" s="2"/>
      <c r="L45" s="6">
        <f t="shared" si="33"/>
        <v>0</v>
      </c>
      <c r="M45" s="2"/>
      <c r="N45" s="7">
        <f t="shared" si="34"/>
        <v>0</v>
      </c>
      <c r="O45" s="10"/>
      <c r="P45" s="6">
        <v>154.33000000000001</v>
      </c>
      <c r="Q45" s="2"/>
      <c r="R45" s="7">
        <f t="shared" si="35"/>
        <v>0</v>
      </c>
      <c r="S45" s="2"/>
      <c r="T45" s="6">
        <v>296.64</v>
      </c>
      <c r="U45" s="2"/>
      <c r="V45" s="7">
        <f t="shared" si="36"/>
        <v>1.8859404045629532E-3</v>
      </c>
      <c r="W45" s="2"/>
      <c r="X45" s="6">
        <f t="shared" si="37"/>
        <v>-142.30999999999997</v>
      </c>
      <c r="Y45" s="2"/>
      <c r="Z45" s="7">
        <f t="shared" si="38"/>
        <v>-0.4797397518878101</v>
      </c>
    </row>
    <row r="46" spans="1:26" s="23" customFormat="1" hidden="1" outlineLevel="2" x14ac:dyDescent="0.25">
      <c r="A46" s="25"/>
      <c r="B46" s="10" t="str">
        <f>CONCATENATE("          ", "6375", " - ", "OUTSIDE REPAIRS &amp; MAINTENANCE")</f>
        <v xml:space="preserve">          6375 - OUTSIDE REPAIRS &amp; MAINTENANCE</v>
      </c>
      <c r="C46" s="10"/>
      <c r="D46" s="6"/>
      <c r="E46" s="2"/>
      <c r="F46" s="7">
        <f t="shared" si="31"/>
        <v>0</v>
      </c>
      <c r="G46" s="2"/>
      <c r="H46" s="6"/>
      <c r="I46" s="2"/>
      <c r="J46" s="7">
        <f t="shared" si="32"/>
        <v>0</v>
      </c>
      <c r="K46" s="2"/>
      <c r="L46" s="6">
        <f t="shared" si="33"/>
        <v>0</v>
      </c>
      <c r="M46" s="2"/>
      <c r="N46" s="7">
        <f t="shared" si="34"/>
        <v>0</v>
      </c>
      <c r="O46" s="10"/>
      <c r="P46" s="6"/>
      <c r="Q46" s="2"/>
      <c r="R46" s="7">
        <f t="shared" si="35"/>
        <v>0</v>
      </c>
      <c r="S46" s="2"/>
      <c r="T46" s="6">
        <v>1500.58</v>
      </c>
      <c r="U46" s="2"/>
      <c r="V46" s="7">
        <f t="shared" si="36"/>
        <v>9.5401983963021731E-3</v>
      </c>
      <c r="W46" s="2"/>
      <c r="X46" s="6">
        <f t="shared" si="37"/>
        <v>-1500.58</v>
      </c>
      <c r="Y46" s="2"/>
      <c r="Z46" s="7">
        <f t="shared" si="38"/>
        <v>-1</v>
      </c>
    </row>
    <row r="47" spans="1:26" s="27" customFormat="1" outlineLevel="1" collapsed="1" x14ac:dyDescent="0.25">
      <c r="A47" s="26"/>
      <c r="B47" s="12" t="str">
        <f>CONCATENATE("     ","Royalty &amp; Commissions                             ")</f>
        <v xml:space="preserve">     Royalty &amp; Commissions                             </v>
      </c>
      <c r="C47" s="12"/>
      <c r="D47" s="1">
        <f>SUM(OSRRefD22_9x_0)</f>
        <v>0</v>
      </c>
      <c r="E47" s="1"/>
      <c r="F47" s="5">
        <f t="shared" ref="F47:F56" si="39">IF(D$12=0,0,D47/D$12)</f>
        <v>0</v>
      </c>
      <c r="G47" s="1"/>
      <c r="H47" s="1">
        <f>SUM(OSRRefH22_9x_0)</f>
        <v>0</v>
      </c>
      <c r="I47" s="1"/>
      <c r="J47" s="5">
        <f t="shared" ref="J47:J56" si="40">IF(H$12=0,0,H47/H$12)</f>
        <v>0</v>
      </c>
      <c r="K47" s="1"/>
      <c r="L47" s="1">
        <f t="shared" ref="L47:L56" si="41">+D47-H47</f>
        <v>0</v>
      </c>
      <c r="M47" s="1"/>
      <c r="N47" s="5">
        <f t="shared" ref="N47:N56" si="42">IF(H47=0,0,L47/H47)</f>
        <v>0</v>
      </c>
      <c r="O47" s="12"/>
      <c r="P47" s="1">
        <f>SUM(OSRRefP22_9x_0)</f>
        <v>0</v>
      </c>
      <c r="Q47" s="1"/>
      <c r="R47" s="5">
        <f t="shared" ref="R47:R56" si="43">IF(P$12=0,0,P47/P$12)</f>
        <v>0</v>
      </c>
      <c r="S47" s="1"/>
      <c r="T47" s="1">
        <f>SUM(OSRRefT22_9x_0)</f>
        <v>35313.08</v>
      </c>
      <c r="U47" s="1"/>
      <c r="V47" s="5">
        <f t="shared" ref="V47:V56" si="44">IF(T$12=0,0,T47/T$12)</f>
        <v>0.2245090492906012</v>
      </c>
      <c r="W47" s="1"/>
      <c r="X47" s="1">
        <f t="shared" ref="X47:X56" si="45">+P47-T47</f>
        <v>-35313.08</v>
      </c>
      <c r="Y47" s="1"/>
      <c r="Z47" s="5">
        <f t="shared" ref="Z47:Z56" si="46">IF(T47=0,0,X47/T47)</f>
        <v>-1</v>
      </c>
    </row>
    <row r="48" spans="1:26" s="23" customFormat="1" hidden="1" outlineLevel="2" x14ac:dyDescent="0.25">
      <c r="A48" s="25"/>
      <c r="B48" s="10" t="str">
        <f>CONCATENATE("          ", "6254", " - ", "ROYALTY &amp; COMMISSIONS")</f>
        <v xml:space="preserve">          6254 - ROYALTY &amp; COMMISSIONS</v>
      </c>
      <c r="C48" s="10"/>
      <c r="D48" s="6"/>
      <c r="E48" s="2"/>
      <c r="F48" s="7">
        <f t="shared" si="39"/>
        <v>0</v>
      </c>
      <c r="G48" s="2"/>
      <c r="H48" s="6"/>
      <c r="I48" s="2"/>
      <c r="J48" s="7">
        <f t="shared" si="40"/>
        <v>0</v>
      </c>
      <c r="K48" s="2"/>
      <c r="L48" s="6">
        <f t="shared" si="41"/>
        <v>0</v>
      </c>
      <c r="M48" s="2"/>
      <c r="N48" s="7">
        <f t="shared" si="42"/>
        <v>0</v>
      </c>
      <c r="O48" s="10"/>
      <c r="P48" s="6"/>
      <c r="Q48" s="2"/>
      <c r="R48" s="7">
        <f t="shared" si="43"/>
        <v>0</v>
      </c>
      <c r="S48" s="2"/>
      <c r="T48" s="6">
        <v>35313.08</v>
      </c>
      <c r="U48" s="2"/>
      <c r="V48" s="7">
        <f t="shared" si="44"/>
        <v>0.2245090492906012</v>
      </c>
      <c r="W48" s="2"/>
      <c r="X48" s="6">
        <f t="shared" si="45"/>
        <v>-35313.08</v>
      </c>
      <c r="Y48" s="2"/>
      <c r="Z48" s="7">
        <f t="shared" si="46"/>
        <v>-1</v>
      </c>
    </row>
    <row r="49" spans="1:26" s="27" customFormat="1" outlineLevel="1" collapsed="1" x14ac:dyDescent="0.25">
      <c r="A49" s="26"/>
      <c r="B49" s="12" t="str">
        <f>CONCATENATE("     ","Services                                          ")</f>
        <v xml:space="preserve">     Services                                          </v>
      </c>
      <c r="C49" s="12"/>
      <c r="D49" s="1">
        <f>SUM(OSRRefD22_10x_0)</f>
        <v>0</v>
      </c>
      <c r="E49" s="1"/>
      <c r="F49" s="5">
        <f t="shared" si="39"/>
        <v>0</v>
      </c>
      <c r="G49" s="1"/>
      <c r="H49" s="1">
        <f>SUM(OSRRefH22_10x_0)</f>
        <v>0</v>
      </c>
      <c r="I49" s="1"/>
      <c r="J49" s="5">
        <f t="shared" si="40"/>
        <v>0</v>
      </c>
      <c r="K49" s="1"/>
      <c r="L49" s="1">
        <f t="shared" si="41"/>
        <v>0</v>
      </c>
      <c r="M49" s="1"/>
      <c r="N49" s="5">
        <f t="shared" si="42"/>
        <v>0</v>
      </c>
      <c r="O49" s="12"/>
      <c r="P49" s="1">
        <f>SUM(OSRRefP22_10x_0)</f>
        <v>0</v>
      </c>
      <c r="Q49" s="1"/>
      <c r="R49" s="5">
        <f t="shared" si="43"/>
        <v>0</v>
      </c>
      <c r="S49" s="1"/>
      <c r="T49" s="1">
        <f>SUM(OSRRefT22_10x_0)</f>
        <v>126</v>
      </c>
      <c r="U49" s="1"/>
      <c r="V49" s="5">
        <f t="shared" si="44"/>
        <v>8.0106691941387578E-4</v>
      </c>
      <c r="W49" s="1"/>
      <c r="X49" s="1">
        <f t="shared" si="45"/>
        <v>-126</v>
      </c>
      <c r="Y49" s="1"/>
      <c r="Z49" s="5">
        <f t="shared" si="46"/>
        <v>-1</v>
      </c>
    </row>
    <row r="50" spans="1:26" s="23" customFormat="1" hidden="1" outlineLevel="2" x14ac:dyDescent="0.25">
      <c r="A50" s="25"/>
      <c r="B50" s="10" t="str">
        <f>CONCATENATE("          ", "6286", " - ", "LAUNDRY EXPENSE")</f>
        <v xml:space="preserve">          6286 - LAUNDRY EXPENSE</v>
      </c>
      <c r="C50" s="10"/>
      <c r="D50" s="6"/>
      <c r="E50" s="2"/>
      <c r="F50" s="7">
        <f t="shared" si="39"/>
        <v>0</v>
      </c>
      <c r="G50" s="2"/>
      <c r="H50" s="6"/>
      <c r="I50" s="2"/>
      <c r="J50" s="7">
        <f t="shared" si="40"/>
        <v>0</v>
      </c>
      <c r="K50" s="2"/>
      <c r="L50" s="6">
        <f t="shared" si="41"/>
        <v>0</v>
      </c>
      <c r="M50" s="2"/>
      <c r="N50" s="7">
        <f t="shared" si="42"/>
        <v>0</v>
      </c>
      <c r="O50" s="10"/>
      <c r="P50" s="6"/>
      <c r="Q50" s="2"/>
      <c r="R50" s="7">
        <f t="shared" si="43"/>
        <v>0</v>
      </c>
      <c r="S50" s="2"/>
      <c r="T50" s="6">
        <v>126</v>
      </c>
      <c r="U50" s="2"/>
      <c r="V50" s="7">
        <f t="shared" si="44"/>
        <v>8.0106691941387578E-4</v>
      </c>
      <c r="W50" s="2"/>
      <c r="X50" s="6">
        <f t="shared" si="45"/>
        <v>-126</v>
      </c>
      <c r="Y50" s="2"/>
      <c r="Z50" s="7">
        <f t="shared" si="46"/>
        <v>-1</v>
      </c>
    </row>
    <row r="51" spans="1:26" s="27" customFormat="1" outlineLevel="1" collapsed="1" x14ac:dyDescent="0.25">
      <c r="A51" s="26"/>
      <c r="B51" s="12" t="str">
        <f>CONCATENATE("     ","Supplies                                          ")</f>
        <v xml:space="preserve">     Supplies                                          </v>
      </c>
      <c r="C51" s="12"/>
      <c r="D51" s="1">
        <f>SUM(OSRRefD22_11x_0)</f>
        <v>0</v>
      </c>
      <c r="E51" s="1"/>
      <c r="F51" s="5">
        <f t="shared" si="39"/>
        <v>0</v>
      </c>
      <c r="G51" s="1"/>
      <c r="H51" s="1">
        <f>SUM(OSRRefH22_11x_0)</f>
        <v>0</v>
      </c>
      <c r="I51" s="1"/>
      <c r="J51" s="5">
        <f t="shared" si="40"/>
        <v>0</v>
      </c>
      <c r="K51" s="1"/>
      <c r="L51" s="1">
        <f t="shared" si="41"/>
        <v>0</v>
      </c>
      <c r="M51" s="1"/>
      <c r="N51" s="5">
        <f t="shared" si="42"/>
        <v>0</v>
      </c>
      <c r="O51" s="12"/>
      <c r="P51" s="1">
        <f>SUM(OSRRefP22_11x_0)</f>
        <v>0</v>
      </c>
      <c r="Q51" s="1"/>
      <c r="R51" s="5">
        <f t="shared" si="43"/>
        <v>0</v>
      </c>
      <c r="S51" s="1"/>
      <c r="T51" s="1">
        <f>SUM(OSRRefT22_11x_0)</f>
        <v>6070.7100000000009</v>
      </c>
      <c r="U51" s="1"/>
      <c r="V51" s="5">
        <f t="shared" si="44"/>
        <v>3.8595594907579453E-2</v>
      </c>
      <c r="W51" s="1"/>
      <c r="X51" s="1">
        <f t="shared" si="45"/>
        <v>-6070.7100000000009</v>
      </c>
      <c r="Y51" s="1"/>
      <c r="Z51" s="5">
        <f t="shared" si="46"/>
        <v>-1</v>
      </c>
    </row>
    <row r="52" spans="1:26" s="23" customFormat="1" hidden="1" outlineLevel="2" x14ac:dyDescent="0.25">
      <c r="A52" s="25"/>
      <c r="B52" s="10" t="str">
        <f>CONCATENATE("          ", "6237", " - ", "JANITORIAL SUPPLIES")</f>
        <v xml:space="preserve">          6237 - JANITORIAL SUPPLIES</v>
      </c>
      <c r="C52" s="10"/>
      <c r="D52" s="6"/>
      <c r="E52" s="2"/>
      <c r="F52" s="7">
        <f t="shared" si="39"/>
        <v>0</v>
      </c>
      <c r="G52" s="2"/>
      <c r="H52" s="6"/>
      <c r="I52" s="2"/>
      <c r="J52" s="7">
        <f t="shared" si="40"/>
        <v>0</v>
      </c>
      <c r="K52" s="2"/>
      <c r="L52" s="6">
        <f t="shared" si="41"/>
        <v>0</v>
      </c>
      <c r="M52" s="2"/>
      <c r="N52" s="7">
        <f t="shared" si="42"/>
        <v>0</v>
      </c>
      <c r="O52" s="10"/>
      <c r="P52" s="6"/>
      <c r="Q52" s="2"/>
      <c r="R52" s="7">
        <f t="shared" si="43"/>
        <v>0</v>
      </c>
      <c r="S52" s="2"/>
      <c r="T52" s="6">
        <v>78.81</v>
      </c>
      <c r="U52" s="2"/>
      <c r="V52" s="7">
        <f t="shared" si="44"/>
        <v>5.0104828507148858E-4</v>
      </c>
      <c r="W52" s="2"/>
      <c r="X52" s="6">
        <f t="shared" si="45"/>
        <v>-78.81</v>
      </c>
      <c r="Y52" s="2"/>
      <c r="Z52" s="7">
        <f t="shared" si="46"/>
        <v>-1</v>
      </c>
    </row>
    <row r="53" spans="1:26" s="23" customFormat="1" hidden="1" outlineLevel="2" x14ac:dyDescent="0.25">
      <c r="A53" s="25"/>
      <c r="B53" s="10" t="str">
        <f>CONCATENATE("          ", "6239", " - ", "KITCHEN SUPPLIES")</f>
        <v xml:space="preserve">          6239 - KITCHEN SUPPLIES</v>
      </c>
      <c r="C53" s="10"/>
      <c r="D53" s="6"/>
      <c r="E53" s="2"/>
      <c r="F53" s="7">
        <f t="shared" si="39"/>
        <v>0</v>
      </c>
      <c r="G53" s="2"/>
      <c r="H53" s="6"/>
      <c r="I53" s="2"/>
      <c r="J53" s="7">
        <f t="shared" si="40"/>
        <v>0</v>
      </c>
      <c r="K53" s="2"/>
      <c r="L53" s="6">
        <f t="shared" si="41"/>
        <v>0</v>
      </c>
      <c r="M53" s="2"/>
      <c r="N53" s="7">
        <f t="shared" si="42"/>
        <v>0</v>
      </c>
      <c r="O53" s="10"/>
      <c r="P53" s="6"/>
      <c r="Q53" s="2"/>
      <c r="R53" s="7">
        <f t="shared" si="43"/>
        <v>0</v>
      </c>
      <c r="S53" s="2"/>
      <c r="T53" s="6">
        <v>4802.42</v>
      </c>
      <c r="U53" s="2"/>
      <c r="V53" s="7">
        <f t="shared" si="44"/>
        <v>3.0532220596282425E-2</v>
      </c>
      <c r="W53" s="2"/>
      <c r="X53" s="6">
        <f t="shared" si="45"/>
        <v>-4802.42</v>
      </c>
      <c r="Y53" s="2"/>
      <c r="Z53" s="7">
        <f t="shared" si="46"/>
        <v>-1</v>
      </c>
    </row>
    <row r="54" spans="1:26" s="23" customFormat="1" hidden="1" outlineLevel="2" x14ac:dyDescent="0.25">
      <c r="A54" s="25"/>
      <c r="B54" s="10" t="str">
        <f>CONCATENATE("          ", "6241", " - ", "OFFICE EXPENSE")</f>
        <v xml:space="preserve">          6241 - OFFICE EXPENSE</v>
      </c>
      <c r="C54" s="10"/>
      <c r="D54" s="6"/>
      <c r="E54" s="2"/>
      <c r="F54" s="7">
        <f t="shared" si="39"/>
        <v>0</v>
      </c>
      <c r="G54" s="2"/>
      <c r="H54" s="6"/>
      <c r="I54" s="2"/>
      <c r="J54" s="7">
        <f t="shared" si="40"/>
        <v>0</v>
      </c>
      <c r="K54" s="2"/>
      <c r="L54" s="6">
        <f t="shared" si="41"/>
        <v>0</v>
      </c>
      <c r="M54" s="2"/>
      <c r="N54" s="7">
        <f t="shared" si="42"/>
        <v>0</v>
      </c>
      <c r="O54" s="10"/>
      <c r="P54" s="6"/>
      <c r="Q54" s="2"/>
      <c r="R54" s="7">
        <f t="shared" si="43"/>
        <v>0</v>
      </c>
      <c r="S54" s="2"/>
      <c r="T54" s="6">
        <v>135.93</v>
      </c>
      <c r="U54" s="2"/>
      <c r="V54" s="7">
        <f t="shared" si="44"/>
        <v>8.6419862187244562E-4</v>
      </c>
      <c r="W54" s="2"/>
      <c r="X54" s="6">
        <f t="shared" si="45"/>
        <v>-135.93</v>
      </c>
      <c r="Y54" s="2"/>
      <c r="Z54" s="7">
        <f t="shared" si="46"/>
        <v>-1</v>
      </c>
    </row>
    <row r="55" spans="1:26" s="23" customFormat="1" hidden="1" outlineLevel="2" x14ac:dyDescent="0.25">
      <c r="A55" s="25"/>
      <c r="B55" s="10" t="str">
        <f>CONCATENATE("          ", "6243", " - ", "PAPER SUPPLIES")</f>
        <v xml:space="preserve">          6243 - PAPER SUPPLIES</v>
      </c>
      <c r="C55" s="10"/>
      <c r="D55" s="6"/>
      <c r="E55" s="2"/>
      <c r="F55" s="7">
        <f t="shared" si="39"/>
        <v>0</v>
      </c>
      <c r="G55" s="2"/>
      <c r="H55" s="6"/>
      <c r="I55" s="2"/>
      <c r="J55" s="7">
        <f t="shared" si="40"/>
        <v>0</v>
      </c>
      <c r="K55" s="2"/>
      <c r="L55" s="6">
        <f t="shared" si="41"/>
        <v>0</v>
      </c>
      <c r="M55" s="2"/>
      <c r="N55" s="7">
        <f t="shared" si="42"/>
        <v>0</v>
      </c>
      <c r="O55" s="10"/>
      <c r="P55" s="6"/>
      <c r="Q55" s="2"/>
      <c r="R55" s="7">
        <f t="shared" si="43"/>
        <v>0</v>
      </c>
      <c r="S55" s="2"/>
      <c r="T55" s="6">
        <v>-642.03</v>
      </c>
      <c r="U55" s="2"/>
      <c r="V55" s="7">
        <f t="shared" si="44"/>
        <v>-4.0818174148515131E-3</v>
      </c>
      <c r="W55" s="2"/>
      <c r="X55" s="6">
        <f t="shared" si="45"/>
        <v>642.03</v>
      </c>
      <c r="Y55" s="2"/>
      <c r="Z55" s="7">
        <f t="shared" si="46"/>
        <v>-1</v>
      </c>
    </row>
    <row r="56" spans="1:26" s="23" customFormat="1" hidden="1" outlineLevel="2" x14ac:dyDescent="0.25">
      <c r="A56" s="25"/>
      <c r="B56" s="10" t="str">
        <f>CONCATENATE("          ", "6247", " - ", "STORE SUPPLIES")</f>
        <v xml:space="preserve">          6247 - STORE SUPPLIES</v>
      </c>
      <c r="C56" s="10"/>
      <c r="D56" s="6"/>
      <c r="E56" s="2"/>
      <c r="F56" s="7">
        <f t="shared" si="39"/>
        <v>0</v>
      </c>
      <c r="G56" s="2"/>
      <c r="H56" s="6"/>
      <c r="I56" s="2"/>
      <c r="J56" s="7">
        <f t="shared" si="40"/>
        <v>0</v>
      </c>
      <c r="K56" s="2"/>
      <c r="L56" s="6">
        <f t="shared" si="41"/>
        <v>0</v>
      </c>
      <c r="M56" s="2"/>
      <c r="N56" s="7">
        <f t="shared" si="42"/>
        <v>0</v>
      </c>
      <c r="O56" s="10"/>
      <c r="P56" s="6"/>
      <c r="Q56" s="2"/>
      <c r="R56" s="7">
        <f t="shared" si="43"/>
        <v>0</v>
      </c>
      <c r="S56" s="2"/>
      <c r="T56" s="6">
        <v>1695.58</v>
      </c>
      <c r="U56" s="2"/>
      <c r="V56" s="7">
        <f t="shared" si="44"/>
        <v>1.07799448192046E-2</v>
      </c>
      <c r="W56" s="2"/>
      <c r="X56" s="6">
        <f t="shared" si="45"/>
        <v>-1695.58</v>
      </c>
      <c r="Y56" s="2"/>
      <c r="Z56" s="7">
        <f t="shared" si="46"/>
        <v>-1</v>
      </c>
    </row>
    <row r="57" spans="1:26" s="27" customFormat="1" outlineLevel="1" collapsed="1" x14ac:dyDescent="0.25">
      <c r="A57" s="26"/>
      <c r="B57" s="12" t="str">
        <f>CONCATENATE("     ","Telephone/Data Lines                              ")</f>
        <v xml:space="preserve">     Telephone/Data Lines                              </v>
      </c>
      <c r="C57" s="12"/>
      <c r="D57" s="1">
        <f>SUM(OSRRefD22_12x_0)</f>
        <v>0</v>
      </c>
      <c r="E57" s="1"/>
      <c r="F57" s="5">
        <f t="shared" ref="F57:F58" si="47">IF(D$12=0,0,D57/D$12)</f>
        <v>0</v>
      </c>
      <c r="G57" s="1"/>
      <c r="H57" s="1">
        <f>SUM(OSRRefH22_12x_0)</f>
        <v>-83.99</v>
      </c>
      <c r="I57" s="1"/>
      <c r="J57" s="5">
        <f t="shared" ref="J57:J58" si="48">IF(H$12=0,0,H57/H$12)</f>
        <v>0</v>
      </c>
      <c r="K57" s="1"/>
      <c r="L57" s="1">
        <f t="shared" ref="L57:L58" si="49">+D57-H57</f>
        <v>83.99</v>
      </c>
      <c r="M57" s="1"/>
      <c r="N57" s="5">
        <f t="shared" ref="N57:N58" si="50">IF(H57=0,0,L57/H57)</f>
        <v>-1</v>
      </c>
      <c r="O57" s="12"/>
      <c r="P57" s="1">
        <f>SUM(OSRRefP22_12x_0)</f>
        <v>428.01</v>
      </c>
      <c r="Q57" s="1"/>
      <c r="R57" s="5">
        <f t="shared" ref="R57:R58" si="51">IF(P$12=0,0,P57/P$12)</f>
        <v>0</v>
      </c>
      <c r="S57" s="1"/>
      <c r="T57" s="1">
        <f>SUM(OSRRefT22_12x_0)</f>
        <v>2270.11</v>
      </c>
      <c r="U57" s="1"/>
      <c r="V57" s="5">
        <f t="shared" ref="V57:V58" si="52">IF(T$12=0,0,T57/T$12)</f>
        <v>1.4432619241512967E-2</v>
      </c>
      <c r="W57" s="1"/>
      <c r="X57" s="1">
        <f t="shared" ref="X57:X58" si="53">+P57-T57</f>
        <v>-1842.1000000000001</v>
      </c>
      <c r="Y57" s="1"/>
      <c r="Z57" s="5">
        <f t="shared" ref="Z57:Z58" si="54">IF(T57=0,0,X57/T57)</f>
        <v>-0.81145847558047846</v>
      </c>
    </row>
    <row r="58" spans="1:26" s="23" customFormat="1" hidden="1" outlineLevel="2" x14ac:dyDescent="0.25">
      <c r="A58" s="25"/>
      <c r="B58" s="10" t="str">
        <f>CONCATENATE("          ", "6309", " - ", "TELEPHONE")</f>
        <v xml:space="preserve">          6309 - TELEPHONE</v>
      </c>
      <c r="C58" s="10"/>
      <c r="D58" s="6"/>
      <c r="E58" s="2"/>
      <c r="F58" s="7">
        <f t="shared" si="47"/>
        <v>0</v>
      </c>
      <c r="G58" s="2"/>
      <c r="H58" s="6">
        <v>-83.99</v>
      </c>
      <c r="I58" s="2"/>
      <c r="J58" s="7">
        <f t="shared" si="48"/>
        <v>0</v>
      </c>
      <c r="K58" s="2"/>
      <c r="L58" s="6">
        <f t="shared" si="49"/>
        <v>83.99</v>
      </c>
      <c r="M58" s="2"/>
      <c r="N58" s="7">
        <f t="shared" si="50"/>
        <v>-1</v>
      </c>
      <c r="O58" s="10"/>
      <c r="P58" s="6">
        <v>428.01</v>
      </c>
      <c r="Q58" s="2"/>
      <c r="R58" s="7">
        <f t="shared" si="51"/>
        <v>0</v>
      </c>
      <c r="S58" s="2"/>
      <c r="T58" s="6">
        <v>2270.11</v>
      </c>
      <c r="U58" s="2"/>
      <c r="V58" s="7">
        <f t="shared" si="52"/>
        <v>1.4432619241512967E-2</v>
      </c>
      <c r="W58" s="2"/>
      <c r="X58" s="6">
        <f t="shared" si="53"/>
        <v>-1842.1000000000001</v>
      </c>
      <c r="Y58" s="2"/>
      <c r="Z58" s="7">
        <f t="shared" si="54"/>
        <v>-0.81145847558047846</v>
      </c>
    </row>
    <row r="59" spans="1:26" s="52" customFormat="1" x14ac:dyDescent="0.25">
      <c r="A59" s="37"/>
      <c r="B59" s="37"/>
      <c r="C59" s="37"/>
      <c r="D59" s="1"/>
      <c r="E59" s="1"/>
      <c r="F59" s="5"/>
      <c r="G59" s="1"/>
      <c r="H59" s="1"/>
      <c r="I59" s="1"/>
      <c r="J59" s="5"/>
      <c r="K59" s="1"/>
      <c r="L59" s="1"/>
      <c r="M59" s="1"/>
      <c r="N59" s="5"/>
      <c r="O59" s="37"/>
      <c r="P59" s="1"/>
      <c r="Q59" s="1"/>
      <c r="R59" s="5"/>
      <c r="S59" s="1"/>
      <c r="T59" s="1"/>
      <c r="U59" s="1"/>
      <c r="V59" s="5"/>
      <c r="W59" s="1"/>
      <c r="X59" s="1"/>
      <c r="Y59" s="1"/>
      <c r="Z59" s="5"/>
    </row>
    <row r="60" spans="1:26" s="24" customFormat="1" collapsed="1" x14ac:dyDescent="0.25">
      <c r="A60" s="11"/>
      <c r="B60" s="29" t="s">
        <v>292</v>
      </c>
      <c r="C60" s="11"/>
      <c r="D60" s="4">
        <f>SUM(OSRRefD25x_0)</f>
        <v>0</v>
      </c>
      <c r="E60" s="4"/>
      <c r="F60" s="13">
        <f t="shared" ref="F60:F61" si="55">IF(D$12=0,0,D60/D$12)</f>
        <v>0</v>
      </c>
      <c r="G60" s="4"/>
      <c r="H60" s="4">
        <f>SUM(OSRRefH25x_0)</f>
        <v>0</v>
      </c>
      <c r="I60" s="4"/>
      <c r="J60" s="13">
        <f t="shared" ref="J60:J61" si="56">IF(H$12=0,0,H60/H$12)</f>
        <v>0</v>
      </c>
      <c r="K60" s="4"/>
      <c r="L60" s="4">
        <f t="shared" ref="L60:L61" si="57">+D60-H60</f>
        <v>0</v>
      </c>
      <c r="M60" s="4"/>
      <c r="N60" s="13">
        <f t="shared" ref="N60:N61" si="58">IF(H60=0,0,L60/H60)</f>
        <v>0</v>
      </c>
      <c r="O60" s="11"/>
      <c r="P60" s="4">
        <f>SUM(OSRRefP25x_0)</f>
        <v>0</v>
      </c>
      <c r="Q60" s="4"/>
      <c r="R60" s="13">
        <f t="shared" ref="R60:R61" si="59">IF(P$12=0,0,P60/P$12)</f>
        <v>0</v>
      </c>
      <c r="S60" s="4"/>
      <c r="T60" s="4">
        <f>SUM(OSRRefT25x_0)</f>
        <v>8452.17</v>
      </c>
      <c r="U60" s="4"/>
      <c r="V60" s="13">
        <f t="shared" ref="V60:V61" si="60">IF(T$12=0,0,T60/T$12)</f>
        <v>5.3736141144939513E-2</v>
      </c>
      <c r="W60" s="4"/>
      <c r="X60" s="4">
        <f t="shared" ref="X60:X61" si="61">+P60-T60</f>
        <v>-8452.17</v>
      </c>
      <c r="Y60" s="4"/>
      <c r="Z60" s="13">
        <f t="shared" ref="Z60:Z61" si="62">IF(T60=0,0,X60/T60)</f>
        <v>-1</v>
      </c>
    </row>
    <row r="61" spans="1:26" s="23" customFormat="1" hidden="1" outlineLevel="1" x14ac:dyDescent="0.25">
      <c r="A61" s="44"/>
      <c r="B61" s="10" t="str">
        <f>CONCATENATE("          ", "9150", " - ", "MISC. INCOME")</f>
        <v xml:space="preserve">          9150 - MISC. INCOME</v>
      </c>
      <c r="C61" s="10"/>
      <c r="D61" s="2">
        <f>0</f>
        <v>0</v>
      </c>
      <c r="E61" s="2"/>
      <c r="F61" s="19">
        <f t="shared" si="55"/>
        <v>0</v>
      </c>
      <c r="G61" s="2"/>
      <c r="H61" s="2">
        <f>0</f>
        <v>0</v>
      </c>
      <c r="I61" s="2"/>
      <c r="J61" s="19">
        <f t="shared" si="56"/>
        <v>0</v>
      </c>
      <c r="K61" s="2"/>
      <c r="L61" s="2">
        <f t="shared" si="57"/>
        <v>0</v>
      </c>
      <c r="M61" s="2"/>
      <c r="N61" s="19">
        <f t="shared" si="58"/>
        <v>0</v>
      </c>
      <c r="O61" s="10"/>
      <c r="P61" s="2">
        <f>0</f>
        <v>0</v>
      </c>
      <c r="Q61" s="2"/>
      <c r="R61" s="19">
        <f t="shared" si="59"/>
        <v>0</v>
      </c>
      <c r="S61" s="2"/>
      <c r="T61" s="2">
        <f>--8452.17</f>
        <v>8452.17</v>
      </c>
      <c r="U61" s="2"/>
      <c r="V61" s="19">
        <f t="shared" si="60"/>
        <v>5.3736141144939513E-2</v>
      </c>
      <c r="W61" s="2"/>
      <c r="X61" s="2">
        <f t="shared" si="61"/>
        <v>-8452.17</v>
      </c>
      <c r="Y61" s="2"/>
      <c r="Z61" s="19">
        <f t="shared" si="62"/>
        <v>-1</v>
      </c>
    </row>
    <row r="62" spans="1:26" x14ac:dyDescent="0.25">
      <c r="A62" s="9"/>
      <c r="B62" s="11"/>
      <c r="C62" s="11"/>
      <c r="D62" s="3"/>
      <c r="E62" s="3"/>
      <c r="F62" s="8"/>
      <c r="G62" s="3"/>
      <c r="H62" s="3"/>
      <c r="I62" s="3"/>
      <c r="J62" s="8"/>
      <c r="K62" s="3"/>
      <c r="L62" s="3"/>
      <c r="M62" s="3"/>
      <c r="N62" s="8"/>
      <c r="O62" s="11"/>
      <c r="P62" s="3"/>
      <c r="Q62" s="3"/>
      <c r="R62" s="8"/>
      <c r="S62" s="3"/>
      <c r="T62" s="3"/>
      <c r="U62" s="3"/>
      <c r="V62" s="8"/>
      <c r="W62" s="3"/>
      <c r="X62" s="3"/>
      <c r="Y62" s="3"/>
      <c r="Z62" s="8"/>
    </row>
    <row r="63" spans="1:26" s="24" customFormat="1" x14ac:dyDescent="0.25">
      <c r="A63" s="11"/>
      <c r="B63" s="28" t="s">
        <v>276</v>
      </c>
      <c r="C63" s="28"/>
      <c r="D63" s="21">
        <f>+D20-D22+D60</f>
        <v>-479.29</v>
      </c>
      <c r="E63" s="14"/>
      <c r="F63" s="22">
        <f>IF(D$12=0,0,D63/D$12)</f>
        <v>0</v>
      </c>
      <c r="G63" s="14"/>
      <c r="H63" s="21">
        <f>+H20-H22+H60</f>
        <v>-395.3</v>
      </c>
      <c r="I63" s="14"/>
      <c r="J63" s="22">
        <f>IF(H$12=0,0,H63/H$12)</f>
        <v>0</v>
      </c>
      <c r="K63" s="15"/>
      <c r="L63" s="21">
        <f>+D63-H63</f>
        <v>-83.990000000000009</v>
      </c>
      <c r="M63" s="15"/>
      <c r="N63" s="22">
        <f>IF(H63=0,0,L63/H63)</f>
        <v>0.2124715406020744</v>
      </c>
      <c r="O63" s="29"/>
      <c r="P63" s="21">
        <f>+P20-P22+P60</f>
        <v>-7312.37</v>
      </c>
      <c r="Q63" s="14"/>
      <c r="R63" s="22">
        <f>IF(P$12=0,0,P63/P$12)</f>
        <v>0</v>
      </c>
      <c r="S63" s="14"/>
      <c r="T63" s="21">
        <f>+T20-T22+T60</f>
        <v>31793.610000000015</v>
      </c>
      <c r="U63" s="14"/>
      <c r="V63" s="22">
        <f>IF(T$12=0,0,T63/T$12)</f>
        <v>0.20213340650592229</v>
      </c>
      <c r="W63" s="15"/>
      <c r="X63" s="21">
        <f>+P63-T63</f>
        <v>-39105.980000000018</v>
      </c>
      <c r="Y63" s="15"/>
      <c r="Z63" s="22">
        <f>IF(T63=0,0,X63/T63)</f>
        <v>-1.2299949581063616</v>
      </c>
    </row>
    <row r="64" spans="1:26" x14ac:dyDescent="0.25">
      <c r="A64" s="9"/>
      <c r="B64" s="11"/>
      <c r="C64" s="9"/>
      <c r="D64" s="3"/>
      <c r="E64" s="3"/>
      <c r="F64" s="8"/>
      <c r="G64" s="3"/>
      <c r="H64" s="3"/>
      <c r="I64" s="3"/>
      <c r="J64" s="8"/>
      <c r="K64" s="3"/>
      <c r="L64" s="3"/>
      <c r="M64" s="3"/>
      <c r="N64" s="8"/>
      <c r="P64" s="3"/>
      <c r="Q64" s="3"/>
      <c r="R64" s="8"/>
      <c r="S64" s="3"/>
      <c r="T64" s="3"/>
      <c r="U64" s="3"/>
      <c r="V64" s="8"/>
      <c r="W64" s="3"/>
      <c r="X64" s="3"/>
      <c r="Y64" s="3"/>
      <c r="Z64" s="8"/>
    </row>
    <row r="65" spans="1:26" s="24" customFormat="1" x14ac:dyDescent="0.25">
      <c r="A65" s="51"/>
      <c r="B65" s="11" t="s">
        <v>127</v>
      </c>
      <c r="C65" s="11"/>
      <c r="D65" s="4"/>
      <c r="E65" s="4"/>
      <c r="F65" s="13">
        <f>IF(D$12=0,0,D65/D$12)</f>
        <v>0</v>
      </c>
      <c r="G65" s="4"/>
      <c r="H65" s="4">
        <v>5190.8999999999996</v>
      </c>
      <c r="I65" s="4"/>
      <c r="J65" s="13">
        <f>IF(H$12=0,0,H65/H$12)</f>
        <v>0</v>
      </c>
      <c r="K65" s="4"/>
      <c r="L65" s="4">
        <f>+D65-H65</f>
        <v>-5190.8999999999996</v>
      </c>
      <c r="M65" s="4"/>
      <c r="N65" s="13">
        <f>IF(H65=0,0,L65/H65)</f>
        <v>-1</v>
      </c>
      <c r="O65" s="11"/>
      <c r="P65" s="4"/>
      <c r="Q65" s="4"/>
      <c r="R65" s="13">
        <f>IF(P$12=0,0,P65/P$12)</f>
        <v>0</v>
      </c>
      <c r="S65" s="4"/>
      <c r="T65" s="4">
        <v>23817.3</v>
      </c>
      <c r="U65" s="4"/>
      <c r="V65" s="13">
        <f>IF(T$12=0,0,T65/T$12)</f>
        <v>0.1514226280933024</v>
      </c>
      <c r="W65" s="4"/>
      <c r="X65" s="4">
        <f>+P65-T65</f>
        <v>-23817.3</v>
      </c>
      <c r="Y65" s="4"/>
      <c r="Z65" s="13">
        <f>IF(T65=0,0,X65/T65)</f>
        <v>-1</v>
      </c>
    </row>
    <row r="66" spans="1:26" x14ac:dyDescent="0.25">
      <c r="A66" s="9"/>
      <c r="B66" s="11"/>
      <c r="C66" s="11"/>
      <c r="D66" s="3"/>
      <c r="E66" s="3"/>
      <c r="F66" s="8"/>
      <c r="G66" s="3"/>
      <c r="H66" s="3"/>
      <c r="I66" s="3"/>
      <c r="J66" s="8"/>
      <c r="K66" s="3"/>
      <c r="L66" s="3"/>
      <c r="M66" s="3"/>
      <c r="N66" s="8"/>
      <c r="O66" s="11"/>
      <c r="P66" s="3"/>
      <c r="Q66" s="3"/>
      <c r="R66" s="8"/>
      <c r="S66" s="3"/>
      <c r="T66" s="3"/>
      <c r="U66" s="3"/>
      <c r="V66" s="8"/>
      <c r="W66" s="3"/>
      <c r="X66" s="3"/>
      <c r="Y66" s="3"/>
      <c r="Z66" s="8"/>
    </row>
    <row r="67" spans="1:26" s="24" customFormat="1" ht="15.75" thickBot="1" x14ac:dyDescent="0.3">
      <c r="A67" s="11"/>
      <c r="B67" s="28" t="s">
        <v>125</v>
      </c>
      <c r="C67" s="28"/>
      <c r="D67" s="34">
        <f>+D63-D65</f>
        <v>-479.29</v>
      </c>
      <c r="E67" s="14"/>
      <c r="F67" s="31">
        <f>IF(D$12=0,0,D67/D$12)</f>
        <v>0</v>
      </c>
      <c r="G67" s="14"/>
      <c r="H67" s="34">
        <f>+H63-H65</f>
        <v>-5586.2</v>
      </c>
      <c r="I67" s="14"/>
      <c r="J67" s="31">
        <f>IF(H$12=0,0,H67/H$12)</f>
        <v>0</v>
      </c>
      <c r="K67" s="15"/>
      <c r="L67" s="34">
        <f>D67-H67</f>
        <v>5106.91</v>
      </c>
      <c r="M67" s="15"/>
      <c r="N67" s="31">
        <f>IF(H67=0,0,L67/H67)</f>
        <v>-0.91420106691489744</v>
      </c>
      <c r="O67" s="29"/>
      <c r="P67" s="34">
        <f>+P63-P65</f>
        <v>-7312.37</v>
      </c>
      <c r="Q67" s="14"/>
      <c r="R67" s="31">
        <f>IF(P$12=0,0,P67/P$12)</f>
        <v>0</v>
      </c>
      <c r="S67" s="14"/>
      <c r="T67" s="34">
        <f>+T63-T65</f>
        <v>7976.3100000000159</v>
      </c>
      <c r="U67" s="14"/>
      <c r="V67" s="31">
        <f>IF(T$12=0,0,T67/T$12)</f>
        <v>5.0710778412619874E-2</v>
      </c>
      <c r="W67" s="15"/>
      <c r="X67" s="34">
        <f>P67-T67</f>
        <v>-15288.680000000015</v>
      </c>
      <c r="Y67" s="15"/>
      <c r="Z67" s="31">
        <f>IF(T67=0,0,X67/T67)</f>
        <v>-1.9167610085365268</v>
      </c>
    </row>
    <row r="68" spans="1:26" ht="15.75" thickTop="1" x14ac:dyDescent="0.25">
      <c r="A68" s="9"/>
      <c r="B68" s="9"/>
      <c r="C68" s="9"/>
      <c r="D68" s="3"/>
      <c r="E68" s="3"/>
      <c r="F68" s="8"/>
      <c r="G68" s="3"/>
      <c r="H68" s="3"/>
      <c r="I68" s="3"/>
      <c r="J68" s="8"/>
      <c r="K68" s="3"/>
      <c r="L68" s="3"/>
      <c r="M68" s="3"/>
      <c r="N68" s="8"/>
      <c r="P68" s="3"/>
      <c r="Q68" s="3"/>
      <c r="R68" s="8"/>
      <c r="S68" s="3"/>
      <c r="T68" s="3"/>
      <c r="U68" s="3"/>
      <c r="V68" s="8"/>
      <c r="W68" s="3"/>
      <c r="X68" s="3"/>
      <c r="Y68" s="3"/>
      <c r="Z68" s="8"/>
    </row>
    <row r="69" spans="1:26" x14ac:dyDescent="0.25">
      <c r="A69" s="9"/>
      <c r="B69" s="9"/>
      <c r="C69" s="9"/>
      <c r="D69" s="3"/>
      <c r="E69" s="3"/>
      <c r="F69" s="8"/>
      <c r="G69" s="3"/>
      <c r="H69" s="3"/>
      <c r="I69" s="3"/>
      <c r="J69" s="8"/>
      <c r="K69" s="3"/>
      <c r="L69" s="3"/>
      <c r="M69" s="3"/>
      <c r="N69" s="8"/>
      <c r="P69" s="3"/>
      <c r="Q69" s="3"/>
      <c r="R69" s="8"/>
      <c r="S69" s="3"/>
      <c r="T69" s="3"/>
      <c r="U69" s="3"/>
      <c r="V69" s="8"/>
      <c r="W69" s="3"/>
      <c r="X69" s="3"/>
      <c r="Y69" s="3"/>
      <c r="Z69" s="8"/>
    </row>
    <row r="70" spans="1:26" s="24" customFormat="1" ht="15.75" thickBot="1" x14ac:dyDescent="0.3">
      <c r="A70" s="11"/>
      <c r="B70" s="28" t="s">
        <v>293</v>
      </c>
      <c r="C70" s="28"/>
      <c r="D70" s="33">
        <f>SUM(D67:D69)</f>
        <v>-479.29</v>
      </c>
      <c r="E70" s="14"/>
      <c r="F70" s="35">
        <f>IF(D$12=0,0,D70/D$12)</f>
        <v>0</v>
      </c>
      <c r="G70" s="14"/>
      <c r="H70" s="33">
        <f>SUM(H67:H69)</f>
        <v>-5586.2</v>
      </c>
      <c r="I70" s="14"/>
      <c r="J70" s="35">
        <f>IF(H$12=0,0,H70/H$12)</f>
        <v>0</v>
      </c>
      <c r="K70" s="15"/>
      <c r="L70" s="33">
        <f>+D70-H70</f>
        <v>5106.91</v>
      </c>
      <c r="M70" s="15"/>
      <c r="N70" s="35">
        <f>IF(H70=0,0,L70/H70)</f>
        <v>-0.91420106691489744</v>
      </c>
      <c r="O70" s="29"/>
      <c r="P70" s="33">
        <f>SUM(P67:P69)</f>
        <v>-7312.37</v>
      </c>
      <c r="Q70" s="14"/>
      <c r="R70" s="35">
        <f>IF(P$12=0,0,P70/P$12)</f>
        <v>0</v>
      </c>
      <c r="S70" s="14"/>
      <c r="T70" s="33">
        <f>SUM(T67:T69)</f>
        <v>7976.3100000000159</v>
      </c>
      <c r="U70" s="14"/>
      <c r="V70" s="35">
        <f>IF(T$12=0,0,T70/T$12)</f>
        <v>5.0710778412619874E-2</v>
      </c>
      <c r="W70" s="15"/>
      <c r="X70" s="33">
        <f>+P70-T70</f>
        <v>-15288.680000000015</v>
      </c>
      <c r="Y70" s="15"/>
      <c r="Z70" s="35">
        <f>IF(T70=0,0,X70/T70)</f>
        <v>-1.9167610085365268</v>
      </c>
    </row>
    <row r="71" spans="1:26" ht="15.75" thickTop="1" x14ac:dyDescent="0.25">
      <c r="A71" s="9"/>
      <c r="C71" s="9"/>
      <c r="D71" s="18"/>
      <c r="E71" s="18"/>
      <c r="G71" s="18"/>
      <c r="H71" s="18"/>
      <c r="I71" s="18"/>
      <c r="J71" s="43"/>
      <c r="K71" s="18"/>
      <c r="L71" s="18"/>
      <c r="M71" s="18"/>
      <c r="P71" s="18"/>
      <c r="Q71" s="18"/>
      <c r="R71" s="43"/>
      <c r="S71" s="18"/>
      <c r="T71" s="18"/>
      <c r="U71" s="18"/>
      <c r="V71" s="43"/>
      <c r="W71" s="18"/>
      <c r="X71" s="18"/>
    </row>
    <row r="72" spans="1:26" x14ac:dyDescent="0.25">
      <c r="A72" s="9"/>
      <c r="B72" s="56">
        <v>44454.698585613427</v>
      </c>
      <c r="D72" s="18"/>
      <c r="E72" s="18"/>
      <c r="G72" s="18"/>
      <c r="H72" s="18"/>
      <c r="I72" s="18"/>
      <c r="J72" s="43"/>
      <c r="K72" s="18"/>
      <c r="L72" s="18"/>
      <c r="M72" s="18"/>
      <c r="P72" s="18"/>
      <c r="Q72" s="18"/>
      <c r="R72" s="43"/>
      <c r="S72" s="18"/>
      <c r="T72" s="18"/>
      <c r="U72" s="18"/>
      <c r="V72" s="43"/>
      <c r="W72" s="18"/>
      <c r="X72" s="18"/>
    </row>
    <row r="73" spans="1:26" x14ac:dyDescent="0.25">
      <c r="A73" s="9"/>
      <c r="B73" s="55" t="s">
        <v>56</v>
      </c>
      <c r="D73" s="18"/>
      <c r="E73" s="18"/>
      <c r="G73" s="18"/>
      <c r="H73" s="18"/>
      <c r="I73" s="18"/>
      <c r="J73" s="43"/>
      <c r="K73" s="18"/>
      <c r="L73" s="18"/>
      <c r="M73" s="18"/>
      <c r="P73" s="18"/>
      <c r="Q73" s="18"/>
      <c r="R73" s="43"/>
      <c r="S73" s="18"/>
      <c r="T73" s="18"/>
      <c r="U73" s="18"/>
      <c r="V73" s="43"/>
      <c r="W73" s="18"/>
      <c r="X73" s="18"/>
    </row>
    <row r="74" spans="1:26" x14ac:dyDescent="0.25">
      <c r="A74" s="9"/>
      <c r="B74" s="60"/>
      <c r="D74" s="18"/>
      <c r="E74" s="18"/>
      <c r="G74" s="18"/>
      <c r="H74" s="18"/>
      <c r="I74" s="18"/>
      <c r="J74" s="43"/>
      <c r="K74" s="18"/>
      <c r="L74" s="18"/>
      <c r="M74" s="18"/>
      <c r="P74" s="18"/>
      <c r="Q74" s="18"/>
      <c r="R74" s="43"/>
      <c r="S74" s="18"/>
      <c r="T74" s="18"/>
      <c r="U74" s="18"/>
      <c r="V74" s="43"/>
      <c r="W74" s="18"/>
      <c r="X74" s="18"/>
    </row>
    <row r="75" spans="1:26" x14ac:dyDescent="0.25">
      <c r="D75" s="18"/>
      <c r="E75" s="18"/>
      <c r="G75" s="18"/>
      <c r="H75" s="18"/>
      <c r="I75" s="18"/>
      <c r="J75" s="43"/>
      <c r="K75" s="18"/>
      <c r="L75" s="18"/>
      <c r="M75" s="18"/>
      <c r="P75" s="18"/>
      <c r="Q75" s="18"/>
      <c r="R75" s="43"/>
      <c r="S75" s="18"/>
      <c r="T75" s="18"/>
      <c r="U75" s="18"/>
      <c r="V75" s="43"/>
      <c r="W75" s="18"/>
      <c r="X75" s="18"/>
    </row>
  </sheetData>
  <pageMargins left="0.25" right="0.25" top="0.75" bottom="0.75" header="0.3" footer="0.3"/>
  <pageSetup scale="55" fitToWidth="2" orientation="landscape"/>
  <drawing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>
    <tabColor rgb="FF92D050"/>
    <outlinePr summaryBelow="0" summaryRight="0"/>
  </sheetPr>
  <dimension ref="A2:Z95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62" t="s">
        <v>23</v>
      </c>
    </row>
    <row r="3" spans="1:26" x14ac:dyDescent="0.25">
      <c r="D3" s="62" t="s">
        <v>236</v>
      </c>
      <c r="E3" s="17"/>
      <c r="F3" s="46"/>
      <c r="G3" s="17"/>
      <c r="H3" s="17"/>
      <c r="I3" s="17"/>
      <c r="J3" s="38"/>
      <c r="K3" s="17"/>
      <c r="L3" s="17"/>
      <c r="M3" s="17"/>
      <c r="N3" s="46"/>
      <c r="O3" s="53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2" t="str">
        <f>CONCATENATE("Period ",RIGHT(202112,2),", ",2021)</f>
        <v>Period 12, 2021</v>
      </c>
      <c r="E4" s="17"/>
      <c r="F4" s="46"/>
      <c r="G4" s="17"/>
      <c r="H4" s="17"/>
      <c r="I4" s="17"/>
      <c r="J4" s="38"/>
      <c r="K4" s="17"/>
      <c r="L4" s="17"/>
      <c r="M4" s="17"/>
      <c r="N4" s="46"/>
      <c r="O4" s="53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4"/>
      <c r="D5" s="63">
        <v>44377</v>
      </c>
      <c r="E5" s="17"/>
      <c r="F5" s="46"/>
      <c r="G5" s="17"/>
      <c r="H5" s="17"/>
      <c r="I5" s="17"/>
      <c r="J5" s="38"/>
      <c r="K5" s="17"/>
      <c r="L5" s="17"/>
      <c r="M5" s="17"/>
      <c r="N5" s="46"/>
      <c r="O5" s="53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4"/>
      <c r="B6" s="48"/>
      <c r="C6" s="48"/>
      <c r="D6" s="24" t="str">
        <f>CONCATENATE("Department ","425", " - ", "Events Center")</f>
        <v>Department 425 - Events Center</v>
      </c>
      <c r="E6" s="17"/>
      <c r="F6" s="46"/>
      <c r="G6" s="17"/>
      <c r="H6" s="17"/>
      <c r="I6" s="17"/>
      <c r="J6" s="38"/>
      <c r="K6" s="17"/>
      <c r="L6" s="17"/>
      <c r="M6" s="17"/>
      <c r="N6" s="46"/>
      <c r="O6" s="54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9"/>
    </row>
    <row r="8" spans="1:26" x14ac:dyDescent="0.25">
      <c r="B8" s="59"/>
    </row>
    <row r="9" spans="1:26" x14ac:dyDescent="0.25">
      <c r="B9" s="9"/>
      <c r="C9" s="9"/>
      <c r="D9" s="16" t="s">
        <v>291</v>
      </c>
      <c r="E9" s="16"/>
      <c r="F9" s="39"/>
      <c r="G9" s="16"/>
      <c r="H9" s="16"/>
      <c r="I9" s="16"/>
      <c r="J9" s="49"/>
      <c r="K9" s="16"/>
      <c r="L9" s="16"/>
      <c r="M9" s="16"/>
      <c r="N9" s="39"/>
      <c r="P9" s="16" t="s">
        <v>39</v>
      </c>
      <c r="Q9" s="16"/>
      <c r="R9" s="39"/>
      <c r="S9" s="16"/>
      <c r="T9" s="16"/>
      <c r="U9" s="16"/>
      <c r="V9" s="49"/>
      <c r="W9" s="16"/>
      <c r="X9" s="16"/>
      <c r="Y9" s="16"/>
      <c r="Z9" s="39"/>
    </row>
    <row r="10" spans="1:26" x14ac:dyDescent="0.25">
      <c r="A10" s="11"/>
      <c r="B10" s="58"/>
      <c r="C10" s="11"/>
      <c r="D10" s="42" t="s">
        <v>57</v>
      </c>
      <c r="E10" s="36"/>
      <c r="F10" s="30" t="s">
        <v>40</v>
      </c>
      <c r="G10" s="36"/>
      <c r="H10" s="50" t="s">
        <v>237</v>
      </c>
      <c r="I10" s="36"/>
      <c r="J10" s="30" t="s">
        <v>40</v>
      </c>
      <c r="K10" s="11"/>
      <c r="L10" s="42" t="s">
        <v>126</v>
      </c>
      <c r="M10" s="11"/>
      <c r="N10" s="30" t="s">
        <v>257</v>
      </c>
      <c r="O10" s="11"/>
      <c r="P10" s="61" t="s">
        <v>57</v>
      </c>
      <c r="Q10" s="36"/>
      <c r="R10" s="30" t="s">
        <v>40</v>
      </c>
      <c r="S10" s="36"/>
      <c r="T10" s="50" t="s">
        <v>237</v>
      </c>
      <c r="U10" s="36"/>
      <c r="V10" s="30" t="s">
        <v>40</v>
      </c>
      <c r="W10" s="11"/>
      <c r="X10" s="42" t="s">
        <v>126</v>
      </c>
      <c r="Y10" s="11"/>
      <c r="Z10" s="30" t="s">
        <v>257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4" customFormat="1" collapsed="1" x14ac:dyDescent="0.25">
      <c r="A12" s="11"/>
      <c r="B12" s="29" t="s">
        <v>139</v>
      </c>
      <c r="C12" s="11"/>
      <c r="D12" s="4">
        <f>SUM(OSRRefD13x_0)</f>
        <v>0</v>
      </c>
      <c r="E12" s="4"/>
      <c r="F12" s="13"/>
      <c r="G12" s="4"/>
      <c r="H12" s="4">
        <f>SUM(OSRRefH13x_0)</f>
        <v>0</v>
      </c>
      <c r="I12" s="4"/>
      <c r="J12" s="13"/>
      <c r="K12" s="4"/>
      <c r="L12" s="4">
        <f t="shared" ref="L12:L17" si="0">+D12-H12</f>
        <v>0</v>
      </c>
      <c r="M12" s="4"/>
      <c r="N12" s="13">
        <f t="shared" ref="N12:N17" si="1">IF(H12=0,0,L12/H12)</f>
        <v>0</v>
      </c>
      <c r="O12" s="11"/>
      <c r="P12" s="4">
        <f>SUM(OSRRefP13x_0)</f>
        <v>0</v>
      </c>
      <c r="Q12" s="4"/>
      <c r="R12" s="13"/>
      <c r="S12" s="4"/>
      <c r="T12" s="4">
        <f>SUM(OSRRefT13x_0)</f>
        <v>392328.46</v>
      </c>
      <c r="U12" s="4"/>
      <c r="V12" s="13"/>
      <c r="W12" s="4"/>
      <c r="X12" s="4">
        <f t="shared" ref="X12:X17" si="2">+P12-T12</f>
        <v>-392328.46</v>
      </c>
      <c r="Y12" s="4"/>
      <c r="Z12" s="13">
        <f t="shared" ref="Z12:Z17" si="3">IF(T12=0,0,X12/T12)</f>
        <v>-1</v>
      </c>
    </row>
    <row r="13" spans="1:26" s="23" customFormat="1" hidden="1" outlineLevel="1" x14ac:dyDescent="0.25">
      <c r="A13" s="44"/>
      <c r="B13" s="10" t="str">
        <f>CONCATENATE("          ", "4051", " - ", "TAXABLE SALES-FOOD")</f>
        <v xml:space="preserve">          4051 - TAXABLE SALES-FOOD</v>
      </c>
      <c r="C13" s="10"/>
      <c r="D13" s="2">
        <f t="shared" ref="D13:D17" si="4">0</f>
        <v>0</v>
      </c>
      <c r="E13" s="2"/>
      <c r="F13" s="19"/>
      <c r="G13" s="2"/>
      <c r="H13" s="2">
        <f t="shared" ref="H13:H17" si="5">0</f>
        <v>0</v>
      </c>
      <c r="I13" s="2"/>
      <c r="J13" s="19"/>
      <c r="K13" s="2"/>
      <c r="L13" s="2">
        <f t="shared" si="0"/>
        <v>0</v>
      </c>
      <c r="M13" s="2"/>
      <c r="N13" s="19">
        <f t="shared" si="1"/>
        <v>0</v>
      </c>
      <c r="O13" s="10"/>
      <c r="P13" s="2">
        <f t="shared" ref="P13:P17" si="6">0</f>
        <v>0</v>
      </c>
      <c r="Q13" s="2"/>
      <c r="R13" s="19"/>
      <c r="S13" s="2"/>
      <c r="T13" s="2">
        <f>0</f>
        <v>0</v>
      </c>
      <c r="U13" s="2"/>
      <c r="V13" s="19"/>
      <c r="W13" s="2"/>
      <c r="X13" s="2">
        <f t="shared" si="2"/>
        <v>0</v>
      </c>
      <c r="Y13" s="2"/>
      <c r="Z13" s="19">
        <f t="shared" si="3"/>
        <v>0</v>
      </c>
    </row>
    <row r="14" spans="1:26" s="23" customFormat="1" hidden="1" outlineLevel="1" x14ac:dyDescent="0.25">
      <c r="A14" s="44"/>
      <c r="B14" s="10" t="str">
        <f>CONCATENATE("          ", "4052", " - ", "TAXABLE SALES-FOOD")</f>
        <v xml:space="preserve">          4052 - TAXABLE SALES-FOOD</v>
      </c>
      <c r="C14" s="10"/>
      <c r="D14" s="2">
        <f t="shared" si="4"/>
        <v>0</v>
      </c>
      <c r="E14" s="2"/>
      <c r="F14" s="19"/>
      <c r="G14" s="2"/>
      <c r="H14" s="2">
        <f t="shared" si="5"/>
        <v>0</v>
      </c>
      <c r="I14" s="2"/>
      <c r="J14" s="19"/>
      <c r="K14" s="2"/>
      <c r="L14" s="2">
        <f t="shared" si="0"/>
        <v>0</v>
      </c>
      <c r="M14" s="2"/>
      <c r="N14" s="19">
        <f t="shared" si="1"/>
        <v>0</v>
      </c>
      <c r="O14" s="10"/>
      <c r="P14" s="2">
        <f t="shared" si="6"/>
        <v>0</v>
      </c>
      <c r="Q14" s="2"/>
      <c r="R14" s="19"/>
      <c r="S14" s="2"/>
      <c r="T14" s="2">
        <f>--296449.41</f>
        <v>296449.40999999997</v>
      </c>
      <c r="U14" s="2"/>
      <c r="V14" s="19"/>
      <c r="W14" s="2"/>
      <c r="X14" s="2">
        <f t="shared" si="2"/>
        <v>-296449.40999999997</v>
      </c>
      <c r="Y14" s="2"/>
      <c r="Z14" s="19">
        <f t="shared" si="3"/>
        <v>-1</v>
      </c>
    </row>
    <row r="15" spans="1:26" s="23" customFormat="1" hidden="1" outlineLevel="1" x14ac:dyDescent="0.25">
      <c r="A15" s="44"/>
      <c r="B15" s="10" t="str">
        <f>CONCATENATE("          ", "4053", " - ", "TAXABLE SALES-FOOD")</f>
        <v xml:space="preserve">          4053 - TAXABLE SALES-FOOD</v>
      </c>
      <c r="C15" s="10"/>
      <c r="D15" s="2">
        <f t="shared" si="4"/>
        <v>0</v>
      </c>
      <c r="E15" s="2"/>
      <c r="F15" s="19"/>
      <c r="G15" s="2"/>
      <c r="H15" s="2">
        <f t="shared" si="5"/>
        <v>0</v>
      </c>
      <c r="I15" s="2"/>
      <c r="J15" s="19"/>
      <c r="K15" s="2"/>
      <c r="L15" s="2">
        <f t="shared" si="0"/>
        <v>0</v>
      </c>
      <c r="M15" s="2"/>
      <c r="N15" s="19">
        <f t="shared" si="1"/>
        <v>0</v>
      </c>
      <c r="O15" s="10"/>
      <c r="P15" s="2">
        <f t="shared" si="6"/>
        <v>0</v>
      </c>
      <c r="Q15" s="2"/>
      <c r="R15" s="19"/>
      <c r="S15" s="2"/>
      <c r="T15" s="2">
        <f>--95481.76</f>
        <v>95481.76</v>
      </c>
      <c r="U15" s="2"/>
      <c r="V15" s="19"/>
      <c r="W15" s="2"/>
      <c r="X15" s="2">
        <f t="shared" si="2"/>
        <v>-95481.76</v>
      </c>
      <c r="Y15" s="2"/>
      <c r="Z15" s="19">
        <f t="shared" si="3"/>
        <v>-1</v>
      </c>
    </row>
    <row r="16" spans="1:26" s="23" customFormat="1" hidden="1" outlineLevel="1" x14ac:dyDescent="0.25">
      <c r="A16" s="44"/>
      <c r="B16" s="10" t="str">
        <f>CONCATENATE("          ", "4151", " - ", "NON-TAXABLE SALES-FOOD")</f>
        <v xml:space="preserve">          4151 - NON-TAXABLE SALES-FOOD</v>
      </c>
      <c r="C16" s="10"/>
      <c r="D16" s="2">
        <f t="shared" si="4"/>
        <v>0</v>
      </c>
      <c r="E16" s="2"/>
      <c r="F16" s="19"/>
      <c r="G16" s="2"/>
      <c r="H16" s="2">
        <f t="shared" si="5"/>
        <v>0</v>
      </c>
      <c r="I16" s="2"/>
      <c r="J16" s="19"/>
      <c r="K16" s="2"/>
      <c r="L16" s="2">
        <f t="shared" si="0"/>
        <v>0</v>
      </c>
      <c r="M16" s="2"/>
      <c r="N16" s="19">
        <f t="shared" si="1"/>
        <v>0</v>
      </c>
      <c r="O16" s="10"/>
      <c r="P16" s="2">
        <f t="shared" si="6"/>
        <v>0</v>
      </c>
      <c r="Q16" s="2"/>
      <c r="R16" s="19"/>
      <c r="S16" s="2"/>
      <c r="T16" s="2">
        <f>--0.08</f>
        <v>0.08</v>
      </c>
      <c r="U16" s="2"/>
      <c r="V16" s="19"/>
      <c r="W16" s="2"/>
      <c r="X16" s="2">
        <f t="shared" si="2"/>
        <v>-0.08</v>
      </c>
      <c r="Y16" s="2"/>
      <c r="Z16" s="19">
        <f t="shared" si="3"/>
        <v>-1</v>
      </c>
    </row>
    <row r="17" spans="1:26" s="23" customFormat="1" hidden="1" outlineLevel="1" x14ac:dyDescent="0.25">
      <c r="A17" s="44"/>
      <c r="B17" s="10" t="str">
        <f>CONCATENATE("          ", "4152", " - ", "NON-TAXABLE SALES-FOOD")</f>
        <v xml:space="preserve">          4152 - NON-TAXABLE SALES-FOOD</v>
      </c>
      <c r="C17" s="10"/>
      <c r="D17" s="2">
        <f t="shared" si="4"/>
        <v>0</v>
      </c>
      <c r="E17" s="2"/>
      <c r="F17" s="19"/>
      <c r="G17" s="2"/>
      <c r="H17" s="2">
        <f t="shared" si="5"/>
        <v>0</v>
      </c>
      <c r="I17" s="2"/>
      <c r="J17" s="19"/>
      <c r="K17" s="2"/>
      <c r="L17" s="2">
        <f t="shared" si="0"/>
        <v>0</v>
      </c>
      <c r="M17" s="2"/>
      <c r="N17" s="19">
        <f t="shared" si="1"/>
        <v>0</v>
      </c>
      <c r="O17" s="10"/>
      <c r="P17" s="2">
        <f t="shared" si="6"/>
        <v>0</v>
      </c>
      <c r="Q17" s="2"/>
      <c r="R17" s="19"/>
      <c r="S17" s="2"/>
      <c r="T17" s="2">
        <f>--397.21</f>
        <v>397.21</v>
      </c>
      <c r="U17" s="2"/>
      <c r="V17" s="19"/>
      <c r="W17" s="2"/>
      <c r="X17" s="2">
        <f t="shared" si="2"/>
        <v>-397.21</v>
      </c>
      <c r="Y17" s="2"/>
      <c r="Z17" s="19">
        <f t="shared" si="3"/>
        <v>-1</v>
      </c>
    </row>
    <row r="18" spans="1:26" x14ac:dyDescent="0.25">
      <c r="A18" s="9"/>
      <c r="B18" s="11"/>
      <c r="C18" s="9"/>
      <c r="D18" s="3"/>
      <c r="E18" s="3"/>
      <c r="F18" s="8"/>
      <c r="G18" s="3"/>
      <c r="H18" s="3"/>
      <c r="I18" s="3"/>
      <c r="J18" s="8"/>
      <c r="K18" s="3"/>
      <c r="L18" s="3"/>
      <c r="M18" s="3"/>
      <c r="N18" s="8"/>
      <c r="P18" s="3"/>
      <c r="Q18" s="3"/>
      <c r="R18" s="8"/>
      <c r="S18" s="3"/>
      <c r="T18" s="3"/>
      <c r="U18" s="3"/>
      <c r="V18" s="8"/>
      <c r="W18" s="3"/>
      <c r="X18" s="3"/>
      <c r="Y18" s="3"/>
      <c r="Z18" s="8"/>
    </row>
    <row r="19" spans="1:26" s="24" customFormat="1" collapsed="1" x14ac:dyDescent="0.25">
      <c r="A19" s="11"/>
      <c r="B19" s="29" t="s">
        <v>256</v>
      </c>
      <c r="C19" s="11"/>
      <c r="D19" s="4">
        <f>SUM(OSRRefD16x_0)</f>
        <v>0</v>
      </c>
      <c r="E19" s="4"/>
      <c r="F19" s="13">
        <f t="shared" ref="F19:F21" si="7">IF(D$12=0,0,D19/D$12)</f>
        <v>0</v>
      </c>
      <c r="G19" s="4"/>
      <c r="H19" s="4">
        <f>SUM(OSRRefH16x_0)</f>
        <v>0</v>
      </c>
      <c r="I19" s="4"/>
      <c r="J19" s="13">
        <f t="shared" ref="J19:J21" si="8">IF(H$12=0,0,H19/H$12)</f>
        <v>0</v>
      </c>
      <c r="K19" s="4"/>
      <c r="L19" s="4">
        <f t="shared" ref="L19:L21" si="9">+D19-H19</f>
        <v>0</v>
      </c>
      <c r="M19" s="4"/>
      <c r="N19" s="13">
        <f t="shared" ref="N19:N21" si="10">IF(H19=0,0,L19/H19)</f>
        <v>0</v>
      </c>
      <c r="O19" s="11"/>
      <c r="P19" s="4">
        <f>SUM(OSRRefP16x_0)</f>
        <v>-6593.4</v>
      </c>
      <c r="Q19" s="4"/>
      <c r="R19" s="13">
        <f t="shared" ref="R19:R21" si="11">IF(P$12=0,0,P19/P$12)</f>
        <v>0</v>
      </c>
      <c r="S19" s="4"/>
      <c r="T19" s="4">
        <f>SUM(OSRRefT16x_0)</f>
        <v>141393.09</v>
      </c>
      <c r="U19" s="4"/>
      <c r="V19" s="13">
        <f t="shared" ref="V19:V21" si="12">IF(T$12=0,0,T19/T$12)</f>
        <v>0.36039468051846146</v>
      </c>
      <c r="W19" s="4"/>
      <c r="X19" s="4">
        <f t="shared" ref="X19:X21" si="13">+P19-T19</f>
        <v>-147986.49</v>
      </c>
      <c r="Y19" s="4"/>
      <c r="Z19" s="13">
        <f t="shared" ref="Z19:Z21" si="14">IF(T19=0,0,X19/T19)</f>
        <v>-1.0466316989040978</v>
      </c>
    </row>
    <row r="20" spans="1:26" s="23" customFormat="1" hidden="1" outlineLevel="1" x14ac:dyDescent="0.25">
      <c r="A20" s="44"/>
      <c r="B20" s="10" t="str">
        <f>CONCATENATE("          ", "5053", " - ", "PURCHASES @ COST-FOOD")</f>
        <v xml:space="preserve">          5053 - PURCHASES @ COST-FOOD</v>
      </c>
      <c r="C20" s="10"/>
      <c r="D20" s="2"/>
      <c r="E20" s="2"/>
      <c r="F20" s="19">
        <f t="shared" si="7"/>
        <v>0</v>
      </c>
      <c r="G20" s="2"/>
      <c r="H20" s="2"/>
      <c r="I20" s="2"/>
      <c r="J20" s="19">
        <f t="shared" si="8"/>
        <v>0</v>
      </c>
      <c r="K20" s="2"/>
      <c r="L20" s="2">
        <f t="shared" si="9"/>
        <v>0</v>
      </c>
      <c r="M20" s="2"/>
      <c r="N20" s="19">
        <f t="shared" si="10"/>
        <v>0</v>
      </c>
      <c r="O20" s="10"/>
      <c r="P20" s="2">
        <v>-6593.4</v>
      </c>
      <c r="Q20" s="2"/>
      <c r="R20" s="19">
        <f t="shared" si="11"/>
        <v>0</v>
      </c>
      <c r="S20" s="2"/>
      <c r="T20" s="2">
        <v>115476.09</v>
      </c>
      <c r="U20" s="2"/>
      <c r="V20" s="19">
        <f t="shared" si="12"/>
        <v>0.29433523634762565</v>
      </c>
      <c r="W20" s="2"/>
      <c r="X20" s="2">
        <f t="shared" si="13"/>
        <v>-122069.48999999999</v>
      </c>
      <c r="Y20" s="2"/>
      <c r="Z20" s="19">
        <f t="shared" si="14"/>
        <v>-1.0570975342168236</v>
      </c>
    </row>
    <row r="21" spans="1:26" s="23" customFormat="1" hidden="1" outlineLevel="1" x14ac:dyDescent="0.25">
      <c r="A21" s="44"/>
      <c r="B21" s="10" t="str">
        <f>CONCATENATE("          ", "5059", " - ", "PURCHASES @ COST-FOOD")</f>
        <v xml:space="preserve">          5059 - PURCHASES @ COST-FOOD</v>
      </c>
      <c r="C21" s="10"/>
      <c r="D21" s="2"/>
      <c r="E21" s="2"/>
      <c r="F21" s="19">
        <f t="shared" si="7"/>
        <v>0</v>
      </c>
      <c r="G21" s="2"/>
      <c r="H21" s="2"/>
      <c r="I21" s="2"/>
      <c r="J21" s="19">
        <f t="shared" si="8"/>
        <v>0</v>
      </c>
      <c r="K21" s="2"/>
      <c r="L21" s="2">
        <f t="shared" si="9"/>
        <v>0</v>
      </c>
      <c r="M21" s="2"/>
      <c r="N21" s="19">
        <f t="shared" si="10"/>
        <v>0</v>
      </c>
      <c r="O21" s="10"/>
      <c r="P21" s="2"/>
      <c r="Q21" s="2"/>
      <c r="R21" s="19">
        <f t="shared" si="11"/>
        <v>0</v>
      </c>
      <c r="S21" s="2"/>
      <c r="T21" s="2">
        <v>25917</v>
      </c>
      <c r="U21" s="2"/>
      <c r="V21" s="19">
        <f t="shared" si="12"/>
        <v>6.6059444170835827E-2</v>
      </c>
      <c r="W21" s="2"/>
      <c r="X21" s="2">
        <f t="shared" si="13"/>
        <v>-25917</v>
      </c>
      <c r="Y21" s="2"/>
      <c r="Z21" s="19">
        <f t="shared" si="14"/>
        <v>-1</v>
      </c>
    </row>
    <row r="22" spans="1:26" x14ac:dyDescent="0.25">
      <c r="A22" s="9"/>
      <c r="B22" s="11"/>
      <c r="C22" s="11"/>
      <c r="D22" s="3"/>
      <c r="E22" s="3"/>
      <c r="F22" s="8"/>
      <c r="G22" s="3"/>
      <c r="H22" s="3"/>
      <c r="I22" s="3"/>
      <c r="J22" s="8"/>
      <c r="K22" s="3"/>
      <c r="L22" s="3"/>
      <c r="M22" s="3"/>
      <c r="N22" s="8"/>
      <c r="O22" s="11"/>
      <c r="P22" s="3"/>
      <c r="Q22" s="3"/>
      <c r="R22" s="8"/>
      <c r="S22" s="3"/>
      <c r="T22" s="3"/>
      <c r="U22" s="3"/>
      <c r="V22" s="8"/>
      <c r="W22" s="3"/>
      <c r="X22" s="3"/>
      <c r="Y22" s="3"/>
      <c r="Z22" s="8"/>
    </row>
    <row r="23" spans="1:26" s="24" customFormat="1" x14ac:dyDescent="0.25">
      <c r="A23" s="11"/>
      <c r="B23" s="28" t="s">
        <v>107</v>
      </c>
      <c r="C23" s="28"/>
      <c r="D23" s="21">
        <f>D12-D19</f>
        <v>0</v>
      </c>
      <c r="E23" s="14"/>
      <c r="F23" s="22">
        <f>IF(D$12=0,0,D23/D$12)</f>
        <v>0</v>
      </c>
      <c r="G23" s="14"/>
      <c r="H23" s="21">
        <f>H12-H19</f>
        <v>0</v>
      </c>
      <c r="I23" s="14"/>
      <c r="J23" s="22">
        <f>IF(H$12=0,0,H23/H$12)</f>
        <v>0</v>
      </c>
      <c r="K23" s="15"/>
      <c r="L23" s="21">
        <f>+D23-H23</f>
        <v>0</v>
      </c>
      <c r="M23" s="15"/>
      <c r="N23" s="22">
        <f>IF(H23=0,0,L23/H23)</f>
        <v>0</v>
      </c>
      <c r="O23" s="29"/>
      <c r="P23" s="21">
        <f>P12-P19</f>
        <v>6593.4</v>
      </c>
      <c r="Q23" s="14"/>
      <c r="R23" s="22">
        <f>IF(P$12=0,0,P23/P$12)</f>
        <v>0</v>
      </c>
      <c r="S23" s="14"/>
      <c r="T23" s="21">
        <f>T12-T19</f>
        <v>250935.37000000002</v>
      </c>
      <c r="U23" s="14"/>
      <c r="V23" s="22">
        <f>IF(T$12=0,0,T23/T$12)</f>
        <v>0.63960531948153854</v>
      </c>
      <c r="W23" s="15"/>
      <c r="X23" s="21">
        <f>+P23-T23</f>
        <v>-244341.97000000003</v>
      </c>
      <c r="Y23" s="15"/>
      <c r="Z23" s="22">
        <f>IF(T23=0,0,X23/T23)</f>
        <v>-0.97372470847772474</v>
      </c>
    </row>
    <row r="24" spans="1:26" x14ac:dyDescent="0.25">
      <c r="A24" s="9"/>
      <c r="B24" s="11"/>
      <c r="C24" s="9"/>
      <c r="D24" s="1"/>
      <c r="E24" s="1"/>
      <c r="F24" s="5"/>
      <c r="G24" s="1"/>
      <c r="H24" s="1"/>
      <c r="I24" s="1"/>
      <c r="J24" s="5"/>
      <c r="K24" s="1"/>
      <c r="L24" s="1"/>
      <c r="M24" s="1"/>
      <c r="N24" s="5"/>
      <c r="O24" s="37"/>
      <c r="P24" s="1"/>
      <c r="Q24" s="1"/>
      <c r="R24" s="5"/>
      <c r="S24" s="1"/>
      <c r="T24" s="1"/>
      <c r="U24" s="1"/>
      <c r="V24" s="5"/>
      <c r="W24" s="1"/>
      <c r="X24" s="1"/>
      <c r="Y24" s="1"/>
      <c r="Z24" s="5"/>
    </row>
    <row r="25" spans="1:26" s="24" customFormat="1" x14ac:dyDescent="0.25">
      <c r="A25" s="11"/>
      <c r="B25" s="29" t="s">
        <v>294</v>
      </c>
      <c r="C25" s="11"/>
      <c r="D25" s="20">
        <f>SUM(OSRRefD22x_0)</f>
        <v>1000.95</v>
      </c>
      <c r="E25" s="20"/>
      <c r="F25" s="32">
        <f t="shared" ref="F25:F35" si="15">IF(D$12=0,0,D25/D$12)</f>
        <v>0</v>
      </c>
      <c r="G25" s="20"/>
      <c r="H25" s="20">
        <f>SUM(OSRRefH22x_0)</f>
        <v>5915.2800000000007</v>
      </c>
      <c r="I25" s="20"/>
      <c r="J25" s="32">
        <f t="shared" ref="J25:J35" si="16">IF(H$12=0,0,H25/H$12)</f>
        <v>0</v>
      </c>
      <c r="K25" s="4"/>
      <c r="L25" s="20">
        <f t="shared" ref="L25:L35" si="17">+D25-H25</f>
        <v>-4914.3300000000008</v>
      </c>
      <c r="M25" s="4"/>
      <c r="N25" s="32">
        <f t="shared" ref="N25:N35" si="18">IF(H25=0,0,L25/H25)</f>
        <v>-0.83078569399926971</v>
      </c>
      <c r="O25" s="11"/>
      <c r="P25" s="20">
        <f>SUM(OSRRefP22x_0)</f>
        <v>15639.64</v>
      </c>
      <c r="Q25" s="20"/>
      <c r="R25" s="32">
        <f t="shared" ref="R25:R35" si="19">IF(P$12=0,0,P25/P$12)</f>
        <v>0</v>
      </c>
      <c r="S25" s="20"/>
      <c r="T25" s="20">
        <f>SUM(OSRRefT22x_0)</f>
        <v>336938.18</v>
      </c>
      <c r="U25" s="20"/>
      <c r="V25" s="32">
        <f t="shared" ref="V25:V35" si="20">IF(T$12=0,0,T25/T$12)</f>
        <v>0.85881656405961471</v>
      </c>
      <c r="W25" s="4"/>
      <c r="X25" s="20">
        <f t="shared" ref="X25:X35" si="21">+P25-T25</f>
        <v>-321298.53999999998</v>
      </c>
      <c r="Y25" s="4"/>
      <c r="Z25" s="32">
        <f t="shared" ref="Z25:Z35" si="22">IF(T25=0,0,X25/T25)</f>
        <v>-0.95358305787726394</v>
      </c>
    </row>
    <row r="26" spans="1:26" s="27" customFormat="1" outlineLevel="1" collapsed="1" x14ac:dyDescent="0.25">
      <c r="A26" s="26"/>
      <c r="B26" s="12" t="str">
        <f>CONCATENATE("     ","*Benefits                                         ")</f>
        <v xml:space="preserve">     *Benefits                                         </v>
      </c>
      <c r="C26" s="12"/>
      <c r="D26" s="1">
        <f>SUM(OSRRefD22_0x_0)</f>
        <v>0</v>
      </c>
      <c r="E26" s="1"/>
      <c r="F26" s="5">
        <f t="shared" si="15"/>
        <v>0</v>
      </c>
      <c r="G26" s="1"/>
      <c r="H26" s="1">
        <f>SUM(OSRRefH22_0x_0)</f>
        <v>1446.2</v>
      </c>
      <c r="I26" s="1"/>
      <c r="J26" s="5">
        <f t="shared" si="16"/>
        <v>0</v>
      </c>
      <c r="K26" s="1"/>
      <c r="L26" s="1">
        <f t="shared" si="17"/>
        <v>-1446.2</v>
      </c>
      <c r="M26" s="1"/>
      <c r="N26" s="5">
        <f t="shared" si="18"/>
        <v>-1</v>
      </c>
      <c r="O26" s="12"/>
      <c r="P26" s="1">
        <f>SUM(OSRRefP22_0x_0)</f>
        <v>1420.5</v>
      </c>
      <c r="Q26" s="1"/>
      <c r="R26" s="5">
        <f t="shared" si="19"/>
        <v>0</v>
      </c>
      <c r="S26" s="1"/>
      <c r="T26" s="1">
        <f>SUM(OSRRefT22_0x_0)</f>
        <v>37882.54</v>
      </c>
      <c r="U26" s="1"/>
      <c r="V26" s="5">
        <f t="shared" si="20"/>
        <v>9.6558225727493743E-2</v>
      </c>
      <c r="W26" s="1"/>
      <c r="X26" s="1">
        <f t="shared" si="21"/>
        <v>-36462.04</v>
      </c>
      <c r="Y26" s="1"/>
      <c r="Z26" s="5">
        <f t="shared" si="22"/>
        <v>-0.96250251435093848</v>
      </c>
    </row>
    <row r="27" spans="1:26" s="23" customFormat="1" hidden="1" outlineLevel="2" x14ac:dyDescent="0.25">
      <c r="A27" s="25"/>
      <c r="B27" s="10" t="str">
        <f>CONCATENATE("          ", "6111", " - ", "F.I.C.A.")</f>
        <v xml:space="preserve">          6111 - F.I.C.A.</v>
      </c>
      <c r="C27" s="10"/>
      <c r="D27" s="6"/>
      <c r="E27" s="2"/>
      <c r="F27" s="7">
        <f t="shared" si="15"/>
        <v>0</v>
      </c>
      <c r="G27" s="2"/>
      <c r="H27" s="6">
        <v>341.58</v>
      </c>
      <c r="I27" s="2"/>
      <c r="J27" s="7">
        <f t="shared" si="16"/>
        <v>0</v>
      </c>
      <c r="K27" s="2"/>
      <c r="L27" s="6">
        <f t="shared" si="17"/>
        <v>-341.58</v>
      </c>
      <c r="M27" s="2"/>
      <c r="N27" s="7">
        <f t="shared" si="18"/>
        <v>-1</v>
      </c>
      <c r="O27" s="10"/>
      <c r="P27" s="6">
        <v>171.54</v>
      </c>
      <c r="Q27" s="2"/>
      <c r="R27" s="7">
        <f t="shared" si="19"/>
        <v>0</v>
      </c>
      <c r="S27" s="2"/>
      <c r="T27" s="6">
        <v>8664.3700000000008</v>
      </c>
      <c r="U27" s="2"/>
      <c r="V27" s="7">
        <f t="shared" si="20"/>
        <v>2.2084479927864525E-2</v>
      </c>
      <c r="W27" s="2"/>
      <c r="X27" s="6">
        <f t="shared" si="21"/>
        <v>-8492.83</v>
      </c>
      <c r="Y27" s="2"/>
      <c r="Z27" s="7">
        <f t="shared" si="22"/>
        <v>-0.98020167652120105</v>
      </c>
    </row>
    <row r="28" spans="1:26" s="23" customFormat="1" hidden="1" outlineLevel="2" x14ac:dyDescent="0.25">
      <c r="A28" s="25"/>
      <c r="B28" s="10" t="str">
        <f>CONCATENATE("          ", "6112", " - ", "COMPENSATION INSURANCE")</f>
        <v xml:space="preserve">          6112 - COMPENSATION INSURANCE</v>
      </c>
      <c r="C28" s="10"/>
      <c r="D28" s="6"/>
      <c r="E28" s="2"/>
      <c r="F28" s="7">
        <f t="shared" si="15"/>
        <v>0</v>
      </c>
      <c r="G28" s="2"/>
      <c r="H28" s="6">
        <v>173.25</v>
      </c>
      <c r="I28" s="2"/>
      <c r="J28" s="7">
        <f t="shared" si="16"/>
        <v>0</v>
      </c>
      <c r="K28" s="2"/>
      <c r="L28" s="6">
        <f t="shared" si="17"/>
        <v>-173.25</v>
      </c>
      <c r="M28" s="2"/>
      <c r="N28" s="7">
        <f t="shared" si="18"/>
        <v>-1</v>
      </c>
      <c r="O28" s="10"/>
      <c r="P28" s="6"/>
      <c r="Q28" s="2"/>
      <c r="R28" s="7">
        <f t="shared" si="19"/>
        <v>0</v>
      </c>
      <c r="S28" s="2"/>
      <c r="T28" s="6">
        <v>6750.72</v>
      </c>
      <c r="U28" s="2"/>
      <c r="V28" s="7">
        <f t="shared" si="20"/>
        <v>1.7206806765943005E-2</v>
      </c>
      <c r="W28" s="2"/>
      <c r="X28" s="6">
        <f t="shared" si="21"/>
        <v>-6750.72</v>
      </c>
      <c r="Y28" s="2"/>
      <c r="Z28" s="7">
        <f t="shared" si="22"/>
        <v>-1</v>
      </c>
    </row>
    <row r="29" spans="1:26" s="23" customFormat="1" hidden="1" outlineLevel="2" x14ac:dyDescent="0.25">
      <c r="A29" s="25"/>
      <c r="B29" s="10" t="str">
        <f>CONCATENATE("          ", "6113", " - ", "GROUP INSURANCE")</f>
        <v xml:space="preserve">          6113 - GROUP INSURANCE</v>
      </c>
      <c r="C29" s="10"/>
      <c r="D29" s="6"/>
      <c r="E29" s="2"/>
      <c r="F29" s="7">
        <f t="shared" si="15"/>
        <v>0</v>
      </c>
      <c r="G29" s="2"/>
      <c r="H29" s="6">
        <v>699.3</v>
      </c>
      <c r="I29" s="2"/>
      <c r="J29" s="7">
        <f t="shared" si="16"/>
        <v>0</v>
      </c>
      <c r="K29" s="2"/>
      <c r="L29" s="6">
        <f t="shared" si="17"/>
        <v>-699.3</v>
      </c>
      <c r="M29" s="2"/>
      <c r="N29" s="7">
        <f t="shared" si="18"/>
        <v>-1</v>
      </c>
      <c r="O29" s="10"/>
      <c r="P29" s="6">
        <v>699.3</v>
      </c>
      <c r="Q29" s="2"/>
      <c r="R29" s="7">
        <f t="shared" si="19"/>
        <v>0</v>
      </c>
      <c r="S29" s="2"/>
      <c r="T29" s="6">
        <v>9773.43</v>
      </c>
      <c r="U29" s="2"/>
      <c r="V29" s="7">
        <f t="shared" si="20"/>
        <v>2.4911345967610913E-2</v>
      </c>
      <c r="W29" s="2"/>
      <c r="X29" s="6">
        <f t="shared" si="21"/>
        <v>-9074.130000000001</v>
      </c>
      <c r="Y29" s="2"/>
      <c r="Z29" s="7">
        <f t="shared" si="22"/>
        <v>-0.92844886595596432</v>
      </c>
    </row>
    <row r="30" spans="1:26" s="23" customFormat="1" hidden="1" outlineLevel="2" x14ac:dyDescent="0.25">
      <c r="A30" s="25"/>
      <c r="B30" s="10" t="str">
        <f>CONCATENATE("          ", "6114", " - ", "STATE UNEMPLOYMENT INSURANCE")</f>
        <v xml:space="preserve">          6114 - STATE UNEMPLOYMENT INSURANCE</v>
      </c>
      <c r="C30" s="10"/>
      <c r="D30" s="6"/>
      <c r="E30" s="2"/>
      <c r="F30" s="7">
        <f t="shared" si="15"/>
        <v>0</v>
      </c>
      <c r="G30" s="2"/>
      <c r="H30" s="6">
        <v>-514.21</v>
      </c>
      <c r="I30" s="2"/>
      <c r="J30" s="7">
        <f t="shared" si="16"/>
        <v>0</v>
      </c>
      <c r="K30" s="2"/>
      <c r="L30" s="6">
        <f t="shared" si="17"/>
        <v>514.21</v>
      </c>
      <c r="M30" s="2"/>
      <c r="N30" s="7">
        <f t="shared" si="18"/>
        <v>-1</v>
      </c>
      <c r="O30" s="10"/>
      <c r="P30" s="6"/>
      <c r="Q30" s="2"/>
      <c r="R30" s="7">
        <f t="shared" si="19"/>
        <v>0</v>
      </c>
      <c r="S30" s="2"/>
      <c r="T30" s="6">
        <v>0</v>
      </c>
      <c r="U30" s="2"/>
      <c r="V30" s="7">
        <f t="shared" si="20"/>
        <v>0</v>
      </c>
      <c r="W30" s="2"/>
      <c r="X30" s="6">
        <f t="shared" si="21"/>
        <v>0</v>
      </c>
      <c r="Y30" s="2"/>
      <c r="Z30" s="7">
        <f t="shared" si="22"/>
        <v>0</v>
      </c>
    </row>
    <row r="31" spans="1:26" s="23" customFormat="1" hidden="1" outlineLevel="2" x14ac:dyDescent="0.25">
      <c r="A31" s="25"/>
      <c r="B31" s="10" t="str">
        <f>CONCATENATE("          ", "6115", " - ", "P.E.R.S.")</f>
        <v xml:space="preserve">          6115 - P.E.R.S.</v>
      </c>
      <c r="C31" s="10"/>
      <c r="D31" s="6"/>
      <c r="E31" s="2"/>
      <c r="F31" s="7">
        <f t="shared" si="15"/>
        <v>0</v>
      </c>
      <c r="G31" s="2"/>
      <c r="H31" s="6">
        <v>320.99</v>
      </c>
      <c r="I31" s="2"/>
      <c r="J31" s="7">
        <f t="shared" si="16"/>
        <v>0</v>
      </c>
      <c r="K31" s="2"/>
      <c r="L31" s="6">
        <f t="shared" si="17"/>
        <v>-320.99</v>
      </c>
      <c r="M31" s="2"/>
      <c r="N31" s="7">
        <f t="shared" si="18"/>
        <v>-1</v>
      </c>
      <c r="O31" s="10"/>
      <c r="P31" s="6">
        <v>355.22</v>
      </c>
      <c r="Q31" s="2"/>
      <c r="R31" s="7">
        <f t="shared" si="19"/>
        <v>0</v>
      </c>
      <c r="S31" s="2"/>
      <c r="T31" s="6">
        <v>4012.37</v>
      </c>
      <c r="U31" s="2"/>
      <c r="V31" s="7">
        <f t="shared" si="20"/>
        <v>1.0227068410994196E-2</v>
      </c>
      <c r="W31" s="2"/>
      <c r="X31" s="6">
        <f t="shared" si="21"/>
        <v>-3657.1499999999996</v>
      </c>
      <c r="Y31" s="2"/>
      <c r="Z31" s="7">
        <f t="shared" si="22"/>
        <v>-0.91146878278922427</v>
      </c>
    </row>
    <row r="32" spans="1:26" s="23" customFormat="1" hidden="1" outlineLevel="2" x14ac:dyDescent="0.25">
      <c r="A32" s="25"/>
      <c r="B32" s="10" t="str">
        <f>CONCATENATE("          ", "6117", " - ", "RETIREMENT STAFF HOURLY")</f>
        <v xml:space="preserve">          6117 - RETIREMENT STAFF HOURLY</v>
      </c>
      <c r="C32" s="10"/>
      <c r="D32" s="6"/>
      <c r="E32" s="2"/>
      <c r="F32" s="7">
        <f t="shared" si="15"/>
        <v>0</v>
      </c>
      <c r="G32" s="2"/>
      <c r="H32" s="6"/>
      <c r="I32" s="2"/>
      <c r="J32" s="7">
        <f t="shared" si="16"/>
        <v>0</v>
      </c>
      <c r="K32" s="2"/>
      <c r="L32" s="6">
        <f t="shared" si="17"/>
        <v>0</v>
      </c>
      <c r="M32" s="2"/>
      <c r="N32" s="7">
        <f t="shared" si="18"/>
        <v>0</v>
      </c>
      <c r="O32" s="10"/>
      <c r="P32" s="6"/>
      <c r="Q32" s="2"/>
      <c r="R32" s="7">
        <f t="shared" si="19"/>
        <v>0</v>
      </c>
      <c r="S32" s="2"/>
      <c r="T32" s="6">
        <v>764.45</v>
      </c>
      <c r="U32" s="2"/>
      <c r="V32" s="7">
        <f t="shared" si="20"/>
        <v>1.9484948912449533E-3</v>
      </c>
      <c r="W32" s="2"/>
      <c r="X32" s="6">
        <f t="shared" si="21"/>
        <v>-764.45</v>
      </c>
      <c r="Y32" s="2"/>
      <c r="Z32" s="7">
        <f t="shared" si="22"/>
        <v>-1</v>
      </c>
    </row>
    <row r="33" spans="1:26" s="23" customFormat="1" hidden="1" outlineLevel="2" x14ac:dyDescent="0.25">
      <c r="A33" s="25"/>
      <c r="B33" s="10" t="str">
        <f>CONCATENATE("          ", "6118", " - ", "VACATION")</f>
        <v xml:space="preserve">          6118 - VACATION</v>
      </c>
      <c r="C33" s="10"/>
      <c r="D33" s="6"/>
      <c r="E33" s="2"/>
      <c r="F33" s="7">
        <f t="shared" si="15"/>
        <v>0</v>
      </c>
      <c r="G33" s="2"/>
      <c r="H33" s="6">
        <v>176.92</v>
      </c>
      <c r="I33" s="2"/>
      <c r="J33" s="7">
        <f t="shared" si="16"/>
        <v>0</v>
      </c>
      <c r="K33" s="2"/>
      <c r="L33" s="6">
        <f t="shared" si="17"/>
        <v>-176.92</v>
      </c>
      <c r="M33" s="2"/>
      <c r="N33" s="7">
        <f t="shared" si="18"/>
        <v>-1</v>
      </c>
      <c r="O33" s="10"/>
      <c r="P33" s="6">
        <v>88.46</v>
      </c>
      <c r="Q33" s="2"/>
      <c r="R33" s="7">
        <f t="shared" si="19"/>
        <v>0</v>
      </c>
      <c r="S33" s="2"/>
      <c r="T33" s="6">
        <v>2815.98</v>
      </c>
      <c r="U33" s="2"/>
      <c r="V33" s="7">
        <f t="shared" si="20"/>
        <v>7.1776082724154143E-3</v>
      </c>
      <c r="W33" s="2"/>
      <c r="X33" s="6">
        <f t="shared" si="21"/>
        <v>-2727.52</v>
      </c>
      <c r="Y33" s="2"/>
      <c r="Z33" s="7">
        <f t="shared" si="22"/>
        <v>-0.96858642461949307</v>
      </c>
    </row>
    <row r="34" spans="1:26" s="23" customFormat="1" hidden="1" outlineLevel="2" x14ac:dyDescent="0.25">
      <c r="A34" s="25"/>
      <c r="B34" s="10" t="str">
        <f>CONCATENATE("          ", "6119", " - ", "SICK LEAVE")</f>
        <v xml:space="preserve">          6119 - SICK LEAVE</v>
      </c>
      <c r="C34" s="10"/>
      <c r="D34" s="6"/>
      <c r="E34" s="2"/>
      <c r="F34" s="7">
        <f t="shared" si="15"/>
        <v>0</v>
      </c>
      <c r="G34" s="2"/>
      <c r="H34" s="6">
        <v>211.96</v>
      </c>
      <c r="I34" s="2"/>
      <c r="J34" s="7">
        <f t="shared" si="16"/>
        <v>0</v>
      </c>
      <c r="K34" s="2"/>
      <c r="L34" s="6">
        <f t="shared" si="17"/>
        <v>-211.96</v>
      </c>
      <c r="M34" s="2"/>
      <c r="N34" s="7">
        <f t="shared" si="18"/>
        <v>-1</v>
      </c>
      <c r="O34" s="10"/>
      <c r="P34" s="6">
        <v>105.98</v>
      </c>
      <c r="Q34" s="2"/>
      <c r="R34" s="7">
        <f t="shared" si="19"/>
        <v>0</v>
      </c>
      <c r="S34" s="2"/>
      <c r="T34" s="6">
        <v>3061.35</v>
      </c>
      <c r="U34" s="2"/>
      <c r="V34" s="7">
        <f t="shared" si="20"/>
        <v>7.8030281055827553E-3</v>
      </c>
      <c r="W34" s="2"/>
      <c r="X34" s="6">
        <f t="shared" si="21"/>
        <v>-2955.37</v>
      </c>
      <c r="Y34" s="2"/>
      <c r="Z34" s="7">
        <f t="shared" si="22"/>
        <v>-0.96538128603393925</v>
      </c>
    </row>
    <row r="35" spans="1:26" s="23" customFormat="1" hidden="1" outlineLevel="2" x14ac:dyDescent="0.25">
      <c r="A35" s="25"/>
      <c r="B35" s="10" t="str">
        <f>CONCATENATE("          ", "6156", " - ", "EMPLOYEE MEALS")</f>
        <v xml:space="preserve">          6156 - EMPLOYEE MEALS</v>
      </c>
      <c r="C35" s="10"/>
      <c r="D35" s="6"/>
      <c r="E35" s="2"/>
      <c r="F35" s="7">
        <f t="shared" si="15"/>
        <v>0</v>
      </c>
      <c r="G35" s="2"/>
      <c r="H35" s="6">
        <v>36.409999999999997</v>
      </c>
      <c r="I35" s="2"/>
      <c r="J35" s="7">
        <f t="shared" si="16"/>
        <v>0</v>
      </c>
      <c r="K35" s="2"/>
      <c r="L35" s="6">
        <f t="shared" si="17"/>
        <v>-36.409999999999997</v>
      </c>
      <c r="M35" s="2"/>
      <c r="N35" s="7">
        <f t="shared" si="18"/>
        <v>-1</v>
      </c>
      <c r="O35" s="10"/>
      <c r="P35" s="6"/>
      <c r="Q35" s="2"/>
      <c r="R35" s="7">
        <f t="shared" si="19"/>
        <v>0</v>
      </c>
      <c r="S35" s="2"/>
      <c r="T35" s="6">
        <v>2039.87</v>
      </c>
      <c r="U35" s="2"/>
      <c r="V35" s="7">
        <f t="shared" si="20"/>
        <v>5.199393385837978E-3</v>
      </c>
      <c r="W35" s="2"/>
      <c r="X35" s="6">
        <f t="shared" si="21"/>
        <v>-2039.87</v>
      </c>
      <c r="Y35" s="2"/>
      <c r="Z35" s="7">
        <f t="shared" si="22"/>
        <v>-1</v>
      </c>
    </row>
    <row r="36" spans="1:26" s="27" customFormat="1" outlineLevel="1" collapsed="1" x14ac:dyDescent="0.25">
      <c r="A36" s="26"/>
      <c r="B36" s="12" t="str">
        <f>CONCATENATE("     ","*Payroll                                          ")</f>
        <v xml:space="preserve">     *Payroll                                          </v>
      </c>
      <c r="C36" s="12"/>
      <c r="D36" s="1">
        <f>SUM(OSRRefD22_1x_0)</f>
        <v>0</v>
      </c>
      <c r="E36" s="1"/>
      <c r="F36" s="5">
        <f t="shared" ref="F36:F42" si="23">IF(D$12=0,0,D36/D$12)</f>
        <v>0</v>
      </c>
      <c r="G36" s="1"/>
      <c r="H36" s="1">
        <f>SUM(OSRRefH22_1x_0)</f>
        <v>3446.53</v>
      </c>
      <c r="I36" s="1"/>
      <c r="J36" s="5">
        <f t="shared" ref="J36:J42" si="24">IF(H$12=0,0,H36/H$12)</f>
        <v>0</v>
      </c>
      <c r="K36" s="1"/>
      <c r="L36" s="1">
        <f t="shared" ref="L36:L42" si="25">+D36-H36</f>
        <v>-3446.53</v>
      </c>
      <c r="M36" s="1"/>
      <c r="N36" s="5">
        <f t="shared" ref="N36:N42" si="26">IF(H36=0,0,L36/H36)</f>
        <v>-1</v>
      </c>
      <c r="O36" s="12"/>
      <c r="P36" s="1">
        <f>SUM(OSRRefP22_1x_0)</f>
        <v>1378.61</v>
      </c>
      <c r="Q36" s="1"/>
      <c r="R36" s="5">
        <f t="shared" ref="R36:R42" si="27">IF(P$12=0,0,P36/P$12)</f>
        <v>0</v>
      </c>
      <c r="S36" s="1"/>
      <c r="T36" s="1">
        <f>SUM(OSRRefT22_1x_0)</f>
        <v>156105.16999999998</v>
      </c>
      <c r="U36" s="1"/>
      <c r="V36" s="5">
        <f t="shared" ref="V36:V42" si="28">IF(T$12=0,0,T36/T$12)</f>
        <v>0.39789407579557184</v>
      </c>
      <c r="W36" s="1"/>
      <c r="X36" s="1">
        <f t="shared" ref="X36:X42" si="29">+P36-T36</f>
        <v>-154726.56</v>
      </c>
      <c r="Y36" s="1"/>
      <c r="Z36" s="5">
        <f t="shared" ref="Z36:Z42" si="30">IF(T36=0,0,X36/T36)</f>
        <v>-0.99116871017148256</v>
      </c>
    </row>
    <row r="37" spans="1:26" s="23" customFormat="1" hidden="1" outlineLevel="2" x14ac:dyDescent="0.25">
      <c r="A37" s="25"/>
      <c r="B37" s="10" t="str">
        <f>CONCATENATE("          ", "6002", " - ", "STAFF SALARIES")</f>
        <v xml:space="preserve">          6002 - STAFF SALARIES</v>
      </c>
      <c r="C37" s="10"/>
      <c r="D37" s="6"/>
      <c r="E37" s="2"/>
      <c r="F37" s="7">
        <f t="shared" si="23"/>
        <v>0</v>
      </c>
      <c r="G37" s="2"/>
      <c r="H37" s="6">
        <v>3446.53</v>
      </c>
      <c r="I37" s="2"/>
      <c r="J37" s="7">
        <f t="shared" si="24"/>
        <v>0</v>
      </c>
      <c r="K37" s="2"/>
      <c r="L37" s="6">
        <f t="shared" si="25"/>
        <v>-3446.53</v>
      </c>
      <c r="M37" s="2"/>
      <c r="N37" s="7">
        <f t="shared" si="26"/>
        <v>-1</v>
      </c>
      <c r="O37" s="10"/>
      <c r="P37" s="6">
        <v>1378.61</v>
      </c>
      <c r="Q37" s="2"/>
      <c r="R37" s="7">
        <f t="shared" si="27"/>
        <v>0</v>
      </c>
      <c r="S37" s="2"/>
      <c r="T37" s="6">
        <v>53765.93</v>
      </c>
      <c r="U37" s="2"/>
      <c r="V37" s="7">
        <f t="shared" si="28"/>
        <v>0.13704315511548665</v>
      </c>
      <c r="W37" s="2"/>
      <c r="X37" s="6">
        <f t="shared" si="29"/>
        <v>-52387.32</v>
      </c>
      <c r="Y37" s="2"/>
      <c r="Z37" s="7">
        <f t="shared" si="30"/>
        <v>-0.97435904112511396</v>
      </c>
    </row>
    <row r="38" spans="1:26" s="23" customFormat="1" hidden="1" outlineLevel="2" x14ac:dyDescent="0.25">
      <c r="A38" s="25"/>
      <c r="B38" s="10" t="str">
        <f>CONCATENATE("          ", "6004", " - ", "STAFF HOURLY")</f>
        <v xml:space="preserve">          6004 - STAFF HOURLY</v>
      </c>
      <c r="C38" s="10"/>
      <c r="D38" s="6"/>
      <c r="E38" s="2"/>
      <c r="F38" s="7">
        <f t="shared" si="23"/>
        <v>0</v>
      </c>
      <c r="G38" s="2"/>
      <c r="H38" s="6"/>
      <c r="I38" s="2"/>
      <c r="J38" s="7">
        <f t="shared" si="24"/>
        <v>0</v>
      </c>
      <c r="K38" s="2"/>
      <c r="L38" s="6">
        <f t="shared" si="25"/>
        <v>0</v>
      </c>
      <c r="M38" s="2"/>
      <c r="N38" s="7">
        <f t="shared" si="26"/>
        <v>0</v>
      </c>
      <c r="O38" s="10"/>
      <c r="P38" s="6"/>
      <c r="Q38" s="2"/>
      <c r="R38" s="7">
        <f t="shared" si="27"/>
        <v>0</v>
      </c>
      <c r="S38" s="2"/>
      <c r="T38" s="6">
        <v>12512.45</v>
      </c>
      <c r="U38" s="2"/>
      <c r="V38" s="7">
        <f t="shared" si="28"/>
        <v>3.189279207529324E-2</v>
      </c>
      <c r="W38" s="2"/>
      <c r="X38" s="6">
        <f t="shared" si="29"/>
        <v>-12512.45</v>
      </c>
      <c r="Y38" s="2"/>
      <c r="Z38" s="7">
        <f t="shared" si="30"/>
        <v>-1</v>
      </c>
    </row>
    <row r="39" spans="1:26" s="23" customFormat="1" hidden="1" outlineLevel="2" x14ac:dyDescent="0.25">
      <c r="A39" s="25"/>
      <c r="B39" s="10" t="str">
        <f>CONCATENATE("          ", "6005", " - ", "TEMPORARY WAGES-HOURLY")</f>
        <v xml:space="preserve">          6005 - TEMPORARY WAGES-HOURLY</v>
      </c>
      <c r="C39" s="10"/>
      <c r="D39" s="6"/>
      <c r="E39" s="2"/>
      <c r="F39" s="7">
        <f t="shared" si="23"/>
        <v>0</v>
      </c>
      <c r="G39" s="2"/>
      <c r="H39" s="6"/>
      <c r="I39" s="2"/>
      <c r="J39" s="7">
        <f t="shared" si="24"/>
        <v>0</v>
      </c>
      <c r="K39" s="2"/>
      <c r="L39" s="6">
        <f t="shared" si="25"/>
        <v>0</v>
      </c>
      <c r="M39" s="2"/>
      <c r="N39" s="7">
        <f t="shared" si="26"/>
        <v>0</v>
      </c>
      <c r="O39" s="10"/>
      <c r="P39" s="6"/>
      <c r="Q39" s="2"/>
      <c r="R39" s="7">
        <f t="shared" si="27"/>
        <v>0</v>
      </c>
      <c r="S39" s="2"/>
      <c r="T39" s="6">
        <v>32469.93</v>
      </c>
      <c r="U39" s="2"/>
      <c r="V39" s="7">
        <f t="shared" si="28"/>
        <v>8.2762107036537691E-2</v>
      </c>
      <c r="W39" s="2"/>
      <c r="X39" s="6">
        <f t="shared" si="29"/>
        <v>-32469.93</v>
      </c>
      <c r="Y39" s="2"/>
      <c r="Z39" s="7">
        <f t="shared" si="30"/>
        <v>-1</v>
      </c>
    </row>
    <row r="40" spans="1:26" s="23" customFormat="1" hidden="1" outlineLevel="2" x14ac:dyDescent="0.25">
      <c r="A40" s="25"/>
      <c r="B40" s="10" t="str">
        <f>CONCATENATE("          ", "6006", " - ", "TEMPORARY PART TIME")</f>
        <v xml:space="preserve">          6006 - TEMPORARY PART TIME</v>
      </c>
      <c r="C40" s="10"/>
      <c r="D40" s="6"/>
      <c r="E40" s="2"/>
      <c r="F40" s="7">
        <f t="shared" si="23"/>
        <v>0</v>
      </c>
      <c r="G40" s="2"/>
      <c r="H40" s="6"/>
      <c r="I40" s="2"/>
      <c r="J40" s="7">
        <f t="shared" si="24"/>
        <v>0</v>
      </c>
      <c r="K40" s="2"/>
      <c r="L40" s="6">
        <f t="shared" si="25"/>
        <v>0</v>
      </c>
      <c r="M40" s="2"/>
      <c r="N40" s="7">
        <f t="shared" si="26"/>
        <v>0</v>
      </c>
      <c r="O40" s="10"/>
      <c r="P40" s="6"/>
      <c r="Q40" s="2"/>
      <c r="R40" s="7">
        <f t="shared" si="27"/>
        <v>0</v>
      </c>
      <c r="S40" s="2"/>
      <c r="T40" s="6">
        <v>303.38</v>
      </c>
      <c r="U40" s="2"/>
      <c r="V40" s="7">
        <f t="shared" si="28"/>
        <v>7.7328063327345656E-4</v>
      </c>
      <c r="W40" s="2"/>
      <c r="X40" s="6">
        <f t="shared" si="29"/>
        <v>-303.38</v>
      </c>
      <c r="Y40" s="2"/>
      <c r="Z40" s="7">
        <f t="shared" si="30"/>
        <v>-1</v>
      </c>
    </row>
    <row r="41" spans="1:26" s="23" customFormat="1" hidden="1" outlineLevel="2" x14ac:dyDescent="0.25">
      <c r="A41" s="25"/>
      <c r="B41" s="10" t="str">
        <f>CONCATENATE("          ", "6007", " - ", "STUDENT HOURLY")</f>
        <v xml:space="preserve">          6007 - STUDENT HOURLY</v>
      </c>
      <c r="C41" s="10"/>
      <c r="D41" s="6"/>
      <c r="E41" s="2"/>
      <c r="F41" s="7">
        <f t="shared" si="23"/>
        <v>0</v>
      </c>
      <c r="G41" s="2"/>
      <c r="H41" s="6"/>
      <c r="I41" s="2"/>
      <c r="J41" s="7">
        <f t="shared" si="24"/>
        <v>0</v>
      </c>
      <c r="K41" s="2"/>
      <c r="L41" s="6">
        <f t="shared" si="25"/>
        <v>0</v>
      </c>
      <c r="M41" s="2"/>
      <c r="N41" s="7">
        <f t="shared" si="26"/>
        <v>0</v>
      </c>
      <c r="O41" s="10"/>
      <c r="P41" s="6"/>
      <c r="Q41" s="2"/>
      <c r="R41" s="7">
        <f t="shared" si="27"/>
        <v>0</v>
      </c>
      <c r="S41" s="2"/>
      <c r="T41" s="6">
        <v>49893.74</v>
      </c>
      <c r="U41" s="2"/>
      <c r="V41" s="7">
        <f t="shared" si="28"/>
        <v>0.12717338935849823</v>
      </c>
      <c r="W41" s="2"/>
      <c r="X41" s="6">
        <f t="shared" si="29"/>
        <v>-49893.74</v>
      </c>
      <c r="Y41" s="2"/>
      <c r="Z41" s="7">
        <f t="shared" si="30"/>
        <v>-1</v>
      </c>
    </row>
    <row r="42" spans="1:26" s="23" customFormat="1" hidden="1" outlineLevel="2" x14ac:dyDescent="0.25">
      <c r="A42" s="25"/>
      <c r="B42" s="10" t="str">
        <f>CONCATENATE("          ", "6008", " - ", "STUDENT HOURLY-FICA EXEMPT")</f>
        <v xml:space="preserve">          6008 - STUDENT HOURLY-FICA EXEMPT</v>
      </c>
      <c r="C42" s="10"/>
      <c r="D42" s="6"/>
      <c r="E42" s="2"/>
      <c r="F42" s="7">
        <f t="shared" si="23"/>
        <v>0</v>
      </c>
      <c r="G42" s="2"/>
      <c r="H42" s="6"/>
      <c r="I42" s="2"/>
      <c r="J42" s="7">
        <f t="shared" si="24"/>
        <v>0</v>
      </c>
      <c r="K42" s="2"/>
      <c r="L42" s="6">
        <f t="shared" si="25"/>
        <v>0</v>
      </c>
      <c r="M42" s="2"/>
      <c r="N42" s="7">
        <f t="shared" si="26"/>
        <v>0</v>
      </c>
      <c r="O42" s="10"/>
      <c r="P42" s="6"/>
      <c r="Q42" s="2"/>
      <c r="R42" s="7">
        <f t="shared" si="27"/>
        <v>0</v>
      </c>
      <c r="S42" s="2"/>
      <c r="T42" s="6">
        <v>7159.74</v>
      </c>
      <c r="U42" s="2"/>
      <c r="V42" s="7">
        <f t="shared" si="28"/>
        <v>1.8249351576482623E-2</v>
      </c>
      <c r="W42" s="2"/>
      <c r="X42" s="6">
        <f t="shared" si="29"/>
        <v>-7159.74</v>
      </c>
      <c r="Y42" s="2"/>
      <c r="Z42" s="7">
        <f t="shared" si="30"/>
        <v>-1</v>
      </c>
    </row>
    <row r="43" spans="1:26" s="27" customFormat="1" outlineLevel="1" collapsed="1" x14ac:dyDescent="0.25">
      <c r="A43" s="26"/>
      <c r="B43" s="12" t="str">
        <f>CONCATENATE("     ","Advertising/Promo                                 ")</f>
        <v xml:space="preserve">     Advertising/Promo                                 </v>
      </c>
      <c r="C43" s="12"/>
      <c r="D43" s="1">
        <f>SUM(OSRRefD22_2x_0)</f>
        <v>0</v>
      </c>
      <c r="E43" s="1"/>
      <c r="F43" s="5">
        <f t="shared" ref="F43:F60" si="31">IF(D$12=0,0,D43/D$12)</f>
        <v>0</v>
      </c>
      <c r="G43" s="1"/>
      <c r="H43" s="1">
        <f>SUM(OSRRefH22_2x_0)</f>
        <v>0</v>
      </c>
      <c r="I43" s="1"/>
      <c r="J43" s="5">
        <f t="shared" ref="J43:J60" si="32">IF(H$12=0,0,H43/H$12)</f>
        <v>0</v>
      </c>
      <c r="K43" s="1"/>
      <c r="L43" s="1">
        <f t="shared" ref="L43:L60" si="33">+D43-H43</f>
        <v>0</v>
      </c>
      <c r="M43" s="1"/>
      <c r="N43" s="5">
        <f t="shared" ref="N43:N60" si="34">IF(H43=0,0,L43/H43)</f>
        <v>0</v>
      </c>
      <c r="O43" s="12"/>
      <c r="P43" s="1">
        <f>SUM(OSRRefP22_2x_0)</f>
        <v>0</v>
      </c>
      <c r="Q43" s="1"/>
      <c r="R43" s="5">
        <f t="shared" ref="R43:R60" si="35">IF(P$12=0,0,P43/P$12)</f>
        <v>0</v>
      </c>
      <c r="S43" s="1"/>
      <c r="T43" s="1">
        <f>SUM(OSRRefT22_2x_0)</f>
        <v>1868.45</v>
      </c>
      <c r="U43" s="1"/>
      <c r="V43" s="5">
        <f t="shared" ref="V43:V60" si="36">IF(T$12=0,0,T43/T$12)</f>
        <v>4.7624635745263039E-3</v>
      </c>
      <c r="W43" s="1"/>
      <c r="X43" s="1">
        <f t="shared" ref="X43:X60" si="37">+P43-T43</f>
        <v>-1868.45</v>
      </c>
      <c r="Y43" s="1"/>
      <c r="Z43" s="5">
        <f t="shared" ref="Z43:Z60" si="38">IF(T43=0,0,X43/T43)</f>
        <v>-1</v>
      </c>
    </row>
    <row r="44" spans="1:26" s="23" customFormat="1" hidden="1" outlineLevel="2" x14ac:dyDescent="0.25">
      <c r="A44" s="25"/>
      <c r="B44" s="10" t="str">
        <f>CONCATENATE("          ", "6362", " - ", "ADVERTISING EXPENSE")</f>
        <v xml:space="preserve">          6362 - ADVERTISING EXPENSE</v>
      </c>
      <c r="C44" s="10"/>
      <c r="D44" s="6"/>
      <c r="E44" s="2"/>
      <c r="F44" s="7">
        <f t="shared" si="31"/>
        <v>0</v>
      </c>
      <c r="G44" s="2"/>
      <c r="H44" s="6"/>
      <c r="I44" s="2"/>
      <c r="J44" s="7">
        <f t="shared" si="32"/>
        <v>0</v>
      </c>
      <c r="K44" s="2"/>
      <c r="L44" s="6">
        <f t="shared" si="33"/>
        <v>0</v>
      </c>
      <c r="M44" s="2"/>
      <c r="N44" s="7">
        <f t="shared" si="34"/>
        <v>0</v>
      </c>
      <c r="O44" s="10"/>
      <c r="P44" s="6"/>
      <c r="Q44" s="2"/>
      <c r="R44" s="7">
        <f t="shared" si="35"/>
        <v>0</v>
      </c>
      <c r="S44" s="2"/>
      <c r="T44" s="6">
        <v>1868.45</v>
      </c>
      <c r="U44" s="2"/>
      <c r="V44" s="7">
        <f t="shared" si="36"/>
        <v>4.7624635745263039E-3</v>
      </c>
      <c r="W44" s="2"/>
      <c r="X44" s="6">
        <f t="shared" si="37"/>
        <v>-1868.45</v>
      </c>
      <c r="Y44" s="2"/>
      <c r="Z44" s="7">
        <f t="shared" si="38"/>
        <v>-1</v>
      </c>
    </row>
    <row r="45" spans="1:26" s="27" customFormat="1" outlineLevel="1" collapsed="1" x14ac:dyDescent="0.25">
      <c r="A45" s="26"/>
      <c r="B45" s="12" t="str">
        <f>CONCATENATE("     ","Bad Debts/Over/Short                              ")</f>
        <v xml:space="preserve">     Bad Debts/Over/Short                              </v>
      </c>
      <c r="C45" s="12"/>
      <c r="D45" s="1">
        <f>SUM(OSRRefD22_3x_0)</f>
        <v>0</v>
      </c>
      <c r="E45" s="1"/>
      <c r="F45" s="5">
        <f t="shared" si="31"/>
        <v>0</v>
      </c>
      <c r="G45" s="1"/>
      <c r="H45" s="1">
        <f>SUM(OSRRefH22_3x_0)</f>
        <v>0</v>
      </c>
      <c r="I45" s="1"/>
      <c r="J45" s="5">
        <f t="shared" si="32"/>
        <v>0</v>
      </c>
      <c r="K45" s="1"/>
      <c r="L45" s="1">
        <f t="shared" si="33"/>
        <v>0</v>
      </c>
      <c r="M45" s="1"/>
      <c r="N45" s="5">
        <f t="shared" si="34"/>
        <v>0</v>
      </c>
      <c r="O45" s="12"/>
      <c r="P45" s="1">
        <f>SUM(OSRRefP22_3x_0)</f>
        <v>0</v>
      </c>
      <c r="Q45" s="1"/>
      <c r="R45" s="5">
        <f t="shared" si="35"/>
        <v>0</v>
      </c>
      <c r="S45" s="1"/>
      <c r="T45" s="1">
        <f>SUM(OSRRefT22_3x_0)</f>
        <v>-144.01</v>
      </c>
      <c r="U45" s="1"/>
      <c r="V45" s="5">
        <f t="shared" si="36"/>
        <v>-3.6706488231824934E-4</v>
      </c>
      <c r="W45" s="1"/>
      <c r="X45" s="1">
        <f t="shared" si="37"/>
        <v>144.01</v>
      </c>
      <c r="Y45" s="1"/>
      <c r="Z45" s="5">
        <f t="shared" si="38"/>
        <v>-1</v>
      </c>
    </row>
    <row r="46" spans="1:26" s="23" customFormat="1" hidden="1" outlineLevel="2" x14ac:dyDescent="0.25">
      <c r="A46" s="25"/>
      <c r="B46" s="10" t="str">
        <f>CONCATENATE("          ", "6272", " - ", "CASH (OVER/SHORT)")</f>
        <v xml:space="preserve">          6272 - CASH (OVER/SHORT)</v>
      </c>
      <c r="C46" s="10"/>
      <c r="D46" s="6"/>
      <c r="E46" s="2"/>
      <c r="F46" s="7">
        <f t="shared" si="31"/>
        <v>0</v>
      </c>
      <c r="G46" s="2"/>
      <c r="H46" s="6"/>
      <c r="I46" s="2"/>
      <c r="J46" s="7">
        <f t="shared" si="32"/>
        <v>0</v>
      </c>
      <c r="K46" s="2"/>
      <c r="L46" s="6">
        <f t="shared" si="33"/>
        <v>0</v>
      </c>
      <c r="M46" s="2"/>
      <c r="N46" s="7">
        <f t="shared" si="34"/>
        <v>0</v>
      </c>
      <c r="O46" s="10"/>
      <c r="P46" s="6"/>
      <c r="Q46" s="2"/>
      <c r="R46" s="7">
        <f t="shared" si="35"/>
        <v>0</v>
      </c>
      <c r="S46" s="2"/>
      <c r="T46" s="6">
        <v>-144.01</v>
      </c>
      <c r="U46" s="2"/>
      <c r="V46" s="7">
        <f t="shared" si="36"/>
        <v>-3.6706488231824934E-4</v>
      </c>
      <c r="W46" s="2"/>
      <c r="X46" s="6">
        <f t="shared" si="37"/>
        <v>144.01</v>
      </c>
      <c r="Y46" s="2"/>
      <c r="Z46" s="7">
        <f t="shared" si="38"/>
        <v>-1</v>
      </c>
    </row>
    <row r="47" spans="1:26" s="27" customFormat="1" outlineLevel="1" collapsed="1" x14ac:dyDescent="0.25">
      <c r="A47" s="26"/>
      <c r="B47" s="12" t="str">
        <f>CONCATENATE("     ","Bank/card Fees                                    ")</f>
        <v xml:space="preserve">     Bank/card Fees                                    </v>
      </c>
      <c r="C47" s="12"/>
      <c r="D47" s="1">
        <f>SUM(OSRRefD22_4x_0)</f>
        <v>0</v>
      </c>
      <c r="E47" s="1"/>
      <c r="F47" s="5">
        <f t="shared" si="31"/>
        <v>0</v>
      </c>
      <c r="G47" s="1"/>
      <c r="H47" s="1">
        <f>SUM(OSRRefH22_4x_0)</f>
        <v>0</v>
      </c>
      <c r="I47" s="1"/>
      <c r="J47" s="5">
        <f t="shared" si="32"/>
        <v>0</v>
      </c>
      <c r="K47" s="1"/>
      <c r="L47" s="1">
        <f t="shared" si="33"/>
        <v>0</v>
      </c>
      <c r="M47" s="1"/>
      <c r="N47" s="5">
        <f t="shared" si="34"/>
        <v>0</v>
      </c>
      <c r="O47" s="12"/>
      <c r="P47" s="1">
        <f>SUM(OSRRefP22_4x_0)</f>
        <v>0</v>
      </c>
      <c r="Q47" s="1"/>
      <c r="R47" s="5">
        <f t="shared" si="35"/>
        <v>0</v>
      </c>
      <c r="S47" s="1"/>
      <c r="T47" s="1">
        <f>SUM(OSRRefT22_4x_0)</f>
        <v>7654.91</v>
      </c>
      <c r="U47" s="1"/>
      <c r="V47" s="5">
        <f t="shared" si="36"/>
        <v>1.9511482801935907E-2</v>
      </c>
      <c r="W47" s="1"/>
      <c r="X47" s="1">
        <f t="shared" si="37"/>
        <v>-7654.91</v>
      </c>
      <c r="Y47" s="1"/>
      <c r="Z47" s="5">
        <f t="shared" si="38"/>
        <v>-1</v>
      </c>
    </row>
    <row r="48" spans="1:26" s="23" customFormat="1" hidden="1" outlineLevel="2" x14ac:dyDescent="0.25">
      <c r="A48" s="25"/>
      <c r="B48" s="10" t="str">
        <f>CONCATENATE("          ", "6381", " - ", "BANK/CREDIT CARD FEES")</f>
        <v xml:space="preserve">          6381 - BANK/CREDIT CARD FEES</v>
      </c>
      <c r="C48" s="10"/>
      <c r="D48" s="6"/>
      <c r="E48" s="2"/>
      <c r="F48" s="7">
        <f t="shared" si="31"/>
        <v>0</v>
      </c>
      <c r="G48" s="2"/>
      <c r="H48" s="6"/>
      <c r="I48" s="2"/>
      <c r="J48" s="7">
        <f t="shared" si="32"/>
        <v>0</v>
      </c>
      <c r="K48" s="2"/>
      <c r="L48" s="6">
        <f t="shared" si="33"/>
        <v>0</v>
      </c>
      <c r="M48" s="2"/>
      <c r="N48" s="7">
        <f t="shared" si="34"/>
        <v>0</v>
      </c>
      <c r="O48" s="10"/>
      <c r="P48" s="6"/>
      <c r="Q48" s="2"/>
      <c r="R48" s="7">
        <f t="shared" si="35"/>
        <v>0</v>
      </c>
      <c r="S48" s="2"/>
      <c r="T48" s="6">
        <v>7654.91</v>
      </c>
      <c r="U48" s="2"/>
      <c r="V48" s="7">
        <f t="shared" si="36"/>
        <v>1.9511482801935907E-2</v>
      </c>
      <c r="W48" s="2"/>
      <c r="X48" s="6">
        <f t="shared" si="37"/>
        <v>-7654.91</v>
      </c>
      <c r="Y48" s="2"/>
      <c r="Z48" s="7">
        <f t="shared" si="38"/>
        <v>-1</v>
      </c>
    </row>
    <row r="49" spans="1:26" s="27" customFormat="1" outlineLevel="1" collapsed="1" x14ac:dyDescent="0.25">
      <c r="A49" s="26"/>
      <c r="B49" s="12" t="str">
        <f>CONCATENATE("     ","Depreciation                                      ")</f>
        <v xml:space="preserve">     Depreciation                                      </v>
      </c>
      <c r="C49" s="12"/>
      <c r="D49" s="1">
        <f>SUM(OSRRefD22_5x_0)</f>
        <v>1000.95</v>
      </c>
      <c r="E49" s="1"/>
      <c r="F49" s="5">
        <f t="shared" si="31"/>
        <v>0</v>
      </c>
      <c r="G49" s="1"/>
      <c r="H49" s="1">
        <f>SUM(OSRRefH22_5x_0)</f>
        <v>1000.93</v>
      </c>
      <c r="I49" s="1"/>
      <c r="J49" s="5">
        <f t="shared" si="32"/>
        <v>0</v>
      </c>
      <c r="K49" s="1"/>
      <c r="L49" s="1">
        <f t="shared" si="33"/>
        <v>2.0000000000095497E-2</v>
      </c>
      <c r="M49" s="1"/>
      <c r="N49" s="5">
        <f t="shared" si="34"/>
        <v>1.9981417282023216E-5</v>
      </c>
      <c r="O49" s="12"/>
      <c r="P49" s="1">
        <f>SUM(OSRRefP22_5x_0)</f>
        <v>12010.96</v>
      </c>
      <c r="Q49" s="1"/>
      <c r="R49" s="5">
        <f t="shared" si="35"/>
        <v>0</v>
      </c>
      <c r="S49" s="1"/>
      <c r="T49" s="1">
        <f>SUM(OSRRefT22_5x_0)</f>
        <v>6046.46</v>
      </c>
      <c r="U49" s="1"/>
      <c r="V49" s="5">
        <f t="shared" si="36"/>
        <v>1.5411729243399777E-2</v>
      </c>
      <c r="W49" s="1"/>
      <c r="X49" s="1">
        <f t="shared" si="37"/>
        <v>5964.4999999999991</v>
      </c>
      <c r="Y49" s="1"/>
      <c r="Z49" s="5">
        <f t="shared" si="38"/>
        <v>0.98644496118389924</v>
      </c>
    </row>
    <row r="50" spans="1:26" s="23" customFormat="1" hidden="1" outlineLevel="2" x14ac:dyDescent="0.25">
      <c r="A50" s="25"/>
      <c r="B50" s="10" t="str">
        <f>CONCATENATE("          ", "6322", " - ", "EQUIPMENT DEPRECIATION EXPENSE")</f>
        <v xml:space="preserve">          6322 - EQUIPMENT DEPRECIATION EXPENSE</v>
      </c>
      <c r="C50" s="10"/>
      <c r="D50" s="6">
        <v>1000.95</v>
      </c>
      <c r="E50" s="2"/>
      <c r="F50" s="7">
        <f t="shared" si="31"/>
        <v>0</v>
      </c>
      <c r="G50" s="2"/>
      <c r="H50" s="6">
        <v>1000.93</v>
      </c>
      <c r="I50" s="2"/>
      <c r="J50" s="7">
        <f t="shared" si="32"/>
        <v>0</v>
      </c>
      <c r="K50" s="2"/>
      <c r="L50" s="6">
        <f t="shared" si="33"/>
        <v>2.0000000000095497E-2</v>
      </c>
      <c r="M50" s="2"/>
      <c r="N50" s="7">
        <f t="shared" si="34"/>
        <v>1.9981417282023216E-5</v>
      </c>
      <c r="O50" s="10"/>
      <c r="P50" s="6">
        <v>12010.96</v>
      </c>
      <c r="Q50" s="2"/>
      <c r="R50" s="7">
        <f t="shared" si="35"/>
        <v>0</v>
      </c>
      <c r="S50" s="2"/>
      <c r="T50" s="6">
        <v>6046.46</v>
      </c>
      <c r="U50" s="2"/>
      <c r="V50" s="7">
        <f t="shared" si="36"/>
        <v>1.5411729243399777E-2</v>
      </c>
      <c r="W50" s="2"/>
      <c r="X50" s="6">
        <f t="shared" si="37"/>
        <v>5964.4999999999991</v>
      </c>
      <c r="Y50" s="2"/>
      <c r="Z50" s="7">
        <f t="shared" si="38"/>
        <v>0.98644496118389924</v>
      </c>
    </row>
    <row r="51" spans="1:26" s="27" customFormat="1" outlineLevel="1" collapsed="1" x14ac:dyDescent="0.25">
      <c r="A51" s="26"/>
      <c r="B51" s="12" t="str">
        <f>CONCATENATE("     ","Employees' Appreciation                           ")</f>
        <v xml:space="preserve">     Employees' Appreciation                           </v>
      </c>
      <c r="C51" s="12"/>
      <c r="D51" s="1">
        <f>SUM(OSRRefD22_6x_0)</f>
        <v>0</v>
      </c>
      <c r="E51" s="1"/>
      <c r="F51" s="5">
        <f t="shared" si="31"/>
        <v>0</v>
      </c>
      <c r="G51" s="1"/>
      <c r="H51" s="1">
        <f>SUM(OSRRefH22_6x_0)</f>
        <v>0</v>
      </c>
      <c r="I51" s="1"/>
      <c r="J51" s="5">
        <f t="shared" si="32"/>
        <v>0</v>
      </c>
      <c r="K51" s="1"/>
      <c r="L51" s="1">
        <f t="shared" si="33"/>
        <v>0</v>
      </c>
      <c r="M51" s="1"/>
      <c r="N51" s="5">
        <f t="shared" si="34"/>
        <v>0</v>
      </c>
      <c r="O51" s="12"/>
      <c r="P51" s="1">
        <f>SUM(OSRRefP22_6x_0)</f>
        <v>0</v>
      </c>
      <c r="Q51" s="1"/>
      <c r="R51" s="5">
        <f t="shared" si="35"/>
        <v>0</v>
      </c>
      <c r="S51" s="1"/>
      <c r="T51" s="1">
        <f>SUM(OSRRefT22_6x_0)</f>
        <v>118.6</v>
      </c>
      <c r="U51" s="1"/>
      <c r="V51" s="5">
        <f t="shared" si="36"/>
        <v>3.022977226785943E-4</v>
      </c>
      <c r="W51" s="1"/>
      <c r="X51" s="1">
        <f t="shared" si="37"/>
        <v>-118.6</v>
      </c>
      <c r="Y51" s="1"/>
      <c r="Z51" s="5">
        <f t="shared" si="38"/>
        <v>-1</v>
      </c>
    </row>
    <row r="52" spans="1:26" s="23" customFormat="1" hidden="1" outlineLevel="2" x14ac:dyDescent="0.25">
      <c r="A52" s="25"/>
      <c r="B52" s="10" t="str">
        <f>CONCATENATE("          ", "6277", " - ", "EMPLOYEE APPRECIATION")</f>
        <v xml:space="preserve">          6277 - EMPLOYEE APPRECIATION</v>
      </c>
      <c r="C52" s="10"/>
      <c r="D52" s="6"/>
      <c r="E52" s="2"/>
      <c r="F52" s="7">
        <f t="shared" si="31"/>
        <v>0</v>
      </c>
      <c r="G52" s="2"/>
      <c r="H52" s="6"/>
      <c r="I52" s="2"/>
      <c r="J52" s="7">
        <f t="shared" si="32"/>
        <v>0</v>
      </c>
      <c r="K52" s="2"/>
      <c r="L52" s="6">
        <f t="shared" si="33"/>
        <v>0</v>
      </c>
      <c r="M52" s="2"/>
      <c r="N52" s="7">
        <f t="shared" si="34"/>
        <v>0</v>
      </c>
      <c r="O52" s="10"/>
      <c r="P52" s="6"/>
      <c r="Q52" s="2"/>
      <c r="R52" s="7">
        <f t="shared" si="35"/>
        <v>0</v>
      </c>
      <c r="S52" s="2"/>
      <c r="T52" s="6">
        <v>118.6</v>
      </c>
      <c r="U52" s="2"/>
      <c r="V52" s="7">
        <f t="shared" si="36"/>
        <v>3.022977226785943E-4</v>
      </c>
      <c r="W52" s="2"/>
      <c r="X52" s="6">
        <f t="shared" si="37"/>
        <v>-118.6</v>
      </c>
      <c r="Y52" s="2"/>
      <c r="Z52" s="7">
        <f t="shared" si="38"/>
        <v>-1</v>
      </c>
    </row>
    <row r="53" spans="1:26" s="27" customFormat="1" outlineLevel="1" collapsed="1" x14ac:dyDescent="0.25">
      <c r="A53" s="26"/>
      <c r="B53" s="12" t="str">
        <f>CONCATENATE("     ","Equipment Rental                                  ")</f>
        <v xml:space="preserve">     Equipment Rental                                  </v>
      </c>
      <c r="C53" s="12"/>
      <c r="D53" s="1">
        <f>SUM(OSRRefD22_7x_0)</f>
        <v>0</v>
      </c>
      <c r="E53" s="1"/>
      <c r="F53" s="5">
        <f t="shared" si="31"/>
        <v>0</v>
      </c>
      <c r="G53" s="1"/>
      <c r="H53" s="1">
        <f>SUM(OSRRefH22_7x_0)</f>
        <v>0</v>
      </c>
      <c r="I53" s="1"/>
      <c r="J53" s="5">
        <f t="shared" si="32"/>
        <v>0</v>
      </c>
      <c r="K53" s="1"/>
      <c r="L53" s="1">
        <f t="shared" si="33"/>
        <v>0</v>
      </c>
      <c r="M53" s="1"/>
      <c r="N53" s="5">
        <f t="shared" si="34"/>
        <v>0</v>
      </c>
      <c r="O53" s="12"/>
      <c r="P53" s="1">
        <f>SUM(OSRRefP22_7x_0)</f>
        <v>0</v>
      </c>
      <c r="Q53" s="1"/>
      <c r="R53" s="5">
        <f t="shared" si="35"/>
        <v>0</v>
      </c>
      <c r="S53" s="1"/>
      <c r="T53" s="1">
        <f>SUM(OSRRefT22_7x_0)</f>
        <v>350</v>
      </c>
      <c r="U53" s="1"/>
      <c r="V53" s="5">
        <f t="shared" si="36"/>
        <v>8.9210963690984841E-4</v>
      </c>
      <c r="W53" s="1"/>
      <c r="X53" s="1">
        <f t="shared" si="37"/>
        <v>-350</v>
      </c>
      <c r="Y53" s="1"/>
      <c r="Z53" s="5">
        <f t="shared" si="38"/>
        <v>-1</v>
      </c>
    </row>
    <row r="54" spans="1:26" s="23" customFormat="1" hidden="1" outlineLevel="2" x14ac:dyDescent="0.25">
      <c r="A54" s="25"/>
      <c r="B54" s="10" t="str">
        <f>CONCATENATE("          ", "6351", " - ", "EQUIPMENT RENTAL")</f>
        <v xml:space="preserve">          6351 - EQUIPMENT RENTAL</v>
      </c>
      <c r="C54" s="10"/>
      <c r="D54" s="6"/>
      <c r="E54" s="2"/>
      <c r="F54" s="7">
        <f t="shared" si="31"/>
        <v>0</v>
      </c>
      <c r="G54" s="2"/>
      <c r="H54" s="6"/>
      <c r="I54" s="2"/>
      <c r="J54" s="7">
        <f t="shared" si="32"/>
        <v>0</v>
      </c>
      <c r="K54" s="2"/>
      <c r="L54" s="6">
        <f t="shared" si="33"/>
        <v>0</v>
      </c>
      <c r="M54" s="2"/>
      <c r="N54" s="7">
        <f t="shared" si="34"/>
        <v>0</v>
      </c>
      <c r="O54" s="10"/>
      <c r="P54" s="6"/>
      <c r="Q54" s="2"/>
      <c r="R54" s="7">
        <f t="shared" si="35"/>
        <v>0</v>
      </c>
      <c r="S54" s="2"/>
      <c r="T54" s="6">
        <v>350</v>
      </c>
      <c r="U54" s="2"/>
      <c r="V54" s="7">
        <f t="shared" si="36"/>
        <v>8.9210963690984841E-4</v>
      </c>
      <c r="W54" s="2"/>
      <c r="X54" s="6">
        <f t="shared" si="37"/>
        <v>-350</v>
      </c>
      <c r="Y54" s="2"/>
      <c r="Z54" s="7">
        <f t="shared" si="38"/>
        <v>-1</v>
      </c>
    </row>
    <row r="55" spans="1:26" s="27" customFormat="1" outlineLevel="1" collapsed="1" x14ac:dyDescent="0.25">
      <c r="A55" s="26"/>
      <c r="B55" s="12" t="str">
        <f>CONCATENATE("     ","General                                           ")</f>
        <v xml:space="preserve">     General                                           </v>
      </c>
      <c r="C55" s="12"/>
      <c r="D55" s="1">
        <f>SUM(OSRRefD22_8x_0)</f>
        <v>0</v>
      </c>
      <c r="E55" s="1"/>
      <c r="F55" s="5">
        <f t="shared" si="31"/>
        <v>0</v>
      </c>
      <c r="G55" s="1"/>
      <c r="H55" s="1">
        <f>SUM(OSRRefH22_8x_0)</f>
        <v>0</v>
      </c>
      <c r="I55" s="1"/>
      <c r="J55" s="5">
        <f t="shared" si="32"/>
        <v>0</v>
      </c>
      <c r="K55" s="1"/>
      <c r="L55" s="1">
        <f t="shared" si="33"/>
        <v>0</v>
      </c>
      <c r="M55" s="1"/>
      <c r="N55" s="5">
        <f t="shared" si="34"/>
        <v>0</v>
      </c>
      <c r="O55" s="12"/>
      <c r="P55" s="1">
        <f>SUM(OSRRefP22_8x_0)</f>
        <v>455</v>
      </c>
      <c r="Q55" s="1"/>
      <c r="R55" s="5">
        <f t="shared" si="35"/>
        <v>0</v>
      </c>
      <c r="S55" s="1"/>
      <c r="T55" s="1">
        <f>SUM(OSRRefT22_8x_0)</f>
        <v>14829.04</v>
      </c>
      <c r="U55" s="1"/>
      <c r="V55" s="5">
        <f t="shared" si="36"/>
        <v>3.7797512828918911E-2</v>
      </c>
      <c r="W55" s="1"/>
      <c r="X55" s="1">
        <f t="shared" si="37"/>
        <v>-14374.04</v>
      </c>
      <c r="Y55" s="1"/>
      <c r="Z55" s="5">
        <f t="shared" si="38"/>
        <v>-0.96931696185322858</v>
      </c>
    </row>
    <row r="56" spans="1:26" s="23" customFormat="1" hidden="1" outlineLevel="2" x14ac:dyDescent="0.25">
      <c r="A56" s="25"/>
      <c r="B56" s="10" t="str">
        <f>CONCATENATE("          ", "6279", " - ", "GENERAL EXPENSE")</f>
        <v xml:space="preserve">          6279 - GENERAL EXPENSE</v>
      </c>
      <c r="C56" s="10"/>
      <c r="D56" s="6"/>
      <c r="E56" s="2"/>
      <c r="F56" s="7">
        <f t="shared" si="31"/>
        <v>0</v>
      </c>
      <c r="G56" s="2"/>
      <c r="H56" s="6"/>
      <c r="I56" s="2"/>
      <c r="J56" s="7">
        <f t="shared" si="32"/>
        <v>0</v>
      </c>
      <c r="K56" s="2"/>
      <c r="L56" s="6">
        <f t="shared" si="33"/>
        <v>0</v>
      </c>
      <c r="M56" s="2"/>
      <c r="N56" s="7">
        <f t="shared" si="34"/>
        <v>0</v>
      </c>
      <c r="O56" s="10"/>
      <c r="P56" s="6">
        <v>455</v>
      </c>
      <c r="Q56" s="2"/>
      <c r="R56" s="7">
        <f t="shared" si="35"/>
        <v>0</v>
      </c>
      <c r="S56" s="2"/>
      <c r="T56" s="6">
        <v>14829.04</v>
      </c>
      <c r="U56" s="2"/>
      <c r="V56" s="7">
        <f t="shared" si="36"/>
        <v>3.7797512828918911E-2</v>
      </c>
      <c r="W56" s="2"/>
      <c r="X56" s="6">
        <f t="shared" si="37"/>
        <v>-14374.04</v>
      </c>
      <c r="Y56" s="2"/>
      <c r="Z56" s="7">
        <f t="shared" si="38"/>
        <v>-0.96931696185322858</v>
      </c>
    </row>
    <row r="57" spans="1:26" s="27" customFormat="1" outlineLevel="1" collapsed="1" x14ac:dyDescent="0.25">
      <c r="A57" s="26"/>
      <c r="B57" s="12" t="str">
        <f>CONCATENATE("     ","Repair and Maintenance                            ")</f>
        <v xml:space="preserve">     Repair and Maintenance                            </v>
      </c>
      <c r="C57" s="12"/>
      <c r="D57" s="1">
        <f>SUM(OSRRefD22_9x_0)</f>
        <v>0</v>
      </c>
      <c r="E57" s="1"/>
      <c r="F57" s="5">
        <f t="shared" si="31"/>
        <v>0</v>
      </c>
      <c r="G57" s="1"/>
      <c r="H57" s="1">
        <f>SUM(OSRRefH22_9x_0)</f>
        <v>0</v>
      </c>
      <c r="I57" s="1"/>
      <c r="J57" s="5">
        <f t="shared" si="32"/>
        <v>0</v>
      </c>
      <c r="K57" s="1"/>
      <c r="L57" s="1">
        <f t="shared" si="33"/>
        <v>0</v>
      </c>
      <c r="M57" s="1"/>
      <c r="N57" s="5">
        <f t="shared" si="34"/>
        <v>0</v>
      </c>
      <c r="O57" s="12"/>
      <c r="P57" s="1">
        <f>SUM(OSRRefP22_9x_0)</f>
        <v>242.03</v>
      </c>
      <c r="Q57" s="1"/>
      <c r="R57" s="5">
        <f t="shared" si="35"/>
        <v>0</v>
      </c>
      <c r="S57" s="1"/>
      <c r="T57" s="1">
        <f>SUM(OSRRefT22_9x_0)</f>
        <v>5688.74</v>
      </c>
      <c r="U57" s="1"/>
      <c r="V57" s="5">
        <f t="shared" si="36"/>
        <v>1.4499942216784373E-2</v>
      </c>
      <c r="W57" s="1"/>
      <c r="X57" s="1">
        <f t="shared" si="37"/>
        <v>-5446.71</v>
      </c>
      <c r="Y57" s="1"/>
      <c r="Z57" s="5">
        <f t="shared" si="38"/>
        <v>-0.95745455056831574</v>
      </c>
    </row>
    <row r="58" spans="1:26" s="23" customFormat="1" hidden="1" outlineLevel="2" x14ac:dyDescent="0.25">
      <c r="A58" s="25"/>
      <c r="B58" s="10" t="str">
        <f>CONCATENATE("          ", "6371", " - ", "COMPUTER SOFTWARE MAINTENANCE")</f>
        <v xml:space="preserve">          6371 - COMPUTER SOFTWARE MAINTENANCE</v>
      </c>
      <c r="C58" s="10"/>
      <c r="D58" s="6"/>
      <c r="E58" s="2"/>
      <c r="F58" s="7">
        <f t="shared" si="31"/>
        <v>0</v>
      </c>
      <c r="G58" s="2"/>
      <c r="H58" s="6"/>
      <c r="I58" s="2"/>
      <c r="J58" s="7">
        <f t="shared" si="32"/>
        <v>0</v>
      </c>
      <c r="K58" s="2"/>
      <c r="L58" s="6">
        <f t="shared" si="33"/>
        <v>0</v>
      </c>
      <c r="M58" s="2"/>
      <c r="N58" s="7">
        <f t="shared" si="34"/>
        <v>0</v>
      </c>
      <c r="O58" s="10"/>
      <c r="P58" s="6"/>
      <c r="Q58" s="2"/>
      <c r="R58" s="7">
        <f t="shared" si="35"/>
        <v>0</v>
      </c>
      <c r="S58" s="2"/>
      <c r="T58" s="6">
        <v>2623.84</v>
      </c>
      <c r="U58" s="2"/>
      <c r="V58" s="7">
        <f t="shared" si="36"/>
        <v>6.6878655705986763E-3</v>
      </c>
      <c r="W58" s="2"/>
      <c r="X58" s="6">
        <f t="shared" si="37"/>
        <v>-2623.84</v>
      </c>
      <c r="Y58" s="2"/>
      <c r="Z58" s="7">
        <f t="shared" si="38"/>
        <v>-1</v>
      </c>
    </row>
    <row r="59" spans="1:26" s="23" customFormat="1" hidden="1" outlineLevel="2" x14ac:dyDescent="0.25">
      <c r="A59" s="25"/>
      <c r="B59" s="10" t="str">
        <f>CONCATENATE("          ", "6373", " - ", "MAINTENANCE CONTRACTS")</f>
        <v xml:space="preserve">          6373 - MAINTENANCE CONTRACTS</v>
      </c>
      <c r="C59" s="10"/>
      <c r="D59" s="6"/>
      <c r="E59" s="2"/>
      <c r="F59" s="7">
        <f t="shared" si="31"/>
        <v>0</v>
      </c>
      <c r="G59" s="2"/>
      <c r="H59" s="6"/>
      <c r="I59" s="2"/>
      <c r="J59" s="7">
        <f t="shared" si="32"/>
        <v>0</v>
      </c>
      <c r="K59" s="2"/>
      <c r="L59" s="6">
        <f t="shared" si="33"/>
        <v>0</v>
      </c>
      <c r="M59" s="2"/>
      <c r="N59" s="7">
        <f t="shared" si="34"/>
        <v>0</v>
      </c>
      <c r="O59" s="10"/>
      <c r="P59" s="6">
        <v>235.8</v>
      </c>
      <c r="Q59" s="2"/>
      <c r="R59" s="7">
        <f t="shared" si="35"/>
        <v>0</v>
      </c>
      <c r="S59" s="2"/>
      <c r="T59" s="6">
        <v>573</v>
      </c>
      <c r="U59" s="2"/>
      <c r="V59" s="7">
        <f t="shared" si="36"/>
        <v>1.4605109198552661E-3</v>
      </c>
      <c r="W59" s="2"/>
      <c r="X59" s="6">
        <f t="shared" si="37"/>
        <v>-337.2</v>
      </c>
      <c r="Y59" s="2"/>
      <c r="Z59" s="7">
        <f t="shared" si="38"/>
        <v>-0.58848167539267016</v>
      </c>
    </row>
    <row r="60" spans="1:26" s="23" customFormat="1" hidden="1" outlineLevel="2" x14ac:dyDescent="0.25">
      <c r="A60" s="25"/>
      <c r="B60" s="10" t="str">
        <f>CONCATENATE("          ", "6375", " - ", "OUTSIDE REPAIRS &amp; MAINTENANCE")</f>
        <v xml:space="preserve">          6375 - OUTSIDE REPAIRS &amp; MAINTENANCE</v>
      </c>
      <c r="C60" s="10"/>
      <c r="D60" s="6"/>
      <c r="E60" s="2"/>
      <c r="F60" s="7">
        <f t="shared" si="31"/>
        <v>0</v>
      </c>
      <c r="G60" s="2"/>
      <c r="H60" s="6"/>
      <c r="I60" s="2"/>
      <c r="J60" s="7">
        <f t="shared" si="32"/>
        <v>0</v>
      </c>
      <c r="K60" s="2"/>
      <c r="L60" s="6">
        <f t="shared" si="33"/>
        <v>0</v>
      </c>
      <c r="M60" s="2"/>
      <c r="N60" s="7">
        <f t="shared" si="34"/>
        <v>0</v>
      </c>
      <c r="O60" s="10"/>
      <c r="P60" s="6">
        <v>6.23</v>
      </c>
      <c r="Q60" s="2"/>
      <c r="R60" s="7">
        <f t="shared" si="35"/>
        <v>0</v>
      </c>
      <c r="S60" s="2"/>
      <c r="T60" s="6">
        <v>2491.9</v>
      </c>
      <c r="U60" s="2"/>
      <c r="V60" s="7">
        <f t="shared" si="36"/>
        <v>6.3515657263304324E-3</v>
      </c>
      <c r="W60" s="2"/>
      <c r="X60" s="6">
        <f t="shared" si="37"/>
        <v>-2485.67</v>
      </c>
      <c r="Y60" s="2"/>
      <c r="Z60" s="7">
        <f t="shared" si="38"/>
        <v>-0.99749989967494679</v>
      </c>
    </row>
    <row r="61" spans="1:26" s="27" customFormat="1" outlineLevel="1" collapsed="1" x14ac:dyDescent="0.25">
      <c r="A61" s="26"/>
      <c r="B61" s="12" t="str">
        <f>CONCATENATE("     ","Royalty &amp; Commissions                             ")</f>
        <v xml:space="preserve">     Royalty &amp; Commissions                             </v>
      </c>
      <c r="C61" s="12"/>
      <c r="D61" s="1">
        <f>SUM(OSRRefD22_10x_0)</f>
        <v>0</v>
      </c>
      <c r="E61" s="1"/>
      <c r="F61" s="5">
        <f t="shared" ref="F61:F66" si="39">IF(D$12=0,0,D61/D$12)</f>
        <v>0</v>
      </c>
      <c r="G61" s="1"/>
      <c r="H61" s="1">
        <f>SUM(OSRRefH22_10x_0)</f>
        <v>0</v>
      </c>
      <c r="I61" s="1"/>
      <c r="J61" s="5">
        <f t="shared" ref="J61:J66" si="40">IF(H$12=0,0,H61/H$12)</f>
        <v>0</v>
      </c>
      <c r="K61" s="1"/>
      <c r="L61" s="1">
        <f t="shared" ref="L61:L66" si="41">+D61-H61</f>
        <v>0</v>
      </c>
      <c r="M61" s="1"/>
      <c r="N61" s="5">
        <f t="shared" ref="N61:N66" si="42">IF(H61=0,0,L61/H61)</f>
        <v>0</v>
      </c>
      <c r="O61" s="12"/>
      <c r="P61" s="1">
        <f>SUM(OSRRefP22_10x_0)</f>
        <v>0</v>
      </c>
      <c r="Q61" s="1"/>
      <c r="R61" s="5">
        <f t="shared" ref="R61:R66" si="43">IF(P$12=0,0,P61/P$12)</f>
        <v>0</v>
      </c>
      <c r="S61" s="1"/>
      <c r="T61" s="1">
        <f>SUM(OSRRefT22_10x_0)</f>
        <v>83387.12</v>
      </c>
      <c r="U61" s="1"/>
      <c r="V61" s="5">
        <f t="shared" ref="V61:V66" si="44">IF(T$12=0,0,T61/T$12)</f>
        <v>0.21254415241759414</v>
      </c>
      <c r="W61" s="1"/>
      <c r="X61" s="1">
        <f t="shared" ref="X61:X66" si="45">+P61-T61</f>
        <v>-83387.12</v>
      </c>
      <c r="Y61" s="1"/>
      <c r="Z61" s="5">
        <f t="shared" ref="Z61:Z66" si="46">IF(T61=0,0,X61/T61)</f>
        <v>-1</v>
      </c>
    </row>
    <row r="62" spans="1:26" s="23" customFormat="1" hidden="1" outlineLevel="2" x14ac:dyDescent="0.25">
      <c r="A62" s="25"/>
      <c r="B62" s="10" t="str">
        <f>CONCATENATE("          ", "6254", " - ", "ROYALTY &amp; COMMISSIONS")</f>
        <v xml:space="preserve">          6254 - ROYALTY &amp; COMMISSIONS</v>
      </c>
      <c r="C62" s="10"/>
      <c r="D62" s="6"/>
      <c r="E62" s="2"/>
      <c r="F62" s="7">
        <f t="shared" si="39"/>
        <v>0</v>
      </c>
      <c r="G62" s="2"/>
      <c r="H62" s="6"/>
      <c r="I62" s="2"/>
      <c r="J62" s="7">
        <f t="shared" si="40"/>
        <v>0</v>
      </c>
      <c r="K62" s="2"/>
      <c r="L62" s="6">
        <f t="shared" si="41"/>
        <v>0</v>
      </c>
      <c r="M62" s="2"/>
      <c r="N62" s="7">
        <f t="shared" si="42"/>
        <v>0</v>
      </c>
      <c r="O62" s="10"/>
      <c r="P62" s="6"/>
      <c r="Q62" s="2"/>
      <c r="R62" s="7">
        <f t="shared" si="43"/>
        <v>0</v>
      </c>
      <c r="S62" s="2"/>
      <c r="T62" s="6">
        <v>83387.12</v>
      </c>
      <c r="U62" s="2"/>
      <c r="V62" s="7">
        <f t="shared" si="44"/>
        <v>0.21254415241759414</v>
      </c>
      <c r="W62" s="2"/>
      <c r="X62" s="6">
        <f t="shared" si="45"/>
        <v>-83387.12</v>
      </c>
      <c r="Y62" s="2"/>
      <c r="Z62" s="7">
        <f t="shared" si="46"/>
        <v>-1</v>
      </c>
    </row>
    <row r="63" spans="1:26" s="27" customFormat="1" outlineLevel="1" collapsed="1" x14ac:dyDescent="0.25">
      <c r="A63" s="26"/>
      <c r="B63" s="12" t="str">
        <f>CONCATENATE("     ","Services                                          ")</f>
        <v xml:space="preserve">     Services                                          </v>
      </c>
      <c r="C63" s="12"/>
      <c r="D63" s="1">
        <f>SUM(OSRRefD22_11x_0)</f>
        <v>0</v>
      </c>
      <c r="E63" s="1"/>
      <c r="F63" s="5">
        <f t="shared" si="39"/>
        <v>0</v>
      </c>
      <c r="G63" s="1"/>
      <c r="H63" s="1">
        <f>SUM(OSRRefH22_11x_0)</f>
        <v>0</v>
      </c>
      <c r="I63" s="1"/>
      <c r="J63" s="5">
        <f t="shared" si="40"/>
        <v>0</v>
      </c>
      <c r="K63" s="1"/>
      <c r="L63" s="1">
        <f t="shared" si="41"/>
        <v>0</v>
      </c>
      <c r="M63" s="1"/>
      <c r="N63" s="5">
        <f t="shared" si="42"/>
        <v>0</v>
      </c>
      <c r="O63" s="12"/>
      <c r="P63" s="1">
        <f>SUM(OSRRefP22_11x_0)</f>
        <v>0</v>
      </c>
      <c r="Q63" s="1"/>
      <c r="R63" s="5">
        <f t="shared" si="43"/>
        <v>0</v>
      </c>
      <c r="S63" s="1"/>
      <c r="T63" s="1">
        <f>SUM(OSRRefT22_11x_0)</f>
        <v>3287.06</v>
      </c>
      <c r="U63" s="1"/>
      <c r="V63" s="5">
        <f t="shared" si="44"/>
        <v>8.378336866002532E-3</v>
      </c>
      <c r="W63" s="1"/>
      <c r="X63" s="1">
        <f t="shared" si="45"/>
        <v>-3287.06</v>
      </c>
      <c r="Y63" s="1"/>
      <c r="Z63" s="5">
        <f t="shared" si="46"/>
        <v>-1</v>
      </c>
    </row>
    <row r="64" spans="1:26" s="23" customFormat="1" hidden="1" outlineLevel="2" x14ac:dyDescent="0.25">
      <c r="A64" s="25"/>
      <c r="B64" s="10" t="str">
        <f>CONCATENATE("          ", "6282", " - ", "JANITORIAL/EXTERMINATOR EXPENS")</f>
        <v xml:space="preserve">          6282 - JANITORIAL/EXTERMINATOR EXPENS</v>
      </c>
      <c r="C64" s="10"/>
      <c r="D64" s="6"/>
      <c r="E64" s="2"/>
      <c r="F64" s="7">
        <f t="shared" si="39"/>
        <v>0</v>
      </c>
      <c r="G64" s="2"/>
      <c r="H64" s="6"/>
      <c r="I64" s="2"/>
      <c r="J64" s="7">
        <f t="shared" si="40"/>
        <v>0</v>
      </c>
      <c r="K64" s="2"/>
      <c r="L64" s="6">
        <f t="shared" si="41"/>
        <v>0</v>
      </c>
      <c r="M64" s="2"/>
      <c r="N64" s="7">
        <f t="shared" si="42"/>
        <v>0</v>
      </c>
      <c r="O64" s="10"/>
      <c r="P64" s="6"/>
      <c r="Q64" s="2"/>
      <c r="R64" s="7">
        <f t="shared" si="43"/>
        <v>0</v>
      </c>
      <c r="S64" s="2"/>
      <c r="T64" s="6">
        <v>2258.1</v>
      </c>
      <c r="U64" s="2"/>
      <c r="V64" s="7">
        <f t="shared" si="44"/>
        <v>5.7556364888746532E-3</v>
      </c>
      <c r="W64" s="2"/>
      <c r="X64" s="6">
        <f t="shared" si="45"/>
        <v>-2258.1</v>
      </c>
      <c r="Y64" s="2"/>
      <c r="Z64" s="7">
        <f t="shared" si="46"/>
        <v>-1</v>
      </c>
    </row>
    <row r="65" spans="1:26" s="23" customFormat="1" hidden="1" outlineLevel="2" x14ac:dyDescent="0.25">
      <c r="A65" s="25"/>
      <c r="B65" s="10" t="str">
        <f>CONCATENATE("          ", "6285", " - ", "JANITORIAL SERVICES")</f>
        <v xml:space="preserve">          6285 - JANITORIAL SERVICES</v>
      </c>
      <c r="C65" s="10"/>
      <c r="D65" s="6"/>
      <c r="E65" s="2"/>
      <c r="F65" s="7">
        <f t="shared" si="39"/>
        <v>0</v>
      </c>
      <c r="G65" s="2"/>
      <c r="H65" s="6"/>
      <c r="I65" s="2"/>
      <c r="J65" s="7">
        <f t="shared" si="40"/>
        <v>0</v>
      </c>
      <c r="K65" s="2"/>
      <c r="L65" s="6">
        <f t="shared" si="41"/>
        <v>0</v>
      </c>
      <c r="M65" s="2"/>
      <c r="N65" s="7">
        <f t="shared" si="42"/>
        <v>0</v>
      </c>
      <c r="O65" s="10"/>
      <c r="P65" s="6"/>
      <c r="Q65" s="2"/>
      <c r="R65" s="7">
        <f t="shared" si="43"/>
        <v>0</v>
      </c>
      <c r="S65" s="2"/>
      <c r="T65" s="6">
        <v>549.6</v>
      </c>
      <c r="U65" s="2"/>
      <c r="V65" s="7">
        <f t="shared" si="44"/>
        <v>1.4008670184161506E-3</v>
      </c>
      <c r="W65" s="2"/>
      <c r="X65" s="6">
        <f t="shared" si="45"/>
        <v>-549.6</v>
      </c>
      <c r="Y65" s="2"/>
      <c r="Z65" s="7">
        <f t="shared" si="46"/>
        <v>-1</v>
      </c>
    </row>
    <row r="66" spans="1:26" s="23" customFormat="1" hidden="1" outlineLevel="2" x14ac:dyDescent="0.25">
      <c r="A66" s="25"/>
      <c r="B66" s="10" t="str">
        <f>CONCATENATE("          ", "6286", " - ", "LAUNDRY EXPENSE")</f>
        <v xml:space="preserve">          6286 - LAUNDRY EXPENSE</v>
      </c>
      <c r="C66" s="10"/>
      <c r="D66" s="6"/>
      <c r="E66" s="2"/>
      <c r="F66" s="7">
        <f t="shared" si="39"/>
        <v>0</v>
      </c>
      <c r="G66" s="2"/>
      <c r="H66" s="6"/>
      <c r="I66" s="2"/>
      <c r="J66" s="7">
        <f t="shared" si="40"/>
        <v>0</v>
      </c>
      <c r="K66" s="2"/>
      <c r="L66" s="6">
        <f t="shared" si="41"/>
        <v>0</v>
      </c>
      <c r="M66" s="2"/>
      <c r="N66" s="7">
        <f t="shared" si="42"/>
        <v>0</v>
      </c>
      <c r="O66" s="10"/>
      <c r="P66" s="6"/>
      <c r="Q66" s="2"/>
      <c r="R66" s="7">
        <f t="shared" si="43"/>
        <v>0</v>
      </c>
      <c r="S66" s="2"/>
      <c r="T66" s="6">
        <v>479.36</v>
      </c>
      <c r="U66" s="2"/>
      <c r="V66" s="7">
        <f t="shared" si="44"/>
        <v>1.2218333587117284E-3</v>
      </c>
      <c r="W66" s="2"/>
      <c r="X66" s="6">
        <f t="shared" si="45"/>
        <v>-479.36</v>
      </c>
      <c r="Y66" s="2"/>
      <c r="Z66" s="7">
        <f t="shared" si="46"/>
        <v>-1</v>
      </c>
    </row>
    <row r="67" spans="1:26" s="27" customFormat="1" outlineLevel="1" collapsed="1" x14ac:dyDescent="0.25">
      <c r="A67" s="26"/>
      <c r="B67" s="12" t="str">
        <f>CONCATENATE("     ","Supplies                                          ")</f>
        <v xml:space="preserve">     Supplies                                          </v>
      </c>
      <c r="C67" s="12"/>
      <c r="D67" s="1">
        <f>SUM(OSRRefD22_12x_0)</f>
        <v>0</v>
      </c>
      <c r="E67" s="1"/>
      <c r="F67" s="5">
        <f t="shared" ref="F67:F74" si="47">IF(D$12=0,0,D67/D$12)</f>
        <v>0</v>
      </c>
      <c r="G67" s="1"/>
      <c r="H67" s="1">
        <f>SUM(OSRRefH22_12x_0)</f>
        <v>0</v>
      </c>
      <c r="I67" s="1"/>
      <c r="J67" s="5">
        <f t="shared" ref="J67:J74" si="48">IF(H$12=0,0,H67/H$12)</f>
        <v>0</v>
      </c>
      <c r="K67" s="1"/>
      <c r="L67" s="1">
        <f t="shared" ref="L67:L74" si="49">+D67-H67</f>
        <v>0</v>
      </c>
      <c r="M67" s="1"/>
      <c r="N67" s="5">
        <f t="shared" ref="N67:N74" si="50">IF(H67=0,0,L67/H67)</f>
        <v>0</v>
      </c>
      <c r="O67" s="12"/>
      <c r="P67" s="1">
        <f>SUM(OSRRefP22_12x_0)</f>
        <v>0</v>
      </c>
      <c r="Q67" s="1"/>
      <c r="R67" s="5">
        <f t="shared" ref="R67:R74" si="51">IF(P$12=0,0,P67/P$12)</f>
        <v>0</v>
      </c>
      <c r="S67" s="1"/>
      <c r="T67" s="1">
        <f>SUM(OSRRefT22_12x_0)</f>
        <v>15992.96</v>
      </c>
      <c r="U67" s="1"/>
      <c r="V67" s="5">
        <f t="shared" ref="V67:V74" si="52">IF(T$12=0,0,T67/T$12)</f>
        <v>4.0764210682039226E-2</v>
      </c>
      <c r="W67" s="1"/>
      <c r="X67" s="1">
        <f t="shared" ref="X67:X74" si="53">+P67-T67</f>
        <v>-15992.96</v>
      </c>
      <c r="Y67" s="1"/>
      <c r="Z67" s="5">
        <f t="shared" ref="Z67:Z74" si="54">IF(T67=0,0,X67/T67)</f>
        <v>-1</v>
      </c>
    </row>
    <row r="68" spans="1:26" s="23" customFormat="1" hidden="1" outlineLevel="2" x14ac:dyDescent="0.25">
      <c r="A68" s="25"/>
      <c r="B68" s="10" t="str">
        <f>CONCATENATE("          ", "6234", " - ", "EXPENDABLE SUPPLIES &amp; EQUIPMEN")</f>
        <v xml:space="preserve">          6234 - EXPENDABLE SUPPLIES &amp; EQUIPMEN</v>
      </c>
      <c r="C68" s="10"/>
      <c r="D68" s="6"/>
      <c r="E68" s="2"/>
      <c r="F68" s="7">
        <f t="shared" si="47"/>
        <v>0</v>
      </c>
      <c r="G68" s="2"/>
      <c r="H68" s="6"/>
      <c r="I68" s="2"/>
      <c r="J68" s="7">
        <f t="shared" si="48"/>
        <v>0</v>
      </c>
      <c r="K68" s="2"/>
      <c r="L68" s="6">
        <f t="shared" si="49"/>
        <v>0</v>
      </c>
      <c r="M68" s="2"/>
      <c r="N68" s="7">
        <f t="shared" si="50"/>
        <v>0</v>
      </c>
      <c r="O68" s="10"/>
      <c r="P68" s="6"/>
      <c r="Q68" s="2"/>
      <c r="R68" s="7">
        <f t="shared" si="51"/>
        <v>0</v>
      </c>
      <c r="S68" s="2"/>
      <c r="T68" s="6">
        <v>3756.46</v>
      </c>
      <c r="U68" s="2"/>
      <c r="V68" s="7">
        <f t="shared" si="52"/>
        <v>9.574783333332483E-3</v>
      </c>
      <c r="W68" s="2"/>
      <c r="X68" s="6">
        <f t="shared" si="53"/>
        <v>-3756.46</v>
      </c>
      <c r="Y68" s="2"/>
      <c r="Z68" s="7">
        <f t="shared" si="54"/>
        <v>-1</v>
      </c>
    </row>
    <row r="69" spans="1:26" s="23" customFormat="1" hidden="1" outlineLevel="2" x14ac:dyDescent="0.25">
      <c r="A69" s="25"/>
      <c r="B69" s="10" t="str">
        <f>CONCATENATE("          ", "6237", " - ", "JANITORIAL SUPPLIES")</f>
        <v xml:space="preserve">          6237 - JANITORIAL SUPPLIES</v>
      </c>
      <c r="C69" s="10"/>
      <c r="D69" s="6"/>
      <c r="E69" s="2"/>
      <c r="F69" s="7">
        <f t="shared" si="47"/>
        <v>0</v>
      </c>
      <c r="G69" s="2"/>
      <c r="H69" s="6"/>
      <c r="I69" s="2"/>
      <c r="J69" s="7">
        <f t="shared" si="48"/>
        <v>0</v>
      </c>
      <c r="K69" s="2"/>
      <c r="L69" s="6">
        <f t="shared" si="49"/>
        <v>0</v>
      </c>
      <c r="M69" s="2"/>
      <c r="N69" s="7">
        <f t="shared" si="50"/>
        <v>0</v>
      </c>
      <c r="O69" s="10"/>
      <c r="P69" s="6"/>
      <c r="Q69" s="2"/>
      <c r="R69" s="7">
        <f t="shared" si="51"/>
        <v>0</v>
      </c>
      <c r="S69" s="2"/>
      <c r="T69" s="6">
        <v>1507.19</v>
      </c>
      <c r="U69" s="2"/>
      <c r="V69" s="7">
        <f t="shared" si="52"/>
        <v>3.8416534961547271E-3</v>
      </c>
      <c r="W69" s="2"/>
      <c r="X69" s="6">
        <f t="shared" si="53"/>
        <v>-1507.19</v>
      </c>
      <c r="Y69" s="2"/>
      <c r="Z69" s="7">
        <f t="shared" si="54"/>
        <v>-1</v>
      </c>
    </row>
    <row r="70" spans="1:26" s="23" customFormat="1" hidden="1" outlineLevel="2" x14ac:dyDescent="0.25">
      <c r="A70" s="25"/>
      <c r="B70" s="10" t="str">
        <f>CONCATENATE("          ", "6239", " - ", "KITCHEN SUPPLIES")</f>
        <v xml:space="preserve">          6239 - KITCHEN SUPPLIES</v>
      </c>
      <c r="C70" s="10"/>
      <c r="D70" s="6"/>
      <c r="E70" s="2"/>
      <c r="F70" s="7">
        <f t="shared" si="47"/>
        <v>0</v>
      </c>
      <c r="G70" s="2"/>
      <c r="H70" s="6"/>
      <c r="I70" s="2"/>
      <c r="J70" s="7">
        <f t="shared" si="48"/>
        <v>0</v>
      </c>
      <c r="K70" s="2"/>
      <c r="L70" s="6">
        <f t="shared" si="49"/>
        <v>0</v>
      </c>
      <c r="M70" s="2"/>
      <c r="N70" s="7">
        <f t="shared" si="50"/>
        <v>0</v>
      </c>
      <c r="O70" s="10"/>
      <c r="P70" s="6"/>
      <c r="Q70" s="2"/>
      <c r="R70" s="7">
        <f t="shared" si="51"/>
        <v>0</v>
      </c>
      <c r="S70" s="2"/>
      <c r="T70" s="6">
        <v>7140.25</v>
      </c>
      <c r="U70" s="2"/>
      <c r="V70" s="7">
        <f t="shared" si="52"/>
        <v>1.8199673814130127E-2</v>
      </c>
      <c r="W70" s="2"/>
      <c r="X70" s="6">
        <f t="shared" si="53"/>
        <v>-7140.25</v>
      </c>
      <c r="Y70" s="2"/>
      <c r="Z70" s="7">
        <f t="shared" si="54"/>
        <v>-1</v>
      </c>
    </row>
    <row r="71" spans="1:26" s="23" customFormat="1" hidden="1" outlineLevel="2" x14ac:dyDescent="0.25">
      <c r="A71" s="25"/>
      <c r="B71" s="10" t="str">
        <f>CONCATENATE("          ", "6241", " - ", "OFFICE EXPENSE")</f>
        <v xml:space="preserve">          6241 - OFFICE EXPENSE</v>
      </c>
      <c r="C71" s="10"/>
      <c r="D71" s="6"/>
      <c r="E71" s="2"/>
      <c r="F71" s="7">
        <f t="shared" si="47"/>
        <v>0</v>
      </c>
      <c r="G71" s="2"/>
      <c r="H71" s="6"/>
      <c r="I71" s="2"/>
      <c r="J71" s="7">
        <f t="shared" si="48"/>
        <v>0</v>
      </c>
      <c r="K71" s="2"/>
      <c r="L71" s="6">
        <f t="shared" si="49"/>
        <v>0</v>
      </c>
      <c r="M71" s="2"/>
      <c r="N71" s="7">
        <f t="shared" si="50"/>
        <v>0</v>
      </c>
      <c r="O71" s="10"/>
      <c r="P71" s="6"/>
      <c r="Q71" s="2"/>
      <c r="R71" s="7">
        <f t="shared" si="51"/>
        <v>0</v>
      </c>
      <c r="S71" s="2"/>
      <c r="T71" s="6">
        <v>599.88</v>
      </c>
      <c r="U71" s="2"/>
      <c r="V71" s="7">
        <f t="shared" si="52"/>
        <v>1.5290249399699425E-3</v>
      </c>
      <c r="W71" s="2"/>
      <c r="X71" s="6">
        <f t="shared" si="53"/>
        <v>-599.88</v>
      </c>
      <c r="Y71" s="2"/>
      <c r="Z71" s="7">
        <f t="shared" si="54"/>
        <v>-1</v>
      </c>
    </row>
    <row r="72" spans="1:26" s="23" customFormat="1" hidden="1" outlineLevel="2" x14ac:dyDescent="0.25">
      <c r="A72" s="25"/>
      <c r="B72" s="10" t="str">
        <f>CONCATENATE("          ", "6243", " - ", "PAPER SUPPLIES")</f>
        <v xml:space="preserve">          6243 - PAPER SUPPLIES</v>
      </c>
      <c r="C72" s="10"/>
      <c r="D72" s="6"/>
      <c r="E72" s="2"/>
      <c r="F72" s="7">
        <f t="shared" si="47"/>
        <v>0</v>
      </c>
      <c r="G72" s="2"/>
      <c r="H72" s="6"/>
      <c r="I72" s="2"/>
      <c r="J72" s="7">
        <f t="shared" si="48"/>
        <v>0</v>
      </c>
      <c r="K72" s="2"/>
      <c r="L72" s="6">
        <f t="shared" si="49"/>
        <v>0</v>
      </c>
      <c r="M72" s="2"/>
      <c r="N72" s="7">
        <f t="shared" si="50"/>
        <v>0</v>
      </c>
      <c r="O72" s="10"/>
      <c r="P72" s="6"/>
      <c r="Q72" s="2"/>
      <c r="R72" s="7">
        <f t="shared" si="51"/>
        <v>0</v>
      </c>
      <c r="S72" s="2"/>
      <c r="T72" s="6">
        <v>2632.41</v>
      </c>
      <c r="U72" s="2"/>
      <c r="V72" s="7">
        <f t="shared" si="52"/>
        <v>6.7097095122795828E-3</v>
      </c>
      <c r="W72" s="2"/>
      <c r="X72" s="6">
        <f t="shared" si="53"/>
        <v>-2632.41</v>
      </c>
      <c r="Y72" s="2"/>
      <c r="Z72" s="7">
        <f t="shared" si="54"/>
        <v>-1</v>
      </c>
    </row>
    <row r="73" spans="1:26" s="23" customFormat="1" hidden="1" outlineLevel="2" x14ac:dyDescent="0.25">
      <c r="A73" s="25"/>
      <c r="B73" s="10" t="str">
        <f>CONCATENATE("          ", "6247", " - ", "STORE SUPPLIES")</f>
        <v xml:space="preserve">          6247 - STORE SUPPLIES</v>
      </c>
      <c r="C73" s="10"/>
      <c r="D73" s="6"/>
      <c r="E73" s="2"/>
      <c r="F73" s="7">
        <f t="shared" si="47"/>
        <v>0</v>
      </c>
      <c r="G73" s="2"/>
      <c r="H73" s="6"/>
      <c r="I73" s="2"/>
      <c r="J73" s="7">
        <f t="shared" si="48"/>
        <v>0</v>
      </c>
      <c r="K73" s="2"/>
      <c r="L73" s="6">
        <f t="shared" si="49"/>
        <v>0</v>
      </c>
      <c r="M73" s="2"/>
      <c r="N73" s="7">
        <f t="shared" si="50"/>
        <v>0</v>
      </c>
      <c r="O73" s="10"/>
      <c r="P73" s="6"/>
      <c r="Q73" s="2"/>
      <c r="R73" s="7">
        <f t="shared" si="51"/>
        <v>0</v>
      </c>
      <c r="S73" s="2"/>
      <c r="T73" s="6">
        <v>-97.67</v>
      </c>
      <c r="U73" s="2"/>
      <c r="V73" s="7">
        <f t="shared" si="52"/>
        <v>-2.4894956639138539E-4</v>
      </c>
      <c r="W73" s="2"/>
      <c r="X73" s="6">
        <f t="shared" si="53"/>
        <v>97.67</v>
      </c>
      <c r="Y73" s="2"/>
      <c r="Z73" s="7">
        <f t="shared" si="54"/>
        <v>-1</v>
      </c>
    </row>
    <row r="74" spans="1:26" s="23" customFormat="1" hidden="1" outlineLevel="2" x14ac:dyDescent="0.25">
      <c r="A74" s="25"/>
      <c r="B74" s="10" t="str">
        <f>CONCATENATE("          ", "6248", " - ", "UNIFORMS")</f>
        <v xml:space="preserve">          6248 - UNIFORMS</v>
      </c>
      <c r="C74" s="10"/>
      <c r="D74" s="6"/>
      <c r="E74" s="2"/>
      <c r="F74" s="7">
        <f t="shared" si="47"/>
        <v>0</v>
      </c>
      <c r="G74" s="2"/>
      <c r="H74" s="6"/>
      <c r="I74" s="2"/>
      <c r="J74" s="7">
        <f t="shared" si="48"/>
        <v>0</v>
      </c>
      <c r="K74" s="2"/>
      <c r="L74" s="6">
        <f t="shared" si="49"/>
        <v>0</v>
      </c>
      <c r="M74" s="2"/>
      <c r="N74" s="7">
        <f t="shared" si="50"/>
        <v>0</v>
      </c>
      <c r="O74" s="10"/>
      <c r="P74" s="6"/>
      <c r="Q74" s="2"/>
      <c r="R74" s="7">
        <f t="shared" si="51"/>
        <v>0</v>
      </c>
      <c r="S74" s="2"/>
      <c r="T74" s="6">
        <v>454.44</v>
      </c>
      <c r="U74" s="2"/>
      <c r="V74" s="7">
        <f t="shared" si="52"/>
        <v>1.158315152563747E-3</v>
      </c>
      <c r="W74" s="2"/>
      <c r="X74" s="6">
        <f t="shared" si="53"/>
        <v>-454.44</v>
      </c>
      <c r="Y74" s="2"/>
      <c r="Z74" s="7">
        <f t="shared" si="54"/>
        <v>-1</v>
      </c>
    </row>
    <row r="75" spans="1:26" s="27" customFormat="1" outlineLevel="1" collapsed="1" x14ac:dyDescent="0.25">
      <c r="A75" s="26"/>
      <c r="B75" s="12" t="str">
        <f>CONCATENATE("     ","Telephone/Data Lines                              ")</f>
        <v xml:space="preserve">     Telephone/Data Lines                              </v>
      </c>
      <c r="C75" s="12"/>
      <c r="D75" s="1">
        <f>SUM(OSRRefD22_13x_0)</f>
        <v>0</v>
      </c>
      <c r="E75" s="1"/>
      <c r="F75" s="5">
        <f t="shared" ref="F75:F78" si="55">IF(D$12=0,0,D75/D$12)</f>
        <v>0</v>
      </c>
      <c r="G75" s="1"/>
      <c r="H75" s="1">
        <f>SUM(OSRRefH22_13x_0)</f>
        <v>21.62</v>
      </c>
      <c r="I75" s="1"/>
      <c r="J75" s="5">
        <f t="shared" ref="J75:J78" si="56">IF(H$12=0,0,H75/H$12)</f>
        <v>0</v>
      </c>
      <c r="K75" s="1"/>
      <c r="L75" s="1">
        <f t="shared" ref="L75:L78" si="57">+D75-H75</f>
        <v>-21.62</v>
      </c>
      <c r="M75" s="1"/>
      <c r="N75" s="5">
        <f t="shared" ref="N75:N78" si="58">IF(H75=0,0,L75/H75)</f>
        <v>-1</v>
      </c>
      <c r="O75" s="12"/>
      <c r="P75" s="1">
        <f>SUM(OSRRefP22_13x_0)</f>
        <v>132.54</v>
      </c>
      <c r="Q75" s="1"/>
      <c r="R75" s="5">
        <f t="shared" ref="R75:R78" si="59">IF(P$12=0,0,P75/P$12)</f>
        <v>0</v>
      </c>
      <c r="S75" s="1"/>
      <c r="T75" s="1">
        <f>SUM(OSRRefT22_13x_0)</f>
        <v>3533.18</v>
      </c>
      <c r="U75" s="1"/>
      <c r="V75" s="5">
        <f t="shared" ref="V75:V78" si="60">IF(T$12=0,0,T75/T$12)</f>
        <v>9.005668362677537E-3</v>
      </c>
      <c r="W75" s="1"/>
      <c r="X75" s="1">
        <f t="shared" ref="X75:X78" si="61">+P75-T75</f>
        <v>-3400.64</v>
      </c>
      <c r="Y75" s="1"/>
      <c r="Z75" s="5">
        <f t="shared" ref="Z75:Z78" si="62">IF(T75=0,0,X75/T75)</f>
        <v>-0.96248705132486878</v>
      </c>
    </row>
    <row r="76" spans="1:26" s="23" customFormat="1" hidden="1" outlineLevel="2" x14ac:dyDescent="0.25">
      <c r="A76" s="25"/>
      <c r="B76" s="10" t="str">
        <f>CONCATENATE("          ", "6309", " - ", "TELEPHONE")</f>
        <v xml:space="preserve">          6309 - TELEPHONE</v>
      </c>
      <c r="C76" s="10"/>
      <c r="D76" s="6"/>
      <c r="E76" s="2"/>
      <c r="F76" s="7">
        <f t="shared" si="55"/>
        <v>0</v>
      </c>
      <c r="G76" s="2"/>
      <c r="H76" s="6">
        <v>21.62</v>
      </c>
      <c r="I76" s="2"/>
      <c r="J76" s="7">
        <f t="shared" si="56"/>
        <v>0</v>
      </c>
      <c r="K76" s="2"/>
      <c r="L76" s="6">
        <f t="shared" si="57"/>
        <v>-21.62</v>
      </c>
      <c r="M76" s="2"/>
      <c r="N76" s="7">
        <f t="shared" si="58"/>
        <v>-1</v>
      </c>
      <c r="O76" s="10"/>
      <c r="P76" s="6">
        <v>132.54</v>
      </c>
      <c r="Q76" s="2"/>
      <c r="R76" s="7">
        <f t="shared" si="59"/>
        <v>0</v>
      </c>
      <c r="S76" s="2"/>
      <c r="T76" s="6">
        <v>3533.18</v>
      </c>
      <c r="U76" s="2"/>
      <c r="V76" s="7">
        <f t="shared" si="60"/>
        <v>9.005668362677537E-3</v>
      </c>
      <c r="W76" s="2"/>
      <c r="X76" s="6">
        <f t="shared" si="61"/>
        <v>-3400.64</v>
      </c>
      <c r="Y76" s="2"/>
      <c r="Z76" s="7">
        <f t="shared" si="62"/>
        <v>-0.96248705132486878</v>
      </c>
    </row>
    <row r="77" spans="1:26" s="27" customFormat="1" outlineLevel="1" collapsed="1" x14ac:dyDescent="0.25">
      <c r="A77" s="26"/>
      <c r="B77" s="12" t="str">
        <f>CONCATENATE("     ","Training                                          ")</f>
        <v xml:space="preserve">     Training                                          </v>
      </c>
      <c r="C77" s="12"/>
      <c r="D77" s="1">
        <f>SUM(OSRRefD22_14x_0)</f>
        <v>0</v>
      </c>
      <c r="E77" s="1"/>
      <c r="F77" s="5">
        <f t="shared" si="55"/>
        <v>0</v>
      </c>
      <c r="G77" s="1"/>
      <c r="H77" s="1">
        <f>SUM(OSRRefH22_14x_0)</f>
        <v>0</v>
      </c>
      <c r="I77" s="1"/>
      <c r="J77" s="5">
        <f t="shared" si="56"/>
        <v>0</v>
      </c>
      <c r="K77" s="1"/>
      <c r="L77" s="1">
        <f t="shared" si="57"/>
        <v>0</v>
      </c>
      <c r="M77" s="1"/>
      <c r="N77" s="5">
        <f t="shared" si="58"/>
        <v>0</v>
      </c>
      <c r="O77" s="12"/>
      <c r="P77" s="1">
        <f>SUM(OSRRefP22_14x_0)</f>
        <v>0</v>
      </c>
      <c r="Q77" s="1"/>
      <c r="R77" s="5">
        <f t="shared" si="59"/>
        <v>0</v>
      </c>
      <c r="S77" s="1"/>
      <c r="T77" s="1">
        <f>SUM(OSRRefT22_14x_0)</f>
        <v>337.96</v>
      </c>
      <c r="U77" s="1"/>
      <c r="V77" s="5">
        <f t="shared" si="60"/>
        <v>8.6142106540014962E-4</v>
      </c>
      <c r="W77" s="1"/>
      <c r="X77" s="1">
        <f t="shared" si="61"/>
        <v>-337.96</v>
      </c>
      <c r="Y77" s="1"/>
      <c r="Z77" s="5">
        <f t="shared" si="62"/>
        <v>-1</v>
      </c>
    </row>
    <row r="78" spans="1:26" s="23" customFormat="1" hidden="1" outlineLevel="2" x14ac:dyDescent="0.25">
      <c r="A78" s="25"/>
      <c r="B78" s="10" t="str">
        <f>CONCATENATE("          ", "6376", " - ", "TRAINING")</f>
        <v xml:space="preserve">          6376 - TRAINING</v>
      </c>
      <c r="C78" s="10"/>
      <c r="D78" s="6"/>
      <c r="E78" s="2"/>
      <c r="F78" s="7">
        <f t="shared" si="55"/>
        <v>0</v>
      </c>
      <c r="G78" s="2"/>
      <c r="H78" s="6"/>
      <c r="I78" s="2"/>
      <c r="J78" s="7">
        <f t="shared" si="56"/>
        <v>0</v>
      </c>
      <c r="K78" s="2"/>
      <c r="L78" s="6">
        <f t="shared" si="57"/>
        <v>0</v>
      </c>
      <c r="M78" s="2"/>
      <c r="N78" s="7">
        <f t="shared" si="58"/>
        <v>0</v>
      </c>
      <c r="O78" s="10"/>
      <c r="P78" s="6"/>
      <c r="Q78" s="2"/>
      <c r="R78" s="7">
        <f t="shared" si="59"/>
        <v>0</v>
      </c>
      <c r="S78" s="2"/>
      <c r="T78" s="6">
        <v>337.96</v>
      </c>
      <c r="U78" s="2"/>
      <c r="V78" s="7">
        <f t="shared" si="60"/>
        <v>8.6142106540014962E-4</v>
      </c>
      <c r="W78" s="2"/>
      <c r="X78" s="6">
        <f t="shared" si="61"/>
        <v>-337.96</v>
      </c>
      <c r="Y78" s="2"/>
      <c r="Z78" s="7">
        <f t="shared" si="62"/>
        <v>-1</v>
      </c>
    </row>
    <row r="79" spans="1:26" s="52" customFormat="1" x14ac:dyDescent="0.25">
      <c r="A79" s="37"/>
      <c r="B79" s="37"/>
      <c r="C79" s="37"/>
      <c r="D79" s="1"/>
      <c r="E79" s="1"/>
      <c r="F79" s="5"/>
      <c r="G79" s="1"/>
      <c r="H79" s="1"/>
      <c r="I79" s="1"/>
      <c r="J79" s="5"/>
      <c r="K79" s="1"/>
      <c r="L79" s="1"/>
      <c r="M79" s="1"/>
      <c r="N79" s="5"/>
      <c r="O79" s="37"/>
      <c r="P79" s="1"/>
      <c r="Q79" s="1"/>
      <c r="R79" s="5"/>
      <c r="S79" s="1"/>
      <c r="T79" s="1"/>
      <c r="U79" s="1"/>
      <c r="V79" s="5"/>
      <c r="W79" s="1"/>
      <c r="X79" s="1"/>
      <c r="Y79" s="1"/>
      <c r="Z79" s="5"/>
    </row>
    <row r="80" spans="1:26" s="24" customFormat="1" collapsed="1" x14ac:dyDescent="0.25">
      <c r="A80" s="11"/>
      <c r="B80" s="29" t="s">
        <v>292</v>
      </c>
      <c r="C80" s="11"/>
      <c r="D80" s="4">
        <f>SUM(OSRRefD25x_0)</f>
        <v>0</v>
      </c>
      <c r="E80" s="4"/>
      <c r="F80" s="13">
        <f t="shared" ref="F80:F81" si="63">IF(D$12=0,0,D80/D$12)</f>
        <v>0</v>
      </c>
      <c r="G80" s="4"/>
      <c r="H80" s="4">
        <f>SUM(OSRRefH25x_0)</f>
        <v>0</v>
      </c>
      <c r="I80" s="4"/>
      <c r="J80" s="13">
        <f t="shared" ref="J80:J81" si="64">IF(H$12=0,0,H80/H$12)</f>
        <v>0</v>
      </c>
      <c r="K80" s="4"/>
      <c r="L80" s="4">
        <f t="shared" ref="L80:L81" si="65">+D80-H80</f>
        <v>0</v>
      </c>
      <c r="M80" s="4"/>
      <c r="N80" s="13">
        <f t="shared" ref="N80:N81" si="66">IF(H80=0,0,L80/H80)</f>
        <v>0</v>
      </c>
      <c r="O80" s="11"/>
      <c r="P80" s="4">
        <f>SUM(OSRRefP25x_0)</f>
        <v>0</v>
      </c>
      <c r="Q80" s="4"/>
      <c r="R80" s="13">
        <f t="shared" ref="R80:R81" si="67">IF(P$12=0,0,P80/P$12)</f>
        <v>0</v>
      </c>
      <c r="S80" s="4"/>
      <c r="T80" s="4">
        <f>SUM(OSRRefT25x_0)</f>
        <v>39607.82</v>
      </c>
      <c r="U80" s="4"/>
      <c r="V80" s="13">
        <f t="shared" ref="V80:V81" si="68">IF(T$12=0,0,T80/T$12)</f>
        <v>0.10095576548283038</v>
      </c>
      <c r="W80" s="4"/>
      <c r="X80" s="4">
        <f t="shared" ref="X80:X81" si="69">+P80-T80</f>
        <v>-39607.82</v>
      </c>
      <c r="Y80" s="4"/>
      <c r="Z80" s="13">
        <f t="shared" ref="Z80:Z81" si="70">IF(T80=0,0,X80/T80)</f>
        <v>-1</v>
      </c>
    </row>
    <row r="81" spans="1:26" s="23" customFormat="1" hidden="1" outlineLevel="1" x14ac:dyDescent="0.25">
      <c r="A81" s="44"/>
      <c r="B81" s="10" t="str">
        <f>CONCATENATE("          ", "9150", " - ", "MISC. INCOME")</f>
        <v xml:space="preserve">          9150 - MISC. INCOME</v>
      </c>
      <c r="C81" s="10"/>
      <c r="D81" s="2">
        <f>0</f>
        <v>0</v>
      </c>
      <c r="E81" s="2"/>
      <c r="F81" s="19">
        <f t="shared" si="63"/>
        <v>0</v>
      </c>
      <c r="G81" s="2"/>
      <c r="H81" s="2">
        <f>0</f>
        <v>0</v>
      </c>
      <c r="I81" s="2"/>
      <c r="J81" s="19">
        <f t="shared" si="64"/>
        <v>0</v>
      </c>
      <c r="K81" s="2"/>
      <c r="L81" s="2">
        <f t="shared" si="65"/>
        <v>0</v>
      </c>
      <c r="M81" s="2"/>
      <c r="N81" s="19">
        <f t="shared" si="66"/>
        <v>0</v>
      </c>
      <c r="O81" s="10"/>
      <c r="P81" s="2">
        <f>0</f>
        <v>0</v>
      </c>
      <c r="Q81" s="2"/>
      <c r="R81" s="19">
        <f t="shared" si="67"/>
        <v>0</v>
      </c>
      <c r="S81" s="2"/>
      <c r="T81" s="2">
        <f>--39607.82</f>
        <v>39607.82</v>
      </c>
      <c r="U81" s="2"/>
      <c r="V81" s="19">
        <f t="shared" si="68"/>
        <v>0.10095576548283038</v>
      </c>
      <c r="W81" s="2"/>
      <c r="X81" s="2">
        <f t="shared" si="69"/>
        <v>-39607.82</v>
      </c>
      <c r="Y81" s="2"/>
      <c r="Z81" s="19">
        <f t="shared" si="70"/>
        <v>-1</v>
      </c>
    </row>
    <row r="82" spans="1:26" x14ac:dyDescent="0.25">
      <c r="A82" s="9"/>
      <c r="B82" s="11"/>
      <c r="C82" s="11"/>
      <c r="D82" s="3"/>
      <c r="E82" s="3"/>
      <c r="F82" s="8"/>
      <c r="G82" s="3"/>
      <c r="H82" s="3"/>
      <c r="I82" s="3"/>
      <c r="J82" s="8"/>
      <c r="K82" s="3"/>
      <c r="L82" s="3"/>
      <c r="M82" s="3"/>
      <c r="N82" s="8"/>
      <c r="O82" s="11"/>
      <c r="P82" s="3"/>
      <c r="Q82" s="3"/>
      <c r="R82" s="8"/>
      <c r="S82" s="3"/>
      <c r="T82" s="3"/>
      <c r="U82" s="3"/>
      <c r="V82" s="8"/>
      <c r="W82" s="3"/>
      <c r="X82" s="3"/>
      <c r="Y82" s="3"/>
      <c r="Z82" s="8"/>
    </row>
    <row r="83" spans="1:26" s="24" customFormat="1" x14ac:dyDescent="0.25">
      <c r="A83" s="11"/>
      <c r="B83" s="28" t="s">
        <v>276</v>
      </c>
      <c r="C83" s="28"/>
      <c r="D83" s="21">
        <f>+D23-D25+D80</f>
        <v>-1000.95</v>
      </c>
      <c r="E83" s="14"/>
      <c r="F83" s="22">
        <f>IF(D$12=0,0,D83/D$12)</f>
        <v>0</v>
      </c>
      <c r="G83" s="14"/>
      <c r="H83" s="21">
        <f>+H23-H25+H80</f>
        <v>-5915.2800000000007</v>
      </c>
      <c r="I83" s="14"/>
      <c r="J83" s="22">
        <f>IF(H$12=0,0,H83/H$12)</f>
        <v>0</v>
      </c>
      <c r="K83" s="15"/>
      <c r="L83" s="21">
        <f>+D83-H83</f>
        <v>4914.3300000000008</v>
      </c>
      <c r="M83" s="15"/>
      <c r="N83" s="22">
        <f>IF(H83=0,0,L83/H83)</f>
        <v>-0.83078569399926971</v>
      </c>
      <c r="O83" s="29"/>
      <c r="P83" s="21">
        <f>+P23-P25+P80</f>
        <v>-9046.24</v>
      </c>
      <c r="Q83" s="14"/>
      <c r="R83" s="22">
        <f>IF(P$12=0,0,P83/P$12)</f>
        <v>0</v>
      </c>
      <c r="S83" s="14"/>
      <c r="T83" s="21">
        <f>+T23-T25+T80</f>
        <v>-46394.989999999969</v>
      </c>
      <c r="U83" s="14"/>
      <c r="V83" s="22">
        <f>IF(T$12=0,0,T83/T$12)</f>
        <v>-0.11825547909524577</v>
      </c>
      <c r="W83" s="15"/>
      <c r="X83" s="21">
        <f>+P83-T83</f>
        <v>37348.749999999971</v>
      </c>
      <c r="Y83" s="15"/>
      <c r="Z83" s="22">
        <f>IF(T83=0,0,X83/T83)</f>
        <v>-0.80501687789996279</v>
      </c>
    </row>
    <row r="84" spans="1:26" x14ac:dyDescent="0.25">
      <c r="A84" s="9"/>
      <c r="B84" s="11"/>
      <c r="C84" s="9"/>
      <c r="D84" s="3"/>
      <c r="E84" s="3"/>
      <c r="F84" s="8"/>
      <c r="G84" s="3"/>
      <c r="H84" s="3"/>
      <c r="I84" s="3"/>
      <c r="J84" s="8"/>
      <c r="K84" s="3"/>
      <c r="L84" s="3"/>
      <c r="M84" s="3"/>
      <c r="N84" s="8"/>
      <c r="P84" s="3"/>
      <c r="Q84" s="3"/>
      <c r="R84" s="8"/>
      <c r="S84" s="3"/>
      <c r="T84" s="3"/>
      <c r="U84" s="3"/>
      <c r="V84" s="8"/>
      <c r="W84" s="3"/>
      <c r="X84" s="3"/>
      <c r="Y84" s="3"/>
      <c r="Z84" s="8"/>
    </row>
    <row r="85" spans="1:26" s="24" customFormat="1" x14ac:dyDescent="0.25">
      <c r="A85" s="51"/>
      <c r="B85" s="11" t="s">
        <v>127</v>
      </c>
      <c r="C85" s="11"/>
      <c r="D85" s="4"/>
      <c r="E85" s="4"/>
      <c r="F85" s="13">
        <f>IF(D$12=0,0,D85/D$12)</f>
        <v>0</v>
      </c>
      <c r="G85" s="4"/>
      <c r="H85" s="4">
        <v>12947.64</v>
      </c>
      <c r="I85" s="4"/>
      <c r="J85" s="13">
        <f>IF(H$12=0,0,H85/H$12)</f>
        <v>0</v>
      </c>
      <c r="K85" s="4"/>
      <c r="L85" s="4">
        <f>+D85-H85</f>
        <v>-12947.64</v>
      </c>
      <c r="M85" s="4"/>
      <c r="N85" s="13">
        <f>IF(H85=0,0,L85/H85)</f>
        <v>-1</v>
      </c>
      <c r="O85" s="11"/>
      <c r="P85" s="4"/>
      <c r="Q85" s="4"/>
      <c r="R85" s="13">
        <f>IF(P$12=0,0,P85/P$12)</f>
        <v>0</v>
      </c>
      <c r="S85" s="4"/>
      <c r="T85" s="4">
        <v>59407.4</v>
      </c>
      <c r="U85" s="4"/>
      <c r="V85" s="13">
        <f>IF(T$12=0,0,T85/T$12)</f>
        <v>0.15142261155359465</v>
      </c>
      <c r="W85" s="4"/>
      <c r="X85" s="4">
        <f>+P85-T85</f>
        <v>-59407.4</v>
      </c>
      <c r="Y85" s="4"/>
      <c r="Z85" s="13">
        <f>IF(T85=0,0,X85/T85)</f>
        <v>-1</v>
      </c>
    </row>
    <row r="86" spans="1:26" x14ac:dyDescent="0.25">
      <c r="A86" s="9"/>
      <c r="B86" s="11"/>
      <c r="C86" s="11"/>
      <c r="D86" s="3"/>
      <c r="E86" s="3"/>
      <c r="F86" s="8"/>
      <c r="G86" s="3"/>
      <c r="H86" s="3"/>
      <c r="I86" s="3"/>
      <c r="J86" s="8"/>
      <c r="K86" s="3"/>
      <c r="L86" s="3"/>
      <c r="M86" s="3"/>
      <c r="N86" s="8"/>
      <c r="O86" s="11"/>
      <c r="P86" s="3"/>
      <c r="Q86" s="3"/>
      <c r="R86" s="8"/>
      <c r="S86" s="3"/>
      <c r="T86" s="3"/>
      <c r="U86" s="3"/>
      <c r="V86" s="8"/>
      <c r="W86" s="3"/>
      <c r="X86" s="3"/>
      <c r="Y86" s="3"/>
      <c r="Z86" s="8"/>
    </row>
    <row r="87" spans="1:26" s="24" customFormat="1" ht="15.75" thickBot="1" x14ac:dyDescent="0.3">
      <c r="A87" s="11"/>
      <c r="B87" s="28" t="s">
        <v>125</v>
      </c>
      <c r="C87" s="28"/>
      <c r="D87" s="34">
        <f>+D83-D85</f>
        <v>-1000.95</v>
      </c>
      <c r="E87" s="14"/>
      <c r="F87" s="31">
        <f>IF(D$12=0,0,D87/D$12)</f>
        <v>0</v>
      </c>
      <c r="G87" s="14"/>
      <c r="H87" s="34">
        <f>+H83-H85</f>
        <v>-18862.919999999998</v>
      </c>
      <c r="I87" s="14"/>
      <c r="J87" s="31">
        <f>IF(H$12=0,0,H87/H$12)</f>
        <v>0</v>
      </c>
      <c r="K87" s="15"/>
      <c r="L87" s="34">
        <f>D87-H87</f>
        <v>17861.969999999998</v>
      </c>
      <c r="M87" s="15"/>
      <c r="N87" s="31">
        <f>IF(H87=0,0,L87/H87)</f>
        <v>-0.94693557519196392</v>
      </c>
      <c r="O87" s="29"/>
      <c r="P87" s="34">
        <f>+P83-P85</f>
        <v>-9046.24</v>
      </c>
      <c r="Q87" s="14"/>
      <c r="R87" s="31">
        <f>IF(P$12=0,0,P87/P$12)</f>
        <v>0</v>
      </c>
      <c r="S87" s="14"/>
      <c r="T87" s="34">
        <f>+T83-T85</f>
        <v>-105802.38999999997</v>
      </c>
      <c r="U87" s="14"/>
      <c r="V87" s="31">
        <f>IF(T$12=0,0,T87/T$12)</f>
        <v>-0.26967809064884041</v>
      </c>
      <c r="W87" s="15"/>
      <c r="X87" s="34">
        <f>P87-T87</f>
        <v>96756.149999999965</v>
      </c>
      <c r="Y87" s="15"/>
      <c r="Z87" s="31">
        <f>IF(T87=0,0,X87/T87)</f>
        <v>-0.91449871784559866</v>
      </c>
    </row>
    <row r="88" spans="1:26" ht="15.75" thickTop="1" x14ac:dyDescent="0.25">
      <c r="A88" s="9"/>
      <c r="B88" s="9"/>
      <c r="C88" s="9"/>
      <c r="D88" s="3"/>
      <c r="E88" s="3"/>
      <c r="F88" s="8"/>
      <c r="G88" s="3"/>
      <c r="H88" s="3"/>
      <c r="I88" s="3"/>
      <c r="J88" s="8"/>
      <c r="K88" s="3"/>
      <c r="L88" s="3"/>
      <c r="M88" s="3"/>
      <c r="N88" s="8"/>
      <c r="P88" s="3"/>
      <c r="Q88" s="3"/>
      <c r="R88" s="8"/>
      <c r="S88" s="3"/>
      <c r="T88" s="3"/>
      <c r="U88" s="3"/>
      <c r="V88" s="8"/>
      <c r="W88" s="3"/>
      <c r="X88" s="3"/>
      <c r="Y88" s="3"/>
      <c r="Z88" s="8"/>
    </row>
    <row r="89" spans="1:26" x14ac:dyDescent="0.25">
      <c r="A89" s="9"/>
      <c r="B89" s="9"/>
      <c r="C89" s="9"/>
      <c r="D89" s="3"/>
      <c r="E89" s="3"/>
      <c r="F89" s="8"/>
      <c r="G89" s="3"/>
      <c r="H89" s="3"/>
      <c r="I89" s="3"/>
      <c r="J89" s="8"/>
      <c r="K89" s="3"/>
      <c r="L89" s="3"/>
      <c r="M89" s="3"/>
      <c r="N89" s="8"/>
      <c r="P89" s="3"/>
      <c r="Q89" s="3"/>
      <c r="R89" s="8"/>
      <c r="S89" s="3"/>
      <c r="T89" s="3"/>
      <c r="U89" s="3"/>
      <c r="V89" s="8"/>
      <c r="W89" s="3"/>
      <c r="X89" s="3"/>
      <c r="Y89" s="3"/>
      <c r="Z89" s="8"/>
    </row>
    <row r="90" spans="1:26" s="24" customFormat="1" ht="15.75" thickBot="1" x14ac:dyDescent="0.3">
      <c r="A90" s="11"/>
      <c r="B90" s="28" t="s">
        <v>293</v>
      </c>
      <c r="C90" s="28"/>
      <c r="D90" s="33">
        <f>SUM(D87:D89)</f>
        <v>-1000.95</v>
      </c>
      <c r="E90" s="14"/>
      <c r="F90" s="35">
        <f>IF(D$12=0,0,D90/D$12)</f>
        <v>0</v>
      </c>
      <c r="G90" s="14"/>
      <c r="H90" s="33">
        <f>SUM(H87:H89)</f>
        <v>-18862.919999999998</v>
      </c>
      <c r="I90" s="14"/>
      <c r="J90" s="35">
        <f>IF(H$12=0,0,H90/H$12)</f>
        <v>0</v>
      </c>
      <c r="K90" s="15"/>
      <c r="L90" s="33">
        <f>+D90-H90</f>
        <v>17861.969999999998</v>
      </c>
      <c r="M90" s="15"/>
      <c r="N90" s="35">
        <f>IF(H90=0,0,L90/H90)</f>
        <v>-0.94693557519196392</v>
      </c>
      <c r="O90" s="29"/>
      <c r="P90" s="33">
        <f>SUM(P87:P89)</f>
        <v>-9046.24</v>
      </c>
      <c r="Q90" s="14"/>
      <c r="R90" s="35">
        <f>IF(P$12=0,0,P90/P$12)</f>
        <v>0</v>
      </c>
      <c r="S90" s="14"/>
      <c r="T90" s="33">
        <f>SUM(T87:T89)</f>
        <v>-105802.38999999997</v>
      </c>
      <c r="U90" s="14"/>
      <c r="V90" s="35">
        <f>IF(T$12=0,0,T90/T$12)</f>
        <v>-0.26967809064884041</v>
      </c>
      <c r="W90" s="15"/>
      <c r="X90" s="33">
        <f>+P90-T90</f>
        <v>96756.149999999965</v>
      </c>
      <c r="Y90" s="15"/>
      <c r="Z90" s="35">
        <f>IF(T90=0,0,X90/T90)</f>
        <v>-0.91449871784559866</v>
      </c>
    </row>
    <row r="91" spans="1:26" ht="15.75" thickTop="1" x14ac:dyDescent="0.25">
      <c r="A91" s="9"/>
      <c r="C91" s="9"/>
      <c r="D91" s="18"/>
      <c r="E91" s="18"/>
      <c r="G91" s="18"/>
      <c r="H91" s="18"/>
      <c r="I91" s="18"/>
      <c r="J91" s="43"/>
      <c r="K91" s="18"/>
      <c r="L91" s="18"/>
      <c r="M91" s="18"/>
      <c r="P91" s="18"/>
      <c r="Q91" s="18"/>
      <c r="R91" s="43"/>
      <c r="S91" s="18"/>
      <c r="T91" s="18"/>
      <c r="U91" s="18"/>
      <c r="V91" s="43"/>
      <c r="W91" s="18"/>
      <c r="X91" s="18"/>
    </row>
    <row r="92" spans="1:26" x14ac:dyDescent="0.25">
      <c r="A92" s="9"/>
      <c r="B92" s="56">
        <v>44454.698585613427</v>
      </c>
      <c r="D92" s="18"/>
      <c r="E92" s="18"/>
      <c r="G92" s="18"/>
      <c r="H92" s="18"/>
      <c r="I92" s="18"/>
      <c r="J92" s="43"/>
      <c r="K92" s="18"/>
      <c r="L92" s="18"/>
      <c r="M92" s="18"/>
      <c r="P92" s="18"/>
      <c r="Q92" s="18"/>
      <c r="R92" s="43"/>
      <c r="S92" s="18"/>
      <c r="T92" s="18"/>
      <c r="U92" s="18"/>
      <c r="V92" s="43"/>
      <c r="W92" s="18"/>
      <c r="X92" s="18"/>
    </row>
    <row r="93" spans="1:26" x14ac:dyDescent="0.25">
      <c r="A93" s="9"/>
      <c r="B93" s="55" t="s">
        <v>56</v>
      </c>
      <c r="D93" s="18"/>
      <c r="E93" s="18"/>
      <c r="G93" s="18"/>
      <c r="H93" s="18"/>
      <c r="I93" s="18"/>
      <c r="J93" s="43"/>
      <c r="K93" s="18"/>
      <c r="L93" s="18"/>
      <c r="M93" s="18"/>
      <c r="P93" s="18"/>
      <c r="Q93" s="18"/>
      <c r="R93" s="43"/>
      <c r="S93" s="18"/>
      <c r="T93" s="18"/>
      <c r="U93" s="18"/>
      <c r="V93" s="43"/>
      <c r="W93" s="18"/>
      <c r="X93" s="18"/>
    </row>
    <row r="94" spans="1:26" x14ac:dyDescent="0.25">
      <c r="A94" s="9"/>
      <c r="B94" s="60"/>
      <c r="D94" s="18"/>
      <c r="E94" s="18"/>
      <c r="G94" s="18"/>
      <c r="H94" s="18"/>
      <c r="I94" s="18"/>
      <c r="J94" s="43"/>
      <c r="K94" s="18"/>
      <c r="L94" s="18"/>
      <c r="M94" s="18"/>
      <c r="P94" s="18"/>
      <c r="Q94" s="18"/>
      <c r="R94" s="43"/>
      <c r="S94" s="18"/>
      <c r="T94" s="18"/>
      <c r="U94" s="18"/>
      <c r="V94" s="43"/>
      <c r="W94" s="18"/>
      <c r="X94" s="18"/>
    </row>
    <row r="95" spans="1:26" x14ac:dyDescent="0.25">
      <c r="D95" s="18"/>
      <c r="E95" s="18"/>
      <c r="G95" s="18"/>
      <c r="H95" s="18"/>
      <c r="I95" s="18"/>
      <c r="J95" s="43"/>
      <c r="K95" s="18"/>
      <c r="L95" s="18"/>
      <c r="M95" s="18"/>
      <c r="P95" s="18"/>
      <c r="Q95" s="18"/>
      <c r="R95" s="43"/>
      <c r="S95" s="18"/>
      <c r="T95" s="18"/>
      <c r="U95" s="18"/>
      <c r="V95" s="43"/>
      <c r="W95" s="18"/>
      <c r="X95" s="18"/>
    </row>
  </sheetData>
  <pageMargins left="0.25" right="0.25" top="0.75" bottom="0.75" header="0.3" footer="0.3"/>
  <pageSetup scale="55" fitToWidth="2" orientation="landscape"/>
  <drawing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sheetPr>
    <tabColor rgb="FF92D050"/>
    <outlinePr summaryBelow="0" summaryRight="0"/>
  </sheetPr>
  <dimension ref="A2:Z48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62" t="s">
        <v>23</v>
      </c>
    </row>
    <row r="3" spans="1:26" x14ac:dyDescent="0.25">
      <c r="D3" s="62" t="s">
        <v>236</v>
      </c>
      <c r="E3" s="17"/>
      <c r="F3" s="46"/>
      <c r="G3" s="17"/>
      <c r="H3" s="17"/>
      <c r="I3" s="17"/>
      <c r="J3" s="38"/>
      <c r="K3" s="17"/>
      <c r="L3" s="17"/>
      <c r="M3" s="17"/>
      <c r="N3" s="46"/>
      <c r="O3" s="53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2" t="str">
        <f>CONCATENATE("Period ",RIGHT(202112,2),", ",2021)</f>
        <v>Period 12, 2021</v>
      </c>
      <c r="E4" s="17"/>
      <c r="F4" s="46"/>
      <c r="G4" s="17"/>
      <c r="H4" s="17"/>
      <c r="I4" s="17"/>
      <c r="J4" s="38"/>
      <c r="K4" s="17"/>
      <c r="L4" s="17"/>
      <c r="M4" s="17"/>
      <c r="N4" s="46"/>
      <c r="O4" s="53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4"/>
      <c r="D5" s="63">
        <v>44377</v>
      </c>
      <c r="E5" s="17"/>
      <c r="F5" s="46"/>
      <c r="G5" s="17"/>
      <c r="H5" s="17"/>
      <c r="I5" s="17"/>
      <c r="J5" s="38"/>
      <c r="K5" s="17"/>
      <c r="L5" s="17"/>
      <c r="M5" s="17"/>
      <c r="N5" s="46"/>
      <c r="O5" s="53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4"/>
      <c r="B6" s="48"/>
      <c r="C6" s="48"/>
      <c r="D6" s="24" t="str">
        <f>CONCATENATE("Department ","455", " - ", "Vending (old)")</f>
        <v>Department 455 - Vending (old)</v>
      </c>
      <c r="E6" s="17"/>
      <c r="F6" s="46"/>
      <c r="G6" s="17"/>
      <c r="H6" s="17"/>
      <c r="I6" s="17"/>
      <c r="J6" s="38"/>
      <c r="K6" s="17"/>
      <c r="L6" s="17"/>
      <c r="M6" s="17"/>
      <c r="N6" s="46"/>
      <c r="O6" s="54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9"/>
    </row>
    <row r="8" spans="1:26" x14ac:dyDescent="0.25">
      <c r="B8" s="59"/>
    </row>
    <row r="9" spans="1:26" x14ac:dyDescent="0.25">
      <c r="B9" s="9"/>
      <c r="C9" s="9"/>
      <c r="D9" s="16" t="s">
        <v>291</v>
      </c>
      <c r="E9" s="16"/>
      <c r="F9" s="39"/>
      <c r="G9" s="16"/>
      <c r="H9" s="16"/>
      <c r="I9" s="16"/>
      <c r="J9" s="49"/>
      <c r="K9" s="16"/>
      <c r="L9" s="16"/>
      <c r="M9" s="16"/>
      <c r="N9" s="39"/>
      <c r="P9" s="16" t="s">
        <v>39</v>
      </c>
      <c r="Q9" s="16"/>
      <c r="R9" s="39"/>
      <c r="S9" s="16"/>
      <c r="T9" s="16"/>
      <c r="U9" s="16"/>
      <c r="V9" s="49"/>
      <c r="W9" s="16"/>
      <c r="X9" s="16"/>
      <c r="Y9" s="16"/>
      <c r="Z9" s="39"/>
    </row>
    <row r="10" spans="1:26" x14ac:dyDescent="0.25">
      <c r="A10" s="11"/>
      <c r="B10" s="58"/>
      <c r="C10" s="11"/>
      <c r="D10" s="42" t="s">
        <v>57</v>
      </c>
      <c r="E10" s="36"/>
      <c r="F10" s="30" t="s">
        <v>40</v>
      </c>
      <c r="G10" s="36"/>
      <c r="H10" s="50" t="s">
        <v>237</v>
      </c>
      <c r="I10" s="36"/>
      <c r="J10" s="30" t="s">
        <v>40</v>
      </c>
      <c r="K10" s="11"/>
      <c r="L10" s="42" t="s">
        <v>126</v>
      </c>
      <c r="M10" s="11"/>
      <c r="N10" s="30" t="s">
        <v>257</v>
      </c>
      <c r="O10" s="11"/>
      <c r="P10" s="61" t="s">
        <v>57</v>
      </c>
      <c r="Q10" s="36"/>
      <c r="R10" s="30" t="s">
        <v>40</v>
      </c>
      <c r="S10" s="36"/>
      <c r="T10" s="50" t="s">
        <v>237</v>
      </c>
      <c r="U10" s="36"/>
      <c r="V10" s="30" t="s">
        <v>40</v>
      </c>
      <c r="W10" s="11"/>
      <c r="X10" s="42" t="s">
        <v>126</v>
      </c>
      <c r="Y10" s="11"/>
      <c r="Z10" s="30" t="s">
        <v>257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4" customFormat="1" x14ac:dyDescent="0.25">
      <c r="A12" s="11"/>
      <c r="B12" s="29" t="s">
        <v>139</v>
      </c>
      <c r="C12" s="11"/>
      <c r="D12" s="4">
        <f>SUM(0)</f>
        <v>0</v>
      </c>
      <c r="E12" s="4"/>
      <c r="F12" s="13"/>
      <c r="G12" s="4"/>
      <c r="H12" s="4">
        <f>SUM(0)</f>
        <v>0</v>
      </c>
      <c r="I12" s="4"/>
      <c r="J12" s="13"/>
      <c r="K12" s="4"/>
      <c r="L12" s="4">
        <f>+D12-H12</f>
        <v>0</v>
      </c>
      <c r="M12" s="4"/>
      <c r="N12" s="13">
        <f>IF(H12=0,0,L12/H12)</f>
        <v>0</v>
      </c>
      <c r="O12" s="11"/>
      <c r="P12" s="4">
        <f>SUM(0)</f>
        <v>0</v>
      </c>
      <c r="Q12" s="4"/>
      <c r="R12" s="13"/>
      <c r="S12" s="4"/>
      <c r="T12" s="4">
        <f>SUM(0)</f>
        <v>0</v>
      </c>
      <c r="U12" s="4"/>
      <c r="V12" s="13"/>
      <c r="W12" s="4"/>
      <c r="X12" s="4">
        <f>+P12-T12</f>
        <v>0</v>
      </c>
      <c r="Y12" s="4"/>
      <c r="Z12" s="13">
        <f>IF(T12=0,0,X12/T12)</f>
        <v>0</v>
      </c>
    </row>
    <row r="13" spans="1:26" x14ac:dyDescent="0.25">
      <c r="A13" s="9"/>
      <c r="B13" s="11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4" customFormat="1" x14ac:dyDescent="0.25">
      <c r="A14" s="11"/>
      <c r="B14" s="29" t="s">
        <v>256</v>
      </c>
      <c r="C14" s="11"/>
      <c r="D14" s="4">
        <f>SUM(0)</f>
        <v>0</v>
      </c>
      <c r="E14" s="4"/>
      <c r="F14" s="13">
        <f>IF(D$12=0,0,D14/D$12)</f>
        <v>0</v>
      </c>
      <c r="G14" s="4"/>
      <c r="H14" s="4">
        <f>SUM(0)</f>
        <v>0</v>
      </c>
      <c r="I14" s="4"/>
      <c r="J14" s="13">
        <f>IF(H$12=0,0,H14/H$12)</f>
        <v>0</v>
      </c>
      <c r="K14" s="4"/>
      <c r="L14" s="4">
        <f>+D14-H14</f>
        <v>0</v>
      </c>
      <c r="M14" s="4"/>
      <c r="N14" s="13">
        <f>IF(H14=0,0,L14/H14)</f>
        <v>0</v>
      </c>
      <c r="O14" s="11"/>
      <c r="P14" s="4">
        <f>SUM(0)</f>
        <v>0</v>
      </c>
      <c r="Q14" s="4"/>
      <c r="R14" s="13">
        <f>IF(P$12=0,0,P14/P$12)</f>
        <v>0</v>
      </c>
      <c r="S14" s="4"/>
      <c r="T14" s="4">
        <f>SUM(0)</f>
        <v>0</v>
      </c>
      <c r="U14" s="4"/>
      <c r="V14" s="13">
        <f>IF(T$12=0,0,T14/T$12)</f>
        <v>0</v>
      </c>
      <c r="W14" s="4"/>
      <c r="X14" s="4">
        <f>+P14-T14</f>
        <v>0</v>
      </c>
      <c r="Y14" s="4"/>
      <c r="Z14" s="13">
        <f>IF(T14=0,0,X14/T14)</f>
        <v>0</v>
      </c>
    </row>
    <row r="15" spans="1:26" x14ac:dyDescent="0.25">
      <c r="A15" s="9"/>
      <c r="B15" s="11"/>
      <c r="C15" s="11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1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4" customFormat="1" x14ac:dyDescent="0.25">
      <c r="A16" s="11"/>
      <c r="B16" s="28" t="s">
        <v>107</v>
      </c>
      <c r="C16" s="28"/>
      <c r="D16" s="21">
        <f>D12-D14</f>
        <v>0</v>
      </c>
      <c r="E16" s="14"/>
      <c r="F16" s="22">
        <f>IF(D$12=0,0,D16/D$12)</f>
        <v>0</v>
      </c>
      <c r="G16" s="14"/>
      <c r="H16" s="21">
        <f>H12-H14</f>
        <v>0</v>
      </c>
      <c r="I16" s="14"/>
      <c r="J16" s="22">
        <f>IF(H$12=0,0,H16/H$12)</f>
        <v>0</v>
      </c>
      <c r="K16" s="15"/>
      <c r="L16" s="21">
        <f>+D16-H16</f>
        <v>0</v>
      </c>
      <c r="M16" s="15"/>
      <c r="N16" s="22">
        <f>IF(H16=0,0,L16/H16)</f>
        <v>0</v>
      </c>
      <c r="O16" s="29"/>
      <c r="P16" s="21">
        <f>P12-P14</f>
        <v>0</v>
      </c>
      <c r="Q16" s="14"/>
      <c r="R16" s="22">
        <f>IF(P$12=0,0,P16/P$12)</f>
        <v>0</v>
      </c>
      <c r="S16" s="14"/>
      <c r="T16" s="21">
        <f>T12-T14</f>
        <v>0</v>
      </c>
      <c r="U16" s="14"/>
      <c r="V16" s="22">
        <f>IF(T$12=0,0,T16/T$12)</f>
        <v>0</v>
      </c>
      <c r="W16" s="15"/>
      <c r="X16" s="21">
        <f>+P16-T16</f>
        <v>0</v>
      </c>
      <c r="Y16" s="15"/>
      <c r="Z16" s="22">
        <f>IF(T16=0,0,X16/T16)</f>
        <v>0</v>
      </c>
    </row>
    <row r="17" spans="1:26" x14ac:dyDescent="0.25">
      <c r="A17" s="9"/>
      <c r="B17" s="11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4" customFormat="1" x14ac:dyDescent="0.25">
      <c r="A18" s="11"/>
      <c r="B18" s="29" t="s">
        <v>294</v>
      </c>
      <c r="C18" s="11"/>
      <c r="D18" s="20">
        <f>SUM(OSRRefD22x_0)</f>
        <v>0</v>
      </c>
      <c r="E18" s="20"/>
      <c r="F18" s="32">
        <f t="shared" ref="F18:F26" si="0">IF(D$12=0,0,D18/D$12)</f>
        <v>0</v>
      </c>
      <c r="G18" s="20"/>
      <c r="H18" s="20">
        <f>SUM(OSRRefH22x_0)</f>
        <v>-134.31</v>
      </c>
      <c r="I18" s="20"/>
      <c r="J18" s="32">
        <f t="shared" ref="J18:J26" si="1">IF(H$12=0,0,H18/H$12)</f>
        <v>0</v>
      </c>
      <c r="K18" s="4"/>
      <c r="L18" s="20">
        <f t="shared" ref="L18:L26" si="2">+D18-H18</f>
        <v>134.31</v>
      </c>
      <c r="M18" s="4"/>
      <c r="N18" s="32">
        <f t="shared" ref="N18:N26" si="3">IF(H18=0,0,L18/H18)</f>
        <v>-1</v>
      </c>
      <c r="O18" s="11"/>
      <c r="P18" s="20">
        <f>SUM(OSRRefP22x_0)</f>
        <v>0</v>
      </c>
      <c r="Q18" s="20"/>
      <c r="R18" s="32">
        <f t="shared" ref="R18:R26" si="4">IF(P$12=0,0,P18/P$12)</f>
        <v>0</v>
      </c>
      <c r="S18" s="20"/>
      <c r="T18" s="20">
        <f>SUM(OSRRefT22x_0)</f>
        <v>67827.100000000006</v>
      </c>
      <c r="U18" s="20"/>
      <c r="V18" s="32">
        <f t="shared" ref="V18:V26" si="5">IF(T$12=0,0,T18/T$12)</f>
        <v>0</v>
      </c>
      <c r="W18" s="4"/>
      <c r="X18" s="20">
        <f t="shared" ref="X18:X26" si="6">+P18-T18</f>
        <v>-67827.100000000006</v>
      </c>
      <c r="Y18" s="4"/>
      <c r="Z18" s="32">
        <f t="shared" ref="Z18:Z26" si="7">IF(T18=0,0,X18/T18)</f>
        <v>-1</v>
      </c>
    </row>
    <row r="19" spans="1:26" s="27" customFormat="1" outlineLevel="1" collapsed="1" x14ac:dyDescent="0.25">
      <c r="A19" s="26"/>
      <c r="B19" s="12" t="str">
        <f>CONCATENATE("     ","*Benefits                                         ")</f>
        <v xml:space="preserve">     *Benefits                                         </v>
      </c>
      <c r="C19" s="12"/>
      <c r="D19" s="1">
        <f>SUM(OSRRefD22_0x_0)</f>
        <v>0</v>
      </c>
      <c r="E19" s="1"/>
      <c r="F19" s="5">
        <f t="shared" si="0"/>
        <v>0</v>
      </c>
      <c r="G19" s="1"/>
      <c r="H19" s="1">
        <f>SUM(OSRRefH22_0x_0)</f>
        <v>-134.31</v>
      </c>
      <c r="I19" s="1"/>
      <c r="J19" s="5">
        <f t="shared" si="1"/>
        <v>0</v>
      </c>
      <c r="K19" s="1"/>
      <c r="L19" s="1">
        <f t="shared" si="2"/>
        <v>134.31</v>
      </c>
      <c r="M19" s="1"/>
      <c r="N19" s="5">
        <f t="shared" si="3"/>
        <v>-1</v>
      </c>
      <c r="O19" s="12"/>
      <c r="P19" s="1">
        <f>SUM(OSRRefP22_0x_0)</f>
        <v>0</v>
      </c>
      <c r="Q19" s="1"/>
      <c r="R19" s="5">
        <f t="shared" si="4"/>
        <v>0</v>
      </c>
      <c r="S19" s="1"/>
      <c r="T19" s="1">
        <f>SUM(OSRRefT22_0x_0)</f>
        <v>30639.9</v>
      </c>
      <c r="U19" s="1"/>
      <c r="V19" s="5">
        <f t="shared" si="5"/>
        <v>0</v>
      </c>
      <c r="W19" s="1"/>
      <c r="X19" s="1">
        <f t="shared" si="6"/>
        <v>-30639.9</v>
      </c>
      <c r="Y19" s="1"/>
      <c r="Z19" s="5">
        <f t="shared" si="7"/>
        <v>-1</v>
      </c>
    </row>
    <row r="20" spans="1:26" s="23" customFormat="1" hidden="1" outlineLevel="2" x14ac:dyDescent="0.25">
      <c r="A20" s="25"/>
      <c r="B20" s="10" t="str">
        <f>CONCATENATE("          ", "6111", " - ", "F.I.C.A.")</f>
        <v xml:space="preserve">          6111 - F.I.C.A.</v>
      </c>
      <c r="C20" s="10"/>
      <c r="D20" s="6"/>
      <c r="E20" s="2"/>
      <c r="F20" s="7">
        <f t="shared" si="0"/>
        <v>0</v>
      </c>
      <c r="G20" s="2"/>
      <c r="H20" s="6"/>
      <c r="I20" s="2"/>
      <c r="J20" s="7">
        <f t="shared" si="1"/>
        <v>0</v>
      </c>
      <c r="K20" s="2"/>
      <c r="L20" s="6">
        <f t="shared" si="2"/>
        <v>0</v>
      </c>
      <c r="M20" s="2"/>
      <c r="N20" s="7">
        <f t="shared" si="3"/>
        <v>0</v>
      </c>
      <c r="O20" s="10"/>
      <c r="P20" s="6"/>
      <c r="Q20" s="2"/>
      <c r="R20" s="7">
        <f t="shared" si="4"/>
        <v>0</v>
      </c>
      <c r="S20" s="2"/>
      <c r="T20" s="6">
        <v>2908.48</v>
      </c>
      <c r="U20" s="2"/>
      <c r="V20" s="7">
        <f t="shared" si="5"/>
        <v>0</v>
      </c>
      <c r="W20" s="2"/>
      <c r="X20" s="6">
        <f t="shared" si="6"/>
        <v>-2908.48</v>
      </c>
      <c r="Y20" s="2"/>
      <c r="Z20" s="7">
        <f t="shared" si="7"/>
        <v>-1</v>
      </c>
    </row>
    <row r="21" spans="1:26" s="23" customFormat="1" hidden="1" outlineLevel="2" x14ac:dyDescent="0.25">
      <c r="A21" s="25"/>
      <c r="B21" s="10" t="str">
        <f>CONCATENATE("          ", "6112", " - ", "COMPENSATION INSURANCE")</f>
        <v xml:space="preserve">          6112 - COMPENSATION INSURANCE</v>
      </c>
      <c r="C21" s="10"/>
      <c r="D21" s="6"/>
      <c r="E21" s="2"/>
      <c r="F21" s="7">
        <f t="shared" si="0"/>
        <v>0</v>
      </c>
      <c r="G21" s="2"/>
      <c r="H21" s="6"/>
      <c r="I21" s="2"/>
      <c r="J21" s="7">
        <f t="shared" si="1"/>
        <v>0</v>
      </c>
      <c r="K21" s="2"/>
      <c r="L21" s="6">
        <f t="shared" si="2"/>
        <v>0</v>
      </c>
      <c r="M21" s="2"/>
      <c r="N21" s="7">
        <f t="shared" si="3"/>
        <v>0</v>
      </c>
      <c r="O21" s="10"/>
      <c r="P21" s="6"/>
      <c r="Q21" s="2"/>
      <c r="R21" s="7">
        <f t="shared" si="4"/>
        <v>0</v>
      </c>
      <c r="S21" s="2"/>
      <c r="T21" s="6">
        <v>159.32</v>
      </c>
      <c r="U21" s="2"/>
      <c r="V21" s="7">
        <f t="shared" si="5"/>
        <v>0</v>
      </c>
      <c r="W21" s="2"/>
      <c r="X21" s="6">
        <f t="shared" si="6"/>
        <v>-159.32</v>
      </c>
      <c r="Y21" s="2"/>
      <c r="Z21" s="7">
        <f t="shared" si="7"/>
        <v>-1</v>
      </c>
    </row>
    <row r="22" spans="1:26" s="23" customFormat="1" hidden="1" outlineLevel="2" x14ac:dyDescent="0.25">
      <c r="A22" s="25"/>
      <c r="B22" s="10" t="str">
        <f>CONCATENATE("          ", "6113", " - ", "GROUP INSURANCE")</f>
        <v xml:space="preserve">          6113 - GROUP INSURANCE</v>
      </c>
      <c r="C22" s="10"/>
      <c r="D22" s="6"/>
      <c r="E22" s="2"/>
      <c r="F22" s="7">
        <f t="shared" si="0"/>
        <v>0</v>
      </c>
      <c r="G22" s="2"/>
      <c r="H22" s="6"/>
      <c r="I22" s="2"/>
      <c r="J22" s="7">
        <f t="shared" si="1"/>
        <v>0</v>
      </c>
      <c r="K22" s="2"/>
      <c r="L22" s="6">
        <f t="shared" si="2"/>
        <v>0</v>
      </c>
      <c r="M22" s="2"/>
      <c r="N22" s="7">
        <f t="shared" si="3"/>
        <v>0</v>
      </c>
      <c r="O22" s="10"/>
      <c r="P22" s="6"/>
      <c r="Q22" s="2"/>
      <c r="R22" s="7">
        <f t="shared" si="4"/>
        <v>0</v>
      </c>
      <c r="S22" s="2"/>
      <c r="T22" s="6">
        <v>8394</v>
      </c>
      <c r="U22" s="2"/>
      <c r="V22" s="7">
        <f t="shared" si="5"/>
        <v>0</v>
      </c>
      <c r="W22" s="2"/>
      <c r="X22" s="6">
        <f t="shared" si="6"/>
        <v>-8394</v>
      </c>
      <c r="Y22" s="2"/>
      <c r="Z22" s="7">
        <f t="shared" si="7"/>
        <v>-1</v>
      </c>
    </row>
    <row r="23" spans="1:26" s="23" customFormat="1" hidden="1" outlineLevel="2" x14ac:dyDescent="0.25">
      <c r="A23" s="25"/>
      <c r="B23" s="10" t="str">
        <f>CONCATENATE("          ", "6114", " - ", "STATE UNEMPLOYMENT INSURANCE")</f>
        <v xml:space="preserve">          6114 - STATE UNEMPLOYMENT INSURANCE</v>
      </c>
      <c r="C23" s="10"/>
      <c r="D23" s="6"/>
      <c r="E23" s="2"/>
      <c r="F23" s="7">
        <f t="shared" si="0"/>
        <v>0</v>
      </c>
      <c r="G23" s="2"/>
      <c r="H23" s="6">
        <v>-134.31</v>
      </c>
      <c r="I23" s="2"/>
      <c r="J23" s="7">
        <f t="shared" si="1"/>
        <v>0</v>
      </c>
      <c r="K23" s="2"/>
      <c r="L23" s="6">
        <f t="shared" si="2"/>
        <v>134.31</v>
      </c>
      <c r="M23" s="2"/>
      <c r="N23" s="7">
        <f t="shared" si="3"/>
        <v>-1</v>
      </c>
      <c r="O23" s="10"/>
      <c r="P23" s="6"/>
      <c r="Q23" s="2"/>
      <c r="R23" s="7">
        <f t="shared" si="4"/>
        <v>0</v>
      </c>
      <c r="S23" s="2"/>
      <c r="T23" s="6">
        <v>0</v>
      </c>
      <c r="U23" s="2"/>
      <c r="V23" s="7">
        <f t="shared" si="5"/>
        <v>0</v>
      </c>
      <c r="W23" s="2"/>
      <c r="X23" s="6">
        <f t="shared" si="6"/>
        <v>0</v>
      </c>
      <c r="Y23" s="2"/>
      <c r="Z23" s="7">
        <f t="shared" si="7"/>
        <v>0</v>
      </c>
    </row>
    <row r="24" spans="1:26" s="23" customFormat="1" hidden="1" outlineLevel="2" x14ac:dyDescent="0.25">
      <c r="A24" s="25"/>
      <c r="B24" s="10" t="str">
        <f>CONCATENATE("          ", "6115", " - ", "P.E.R.S.")</f>
        <v xml:space="preserve">          6115 - P.E.R.S.</v>
      </c>
      <c r="C24" s="10"/>
      <c r="D24" s="6"/>
      <c r="E24" s="2"/>
      <c r="F24" s="7">
        <f t="shared" si="0"/>
        <v>0</v>
      </c>
      <c r="G24" s="2"/>
      <c r="H24" s="6"/>
      <c r="I24" s="2"/>
      <c r="J24" s="7">
        <f t="shared" si="1"/>
        <v>0</v>
      </c>
      <c r="K24" s="2"/>
      <c r="L24" s="6">
        <f t="shared" si="2"/>
        <v>0</v>
      </c>
      <c r="M24" s="2"/>
      <c r="N24" s="7">
        <f t="shared" si="3"/>
        <v>0</v>
      </c>
      <c r="O24" s="10"/>
      <c r="P24" s="6"/>
      <c r="Q24" s="2"/>
      <c r="R24" s="7">
        <f t="shared" si="4"/>
        <v>0</v>
      </c>
      <c r="S24" s="2"/>
      <c r="T24" s="6">
        <v>5280.61</v>
      </c>
      <c r="U24" s="2"/>
      <c r="V24" s="7">
        <f t="shared" si="5"/>
        <v>0</v>
      </c>
      <c r="W24" s="2"/>
      <c r="X24" s="6">
        <f t="shared" si="6"/>
        <v>-5280.61</v>
      </c>
      <c r="Y24" s="2"/>
      <c r="Z24" s="7">
        <f t="shared" si="7"/>
        <v>-1</v>
      </c>
    </row>
    <row r="25" spans="1:26" s="23" customFormat="1" hidden="1" outlineLevel="2" x14ac:dyDescent="0.25">
      <c r="A25" s="25"/>
      <c r="B25" s="10" t="str">
        <f>CONCATENATE("          ", "6118", " - ", "VACATION")</f>
        <v xml:space="preserve">          6118 - VACATION</v>
      </c>
      <c r="C25" s="10"/>
      <c r="D25" s="6"/>
      <c r="E25" s="2"/>
      <c r="F25" s="7">
        <f t="shared" si="0"/>
        <v>0</v>
      </c>
      <c r="G25" s="2"/>
      <c r="H25" s="6"/>
      <c r="I25" s="2"/>
      <c r="J25" s="7">
        <f t="shared" si="1"/>
        <v>0</v>
      </c>
      <c r="K25" s="2"/>
      <c r="L25" s="6">
        <f t="shared" si="2"/>
        <v>0</v>
      </c>
      <c r="M25" s="2"/>
      <c r="N25" s="7">
        <f t="shared" si="3"/>
        <v>0</v>
      </c>
      <c r="O25" s="10"/>
      <c r="P25" s="6"/>
      <c r="Q25" s="2"/>
      <c r="R25" s="7">
        <f t="shared" si="4"/>
        <v>0</v>
      </c>
      <c r="S25" s="2"/>
      <c r="T25" s="6">
        <v>5313.38</v>
      </c>
      <c r="U25" s="2"/>
      <c r="V25" s="7">
        <f t="shared" si="5"/>
        <v>0</v>
      </c>
      <c r="W25" s="2"/>
      <c r="X25" s="6">
        <f t="shared" si="6"/>
        <v>-5313.38</v>
      </c>
      <c r="Y25" s="2"/>
      <c r="Z25" s="7">
        <f t="shared" si="7"/>
        <v>-1</v>
      </c>
    </row>
    <row r="26" spans="1:26" s="23" customFormat="1" hidden="1" outlineLevel="2" x14ac:dyDescent="0.25">
      <c r="A26" s="25"/>
      <c r="B26" s="10" t="str">
        <f>CONCATENATE("          ", "6119", " - ", "SICK LEAVE")</f>
        <v xml:space="preserve">          6119 - SICK LEAVE</v>
      </c>
      <c r="C26" s="10"/>
      <c r="D26" s="6"/>
      <c r="E26" s="2"/>
      <c r="F26" s="7">
        <f t="shared" si="0"/>
        <v>0</v>
      </c>
      <c r="G26" s="2"/>
      <c r="H26" s="6"/>
      <c r="I26" s="2"/>
      <c r="J26" s="7">
        <f t="shared" si="1"/>
        <v>0</v>
      </c>
      <c r="K26" s="2"/>
      <c r="L26" s="6">
        <f t="shared" si="2"/>
        <v>0</v>
      </c>
      <c r="M26" s="2"/>
      <c r="N26" s="7">
        <f t="shared" si="3"/>
        <v>0</v>
      </c>
      <c r="O26" s="10"/>
      <c r="P26" s="6"/>
      <c r="Q26" s="2"/>
      <c r="R26" s="7">
        <f t="shared" si="4"/>
        <v>0</v>
      </c>
      <c r="S26" s="2"/>
      <c r="T26" s="6">
        <v>8584.11</v>
      </c>
      <c r="U26" s="2"/>
      <c r="V26" s="7">
        <f t="shared" si="5"/>
        <v>0</v>
      </c>
      <c r="W26" s="2"/>
      <c r="X26" s="6">
        <f t="shared" si="6"/>
        <v>-8584.11</v>
      </c>
      <c r="Y26" s="2"/>
      <c r="Z26" s="7">
        <f t="shared" si="7"/>
        <v>-1</v>
      </c>
    </row>
    <row r="27" spans="1:26" s="27" customFormat="1" outlineLevel="1" collapsed="1" x14ac:dyDescent="0.25">
      <c r="A27" s="26"/>
      <c r="B27" s="12" t="str">
        <f>CONCATENATE("     ","*Payroll                                          ")</f>
        <v xml:space="preserve">     *Payroll                                          </v>
      </c>
      <c r="C27" s="12"/>
      <c r="D27" s="1">
        <f>SUM(OSRRefD22_1x_0)</f>
        <v>0</v>
      </c>
      <c r="E27" s="1"/>
      <c r="F27" s="5">
        <f t="shared" ref="F27:F29" si="8">IF(D$12=0,0,D27/D$12)</f>
        <v>0</v>
      </c>
      <c r="G27" s="1"/>
      <c r="H27" s="1">
        <f>SUM(OSRRefH22_1x_0)</f>
        <v>0</v>
      </c>
      <c r="I27" s="1"/>
      <c r="J27" s="5">
        <f t="shared" ref="J27:J29" si="9">IF(H$12=0,0,H27/H$12)</f>
        <v>0</v>
      </c>
      <c r="K27" s="1"/>
      <c r="L27" s="1">
        <f t="shared" ref="L27:L29" si="10">+D27-H27</f>
        <v>0</v>
      </c>
      <c r="M27" s="1"/>
      <c r="N27" s="5">
        <f t="shared" ref="N27:N29" si="11">IF(H27=0,0,L27/H27)</f>
        <v>0</v>
      </c>
      <c r="O27" s="12"/>
      <c r="P27" s="1">
        <f>SUM(OSRRefP22_1x_0)</f>
        <v>0</v>
      </c>
      <c r="Q27" s="1"/>
      <c r="R27" s="5">
        <f t="shared" ref="R27:R29" si="12">IF(P$12=0,0,P27/P$12)</f>
        <v>0</v>
      </c>
      <c r="S27" s="1"/>
      <c r="T27" s="1">
        <f>SUM(OSRRefT22_1x_0)</f>
        <v>37187.199999999997</v>
      </c>
      <c r="U27" s="1"/>
      <c r="V27" s="5">
        <f t="shared" ref="V27:V29" si="13">IF(T$12=0,0,T27/T$12)</f>
        <v>0</v>
      </c>
      <c r="W27" s="1"/>
      <c r="X27" s="1">
        <f t="shared" ref="X27:X29" si="14">+P27-T27</f>
        <v>-37187.199999999997</v>
      </c>
      <c r="Y27" s="1"/>
      <c r="Z27" s="5">
        <f t="shared" ref="Z27:Z29" si="15">IF(T27=0,0,X27/T27)</f>
        <v>-1</v>
      </c>
    </row>
    <row r="28" spans="1:26" s="23" customFormat="1" hidden="1" outlineLevel="2" x14ac:dyDescent="0.25">
      <c r="A28" s="25"/>
      <c r="B28" s="10" t="str">
        <f>CONCATENATE("          ", "6001", " - ", "ADMINISTRATIVE SALARIES")</f>
        <v xml:space="preserve">          6001 - ADMINISTRATIVE SALARIES</v>
      </c>
      <c r="C28" s="10"/>
      <c r="D28" s="6"/>
      <c r="E28" s="2"/>
      <c r="F28" s="7">
        <f t="shared" si="8"/>
        <v>0</v>
      </c>
      <c r="G28" s="2"/>
      <c r="H28" s="6"/>
      <c r="I28" s="2"/>
      <c r="J28" s="7">
        <f t="shared" si="9"/>
        <v>0</v>
      </c>
      <c r="K28" s="2"/>
      <c r="L28" s="6">
        <f t="shared" si="10"/>
        <v>0</v>
      </c>
      <c r="M28" s="2"/>
      <c r="N28" s="7">
        <f t="shared" si="11"/>
        <v>0</v>
      </c>
      <c r="O28" s="10"/>
      <c r="P28" s="6"/>
      <c r="Q28" s="2"/>
      <c r="R28" s="7">
        <f t="shared" si="12"/>
        <v>0</v>
      </c>
      <c r="S28" s="2"/>
      <c r="T28" s="6">
        <v>37187.199999999997</v>
      </c>
      <c r="U28" s="2"/>
      <c r="V28" s="7">
        <f t="shared" si="13"/>
        <v>0</v>
      </c>
      <c r="W28" s="2"/>
      <c r="X28" s="6">
        <f t="shared" si="14"/>
        <v>-37187.199999999997</v>
      </c>
      <c r="Y28" s="2"/>
      <c r="Z28" s="7">
        <f t="shared" si="15"/>
        <v>-1</v>
      </c>
    </row>
    <row r="29" spans="1:26" s="23" customFormat="1" hidden="1" outlineLevel="2" x14ac:dyDescent="0.25">
      <c r="A29" s="25"/>
      <c r="B29" s="10" t="str">
        <f>CONCATENATE("          ", "6002", " - ", "STAFF SALARIES")</f>
        <v xml:space="preserve">          6002 - STAFF SALARIES</v>
      </c>
      <c r="C29" s="10"/>
      <c r="D29" s="6"/>
      <c r="E29" s="2"/>
      <c r="F29" s="7">
        <f t="shared" si="8"/>
        <v>0</v>
      </c>
      <c r="G29" s="2"/>
      <c r="H29" s="6"/>
      <c r="I29" s="2"/>
      <c r="J29" s="7">
        <f t="shared" si="9"/>
        <v>0</v>
      </c>
      <c r="K29" s="2"/>
      <c r="L29" s="6">
        <f t="shared" si="10"/>
        <v>0</v>
      </c>
      <c r="M29" s="2"/>
      <c r="N29" s="7">
        <f t="shared" si="11"/>
        <v>0</v>
      </c>
      <c r="O29" s="10"/>
      <c r="P29" s="6"/>
      <c r="Q29" s="2"/>
      <c r="R29" s="7">
        <f t="shared" si="12"/>
        <v>0</v>
      </c>
      <c r="S29" s="2"/>
      <c r="T29" s="6">
        <v>0</v>
      </c>
      <c r="U29" s="2"/>
      <c r="V29" s="7">
        <f t="shared" si="13"/>
        <v>0</v>
      </c>
      <c r="W29" s="2"/>
      <c r="X29" s="6">
        <f t="shared" si="14"/>
        <v>0</v>
      </c>
      <c r="Y29" s="2"/>
      <c r="Z29" s="7">
        <f t="shared" si="15"/>
        <v>0</v>
      </c>
    </row>
    <row r="30" spans="1:26" s="52" customFormat="1" x14ac:dyDescent="0.25">
      <c r="A30" s="37"/>
      <c r="B30" s="37"/>
      <c r="C30" s="37"/>
      <c r="D30" s="1"/>
      <c r="E30" s="1"/>
      <c r="F30" s="5"/>
      <c r="G30" s="1"/>
      <c r="H30" s="1"/>
      <c r="I30" s="1"/>
      <c r="J30" s="5"/>
      <c r="K30" s="1"/>
      <c r="L30" s="1"/>
      <c r="M30" s="1"/>
      <c r="N30" s="5"/>
      <c r="O30" s="37"/>
      <c r="P30" s="1"/>
      <c r="Q30" s="1"/>
      <c r="R30" s="5"/>
      <c r="S30" s="1"/>
      <c r="T30" s="1"/>
      <c r="U30" s="1"/>
      <c r="V30" s="5"/>
      <c r="W30" s="1"/>
      <c r="X30" s="1"/>
      <c r="Y30" s="1"/>
      <c r="Z30" s="5"/>
    </row>
    <row r="31" spans="1:26" s="24" customFormat="1" collapsed="1" x14ac:dyDescent="0.25">
      <c r="A31" s="11"/>
      <c r="B31" s="29" t="s">
        <v>292</v>
      </c>
      <c r="C31" s="11"/>
      <c r="D31" s="4">
        <f>SUM(OSRRefD25x_0)</f>
        <v>576.86</v>
      </c>
      <c r="E31" s="4"/>
      <c r="F31" s="13">
        <f t="shared" ref="F31:F34" si="16">IF(D$12=0,0,D31/D$12)</f>
        <v>0</v>
      </c>
      <c r="G31" s="4"/>
      <c r="H31" s="4">
        <f>SUM(OSRRefH25x_0)</f>
        <v>26309.79</v>
      </c>
      <c r="I31" s="4"/>
      <c r="J31" s="13">
        <f t="shared" ref="J31:J34" si="17">IF(H$12=0,0,H31/H$12)</f>
        <v>0</v>
      </c>
      <c r="K31" s="4"/>
      <c r="L31" s="4">
        <f t="shared" ref="L31:L34" si="18">+D31-H31</f>
        <v>-25732.93</v>
      </c>
      <c r="M31" s="4"/>
      <c r="N31" s="13">
        <f t="shared" ref="N31:N34" si="19">IF(H31=0,0,L31/H31)</f>
        <v>-0.97807432138378902</v>
      </c>
      <c r="O31" s="11"/>
      <c r="P31" s="4">
        <f>SUM(OSRRefP25x_0)</f>
        <v>16897.25</v>
      </c>
      <c r="Q31" s="4"/>
      <c r="R31" s="13">
        <f t="shared" ref="R31:R34" si="20">IF(P$12=0,0,P31/P$12)</f>
        <v>0</v>
      </c>
      <c r="S31" s="4"/>
      <c r="T31" s="4">
        <f>SUM(OSRRefT25x_0)</f>
        <v>397474.1</v>
      </c>
      <c r="U31" s="4"/>
      <c r="V31" s="13">
        <f t="shared" ref="V31:V34" si="21">IF(T$12=0,0,T31/T$12)</f>
        <v>0</v>
      </c>
      <c r="W31" s="4"/>
      <c r="X31" s="4">
        <f t="shared" ref="X31:X34" si="22">+P31-T31</f>
        <v>-380576.85</v>
      </c>
      <c r="Y31" s="4"/>
      <c r="Z31" s="13">
        <f t="shared" ref="Z31:Z34" si="23">IF(T31=0,0,X31/T31)</f>
        <v>-0.95748842503197062</v>
      </c>
    </row>
    <row r="32" spans="1:26" s="23" customFormat="1" hidden="1" outlineLevel="1" x14ac:dyDescent="0.25">
      <c r="A32" s="44"/>
      <c r="B32" s="10" t="str">
        <f>CONCATENATE("          ", "9150", " - ", "MISC. INCOME")</f>
        <v xml:space="preserve">          9150 - MISC. INCOME</v>
      </c>
      <c r="C32" s="10"/>
      <c r="D32" s="2">
        <f t="shared" ref="D32:D33" si="24">0</f>
        <v>0</v>
      </c>
      <c r="E32" s="2"/>
      <c r="F32" s="19">
        <f t="shared" si="16"/>
        <v>0</v>
      </c>
      <c r="G32" s="2"/>
      <c r="H32" s="2">
        <f>0</f>
        <v>0</v>
      </c>
      <c r="I32" s="2"/>
      <c r="J32" s="19">
        <f t="shared" si="17"/>
        <v>0</v>
      </c>
      <c r="K32" s="2"/>
      <c r="L32" s="2">
        <f t="shared" si="18"/>
        <v>0</v>
      </c>
      <c r="M32" s="2"/>
      <c r="N32" s="19">
        <f t="shared" si="19"/>
        <v>0</v>
      </c>
      <c r="O32" s="10"/>
      <c r="P32" s="2">
        <f>0</f>
        <v>0</v>
      </c>
      <c r="Q32" s="2"/>
      <c r="R32" s="19">
        <f t="shared" si="20"/>
        <v>0</v>
      </c>
      <c r="S32" s="2"/>
      <c r="T32" s="2">
        <f>0</f>
        <v>0</v>
      </c>
      <c r="U32" s="2"/>
      <c r="V32" s="19">
        <f t="shared" si="21"/>
        <v>0</v>
      </c>
      <c r="W32" s="2"/>
      <c r="X32" s="2">
        <f t="shared" si="22"/>
        <v>0</v>
      </c>
      <c r="Y32" s="2"/>
      <c r="Z32" s="19">
        <f t="shared" si="23"/>
        <v>0</v>
      </c>
    </row>
    <row r="33" spans="1:26" s="23" customFormat="1" hidden="1" outlineLevel="1" x14ac:dyDescent="0.25">
      <c r="A33" s="44"/>
      <c r="B33" s="10" t="str">
        <f>CONCATENATE("          ", "9160", " - ", "MISC. INCOME")</f>
        <v xml:space="preserve">          9160 - MISC. INCOME</v>
      </c>
      <c r="C33" s="10"/>
      <c r="D33" s="2">
        <f t="shared" si="24"/>
        <v>0</v>
      </c>
      <c r="E33" s="2"/>
      <c r="F33" s="19">
        <f t="shared" si="16"/>
        <v>0</v>
      </c>
      <c r="G33" s="2"/>
      <c r="H33" s="2">
        <f>--25000.02</f>
        <v>25000.02</v>
      </c>
      <c r="I33" s="2"/>
      <c r="J33" s="19">
        <f t="shared" si="17"/>
        <v>0</v>
      </c>
      <c r="K33" s="2"/>
      <c r="L33" s="2">
        <f t="shared" si="18"/>
        <v>-25000.02</v>
      </c>
      <c r="M33" s="2"/>
      <c r="N33" s="19">
        <f t="shared" si="19"/>
        <v>-1</v>
      </c>
      <c r="O33" s="10"/>
      <c r="P33" s="2">
        <f>--12798.71</f>
        <v>12798.71</v>
      </c>
      <c r="Q33" s="2"/>
      <c r="R33" s="19">
        <f t="shared" si="20"/>
        <v>0</v>
      </c>
      <c r="S33" s="2"/>
      <c r="T33" s="2">
        <f>--153039.31</f>
        <v>153039.31</v>
      </c>
      <c r="U33" s="2"/>
      <c r="V33" s="19">
        <f t="shared" si="21"/>
        <v>0</v>
      </c>
      <c r="W33" s="2"/>
      <c r="X33" s="2">
        <f t="shared" si="22"/>
        <v>-140240.6</v>
      </c>
      <c r="Y33" s="2"/>
      <c r="Z33" s="19">
        <f t="shared" si="23"/>
        <v>-0.91636978760555055</v>
      </c>
    </row>
    <row r="34" spans="1:26" s="23" customFormat="1" hidden="1" outlineLevel="1" x14ac:dyDescent="0.25">
      <c r="A34" s="44"/>
      <c r="B34" s="10" t="str">
        <f>CONCATENATE("          ", "9165", " - ", "OTHER INCOME")</f>
        <v xml:space="preserve">          9165 - OTHER INCOME</v>
      </c>
      <c r="C34" s="10"/>
      <c r="D34" s="2">
        <f>--576.86</f>
        <v>576.86</v>
      </c>
      <c r="E34" s="2"/>
      <c r="F34" s="19">
        <f t="shared" si="16"/>
        <v>0</v>
      </c>
      <c r="G34" s="2"/>
      <c r="H34" s="2">
        <f>--1309.77</f>
        <v>1309.77</v>
      </c>
      <c r="I34" s="2"/>
      <c r="J34" s="19">
        <f t="shared" si="17"/>
        <v>0</v>
      </c>
      <c r="K34" s="2"/>
      <c r="L34" s="2">
        <f t="shared" si="18"/>
        <v>-732.91</v>
      </c>
      <c r="M34" s="2"/>
      <c r="N34" s="19">
        <f t="shared" si="19"/>
        <v>-0.55957152782549602</v>
      </c>
      <c r="O34" s="10"/>
      <c r="P34" s="2">
        <f>--4098.54</f>
        <v>4098.54</v>
      </c>
      <c r="Q34" s="2"/>
      <c r="R34" s="19">
        <f t="shared" si="20"/>
        <v>0</v>
      </c>
      <c r="S34" s="2"/>
      <c r="T34" s="2">
        <f>--244434.79</f>
        <v>244434.79</v>
      </c>
      <c r="U34" s="2"/>
      <c r="V34" s="19">
        <f t="shared" si="21"/>
        <v>0</v>
      </c>
      <c r="W34" s="2"/>
      <c r="X34" s="2">
        <f t="shared" si="22"/>
        <v>-240336.25</v>
      </c>
      <c r="Y34" s="2"/>
      <c r="Z34" s="19">
        <f t="shared" si="23"/>
        <v>-0.98323258321779805</v>
      </c>
    </row>
    <row r="35" spans="1:26" x14ac:dyDescent="0.25">
      <c r="A35" s="9"/>
      <c r="B35" s="11"/>
      <c r="C35" s="11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O35" s="11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4" customFormat="1" x14ac:dyDescent="0.25">
      <c r="A36" s="11"/>
      <c r="B36" s="28" t="s">
        <v>276</v>
      </c>
      <c r="C36" s="28"/>
      <c r="D36" s="21">
        <f>+D16-D18+D31</f>
        <v>576.86</v>
      </c>
      <c r="E36" s="14"/>
      <c r="F36" s="22">
        <f>IF(D$12=0,0,D36/D$12)</f>
        <v>0</v>
      </c>
      <c r="G36" s="14"/>
      <c r="H36" s="21">
        <f>+H16-H18+H31</f>
        <v>26444.100000000002</v>
      </c>
      <c r="I36" s="14"/>
      <c r="J36" s="22">
        <f>IF(H$12=0,0,H36/H$12)</f>
        <v>0</v>
      </c>
      <c r="K36" s="15"/>
      <c r="L36" s="21">
        <f>+D36-H36</f>
        <v>-25867.24</v>
      </c>
      <c r="M36" s="15"/>
      <c r="N36" s="22">
        <f>IF(H36=0,0,L36/H36)</f>
        <v>-0.97818568225048308</v>
      </c>
      <c r="O36" s="29"/>
      <c r="P36" s="21">
        <f>+P16-P18+P31</f>
        <v>16897.25</v>
      </c>
      <c r="Q36" s="14"/>
      <c r="R36" s="22">
        <f>IF(P$12=0,0,P36/P$12)</f>
        <v>0</v>
      </c>
      <c r="S36" s="14"/>
      <c r="T36" s="21">
        <f>+T16-T18+T31</f>
        <v>329647</v>
      </c>
      <c r="U36" s="14"/>
      <c r="V36" s="22">
        <f>IF(T$12=0,0,T36/T$12)</f>
        <v>0</v>
      </c>
      <c r="W36" s="15"/>
      <c r="X36" s="21">
        <f>+P36-T36</f>
        <v>-312749.75</v>
      </c>
      <c r="Y36" s="15"/>
      <c r="Z36" s="22">
        <f>IF(T36=0,0,X36/T36)</f>
        <v>-0.94874138093172389</v>
      </c>
    </row>
    <row r="37" spans="1:26" x14ac:dyDescent="0.25">
      <c r="A37" s="9"/>
      <c r="B37" s="11"/>
      <c r="C37" s="9"/>
      <c r="D37" s="3"/>
      <c r="E37" s="3"/>
      <c r="F37" s="8"/>
      <c r="G37" s="3"/>
      <c r="H37" s="3"/>
      <c r="I37" s="3"/>
      <c r="J37" s="8"/>
      <c r="K37" s="3"/>
      <c r="L37" s="3"/>
      <c r="M37" s="3"/>
      <c r="N37" s="8"/>
      <c r="P37" s="3"/>
      <c r="Q37" s="3"/>
      <c r="R37" s="8"/>
      <c r="S37" s="3"/>
      <c r="T37" s="3"/>
      <c r="U37" s="3"/>
      <c r="V37" s="8"/>
      <c r="W37" s="3"/>
      <c r="X37" s="3"/>
      <c r="Y37" s="3"/>
      <c r="Z37" s="8"/>
    </row>
    <row r="38" spans="1:26" s="24" customFormat="1" x14ac:dyDescent="0.25">
      <c r="A38" s="51"/>
      <c r="B38" s="11" t="s">
        <v>127</v>
      </c>
      <c r="C38" s="11"/>
      <c r="D38" s="4"/>
      <c r="E38" s="4"/>
      <c r="F38" s="13">
        <f>IF(D$12=0,0,D38/D$12)</f>
        <v>0</v>
      </c>
      <c r="G38" s="4"/>
      <c r="H38" s="4"/>
      <c r="I38" s="4"/>
      <c r="J38" s="13">
        <f>IF(H$12=0,0,H38/H$12)</f>
        <v>0</v>
      </c>
      <c r="K38" s="4"/>
      <c r="L38" s="4">
        <f>+D38-H38</f>
        <v>0</v>
      </c>
      <c r="M38" s="4"/>
      <c r="N38" s="13">
        <f>IF(H38=0,0,L38/H38)</f>
        <v>0</v>
      </c>
      <c r="O38" s="11"/>
      <c r="P38" s="4"/>
      <c r="Q38" s="4"/>
      <c r="R38" s="13">
        <f>IF(P$12=0,0,P38/P$12)</f>
        <v>0</v>
      </c>
      <c r="S38" s="4"/>
      <c r="T38" s="4"/>
      <c r="U38" s="4"/>
      <c r="V38" s="13">
        <f>IF(T$12=0,0,T38/T$12)</f>
        <v>0</v>
      </c>
      <c r="W38" s="4"/>
      <c r="X38" s="4">
        <f>+P38-T38</f>
        <v>0</v>
      </c>
      <c r="Y38" s="4"/>
      <c r="Z38" s="13">
        <f>IF(T38=0,0,X38/T38)</f>
        <v>0</v>
      </c>
    </row>
    <row r="39" spans="1:26" x14ac:dyDescent="0.25">
      <c r="A39" s="9"/>
      <c r="B39" s="11"/>
      <c r="C39" s="11"/>
      <c r="D39" s="3"/>
      <c r="E39" s="3"/>
      <c r="F39" s="8"/>
      <c r="G39" s="3"/>
      <c r="H39" s="3"/>
      <c r="I39" s="3"/>
      <c r="J39" s="8"/>
      <c r="K39" s="3"/>
      <c r="L39" s="3"/>
      <c r="M39" s="3"/>
      <c r="N39" s="8"/>
      <c r="O39" s="11"/>
      <c r="P39" s="3"/>
      <c r="Q39" s="3"/>
      <c r="R39" s="8"/>
      <c r="S39" s="3"/>
      <c r="T39" s="3"/>
      <c r="U39" s="3"/>
      <c r="V39" s="8"/>
      <c r="W39" s="3"/>
      <c r="X39" s="3"/>
      <c r="Y39" s="3"/>
      <c r="Z39" s="8"/>
    </row>
    <row r="40" spans="1:26" s="24" customFormat="1" ht="15.75" thickBot="1" x14ac:dyDescent="0.3">
      <c r="A40" s="11"/>
      <c r="B40" s="28" t="s">
        <v>125</v>
      </c>
      <c r="C40" s="28"/>
      <c r="D40" s="34">
        <f>+D36-D38</f>
        <v>576.86</v>
      </c>
      <c r="E40" s="14"/>
      <c r="F40" s="31">
        <f>IF(D$12=0,0,D40/D$12)</f>
        <v>0</v>
      </c>
      <c r="G40" s="14"/>
      <c r="H40" s="34">
        <f>+H36-H38</f>
        <v>26444.100000000002</v>
      </c>
      <c r="I40" s="14"/>
      <c r="J40" s="31">
        <f>IF(H$12=0,0,H40/H$12)</f>
        <v>0</v>
      </c>
      <c r="K40" s="15"/>
      <c r="L40" s="34">
        <f>D40-H40</f>
        <v>-25867.24</v>
      </c>
      <c r="M40" s="15"/>
      <c r="N40" s="31">
        <f>IF(H40=0,0,L40/H40)</f>
        <v>-0.97818568225048308</v>
      </c>
      <c r="O40" s="29"/>
      <c r="P40" s="34">
        <f>+P36-P38</f>
        <v>16897.25</v>
      </c>
      <c r="Q40" s="14"/>
      <c r="R40" s="31">
        <f>IF(P$12=0,0,P40/P$12)</f>
        <v>0</v>
      </c>
      <c r="S40" s="14"/>
      <c r="T40" s="34">
        <f>+T36-T38</f>
        <v>329647</v>
      </c>
      <c r="U40" s="14"/>
      <c r="V40" s="31">
        <f>IF(T$12=0,0,T40/T$12)</f>
        <v>0</v>
      </c>
      <c r="W40" s="15"/>
      <c r="X40" s="34">
        <f>P40-T40</f>
        <v>-312749.75</v>
      </c>
      <c r="Y40" s="15"/>
      <c r="Z40" s="31">
        <f>IF(T40=0,0,X40/T40)</f>
        <v>-0.94874138093172389</v>
      </c>
    </row>
    <row r="41" spans="1:26" ht="15.75" thickTop="1" x14ac:dyDescent="0.25">
      <c r="A41" s="9"/>
      <c r="B41" s="9"/>
      <c r="C41" s="9"/>
      <c r="D41" s="3"/>
      <c r="E41" s="3"/>
      <c r="F41" s="8"/>
      <c r="G41" s="3"/>
      <c r="H41" s="3"/>
      <c r="I41" s="3"/>
      <c r="J41" s="8"/>
      <c r="K41" s="3"/>
      <c r="L41" s="3"/>
      <c r="M41" s="3"/>
      <c r="N41" s="8"/>
      <c r="P41" s="3"/>
      <c r="Q41" s="3"/>
      <c r="R41" s="8"/>
      <c r="S41" s="3"/>
      <c r="T41" s="3"/>
      <c r="U41" s="3"/>
      <c r="V41" s="8"/>
      <c r="W41" s="3"/>
      <c r="X41" s="3"/>
      <c r="Y41" s="3"/>
      <c r="Z41" s="8"/>
    </row>
    <row r="42" spans="1:26" x14ac:dyDescent="0.25">
      <c r="A42" s="9"/>
      <c r="B42" s="9"/>
      <c r="C42" s="9"/>
      <c r="D42" s="3"/>
      <c r="E42" s="3"/>
      <c r="F42" s="8"/>
      <c r="G42" s="3"/>
      <c r="H42" s="3"/>
      <c r="I42" s="3"/>
      <c r="J42" s="8"/>
      <c r="K42" s="3"/>
      <c r="L42" s="3"/>
      <c r="M42" s="3"/>
      <c r="N42" s="8"/>
      <c r="P42" s="3"/>
      <c r="Q42" s="3"/>
      <c r="R42" s="8"/>
      <c r="S42" s="3"/>
      <c r="T42" s="3"/>
      <c r="U42" s="3"/>
      <c r="V42" s="8"/>
      <c r="W42" s="3"/>
      <c r="X42" s="3"/>
      <c r="Y42" s="3"/>
      <c r="Z42" s="8"/>
    </row>
    <row r="43" spans="1:26" s="24" customFormat="1" ht="15.75" thickBot="1" x14ac:dyDescent="0.3">
      <c r="A43" s="11"/>
      <c r="B43" s="28" t="s">
        <v>293</v>
      </c>
      <c r="C43" s="28"/>
      <c r="D43" s="33">
        <f>SUM(D40:D42)</f>
        <v>576.86</v>
      </c>
      <c r="E43" s="14"/>
      <c r="F43" s="35">
        <f>IF(D$12=0,0,D43/D$12)</f>
        <v>0</v>
      </c>
      <c r="G43" s="14"/>
      <c r="H43" s="33">
        <f>SUM(H40:H42)</f>
        <v>26444.100000000002</v>
      </c>
      <c r="I43" s="14"/>
      <c r="J43" s="35">
        <f>IF(H$12=0,0,H43/H$12)</f>
        <v>0</v>
      </c>
      <c r="K43" s="15"/>
      <c r="L43" s="33">
        <f>+D43-H43</f>
        <v>-25867.24</v>
      </c>
      <c r="M43" s="15"/>
      <c r="N43" s="35">
        <f>IF(H43=0,0,L43/H43)</f>
        <v>-0.97818568225048308</v>
      </c>
      <c r="O43" s="29"/>
      <c r="P43" s="33">
        <f>SUM(P40:P42)</f>
        <v>16897.25</v>
      </c>
      <c r="Q43" s="14"/>
      <c r="R43" s="35">
        <f>IF(P$12=0,0,P43/P$12)</f>
        <v>0</v>
      </c>
      <c r="S43" s="14"/>
      <c r="T43" s="33">
        <f>SUM(T40:T42)</f>
        <v>329647</v>
      </c>
      <c r="U43" s="14"/>
      <c r="V43" s="35">
        <f>IF(T$12=0,0,T43/T$12)</f>
        <v>0</v>
      </c>
      <c r="W43" s="15"/>
      <c r="X43" s="33">
        <f>+P43-T43</f>
        <v>-312749.75</v>
      </c>
      <c r="Y43" s="15"/>
      <c r="Z43" s="35">
        <f>IF(T43=0,0,X43/T43)</f>
        <v>-0.94874138093172389</v>
      </c>
    </row>
    <row r="44" spans="1:26" ht="15.75" thickTop="1" x14ac:dyDescent="0.25">
      <c r="A44" s="9"/>
      <c r="C44" s="9"/>
      <c r="D44" s="18"/>
      <c r="E44" s="18"/>
      <c r="G44" s="18"/>
      <c r="H44" s="18"/>
      <c r="I44" s="18"/>
      <c r="J44" s="43"/>
      <c r="K44" s="18"/>
      <c r="L44" s="18"/>
      <c r="M44" s="18"/>
      <c r="P44" s="18"/>
      <c r="Q44" s="18"/>
      <c r="R44" s="43"/>
      <c r="S44" s="18"/>
      <c r="T44" s="18"/>
      <c r="U44" s="18"/>
      <c r="V44" s="43"/>
      <c r="W44" s="18"/>
      <c r="X44" s="18"/>
    </row>
    <row r="45" spans="1:26" x14ac:dyDescent="0.25">
      <c r="A45" s="9"/>
      <c r="B45" s="56">
        <v>44454.698585613427</v>
      </c>
      <c r="D45" s="18"/>
      <c r="E45" s="18"/>
      <c r="G45" s="18"/>
      <c r="H45" s="18"/>
      <c r="I45" s="18"/>
      <c r="J45" s="43"/>
      <c r="K45" s="18"/>
      <c r="L45" s="18"/>
      <c r="M45" s="18"/>
      <c r="P45" s="18"/>
      <c r="Q45" s="18"/>
      <c r="R45" s="43"/>
      <c r="S45" s="18"/>
      <c r="T45" s="18"/>
      <c r="U45" s="18"/>
      <c r="V45" s="43"/>
      <c r="W45" s="18"/>
      <c r="X45" s="18"/>
    </row>
    <row r="46" spans="1:26" x14ac:dyDescent="0.25">
      <c r="A46" s="9"/>
      <c r="B46" s="55" t="s">
        <v>56</v>
      </c>
      <c r="D46" s="18"/>
      <c r="E46" s="18"/>
      <c r="G46" s="18"/>
      <c r="H46" s="18"/>
      <c r="I46" s="18"/>
      <c r="J46" s="43"/>
      <c r="K46" s="18"/>
      <c r="L46" s="18"/>
      <c r="M46" s="18"/>
      <c r="P46" s="18"/>
      <c r="Q46" s="18"/>
      <c r="R46" s="43"/>
      <c r="S46" s="18"/>
      <c r="T46" s="18"/>
      <c r="U46" s="18"/>
      <c r="V46" s="43"/>
      <c r="W46" s="18"/>
      <c r="X46" s="18"/>
    </row>
    <row r="47" spans="1:26" x14ac:dyDescent="0.25">
      <c r="A47" s="9"/>
      <c r="B47" s="60"/>
      <c r="D47" s="18"/>
      <c r="E47" s="18"/>
      <c r="G47" s="18"/>
      <c r="H47" s="18"/>
      <c r="I47" s="18"/>
      <c r="J47" s="43"/>
      <c r="K47" s="18"/>
      <c r="L47" s="18"/>
      <c r="M47" s="18"/>
      <c r="P47" s="18"/>
      <c r="Q47" s="18"/>
      <c r="R47" s="43"/>
      <c r="S47" s="18"/>
      <c r="T47" s="18"/>
      <c r="U47" s="18"/>
      <c r="V47" s="43"/>
      <c r="W47" s="18"/>
      <c r="X47" s="18"/>
    </row>
    <row r="48" spans="1:26" x14ac:dyDescent="0.25">
      <c r="D48" s="18"/>
      <c r="E48" s="18"/>
      <c r="G48" s="18"/>
      <c r="H48" s="18"/>
      <c r="I48" s="18"/>
      <c r="J48" s="43"/>
      <c r="K48" s="18"/>
      <c r="L48" s="18"/>
      <c r="M48" s="18"/>
      <c r="P48" s="18"/>
      <c r="Q48" s="18"/>
      <c r="R48" s="43"/>
      <c r="S48" s="18"/>
      <c r="T48" s="18"/>
      <c r="U48" s="18"/>
      <c r="V48" s="43"/>
      <c r="W48" s="18"/>
      <c r="X48" s="18"/>
    </row>
  </sheetData>
  <pageMargins left="0.25" right="0.25" top="0.75" bottom="0.75" header="0.3" footer="0.3"/>
  <pageSetup scale="55" fitToWidth="2" orientation="landscape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62" t="s">
        <v>23</v>
      </c>
    </row>
    <row r="3" spans="1:26" x14ac:dyDescent="0.25">
      <c r="D3" s="62" t="s">
        <v>236</v>
      </c>
      <c r="E3" s="17"/>
      <c r="F3" s="46"/>
      <c r="G3" s="17"/>
      <c r="H3" s="17"/>
      <c r="I3" s="17"/>
      <c r="J3" s="38"/>
      <c r="K3" s="17"/>
      <c r="L3" s="17"/>
      <c r="M3" s="17"/>
      <c r="N3" s="46"/>
      <c r="O3" s="53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2" t="e">
        <f ca="1">CONCATENATE("Period ",RIGHT(_xll.OneStop.ReportPlayer.OSRFunctions.OSRGet("Period","PeriodId"),2),", ",_xll.OneStop.ReportPlayer.OSRFunctions.OSRGet("Period","Year"))</f>
        <v>#NAME?</v>
      </c>
      <c r="E4" s="17"/>
      <c r="F4" s="46"/>
      <c r="G4" s="17"/>
      <c r="H4" s="17"/>
      <c r="I4" s="17"/>
      <c r="J4" s="38"/>
      <c r="K4" s="17"/>
      <c r="L4" s="17"/>
      <c r="M4" s="17"/>
      <c r="N4" s="46"/>
      <c r="O4" s="53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4"/>
      <c r="D5" s="64" t="e">
        <f ca="1">_xll.OneStop.ReportPlayer.OSRFunctions.OSRGet("Period","PeriodEnd")</f>
        <v>#NAME?</v>
      </c>
      <c r="E5" s="17"/>
      <c r="F5" s="46"/>
      <c r="G5" s="17"/>
      <c r="H5" s="17"/>
      <c r="I5" s="17"/>
      <c r="J5" s="38"/>
      <c r="K5" s="17"/>
      <c r="L5" s="17"/>
      <c r="M5" s="17"/>
      <c r="N5" s="46"/>
      <c r="O5" s="53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4"/>
      <c r="B6" s="48"/>
      <c r="C6" s="48"/>
      <c r="D6" s="24" t="s">
        <v>138</v>
      </c>
      <c r="E6" s="17"/>
      <c r="F6" s="46"/>
      <c r="G6" s="17"/>
      <c r="H6" s="17"/>
      <c r="I6" s="17"/>
      <c r="J6" s="38"/>
      <c r="K6" s="17"/>
      <c r="L6" s="17"/>
      <c r="M6" s="17"/>
      <c r="N6" s="46"/>
      <c r="O6" s="54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9"/>
    </row>
    <row r="8" spans="1:26" x14ac:dyDescent="0.25">
      <c r="B8" s="59"/>
    </row>
    <row r="9" spans="1:26" x14ac:dyDescent="0.25">
      <c r="B9" s="9"/>
      <c r="C9" s="9"/>
      <c r="D9" s="16" t="s">
        <v>291</v>
      </c>
      <c r="E9" s="16"/>
      <c r="F9" s="39"/>
      <c r="G9" s="16"/>
      <c r="H9" s="16"/>
      <c r="I9" s="16"/>
      <c r="J9" s="49"/>
      <c r="K9" s="16"/>
      <c r="L9" s="16"/>
      <c r="M9" s="16"/>
      <c r="N9" s="39"/>
      <c r="P9" s="16" t="s">
        <v>39</v>
      </c>
      <c r="Q9" s="16"/>
      <c r="R9" s="39"/>
      <c r="S9" s="16"/>
      <c r="T9" s="16"/>
      <c r="U9" s="16"/>
      <c r="V9" s="49"/>
      <c r="W9" s="16"/>
      <c r="X9" s="16"/>
      <c r="Y9" s="16"/>
      <c r="Z9" s="39"/>
    </row>
    <row r="10" spans="1:26" x14ac:dyDescent="0.25">
      <c r="A10" s="11"/>
      <c r="B10" s="58"/>
      <c r="C10" s="11"/>
      <c r="D10" s="42" t="s">
        <v>57</v>
      </c>
      <c r="E10" s="36"/>
      <c r="F10" s="30" t="s">
        <v>40</v>
      </c>
      <c r="G10" s="36"/>
      <c r="H10" s="50" t="s">
        <v>237</v>
      </c>
      <c r="I10" s="36"/>
      <c r="J10" s="30" t="s">
        <v>40</v>
      </c>
      <c r="K10" s="11"/>
      <c r="L10" s="42" t="s">
        <v>126</v>
      </c>
      <c r="M10" s="11"/>
      <c r="N10" s="30" t="s">
        <v>257</v>
      </c>
      <c r="O10" s="11"/>
      <c r="P10" s="61" t="s">
        <v>57</v>
      </c>
      <c r="Q10" s="36"/>
      <c r="R10" s="30" t="s">
        <v>40</v>
      </c>
      <c r="S10" s="36"/>
      <c r="T10" s="50" t="s">
        <v>237</v>
      </c>
      <c r="U10" s="36"/>
      <c r="V10" s="30" t="s">
        <v>40</v>
      </c>
      <c r="W10" s="11"/>
      <c r="X10" s="42" t="s">
        <v>126</v>
      </c>
      <c r="Y10" s="11"/>
      <c r="Z10" s="30" t="s">
        <v>257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4" customFormat="1" collapsed="1" x14ac:dyDescent="0.25">
      <c r="A12" s="11"/>
      <c r="B12" s="29" t="s">
        <v>139</v>
      </c>
      <c r="C12" s="11"/>
      <c r="D12" s="4" t="e">
        <f ca="1">SUM(_xll.OneStop.ReportPlayer.OSRFunctions.OSRRef(D13))</f>
        <v>#NAME?</v>
      </c>
      <c r="E12" s="4"/>
      <c r="F12" s="13"/>
      <c r="G12" s="4"/>
      <c r="H12" s="4" t="e">
        <f ca="1">SUM(_xll.OneStop.ReportPlayer.OSRFunctions.OSRRef(H13))</f>
        <v>#NAME?</v>
      </c>
      <c r="I12" s="4"/>
      <c r="J12" s="13"/>
      <c r="K12" s="4"/>
      <c r="L12" s="4" t="e">
        <f t="shared" ref="L12:L13" ca="1" si="0">+D12-H12</f>
        <v>#NAME?</v>
      </c>
      <c r="M12" s="4"/>
      <c r="N12" s="13" t="e">
        <f t="shared" ref="N12:N13" ca="1" si="1">IF(H12=0,0,L12/H12)</f>
        <v>#NAME?</v>
      </c>
      <c r="O12" s="11"/>
      <c r="P12" s="4" t="e">
        <f ca="1">SUM(_xll.OneStop.ReportPlayer.OSRFunctions.OSRRef(P13))</f>
        <v>#NAME?</v>
      </c>
      <c r="Q12" s="4"/>
      <c r="R12" s="13"/>
      <c r="S12" s="4"/>
      <c r="T12" s="4" t="e">
        <f ca="1">SUM(_xll.OneStop.ReportPlayer.OSRFunctions.OSRRef(T13))</f>
        <v>#NAME?</v>
      </c>
      <c r="U12" s="4"/>
      <c r="V12" s="13"/>
      <c r="W12" s="4"/>
      <c r="X12" s="4" t="e">
        <f t="shared" ref="X12:X13" ca="1" si="2">+P12-T12</f>
        <v>#NAME?</v>
      </c>
      <c r="Y12" s="4"/>
      <c r="Z12" s="13" t="e">
        <f t="shared" ref="Z12:Z13" ca="1" si="3">IF(T12=0,0,X12/T12)</f>
        <v>#NAME?</v>
      </c>
    </row>
    <row r="13" spans="1:26" s="23" customFormat="1" hidden="1" outlineLevel="1" x14ac:dyDescent="0.25">
      <c r="A13" s="44"/>
      <c r="B13" s="10" t="e">
        <f ca="1">CONCATENATE("          ", _xll.OneStop.ReportPlayer.OSRFunctions.OSRGet("d_Account","Code"), " - ", _xll.OneStop.ReportPlayer.OSRFunctions.OSRGet("d_Account","Description"))</f>
        <v>#NAME?</v>
      </c>
      <c r="C13" s="10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0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1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4" customFormat="1" collapsed="1" x14ac:dyDescent="0.25">
      <c r="A15" s="11"/>
      <c r="B15" s="29" t="s">
        <v>256</v>
      </c>
      <c r="C15" s="11"/>
      <c r="D15" s="4" t="e">
        <f ca="1">SUM(_xll.OneStop.ReportPlayer.OSRFunctions.OSRRef(D16))</f>
        <v>#NAME?</v>
      </c>
      <c r="E15" s="4"/>
      <c r="F15" s="13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3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3" t="e">
        <f t="shared" ref="N15:N16" ca="1" si="7">IF(H15=0,0,L15/H15)</f>
        <v>#NAME?</v>
      </c>
      <c r="O15" s="11"/>
      <c r="P15" s="4" t="e">
        <f ca="1">SUM(_xll.OneStop.ReportPlayer.OSRFunctions.OSRRef(P16))</f>
        <v>#NAME?</v>
      </c>
      <c r="Q15" s="4"/>
      <c r="R15" s="13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3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3" t="e">
        <f t="shared" ref="Z15:Z16" ca="1" si="11">IF(T15=0,0,X15/T15)</f>
        <v>#NAME?</v>
      </c>
    </row>
    <row r="16" spans="1:26" s="23" customFormat="1" hidden="1" outlineLevel="1" x14ac:dyDescent="0.25">
      <c r="A16" s="44"/>
      <c r="B16" s="10" t="e">
        <f ca="1">CONCATENATE("          ", _xll.OneStop.ReportPlayer.OSRFunctions.OSRGet("d_Account","Code"), " - ", _xll.OneStop.ReportPlayer.OSRFunctions.OSRGet("d_Account","Description"))</f>
        <v>#NAME?</v>
      </c>
      <c r="C16" s="10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0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1"/>
      <c r="C17" s="11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1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4" customFormat="1" x14ac:dyDescent="0.25">
      <c r="A18" s="11"/>
      <c r="B18" s="28" t="s">
        <v>107</v>
      </c>
      <c r="C18" s="28"/>
      <c r="D18" s="21" t="e">
        <f ca="1">D12-D15</f>
        <v>#NAME?</v>
      </c>
      <c r="E18" s="14"/>
      <c r="F18" s="22" t="e">
        <f ca="1">IF(D$12=0,0,D18/D$12)</f>
        <v>#NAME?</v>
      </c>
      <c r="G18" s="14"/>
      <c r="H18" s="21" t="e">
        <f ca="1">H12-H15</f>
        <v>#NAME?</v>
      </c>
      <c r="I18" s="14"/>
      <c r="J18" s="22" t="e">
        <f ca="1">IF(H$12=0,0,H18/H$12)</f>
        <v>#NAME?</v>
      </c>
      <c r="K18" s="15"/>
      <c r="L18" s="21" t="e">
        <f ca="1">+D18-H18</f>
        <v>#NAME?</v>
      </c>
      <c r="M18" s="15"/>
      <c r="N18" s="22" t="e">
        <f ca="1">IF(H18=0,0,L18/H18)</f>
        <v>#NAME?</v>
      </c>
      <c r="O18" s="29"/>
      <c r="P18" s="21" t="e">
        <f ca="1">P12-P15</f>
        <v>#NAME?</v>
      </c>
      <c r="Q18" s="14"/>
      <c r="R18" s="22" t="e">
        <f ca="1">IF(P$12=0,0,P18/P$12)</f>
        <v>#NAME?</v>
      </c>
      <c r="S18" s="14"/>
      <c r="T18" s="21" t="e">
        <f ca="1">T12-T15</f>
        <v>#NAME?</v>
      </c>
      <c r="U18" s="14"/>
      <c r="V18" s="22" t="e">
        <f ca="1">IF(T$12=0,0,T18/T$12)</f>
        <v>#NAME?</v>
      </c>
      <c r="W18" s="15"/>
      <c r="X18" s="21" t="e">
        <f ca="1">+P18-T18</f>
        <v>#NAME?</v>
      </c>
      <c r="Y18" s="15"/>
      <c r="Z18" s="22" t="e">
        <f ca="1">IF(T18=0,0,X18/T18)</f>
        <v>#NAME?</v>
      </c>
    </row>
    <row r="19" spans="1:26" x14ac:dyDescent="0.25">
      <c r="A19" s="9"/>
      <c r="B19" s="11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4" customFormat="1" x14ac:dyDescent="0.25">
      <c r="A20" s="11"/>
      <c r="B20" s="29" t="s">
        <v>294</v>
      </c>
      <c r="C20" s="11"/>
      <c r="D20" s="20" t="e">
        <f ca="1">SUM(_xll.OneStop.ReportPlayer.OSRFunctions.OSRRef(D22))</f>
        <v>#NAME?</v>
      </c>
      <c r="E20" s="20"/>
      <c r="F20" s="32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2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2" t="e">
        <f t="shared" ref="N20:N22" ca="1" si="15">IF(H20=0,0,L20/H20)</f>
        <v>#NAME?</v>
      </c>
      <c r="O20" s="11"/>
      <c r="P20" s="20" t="e">
        <f ca="1">SUM(_xll.OneStop.ReportPlayer.OSRFunctions.OSRRef(P22))</f>
        <v>#NAME?</v>
      </c>
      <c r="Q20" s="20"/>
      <c r="R20" s="32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2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2" t="e">
        <f t="shared" ref="Z20:Z22" ca="1" si="19">IF(T20=0,0,X20/T20)</f>
        <v>#NAME?</v>
      </c>
    </row>
    <row r="21" spans="1:26" s="27" customFormat="1" outlineLevel="1" collapsed="1" x14ac:dyDescent="0.25">
      <c r="A21" s="26"/>
      <c r="B21" s="12" t="e">
        <f ca="1">CONCATENATE("     ",_xll.OneStop.ReportPlayer.OSRFunctions.OSRGet("d_Account","AccountCategory"))</f>
        <v>#NAME?</v>
      </c>
      <c r="C21" s="12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2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3" customFormat="1" hidden="1" outlineLevel="2" x14ac:dyDescent="0.25">
      <c r="A22" s="25"/>
      <c r="B22" s="10" t="e">
        <f ca="1">CONCATENATE("          ", _xll.OneStop.ReportPlayer.OSRFunctions.OSRGet("d_Account","Code"), " - ", _xll.OneStop.ReportPlayer.OSRFunctions.OSRGet("d_Account","Description"))</f>
        <v>#NAME?</v>
      </c>
      <c r="C22" s="10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0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2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4" customFormat="1" collapsed="1" x14ac:dyDescent="0.25">
      <c r="A24" s="11"/>
      <c r="B24" s="29" t="s">
        <v>292</v>
      </c>
      <c r="C24" s="11"/>
      <c r="D24" s="4" t="e">
        <f ca="1">SUM(_xll.OneStop.ReportPlayer.OSRFunctions.OSRRef(D25))</f>
        <v>#NAME?</v>
      </c>
      <c r="E24" s="4"/>
      <c r="F24" s="13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3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3" t="e">
        <f t="shared" ref="N24:N25" ca="1" si="23">IF(H24=0,0,L24/H24)</f>
        <v>#NAME?</v>
      </c>
      <c r="O24" s="11"/>
      <c r="P24" s="4" t="e">
        <f ca="1">SUM(_xll.OneStop.ReportPlayer.OSRFunctions.OSRRef(P25))</f>
        <v>#NAME?</v>
      </c>
      <c r="Q24" s="4"/>
      <c r="R24" s="13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3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3" t="e">
        <f t="shared" ref="Z24:Z25" ca="1" si="27">IF(T24=0,0,X24/T24)</f>
        <v>#NAME?</v>
      </c>
    </row>
    <row r="25" spans="1:26" s="23" customFormat="1" hidden="1" outlineLevel="1" x14ac:dyDescent="0.25">
      <c r="A25" s="44"/>
      <c r="B25" s="10" t="e">
        <f ca="1">CONCATENATE("          ", _xll.OneStop.ReportPlayer.OSRFunctions.OSRGet("d_Account","Code"), " - ", _xll.OneStop.ReportPlayer.OSRFunctions.OSRGet("d_Account","Description"))</f>
        <v>#NAME?</v>
      </c>
      <c r="C25" s="10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0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1"/>
      <c r="C26" s="11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1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4" customFormat="1" x14ac:dyDescent="0.25">
      <c r="A27" s="11"/>
      <c r="B27" s="28" t="s">
        <v>276</v>
      </c>
      <c r="C27" s="28"/>
      <c r="D27" s="21" t="e">
        <f ca="1">+D18-D20+D24</f>
        <v>#NAME?</v>
      </c>
      <c r="E27" s="14"/>
      <c r="F27" s="22" t="e">
        <f ca="1">IF(D$12=0,0,D27/D$12)</f>
        <v>#NAME?</v>
      </c>
      <c r="G27" s="14"/>
      <c r="H27" s="21" t="e">
        <f ca="1">+H18-H20+H24</f>
        <v>#NAME?</v>
      </c>
      <c r="I27" s="14"/>
      <c r="J27" s="22" t="e">
        <f ca="1">IF(H$12=0,0,H27/H$12)</f>
        <v>#NAME?</v>
      </c>
      <c r="K27" s="15"/>
      <c r="L27" s="21" t="e">
        <f ca="1">+D27-H27</f>
        <v>#NAME?</v>
      </c>
      <c r="M27" s="15"/>
      <c r="N27" s="22" t="e">
        <f ca="1">IF(H27=0,0,L27/H27)</f>
        <v>#NAME?</v>
      </c>
      <c r="O27" s="29"/>
      <c r="P27" s="21" t="e">
        <f ca="1">+P18-P20+P24</f>
        <v>#NAME?</v>
      </c>
      <c r="Q27" s="14"/>
      <c r="R27" s="22" t="e">
        <f ca="1">IF(P$12=0,0,P27/P$12)</f>
        <v>#NAME?</v>
      </c>
      <c r="S27" s="14"/>
      <c r="T27" s="21" t="e">
        <f ca="1">+T18-T20+T24</f>
        <v>#NAME?</v>
      </c>
      <c r="U27" s="14"/>
      <c r="V27" s="22" t="e">
        <f ca="1">IF(T$12=0,0,T27/T$12)</f>
        <v>#NAME?</v>
      </c>
      <c r="W27" s="15"/>
      <c r="X27" s="21" t="e">
        <f ca="1">+P27-T27</f>
        <v>#NAME?</v>
      </c>
      <c r="Y27" s="15"/>
      <c r="Z27" s="22" t="e">
        <f ca="1">IF(T27=0,0,X27/T27)</f>
        <v>#NAME?</v>
      </c>
    </row>
    <row r="28" spans="1:26" x14ac:dyDescent="0.25">
      <c r="A28" s="9"/>
      <c r="B28" s="11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4" customFormat="1" x14ac:dyDescent="0.25">
      <c r="A29" s="51"/>
      <c r="B29" s="11" t="s">
        <v>127</v>
      </c>
      <c r="C29" s="11"/>
      <c r="D29" s="4" t="e">
        <f ca="1">_xll.OneStop.ReportPlayer.OSRFunctions.OSRGet("GL_F_Trans","Value1")</f>
        <v>#NAME?</v>
      </c>
      <c r="E29" s="4"/>
      <c r="F29" s="13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3" t="e">
        <f ca="1">IF(H$12=0,0,H29/H$12)</f>
        <v>#NAME?</v>
      </c>
      <c r="K29" s="4"/>
      <c r="L29" s="4" t="e">
        <f ca="1">+D29-H29</f>
        <v>#NAME?</v>
      </c>
      <c r="M29" s="4"/>
      <c r="N29" s="13" t="e">
        <f ca="1">IF(H29=0,0,L29/H29)</f>
        <v>#NAME?</v>
      </c>
      <c r="O29" s="11"/>
      <c r="P29" s="4" t="e">
        <f ca="1">_xll.OneStop.ReportPlayer.OSRFunctions.OSRGet("GL_F_Trans","Value1")</f>
        <v>#NAME?</v>
      </c>
      <c r="Q29" s="4"/>
      <c r="R29" s="13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3" t="e">
        <f ca="1">IF(T$12=0,0,T29/T$12)</f>
        <v>#NAME?</v>
      </c>
      <c r="W29" s="4"/>
      <c r="X29" s="4" t="e">
        <f ca="1">+P29-T29</f>
        <v>#NAME?</v>
      </c>
      <c r="Y29" s="4"/>
      <c r="Z29" s="13" t="e">
        <f ca="1">IF(T29=0,0,X29/T29)</f>
        <v>#NAME?</v>
      </c>
    </row>
    <row r="30" spans="1:26" x14ac:dyDescent="0.25">
      <c r="A30" s="9"/>
      <c r="B30" s="11"/>
      <c r="C30" s="11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1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4" customFormat="1" ht="15.75" thickBot="1" x14ac:dyDescent="0.3">
      <c r="A31" s="11"/>
      <c r="B31" s="28" t="s">
        <v>125</v>
      </c>
      <c r="C31" s="28"/>
      <c r="D31" s="34" t="e">
        <f ca="1">+D27-D29</f>
        <v>#NAME?</v>
      </c>
      <c r="E31" s="14"/>
      <c r="F31" s="31" t="e">
        <f ca="1">IF(D$12=0,0,D31/D$12)</f>
        <v>#NAME?</v>
      </c>
      <c r="G31" s="14"/>
      <c r="H31" s="34" t="e">
        <f ca="1">+H27-H29</f>
        <v>#NAME?</v>
      </c>
      <c r="I31" s="14"/>
      <c r="J31" s="31" t="e">
        <f ca="1">IF(H$12=0,0,H31/H$12)</f>
        <v>#NAME?</v>
      </c>
      <c r="K31" s="15"/>
      <c r="L31" s="34" t="e">
        <f ca="1">D31-H31</f>
        <v>#NAME?</v>
      </c>
      <c r="M31" s="15"/>
      <c r="N31" s="31" t="e">
        <f ca="1">IF(H31=0,0,L31/H31)</f>
        <v>#NAME?</v>
      </c>
      <c r="O31" s="29"/>
      <c r="P31" s="34" t="e">
        <f ca="1">+P27-P29</f>
        <v>#NAME?</v>
      </c>
      <c r="Q31" s="14"/>
      <c r="R31" s="31" t="e">
        <f ca="1">IF(P$12=0,0,P31/P$12)</f>
        <v>#NAME?</v>
      </c>
      <c r="S31" s="14"/>
      <c r="T31" s="34" t="e">
        <f ca="1">+T27-T29</f>
        <v>#NAME?</v>
      </c>
      <c r="U31" s="14"/>
      <c r="V31" s="31" t="e">
        <f ca="1">IF(T$12=0,0,T31/T$12)</f>
        <v>#NAME?</v>
      </c>
      <c r="W31" s="15"/>
      <c r="X31" s="34" t="e">
        <f ca="1">P31-T31</f>
        <v>#NAME?</v>
      </c>
      <c r="Y31" s="15"/>
      <c r="Z31" s="31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4" customFormat="1" x14ac:dyDescent="0.25">
      <c r="A33" s="51"/>
      <c r="B33" s="11" t="s">
        <v>183</v>
      </c>
      <c r="C33" s="11"/>
      <c r="D33" s="4" t="e">
        <f ca="1">-_xll.OneStop.ReportPlayer.OSRFunctions.OSRGet("GL_F_Trans","Value1")</f>
        <v>#NAME?</v>
      </c>
      <c r="E33" s="4"/>
      <c r="F33" s="13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3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3" t="e">
        <f t="shared" ref="N33:N34" ca="1" si="31">IF(H33=0,0,L33/H33)</f>
        <v>#NAME?</v>
      </c>
      <c r="O33" s="11"/>
      <c r="P33" s="4" t="e">
        <f ca="1">-_xll.OneStop.ReportPlayer.OSRFunctions.OSRGet("GL_F_Trans","Value1")</f>
        <v>#NAME?</v>
      </c>
      <c r="Q33" s="4"/>
      <c r="R33" s="13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3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3" t="e">
        <f t="shared" ref="Z33:Z34" ca="1" si="35">IF(T33=0,0,X33/T33)</f>
        <v>#NAME?</v>
      </c>
    </row>
    <row r="34" spans="1:26" s="24" customFormat="1" x14ac:dyDescent="0.25">
      <c r="A34" s="51"/>
      <c r="B34" s="11" t="s">
        <v>81</v>
      </c>
      <c r="C34" s="11"/>
      <c r="D34" s="4" t="e">
        <f ca="1">-_xll.OneStop.ReportPlayer.OSRFunctions.OSRGet("GL_F_Trans","Value1")</f>
        <v>#NAME?</v>
      </c>
      <c r="E34" s="4"/>
      <c r="F34" s="13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3" t="e">
        <f t="shared" ca="1" si="29"/>
        <v>#NAME?</v>
      </c>
      <c r="K34" s="4"/>
      <c r="L34" s="4" t="e">
        <f t="shared" ca="1" si="30"/>
        <v>#NAME?</v>
      </c>
      <c r="M34" s="4"/>
      <c r="N34" s="13" t="e">
        <f t="shared" ca="1" si="31"/>
        <v>#NAME?</v>
      </c>
      <c r="O34" s="11"/>
      <c r="P34" s="4" t="e">
        <f ca="1">-_xll.OneStop.ReportPlayer.OSRFunctions.OSRGet("GL_F_Trans","Value1")</f>
        <v>#NAME?</v>
      </c>
      <c r="Q34" s="4"/>
      <c r="R34" s="13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3" t="e">
        <f t="shared" ca="1" si="33"/>
        <v>#NAME?</v>
      </c>
      <c r="W34" s="4"/>
      <c r="X34" s="4" t="e">
        <f t="shared" ca="1" si="34"/>
        <v>#NAME?</v>
      </c>
      <c r="Y34" s="4"/>
      <c r="Z34" s="13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4" customFormat="1" ht="15.75" thickBot="1" x14ac:dyDescent="0.3">
      <c r="A36" s="11"/>
      <c r="B36" s="28" t="s">
        <v>293</v>
      </c>
      <c r="C36" s="28"/>
      <c r="D36" s="33" t="e">
        <f ca="1">SUM(D31:D35)</f>
        <v>#NAME?</v>
      </c>
      <c r="E36" s="14"/>
      <c r="F36" s="35" t="e">
        <f ca="1">IF(D$12=0,0,D36/D$12)</f>
        <v>#NAME?</v>
      </c>
      <c r="G36" s="14"/>
      <c r="H36" s="33" t="e">
        <f ca="1">SUM(H31:H35)</f>
        <v>#NAME?</v>
      </c>
      <c r="I36" s="14"/>
      <c r="J36" s="35" t="e">
        <f ca="1">IF(H$12=0,0,H36/H$12)</f>
        <v>#NAME?</v>
      </c>
      <c r="K36" s="15"/>
      <c r="L36" s="33" t="e">
        <f ca="1">+D36-H36</f>
        <v>#NAME?</v>
      </c>
      <c r="M36" s="15"/>
      <c r="N36" s="35" t="e">
        <f ca="1">IF(H36=0,0,L36/H36)</f>
        <v>#NAME?</v>
      </c>
      <c r="O36" s="29"/>
      <c r="P36" s="33" t="e">
        <f ca="1">SUM(P31:P35)</f>
        <v>#NAME?</v>
      </c>
      <c r="Q36" s="14"/>
      <c r="R36" s="35" t="e">
        <f ca="1">IF(P$12=0,0,P36/P$12)</f>
        <v>#NAME?</v>
      </c>
      <c r="S36" s="14"/>
      <c r="T36" s="33" t="e">
        <f ca="1">SUM(T31:T35)</f>
        <v>#NAME?</v>
      </c>
      <c r="U36" s="14"/>
      <c r="V36" s="35" t="e">
        <f ca="1">IF(T$12=0,0,T36/T$12)</f>
        <v>#NAME?</v>
      </c>
      <c r="W36" s="15"/>
      <c r="X36" s="33" t="e">
        <f ca="1">+P36-T36</f>
        <v>#NAME?</v>
      </c>
      <c r="Y36" s="15"/>
      <c r="Z36" s="35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56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55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60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tabColor rgb="FFFFFF00"/>
    <outlinePr summaryBelow="0" summaryRight="0"/>
  </sheetPr>
  <dimension ref="A2:Z108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62" t="s">
        <v>23</v>
      </c>
    </row>
    <row r="3" spans="1:26" x14ac:dyDescent="0.25">
      <c r="D3" s="62" t="s">
        <v>236</v>
      </c>
      <c r="E3" s="17"/>
      <c r="F3" s="46"/>
      <c r="G3" s="17"/>
      <c r="H3" s="17"/>
      <c r="I3" s="17"/>
      <c r="J3" s="38"/>
      <c r="K3" s="17"/>
      <c r="L3" s="17"/>
      <c r="M3" s="17"/>
      <c r="N3" s="46"/>
      <c r="O3" s="53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2" t="str">
        <f>CONCATENATE("Period ",RIGHT(202112,2),", ",2021)</f>
        <v>Period 12, 2021</v>
      </c>
      <c r="E4" s="17"/>
      <c r="F4" s="46"/>
      <c r="G4" s="17"/>
      <c r="H4" s="17"/>
      <c r="I4" s="17"/>
      <c r="J4" s="38"/>
      <c r="K4" s="17"/>
      <c r="L4" s="17"/>
      <c r="M4" s="17"/>
      <c r="N4" s="46"/>
      <c r="O4" s="53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4"/>
      <c r="D5" s="63">
        <v>44377</v>
      </c>
      <c r="E5" s="17"/>
      <c r="F5" s="46"/>
      <c r="G5" s="17"/>
      <c r="H5" s="17"/>
      <c r="I5" s="17"/>
      <c r="J5" s="38"/>
      <c r="K5" s="17"/>
      <c r="L5" s="17"/>
      <c r="M5" s="17"/>
      <c r="N5" s="46"/>
      <c r="O5" s="53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4"/>
      <c r="B6" s="48"/>
      <c r="C6" s="48"/>
      <c r="D6" s="24" t="s">
        <v>182</v>
      </c>
      <c r="E6" s="17"/>
      <c r="F6" s="46"/>
      <c r="G6" s="17"/>
      <c r="H6" s="17"/>
      <c r="I6" s="17"/>
      <c r="J6" s="38"/>
      <c r="K6" s="17"/>
      <c r="L6" s="17"/>
      <c r="M6" s="17"/>
      <c r="N6" s="46"/>
      <c r="O6" s="54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9"/>
    </row>
    <row r="8" spans="1:26" x14ac:dyDescent="0.25">
      <c r="B8" s="59"/>
    </row>
    <row r="9" spans="1:26" x14ac:dyDescent="0.25">
      <c r="B9" s="9"/>
      <c r="C9" s="9"/>
      <c r="D9" s="16" t="s">
        <v>291</v>
      </c>
      <c r="E9" s="16"/>
      <c r="F9" s="39"/>
      <c r="G9" s="16"/>
      <c r="H9" s="16"/>
      <c r="I9" s="16"/>
      <c r="J9" s="49"/>
      <c r="K9" s="16"/>
      <c r="L9" s="16"/>
      <c r="M9" s="16"/>
      <c r="N9" s="39"/>
      <c r="P9" s="16" t="s">
        <v>39</v>
      </c>
      <c r="Q9" s="16"/>
      <c r="R9" s="39"/>
      <c r="S9" s="16"/>
      <c r="T9" s="16"/>
      <c r="U9" s="16"/>
      <c r="V9" s="49"/>
      <c r="W9" s="16"/>
      <c r="X9" s="16"/>
      <c r="Y9" s="16"/>
      <c r="Z9" s="39"/>
    </row>
    <row r="10" spans="1:26" x14ac:dyDescent="0.25">
      <c r="A10" s="11"/>
      <c r="B10" s="58"/>
      <c r="C10" s="11"/>
      <c r="D10" s="42" t="s">
        <v>57</v>
      </c>
      <c r="E10" s="36"/>
      <c r="F10" s="30" t="s">
        <v>40</v>
      </c>
      <c r="G10" s="36"/>
      <c r="H10" s="50" t="s">
        <v>237</v>
      </c>
      <c r="I10" s="36"/>
      <c r="J10" s="30" t="s">
        <v>40</v>
      </c>
      <c r="K10" s="11"/>
      <c r="L10" s="42" t="s">
        <v>126</v>
      </c>
      <c r="M10" s="11"/>
      <c r="N10" s="30" t="s">
        <v>257</v>
      </c>
      <c r="O10" s="11"/>
      <c r="P10" s="61" t="s">
        <v>57</v>
      </c>
      <c r="Q10" s="36"/>
      <c r="R10" s="30" t="s">
        <v>40</v>
      </c>
      <c r="S10" s="36"/>
      <c r="T10" s="50" t="s">
        <v>237</v>
      </c>
      <c r="U10" s="36"/>
      <c r="V10" s="30" t="s">
        <v>40</v>
      </c>
      <c r="W10" s="11"/>
      <c r="X10" s="42" t="s">
        <v>126</v>
      </c>
      <c r="Y10" s="11"/>
      <c r="Z10" s="30" t="s">
        <v>257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4" customFormat="1" collapsed="1" x14ac:dyDescent="0.25">
      <c r="A12" s="11"/>
      <c r="B12" s="29" t="s">
        <v>139</v>
      </c>
      <c r="C12" s="11"/>
      <c r="D12" s="4">
        <f>SUM(OSRRefD13x_0)</f>
        <v>30111.4</v>
      </c>
      <c r="E12" s="4"/>
      <c r="F12" s="13"/>
      <c r="G12" s="4"/>
      <c r="H12" s="4">
        <f>SUM(OSRRefH13x_0)</f>
        <v>-133638.92000000001</v>
      </c>
      <c r="I12" s="4"/>
      <c r="J12" s="13"/>
      <c r="K12" s="4"/>
      <c r="L12" s="4">
        <f t="shared" ref="L12:L18" si="0">+D12-H12</f>
        <v>163750.32</v>
      </c>
      <c r="M12" s="4"/>
      <c r="N12" s="13">
        <f t="shared" ref="N12:N18" si="1">IF(H12=0,0,L12/H12)</f>
        <v>-1.2253190911749361</v>
      </c>
      <c r="O12" s="11"/>
      <c r="P12" s="4">
        <f>SUM(OSRRefP13x_0)</f>
        <v>1021996</v>
      </c>
      <c r="Q12" s="4"/>
      <c r="R12" s="13"/>
      <c r="S12" s="4"/>
      <c r="T12" s="4">
        <f>SUM(OSRRefT13x_0)</f>
        <v>9037345.8499999996</v>
      </c>
      <c r="U12" s="4"/>
      <c r="V12" s="13"/>
      <c r="W12" s="4"/>
      <c r="X12" s="4">
        <f t="shared" ref="X12:X18" si="2">+P12-T12</f>
        <v>-8015349.8499999996</v>
      </c>
      <c r="Y12" s="4"/>
      <c r="Z12" s="13">
        <f t="shared" ref="Z12:Z18" si="3">IF(T12=0,0,X12/T12)</f>
        <v>-0.88691414305008587</v>
      </c>
    </row>
    <row r="13" spans="1:26" s="23" customFormat="1" hidden="1" outlineLevel="1" x14ac:dyDescent="0.25">
      <c r="A13" s="44"/>
      <c r="B13" s="10" t="str">
        <f>CONCATENATE("          ", "4053", " - ", "TAXABLE SALES-FOOD")</f>
        <v xml:space="preserve">          4053 - TAXABLE SALES-FOOD</v>
      </c>
      <c r="C13" s="10"/>
      <c r="D13" s="2">
        <f>--10.83</f>
        <v>10.83</v>
      </c>
      <c r="E13" s="2"/>
      <c r="F13" s="19"/>
      <c r="G13" s="2"/>
      <c r="H13" s="2">
        <f>--27.9</f>
        <v>27.9</v>
      </c>
      <c r="I13" s="2"/>
      <c r="J13" s="19"/>
      <c r="K13" s="2"/>
      <c r="L13" s="2">
        <f t="shared" si="0"/>
        <v>-17.07</v>
      </c>
      <c r="M13" s="2"/>
      <c r="N13" s="19">
        <f t="shared" si="1"/>
        <v>-0.6118279569892473</v>
      </c>
      <c r="O13" s="10"/>
      <c r="P13" s="2">
        <f>--1117.39</f>
        <v>1117.3900000000001</v>
      </c>
      <c r="Q13" s="2"/>
      <c r="R13" s="19"/>
      <c r="S13" s="2"/>
      <c r="T13" s="2">
        <f>--26743.59</f>
        <v>26743.59</v>
      </c>
      <c r="U13" s="2"/>
      <c r="V13" s="19"/>
      <c r="W13" s="2"/>
      <c r="X13" s="2">
        <f t="shared" si="2"/>
        <v>-25626.2</v>
      </c>
      <c r="Y13" s="2"/>
      <c r="Z13" s="19">
        <f t="shared" si="3"/>
        <v>-0.95821839925006336</v>
      </c>
    </row>
    <row r="14" spans="1:26" s="23" customFormat="1" hidden="1" outlineLevel="1" x14ac:dyDescent="0.25">
      <c r="A14" s="44"/>
      <c r="B14" s="10" t="str">
        <f>CONCATENATE("          ", "4055", " - ", "TAXABLE SALES-FOOD")</f>
        <v xml:space="preserve">          4055 - TAXABLE SALES-FOOD</v>
      </c>
      <c r="C14" s="10"/>
      <c r="D14" s="2">
        <f>0</f>
        <v>0</v>
      </c>
      <c r="E14" s="2"/>
      <c r="F14" s="19"/>
      <c r="G14" s="2"/>
      <c r="H14" s="2">
        <f>0</f>
        <v>0</v>
      </c>
      <c r="I14" s="2"/>
      <c r="J14" s="19"/>
      <c r="K14" s="2"/>
      <c r="L14" s="2">
        <f t="shared" si="0"/>
        <v>0</v>
      </c>
      <c r="M14" s="2"/>
      <c r="N14" s="19">
        <f t="shared" si="1"/>
        <v>0</v>
      </c>
      <c r="O14" s="10"/>
      <c r="P14" s="2">
        <f>0</f>
        <v>0</v>
      </c>
      <c r="Q14" s="2"/>
      <c r="R14" s="19"/>
      <c r="S14" s="2"/>
      <c r="T14" s="2">
        <f>--973.49</f>
        <v>973.49</v>
      </c>
      <c r="U14" s="2"/>
      <c r="V14" s="19"/>
      <c r="W14" s="2"/>
      <c r="X14" s="2">
        <f t="shared" si="2"/>
        <v>-973.49</v>
      </c>
      <c r="Y14" s="2"/>
      <c r="Z14" s="19">
        <f t="shared" si="3"/>
        <v>-1</v>
      </c>
    </row>
    <row r="15" spans="1:26" s="23" customFormat="1" hidden="1" outlineLevel="1" x14ac:dyDescent="0.25">
      <c r="A15" s="44"/>
      <c r="B15" s="10" t="str">
        <f>CONCATENATE("          ", "4151", " - ", "NON-TAXABLE SALES-FOOD")</f>
        <v xml:space="preserve">          4151 - NON-TAXABLE SALES-FOOD</v>
      </c>
      <c r="C15" s="10"/>
      <c r="D15" s="2">
        <f>--27599</f>
        <v>27599</v>
      </c>
      <c r="E15" s="2"/>
      <c r="F15" s="19"/>
      <c r="G15" s="2"/>
      <c r="H15" s="2">
        <f>-138366.42</f>
        <v>-138366.42000000001</v>
      </c>
      <c r="I15" s="2"/>
      <c r="J15" s="19"/>
      <c r="K15" s="2"/>
      <c r="L15" s="2">
        <f t="shared" si="0"/>
        <v>165965.42000000001</v>
      </c>
      <c r="M15" s="2"/>
      <c r="N15" s="19">
        <f t="shared" si="1"/>
        <v>-1.1994631356365222</v>
      </c>
      <c r="O15" s="10"/>
      <c r="P15" s="2">
        <f>--968042.72</f>
        <v>968042.72</v>
      </c>
      <c r="Q15" s="2"/>
      <c r="R15" s="19"/>
      <c r="S15" s="2"/>
      <c r="T15" s="2">
        <f>--8700859.44</f>
        <v>8700859.4399999995</v>
      </c>
      <c r="U15" s="2"/>
      <c r="V15" s="19"/>
      <c r="W15" s="2"/>
      <c r="X15" s="2">
        <f t="shared" si="2"/>
        <v>-7732816.7199999997</v>
      </c>
      <c r="Y15" s="2"/>
      <c r="Z15" s="19">
        <f t="shared" si="3"/>
        <v>-0.88874171262327628</v>
      </c>
    </row>
    <row r="16" spans="1:26" s="23" customFormat="1" hidden="1" outlineLevel="1" x14ac:dyDescent="0.25">
      <c r="A16" s="44"/>
      <c r="B16" s="10" t="str">
        <f>CONCATENATE("          ", "4153", " - ", "NON-TAXABLE SALES-FOOD")</f>
        <v xml:space="preserve">          4153 - NON-TAXABLE SALES-FOOD</v>
      </c>
      <c r="C16" s="10"/>
      <c r="D16" s="2">
        <f>--2501.57</f>
        <v>2501.5700000000002</v>
      </c>
      <c r="E16" s="2"/>
      <c r="F16" s="19"/>
      <c r="G16" s="2"/>
      <c r="H16" s="2">
        <f>--4699.6</f>
        <v>4699.6000000000004</v>
      </c>
      <c r="I16" s="2"/>
      <c r="J16" s="19"/>
      <c r="K16" s="2"/>
      <c r="L16" s="2">
        <f t="shared" si="0"/>
        <v>-2198.0300000000002</v>
      </c>
      <c r="M16" s="2"/>
      <c r="N16" s="19">
        <f t="shared" si="1"/>
        <v>-0.46770576219252702</v>
      </c>
      <c r="O16" s="10"/>
      <c r="P16" s="2">
        <f>--52835.89</f>
        <v>52835.89</v>
      </c>
      <c r="Q16" s="2"/>
      <c r="R16" s="19"/>
      <c r="S16" s="2"/>
      <c r="T16" s="2">
        <f>--304651.73</f>
        <v>304651.73</v>
      </c>
      <c r="U16" s="2"/>
      <c r="V16" s="19"/>
      <c r="W16" s="2"/>
      <c r="X16" s="2">
        <f t="shared" si="2"/>
        <v>-251815.83999999997</v>
      </c>
      <c r="Y16" s="2"/>
      <c r="Z16" s="19">
        <f t="shared" si="3"/>
        <v>-0.82656953892892704</v>
      </c>
    </row>
    <row r="17" spans="1:26" s="23" customFormat="1" hidden="1" outlineLevel="1" x14ac:dyDescent="0.25">
      <c r="A17" s="44"/>
      <c r="B17" s="10" t="str">
        <f>CONCATENATE("          ", "4155", " - ", "NON-TAXABLE SALES-FOOD")</f>
        <v xml:space="preserve">          4155 - NON-TAXABLE SALES-FOOD</v>
      </c>
      <c r="C17" s="10"/>
      <c r="D17" s="2">
        <f t="shared" ref="D17:D18" si="4">0</f>
        <v>0</v>
      </c>
      <c r="E17" s="2"/>
      <c r="F17" s="19"/>
      <c r="G17" s="2"/>
      <c r="H17" s="2">
        <f t="shared" ref="H17:H18" si="5">0</f>
        <v>0</v>
      </c>
      <c r="I17" s="2"/>
      <c r="J17" s="19"/>
      <c r="K17" s="2"/>
      <c r="L17" s="2">
        <f t="shared" si="0"/>
        <v>0</v>
      </c>
      <c r="M17" s="2"/>
      <c r="N17" s="19">
        <f t="shared" si="1"/>
        <v>0</v>
      </c>
      <c r="O17" s="10"/>
      <c r="P17" s="2">
        <f t="shared" ref="P17:P18" si="6">0</f>
        <v>0</v>
      </c>
      <c r="Q17" s="2"/>
      <c r="R17" s="19"/>
      <c r="S17" s="2"/>
      <c r="T17" s="2">
        <f>--3733.9</f>
        <v>3733.9</v>
      </c>
      <c r="U17" s="2"/>
      <c r="V17" s="19"/>
      <c r="W17" s="2"/>
      <c r="X17" s="2">
        <f t="shared" si="2"/>
        <v>-3733.9</v>
      </c>
      <c r="Y17" s="2"/>
      <c r="Z17" s="19">
        <f t="shared" si="3"/>
        <v>-1</v>
      </c>
    </row>
    <row r="18" spans="1:26" s="23" customFormat="1" hidden="1" outlineLevel="1" x14ac:dyDescent="0.25">
      <c r="A18" s="44"/>
      <c r="B18" s="10" t="str">
        <f>CONCATENATE("          ", "4159", " - ", "NON-TAXABLE SALES-FOOD")</f>
        <v xml:space="preserve">          4159 - NON-TAXABLE SALES-FOOD</v>
      </c>
      <c r="C18" s="10"/>
      <c r="D18" s="2">
        <f t="shared" si="4"/>
        <v>0</v>
      </c>
      <c r="E18" s="2"/>
      <c r="F18" s="19"/>
      <c r="G18" s="2"/>
      <c r="H18" s="2">
        <f t="shared" si="5"/>
        <v>0</v>
      </c>
      <c r="I18" s="2"/>
      <c r="J18" s="19"/>
      <c r="K18" s="2"/>
      <c r="L18" s="2">
        <f t="shared" si="0"/>
        <v>0</v>
      </c>
      <c r="M18" s="2"/>
      <c r="N18" s="19">
        <f t="shared" si="1"/>
        <v>0</v>
      </c>
      <c r="O18" s="10"/>
      <c r="P18" s="2">
        <f t="shared" si="6"/>
        <v>0</v>
      </c>
      <c r="Q18" s="2"/>
      <c r="R18" s="19"/>
      <c r="S18" s="2"/>
      <c r="T18" s="2">
        <f>--383.7</f>
        <v>383.7</v>
      </c>
      <c r="U18" s="2"/>
      <c r="V18" s="19"/>
      <c r="W18" s="2"/>
      <c r="X18" s="2">
        <f t="shared" si="2"/>
        <v>-383.7</v>
      </c>
      <c r="Y18" s="2"/>
      <c r="Z18" s="19">
        <f t="shared" si="3"/>
        <v>-1</v>
      </c>
    </row>
    <row r="19" spans="1:26" x14ac:dyDescent="0.25">
      <c r="A19" s="9"/>
      <c r="B19" s="11"/>
      <c r="C19" s="9"/>
      <c r="D19" s="3"/>
      <c r="E19" s="3"/>
      <c r="F19" s="8"/>
      <c r="G19" s="3"/>
      <c r="H19" s="3"/>
      <c r="I19" s="3"/>
      <c r="J19" s="8"/>
      <c r="K19" s="3"/>
      <c r="L19" s="3"/>
      <c r="M19" s="3"/>
      <c r="N19" s="8"/>
      <c r="P19" s="3"/>
      <c r="Q19" s="3"/>
      <c r="R19" s="8"/>
      <c r="S19" s="3"/>
      <c r="T19" s="3"/>
      <c r="U19" s="3"/>
      <c r="V19" s="8"/>
      <c r="W19" s="3"/>
      <c r="X19" s="3"/>
      <c r="Y19" s="3"/>
      <c r="Z19" s="8"/>
    </row>
    <row r="20" spans="1:26" s="24" customFormat="1" collapsed="1" x14ac:dyDescent="0.25">
      <c r="A20" s="11"/>
      <c r="B20" s="29" t="s">
        <v>256</v>
      </c>
      <c r="C20" s="11"/>
      <c r="D20" s="4">
        <f>SUM(OSRRefD16x_0)</f>
        <v>19817.82</v>
      </c>
      <c r="E20" s="4"/>
      <c r="F20" s="13">
        <f t="shared" ref="F20:F22" si="7">IF(D$12=0,0,D20/D$12)</f>
        <v>0.65815006940892817</v>
      </c>
      <c r="G20" s="4"/>
      <c r="H20" s="4">
        <f>SUM(OSRRefH16x_0)</f>
        <v>18200.21</v>
      </c>
      <c r="I20" s="4"/>
      <c r="J20" s="13">
        <f t="shared" ref="J20:J22" si="8">IF(H$12=0,0,H20/H$12)</f>
        <v>-0.13618944241692463</v>
      </c>
      <c r="K20" s="4"/>
      <c r="L20" s="4">
        <f t="shared" ref="L20:L22" si="9">+D20-H20</f>
        <v>1617.6100000000006</v>
      </c>
      <c r="M20" s="4"/>
      <c r="N20" s="13">
        <f t="shared" ref="N20:N22" si="10">IF(H20=0,0,L20/H20)</f>
        <v>8.8878644806845666E-2</v>
      </c>
      <c r="O20" s="11"/>
      <c r="P20" s="4">
        <f>SUM(OSRRefP16x_0)</f>
        <v>460889.79</v>
      </c>
      <c r="Q20" s="4"/>
      <c r="R20" s="13">
        <f t="shared" ref="R20:R22" si="11">IF(P$12=0,0,P20/P$12)</f>
        <v>0.45097024841584504</v>
      </c>
      <c r="S20" s="4"/>
      <c r="T20" s="4">
        <f>SUM(OSRRefT16x_0)</f>
        <v>2213342.35</v>
      </c>
      <c r="U20" s="4"/>
      <c r="V20" s="13">
        <f t="shared" ref="V20:V22" si="12">IF(T$12=0,0,T20/T$12)</f>
        <v>0.24491066146373056</v>
      </c>
      <c r="W20" s="4"/>
      <c r="X20" s="4">
        <f t="shared" ref="X20:X22" si="13">+P20-T20</f>
        <v>-1752452.56</v>
      </c>
      <c r="Y20" s="4"/>
      <c r="Z20" s="13">
        <f t="shared" ref="Z20:Z22" si="14">IF(T20=0,0,X20/T20)</f>
        <v>-0.79176750944109486</v>
      </c>
    </row>
    <row r="21" spans="1:26" s="23" customFormat="1" hidden="1" outlineLevel="1" x14ac:dyDescent="0.25">
      <c r="A21" s="44"/>
      <c r="B21" s="10" t="str">
        <f>CONCATENATE("          ", "5053", " - ", "PURCHASES @ COST-FOOD")</f>
        <v xml:space="preserve">          5053 - PURCHASES @ COST-FOOD</v>
      </c>
      <c r="C21" s="10"/>
      <c r="D21" s="2">
        <v>14888.82</v>
      </c>
      <c r="E21" s="2"/>
      <c r="F21" s="19">
        <f t="shared" si="7"/>
        <v>0.49445791294991265</v>
      </c>
      <c r="G21" s="2"/>
      <c r="H21" s="2">
        <v>10968.21</v>
      </c>
      <c r="I21" s="2"/>
      <c r="J21" s="19">
        <f t="shared" si="8"/>
        <v>-8.2073470812245405E-2</v>
      </c>
      <c r="K21" s="2"/>
      <c r="L21" s="2">
        <f t="shared" si="9"/>
        <v>3920.6100000000006</v>
      </c>
      <c r="M21" s="2"/>
      <c r="N21" s="19">
        <f t="shared" si="10"/>
        <v>0.35745212755773281</v>
      </c>
      <c r="O21" s="10"/>
      <c r="P21" s="2">
        <v>458637.49</v>
      </c>
      <c r="Q21" s="2"/>
      <c r="R21" s="19">
        <f t="shared" si="11"/>
        <v>0.44876642374334147</v>
      </c>
      <c r="S21" s="2"/>
      <c r="T21" s="2">
        <v>2183108.61</v>
      </c>
      <c r="U21" s="2"/>
      <c r="V21" s="19">
        <f t="shared" si="12"/>
        <v>0.24156523897998217</v>
      </c>
      <c r="W21" s="2"/>
      <c r="X21" s="2">
        <f t="shared" si="13"/>
        <v>-1724471.1199999999</v>
      </c>
      <c r="Y21" s="2"/>
      <c r="Z21" s="19">
        <f t="shared" si="14"/>
        <v>-0.78991540416305717</v>
      </c>
    </row>
    <row r="22" spans="1:26" s="23" customFormat="1" hidden="1" outlineLevel="1" x14ac:dyDescent="0.25">
      <c r="A22" s="44"/>
      <c r="B22" s="10" t="str">
        <f>CONCATENATE("          ", "5059", " - ", "PURCHASES @ COST-FOOD")</f>
        <v xml:space="preserve">          5059 - PURCHASES @ COST-FOOD</v>
      </c>
      <c r="C22" s="10"/>
      <c r="D22" s="2">
        <v>4929</v>
      </c>
      <c r="E22" s="2"/>
      <c r="F22" s="19">
        <f t="shared" si="7"/>
        <v>0.16369215645901553</v>
      </c>
      <c r="G22" s="2"/>
      <c r="H22" s="2">
        <v>7232</v>
      </c>
      <c r="I22" s="2"/>
      <c r="J22" s="19">
        <f t="shared" si="8"/>
        <v>-5.4115971604679229E-2</v>
      </c>
      <c r="K22" s="2"/>
      <c r="L22" s="2">
        <f t="shared" si="9"/>
        <v>-2303</v>
      </c>
      <c r="M22" s="2"/>
      <c r="N22" s="19">
        <f t="shared" si="10"/>
        <v>-0.31844579646017701</v>
      </c>
      <c r="O22" s="10"/>
      <c r="P22" s="2">
        <v>2252.3000000000002</v>
      </c>
      <c r="Q22" s="2"/>
      <c r="R22" s="19">
        <f t="shared" si="11"/>
        <v>2.2038246725036106E-3</v>
      </c>
      <c r="S22" s="2"/>
      <c r="T22" s="2">
        <v>30233.74</v>
      </c>
      <c r="U22" s="2"/>
      <c r="V22" s="19">
        <f t="shared" si="12"/>
        <v>3.3454224837483676E-3</v>
      </c>
      <c r="W22" s="2"/>
      <c r="X22" s="2">
        <f t="shared" si="13"/>
        <v>-27981.440000000002</v>
      </c>
      <c r="Y22" s="2"/>
      <c r="Z22" s="19">
        <f t="shared" si="14"/>
        <v>-0.92550375838384535</v>
      </c>
    </row>
    <row r="23" spans="1:26" x14ac:dyDescent="0.25">
      <c r="A23" s="9"/>
      <c r="B23" s="11"/>
      <c r="C23" s="11"/>
      <c r="D23" s="3"/>
      <c r="E23" s="3"/>
      <c r="F23" s="8"/>
      <c r="G23" s="3"/>
      <c r="H23" s="3"/>
      <c r="I23" s="3"/>
      <c r="J23" s="8"/>
      <c r="K23" s="3"/>
      <c r="L23" s="3"/>
      <c r="M23" s="3"/>
      <c r="N23" s="8"/>
      <c r="O23" s="11"/>
      <c r="P23" s="3"/>
      <c r="Q23" s="3"/>
      <c r="R23" s="8"/>
      <c r="S23" s="3"/>
      <c r="T23" s="3"/>
      <c r="U23" s="3"/>
      <c r="V23" s="8"/>
      <c r="W23" s="3"/>
      <c r="X23" s="3"/>
      <c r="Y23" s="3"/>
      <c r="Z23" s="8"/>
    </row>
    <row r="24" spans="1:26" s="24" customFormat="1" x14ac:dyDescent="0.25">
      <c r="A24" s="11"/>
      <c r="B24" s="28" t="s">
        <v>107</v>
      </c>
      <c r="C24" s="28"/>
      <c r="D24" s="21">
        <f>D12-D20</f>
        <v>10293.580000000002</v>
      </c>
      <c r="E24" s="14"/>
      <c r="F24" s="22">
        <f>IF(D$12=0,0,D24/D$12)</f>
        <v>0.34184993059107188</v>
      </c>
      <c r="G24" s="14"/>
      <c r="H24" s="21">
        <f>H12-H20</f>
        <v>-151839.13</v>
      </c>
      <c r="I24" s="14"/>
      <c r="J24" s="22">
        <f>IF(H$12=0,0,H24/H$12)</f>
        <v>1.1361894424169245</v>
      </c>
      <c r="K24" s="15"/>
      <c r="L24" s="21">
        <f>+D24-H24</f>
        <v>162132.71000000002</v>
      </c>
      <c r="M24" s="15"/>
      <c r="N24" s="22">
        <f>IF(H24=0,0,L24/H24)</f>
        <v>-1.0677926697814986</v>
      </c>
      <c r="O24" s="29"/>
      <c r="P24" s="21">
        <f>P12-P20</f>
        <v>561106.21</v>
      </c>
      <c r="Q24" s="14"/>
      <c r="R24" s="22">
        <f>IF(P$12=0,0,P24/P$12)</f>
        <v>0.5490297515841549</v>
      </c>
      <c r="S24" s="14"/>
      <c r="T24" s="21">
        <f>T12-T20</f>
        <v>6824003.5</v>
      </c>
      <c r="U24" s="14"/>
      <c r="V24" s="22">
        <f>IF(T$12=0,0,T24/T$12)</f>
        <v>0.75508933853626947</v>
      </c>
      <c r="W24" s="15"/>
      <c r="X24" s="21">
        <f>+P24-T24</f>
        <v>-6262897.29</v>
      </c>
      <c r="Y24" s="15"/>
      <c r="Z24" s="22">
        <f>IF(T24=0,0,X24/T24)</f>
        <v>-0.91777463039108931</v>
      </c>
    </row>
    <row r="25" spans="1:26" x14ac:dyDescent="0.25">
      <c r="A25" s="9"/>
      <c r="B25" s="11"/>
      <c r="C25" s="9"/>
      <c r="D25" s="1"/>
      <c r="E25" s="1"/>
      <c r="F25" s="5"/>
      <c r="G25" s="1"/>
      <c r="H25" s="1"/>
      <c r="I25" s="1"/>
      <c r="J25" s="5"/>
      <c r="K25" s="1"/>
      <c r="L25" s="1"/>
      <c r="M25" s="1"/>
      <c r="N25" s="5"/>
      <c r="O25" s="37"/>
      <c r="P25" s="1"/>
      <c r="Q25" s="1"/>
      <c r="R25" s="5"/>
      <c r="S25" s="1"/>
      <c r="T25" s="1"/>
      <c r="U25" s="1"/>
      <c r="V25" s="5"/>
      <c r="W25" s="1"/>
      <c r="X25" s="1"/>
      <c r="Y25" s="1"/>
      <c r="Z25" s="5"/>
    </row>
    <row r="26" spans="1:26" s="24" customFormat="1" x14ac:dyDescent="0.25">
      <c r="A26" s="11"/>
      <c r="B26" s="29" t="s">
        <v>294</v>
      </c>
      <c r="C26" s="11"/>
      <c r="D26" s="20">
        <f>SUM(OSRRefD22x_0)</f>
        <v>186453.34</v>
      </c>
      <c r="E26" s="20"/>
      <c r="F26" s="32">
        <f t="shared" ref="F26:F36" si="15">IF(D$12=0,0,D26/D$12)</f>
        <v>6.1921179353998816</v>
      </c>
      <c r="G26" s="20"/>
      <c r="H26" s="20">
        <f>SUM(OSRRefH22x_0)</f>
        <v>124798.58999999998</v>
      </c>
      <c r="I26" s="20"/>
      <c r="J26" s="32">
        <f t="shared" ref="J26:J36" si="16">IF(H$12=0,0,H26/H$12)</f>
        <v>-0.93384913616482357</v>
      </c>
      <c r="K26" s="4"/>
      <c r="L26" s="20">
        <f t="shared" ref="L26:L36" si="17">+D26-H26</f>
        <v>61654.750000000015</v>
      </c>
      <c r="M26" s="4"/>
      <c r="N26" s="32">
        <f t="shared" ref="N26:N36" si="18">IF(H26=0,0,L26/H26)</f>
        <v>0.49403402714726202</v>
      </c>
      <c r="O26" s="11"/>
      <c r="P26" s="20">
        <f>SUM(OSRRefP22x_0)</f>
        <v>2654253.1099999994</v>
      </c>
      <c r="Q26" s="20"/>
      <c r="R26" s="32">
        <f t="shared" ref="R26:R36" si="19">IF(P$12=0,0,P26/P$12)</f>
        <v>2.5971267108677525</v>
      </c>
      <c r="S26" s="20"/>
      <c r="T26" s="20">
        <f>SUM(OSRRefT22x_0)</f>
        <v>4940577.41</v>
      </c>
      <c r="U26" s="20"/>
      <c r="V26" s="32">
        <f t="shared" ref="V26:V36" si="20">IF(T$12=0,0,T26/T$12)</f>
        <v>0.54668455672745997</v>
      </c>
      <c r="W26" s="4"/>
      <c r="X26" s="20">
        <f t="shared" ref="X26:X36" si="21">+P26-T26</f>
        <v>-2286324.3000000007</v>
      </c>
      <c r="Y26" s="4"/>
      <c r="Z26" s="32">
        <f t="shared" ref="Z26:Z36" si="22">IF(T26=0,0,X26/T26)</f>
        <v>-0.46276459414892573</v>
      </c>
    </row>
    <row r="27" spans="1:26" s="27" customFormat="1" outlineLevel="1" collapsed="1" x14ac:dyDescent="0.25">
      <c r="A27" s="26"/>
      <c r="B27" s="12" t="str">
        <f>CONCATENATE("     ","*Benefits                                         ")</f>
        <v xml:space="preserve">     *Benefits                                         </v>
      </c>
      <c r="C27" s="12"/>
      <c r="D27" s="1">
        <f>SUM(OSRRefD22_0x_0)</f>
        <v>74650.010000000009</v>
      </c>
      <c r="E27" s="1"/>
      <c r="F27" s="5">
        <f t="shared" si="15"/>
        <v>2.4791278386259026</v>
      </c>
      <c r="G27" s="1"/>
      <c r="H27" s="1">
        <f>SUM(OSRRefH22_0x_0)</f>
        <v>61855.169999999991</v>
      </c>
      <c r="I27" s="1"/>
      <c r="J27" s="5">
        <f t="shared" si="16"/>
        <v>-0.46285296229571432</v>
      </c>
      <c r="K27" s="1"/>
      <c r="L27" s="1">
        <f t="shared" si="17"/>
        <v>12794.840000000018</v>
      </c>
      <c r="M27" s="1"/>
      <c r="N27" s="5">
        <f t="shared" si="18"/>
        <v>0.20685158572840429</v>
      </c>
      <c r="O27" s="12"/>
      <c r="P27" s="1">
        <f>SUM(OSRRefP22_0x_0)</f>
        <v>923533.87</v>
      </c>
      <c r="Q27" s="1"/>
      <c r="R27" s="5">
        <f t="shared" si="19"/>
        <v>0.90365702996880615</v>
      </c>
      <c r="S27" s="1"/>
      <c r="T27" s="1">
        <f>SUM(OSRRefT22_0x_0)</f>
        <v>1005352.1799999999</v>
      </c>
      <c r="U27" s="1"/>
      <c r="V27" s="5">
        <f t="shared" si="20"/>
        <v>0.11124418570304023</v>
      </c>
      <c r="W27" s="1"/>
      <c r="X27" s="1">
        <f t="shared" si="21"/>
        <v>-81818.309999999939</v>
      </c>
      <c r="Y27" s="1"/>
      <c r="Z27" s="5">
        <f t="shared" si="22"/>
        <v>-8.1382734953635794E-2</v>
      </c>
    </row>
    <row r="28" spans="1:26" s="23" customFormat="1" hidden="1" outlineLevel="2" x14ac:dyDescent="0.25">
      <c r="A28" s="25"/>
      <c r="B28" s="10" t="str">
        <f>CONCATENATE("          ", "6111", " - ", "F.I.C.A.")</f>
        <v xml:space="preserve">          6111 - F.I.C.A.</v>
      </c>
      <c r="C28" s="10"/>
      <c r="D28" s="6">
        <v>6728.86</v>
      </c>
      <c r="E28" s="2"/>
      <c r="F28" s="7">
        <f t="shared" si="15"/>
        <v>0.2234655313270057</v>
      </c>
      <c r="G28" s="2"/>
      <c r="H28" s="6">
        <v>6677.71</v>
      </c>
      <c r="I28" s="2"/>
      <c r="J28" s="7">
        <f t="shared" si="16"/>
        <v>-4.9968302647162961E-2</v>
      </c>
      <c r="K28" s="2"/>
      <c r="L28" s="6">
        <f t="shared" si="17"/>
        <v>51.149999999999636</v>
      </c>
      <c r="M28" s="2"/>
      <c r="N28" s="7">
        <f t="shared" si="18"/>
        <v>7.6598115222133991E-3</v>
      </c>
      <c r="O28" s="10"/>
      <c r="P28" s="6">
        <v>96017.37</v>
      </c>
      <c r="Q28" s="2"/>
      <c r="R28" s="7">
        <f t="shared" si="19"/>
        <v>9.3950827596194109E-2</v>
      </c>
      <c r="S28" s="2"/>
      <c r="T28" s="6">
        <v>150355.07</v>
      </c>
      <c r="U28" s="2"/>
      <c r="V28" s="7">
        <f t="shared" si="20"/>
        <v>1.663708266736301E-2</v>
      </c>
      <c r="W28" s="2"/>
      <c r="X28" s="6">
        <f t="shared" si="21"/>
        <v>-54337.700000000012</v>
      </c>
      <c r="Y28" s="2"/>
      <c r="Z28" s="7">
        <f t="shared" si="22"/>
        <v>-0.361395861143891</v>
      </c>
    </row>
    <row r="29" spans="1:26" s="23" customFormat="1" hidden="1" outlineLevel="2" x14ac:dyDescent="0.25">
      <c r="A29" s="25"/>
      <c r="B29" s="10" t="str">
        <f>CONCATENATE("          ", "6112", " - ", "COMPENSATION INSURANCE")</f>
        <v xml:space="preserve">          6112 - COMPENSATION INSURANCE</v>
      </c>
      <c r="C29" s="10"/>
      <c r="D29" s="6">
        <v>3759.81</v>
      </c>
      <c r="E29" s="2"/>
      <c r="F29" s="7">
        <f t="shared" si="15"/>
        <v>0.12486334079451636</v>
      </c>
      <c r="G29" s="2"/>
      <c r="H29" s="6">
        <v>3350.78</v>
      </c>
      <c r="I29" s="2"/>
      <c r="J29" s="7">
        <f t="shared" si="16"/>
        <v>-2.5073384310498766E-2</v>
      </c>
      <c r="K29" s="2"/>
      <c r="L29" s="6">
        <f t="shared" si="17"/>
        <v>409.02999999999975</v>
      </c>
      <c r="M29" s="2"/>
      <c r="N29" s="7">
        <f t="shared" si="18"/>
        <v>0.12207008517419816</v>
      </c>
      <c r="O29" s="10"/>
      <c r="P29" s="6">
        <v>59067.74</v>
      </c>
      <c r="Q29" s="2"/>
      <c r="R29" s="7">
        <f t="shared" si="19"/>
        <v>5.7796449301171428E-2</v>
      </c>
      <c r="S29" s="2"/>
      <c r="T29" s="6">
        <v>94904.45</v>
      </c>
      <c r="U29" s="2"/>
      <c r="V29" s="7">
        <f t="shared" si="20"/>
        <v>1.0501363074425219E-2</v>
      </c>
      <c r="W29" s="2"/>
      <c r="X29" s="6">
        <f t="shared" si="21"/>
        <v>-35836.71</v>
      </c>
      <c r="Y29" s="2"/>
      <c r="Z29" s="7">
        <f t="shared" si="22"/>
        <v>-0.37760832079001566</v>
      </c>
    </row>
    <row r="30" spans="1:26" s="23" customFormat="1" hidden="1" outlineLevel="2" x14ac:dyDescent="0.25">
      <c r="A30" s="25"/>
      <c r="B30" s="10" t="str">
        <f>CONCATENATE("          ", "6113", " - ", "GROUP INSURANCE")</f>
        <v xml:space="preserve">          6113 - GROUP INSURANCE</v>
      </c>
      <c r="C30" s="10"/>
      <c r="D30" s="6">
        <v>44827.15</v>
      </c>
      <c r="E30" s="2"/>
      <c r="F30" s="7">
        <f t="shared" si="15"/>
        <v>1.4887102559163639</v>
      </c>
      <c r="G30" s="2"/>
      <c r="H30" s="6">
        <v>41691.089999999997</v>
      </c>
      <c r="I30" s="2"/>
      <c r="J30" s="7">
        <f t="shared" si="16"/>
        <v>-0.31196817513939795</v>
      </c>
      <c r="K30" s="2"/>
      <c r="L30" s="6">
        <f t="shared" si="17"/>
        <v>3136.0600000000049</v>
      </c>
      <c r="M30" s="2"/>
      <c r="N30" s="7">
        <f t="shared" si="18"/>
        <v>7.522134825450727E-2</v>
      </c>
      <c r="O30" s="10"/>
      <c r="P30" s="6">
        <v>538344.89</v>
      </c>
      <c r="Q30" s="2"/>
      <c r="R30" s="7">
        <f t="shared" si="19"/>
        <v>0.52675831412256013</v>
      </c>
      <c r="S30" s="2"/>
      <c r="T30" s="6">
        <v>557939.72</v>
      </c>
      <c r="U30" s="2"/>
      <c r="V30" s="7">
        <f t="shared" si="20"/>
        <v>6.173712163510927E-2</v>
      </c>
      <c r="W30" s="2"/>
      <c r="X30" s="6">
        <f t="shared" si="21"/>
        <v>-19594.829999999958</v>
      </c>
      <c r="Y30" s="2"/>
      <c r="Z30" s="7">
        <f t="shared" si="22"/>
        <v>-3.5119976760213376E-2</v>
      </c>
    </row>
    <row r="31" spans="1:26" s="23" customFormat="1" hidden="1" outlineLevel="2" x14ac:dyDescent="0.25">
      <c r="A31" s="25"/>
      <c r="B31" s="10" t="str">
        <f>CONCATENATE("          ", "6114", " - ", "STATE UNEMPLOYMENT INSURANCE")</f>
        <v xml:space="preserve">          6114 - STATE UNEMPLOYMENT INSURANCE</v>
      </c>
      <c r="C31" s="10"/>
      <c r="D31" s="6">
        <v>227.86</v>
      </c>
      <c r="E31" s="2"/>
      <c r="F31" s="7">
        <f t="shared" si="15"/>
        <v>7.5672336722968714E-3</v>
      </c>
      <c r="G31" s="2"/>
      <c r="H31" s="6">
        <v>-7153.84</v>
      </c>
      <c r="I31" s="2"/>
      <c r="J31" s="7">
        <f t="shared" si="16"/>
        <v>5.3531112044305655E-2</v>
      </c>
      <c r="K31" s="2"/>
      <c r="L31" s="6">
        <f t="shared" si="17"/>
        <v>7381.7</v>
      </c>
      <c r="M31" s="2"/>
      <c r="N31" s="7">
        <f t="shared" si="18"/>
        <v>-1.0318514252485378</v>
      </c>
      <c r="O31" s="10"/>
      <c r="P31" s="6">
        <v>3668.27</v>
      </c>
      <c r="Q31" s="2"/>
      <c r="R31" s="7">
        <f t="shared" si="19"/>
        <v>3.589319331973902E-3</v>
      </c>
      <c r="S31" s="2"/>
      <c r="T31" s="6">
        <v>0</v>
      </c>
      <c r="U31" s="2"/>
      <c r="V31" s="7">
        <f t="shared" si="20"/>
        <v>0</v>
      </c>
      <c r="W31" s="2"/>
      <c r="X31" s="6">
        <f t="shared" si="21"/>
        <v>3668.27</v>
      </c>
      <c r="Y31" s="2"/>
      <c r="Z31" s="7">
        <f t="shared" si="22"/>
        <v>0</v>
      </c>
    </row>
    <row r="32" spans="1:26" s="23" customFormat="1" hidden="1" outlineLevel="2" x14ac:dyDescent="0.25">
      <c r="A32" s="25"/>
      <c r="B32" s="10" t="str">
        <f>CONCATENATE("          ", "6115", " - ", "P.E.R.S.")</f>
        <v xml:space="preserve">          6115 - P.E.R.S.</v>
      </c>
      <c r="C32" s="10"/>
      <c r="D32" s="6">
        <v>5391.44</v>
      </c>
      <c r="E32" s="2"/>
      <c r="F32" s="7">
        <f t="shared" si="15"/>
        <v>0.17904979509421678</v>
      </c>
      <c r="G32" s="2"/>
      <c r="H32" s="6">
        <v>3282.73</v>
      </c>
      <c r="I32" s="2"/>
      <c r="J32" s="7">
        <f t="shared" si="16"/>
        <v>-2.456417636419091E-2</v>
      </c>
      <c r="K32" s="2"/>
      <c r="L32" s="6">
        <f t="shared" si="17"/>
        <v>2108.7099999999996</v>
      </c>
      <c r="M32" s="2"/>
      <c r="N32" s="7">
        <f t="shared" si="18"/>
        <v>0.64236473910434289</v>
      </c>
      <c r="O32" s="10"/>
      <c r="P32" s="6">
        <v>48724.45</v>
      </c>
      <c r="Q32" s="2"/>
      <c r="R32" s="7">
        <f t="shared" si="19"/>
        <v>4.7675773682088772E-2</v>
      </c>
      <c r="S32" s="2"/>
      <c r="T32" s="6">
        <v>51688.44</v>
      </c>
      <c r="U32" s="2"/>
      <c r="V32" s="7">
        <f t="shared" si="20"/>
        <v>5.719427015178356E-3</v>
      </c>
      <c r="W32" s="2"/>
      <c r="X32" s="6">
        <f t="shared" si="21"/>
        <v>-2963.9900000000052</v>
      </c>
      <c r="Y32" s="2"/>
      <c r="Z32" s="7">
        <f t="shared" si="22"/>
        <v>-5.7343382775723262E-2</v>
      </c>
    </row>
    <row r="33" spans="1:26" s="23" customFormat="1" hidden="1" outlineLevel="2" x14ac:dyDescent="0.25">
      <c r="A33" s="25"/>
      <c r="B33" s="10" t="str">
        <f>CONCATENATE("          ", "6117", " - ", "RETIREMENT STAFF HOURLY")</f>
        <v xml:space="preserve">          6117 - RETIREMENT STAFF HOURLY</v>
      </c>
      <c r="C33" s="10"/>
      <c r="D33" s="6">
        <v>1294.78</v>
      </c>
      <c r="E33" s="2"/>
      <c r="F33" s="7">
        <f t="shared" si="15"/>
        <v>4.2999661257862469E-2</v>
      </c>
      <c r="G33" s="2"/>
      <c r="H33" s="6">
        <v>1453.91</v>
      </c>
      <c r="I33" s="2"/>
      <c r="J33" s="7">
        <f t="shared" si="16"/>
        <v>-1.0879390524856081E-2</v>
      </c>
      <c r="K33" s="2"/>
      <c r="L33" s="6">
        <f t="shared" si="17"/>
        <v>-159.13000000000011</v>
      </c>
      <c r="M33" s="2"/>
      <c r="N33" s="7">
        <f t="shared" si="18"/>
        <v>-0.10944969083368303</v>
      </c>
      <c r="O33" s="10"/>
      <c r="P33" s="6">
        <v>18126.740000000002</v>
      </c>
      <c r="Q33" s="2"/>
      <c r="R33" s="7">
        <f t="shared" si="19"/>
        <v>1.7736605622722595E-2</v>
      </c>
      <c r="S33" s="2"/>
      <c r="T33" s="6">
        <v>20877.599999999999</v>
      </c>
      <c r="U33" s="2"/>
      <c r="V33" s="7">
        <f t="shared" si="20"/>
        <v>2.3101472873255148E-3</v>
      </c>
      <c r="W33" s="2"/>
      <c r="X33" s="6">
        <f t="shared" si="21"/>
        <v>-2750.8599999999969</v>
      </c>
      <c r="Y33" s="2"/>
      <c r="Z33" s="7">
        <f t="shared" si="22"/>
        <v>-0.13176131356094556</v>
      </c>
    </row>
    <row r="34" spans="1:26" s="23" customFormat="1" hidden="1" outlineLevel="2" x14ac:dyDescent="0.25">
      <c r="A34" s="25"/>
      <c r="B34" s="10" t="str">
        <f>CONCATENATE("          ", "6118", " - ", "VACATION")</f>
        <v xml:space="preserve">          6118 - VACATION</v>
      </c>
      <c r="C34" s="10"/>
      <c r="D34" s="6">
        <v>5963.56</v>
      </c>
      <c r="E34" s="2"/>
      <c r="F34" s="7">
        <f t="shared" si="15"/>
        <v>0.19804990800826267</v>
      </c>
      <c r="G34" s="2"/>
      <c r="H34" s="6">
        <v>5831.78</v>
      </c>
      <c r="I34" s="2"/>
      <c r="J34" s="7">
        <f t="shared" si="16"/>
        <v>-4.3638335299327466E-2</v>
      </c>
      <c r="K34" s="2"/>
      <c r="L34" s="6">
        <f t="shared" si="17"/>
        <v>131.78000000000065</v>
      </c>
      <c r="M34" s="2"/>
      <c r="N34" s="7">
        <f t="shared" si="18"/>
        <v>2.2596874367688882E-2</v>
      </c>
      <c r="O34" s="10"/>
      <c r="P34" s="6">
        <v>78998.289999999994</v>
      </c>
      <c r="Q34" s="2"/>
      <c r="R34" s="7">
        <f t="shared" si="19"/>
        <v>7.7298042262396324E-2</v>
      </c>
      <c r="S34" s="2"/>
      <c r="T34" s="6">
        <v>98573.73</v>
      </c>
      <c r="U34" s="2"/>
      <c r="V34" s="7">
        <f t="shared" si="20"/>
        <v>1.0907376085424461E-2</v>
      </c>
      <c r="W34" s="2"/>
      <c r="X34" s="6">
        <f t="shared" si="21"/>
        <v>-19575.440000000002</v>
      </c>
      <c r="Y34" s="2"/>
      <c r="Z34" s="7">
        <f t="shared" si="22"/>
        <v>-0.19858678372016564</v>
      </c>
    </row>
    <row r="35" spans="1:26" s="23" customFormat="1" hidden="1" outlineLevel="2" x14ac:dyDescent="0.25">
      <c r="A35" s="25"/>
      <c r="B35" s="10" t="str">
        <f>CONCATENATE("          ", "6119", " - ", "SICK LEAVE")</f>
        <v xml:space="preserve">          6119 - SICK LEAVE</v>
      </c>
      <c r="C35" s="10"/>
      <c r="D35" s="6">
        <v>3877.69</v>
      </c>
      <c r="E35" s="2"/>
      <c r="F35" s="7">
        <f t="shared" si="15"/>
        <v>0.1287781371839237</v>
      </c>
      <c r="G35" s="2"/>
      <c r="H35" s="6">
        <v>4472.3100000000004</v>
      </c>
      <c r="I35" s="2"/>
      <c r="J35" s="7">
        <f t="shared" si="16"/>
        <v>-3.3465625133755943E-2</v>
      </c>
      <c r="K35" s="2"/>
      <c r="L35" s="6">
        <f t="shared" si="17"/>
        <v>-594.62000000000035</v>
      </c>
      <c r="M35" s="2"/>
      <c r="N35" s="7">
        <f t="shared" si="18"/>
        <v>-0.13295589974755781</v>
      </c>
      <c r="O35" s="10"/>
      <c r="P35" s="6">
        <v>53169.45</v>
      </c>
      <c r="Q35" s="2"/>
      <c r="R35" s="7">
        <f t="shared" si="19"/>
        <v>5.202510577340811E-2</v>
      </c>
      <c r="S35" s="2"/>
      <c r="T35" s="6">
        <v>-9843.3700000000008</v>
      </c>
      <c r="U35" s="2"/>
      <c r="V35" s="7">
        <f t="shared" si="20"/>
        <v>-1.0891881491953749E-3</v>
      </c>
      <c r="W35" s="2"/>
      <c r="X35" s="6">
        <f t="shared" si="21"/>
        <v>63012.82</v>
      </c>
      <c r="Y35" s="2"/>
      <c r="Z35" s="7">
        <f t="shared" si="22"/>
        <v>-6.401549469338244</v>
      </c>
    </row>
    <row r="36" spans="1:26" s="23" customFormat="1" hidden="1" outlineLevel="2" x14ac:dyDescent="0.25">
      <c r="A36" s="25"/>
      <c r="B36" s="10" t="str">
        <f>CONCATENATE("          ", "6156", " - ", "EMPLOYEE MEALS")</f>
        <v xml:space="preserve">          6156 - EMPLOYEE MEALS</v>
      </c>
      <c r="C36" s="10"/>
      <c r="D36" s="6">
        <v>2578.86</v>
      </c>
      <c r="E36" s="2"/>
      <c r="F36" s="7">
        <f t="shared" si="15"/>
        <v>8.5643975371454004E-2</v>
      </c>
      <c r="G36" s="2"/>
      <c r="H36" s="6">
        <v>2248.6999999999998</v>
      </c>
      <c r="I36" s="2"/>
      <c r="J36" s="7">
        <f t="shared" si="16"/>
        <v>-1.6826684920829948E-2</v>
      </c>
      <c r="K36" s="2"/>
      <c r="L36" s="6">
        <f t="shared" si="17"/>
        <v>330.16000000000031</v>
      </c>
      <c r="M36" s="2"/>
      <c r="N36" s="7">
        <f t="shared" si="18"/>
        <v>0.14682260861831295</v>
      </c>
      <c r="O36" s="10"/>
      <c r="P36" s="6">
        <v>27416.67</v>
      </c>
      <c r="Q36" s="2"/>
      <c r="R36" s="7">
        <f t="shared" si="19"/>
        <v>2.6826592276290709E-2</v>
      </c>
      <c r="S36" s="2"/>
      <c r="T36" s="6">
        <v>40856.54</v>
      </c>
      <c r="U36" s="2"/>
      <c r="V36" s="7">
        <f t="shared" si="20"/>
        <v>4.5208560874097792E-3</v>
      </c>
      <c r="W36" s="2"/>
      <c r="X36" s="6">
        <f t="shared" si="21"/>
        <v>-13439.870000000003</v>
      </c>
      <c r="Y36" s="2"/>
      <c r="Z36" s="7">
        <f t="shared" si="22"/>
        <v>-0.32895272091077715</v>
      </c>
    </row>
    <row r="37" spans="1:26" s="27" customFormat="1" outlineLevel="1" collapsed="1" x14ac:dyDescent="0.25">
      <c r="A37" s="26"/>
      <c r="B37" s="12" t="str">
        <f>CONCATENATE("     ","*Payroll                                          ")</f>
        <v xml:space="preserve">     *Payroll                                          </v>
      </c>
      <c r="C37" s="12"/>
      <c r="D37" s="1">
        <f>SUM(OSRRefD22_1x_0)</f>
        <v>74887.960000000006</v>
      </c>
      <c r="E37" s="1"/>
      <c r="F37" s="5">
        <f t="shared" ref="F37:F44" si="23">IF(D$12=0,0,D37/D$12)</f>
        <v>2.4870301613342458</v>
      </c>
      <c r="G37" s="1"/>
      <c r="H37" s="1">
        <f>SUM(OSRRefH22_1x_0)</f>
        <v>61595</v>
      </c>
      <c r="I37" s="1"/>
      <c r="J37" s="5">
        <f t="shared" ref="J37:J44" si="24">IF(H$12=0,0,H37/H$12)</f>
        <v>-0.46090614919665612</v>
      </c>
      <c r="K37" s="1"/>
      <c r="L37" s="1">
        <f t="shared" ref="L37:L44" si="25">+D37-H37</f>
        <v>13292.960000000006</v>
      </c>
      <c r="M37" s="1"/>
      <c r="N37" s="5">
        <f t="shared" ref="N37:N44" si="26">IF(H37=0,0,L37/H37)</f>
        <v>0.21581232242876866</v>
      </c>
      <c r="O37" s="12"/>
      <c r="P37" s="1">
        <f>SUM(OSRRefP22_1x_0)</f>
        <v>1232994.53</v>
      </c>
      <c r="Q37" s="1"/>
      <c r="R37" s="5">
        <f t="shared" ref="R37:R44" si="27">IF(P$12=0,0,P37/P$12)</f>
        <v>1.20645729533188</v>
      </c>
      <c r="S37" s="1"/>
      <c r="T37" s="1">
        <f>SUM(OSRRefT22_1x_0)</f>
        <v>2595607.4</v>
      </c>
      <c r="U37" s="1"/>
      <c r="V37" s="5">
        <f t="shared" ref="V37:V44" si="28">IF(T$12=0,0,T37/T$12)</f>
        <v>0.2872090371533142</v>
      </c>
      <c r="W37" s="1"/>
      <c r="X37" s="1">
        <f t="shared" ref="X37:X44" si="29">+P37-T37</f>
        <v>-1362612.8699999999</v>
      </c>
      <c r="Y37" s="1"/>
      <c r="Z37" s="5">
        <f t="shared" ref="Z37:Z44" si="30">IF(T37=0,0,X37/T37)</f>
        <v>-0.52496878765255484</v>
      </c>
    </row>
    <row r="38" spans="1:26" s="23" customFormat="1" hidden="1" outlineLevel="2" x14ac:dyDescent="0.25">
      <c r="A38" s="25"/>
      <c r="B38" s="10" t="str">
        <f>CONCATENATE("          ", "6001", " - ", "ADMINISTRATIVE SALARIES")</f>
        <v xml:space="preserve">          6001 - ADMINISTRATIVE SALARIES</v>
      </c>
      <c r="C38" s="10"/>
      <c r="D38" s="6">
        <v>6271.67</v>
      </c>
      <c r="E38" s="2"/>
      <c r="F38" s="7">
        <f t="shared" si="23"/>
        <v>0.20828224526259156</v>
      </c>
      <c r="G38" s="2"/>
      <c r="H38" s="6">
        <v>8511.56</v>
      </c>
      <c r="I38" s="2"/>
      <c r="J38" s="7">
        <f t="shared" si="24"/>
        <v>-6.3690727222279253E-2</v>
      </c>
      <c r="K38" s="2"/>
      <c r="L38" s="6">
        <f t="shared" si="25"/>
        <v>-2239.8899999999994</v>
      </c>
      <c r="M38" s="2"/>
      <c r="N38" s="7">
        <f t="shared" si="26"/>
        <v>-0.26315857492633543</v>
      </c>
      <c r="O38" s="10"/>
      <c r="P38" s="6">
        <v>106395.53</v>
      </c>
      <c r="Q38" s="2"/>
      <c r="R38" s="7">
        <f t="shared" si="27"/>
        <v>0.10410562272259383</v>
      </c>
      <c r="S38" s="2"/>
      <c r="T38" s="6">
        <v>100143.27</v>
      </c>
      <c r="U38" s="2"/>
      <c r="V38" s="7">
        <f t="shared" si="28"/>
        <v>1.108104875725211E-2</v>
      </c>
      <c r="W38" s="2"/>
      <c r="X38" s="6">
        <f t="shared" si="29"/>
        <v>6252.2599999999948</v>
      </c>
      <c r="Y38" s="2"/>
      <c r="Z38" s="7">
        <f t="shared" si="30"/>
        <v>6.2433152023096454E-2</v>
      </c>
    </row>
    <row r="39" spans="1:26" s="23" customFormat="1" hidden="1" outlineLevel="2" x14ac:dyDescent="0.25">
      <c r="A39" s="25"/>
      <c r="B39" s="10" t="str">
        <f>CONCATENATE("          ", "6002", " - ", "STAFF SALARIES")</f>
        <v xml:space="preserve">          6002 - STAFF SALARIES</v>
      </c>
      <c r="C39" s="10"/>
      <c r="D39" s="6">
        <v>25713.03</v>
      </c>
      <c r="E39" s="2"/>
      <c r="F39" s="7">
        <f t="shared" si="23"/>
        <v>0.85393007299560952</v>
      </c>
      <c r="G39" s="2"/>
      <c r="H39" s="6">
        <v>22233.23</v>
      </c>
      <c r="I39" s="2"/>
      <c r="J39" s="7">
        <f t="shared" si="24"/>
        <v>-0.16636792634959932</v>
      </c>
      <c r="K39" s="2"/>
      <c r="L39" s="6">
        <f t="shared" si="25"/>
        <v>3479.7999999999993</v>
      </c>
      <c r="M39" s="2"/>
      <c r="N39" s="7">
        <f t="shared" si="26"/>
        <v>0.1565134710521143</v>
      </c>
      <c r="O39" s="10"/>
      <c r="P39" s="6">
        <v>342842.12</v>
      </c>
      <c r="Q39" s="2"/>
      <c r="R39" s="7">
        <f t="shared" si="27"/>
        <v>0.33546326991495073</v>
      </c>
      <c r="S39" s="2"/>
      <c r="T39" s="6">
        <v>432106.04</v>
      </c>
      <c r="U39" s="2"/>
      <c r="V39" s="7">
        <f t="shared" si="28"/>
        <v>4.7813378747699468E-2</v>
      </c>
      <c r="W39" s="2"/>
      <c r="X39" s="6">
        <f t="shared" si="29"/>
        <v>-89263.919999999984</v>
      </c>
      <c r="Y39" s="2"/>
      <c r="Z39" s="7">
        <f t="shared" si="30"/>
        <v>-0.20657873701557142</v>
      </c>
    </row>
    <row r="40" spans="1:26" s="23" customFormat="1" hidden="1" outlineLevel="2" x14ac:dyDescent="0.25">
      <c r="A40" s="25"/>
      <c r="B40" s="10" t="str">
        <f>CONCATENATE("          ", "6004", " - ", "STAFF HOURLY")</f>
        <v xml:space="preserve">          6004 - STAFF HOURLY</v>
      </c>
      <c r="C40" s="10"/>
      <c r="D40" s="6">
        <v>38569.269999999997</v>
      </c>
      <c r="E40" s="2"/>
      <c r="F40" s="7">
        <f t="shared" si="23"/>
        <v>1.2808859767397063</v>
      </c>
      <c r="G40" s="2"/>
      <c r="H40" s="6">
        <v>30850.21</v>
      </c>
      <c r="I40" s="2"/>
      <c r="J40" s="7">
        <f t="shared" si="24"/>
        <v>-0.23084749562477755</v>
      </c>
      <c r="K40" s="2"/>
      <c r="L40" s="6">
        <f t="shared" si="25"/>
        <v>7719.0599999999977</v>
      </c>
      <c r="M40" s="2"/>
      <c r="N40" s="7">
        <f t="shared" si="26"/>
        <v>0.2502109385965281</v>
      </c>
      <c r="O40" s="10"/>
      <c r="P40" s="6">
        <v>543261.93999999994</v>
      </c>
      <c r="Q40" s="2"/>
      <c r="R40" s="7">
        <f t="shared" si="27"/>
        <v>0.53156953647568084</v>
      </c>
      <c r="S40" s="2"/>
      <c r="T40" s="6">
        <v>696011.51</v>
      </c>
      <c r="U40" s="2"/>
      <c r="V40" s="7">
        <f t="shared" si="28"/>
        <v>7.70150353380578E-2</v>
      </c>
      <c r="W40" s="2"/>
      <c r="X40" s="6">
        <f t="shared" si="29"/>
        <v>-152749.57000000007</v>
      </c>
      <c r="Y40" s="2"/>
      <c r="Z40" s="7">
        <f t="shared" si="30"/>
        <v>-0.21946414363176273</v>
      </c>
    </row>
    <row r="41" spans="1:26" s="23" customFormat="1" hidden="1" outlineLevel="2" x14ac:dyDescent="0.25">
      <c r="A41" s="25"/>
      <c r="B41" s="10" t="str">
        <f>CONCATENATE("          ", "6005", " - ", "TEMPORARY WAGES-HOURLY")</f>
        <v xml:space="preserve">          6005 - TEMPORARY WAGES-HOURLY</v>
      </c>
      <c r="C41" s="10"/>
      <c r="D41" s="6">
        <v>4305.99</v>
      </c>
      <c r="E41" s="2"/>
      <c r="F41" s="7">
        <f t="shared" si="23"/>
        <v>0.14300198595880628</v>
      </c>
      <c r="G41" s="2"/>
      <c r="H41" s="6"/>
      <c r="I41" s="2"/>
      <c r="J41" s="7">
        <f t="shared" si="24"/>
        <v>0</v>
      </c>
      <c r="K41" s="2"/>
      <c r="L41" s="6">
        <f t="shared" si="25"/>
        <v>4305.99</v>
      </c>
      <c r="M41" s="2"/>
      <c r="N41" s="7">
        <f t="shared" si="26"/>
        <v>0</v>
      </c>
      <c r="O41" s="10"/>
      <c r="P41" s="6">
        <v>110372.98</v>
      </c>
      <c r="Q41" s="2"/>
      <c r="R41" s="7">
        <f t="shared" si="27"/>
        <v>0.10799746770046066</v>
      </c>
      <c r="S41" s="2"/>
      <c r="T41" s="6">
        <v>393545.4</v>
      </c>
      <c r="U41" s="2"/>
      <c r="V41" s="7">
        <f t="shared" si="28"/>
        <v>4.3546568487251157E-2</v>
      </c>
      <c r="W41" s="2"/>
      <c r="X41" s="6">
        <f t="shared" si="29"/>
        <v>-283172.42000000004</v>
      </c>
      <c r="Y41" s="2"/>
      <c r="Z41" s="7">
        <f t="shared" si="30"/>
        <v>-0.71954193849045123</v>
      </c>
    </row>
    <row r="42" spans="1:26" s="23" customFormat="1" hidden="1" outlineLevel="2" x14ac:dyDescent="0.25">
      <c r="A42" s="25"/>
      <c r="B42" s="10" t="str">
        <f>CONCATENATE("          ", "6006", " - ", "TEMPORARY PART TIME")</f>
        <v xml:space="preserve">          6006 - TEMPORARY PART TIME</v>
      </c>
      <c r="C42" s="10"/>
      <c r="D42" s="6"/>
      <c r="E42" s="2"/>
      <c r="F42" s="7">
        <f t="shared" si="23"/>
        <v>0</v>
      </c>
      <c r="G42" s="2"/>
      <c r="H42" s="6"/>
      <c r="I42" s="2"/>
      <c r="J42" s="7">
        <f t="shared" si="24"/>
        <v>0</v>
      </c>
      <c r="K42" s="2"/>
      <c r="L42" s="6">
        <f t="shared" si="25"/>
        <v>0</v>
      </c>
      <c r="M42" s="2"/>
      <c r="N42" s="7">
        <f t="shared" si="26"/>
        <v>0</v>
      </c>
      <c r="O42" s="10"/>
      <c r="P42" s="6">
        <v>2427.2199999999998</v>
      </c>
      <c r="Q42" s="2"/>
      <c r="R42" s="7">
        <f t="shared" si="27"/>
        <v>2.3749799412130768E-3</v>
      </c>
      <c r="S42" s="2"/>
      <c r="T42" s="6">
        <v>34130.699999999997</v>
      </c>
      <c r="U42" s="2"/>
      <c r="V42" s="7">
        <f t="shared" si="28"/>
        <v>3.7766287322068127E-3</v>
      </c>
      <c r="W42" s="2"/>
      <c r="X42" s="6">
        <f t="shared" si="29"/>
        <v>-31703.479999999996</v>
      </c>
      <c r="Y42" s="2"/>
      <c r="Z42" s="7">
        <f t="shared" si="30"/>
        <v>-0.92888455261685221</v>
      </c>
    </row>
    <row r="43" spans="1:26" s="23" customFormat="1" hidden="1" outlineLevel="2" x14ac:dyDescent="0.25">
      <c r="A43" s="25"/>
      <c r="B43" s="10" t="str">
        <f>CONCATENATE("          ", "6007", " - ", "STUDENT HOURLY")</f>
        <v xml:space="preserve">          6007 - STUDENT HOURLY</v>
      </c>
      <c r="C43" s="10"/>
      <c r="D43" s="6">
        <v>28</v>
      </c>
      <c r="E43" s="2"/>
      <c r="F43" s="7">
        <f t="shared" si="23"/>
        <v>9.2988037753143321E-4</v>
      </c>
      <c r="G43" s="2"/>
      <c r="H43" s="6"/>
      <c r="I43" s="2"/>
      <c r="J43" s="7">
        <f t="shared" si="24"/>
        <v>0</v>
      </c>
      <c r="K43" s="2"/>
      <c r="L43" s="6">
        <f t="shared" si="25"/>
        <v>28</v>
      </c>
      <c r="M43" s="2"/>
      <c r="N43" s="7">
        <f t="shared" si="26"/>
        <v>0</v>
      </c>
      <c r="O43" s="10"/>
      <c r="P43" s="6">
        <v>117063.86</v>
      </c>
      <c r="Q43" s="2"/>
      <c r="R43" s="7">
        <f t="shared" si="27"/>
        <v>0.11454434263930582</v>
      </c>
      <c r="S43" s="2"/>
      <c r="T43" s="6">
        <v>767218.78</v>
      </c>
      <c r="U43" s="2"/>
      <c r="V43" s="7">
        <f t="shared" si="28"/>
        <v>8.4894259081608581E-2</v>
      </c>
      <c r="W43" s="2"/>
      <c r="X43" s="6">
        <f t="shared" si="29"/>
        <v>-650154.92000000004</v>
      </c>
      <c r="Y43" s="2"/>
      <c r="Z43" s="7">
        <f t="shared" si="30"/>
        <v>-0.84741789037020188</v>
      </c>
    </row>
    <row r="44" spans="1:26" s="23" customFormat="1" hidden="1" outlineLevel="2" x14ac:dyDescent="0.25">
      <c r="A44" s="25"/>
      <c r="B44" s="10" t="str">
        <f>CONCATENATE("          ", "6008", " - ", "STUDENT HOURLY-FICA EXEMPT")</f>
        <v xml:space="preserve">          6008 - STUDENT HOURLY-FICA EXEMPT</v>
      </c>
      <c r="C44" s="10"/>
      <c r="D44" s="6"/>
      <c r="E44" s="2"/>
      <c r="F44" s="7">
        <f t="shared" si="23"/>
        <v>0</v>
      </c>
      <c r="G44" s="2"/>
      <c r="H44" s="6"/>
      <c r="I44" s="2"/>
      <c r="J44" s="7">
        <f t="shared" si="24"/>
        <v>0</v>
      </c>
      <c r="K44" s="2"/>
      <c r="L44" s="6">
        <f t="shared" si="25"/>
        <v>0</v>
      </c>
      <c r="M44" s="2"/>
      <c r="N44" s="7">
        <f t="shared" si="26"/>
        <v>0</v>
      </c>
      <c r="O44" s="10"/>
      <c r="P44" s="6">
        <v>10630.88</v>
      </c>
      <c r="Q44" s="2"/>
      <c r="R44" s="7">
        <f t="shared" si="27"/>
        <v>1.0402075937674901E-2</v>
      </c>
      <c r="S44" s="2"/>
      <c r="T44" s="6">
        <v>172451.7</v>
      </c>
      <c r="U44" s="2"/>
      <c r="V44" s="7">
        <f t="shared" si="28"/>
        <v>1.90821180092383E-2</v>
      </c>
      <c r="W44" s="2"/>
      <c r="X44" s="6">
        <f t="shared" si="29"/>
        <v>-161820.82</v>
      </c>
      <c r="Y44" s="2"/>
      <c r="Z44" s="7">
        <f t="shared" si="30"/>
        <v>-0.93835444939075696</v>
      </c>
    </row>
    <row r="45" spans="1:26" s="27" customFormat="1" outlineLevel="1" collapsed="1" x14ac:dyDescent="0.25">
      <c r="A45" s="26"/>
      <c r="B45" s="12" t="str">
        <f>CONCATENATE("     ","Advertising/Promo                                 ")</f>
        <v xml:space="preserve">     Advertising/Promo                                 </v>
      </c>
      <c r="C45" s="12"/>
      <c r="D45" s="1">
        <f>SUM(OSRRefD22_2x_0)</f>
        <v>36.89</v>
      </c>
      <c r="E45" s="1"/>
      <c r="F45" s="5">
        <f t="shared" ref="F45:F68" si="31">IF(D$12=0,0,D45/D$12)</f>
        <v>1.2251173973976633E-3</v>
      </c>
      <c r="G45" s="1"/>
      <c r="H45" s="1">
        <f>SUM(OSRRefH22_2x_0)</f>
        <v>0</v>
      </c>
      <c r="I45" s="1"/>
      <c r="J45" s="5">
        <f t="shared" ref="J45:J68" si="32">IF(H$12=0,0,H45/H$12)</f>
        <v>0</v>
      </c>
      <c r="K45" s="1"/>
      <c r="L45" s="1">
        <f t="shared" ref="L45:L68" si="33">+D45-H45</f>
        <v>36.89</v>
      </c>
      <c r="M45" s="1"/>
      <c r="N45" s="5">
        <f t="shared" ref="N45:N68" si="34">IF(H45=0,0,L45/H45)</f>
        <v>0</v>
      </c>
      <c r="O45" s="12"/>
      <c r="P45" s="1">
        <f>SUM(OSRRefP22_2x_0)</f>
        <v>1604.82</v>
      </c>
      <c r="Q45" s="1"/>
      <c r="R45" s="5">
        <f t="shared" ref="R45:R68" si="35">IF(P$12=0,0,P45/P$12)</f>
        <v>1.5702801185131839E-3</v>
      </c>
      <c r="S45" s="1"/>
      <c r="T45" s="1">
        <f>SUM(OSRRefT22_2x_0)</f>
        <v>8477.7099999999991</v>
      </c>
      <c r="U45" s="1"/>
      <c r="V45" s="5">
        <f t="shared" ref="V45:V68" si="36">IF(T$12=0,0,T45/T$12)</f>
        <v>9.3807519826188783E-4</v>
      </c>
      <c r="W45" s="1"/>
      <c r="X45" s="1">
        <f t="shared" ref="X45:X68" si="37">+P45-T45</f>
        <v>-6872.8899999999994</v>
      </c>
      <c r="Y45" s="1"/>
      <c r="Z45" s="5">
        <f t="shared" ref="Z45:Z68" si="38">IF(T45=0,0,X45/T45)</f>
        <v>-0.81070123889588108</v>
      </c>
    </row>
    <row r="46" spans="1:26" s="23" customFormat="1" hidden="1" outlineLevel="2" x14ac:dyDescent="0.25">
      <c r="A46" s="25"/>
      <c r="B46" s="10" t="str">
        <f>CONCATENATE("          ", "6362", " - ", "ADVERTISING EXPENSE")</f>
        <v xml:space="preserve">          6362 - ADVERTISING EXPENSE</v>
      </c>
      <c r="C46" s="10"/>
      <c r="D46" s="6">
        <v>36.89</v>
      </c>
      <c r="E46" s="2"/>
      <c r="F46" s="7">
        <f t="shared" si="31"/>
        <v>1.2251173973976633E-3</v>
      </c>
      <c r="G46" s="2"/>
      <c r="H46" s="6"/>
      <c r="I46" s="2"/>
      <c r="J46" s="7">
        <f t="shared" si="32"/>
        <v>0</v>
      </c>
      <c r="K46" s="2"/>
      <c r="L46" s="6">
        <f t="shared" si="33"/>
        <v>36.89</v>
      </c>
      <c r="M46" s="2"/>
      <c r="N46" s="7">
        <f t="shared" si="34"/>
        <v>0</v>
      </c>
      <c r="O46" s="10"/>
      <c r="P46" s="6">
        <v>1604.82</v>
      </c>
      <c r="Q46" s="2"/>
      <c r="R46" s="7">
        <f t="shared" si="35"/>
        <v>1.5702801185131839E-3</v>
      </c>
      <c r="S46" s="2"/>
      <c r="T46" s="6">
        <v>8477.7099999999991</v>
      </c>
      <c r="U46" s="2"/>
      <c r="V46" s="7">
        <f t="shared" si="36"/>
        <v>9.3807519826188783E-4</v>
      </c>
      <c r="W46" s="2"/>
      <c r="X46" s="6">
        <f t="shared" si="37"/>
        <v>-6872.8899999999994</v>
      </c>
      <c r="Y46" s="2"/>
      <c r="Z46" s="7">
        <f t="shared" si="38"/>
        <v>-0.81070123889588108</v>
      </c>
    </row>
    <row r="47" spans="1:26" s="27" customFormat="1" outlineLevel="1" collapsed="1" x14ac:dyDescent="0.25">
      <c r="A47" s="26"/>
      <c r="B47" s="12" t="str">
        <f>CONCATENATE("     ","Bad Debts/Over/Short                              ")</f>
        <v xml:space="preserve">     Bad Debts/Over/Short                              </v>
      </c>
      <c r="C47" s="12"/>
      <c r="D47" s="1">
        <f>SUM(OSRRefD22_3x_0)</f>
        <v>-0.02</v>
      </c>
      <c r="E47" s="1"/>
      <c r="F47" s="5">
        <f t="shared" si="31"/>
        <v>-6.6420026966530949E-7</v>
      </c>
      <c r="G47" s="1"/>
      <c r="H47" s="1">
        <f>SUM(OSRRefH22_3x_0)</f>
        <v>0</v>
      </c>
      <c r="I47" s="1"/>
      <c r="J47" s="5">
        <f t="shared" si="32"/>
        <v>0</v>
      </c>
      <c r="K47" s="1"/>
      <c r="L47" s="1">
        <f t="shared" si="33"/>
        <v>-0.02</v>
      </c>
      <c r="M47" s="1"/>
      <c r="N47" s="5">
        <f t="shared" si="34"/>
        <v>0</v>
      </c>
      <c r="O47" s="12"/>
      <c r="P47" s="1">
        <f>SUM(OSRRefP22_3x_0)</f>
        <v>53.52</v>
      </c>
      <c r="Q47" s="1"/>
      <c r="R47" s="5">
        <f t="shared" si="35"/>
        <v>5.2368111029788767E-5</v>
      </c>
      <c r="S47" s="1"/>
      <c r="T47" s="1">
        <f>SUM(OSRRefT22_3x_0)</f>
        <v>63.55</v>
      </c>
      <c r="U47" s="1"/>
      <c r="V47" s="5">
        <f t="shared" si="36"/>
        <v>7.0319318364915733E-6</v>
      </c>
      <c r="W47" s="1"/>
      <c r="X47" s="1">
        <f t="shared" si="37"/>
        <v>-10.029999999999994</v>
      </c>
      <c r="Y47" s="1"/>
      <c r="Z47" s="5">
        <f t="shared" si="38"/>
        <v>-0.15782848151062148</v>
      </c>
    </row>
    <row r="48" spans="1:26" s="23" customFormat="1" hidden="1" outlineLevel="2" x14ac:dyDescent="0.25">
      <c r="A48" s="25"/>
      <c r="B48" s="10" t="str">
        <f>CONCATENATE("          ", "6272", " - ", "CASH (OVER/SHORT)")</f>
        <v xml:space="preserve">          6272 - CASH (OVER/SHORT)</v>
      </c>
      <c r="C48" s="10"/>
      <c r="D48" s="6">
        <v>-0.02</v>
      </c>
      <c r="E48" s="2"/>
      <c r="F48" s="7">
        <f t="shared" si="31"/>
        <v>-6.6420026966530949E-7</v>
      </c>
      <c r="G48" s="2"/>
      <c r="H48" s="6"/>
      <c r="I48" s="2"/>
      <c r="J48" s="7">
        <f t="shared" si="32"/>
        <v>0</v>
      </c>
      <c r="K48" s="2"/>
      <c r="L48" s="6">
        <f t="shared" si="33"/>
        <v>-0.02</v>
      </c>
      <c r="M48" s="2"/>
      <c r="N48" s="7">
        <f t="shared" si="34"/>
        <v>0</v>
      </c>
      <c r="O48" s="10"/>
      <c r="P48" s="6">
        <v>53.52</v>
      </c>
      <c r="Q48" s="2"/>
      <c r="R48" s="7">
        <f t="shared" si="35"/>
        <v>5.2368111029788767E-5</v>
      </c>
      <c r="S48" s="2"/>
      <c r="T48" s="6">
        <v>63.55</v>
      </c>
      <c r="U48" s="2"/>
      <c r="V48" s="7">
        <f t="shared" si="36"/>
        <v>7.0319318364915733E-6</v>
      </c>
      <c r="W48" s="2"/>
      <c r="X48" s="6">
        <f t="shared" si="37"/>
        <v>-10.029999999999994</v>
      </c>
      <c r="Y48" s="2"/>
      <c r="Z48" s="7">
        <f t="shared" si="38"/>
        <v>-0.15782848151062148</v>
      </c>
    </row>
    <row r="49" spans="1:26" s="27" customFormat="1" outlineLevel="1" collapsed="1" x14ac:dyDescent="0.25">
      <c r="A49" s="26"/>
      <c r="B49" s="12" t="str">
        <f>CONCATENATE("     ","Bank/card Fees                                    ")</f>
        <v xml:space="preserve">     Bank/card Fees                                    </v>
      </c>
      <c r="C49" s="12"/>
      <c r="D49" s="1">
        <f>SUM(OSRRefD22_4x_0)</f>
        <v>0</v>
      </c>
      <c r="E49" s="1"/>
      <c r="F49" s="5">
        <f t="shared" si="31"/>
        <v>0</v>
      </c>
      <c r="G49" s="1"/>
      <c r="H49" s="1">
        <f>SUM(OSRRefH22_4x_0)</f>
        <v>0</v>
      </c>
      <c r="I49" s="1"/>
      <c r="J49" s="5">
        <f t="shared" si="32"/>
        <v>0</v>
      </c>
      <c r="K49" s="1"/>
      <c r="L49" s="1">
        <f t="shared" si="33"/>
        <v>0</v>
      </c>
      <c r="M49" s="1"/>
      <c r="N49" s="5">
        <f t="shared" si="34"/>
        <v>0</v>
      </c>
      <c r="O49" s="12"/>
      <c r="P49" s="1">
        <f>SUM(OSRRefP22_4x_0)</f>
        <v>423.53</v>
      </c>
      <c r="Q49" s="1"/>
      <c r="R49" s="5">
        <f t="shared" si="35"/>
        <v>4.1441453782597971E-4</v>
      </c>
      <c r="S49" s="1"/>
      <c r="T49" s="1">
        <f>SUM(OSRRefT22_4x_0)</f>
        <v>3181.84</v>
      </c>
      <c r="U49" s="1"/>
      <c r="V49" s="5">
        <f t="shared" si="36"/>
        <v>3.5207682131585132E-4</v>
      </c>
      <c r="W49" s="1"/>
      <c r="X49" s="1">
        <f t="shared" si="37"/>
        <v>-2758.3100000000004</v>
      </c>
      <c r="Y49" s="1"/>
      <c r="Z49" s="5">
        <f t="shared" si="38"/>
        <v>-0.86689148417268003</v>
      </c>
    </row>
    <row r="50" spans="1:26" s="23" customFormat="1" hidden="1" outlineLevel="2" x14ac:dyDescent="0.25">
      <c r="A50" s="25"/>
      <c r="B50" s="10" t="str">
        <f>CONCATENATE("          ", "6381", " - ", "BANK/CREDIT CARD FEES")</f>
        <v xml:space="preserve">          6381 - BANK/CREDIT CARD FEES</v>
      </c>
      <c r="C50" s="10"/>
      <c r="D50" s="6"/>
      <c r="E50" s="2"/>
      <c r="F50" s="7">
        <f t="shared" si="31"/>
        <v>0</v>
      </c>
      <c r="G50" s="2"/>
      <c r="H50" s="6"/>
      <c r="I50" s="2"/>
      <c r="J50" s="7">
        <f t="shared" si="32"/>
        <v>0</v>
      </c>
      <c r="K50" s="2"/>
      <c r="L50" s="6">
        <f t="shared" si="33"/>
        <v>0</v>
      </c>
      <c r="M50" s="2"/>
      <c r="N50" s="7">
        <f t="shared" si="34"/>
        <v>0</v>
      </c>
      <c r="O50" s="10"/>
      <c r="P50" s="6">
        <v>423.53</v>
      </c>
      <c r="Q50" s="2"/>
      <c r="R50" s="7">
        <f t="shared" si="35"/>
        <v>4.1441453782597971E-4</v>
      </c>
      <c r="S50" s="2"/>
      <c r="T50" s="6">
        <v>3181.84</v>
      </c>
      <c r="U50" s="2"/>
      <c r="V50" s="7">
        <f t="shared" si="36"/>
        <v>3.5207682131585132E-4</v>
      </c>
      <c r="W50" s="2"/>
      <c r="X50" s="6">
        <f t="shared" si="37"/>
        <v>-2758.3100000000004</v>
      </c>
      <c r="Y50" s="2"/>
      <c r="Z50" s="7">
        <f t="shared" si="38"/>
        <v>-0.86689148417268003</v>
      </c>
    </row>
    <row r="51" spans="1:26" s="27" customFormat="1" outlineLevel="1" collapsed="1" x14ac:dyDescent="0.25">
      <c r="A51" s="26"/>
      <c r="B51" s="12" t="str">
        <f>CONCATENATE("     ","Depreciation                                      ")</f>
        <v xml:space="preserve">     Depreciation                                      </v>
      </c>
      <c r="C51" s="12"/>
      <c r="D51" s="1">
        <f>SUM(OSRRefD22_5x_0)</f>
        <v>758.41</v>
      </c>
      <c r="E51" s="1"/>
      <c r="F51" s="5">
        <f t="shared" si="31"/>
        <v>2.5186806325843365E-2</v>
      </c>
      <c r="G51" s="1"/>
      <c r="H51" s="1">
        <f>SUM(OSRRefH22_5x_0)</f>
        <v>213.01</v>
      </c>
      <c r="I51" s="1"/>
      <c r="J51" s="5">
        <f t="shared" si="32"/>
        <v>-1.5939218904193477E-3</v>
      </c>
      <c r="K51" s="1"/>
      <c r="L51" s="1">
        <f t="shared" si="33"/>
        <v>545.4</v>
      </c>
      <c r="M51" s="1"/>
      <c r="N51" s="5">
        <f t="shared" si="34"/>
        <v>2.5604431716820808</v>
      </c>
      <c r="O51" s="12"/>
      <c r="P51" s="1">
        <f>SUM(OSRRefP22_5x_0)</f>
        <v>8573.4699999999993</v>
      </c>
      <c r="Q51" s="1"/>
      <c r="R51" s="5">
        <f t="shared" si="35"/>
        <v>8.3889467277758426E-3</v>
      </c>
      <c r="S51" s="1"/>
      <c r="T51" s="1">
        <f>SUM(OSRRefT22_5x_0)</f>
        <v>852.07</v>
      </c>
      <c r="U51" s="1"/>
      <c r="V51" s="5">
        <f t="shared" si="36"/>
        <v>9.4283212587244309E-5</v>
      </c>
      <c r="W51" s="1"/>
      <c r="X51" s="1">
        <f t="shared" si="37"/>
        <v>7721.4</v>
      </c>
      <c r="Y51" s="1"/>
      <c r="Z51" s="5">
        <f t="shared" si="38"/>
        <v>9.0619315314469464</v>
      </c>
    </row>
    <row r="52" spans="1:26" s="23" customFormat="1" hidden="1" outlineLevel="2" x14ac:dyDescent="0.25">
      <c r="A52" s="25"/>
      <c r="B52" s="10" t="str">
        <f>CONCATENATE("          ", "6322", " - ", "EQUIPMENT DEPRECIATION EXPENSE")</f>
        <v xml:space="preserve">          6322 - EQUIPMENT DEPRECIATION EXPENSE</v>
      </c>
      <c r="C52" s="10"/>
      <c r="D52" s="6">
        <v>758.41</v>
      </c>
      <c r="E52" s="2"/>
      <c r="F52" s="7">
        <f t="shared" si="31"/>
        <v>2.5186806325843365E-2</v>
      </c>
      <c r="G52" s="2"/>
      <c r="H52" s="6">
        <v>213.01</v>
      </c>
      <c r="I52" s="2"/>
      <c r="J52" s="7">
        <f t="shared" si="32"/>
        <v>-1.5939218904193477E-3</v>
      </c>
      <c r="K52" s="2"/>
      <c r="L52" s="6">
        <f t="shared" si="33"/>
        <v>545.4</v>
      </c>
      <c r="M52" s="2"/>
      <c r="N52" s="7">
        <f t="shared" si="34"/>
        <v>2.5604431716820808</v>
      </c>
      <c r="O52" s="10"/>
      <c r="P52" s="6">
        <v>8573.4699999999993</v>
      </c>
      <c r="Q52" s="2"/>
      <c r="R52" s="7">
        <f t="shared" si="35"/>
        <v>8.3889467277758426E-3</v>
      </c>
      <c r="S52" s="2"/>
      <c r="T52" s="6">
        <v>852.07</v>
      </c>
      <c r="U52" s="2"/>
      <c r="V52" s="7">
        <f t="shared" si="36"/>
        <v>9.4283212587244309E-5</v>
      </c>
      <c r="W52" s="2"/>
      <c r="X52" s="6">
        <f t="shared" si="37"/>
        <v>7721.4</v>
      </c>
      <c r="Y52" s="2"/>
      <c r="Z52" s="7">
        <f t="shared" si="38"/>
        <v>9.0619315314469464</v>
      </c>
    </row>
    <row r="53" spans="1:26" s="27" customFormat="1" outlineLevel="1" collapsed="1" x14ac:dyDescent="0.25">
      <c r="A53" s="26"/>
      <c r="B53" s="12" t="str">
        <f>CONCATENATE("     ","Donations                                         ")</f>
        <v xml:space="preserve">     Donations                                         </v>
      </c>
      <c r="C53" s="12"/>
      <c r="D53" s="1">
        <f>SUM(OSRRefD22_6x_0)</f>
        <v>0</v>
      </c>
      <c r="E53" s="1"/>
      <c r="F53" s="5">
        <f t="shared" si="31"/>
        <v>0</v>
      </c>
      <c r="G53" s="1"/>
      <c r="H53" s="1">
        <f>SUM(OSRRefH22_6x_0)</f>
        <v>0</v>
      </c>
      <c r="I53" s="1"/>
      <c r="J53" s="5">
        <f t="shared" si="32"/>
        <v>0</v>
      </c>
      <c r="K53" s="1"/>
      <c r="L53" s="1">
        <f t="shared" si="33"/>
        <v>0</v>
      </c>
      <c r="M53" s="1"/>
      <c r="N53" s="5">
        <f t="shared" si="34"/>
        <v>0</v>
      </c>
      <c r="O53" s="12"/>
      <c r="P53" s="1">
        <f>SUM(OSRRefP22_6x_0)</f>
        <v>61909.05</v>
      </c>
      <c r="Q53" s="1"/>
      <c r="R53" s="5">
        <f t="shared" si="35"/>
        <v>6.0576606953451878E-2</v>
      </c>
      <c r="S53" s="1"/>
      <c r="T53" s="1">
        <f>SUM(OSRRefT22_6x_0)</f>
        <v>140099.51999999999</v>
      </c>
      <c r="U53" s="1"/>
      <c r="V53" s="5">
        <f t="shared" si="36"/>
        <v>1.5502285994731517E-2</v>
      </c>
      <c r="W53" s="1"/>
      <c r="X53" s="1">
        <f t="shared" si="37"/>
        <v>-78190.469999999987</v>
      </c>
      <c r="Y53" s="1"/>
      <c r="Z53" s="5">
        <f t="shared" si="38"/>
        <v>-0.55810662306337666</v>
      </c>
    </row>
    <row r="54" spans="1:26" s="23" customFormat="1" hidden="1" outlineLevel="2" x14ac:dyDescent="0.25">
      <c r="A54" s="25"/>
      <c r="B54" s="10" t="str">
        <f>CONCATENATE("          ", "6399", " - ", "DONATION-ON CAMPUS")</f>
        <v xml:space="preserve">          6399 - DONATION-ON CAMPUS</v>
      </c>
      <c r="C54" s="10"/>
      <c r="D54" s="6"/>
      <c r="E54" s="2"/>
      <c r="F54" s="7">
        <f t="shared" si="31"/>
        <v>0</v>
      </c>
      <c r="G54" s="2"/>
      <c r="H54" s="6"/>
      <c r="I54" s="2"/>
      <c r="J54" s="7">
        <f t="shared" si="32"/>
        <v>0</v>
      </c>
      <c r="K54" s="2"/>
      <c r="L54" s="6">
        <f t="shared" si="33"/>
        <v>0</v>
      </c>
      <c r="M54" s="2"/>
      <c r="N54" s="7">
        <f t="shared" si="34"/>
        <v>0</v>
      </c>
      <c r="O54" s="10"/>
      <c r="P54" s="6">
        <v>61909.05</v>
      </c>
      <c r="Q54" s="2"/>
      <c r="R54" s="7">
        <f t="shared" si="35"/>
        <v>6.0576606953451878E-2</v>
      </c>
      <c r="S54" s="2"/>
      <c r="T54" s="6">
        <v>140099.51999999999</v>
      </c>
      <c r="U54" s="2"/>
      <c r="V54" s="7">
        <f t="shared" si="36"/>
        <v>1.5502285994731517E-2</v>
      </c>
      <c r="W54" s="2"/>
      <c r="X54" s="6">
        <f t="shared" si="37"/>
        <v>-78190.469999999987</v>
      </c>
      <c r="Y54" s="2"/>
      <c r="Z54" s="7">
        <f t="shared" si="38"/>
        <v>-0.55810662306337666</v>
      </c>
    </row>
    <row r="55" spans="1:26" s="27" customFormat="1" outlineLevel="1" collapsed="1" x14ac:dyDescent="0.25">
      <c r="A55" s="26"/>
      <c r="B55" s="12" t="str">
        <f>CONCATENATE("     ","Employees' Appreciation                           ")</f>
        <v xml:space="preserve">     Employees' Appreciation                           </v>
      </c>
      <c r="C55" s="12"/>
      <c r="D55" s="1">
        <f>SUM(OSRRefD22_7x_0)</f>
        <v>25</v>
      </c>
      <c r="E55" s="1"/>
      <c r="F55" s="5">
        <f t="shared" si="31"/>
        <v>8.3025033708163684E-4</v>
      </c>
      <c r="G55" s="1"/>
      <c r="H55" s="1">
        <f>SUM(OSRRefH22_7x_0)</f>
        <v>0</v>
      </c>
      <c r="I55" s="1"/>
      <c r="J55" s="5">
        <f t="shared" si="32"/>
        <v>0</v>
      </c>
      <c r="K55" s="1"/>
      <c r="L55" s="1">
        <f t="shared" si="33"/>
        <v>25</v>
      </c>
      <c r="M55" s="1"/>
      <c r="N55" s="5">
        <f t="shared" si="34"/>
        <v>0</v>
      </c>
      <c r="O55" s="12"/>
      <c r="P55" s="1">
        <f>SUM(OSRRefP22_7x_0)</f>
        <v>25</v>
      </c>
      <c r="Q55" s="1"/>
      <c r="R55" s="5">
        <f t="shared" si="35"/>
        <v>2.4461935271762315E-5</v>
      </c>
      <c r="S55" s="1"/>
      <c r="T55" s="1">
        <f>SUM(OSRRefT22_7x_0)</f>
        <v>1798.43</v>
      </c>
      <c r="U55" s="1"/>
      <c r="V55" s="5">
        <f t="shared" si="36"/>
        <v>1.9899979815423354E-4</v>
      </c>
      <c r="W55" s="1"/>
      <c r="X55" s="1">
        <f t="shared" si="37"/>
        <v>-1773.43</v>
      </c>
      <c r="Y55" s="1"/>
      <c r="Z55" s="5">
        <f t="shared" si="38"/>
        <v>-0.98609898633808379</v>
      </c>
    </row>
    <row r="56" spans="1:26" s="23" customFormat="1" hidden="1" outlineLevel="2" x14ac:dyDescent="0.25">
      <c r="A56" s="25"/>
      <c r="B56" s="10" t="str">
        <f>CONCATENATE("          ", "6277", " - ", "EMPLOYEE APPRECIATION")</f>
        <v xml:space="preserve">          6277 - EMPLOYEE APPRECIATION</v>
      </c>
      <c r="C56" s="10"/>
      <c r="D56" s="6">
        <v>25</v>
      </c>
      <c r="E56" s="2"/>
      <c r="F56" s="7">
        <f t="shared" si="31"/>
        <v>8.3025033708163684E-4</v>
      </c>
      <c r="G56" s="2"/>
      <c r="H56" s="6"/>
      <c r="I56" s="2"/>
      <c r="J56" s="7">
        <f t="shared" si="32"/>
        <v>0</v>
      </c>
      <c r="K56" s="2"/>
      <c r="L56" s="6">
        <f t="shared" si="33"/>
        <v>25</v>
      </c>
      <c r="M56" s="2"/>
      <c r="N56" s="7">
        <f t="shared" si="34"/>
        <v>0</v>
      </c>
      <c r="O56" s="10"/>
      <c r="P56" s="6">
        <v>25</v>
      </c>
      <c r="Q56" s="2"/>
      <c r="R56" s="7">
        <f t="shared" si="35"/>
        <v>2.4461935271762315E-5</v>
      </c>
      <c r="S56" s="2"/>
      <c r="T56" s="6">
        <v>1798.43</v>
      </c>
      <c r="U56" s="2"/>
      <c r="V56" s="7">
        <f t="shared" si="36"/>
        <v>1.9899979815423354E-4</v>
      </c>
      <c r="W56" s="2"/>
      <c r="X56" s="6">
        <f t="shared" si="37"/>
        <v>-1773.43</v>
      </c>
      <c r="Y56" s="2"/>
      <c r="Z56" s="7">
        <f t="shared" si="38"/>
        <v>-0.98609898633808379</v>
      </c>
    </row>
    <row r="57" spans="1:26" s="27" customFormat="1" outlineLevel="1" collapsed="1" x14ac:dyDescent="0.25">
      <c r="A57" s="26"/>
      <c r="B57" s="12" t="str">
        <f>CONCATENATE("     ","Equipment Rental                                  ")</f>
        <v xml:space="preserve">     Equipment Rental                                  </v>
      </c>
      <c r="C57" s="12"/>
      <c r="D57" s="1">
        <f>SUM(OSRRefD22_8x_0)</f>
        <v>805.87</v>
      </c>
      <c r="E57" s="1"/>
      <c r="F57" s="5">
        <f t="shared" si="31"/>
        <v>2.6762953565759147E-2</v>
      </c>
      <c r="G57" s="1"/>
      <c r="H57" s="1">
        <f>SUM(OSRRefH22_8x_0)</f>
        <v>961.42</v>
      </c>
      <c r="I57" s="1"/>
      <c r="J57" s="5">
        <f t="shared" si="32"/>
        <v>-7.1941617007979398E-3</v>
      </c>
      <c r="K57" s="1"/>
      <c r="L57" s="1">
        <f t="shared" si="33"/>
        <v>-155.54999999999995</v>
      </c>
      <c r="M57" s="1"/>
      <c r="N57" s="5">
        <f t="shared" si="34"/>
        <v>-0.16179193276611675</v>
      </c>
      <c r="O57" s="12"/>
      <c r="P57" s="1">
        <f>SUM(OSRRefP22_8x_0)</f>
        <v>7091.37</v>
      </c>
      <c r="Q57" s="1"/>
      <c r="R57" s="5">
        <f t="shared" si="35"/>
        <v>6.9387453571246854E-3</v>
      </c>
      <c r="S57" s="1"/>
      <c r="T57" s="1">
        <f>SUM(OSRRefT22_8x_0)</f>
        <v>5912.28</v>
      </c>
      <c r="U57" s="1"/>
      <c r="V57" s="5">
        <f t="shared" si="36"/>
        <v>6.5420534946109205E-4</v>
      </c>
      <c r="W57" s="1"/>
      <c r="X57" s="1">
        <f t="shared" si="37"/>
        <v>1179.0900000000001</v>
      </c>
      <c r="Y57" s="1"/>
      <c r="Z57" s="5">
        <f t="shared" si="38"/>
        <v>0.19943067649028803</v>
      </c>
    </row>
    <row r="58" spans="1:26" s="23" customFormat="1" hidden="1" outlineLevel="2" x14ac:dyDescent="0.25">
      <c r="A58" s="25"/>
      <c r="B58" s="10" t="str">
        <f>CONCATENATE("          ", "6351", " - ", "EQUIPMENT RENTAL")</f>
        <v xml:space="preserve">          6351 - EQUIPMENT RENTAL</v>
      </c>
      <c r="C58" s="10"/>
      <c r="D58" s="6">
        <v>805.87</v>
      </c>
      <c r="E58" s="2"/>
      <c r="F58" s="7">
        <f t="shared" si="31"/>
        <v>2.6762953565759147E-2</v>
      </c>
      <c r="G58" s="2"/>
      <c r="H58" s="6">
        <v>961.42</v>
      </c>
      <c r="I58" s="2"/>
      <c r="J58" s="7">
        <f t="shared" si="32"/>
        <v>-7.1941617007979398E-3</v>
      </c>
      <c r="K58" s="2"/>
      <c r="L58" s="6">
        <f t="shared" si="33"/>
        <v>-155.54999999999995</v>
      </c>
      <c r="M58" s="2"/>
      <c r="N58" s="7">
        <f t="shared" si="34"/>
        <v>-0.16179193276611675</v>
      </c>
      <c r="O58" s="10"/>
      <c r="P58" s="6">
        <v>7091.37</v>
      </c>
      <c r="Q58" s="2"/>
      <c r="R58" s="7">
        <f t="shared" si="35"/>
        <v>6.9387453571246854E-3</v>
      </c>
      <c r="S58" s="2"/>
      <c r="T58" s="6">
        <v>5912.28</v>
      </c>
      <c r="U58" s="2"/>
      <c r="V58" s="7">
        <f t="shared" si="36"/>
        <v>6.5420534946109205E-4</v>
      </c>
      <c r="W58" s="2"/>
      <c r="X58" s="6">
        <f t="shared" si="37"/>
        <v>1179.0900000000001</v>
      </c>
      <c r="Y58" s="2"/>
      <c r="Z58" s="7">
        <f t="shared" si="38"/>
        <v>0.19943067649028803</v>
      </c>
    </row>
    <row r="59" spans="1:26" s="27" customFormat="1" outlineLevel="1" collapsed="1" x14ac:dyDescent="0.25">
      <c r="A59" s="26"/>
      <c r="B59" s="12" t="str">
        <f>CONCATENATE("     ","General                                           ")</f>
        <v xml:space="preserve">     General                                           </v>
      </c>
      <c r="C59" s="12"/>
      <c r="D59" s="1">
        <f>SUM(OSRRefD22_9x_0)</f>
        <v>2520</v>
      </c>
      <c r="E59" s="1"/>
      <c r="F59" s="5">
        <f t="shared" si="31"/>
        <v>8.3689233977828986E-2</v>
      </c>
      <c r="G59" s="1"/>
      <c r="H59" s="1">
        <f>SUM(OSRRefH22_9x_0)</f>
        <v>0</v>
      </c>
      <c r="I59" s="1"/>
      <c r="J59" s="5">
        <f t="shared" si="32"/>
        <v>0</v>
      </c>
      <c r="K59" s="1"/>
      <c r="L59" s="1">
        <f t="shared" si="33"/>
        <v>2520</v>
      </c>
      <c r="M59" s="1"/>
      <c r="N59" s="5">
        <f t="shared" si="34"/>
        <v>0</v>
      </c>
      <c r="O59" s="12"/>
      <c r="P59" s="1">
        <f>SUM(OSRRefP22_9x_0)</f>
        <v>10436.93</v>
      </c>
      <c r="Q59" s="1"/>
      <c r="R59" s="5">
        <f t="shared" si="35"/>
        <v>1.0212300243836571E-2</v>
      </c>
      <c r="S59" s="1"/>
      <c r="T59" s="1">
        <f>SUM(OSRRefT22_9x_0)</f>
        <v>9014.11</v>
      </c>
      <c r="U59" s="1"/>
      <c r="V59" s="5">
        <f t="shared" si="36"/>
        <v>9.9742890773622437E-4</v>
      </c>
      <c r="W59" s="1"/>
      <c r="X59" s="1">
        <f t="shared" si="37"/>
        <v>1422.8199999999997</v>
      </c>
      <c r="Y59" s="1"/>
      <c r="Z59" s="5">
        <f t="shared" si="38"/>
        <v>0.15784364734843481</v>
      </c>
    </row>
    <row r="60" spans="1:26" s="23" customFormat="1" hidden="1" outlineLevel="2" x14ac:dyDescent="0.25">
      <c r="A60" s="25"/>
      <c r="B60" s="10" t="str">
        <f>CONCATENATE("          ", "6279", " - ", "GENERAL EXPENSE")</f>
        <v xml:space="preserve">          6279 - GENERAL EXPENSE</v>
      </c>
      <c r="C60" s="10"/>
      <c r="D60" s="6">
        <v>2520</v>
      </c>
      <c r="E60" s="2"/>
      <c r="F60" s="7">
        <f t="shared" si="31"/>
        <v>8.3689233977828986E-2</v>
      </c>
      <c r="G60" s="2"/>
      <c r="H60" s="6"/>
      <c r="I60" s="2"/>
      <c r="J60" s="7">
        <f t="shared" si="32"/>
        <v>0</v>
      </c>
      <c r="K60" s="2"/>
      <c r="L60" s="6">
        <f t="shared" si="33"/>
        <v>2520</v>
      </c>
      <c r="M60" s="2"/>
      <c r="N60" s="7">
        <f t="shared" si="34"/>
        <v>0</v>
      </c>
      <c r="O60" s="10"/>
      <c r="P60" s="6">
        <v>10436.93</v>
      </c>
      <c r="Q60" s="2"/>
      <c r="R60" s="7">
        <f t="shared" si="35"/>
        <v>1.0212300243836571E-2</v>
      </c>
      <c r="S60" s="2"/>
      <c r="T60" s="6">
        <v>9014.11</v>
      </c>
      <c r="U60" s="2"/>
      <c r="V60" s="7">
        <f t="shared" si="36"/>
        <v>9.9742890773622437E-4</v>
      </c>
      <c r="W60" s="2"/>
      <c r="X60" s="6">
        <f t="shared" si="37"/>
        <v>1422.8199999999997</v>
      </c>
      <c r="Y60" s="2"/>
      <c r="Z60" s="7">
        <f t="shared" si="38"/>
        <v>0.15784364734843481</v>
      </c>
    </row>
    <row r="61" spans="1:26" s="27" customFormat="1" outlineLevel="1" collapsed="1" x14ac:dyDescent="0.25">
      <c r="A61" s="26"/>
      <c r="B61" s="12" t="str">
        <f>CONCATENATE("     ","Insurance                                         ")</f>
        <v xml:space="preserve">     Insurance                                         </v>
      </c>
      <c r="C61" s="12"/>
      <c r="D61" s="1">
        <f>SUM(OSRRefD22_10x_0)</f>
        <v>-7.01</v>
      </c>
      <c r="E61" s="1"/>
      <c r="F61" s="5">
        <f t="shared" si="31"/>
        <v>-2.3280219451769096E-4</v>
      </c>
      <c r="G61" s="1"/>
      <c r="H61" s="1">
        <f>SUM(OSRRefH22_10x_0)</f>
        <v>5.9</v>
      </c>
      <c r="I61" s="1"/>
      <c r="J61" s="5">
        <f t="shared" si="32"/>
        <v>-4.4148815330144841E-5</v>
      </c>
      <c r="K61" s="1"/>
      <c r="L61" s="1">
        <f t="shared" si="33"/>
        <v>-12.91</v>
      </c>
      <c r="M61" s="1"/>
      <c r="N61" s="5">
        <f t="shared" si="34"/>
        <v>-2.188135593220339</v>
      </c>
      <c r="O61" s="12"/>
      <c r="P61" s="1">
        <f>SUM(OSRRefP22_10x_0)</f>
        <v>57.89</v>
      </c>
      <c r="Q61" s="1"/>
      <c r="R61" s="5">
        <f t="shared" si="35"/>
        <v>5.664405731529282E-5</v>
      </c>
      <c r="S61" s="1"/>
      <c r="T61" s="1">
        <f>SUM(OSRRefT22_10x_0)</f>
        <v>70.8</v>
      </c>
      <c r="U61" s="1"/>
      <c r="V61" s="5">
        <f t="shared" si="36"/>
        <v>7.8341585212211401E-6</v>
      </c>
      <c r="W61" s="1"/>
      <c r="X61" s="1">
        <f t="shared" si="37"/>
        <v>-12.909999999999997</v>
      </c>
      <c r="Y61" s="1"/>
      <c r="Z61" s="5">
        <f t="shared" si="38"/>
        <v>-0.18234463276836155</v>
      </c>
    </row>
    <row r="62" spans="1:26" s="23" customFormat="1" hidden="1" outlineLevel="2" x14ac:dyDescent="0.25">
      <c r="A62" s="25"/>
      <c r="B62" s="10" t="str">
        <f>CONCATENATE("          ", "6314", " - ", "LIABILITY INSURANCE")</f>
        <v xml:space="preserve">          6314 - LIABILITY INSURANCE</v>
      </c>
      <c r="C62" s="10"/>
      <c r="D62" s="6">
        <v>-7.01</v>
      </c>
      <c r="E62" s="2"/>
      <c r="F62" s="7">
        <f t="shared" si="31"/>
        <v>-2.3280219451769096E-4</v>
      </c>
      <c r="G62" s="2"/>
      <c r="H62" s="6">
        <v>5.9</v>
      </c>
      <c r="I62" s="2"/>
      <c r="J62" s="7">
        <f t="shared" si="32"/>
        <v>-4.4148815330144841E-5</v>
      </c>
      <c r="K62" s="2"/>
      <c r="L62" s="6">
        <f t="shared" si="33"/>
        <v>-12.91</v>
      </c>
      <c r="M62" s="2"/>
      <c r="N62" s="7">
        <f t="shared" si="34"/>
        <v>-2.188135593220339</v>
      </c>
      <c r="O62" s="10"/>
      <c r="P62" s="6">
        <v>57.89</v>
      </c>
      <c r="Q62" s="2"/>
      <c r="R62" s="7">
        <f t="shared" si="35"/>
        <v>5.664405731529282E-5</v>
      </c>
      <c r="S62" s="2"/>
      <c r="T62" s="6">
        <v>70.8</v>
      </c>
      <c r="U62" s="2"/>
      <c r="V62" s="7">
        <f t="shared" si="36"/>
        <v>7.8341585212211401E-6</v>
      </c>
      <c r="W62" s="2"/>
      <c r="X62" s="6">
        <f t="shared" si="37"/>
        <v>-12.909999999999997</v>
      </c>
      <c r="Y62" s="2"/>
      <c r="Z62" s="7">
        <f t="shared" si="38"/>
        <v>-0.18234463276836155</v>
      </c>
    </row>
    <row r="63" spans="1:26" s="27" customFormat="1" outlineLevel="1" collapsed="1" x14ac:dyDescent="0.25">
      <c r="A63" s="26"/>
      <c r="B63" s="12" t="str">
        <f>CONCATENATE("     ","R/H Commissions                                   ")</f>
        <v xml:space="preserve">     R/H Commissions                                   </v>
      </c>
      <c r="C63" s="12"/>
      <c r="D63" s="1">
        <f>SUM(OSRRefD22_11x_0)</f>
        <v>2207.92</v>
      </c>
      <c r="E63" s="1"/>
      <c r="F63" s="5">
        <f t="shared" si="31"/>
        <v>7.3325052969971508E-2</v>
      </c>
      <c r="G63" s="1"/>
      <c r="H63" s="1">
        <f>SUM(OSRRefH22_11x_0)</f>
        <v>-11146.03</v>
      </c>
      <c r="I63" s="1"/>
      <c r="J63" s="5">
        <f t="shared" si="32"/>
        <v>8.3404071209195643E-2</v>
      </c>
      <c r="K63" s="1"/>
      <c r="L63" s="1">
        <f t="shared" si="33"/>
        <v>13353.95</v>
      </c>
      <c r="M63" s="1"/>
      <c r="N63" s="5">
        <f t="shared" si="34"/>
        <v>-1.1980902617344471</v>
      </c>
      <c r="O63" s="12"/>
      <c r="P63" s="1">
        <f>SUM(OSRRefP22_11x_0)</f>
        <v>71608.39</v>
      </c>
      <c r="Q63" s="1"/>
      <c r="R63" s="5">
        <f t="shared" si="35"/>
        <v>7.0067192043804474E-2</v>
      </c>
      <c r="S63" s="1"/>
      <c r="T63" s="1">
        <f>SUM(OSRRefT22_11x_0)</f>
        <v>703130.05</v>
      </c>
      <c r="U63" s="1"/>
      <c r="V63" s="5">
        <f t="shared" si="36"/>
        <v>7.7802715716583981E-2</v>
      </c>
      <c r="W63" s="1"/>
      <c r="X63" s="1">
        <f t="shared" si="37"/>
        <v>-631521.66</v>
      </c>
      <c r="Y63" s="1"/>
      <c r="Z63" s="5">
        <f t="shared" si="38"/>
        <v>-0.89815768789856154</v>
      </c>
    </row>
    <row r="64" spans="1:26" s="23" customFormat="1" hidden="1" outlineLevel="2" x14ac:dyDescent="0.25">
      <c r="A64" s="25"/>
      <c r="B64" s="10" t="str">
        <f>CONCATENATE("          ", "6387", " - ", "COMMISSION DUE HOUSING")</f>
        <v xml:space="preserve">          6387 - COMMISSION DUE HOUSING</v>
      </c>
      <c r="C64" s="10"/>
      <c r="D64" s="6">
        <v>2207.92</v>
      </c>
      <c r="E64" s="2"/>
      <c r="F64" s="7">
        <f t="shared" si="31"/>
        <v>7.3325052969971508E-2</v>
      </c>
      <c r="G64" s="2"/>
      <c r="H64" s="6">
        <v>-11146.03</v>
      </c>
      <c r="I64" s="2"/>
      <c r="J64" s="7">
        <f t="shared" si="32"/>
        <v>8.3404071209195643E-2</v>
      </c>
      <c r="K64" s="2"/>
      <c r="L64" s="6">
        <f t="shared" si="33"/>
        <v>13353.95</v>
      </c>
      <c r="M64" s="2"/>
      <c r="N64" s="7">
        <f t="shared" si="34"/>
        <v>-1.1980902617344471</v>
      </c>
      <c r="O64" s="10"/>
      <c r="P64" s="6">
        <v>71608.39</v>
      </c>
      <c r="Q64" s="2"/>
      <c r="R64" s="7">
        <f t="shared" si="35"/>
        <v>7.0067192043804474E-2</v>
      </c>
      <c r="S64" s="2"/>
      <c r="T64" s="6">
        <v>703130.05</v>
      </c>
      <c r="U64" s="2"/>
      <c r="V64" s="7">
        <f t="shared" si="36"/>
        <v>7.7802715716583981E-2</v>
      </c>
      <c r="W64" s="2"/>
      <c r="X64" s="6">
        <f t="shared" si="37"/>
        <v>-631521.66</v>
      </c>
      <c r="Y64" s="2"/>
      <c r="Z64" s="7">
        <f t="shared" si="38"/>
        <v>-0.89815768789856154</v>
      </c>
    </row>
    <row r="65" spans="1:26" s="27" customFormat="1" outlineLevel="1" collapsed="1" x14ac:dyDescent="0.25">
      <c r="A65" s="26"/>
      <c r="B65" s="12" t="str">
        <f>CONCATENATE("     ","Repair and Maintenance                            ")</f>
        <v xml:space="preserve">     Repair and Maintenance                            </v>
      </c>
      <c r="C65" s="12"/>
      <c r="D65" s="1">
        <f>SUM(OSRRefD22_12x_0)</f>
        <v>3923.75</v>
      </c>
      <c r="E65" s="1"/>
      <c r="F65" s="5">
        <f t="shared" si="31"/>
        <v>0.1303077904049629</v>
      </c>
      <c r="G65" s="1"/>
      <c r="H65" s="1">
        <f>SUM(OSRRefH22_12x_0)</f>
        <v>218.49</v>
      </c>
      <c r="I65" s="1"/>
      <c r="J65" s="5">
        <f t="shared" si="32"/>
        <v>-1.6349279087259907E-3</v>
      </c>
      <c r="K65" s="1"/>
      <c r="L65" s="1">
        <f t="shared" si="33"/>
        <v>3705.26</v>
      </c>
      <c r="M65" s="1"/>
      <c r="N65" s="5">
        <f t="shared" si="34"/>
        <v>16.958487802645429</v>
      </c>
      <c r="O65" s="12"/>
      <c r="P65" s="1">
        <f>SUM(OSRRefP22_12x_0)</f>
        <v>30001.02</v>
      </c>
      <c r="Q65" s="1"/>
      <c r="R65" s="5">
        <f t="shared" si="35"/>
        <v>2.9355320373073868E-2</v>
      </c>
      <c r="S65" s="1"/>
      <c r="T65" s="1">
        <f>SUM(OSRRefT22_12x_0)</f>
        <v>65064.030000000006</v>
      </c>
      <c r="U65" s="1"/>
      <c r="V65" s="5">
        <f t="shared" si="36"/>
        <v>7.1994622182131058E-3</v>
      </c>
      <c r="W65" s="1"/>
      <c r="X65" s="1">
        <f t="shared" si="37"/>
        <v>-35063.010000000009</v>
      </c>
      <c r="Y65" s="1"/>
      <c r="Z65" s="5">
        <f t="shared" si="38"/>
        <v>-0.53890006505898891</v>
      </c>
    </row>
    <row r="66" spans="1:26" s="23" customFormat="1" hidden="1" outlineLevel="2" x14ac:dyDescent="0.25">
      <c r="A66" s="25"/>
      <c r="B66" s="10" t="str">
        <f>CONCATENATE("          ", "6371", " - ", "COMPUTER SOFTWARE MAINTENANCE")</f>
        <v xml:space="preserve">          6371 - COMPUTER SOFTWARE MAINTENANCE</v>
      </c>
      <c r="C66" s="10"/>
      <c r="D66" s="6">
        <v>3500</v>
      </c>
      <c r="E66" s="2"/>
      <c r="F66" s="7">
        <f t="shared" si="31"/>
        <v>0.11623504719142916</v>
      </c>
      <c r="G66" s="2"/>
      <c r="H66" s="6"/>
      <c r="I66" s="2"/>
      <c r="J66" s="7">
        <f t="shared" si="32"/>
        <v>0</v>
      </c>
      <c r="K66" s="2"/>
      <c r="L66" s="6">
        <f t="shared" si="33"/>
        <v>3500</v>
      </c>
      <c r="M66" s="2"/>
      <c r="N66" s="7">
        <f t="shared" si="34"/>
        <v>0</v>
      </c>
      <c r="O66" s="10"/>
      <c r="P66" s="6">
        <v>24500</v>
      </c>
      <c r="Q66" s="2"/>
      <c r="R66" s="7">
        <f t="shared" si="35"/>
        <v>2.397269656632707E-2</v>
      </c>
      <c r="S66" s="2"/>
      <c r="T66" s="6">
        <v>63062.93</v>
      </c>
      <c r="U66" s="2"/>
      <c r="V66" s="7">
        <f t="shared" si="36"/>
        <v>6.9780365880320935E-3</v>
      </c>
      <c r="W66" s="2"/>
      <c r="X66" s="6">
        <f t="shared" si="37"/>
        <v>-38562.93</v>
      </c>
      <c r="Y66" s="2"/>
      <c r="Z66" s="7">
        <f t="shared" si="38"/>
        <v>-0.61149918026327033</v>
      </c>
    </row>
    <row r="67" spans="1:26" s="23" customFormat="1" hidden="1" outlineLevel="2" x14ac:dyDescent="0.25">
      <c r="A67" s="25"/>
      <c r="B67" s="10" t="str">
        <f>CONCATENATE("          ", "6373", " - ", "MAINTENANCE CONTRACTS")</f>
        <v xml:space="preserve">          6373 - MAINTENANCE CONTRACTS</v>
      </c>
      <c r="C67" s="10"/>
      <c r="D67" s="6">
        <v>253.75</v>
      </c>
      <c r="E67" s="2"/>
      <c r="F67" s="7">
        <f t="shared" si="31"/>
        <v>8.4270409213786143E-3</v>
      </c>
      <c r="G67" s="2"/>
      <c r="H67" s="6">
        <v>218.49</v>
      </c>
      <c r="I67" s="2"/>
      <c r="J67" s="7">
        <f t="shared" si="32"/>
        <v>-1.6349279087259907E-3</v>
      </c>
      <c r="K67" s="2"/>
      <c r="L67" s="6">
        <f t="shared" si="33"/>
        <v>35.259999999999991</v>
      </c>
      <c r="M67" s="2"/>
      <c r="N67" s="7">
        <f t="shared" si="34"/>
        <v>0.1613803835415808</v>
      </c>
      <c r="O67" s="10"/>
      <c r="P67" s="6">
        <v>3504.05</v>
      </c>
      <c r="Q67" s="2"/>
      <c r="R67" s="7">
        <f t="shared" si="35"/>
        <v>3.4286337715607501E-3</v>
      </c>
      <c r="S67" s="2"/>
      <c r="T67" s="6">
        <v>941.91</v>
      </c>
      <c r="U67" s="2"/>
      <c r="V67" s="7">
        <f t="shared" si="36"/>
        <v>1.0422418436050005E-4</v>
      </c>
      <c r="W67" s="2"/>
      <c r="X67" s="6">
        <f t="shared" si="37"/>
        <v>2562.1400000000003</v>
      </c>
      <c r="Y67" s="2"/>
      <c r="Z67" s="7">
        <f t="shared" si="38"/>
        <v>2.7201537301865364</v>
      </c>
    </row>
    <row r="68" spans="1:26" s="23" customFormat="1" hidden="1" outlineLevel="2" x14ac:dyDescent="0.25">
      <c r="A68" s="25"/>
      <c r="B68" s="10" t="str">
        <f>CONCATENATE("          ", "6375", " - ", "OUTSIDE REPAIRS &amp; MAINTENANCE")</f>
        <v xml:space="preserve">          6375 - OUTSIDE REPAIRS &amp; MAINTENANCE</v>
      </c>
      <c r="C68" s="10"/>
      <c r="D68" s="6">
        <v>170</v>
      </c>
      <c r="E68" s="2"/>
      <c r="F68" s="7">
        <f t="shared" si="31"/>
        <v>5.6457022921551307E-3</v>
      </c>
      <c r="G68" s="2"/>
      <c r="H68" s="6"/>
      <c r="I68" s="2"/>
      <c r="J68" s="7">
        <f t="shared" si="32"/>
        <v>0</v>
      </c>
      <c r="K68" s="2"/>
      <c r="L68" s="6">
        <f t="shared" si="33"/>
        <v>170</v>
      </c>
      <c r="M68" s="2"/>
      <c r="N68" s="7">
        <f t="shared" si="34"/>
        <v>0</v>
      </c>
      <c r="O68" s="10"/>
      <c r="P68" s="6">
        <v>1996.97</v>
      </c>
      <c r="Q68" s="2"/>
      <c r="R68" s="7">
        <f t="shared" si="35"/>
        <v>1.9539900351860477E-3</v>
      </c>
      <c r="S68" s="2"/>
      <c r="T68" s="6">
        <v>1059.19</v>
      </c>
      <c r="U68" s="2"/>
      <c r="V68" s="7">
        <f t="shared" si="36"/>
        <v>1.1720144582051158E-4</v>
      </c>
      <c r="W68" s="2"/>
      <c r="X68" s="6">
        <f t="shared" si="37"/>
        <v>937.78</v>
      </c>
      <c r="Y68" s="2"/>
      <c r="Z68" s="7">
        <f t="shared" si="38"/>
        <v>0.88537467309925499</v>
      </c>
    </row>
    <row r="69" spans="1:26" s="27" customFormat="1" outlineLevel="1" collapsed="1" x14ac:dyDescent="0.25">
      <c r="A69" s="26"/>
      <c r="B69" s="12" t="str">
        <f>CONCATENATE("     ","Services                                          ")</f>
        <v xml:space="preserve">     Services                                          </v>
      </c>
      <c r="C69" s="12"/>
      <c r="D69" s="1">
        <f>SUM(OSRRefD22_13x_0)</f>
        <v>11575.65</v>
      </c>
      <c r="E69" s="1"/>
      <c r="F69" s="5">
        <f t="shared" ref="F69:F73" si="39">IF(D$12=0,0,D69/D$12)</f>
        <v>0.38442749257756198</v>
      </c>
      <c r="G69" s="1"/>
      <c r="H69" s="1">
        <f>SUM(OSRRefH22_13x_0)</f>
        <v>6408.69</v>
      </c>
      <c r="I69" s="1"/>
      <c r="J69" s="5">
        <f t="shared" ref="J69:J73" si="40">IF(H$12=0,0,H69/H$12)</f>
        <v>-4.7955266325109477E-2</v>
      </c>
      <c r="K69" s="1"/>
      <c r="L69" s="1">
        <f t="shared" ref="L69:L73" si="41">+D69-H69</f>
        <v>5166.96</v>
      </c>
      <c r="M69" s="1"/>
      <c r="N69" s="5">
        <f t="shared" ref="N69:N73" si="42">IF(H69=0,0,L69/H69)</f>
        <v>0.80624277348412865</v>
      </c>
      <c r="O69" s="12"/>
      <c r="P69" s="1">
        <f>SUM(OSRRefP22_13x_0)</f>
        <v>140581.45000000001</v>
      </c>
      <c r="Q69" s="1"/>
      <c r="R69" s="5">
        <f t="shared" ref="R69:R73" si="43">IF(P$12=0,0,P69/P$12)</f>
        <v>0.13755577321241963</v>
      </c>
      <c r="S69" s="1"/>
      <c r="T69" s="1">
        <f>SUM(OSRRefT22_13x_0)</f>
        <v>189441.08</v>
      </c>
      <c r="U69" s="1"/>
      <c r="V69" s="5">
        <f t="shared" ref="V69:V73" si="44">IF(T$12=0,0,T69/T$12)</f>
        <v>2.0962026146205303E-2</v>
      </c>
      <c r="W69" s="1"/>
      <c r="X69" s="1">
        <f t="shared" ref="X69:X73" si="45">+P69-T69</f>
        <v>-48859.629999999976</v>
      </c>
      <c r="Y69" s="1"/>
      <c r="Z69" s="5">
        <f t="shared" ref="Z69:Z73" si="46">IF(T69=0,0,X69/T69)</f>
        <v>-0.2579146508244145</v>
      </c>
    </row>
    <row r="70" spans="1:26" s="23" customFormat="1" hidden="1" outlineLevel="2" x14ac:dyDescent="0.25">
      <c r="A70" s="25"/>
      <c r="B70" s="10" t="str">
        <f>CONCATENATE("          ", "6282", " - ", "JANITORIAL/EXTERMINATOR EXPENS")</f>
        <v xml:space="preserve">          6282 - JANITORIAL/EXTERMINATOR EXPENS</v>
      </c>
      <c r="C70" s="10"/>
      <c r="D70" s="6">
        <v>1508.3</v>
      </c>
      <c r="E70" s="2"/>
      <c r="F70" s="7">
        <f t="shared" si="39"/>
        <v>5.009066333680931E-2</v>
      </c>
      <c r="G70" s="2"/>
      <c r="H70" s="6">
        <v>1580.07</v>
      </c>
      <c r="I70" s="2"/>
      <c r="J70" s="7">
        <f t="shared" si="40"/>
        <v>-1.1823426887915585E-2</v>
      </c>
      <c r="K70" s="2"/>
      <c r="L70" s="6">
        <f t="shared" si="41"/>
        <v>-71.769999999999982</v>
      </c>
      <c r="M70" s="2"/>
      <c r="N70" s="7">
        <f t="shared" si="42"/>
        <v>-4.542203826412753E-2</v>
      </c>
      <c r="O70" s="10"/>
      <c r="P70" s="6">
        <v>17458.150000000001</v>
      </c>
      <c r="Q70" s="2"/>
      <c r="R70" s="7">
        <f t="shared" si="43"/>
        <v>1.7082405410588693E-2</v>
      </c>
      <c r="S70" s="2"/>
      <c r="T70" s="6">
        <v>19877.900000000001</v>
      </c>
      <c r="U70" s="2"/>
      <c r="V70" s="7">
        <f t="shared" si="44"/>
        <v>2.1995285263980468E-3</v>
      </c>
      <c r="W70" s="2"/>
      <c r="X70" s="6">
        <f t="shared" si="45"/>
        <v>-2419.75</v>
      </c>
      <c r="Y70" s="2"/>
      <c r="Z70" s="7">
        <f t="shared" si="46"/>
        <v>-0.12173066571418509</v>
      </c>
    </row>
    <row r="71" spans="1:26" s="23" customFormat="1" hidden="1" outlineLevel="2" x14ac:dyDescent="0.25">
      <c r="A71" s="25"/>
      <c r="B71" s="10" t="str">
        <f>CONCATENATE("          ", "6284", " - ", "TRASH REMOVAL EXPENSE")</f>
        <v xml:space="preserve">          6284 - TRASH REMOVAL EXPENSE</v>
      </c>
      <c r="C71" s="10"/>
      <c r="D71" s="6"/>
      <c r="E71" s="2"/>
      <c r="F71" s="7">
        <f t="shared" si="39"/>
        <v>0</v>
      </c>
      <c r="G71" s="2"/>
      <c r="H71" s="6"/>
      <c r="I71" s="2"/>
      <c r="J71" s="7">
        <f t="shared" si="40"/>
        <v>0</v>
      </c>
      <c r="K71" s="2"/>
      <c r="L71" s="6">
        <f t="shared" si="41"/>
        <v>0</v>
      </c>
      <c r="M71" s="2"/>
      <c r="N71" s="7">
        <f t="shared" si="42"/>
        <v>0</v>
      </c>
      <c r="O71" s="10"/>
      <c r="P71" s="6">
        <v>282.75</v>
      </c>
      <c r="Q71" s="2"/>
      <c r="R71" s="7">
        <f t="shared" si="43"/>
        <v>2.7666448792363182E-4</v>
      </c>
      <c r="S71" s="2"/>
      <c r="T71" s="6"/>
      <c r="U71" s="2"/>
      <c r="V71" s="7">
        <f t="shared" si="44"/>
        <v>0</v>
      </c>
      <c r="W71" s="2"/>
      <c r="X71" s="6">
        <f t="shared" si="45"/>
        <v>282.75</v>
      </c>
      <c r="Y71" s="2"/>
      <c r="Z71" s="7">
        <f t="shared" si="46"/>
        <v>0</v>
      </c>
    </row>
    <row r="72" spans="1:26" s="23" customFormat="1" hidden="1" outlineLevel="2" x14ac:dyDescent="0.25">
      <c r="A72" s="25"/>
      <c r="B72" s="10" t="str">
        <f>CONCATENATE("          ", "6285", " - ", "JANITORIAL SERVICES")</f>
        <v xml:space="preserve">          6285 - JANITORIAL SERVICES</v>
      </c>
      <c r="C72" s="10"/>
      <c r="D72" s="6">
        <v>8897.19</v>
      </c>
      <c r="E72" s="2"/>
      <c r="F72" s="7">
        <f t="shared" si="39"/>
        <v>0.29547579986317474</v>
      </c>
      <c r="G72" s="2"/>
      <c r="H72" s="6">
        <v>4157.05</v>
      </c>
      <c r="I72" s="2"/>
      <c r="J72" s="7">
        <f t="shared" si="40"/>
        <v>-3.1106581825115016E-2</v>
      </c>
      <c r="K72" s="2"/>
      <c r="L72" s="6">
        <f t="shared" si="41"/>
        <v>4740.1400000000003</v>
      </c>
      <c r="M72" s="2"/>
      <c r="N72" s="7">
        <f t="shared" si="42"/>
        <v>1.1402653323871497</v>
      </c>
      <c r="O72" s="10"/>
      <c r="P72" s="6">
        <v>105867.73</v>
      </c>
      <c r="Q72" s="2"/>
      <c r="R72" s="7">
        <f t="shared" si="43"/>
        <v>0.10358918234513638</v>
      </c>
      <c r="S72" s="2"/>
      <c r="T72" s="6">
        <v>127353.62</v>
      </c>
      <c r="U72" s="2"/>
      <c r="V72" s="7">
        <f t="shared" si="44"/>
        <v>1.4091927222194335E-2</v>
      </c>
      <c r="W72" s="2"/>
      <c r="X72" s="6">
        <f t="shared" si="45"/>
        <v>-21485.89</v>
      </c>
      <c r="Y72" s="2"/>
      <c r="Z72" s="7">
        <f t="shared" si="46"/>
        <v>-0.16871047717371521</v>
      </c>
    </row>
    <row r="73" spans="1:26" s="23" customFormat="1" hidden="1" outlineLevel="2" x14ac:dyDescent="0.25">
      <c r="A73" s="25"/>
      <c r="B73" s="10" t="str">
        <f>CONCATENATE("          ", "6286", " - ", "LAUNDRY EXPENSE")</f>
        <v xml:space="preserve">          6286 - LAUNDRY EXPENSE</v>
      </c>
      <c r="C73" s="10"/>
      <c r="D73" s="6">
        <v>1170.1600000000001</v>
      </c>
      <c r="E73" s="2"/>
      <c r="F73" s="7">
        <f t="shared" si="39"/>
        <v>3.8861029377577926E-2</v>
      </c>
      <c r="G73" s="2"/>
      <c r="H73" s="6">
        <v>671.57</v>
      </c>
      <c r="I73" s="2"/>
      <c r="J73" s="7">
        <f t="shared" si="40"/>
        <v>-5.0252576120788763E-3</v>
      </c>
      <c r="K73" s="2"/>
      <c r="L73" s="6">
        <f t="shared" si="41"/>
        <v>498.59000000000003</v>
      </c>
      <c r="M73" s="2"/>
      <c r="N73" s="7">
        <f t="shared" si="42"/>
        <v>0.74242446803758355</v>
      </c>
      <c r="O73" s="10"/>
      <c r="P73" s="6">
        <v>16972.82</v>
      </c>
      <c r="Q73" s="2"/>
      <c r="R73" s="7">
        <f t="shared" si="43"/>
        <v>1.6607520968770915E-2</v>
      </c>
      <c r="S73" s="2"/>
      <c r="T73" s="6">
        <v>42209.56</v>
      </c>
      <c r="U73" s="2"/>
      <c r="V73" s="7">
        <f t="shared" si="44"/>
        <v>4.6705703976129232E-3</v>
      </c>
      <c r="W73" s="2"/>
      <c r="X73" s="6">
        <f t="shared" si="45"/>
        <v>-25236.739999999998</v>
      </c>
      <c r="Y73" s="2"/>
      <c r="Z73" s="7">
        <f t="shared" si="46"/>
        <v>-0.59789156769224794</v>
      </c>
    </row>
    <row r="74" spans="1:26" s="27" customFormat="1" outlineLevel="1" collapsed="1" x14ac:dyDescent="0.25">
      <c r="A74" s="26"/>
      <c r="B74" s="12" t="str">
        <f>CONCATENATE("     ","Subscriptions &amp; Dues                              ")</f>
        <v xml:space="preserve">     Subscriptions &amp; Dues                              </v>
      </c>
      <c r="C74" s="12"/>
      <c r="D74" s="1">
        <f>SUM(OSRRefD22_14x_0)</f>
        <v>0</v>
      </c>
      <c r="E74" s="1"/>
      <c r="F74" s="5">
        <f t="shared" ref="F74:F85" si="47">IF(D$12=0,0,D74/D$12)</f>
        <v>0</v>
      </c>
      <c r="G74" s="1"/>
      <c r="H74" s="1">
        <f>SUM(OSRRefH22_14x_0)</f>
        <v>0</v>
      </c>
      <c r="I74" s="1"/>
      <c r="J74" s="5">
        <f t="shared" ref="J74:J85" si="48">IF(H$12=0,0,H74/H$12)</f>
        <v>0</v>
      </c>
      <c r="K74" s="1"/>
      <c r="L74" s="1">
        <f t="shared" ref="L74:L85" si="49">+D74-H74</f>
        <v>0</v>
      </c>
      <c r="M74" s="1"/>
      <c r="N74" s="5">
        <f t="shared" ref="N74:N85" si="50">IF(H74=0,0,L74/H74)</f>
        <v>0</v>
      </c>
      <c r="O74" s="12"/>
      <c r="P74" s="1">
        <f>SUM(OSRRefP22_14x_0)</f>
        <v>795</v>
      </c>
      <c r="Q74" s="1"/>
      <c r="R74" s="5">
        <f t="shared" ref="R74:R85" si="51">IF(P$12=0,0,P74/P$12)</f>
        <v>7.7788954164204169E-4</v>
      </c>
      <c r="S74" s="1"/>
      <c r="T74" s="1">
        <f>SUM(OSRRefT22_14x_0)</f>
        <v>0</v>
      </c>
      <c r="U74" s="1"/>
      <c r="V74" s="5">
        <f t="shared" ref="V74:V85" si="52">IF(T$12=0,0,T74/T$12)</f>
        <v>0</v>
      </c>
      <c r="W74" s="1"/>
      <c r="X74" s="1">
        <f t="shared" ref="X74:X85" si="53">+P74-T74</f>
        <v>795</v>
      </c>
      <c r="Y74" s="1"/>
      <c r="Z74" s="5">
        <f t="shared" ref="Z74:Z85" si="54">IF(T74=0,0,X74/T74)</f>
        <v>0</v>
      </c>
    </row>
    <row r="75" spans="1:26" s="23" customFormat="1" hidden="1" outlineLevel="2" x14ac:dyDescent="0.25">
      <c r="A75" s="25"/>
      <c r="B75" s="10" t="str">
        <f>CONCATENATE("          ", "6258", " - ", "MEMBERSHIP DUES")</f>
        <v xml:space="preserve">          6258 - MEMBERSHIP DUES</v>
      </c>
      <c r="C75" s="10"/>
      <c r="D75" s="6"/>
      <c r="E75" s="2"/>
      <c r="F75" s="7">
        <f t="shared" si="47"/>
        <v>0</v>
      </c>
      <c r="G75" s="2"/>
      <c r="H75" s="6"/>
      <c r="I75" s="2"/>
      <c r="J75" s="7">
        <f t="shared" si="48"/>
        <v>0</v>
      </c>
      <c r="K75" s="2"/>
      <c r="L75" s="6">
        <f t="shared" si="49"/>
        <v>0</v>
      </c>
      <c r="M75" s="2"/>
      <c r="N75" s="7">
        <f t="shared" si="50"/>
        <v>0</v>
      </c>
      <c r="O75" s="10"/>
      <c r="P75" s="6">
        <v>795</v>
      </c>
      <c r="Q75" s="2"/>
      <c r="R75" s="7">
        <f t="shared" si="51"/>
        <v>7.7788954164204169E-4</v>
      </c>
      <c r="S75" s="2"/>
      <c r="T75" s="6"/>
      <c r="U75" s="2"/>
      <c r="V75" s="7">
        <f t="shared" si="52"/>
        <v>0</v>
      </c>
      <c r="W75" s="2"/>
      <c r="X75" s="6">
        <f t="shared" si="53"/>
        <v>795</v>
      </c>
      <c r="Y75" s="2"/>
      <c r="Z75" s="7">
        <f t="shared" si="54"/>
        <v>0</v>
      </c>
    </row>
    <row r="76" spans="1:26" s="27" customFormat="1" outlineLevel="1" collapsed="1" x14ac:dyDescent="0.25">
      <c r="A76" s="26"/>
      <c r="B76" s="12" t="str">
        <f>CONCATENATE("     ","Supplies                                          ")</f>
        <v xml:space="preserve">     Supplies                                          </v>
      </c>
      <c r="C76" s="12"/>
      <c r="D76" s="1">
        <f>SUM(OSRRefD22_15x_0)</f>
        <v>13576.91</v>
      </c>
      <c r="E76" s="1"/>
      <c r="F76" s="5">
        <f t="shared" si="47"/>
        <v>0.45088936416108183</v>
      </c>
      <c r="G76" s="1"/>
      <c r="H76" s="1">
        <f>SUM(OSRRefH22_15x_0)</f>
        <v>3861.24</v>
      </c>
      <c r="I76" s="1"/>
      <c r="J76" s="5">
        <f t="shared" si="48"/>
        <v>-2.8893079950062447E-2</v>
      </c>
      <c r="K76" s="1"/>
      <c r="L76" s="1">
        <f t="shared" si="49"/>
        <v>9715.67</v>
      </c>
      <c r="M76" s="1"/>
      <c r="N76" s="5">
        <f t="shared" si="50"/>
        <v>2.5162046389242834</v>
      </c>
      <c r="O76" s="12"/>
      <c r="P76" s="1">
        <f>SUM(OSRRefP22_15x_0)</f>
        <v>156726.41999999998</v>
      </c>
      <c r="Q76" s="1"/>
      <c r="R76" s="5">
        <f t="shared" si="51"/>
        <v>0.15335326165660138</v>
      </c>
      <c r="S76" s="1"/>
      <c r="T76" s="1">
        <f>SUM(OSRRefT22_15x_0)</f>
        <v>196297.37000000002</v>
      </c>
      <c r="U76" s="1"/>
      <c r="V76" s="5">
        <f t="shared" si="52"/>
        <v>2.1720688049135579E-2</v>
      </c>
      <c r="W76" s="1"/>
      <c r="X76" s="1">
        <f t="shared" si="53"/>
        <v>-39570.950000000041</v>
      </c>
      <c r="Y76" s="1"/>
      <c r="Z76" s="5">
        <f t="shared" si="54"/>
        <v>-0.20158675584904695</v>
      </c>
    </row>
    <row r="77" spans="1:26" s="23" customFormat="1" hidden="1" outlineLevel="2" x14ac:dyDescent="0.25">
      <c r="A77" s="25"/>
      <c r="B77" s="10" t="str">
        <f>CONCATENATE("          ", "6234", " - ", "EXPENDABLE SUPPLIES &amp; EQUIPMEN")</f>
        <v xml:space="preserve">          6234 - EXPENDABLE SUPPLIES &amp; EQUIPMEN</v>
      </c>
      <c r="C77" s="10"/>
      <c r="D77" s="6"/>
      <c r="E77" s="2"/>
      <c r="F77" s="7">
        <f t="shared" si="47"/>
        <v>0</v>
      </c>
      <c r="G77" s="2"/>
      <c r="H77" s="6"/>
      <c r="I77" s="2"/>
      <c r="J77" s="7">
        <f t="shared" si="48"/>
        <v>0</v>
      </c>
      <c r="K77" s="2"/>
      <c r="L77" s="6">
        <f t="shared" si="49"/>
        <v>0</v>
      </c>
      <c r="M77" s="2"/>
      <c r="N77" s="7">
        <f t="shared" si="50"/>
        <v>0</v>
      </c>
      <c r="O77" s="10"/>
      <c r="P77" s="6"/>
      <c r="Q77" s="2"/>
      <c r="R77" s="7">
        <f t="shared" si="51"/>
        <v>0</v>
      </c>
      <c r="S77" s="2"/>
      <c r="T77" s="6">
        <v>118.34</v>
      </c>
      <c r="U77" s="2"/>
      <c r="V77" s="7">
        <f t="shared" si="52"/>
        <v>1.3094552533916804E-5</v>
      </c>
      <c r="W77" s="2"/>
      <c r="X77" s="6">
        <f t="shared" si="53"/>
        <v>-118.34</v>
      </c>
      <c r="Y77" s="2"/>
      <c r="Z77" s="7">
        <f t="shared" si="54"/>
        <v>-1</v>
      </c>
    </row>
    <row r="78" spans="1:26" s="23" customFormat="1" hidden="1" outlineLevel="2" x14ac:dyDescent="0.25">
      <c r="A78" s="25"/>
      <c r="B78" s="10" t="str">
        <f>CONCATENATE("          ", "6235", " - ", "COVID-19 EXPENSES")</f>
        <v xml:space="preserve">          6235 - COVID-19 EXPENSES</v>
      </c>
      <c r="C78" s="10"/>
      <c r="D78" s="6"/>
      <c r="E78" s="2"/>
      <c r="F78" s="7">
        <f t="shared" si="47"/>
        <v>0</v>
      </c>
      <c r="G78" s="2"/>
      <c r="H78" s="6">
        <v>29.77</v>
      </c>
      <c r="I78" s="2"/>
      <c r="J78" s="7">
        <f t="shared" si="48"/>
        <v>-2.2276444616583249E-4</v>
      </c>
      <c r="K78" s="2"/>
      <c r="L78" s="6">
        <f t="shared" si="49"/>
        <v>-29.77</v>
      </c>
      <c r="M78" s="2"/>
      <c r="N78" s="7">
        <f t="shared" si="50"/>
        <v>-1</v>
      </c>
      <c r="O78" s="10"/>
      <c r="P78" s="6">
        <v>59411.95</v>
      </c>
      <c r="Q78" s="2"/>
      <c r="R78" s="7">
        <f t="shared" si="51"/>
        <v>5.8133251010767162E-2</v>
      </c>
      <c r="S78" s="2"/>
      <c r="T78" s="6">
        <v>885.8</v>
      </c>
      <c r="U78" s="2"/>
      <c r="V78" s="7">
        <f t="shared" si="52"/>
        <v>9.8015503080475772E-5</v>
      </c>
      <c r="W78" s="2"/>
      <c r="X78" s="6">
        <f t="shared" si="53"/>
        <v>58526.149999999994</v>
      </c>
      <c r="Y78" s="2"/>
      <c r="Z78" s="7">
        <f t="shared" si="54"/>
        <v>66.071517272522016</v>
      </c>
    </row>
    <row r="79" spans="1:26" s="23" customFormat="1" hidden="1" outlineLevel="2" x14ac:dyDescent="0.25">
      <c r="A79" s="25"/>
      <c r="B79" s="10" t="str">
        <f>CONCATENATE("          ", "6237", " - ", "JANITORIAL SUPPLIES")</f>
        <v xml:space="preserve">          6237 - JANITORIAL SUPPLIES</v>
      </c>
      <c r="C79" s="10"/>
      <c r="D79" s="6">
        <v>1905.31</v>
      </c>
      <c r="E79" s="2"/>
      <c r="F79" s="7">
        <f t="shared" si="47"/>
        <v>6.3275370789800542E-2</v>
      </c>
      <c r="G79" s="2"/>
      <c r="H79" s="6">
        <v>2339.62</v>
      </c>
      <c r="I79" s="2"/>
      <c r="J79" s="7">
        <f t="shared" si="48"/>
        <v>-1.7507025647917535E-2</v>
      </c>
      <c r="K79" s="2"/>
      <c r="L79" s="6">
        <f t="shared" si="49"/>
        <v>-434.30999999999995</v>
      </c>
      <c r="M79" s="2"/>
      <c r="N79" s="7">
        <f t="shared" si="50"/>
        <v>-0.18563270958531725</v>
      </c>
      <c r="O79" s="10"/>
      <c r="P79" s="6">
        <v>25072.04</v>
      </c>
      <c r="Q79" s="2"/>
      <c r="R79" s="7">
        <f t="shared" si="51"/>
        <v>2.4532424784441426E-2</v>
      </c>
      <c r="S79" s="2"/>
      <c r="T79" s="6">
        <v>76546.850000000006</v>
      </c>
      <c r="U79" s="2"/>
      <c r="V79" s="7">
        <f t="shared" si="52"/>
        <v>8.4700587175160508E-3</v>
      </c>
      <c r="W79" s="2"/>
      <c r="X79" s="6">
        <f t="shared" si="53"/>
        <v>-51474.810000000005</v>
      </c>
      <c r="Y79" s="2"/>
      <c r="Z79" s="7">
        <f t="shared" si="54"/>
        <v>-0.6724615056008183</v>
      </c>
    </row>
    <row r="80" spans="1:26" s="23" customFormat="1" hidden="1" outlineLevel="2" x14ac:dyDescent="0.25">
      <c r="A80" s="25"/>
      <c r="B80" s="10" t="str">
        <f>CONCATENATE("          ", "6239", " - ", "KITCHEN SUPPLIES")</f>
        <v xml:space="preserve">          6239 - KITCHEN SUPPLIES</v>
      </c>
      <c r="C80" s="10"/>
      <c r="D80" s="6">
        <v>5953.86</v>
      </c>
      <c r="E80" s="2"/>
      <c r="F80" s="7">
        <f t="shared" si="47"/>
        <v>0.19772777087747495</v>
      </c>
      <c r="G80" s="2"/>
      <c r="H80" s="6">
        <v>349.26</v>
      </c>
      <c r="I80" s="2"/>
      <c r="J80" s="7">
        <f t="shared" si="48"/>
        <v>-2.6134602105434552E-3</v>
      </c>
      <c r="K80" s="2"/>
      <c r="L80" s="6">
        <f t="shared" si="49"/>
        <v>5604.5999999999995</v>
      </c>
      <c r="M80" s="2"/>
      <c r="N80" s="7">
        <f t="shared" si="50"/>
        <v>16.047070950008589</v>
      </c>
      <c r="O80" s="10"/>
      <c r="P80" s="6">
        <v>13820.13</v>
      </c>
      <c r="Q80" s="2"/>
      <c r="R80" s="7">
        <f t="shared" si="51"/>
        <v>1.3522685020293621E-2</v>
      </c>
      <c r="S80" s="2"/>
      <c r="T80" s="6">
        <v>27197.759999999998</v>
      </c>
      <c r="U80" s="2"/>
      <c r="V80" s="7">
        <f t="shared" si="52"/>
        <v>3.0094853568097099E-3</v>
      </c>
      <c r="W80" s="2"/>
      <c r="X80" s="6">
        <f t="shared" si="53"/>
        <v>-13377.63</v>
      </c>
      <c r="Y80" s="2"/>
      <c r="Z80" s="7">
        <f t="shared" si="54"/>
        <v>-0.49186513889379124</v>
      </c>
    </row>
    <row r="81" spans="1:26" s="23" customFormat="1" hidden="1" outlineLevel="2" x14ac:dyDescent="0.25">
      <c r="A81" s="25"/>
      <c r="B81" s="10" t="str">
        <f>CONCATENATE("          ", "6241", " - ", "OFFICE EXPENSE")</f>
        <v xml:space="preserve">          6241 - OFFICE EXPENSE</v>
      </c>
      <c r="C81" s="10"/>
      <c r="D81" s="6">
        <v>1232.0899999999999</v>
      </c>
      <c r="E81" s="2"/>
      <c r="F81" s="7">
        <f t="shared" si="47"/>
        <v>4.0917725512596551E-2</v>
      </c>
      <c r="G81" s="2"/>
      <c r="H81" s="6">
        <v>282.73</v>
      </c>
      <c r="I81" s="2"/>
      <c r="J81" s="7">
        <f t="shared" si="48"/>
        <v>-2.1156261963206527E-3</v>
      </c>
      <c r="K81" s="2"/>
      <c r="L81" s="6">
        <f t="shared" si="49"/>
        <v>949.3599999999999</v>
      </c>
      <c r="M81" s="2"/>
      <c r="N81" s="7">
        <f t="shared" si="50"/>
        <v>3.3578325611006963</v>
      </c>
      <c r="O81" s="10"/>
      <c r="P81" s="6">
        <v>10717.19</v>
      </c>
      <c r="Q81" s="2"/>
      <c r="R81" s="7">
        <f t="shared" si="51"/>
        <v>1.0486528323007135E-2</v>
      </c>
      <c r="S81" s="2"/>
      <c r="T81" s="6">
        <v>28840.79</v>
      </c>
      <c r="U81" s="2"/>
      <c r="V81" s="7">
        <f t="shared" si="52"/>
        <v>3.1912898409216022E-3</v>
      </c>
      <c r="W81" s="2"/>
      <c r="X81" s="6">
        <f t="shared" si="53"/>
        <v>-18123.599999999999</v>
      </c>
      <c r="Y81" s="2"/>
      <c r="Z81" s="7">
        <f t="shared" si="54"/>
        <v>-0.62840164919199504</v>
      </c>
    </row>
    <row r="82" spans="1:26" s="23" customFormat="1" hidden="1" outlineLevel="2" x14ac:dyDescent="0.25">
      <c r="A82" s="25"/>
      <c r="B82" s="10" t="str">
        <f>CONCATENATE("          ", "6243", " - ", "PAPER SUPPLIES")</f>
        <v xml:space="preserve">          6243 - PAPER SUPPLIES</v>
      </c>
      <c r="C82" s="10"/>
      <c r="D82" s="6">
        <v>4485.6499999999996</v>
      </c>
      <c r="E82" s="2"/>
      <c r="F82" s="7">
        <f t="shared" si="47"/>
        <v>0.14896849698120976</v>
      </c>
      <c r="G82" s="2"/>
      <c r="H82" s="6">
        <v>859.86</v>
      </c>
      <c r="I82" s="2"/>
      <c r="J82" s="7">
        <f t="shared" si="48"/>
        <v>-6.434203449114973E-3</v>
      </c>
      <c r="K82" s="2"/>
      <c r="L82" s="6">
        <f t="shared" si="49"/>
        <v>3625.7899999999995</v>
      </c>
      <c r="M82" s="2"/>
      <c r="N82" s="7">
        <f t="shared" si="50"/>
        <v>4.2167213267276065</v>
      </c>
      <c r="O82" s="10"/>
      <c r="P82" s="6">
        <v>43204.52</v>
      </c>
      <c r="Q82" s="2"/>
      <c r="R82" s="7">
        <f t="shared" si="51"/>
        <v>4.2274646867502416E-2</v>
      </c>
      <c r="S82" s="2"/>
      <c r="T82" s="6">
        <v>60815.41</v>
      </c>
      <c r="U82" s="2"/>
      <c r="V82" s="7">
        <f t="shared" si="52"/>
        <v>6.7293441027267984E-3</v>
      </c>
      <c r="W82" s="2"/>
      <c r="X82" s="6">
        <f t="shared" si="53"/>
        <v>-17610.890000000007</v>
      </c>
      <c r="Y82" s="2"/>
      <c r="Z82" s="7">
        <f t="shared" si="54"/>
        <v>-0.289579401010369</v>
      </c>
    </row>
    <row r="83" spans="1:26" s="23" customFormat="1" hidden="1" outlineLevel="2" x14ac:dyDescent="0.25">
      <c r="A83" s="25"/>
      <c r="B83" s="10" t="str">
        <f>CONCATENATE("          ", "6245", " - ", "PRINTING")</f>
        <v xml:space="preserve">          6245 - PRINTING</v>
      </c>
      <c r="C83" s="10"/>
      <c r="D83" s="6"/>
      <c r="E83" s="2"/>
      <c r="F83" s="7">
        <f t="shared" si="47"/>
        <v>0</v>
      </c>
      <c r="G83" s="2"/>
      <c r="H83" s="6"/>
      <c r="I83" s="2"/>
      <c r="J83" s="7">
        <f t="shared" si="48"/>
        <v>0</v>
      </c>
      <c r="K83" s="2"/>
      <c r="L83" s="6">
        <f t="shared" si="49"/>
        <v>0</v>
      </c>
      <c r="M83" s="2"/>
      <c r="N83" s="7">
        <f t="shared" si="50"/>
        <v>0</v>
      </c>
      <c r="O83" s="10"/>
      <c r="P83" s="6"/>
      <c r="Q83" s="2"/>
      <c r="R83" s="7">
        <f t="shared" si="51"/>
        <v>0</v>
      </c>
      <c r="S83" s="2"/>
      <c r="T83" s="6">
        <v>1351.44</v>
      </c>
      <c r="U83" s="2"/>
      <c r="V83" s="7">
        <f t="shared" si="52"/>
        <v>1.4953948011185166E-4</v>
      </c>
      <c r="W83" s="2"/>
      <c r="X83" s="6">
        <f t="shared" si="53"/>
        <v>-1351.44</v>
      </c>
      <c r="Y83" s="2"/>
      <c r="Z83" s="7">
        <f t="shared" si="54"/>
        <v>-1</v>
      </c>
    </row>
    <row r="84" spans="1:26" s="23" customFormat="1" hidden="1" outlineLevel="2" x14ac:dyDescent="0.25">
      <c r="A84" s="25"/>
      <c r="B84" s="10" t="str">
        <f>CONCATENATE("          ", "6247", " - ", "STORE SUPPLIES")</f>
        <v xml:space="preserve">          6247 - STORE SUPPLIES</v>
      </c>
      <c r="C84" s="10"/>
      <c r="D84" s="6"/>
      <c r="E84" s="2"/>
      <c r="F84" s="7">
        <f t="shared" si="47"/>
        <v>0</v>
      </c>
      <c r="G84" s="2"/>
      <c r="H84" s="6"/>
      <c r="I84" s="2"/>
      <c r="J84" s="7">
        <f t="shared" si="48"/>
        <v>0</v>
      </c>
      <c r="K84" s="2"/>
      <c r="L84" s="6">
        <f t="shared" si="49"/>
        <v>0</v>
      </c>
      <c r="M84" s="2"/>
      <c r="N84" s="7">
        <f t="shared" si="50"/>
        <v>0</v>
      </c>
      <c r="O84" s="10"/>
      <c r="P84" s="6"/>
      <c r="Q84" s="2"/>
      <c r="R84" s="7">
        <f t="shared" si="51"/>
        <v>0</v>
      </c>
      <c r="S84" s="2"/>
      <c r="T84" s="6">
        <v>667.78</v>
      </c>
      <c r="U84" s="2"/>
      <c r="V84" s="7">
        <f t="shared" si="52"/>
        <v>7.3891163521201301E-5</v>
      </c>
      <c r="W84" s="2"/>
      <c r="X84" s="6">
        <f t="shared" si="53"/>
        <v>-667.78</v>
      </c>
      <c r="Y84" s="2"/>
      <c r="Z84" s="7">
        <f t="shared" si="54"/>
        <v>-1</v>
      </c>
    </row>
    <row r="85" spans="1:26" s="23" customFormat="1" hidden="1" outlineLevel="2" x14ac:dyDescent="0.25">
      <c r="A85" s="25"/>
      <c r="B85" s="10" t="str">
        <f>CONCATENATE("          ", "6248", " - ", "UNIFORMS")</f>
        <v xml:space="preserve">          6248 - UNIFORMS</v>
      </c>
      <c r="C85" s="10"/>
      <c r="D85" s="6"/>
      <c r="E85" s="2"/>
      <c r="F85" s="7">
        <f t="shared" si="47"/>
        <v>0</v>
      </c>
      <c r="G85" s="2"/>
      <c r="H85" s="6"/>
      <c r="I85" s="2"/>
      <c r="J85" s="7">
        <f t="shared" si="48"/>
        <v>0</v>
      </c>
      <c r="K85" s="2"/>
      <c r="L85" s="6">
        <f t="shared" si="49"/>
        <v>0</v>
      </c>
      <c r="M85" s="2"/>
      <c r="N85" s="7">
        <f t="shared" si="50"/>
        <v>0</v>
      </c>
      <c r="O85" s="10"/>
      <c r="P85" s="6">
        <v>4500.59</v>
      </c>
      <c r="Q85" s="2"/>
      <c r="R85" s="7">
        <f t="shared" si="51"/>
        <v>4.4037256505896306E-3</v>
      </c>
      <c r="S85" s="2"/>
      <c r="T85" s="6">
        <v>-126.8</v>
      </c>
      <c r="U85" s="2"/>
      <c r="V85" s="7">
        <f t="shared" si="52"/>
        <v>-1.403066808602882E-5</v>
      </c>
      <c r="W85" s="2"/>
      <c r="X85" s="6">
        <f t="shared" si="53"/>
        <v>4627.3900000000003</v>
      </c>
      <c r="Y85" s="2"/>
      <c r="Z85" s="7">
        <f t="shared" si="54"/>
        <v>-36.493611987381705</v>
      </c>
    </row>
    <row r="86" spans="1:26" s="27" customFormat="1" outlineLevel="1" collapsed="1" x14ac:dyDescent="0.25">
      <c r="A86" s="26"/>
      <c r="B86" s="12" t="str">
        <f>CONCATENATE("     ","Telephone/Data Lines                              ")</f>
        <v xml:space="preserve">     Telephone/Data Lines                              </v>
      </c>
      <c r="C86" s="12"/>
      <c r="D86" s="1">
        <f>SUM(OSRRefD22_16x_0)</f>
        <v>998</v>
      </c>
      <c r="E86" s="1"/>
      <c r="F86" s="5">
        <f t="shared" ref="F86:F92" si="55">IF(D$12=0,0,D86/D$12)</f>
        <v>3.3143593456298942E-2</v>
      </c>
      <c r="G86" s="1"/>
      <c r="H86" s="1">
        <f>SUM(OSRRefH22_16x_0)</f>
        <v>331.7</v>
      </c>
      <c r="I86" s="1"/>
      <c r="J86" s="5">
        <f t="shared" ref="J86:J92" si="56">IF(H$12=0,0,H86/H$12)</f>
        <v>-2.4820613635608544E-3</v>
      </c>
      <c r="K86" s="1"/>
      <c r="L86" s="1">
        <f t="shared" ref="L86:L92" si="57">+D86-H86</f>
        <v>666.3</v>
      </c>
      <c r="M86" s="1"/>
      <c r="N86" s="5">
        <f t="shared" ref="N86:N92" si="58">IF(H86=0,0,L86/H86)</f>
        <v>2.0087428399155862</v>
      </c>
      <c r="O86" s="12"/>
      <c r="P86" s="1">
        <f>SUM(OSRRefP22_16x_0)</f>
        <v>6396.32</v>
      </c>
      <c r="Q86" s="1"/>
      <c r="R86" s="5">
        <f t="shared" ref="R86:R92" si="59">IF(P$12=0,0,P86/P$12)</f>
        <v>6.2586546326991489E-3</v>
      </c>
      <c r="S86" s="1"/>
      <c r="T86" s="1">
        <f>SUM(OSRRefT22_16x_0)</f>
        <v>7428.5</v>
      </c>
      <c r="U86" s="1"/>
      <c r="V86" s="5">
        <f t="shared" ref="V86:V92" si="60">IF(T$12=0,0,T86/T$12)</f>
        <v>8.2197805896739033E-4</v>
      </c>
      <c r="W86" s="1"/>
      <c r="X86" s="1">
        <f t="shared" ref="X86:X92" si="61">+P86-T86</f>
        <v>-1032.1800000000003</v>
      </c>
      <c r="Y86" s="1"/>
      <c r="Z86" s="5">
        <f t="shared" ref="Z86:Z92" si="62">IF(T86=0,0,X86/T86)</f>
        <v>-0.13894864373695906</v>
      </c>
    </row>
    <row r="87" spans="1:26" s="23" customFormat="1" hidden="1" outlineLevel="2" x14ac:dyDescent="0.25">
      <c r="A87" s="25"/>
      <c r="B87" s="10" t="str">
        <f>CONCATENATE("          ", "6309", " - ", "TELEPHONE")</f>
        <v xml:space="preserve">          6309 - TELEPHONE</v>
      </c>
      <c r="C87" s="10"/>
      <c r="D87" s="6">
        <v>998</v>
      </c>
      <c r="E87" s="2"/>
      <c r="F87" s="7">
        <f t="shared" si="55"/>
        <v>3.3143593456298942E-2</v>
      </c>
      <c r="G87" s="2"/>
      <c r="H87" s="6">
        <v>331.7</v>
      </c>
      <c r="I87" s="2"/>
      <c r="J87" s="7">
        <f t="shared" si="56"/>
        <v>-2.4820613635608544E-3</v>
      </c>
      <c r="K87" s="2"/>
      <c r="L87" s="6">
        <f t="shared" si="57"/>
        <v>666.3</v>
      </c>
      <c r="M87" s="2"/>
      <c r="N87" s="7">
        <f t="shared" si="58"/>
        <v>2.0087428399155862</v>
      </c>
      <c r="O87" s="10"/>
      <c r="P87" s="6">
        <v>6396.32</v>
      </c>
      <c r="Q87" s="2"/>
      <c r="R87" s="7">
        <f t="shared" si="59"/>
        <v>6.2586546326991489E-3</v>
      </c>
      <c r="S87" s="2"/>
      <c r="T87" s="6">
        <v>7428.5</v>
      </c>
      <c r="U87" s="2"/>
      <c r="V87" s="7">
        <f t="shared" si="60"/>
        <v>8.2197805896739033E-4</v>
      </c>
      <c r="W87" s="2"/>
      <c r="X87" s="6">
        <f t="shared" si="61"/>
        <v>-1032.1800000000003</v>
      </c>
      <c r="Y87" s="2"/>
      <c r="Z87" s="7">
        <f t="shared" si="62"/>
        <v>-0.13894864373695906</v>
      </c>
    </row>
    <row r="88" spans="1:26" s="27" customFormat="1" outlineLevel="1" collapsed="1" x14ac:dyDescent="0.25">
      <c r="A88" s="26"/>
      <c r="B88" s="12" t="str">
        <f>CONCATENATE("     ","Training                                          ")</f>
        <v xml:space="preserve">     Training                                          </v>
      </c>
      <c r="C88" s="12"/>
      <c r="D88" s="1">
        <f>SUM(OSRRefD22_17x_0)</f>
        <v>494</v>
      </c>
      <c r="E88" s="1"/>
      <c r="F88" s="5">
        <f t="shared" si="55"/>
        <v>1.6405746660733144E-2</v>
      </c>
      <c r="G88" s="1"/>
      <c r="H88" s="1">
        <f>SUM(OSRRefH22_17x_0)</f>
        <v>494</v>
      </c>
      <c r="I88" s="1"/>
      <c r="J88" s="5">
        <f t="shared" si="56"/>
        <v>-3.6965279276426357E-3</v>
      </c>
      <c r="K88" s="1"/>
      <c r="L88" s="1">
        <f t="shared" si="57"/>
        <v>0</v>
      </c>
      <c r="M88" s="1"/>
      <c r="N88" s="5">
        <f t="shared" si="58"/>
        <v>0</v>
      </c>
      <c r="O88" s="12"/>
      <c r="P88" s="1">
        <f>SUM(OSRRefP22_17x_0)</f>
        <v>1280.23</v>
      </c>
      <c r="Q88" s="1"/>
      <c r="R88" s="5">
        <f t="shared" si="59"/>
        <v>1.2526761357187308E-3</v>
      </c>
      <c r="S88" s="1"/>
      <c r="T88" s="1">
        <f>SUM(OSRRefT22_17x_0)</f>
        <v>6892.23</v>
      </c>
      <c r="U88" s="1"/>
      <c r="V88" s="5">
        <f t="shared" si="60"/>
        <v>7.6263873424740078E-4</v>
      </c>
      <c r="W88" s="1"/>
      <c r="X88" s="1">
        <f t="shared" si="61"/>
        <v>-5612</v>
      </c>
      <c r="Y88" s="1"/>
      <c r="Z88" s="5">
        <f t="shared" si="62"/>
        <v>-0.81425024991911188</v>
      </c>
    </row>
    <row r="89" spans="1:26" s="23" customFormat="1" hidden="1" outlineLevel="2" x14ac:dyDescent="0.25">
      <c r="A89" s="25"/>
      <c r="B89" s="10" t="str">
        <f>CONCATENATE("          ", "6376", " - ", "TRAINING")</f>
        <v xml:space="preserve">          6376 - TRAINING</v>
      </c>
      <c r="C89" s="10"/>
      <c r="D89" s="6">
        <v>494</v>
      </c>
      <c r="E89" s="2"/>
      <c r="F89" s="7">
        <f t="shared" si="55"/>
        <v>1.6405746660733144E-2</v>
      </c>
      <c r="G89" s="2"/>
      <c r="H89" s="6">
        <v>494</v>
      </c>
      <c r="I89" s="2"/>
      <c r="J89" s="7">
        <f t="shared" si="56"/>
        <v>-3.6965279276426357E-3</v>
      </c>
      <c r="K89" s="2"/>
      <c r="L89" s="6">
        <f t="shared" si="57"/>
        <v>0</v>
      </c>
      <c r="M89" s="2"/>
      <c r="N89" s="7">
        <f t="shared" si="58"/>
        <v>0</v>
      </c>
      <c r="O89" s="10"/>
      <c r="P89" s="6">
        <v>1280.23</v>
      </c>
      <c r="Q89" s="2"/>
      <c r="R89" s="7">
        <f t="shared" si="59"/>
        <v>1.2526761357187308E-3</v>
      </c>
      <c r="S89" s="2"/>
      <c r="T89" s="6">
        <v>6892.23</v>
      </c>
      <c r="U89" s="2"/>
      <c r="V89" s="7">
        <f t="shared" si="60"/>
        <v>7.6263873424740078E-4</v>
      </c>
      <c r="W89" s="2"/>
      <c r="X89" s="6">
        <f t="shared" si="61"/>
        <v>-5612</v>
      </c>
      <c r="Y89" s="2"/>
      <c r="Z89" s="7">
        <f t="shared" si="62"/>
        <v>-0.81425024991911188</v>
      </c>
    </row>
    <row r="90" spans="1:26" s="27" customFormat="1" outlineLevel="1" collapsed="1" x14ac:dyDescent="0.25">
      <c r="A90" s="26"/>
      <c r="B90" s="12" t="str">
        <f>CONCATENATE("     ","Travel                                            ")</f>
        <v xml:space="preserve">     Travel                                            </v>
      </c>
      <c r="C90" s="12"/>
      <c r="D90" s="1">
        <f>SUM(OSRRefD22_18x_0)</f>
        <v>0</v>
      </c>
      <c r="E90" s="1"/>
      <c r="F90" s="5">
        <f t="shared" si="55"/>
        <v>0</v>
      </c>
      <c r="G90" s="1"/>
      <c r="H90" s="1">
        <f>SUM(OSRRefH22_18x_0)</f>
        <v>0</v>
      </c>
      <c r="I90" s="1"/>
      <c r="J90" s="5">
        <f t="shared" si="56"/>
        <v>0</v>
      </c>
      <c r="K90" s="1"/>
      <c r="L90" s="1">
        <f t="shared" si="57"/>
        <v>0</v>
      </c>
      <c r="M90" s="1"/>
      <c r="N90" s="5">
        <f t="shared" si="58"/>
        <v>0</v>
      </c>
      <c r="O90" s="12"/>
      <c r="P90" s="1">
        <f>SUM(OSRRefP22_18x_0)</f>
        <v>160.30000000000001</v>
      </c>
      <c r="Q90" s="1"/>
      <c r="R90" s="5">
        <f t="shared" si="59"/>
        <v>1.5684992896253998E-4</v>
      </c>
      <c r="S90" s="1"/>
      <c r="T90" s="1">
        <f>SUM(OSRRefT22_18x_0)</f>
        <v>1894.26</v>
      </c>
      <c r="U90" s="1"/>
      <c r="V90" s="5">
        <f t="shared" si="60"/>
        <v>2.0960357514701068E-4</v>
      </c>
      <c r="W90" s="1"/>
      <c r="X90" s="1">
        <f t="shared" si="61"/>
        <v>-1733.96</v>
      </c>
      <c r="Y90" s="1"/>
      <c r="Z90" s="5">
        <f t="shared" si="62"/>
        <v>-0.91537592516338839</v>
      </c>
    </row>
    <row r="91" spans="1:26" s="23" customFormat="1" hidden="1" outlineLevel="2" x14ac:dyDescent="0.25">
      <c r="A91" s="25"/>
      <c r="B91" s="10" t="str">
        <f>CONCATENATE("          ", "6292", " - ", "TRAVEL/CONFERENCE")</f>
        <v xml:space="preserve">          6292 - TRAVEL/CONFERENCE</v>
      </c>
      <c r="C91" s="10"/>
      <c r="D91" s="6"/>
      <c r="E91" s="2"/>
      <c r="F91" s="7">
        <f t="shared" si="55"/>
        <v>0</v>
      </c>
      <c r="G91" s="2"/>
      <c r="H91" s="6"/>
      <c r="I91" s="2"/>
      <c r="J91" s="7">
        <f t="shared" si="56"/>
        <v>0</v>
      </c>
      <c r="K91" s="2"/>
      <c r="L91" s="6">
        <f t="shared" si="57"/>
        <v>0</v>
      </c>
      <c r="M91" s="2"/>
      <c r="N91" s="7">
        <f t="shared" si="58"/>
        <v>0</v>
      </c>
      <c r="O91" s="10"/>
      <c r="P91" s="6"/>
      <c r="Q91" s="2"/>
      <c r="R91" s="7">
        <f t="shared" si="59"/>
        <v>0</v>
      </c>
      <c r="S91" s="2"/>
      <c r="T91" s="6">
        <v>1894.26</v>
      </c>
      <c r="U91" s="2"/>
      <c r="V91" s="7">
        <f t="shared" si="60"/>
        <v>2.0960357514701068E-4</v>
      </c>
      <c r="W91" s="2"/>
      <c r="X91" s="6">
        <f t="shared" si="61"/>
        <v>-1894.26</v>
      </c>
      <c r="Y91" s="2"/>
      <c r="Z91" s="7">
        <f t="shared" si="62"/>
        <v>-1</v>
      </c>
    </row>
    <row r="92" spans="1:26" s="23" customFormat="1" hidden="1" outlineLevel="2" x14ac:dyDescent="0.25">
      <c r="A92" s="25"/>
      <c r="B92" s="10" t="str">
        <f>CONCATENATE("          ", "6294", " - ", "TRAVEL OPERATIONAL")</f>
        <v xml:space="preserve">          6294 - TRAVEL OPERATIONAL</v>
      </c>
      <c r="C92" s="10"/>
      <c r="D92" s="6"/>
      <c r="E92" s="2"/>
      <c r="F92" s="7">
        <f t="shared" si="55"/>
        <v>0</v>
      </c>
      <c r="G92" s="2"/>
      <c r="H92" s="6"/>
      <c r="I92" s="2"/>
      <c r="J92" s="7">
        <f t="shared" si="56"/>
        <v>0</v>
      </c>
      <c r="K92" s="2"/>
      <c r="L92" s="6">
        <f t="shared" si="57"/>
        <v>0</v>
      </c>
      <c r="M92" s="2"/>
      <c r="N92" s="7">
        <f t="shared" si="58"/>
        <v>0</v>
      </c>
      <c r="O92" s="10"/>
      <c r="P92" s="6">
        <v>160.30000000000001</v>
      </c>
      <c r="Q92" s="2"/>
      <c r="R92" s="7">
        <f t="shared" si="59"/>
        <v>1.5684992896253998E-4</v>
      </c>
      <c r="S92" s="2"/>
      <c r="T92" s="6"/>
      <c r="U92" s="2"/>
      <c r="V92" s="7">
        <f t="shared" si="60"/>
        <v>0</v>
      </c>
      <c r="W92" s="2"/>
      <c r="X92" s="6">
        <f t="shared" si="61"/>
        <v>160.30000000000001</v>
      </c>
      <c r="Y92" s="2"/>
      <c r="Z92" s="7">
        <f t="shared" si="62"/>
        <v>0</v>
      </c>
    </row>
    <row r="93" spans="1:26" s="52" customFormat="1" x14ac:dyDescent="0.25">
      <c r="A93" s="37"/>
      <c r="B93" s="37"/>
      <c r="C93" s="37"/>
      <c r="D93" s="1"/>
      <c r="E93" s="1"/>
      <c r="F93" s="5"/>
      <c r="G93" s="1"/>
      <c r="H93" s="1"/>
      <c r="I93" s="1"/>
      <c r="J93" s="5"/>
      <c r="K93" s="1"/>
      <c r="L93" s="1"/>
      <c r="M93" s="1"/>
      <c r="N93" s="5"/>
      <c r="O93" s="37"/>
      <c r="P93" s="1"/>
      <c r="Q93" s="1"/>
      <c r="R93" s="5"/>
      <c r="S93" s="1"/>
      <c r="T93" s="1"/>
      <c r="U93" s="1"/>
      <c r="V93" s="5"/>
      <c r="W93" s="1"/>
      <c r="X93" s="1"/>
      <c r="Y93" s="1"/>
      <c r="Z93" s="5"/>
    </row>
    <row r="94" spans="1:26" s="24" customFormat="1" x14ac:dyDescent="0.25">
      <c r="A94" s="11"/>
      <c r="B94" s="29" t="s">
        <v>292</v>
      </c>
      <c r="C94" s="11"/>
      <c r="D94" s="4">
        <f>SUM(0)</f>
        <v>0</v>
      </c>
      <c r="E94" s="4"/>
      <c r="F94" s="13">
        <f>IF(D$12=0,0,D94/D$12)</f>
        <v>0</v>
      </c>
      <c r="G94" s="4"/>
      <c r="H94" s="4">
        <f>SUM(0)</f>
        <v>0</v>
      </c>
      <c r="I94" s="4"/>
      <c r="J94" s="13">
        <f>IF(H$12=0,0,H94/H$12)</f>
        <v>0</v>
      </c>
      <c r="K94" s="4"/>
      <c r="L94" s="4">
        <f>+D94-H94</f>
        <v>0</v>
      </c>
      <c r="M94" s="4"/>
      <c r="N94" s="13">
        <f>IF(H94=0,0,L94/H94)</f>
        <v>0</v>
      </c>
      <c r="O94" s="11"/>
      <c r="P94" s="4">
        <f>SUM(0)</f>
        <v>0</v>
      </c>
      <c r="Q94" s="4"/>
      <c r="R94" s="13">
        <f>IF(P$12=0,0,P94/P$12)</f>
        <v>0</v>
      </c>
      <c r="S94" s="4"/>
      <c r="T94" s="4">
        <f>SUM(0)</f>
        <v>0</v>
      </c>
      <c r="U94" s="4"/>
      <c r="V94" s="13">
        <f>IF(T$12=0,0,T94/T$12)</f>
        <v>0</v>
      </c>
      <c r="W94" s="4"/>
      <c r="X94" s="4">
        <f>+P94-T94</f>
        <v>0</v>
      </c>
      <c r="Y94" s="4"/>
      <c r="Z94" s="13">
        <f>IF(T94=0,0,X94/T94)</f>
        <v>0</v>
      </c>
    </row>
    <row r="95" spans="1:26" x14ac:dyDescent="0.25">
      <c r="A95" s="9"/>
      <c r="B95" s="11"/>
      <c r="C95" s="11"/>
      <c r="D95" s="3"/>
      <c r="E95" s="3"/>
      <c r="F95" s="8"/>
      <c r="G95" s="3"/>
      <c r="H95" s="3"/>
      <c r="I95" s="3"/>
      <c r="J95" s="8"/>
      <c r="K95" s="3"/>
      <c r="L95" s="3"/>
      <c r="M95" s="3"/>
      <c r="N95" s="8"/>
      <c r="O95" s="11"/>
      <c r="P95" s="3"/>
      <c r="Q95" s="3"/>
      <c r="R95" s="8"/>
      <c r="S95" s="3"/>
      <c r="T95" s="3"/>
      <c r="U95" s="3"/>
      <c r="V95" s="8"/>
      <c r="W95" s="3"/>
      <c r="X95" s="3"/>
      <c r="Y95" s="3"/>
      <c r="Z95" s="8"/>
    </row>
    <row r="96" spans="1:26" s="24" customFormat="1" x14ac:dyDescent="0.25">
      <c r="A96" s="11"/>
      <c r="B96" s="28" t="s">
        <v>276</v>
      </c>
      <c r="C96" s="28"/>
      <c r="D96" s="21">
        <f>+D24-D26+D94</f>
        <v>-176159.76</v>
      </c>
      <c r="E96" s="14"/>
      <c r="F96" s="22">
        <f>IF(D$12=0,0,D96/D$12)</f>
        <v>-5.85026800480881</v>
      </c>
      <c r="G96" s="14"/>
      <c r="H96" s="21">
        <f>+H24-H26+H94</f>
        <v>-276637.71999999997</v>
      </c>
      <c r="I96" s="14"/>
      <c r="J96" s="22">
        <f>IF(H$12=0,0,H96/H$12)</f>
        <v>2.0700385785817481</v>
      </c>
      <c r="K96" s="15"/>
      <c r="L96" s="21">
        <f>+D96-H96</f>
        <v>100477.95999999996</v>
      </c>
      <c r="M96" s="15"/>
      <c r="N96" s="22">
        <f>IF(H96=0,0,L96/H96)</f>
        <v>-0.36321135093218659</v>
      </c>
      <c r="O96" s="29"/>
      <c r="P96" s="21">
        <f>+P24-P26+P94</f>
        <v>-2093146.8999999994</v>
      </c>
      <c r="Q96" s="14"/>
      <c r="R96" s="22">
        <f>IF(P$12=0,0,P96/P$12)</f>
        <v>-2.0480969592835976</v>
      </c>
      <c r="S96" s="14"/>
      <c r="T96" s="21">
        <f>+T24-T26+T94</f>
        <v>1883426.0899999999</v>
      </c>
      <c r="U96" s="14"/>
      <c r="V96" s="22">
        <f>IF(T$12=0,0,T96/T$12)</f>
        <v>0.2084047818088095</v>
      </c>
      <c r="W96" s="15"/>
      <c r="X96" s="21">
        <f>+P96-T96</f>
        <v>-3976572.9899999993</v>
      </c>
      <c r="Y96" s="15"/>
      <c r="Z96" s="22">
        <f>IF(T96=0,0,X96/T96)</f>
        <v>-2.1113506981311909</v>
      </c>
    </row>
    <row r="97" spans="1:26" x14ac:dyDescent="0.25">
      <c r="A97" s="9"/>
      <c r="B97" s="11"/>
      <c r="C97" s="9"/>
      <c r="D97" s="3"/>
      <c r="E97" s="3"/>
      <c r="F97" s="8"/>
      <c r="G97" s="3"/>
      <c r="H97" s="3"/>
      <c r="I97" s="3"/>
      <c r="J97" s="8"/>
      <c r="K97" s="3"/>
      <c r="L97" s="3"/>
      <c r="M97" s="3"/>
      <c r="N97" s="8"/>
      <c r="P97" s="3"/>
      <c r="Q97" s="3"/>
      <c r="R97" s="8"/>
      <c r="S97" s="3"/>
      <c r="T97" s="3"/>
      <c r="U97" s="3"/>
      <c r="V97" s="8"/>
      <c r="W97" s="3"/>
      <c r="X97" s="3"/>
      <c r="Y97" s="3"/>
      <c r="Z97" s="8"/>
    </row>
    <row r="98" spans="1:26" s="24" customFormat="1" x14ac:dyDescent="0.25">
      <c r="A98" s="51"/>
      <c r="B98" s="11" t="s">
        <v>127</v>
      </c>
      <c r="C98" s="11"/>
      <c r="D98" s="4">
        <v>70926.69</v>
      </c>
      <c r="E98" s="4"/>
      <c r="F98" s="13">
        <f>IF(D$12=0,0,D98/D$12)</f>
        <v>2.3554763312233904</v>
      </c>
      <c r="G98" s="4"/>
      <c r="H98" s="4">
        <v>282425.34000000003</v>
      </c>
      <c r="I98" s="4"/>
      <c r="J98" s="13">
        <f>IF(H$12=0,0,H98/H$12)</f>
        <v>-2.1133464712226049</v>
      </c>
      <c r="K98" s="4"/>
      <c r="L98" s="4">
        <f>+D98-H98</f>
        <v>-211498.65000000002</v>
      </c>
      <c r="M98" s="4"/>
      <c r="N98" s="13">
        <f>IF(H98=0,0,L98/H98)</f>
        <v>-0.74886570022364141</v>
      </c>
      <c r="O98" s="11"/>
      <c r="P98" s="4">
        <v>282883.03000000003</v>
      </c>
      <c r="Q98" s="4"/>
      <c r="R98" s="13">
        <f>IF(P$12=0,0,P98/P$12)</f>
        <v>0.27679465477359994</v>
      </c>
      <c r="S98" s="4"/>
      <c r="T98" s="4">
        <v>1368458.63</v>
      </c>
      <c r="U98" s="4"/>
      <c r="V98" s="13">
        <f>IF(T$12=0,0,T98/T$12)</f>
        <v>0.15142262481854668</v>
      </c>
      <c r="W98" s="4"/>
      <c r="X98" s="4">
        <f>+P98-T98</f>
        <v>-1085575.5999999999</v>
      </c>
      <c r="Y98" s="4"/>
      <c r="Z98" s="13">
        <f>IF(T98=0,0,X98/T98)</f>
        <v>-0.79328346228486279</v>
      </c>
    </row>
    <row r="99" spans="1:26" x14ac:dyDescent="0.25">
      <c r="A99" s="9"/>
      <c r="B99" s="11"/>
      <c r="C99" s="11"/>
      <c r="D99" s="3"/>
      <c r="E99" s="3"/>
      <c r="F99" s="8"/>
      <c r="G99" s="3"/>
      <c r="H99" s="3"/>
      <c r="I99" s="3"/>
      <c r="J99" s="8"/>
      <c r="K99" s="3"/>
      <c r="L99" s="3"/>
      <c r="M99" s="3"/>
      <c r="N99" s="8"/>
      <c r="O99" s="11"/>
      <c r="P99" s="3"/>
      <c r="Q99" s="3"/>
      <c r="R99" s="8"/>
      <c r="S99" s="3"/>
      <c r="T99" s="3"/>
      <c r="U99" s="3"/>
      <c r="V99" s="8"/>
      <c r="W99" s="3"/>
      <c r="X99" s="3"/>
      <c r="Y99" s="3"/>
      <c r="Z99" s="8"/>
    </row>
    <row r="100" spans="1:26" s="24" customFormat="1" ht="15.75" thickBot="1" x14ac:dyDescent="0.3">
      <c r="A100" s="11"/>
      <c r="B100" s="28" t="s">
        <v>125</v>
      </c>
      <c r="C100" s="28"/>
      <c r="D100" s="34">
        <f>+D96-D98</f>
        <v>-247086.45</v>
      </c>
      <c r="E100" s="14"/>
      <c r="F100" s="31">
        <f>IF(D$12=0,0,D100/D$12)</f>
        <v>-8.2057443360322004</v>
      </c>
      <c r="G100" s="14"/>
      <c r="H100" s="34">
        <f>+H96-H98</f>
        <v>-559063.06000000006</v>
      </c>
      <c r="I100" s="14"/>
      <c r="J100" s="31">
        <f>IF(H$12=0,0,H100/H$12)</f>
        <v>4.183385049804353</v>
      </c>
      <c r="K100" s="15"/>
      <c r="L100" s="34">
        <f>D100-H100</f>
        <v>311976.61000000004</v>
      </c>
      <c r="M100" s="15"/>
      <c r="N100" s="31">
        <f>IF(H100=0,0,L100/H100)</f>
        <v>-0.55803474119717378</v>
      </c>
      <c r="O100" s="29"/>
      <c r="P100" s="34">
        <f>+P96-P98</f>
        <v>-2376029.9299999997</v>
      </c>
      <c r="Q100" s="14"/>
      <c r="R100" s="31">
        <f>IF(P$12=0,0,P100/P$12)</f>
        <v>-2.3248916140571976</v>
      </c>
      <c r="S100" s="14"/>
      <c r="T100" s="34">
        <f>+T96-T98</f>
        <v>514967.45999999996</v>
      </c>
      <c r="U100" s="14"/>
      <c r="V100" s="31">
        <f>IF(T$12=0,0,T100/T$12)</f>
        <v>5.6982156990262794E-2</v>
      </c>
      <c r="W100" s="15"/>
      <c r="X100" s="34">
        <f>P100-T100</f>
        <v>-2890997.3899999997</v>
      </c>
      <c r="Y100" s="15"/>
      <c r="Z100" s="31">
        <f>IF(T100=0,0,X100/T100)</f>
        <v>-5.6139418789684301</v>
      </c>
    </row>
    <row r="101" spans="1:26" ht="15.75" thickTop="1" x14ac:dyDescent="0.25">
      <c r="A101" s="9"/>
      <c r="B101" s="9"/>
      <c r="C101" s="9"/>
      <c r="D101" s="3"/>
      <c r="E101" s="3"/>
      <c r="F101" s="8"/>
      <c r="G101" s="3"/>
      <c r="H101" s="3"/>
      <c r="I101" s="3"/>
      <c r="J101" s="8"/>
      <c r="K101" s="3"/>
      <c r="L101" s="3"/>
      <c r="M101" s="3"/>
      <c r="N101" s="8"/>
      <c r="P101" s="3"/>
      <c r="Q101" s="3"/>
      <c r="R101" s="8"/>
      <c r="S101" s="3"/>
      <c r="T101" s="3"/>
      <c r="U101" s="3"/>
      <c r="V101" s="8"/>
      <c r="W101" s="3"/>
      <c r="X101" s="3"/>
      <c r="Y101" s="3"/>
      <c r="Z101" s="8"/>
    </row>
    <row r="102" spans="1:26" x14ac:dyDescent="0.25">
      <c r="A102" s="9"/>
      <c r="B102" s="9"/>
      <c r="C102" s="9"/>
      <c r="D102" s="3"/>
      <c r="E102" s="3"/>
      <c r="F102" s="8"/>
      <c r="G102" s="3"/>
      <c r="H102" s="3"/>
      <c r="I102" s="3"/>
      <c r="J102" s="8"/>
      <c r="K102" s="3"/>
      <c r="L102" s="3"/>
      <c r="M102" s="3"/>
      <c r="N102" s="8"/>
      <c r="P102" s="3"/>
      <c r="Q102" s="3"/>
      <c r="R102" s="8"/>
      <c r="S102" s="3"/>
      <c r="T102" s="3"/>
      <c r="U102" s="3"/>
      <c r="V102" s="8"/>
      <c r="W102" s="3"/>
      <c r="X102" s="3"/>
      <c r="Y102" s="3"/>
      <c r="Z102" s="8"/>
    </row>
    <row r="103" spans="1:26" s="24" customFormat="1" ht="15.75" thickBot="1" x14ac:dyDescent="0.3">
      <c r="A103" s="11"/>
      <c r="B103" s="28" t="s">
        <v>293</v>
      </c>
      <c r="C103" s="28"/>
      <c r="D103" s="33">
        <f>SUM(D100:D102)</f>
        <v>-247086.45</v>
      </c>
      <c r="E103" s="14"/>
      <c r="F103" s="35">
        <f>IF(D$12=0,0,D103/D$12)</f>
        <v>-8.2057443360322004</v>
      </c>
      <c r="G103" s="14"/>
      <c r="H103" s="33">
        <f>SUM(H100:H102)</f>
        <v>-559063.06000000006</v>
      </c>
      <c r="I103" s="14"/>
      <c r="J103" s="35">
        <f>IF(H$12=0,0,H103/H$12)</f>
        <v>4.183385049804353</v>
      </c>
      <c r="K103" s="15"/>
      <c r="L103" s="33">
        <f>+D103-H103</f>
        <v>311976.61000000004</v>
      </c>
      <c r="M103" s="15"/>
      <c r="N103" s="35">
        <f>IF(H103=0,0,L103/H103)</f>
        <v>-0.55803474119717378</v>
      </c>
      <c r="O103" s="29"/>
      <c r="P103" s="33">
        <f>SUM(P100:P102)</f>
        <v>-2376029.9299999997</v>
      </c>
      <c r="Q103" s="14"/>
      <c r="R103" s="35">
        <f>IF(P$12=0,0,P103/P$12)</f>
        <v>-2.3248916140571976</v>
      </c>
      <c r="S103" s="14"/>
      <c r="T103" s="33">
        <f>SUM(T100:T102)</f>
        <v>514967.45999999996</v>
      </c>
      <c r="U103" s="14"/>
      <c r="V103" s="35">
        <f>IF(T$12=0,0,T103/T$12)</f>
        <v>5.6982156990262794E-2</v>
      </c>
      <c r="W103" s="15"/>
      <c r="X103" s="33">
        <f>+P103-T103</f>
        <v>-2890997.3899999997</v>
      </c>
      <c r="Y103" s="15"/>
      <c r="Z103" s="35">
        <f>IF(T103=0,0,X103/T103)</f>
        <v>-5.6139418789684301</v>
      </c>
    </row>
    <row r="104" spans="1:26" ht="15.75" thickTop="1" x14ac:dyDescent="0.25">
      <c r="A104" s="9"/>
      <c r="C104" s="9"/>
      <c r="D104" s="18"/>
      <c r="E104" s="18"/>
      <c r="G104" s="18"/>
      <c r="H104" s="18"/>
      <c r="I104" s="18"/>
      <c r="J104" s="43"/>
      <c r="K104" s="18"/>
      <c r="L104" s="18"/>
      <c r="M104" s="18"/>
      <c r="P104" s="18"/>
      <c r="Q104" s="18"/>
      <c r="R104" s="43"/>
      <c r="S104" s="18"/>
      <c r="T104" s="18"/>
      <c r="U104" s="18"/>
      <c r="V104" s="43"/>
      <c r="W104" s="18"/>
      <c r="X104" s="18"/>
    </row>
    <row r="105" spans="1:26" x14ac:dyDescent="0.25">
      <c r="A105" s="9"/>
      <c r="B105" s="56">
        <v>44454.698477546299</v>
      </c>
      <c r="D105" s="18"/>
      <c r="E105" s="18"/>
      <c r="G105" s="18"/>
      <c r="H105" s="18"/>
      <c r="I105" s="18"/>
      <c r="J105" s="43"/>
      <c r="K105" s="18"/>
      <c r="L105" s="18"/>
      <c r="M105" s="18"/>
      <c r="P105" s="18"/>
      <c r="Q105" s="18"/>
      <c r="R105" s="43"/>
      <c r="S105" s="18"/>
      <c r="T105" s="18"/>
      <c r="U105" s="18"/>
      <c r="V105" s="43"/>
      <c r="W105" s="18"/>
      <c r="X105" s="18"/>
    </row>
    <row r="106" spans="1:26" x14ac:dyDescent="0.25">
      <c r="A106" s="9"/>
      <c r="B106" s="55" t="s">
        <v>56</v>
      </c>
      <c r="D106" s="18"/>
      <c r="E106" s="18"/>
      <c r="G106" s="18"/>
      <c r="H106" s="18"/>
      <c r="I106" s="18"/>
      <c r="J106" s="43"/>
      <c r="K106" s="18"/>
      <c r="L106" s="18"/>
      <c r="M106" s="18"/>
      <c r="P106" s="18"/>
      <c r="Q106" s="18"/>
      <c r="R106" s="43"/>
      <c r="S106" s="18"/>
      <c r="T106" s="18"/>
      <c r="U106" s="18"/>
      <c r="V106" s="43"/>
      <c r="W106" s="18"/>
      <c r="X106" s="18"/>
    </row>
    <row r="107" spans="1:26" x14ac:dyDescent="0.25">
      <c r="A107" s="9"/>
      <c r="B107" s="60"/>
      <c r="D107" s="18"/>
      <c r="E107" s="18"/>
      <c r="G107" s="18"/>
      <c r="H107" s="18"/>
      <c r="I107" s="18"/>
      <c r="J107" s="43"/>
      <c r="K107" s="18"/>
      <c r="L107" s="18"/>
      <c r="M107" s="18"/>
      <c r="P107" s="18"/>
      <c r="Q107" s="18"/>
      <c r="R107" s="43"/>
      <c r="S107" s="18"/>
      <c r="T107" s="18"/>
      <c r="U107" s="18"/>
      <c r="V107" s="43"/>
      <c r="W107" s="18"/>
      <c r="X107" s="18"/>
    </row>
    <row r="108" spans="1:26" x14ac:dyDescent="0.25">
      <c r="D108" s="18"/>
      <c r="E108" s="18"/>
      <c r="G108" s="18"/>
      <c r="H108" s="18"/>
      <c r="I108" s="18"/>
      <c r="J108" s="43"/>
      <c r="K108" s="18"/>
      <c r="L108" s="18"/>
      <c r="M108" s="18"/>
      <c r="P108" s="18"/>
      <c r="Q108" s="18"/>
      <c r="R108" s="43"/>
      <c r="S108" s="18"/>
      <c r="T108" s="18"/>
      <c r="U108" s="18"/>
      <c r="V108" s="43"/>
      <c r="W108" s="18"/>
      <c r="X108" s="18"/>
    </row>
  </sheetData>
  <pageMargins left="0.25" right="0.25" top="0.75" bottom="0.75" header="0.3" footer="0.3"/>
  <pageSetup scale="55" fitToWidth="2" orientation="landscape"/>
  <drawing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>
    <tabColor rgb="FF92D050"/>
    <outlinePr summaryBelow="0" summaryRight="0"/>
  </sheetPr>
  <dimension ref="A2:Z58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62" t="s">
        <v>23</v>
      </c>
    </row>
    <row r="3" spans="1:26" x14ac:dyDescent="0.25">
      <c r="D3" s="62" t="s">
        <v>236</v>
      </c>
      <c r="E3" s="17"/>
      <c r="F3" s="46"/>
      <c r="G3" s="17"/>
      <c r="H3" s="17"/>
      <c r="I3" s="17"/>
      <c r="J3" s="38"/>
      <c r="K3" s="17"/>
      <c r="L3" s="17"/>
      <c r="M3" s="17"/>
      <c r="N3" s="46"/>
      <c r="O3" s="53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2" t="str">
        <f>CONCATENATE("Period ",RIGHT(202112,2),", ",2021)</f>
        <v>Period 12, 2021</v>
      </c>
      <c r="E4" s="17"/>
      <c r="F4" s="46"/>
      <c r="G4" s="17"/>
      <c r="H4" s="17"/>
      <c r="I4" s="17"/>
      <c r="J4" s="38"/>
      <c r="K4" s="17"/>
      <c r="L4" s="17"/>
      <c r="M4" s="17"/>
      <c r="N4" s="46"/>
      <c r="O4" s="53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4"/>
      <c r="D5" s="63">
        <v>44377</v>
      </c>
      <c r="E5" s="17"/>
      <c r="F5" s="46"/>
      <c r="G5" s="17"/>
      <c r="H5" s="17"/>
      <c r="I5" s="17"/>
      <c r="J5" s="38"/>
      <c r="K5" s="17"/>
      <c r="L5" s="17"/>
      <c r="M5" s="17"/>
      <c r="N5" s="46"/>
      <c r="O5" s="53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4"/>
      <c r="B6" s="48"/>
      <c r="C6" s="48"/>
      <c r="D6" s="24" t="str">
        <f>CONCATENATE("Department ","430", " - ", "Res Hall Management")</f>
        <v>Department 430 - Res Hall Management</v>
      </c>
      <c r="E6" s="17"/>
      <c r="F6" s="46"/>
      <c r="G6" s="17"/>
      <c r="H6" s="17"/>
      <c r="I6" s="17"/>
      <c r="J6" s="38"/>
      <c r="K6" s="17"/>
      <c r="L6" s="17"/>
      <c r="M6" s="17"/>
      <c r="N6" s="46"/>
      <c r="O6" s="54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9"/>
    </row>
    <row r="8" spans="1:26" x14ac:dyDescent="0.25">
      <c r="B8" s="59"/>
    </row>
    <row r="9" spans="1:26" x14ac:dyDescent="0.25">
      <c r="B9" s="9"/>
      <c r="C9" s="9"/>
      <c r="D9" s="16" t="s">
        <v>291</v>
      </c>
      <c r="E9" s="16"/>
      <c r="F9" s="39"/>
      <c r="G9" s="16"/>
      <c r="H9" s="16"/>
      <c r="I9" s="16"/>
      <c r="J9" s="49"/>
      <c r="K9" s="16"/>
      <c r="L9" s="16"/>
      <c r="M9" s="16"/>
      <c r="N9" s="39"/>
      <c r="P9" s="16" t="s">
        <v>39</v>
      </c>
      <c r="Q9" s="16"/>
      <c r="R9" s="39"/>
      <c r="S9" s="16"/>
      <c r="T9" s="16"/>
      <c r="U9" s="16"/>
      <c r="V9" s="49"/>
      <c r="W9" s="16"/>
      <c r="X9" s="16"/>
      <c r="Y9" s="16"/>
      <c r="Z9" s="39"/>
    </row>
    <row r="10" spans="1:26" x14ac:dyDescent="0.25">
      <c r="A10" s="11"/>
      <c r="B10" s="58"/>
      <c r="C10" s="11"/>
      <c r="D10" s="42" t="s">
        <v>57</v>
      </c>
      <c r="E10" s="36"/>
      <c r="F10" s="30" t="s">
        <v>40</v>
      </c>
      <c r="G10" s="36"/>
      <c r="H10" s="50" t="s">
        <v>237</v>
      </c>
      <c r="I10" s="36"/>
      <c r="J10" s="30" t="s">
        <v>40</v>
      </c>
      <c r="K10" s="11"/>
      <c r="L10" s="42" t="s">
        <v>126</v>
      </c>
      <c r="M10" s="11"/>
      <c r="N10" s="30" t="s">
        <v>257</v>
      </c>
      <c r="O10" s="11"/>
      <c r="P10" s="61" t="s">
        <v>57</v>
      </c>
      <c r="Q10" s="36"/>
      <c r="R10" s="30" t="s">
        <v>40</v>
      </c>
      <c r="S10" s="36"/>
      <c r="T10" s="50" t="s">
        <v>237</v>
      </c>
      <c r="U10" s="36"/>
      <c r="V10" s="30" t="s">
        <v>40</v>
      </c>
      <c r="W10" s="11"/>
      <c r="X10" s="42" t="s">
        <v>126</v>
      </c>
      <c r="Y10" s="11"/>
      <c r="Z10" s="30" t="s">
        <v>257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4" customFormat="1" x14ac:dyDescent="0.25">
      <c r="A12" s="11"/>
      <c r="B12" s="29" t="s">
        <v>139</v>
      </c>
      <c r="C12" s="11"/>
      <c r="D12" s="4">
        <f>SUM(0)</f>
        <v>0</v>
      </c>
      <c r="E12" s="4"/>
      <c r="F12" s="13"/>
      <c r="G12" s="4"/>
      <c r="H12" s="4">
        <f>SUM(0)</f>
        <v>0</v>
      </c>
      <c r="I12" s="4"/>
      <c r="J12" s="13"/>
      <c r="K12" s="4"/>
      <c r="L12" s="4">
        <f>+D12-H12</f>
        <v>0</v>
      </c>
      <c r="M12" s="4"/>
      <c r="N12" s="13">
        <f>IF(H12=0,0,L12/H12)</f>
        <v>0</v>
      </c>
      <c r="O12" s="11"/>
      <c r="P12" s="4">
        <f>SUM(0)</f>
        <v>0</v>
      </c>
      <c r="Q12" s="4"/>
      <c r="R12" s="13"/>
      <c r="S12" s="4"/>
      <c r="T12" s="4">
        <f>SUM(0)</f>
        <v>0</v>
      </c>
      <c r="U12" s="4"/>
      <c r="V12" s="13"/>
      <c r="W12" s="4"/>
      <c r="X12" s="4">
        <f>+P12-T12</f>
        <v>0</v>
      </c>
      <c r="Y12" s="4"/>
      <c r="Z12" s="13">
        <f>IF(T12=0,0,X12/T12)</f>
        <v>0</v>
      </c>
    </row>
    <row r="13" spans="1:26" x14ac:dyDescent="0.25">
      <c r="A13" s="9"/>
      <c r="B13" s="11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4" customFormat="1" x14ac:dyDescent="0.25">
      <c r="A14" s="11"/>
      <c r="B14" s="29" t="s">
        <v>256</v>
      </c>
      <c r="C14" s="11"/>
      <c r="D14" s="4">
        <f>SUM(0)</f>
        <v>0</v>
      </c>
      <c r="E14" s="4"/>
      <c r="F14" s="13">
        <f>IF(D$12=0,0,D14/D$12)</f>
        <v>0</v>
      </c>
      <c r="G14" s="4"/>
      <c r="H14" s="4">
        <f>SUM(0)</f>
        <v>0</v>
      </c>
      <c r="I14" s="4"/>
      <c r="J14" s="13">
        <f>IF(H$12=0,0,H14/H$12)</f>
        <v>0</v>
      </c>
      <c r="K14" s="4"/>
      <c r="L14" s="4">
        <f>+D14-H14</f>
        <v>0</v>
      </c>
      <c r="M14" s="4"/>
      <c r="N14" s="13">
        <f>IF(H14=0,0,L14/H14)</f>
        <v>0</v>
      </c>
      <c r="O14" s="11"/>
      <c r="P14" s="4">
        <f>SUM(0)</f>
        <v>0</v>
      </c>
      <c r="Q14" s="4"/>
      <c r="R14" s="13">
        <f>IF(P$12=0,0,P14/P$12)</f>
        <v>0</v>
      </c>
      <c r="S14" s="4"/>
      <c r="T14" s="4">
        <f>SUM(0)</f>
        <v>0</v>
      </c>
      <c r="U14" s="4"/>
      <c r="V14" s="13">
        <f>IF(T$12=0,0,T14/T$12)</f>
        <v>0</v>
      </c>
      <c r="W14" s="4"/>
      <c r="X14" s="4">
        <f>+P14-T14</f>
        <v>0</v>
      </c>
      <c r="Y14" s="4"/>
      <c r="Z14" s="13">
        <f>IF(T14=0,0,X14/T14)</f>
        <v>0</v>
      </c>
    </row>
    <row r="15" spans="1:26" x14ac:dyDescent="0.25">
      <c r="A15" s="9"/>
      <c r="B15" s="11"/>
      <c r="C15" s="11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1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4" customFormat="1" x14ac:dyDescent="0.25">
      <c r="A16" s="11"/>
      <c r="B16" s="28" t="s">
        <v>107</v>
      </c>
      <c r="C16" s="28"/>
      <c r="D16" s="21">
        <f>D12-D14</f>
        <v>0</v>
      </c>
      <c r="E16" s="14"/>
      <c r="F16" s="22">
        <f>IF(D$12=0,0,D16/D$12)</f>
        <v>0</v>
      </c>
      <c r="G16" s="14"/>
      <c r="H16" s="21">
        <f>H12-H14</f>
        <v>0</v>
      </c>
      <c r="I16" s="14"/>
      <c r="J16" s="22">
        <f>IF(H$12=0,0,H16/H$12)</f>
        <v>0</v>
      </c>
      <c r="K16" s="15"/>
      <c r="L16" s="21">
        <f>+D16-H16</f>
        <v>0</v>
      </c>
      <c r="M16" s="15"/>
      <c r="N16" s="22">
        <f>IF(H16=0,0,L16/H16)</f>
        <v>0</v>
      </c>
      <c r="O16" s="29"/>
      <c r="P16" s="21">
        <f>P12-P14</f>
        <v>0</v>
      </c>
      <c r="Q16" s="14"/>
      <c r="R16" s="22">
        <f>IF(P$12=0,0,P16/P$12)</f>
        <v>0</v>
      </c>
      <c r="S16" s="14"/>
      <c r="T16" s="21">
        <f>T12-T14</f>
        <v>0</v>
      </c>
      <c r="U16" s="14"/>
      <c r="V16" s="22">
        <f>IF(T$12=0,0,T16/T$12)</f>
        <v>0</v>
      </c>
      <c r="W16" s="15"/>
      <c r="X16" s="21">
        <f>+P16-T16</f>
        <v>0</v>
      </c>
      <c r="Y16" s="15"/>
      <c r="Z16" s="22">
        <f>IF(T16=0,0,X16/T16)</f>
        <v>0</v>
      </c>
    </row>
    <row r="17" spans="1:26" x14ac:dyDescent="0.25">
      <c r="A17" s="9"/>
      <c r="B17" s="11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4" customFormat="1" x14ac:dyDescent="0.25">
      <c r="A18" s="11"/>
      <c r="B18" s="29" t="s">
        <v>294</v>
      </c>
      <c r="C18" s="11"/>
      <c r="D18" s="20">
        <f>SUM(OSRRefD22x_0)</f>
        <v>15995.380000000001</v>
      </c>
      <c r="E18" s="20"/>
      <c r="F18" s="32">
        <f t="shared" ref="F18:F27" si="0">IF(D$12=0,0,D18/D$12)</f>
        <v>0</v>
      </c>
      <c r="G18" s="20"/>
      <c r="H18" s="20">
        <f>SUM(OSRRefH22x_0)</f>
        <v>13767.529999999999</v>
      </c>
      <c r="I18" s="20"/>
      <c r="J18" s="32">
        <f t="shared" ref="J18:J27" si="1">IF(H$12=0,0,H18/H$12)</f>
        <v>0</v>
      </c>
      <c r="K18" s="4"/>
      <c r="L18" s="20">
        <f t="shared" ref="L18:L27" si="2">+D18-H18</f>
        <v>2227.8500000000022</v>
      </c>
      <c r="M18" s="4"/>
      <c r="N18" s="32">
        <f t="shared" ref="N18:N27" si="3">IF(H18=0,0,L18/H18)</f>
        <v>0.16181914984024021</v>
      </c>
      <c r="O18" s="11"/>
      <c r="P18" s="20">
        <f>SUM(OSRRefP22x_0)</f>
        <v>206483.78000000003</v>
      </c>
      <c r="Q18" s="20"/>
      <c r="R18" s="32">
        <f t="shared" ref="R18:R27" si="4">IF(P$12=0,0,P18/P$12)</f>
        <v>0</v>
      </c>
      <c r="S18" s="20"/>
      <c r="T18" s="20">
        <f>SUM(OSRRefT22x_0)</f>
        <v>225107.52000000002</v>
      </c>
      <c r="U18" s="20"/>
      <c r="V18" s="32">
        <f t="shared" ref="V18:V27" si="5">IF(T$12=0,0,T18/T$12)</f>
        <v>0</v>
      </c>
      <c r="W18" s="4"/>
      <c r="X18" s="20">
        <f t="shared" ref="X18:X27" si="6">+P18-T18</f>
        <v>-18623.739999999991</v>
      </c>
      <c r="Y18" s="4"/>
      <c r="Z18" s="32">
        <f t="shared" ref="Z18:Z27" si="7">IF(T18=0,0,X18/T18)</f>
        <v>-8.2732642605631249E-2</v>
      </c>
    </row>
    <row r="19" spans="1:26" s="27" customFormat="1" outlineLevel="1" collapsed="1" x14ac:dyDescent="0.25">
      <c r="A19" s="26"/>
      <c r="B19" s="12" t="str">
        <f>CONCATENATE("     ","*Benefits                                         ")</f>
        <v xml:space="preserve">     *Benefits                                         </v>
      </c>
      <c r="C19" s="12"/>
      <c r="D19" s="1">
        <f>SUM(OSRRefD22_0x_0)</f>
        <v>6073.71</v>
      </c>
      <c r="E19" s="1"/>
      <c r="F19" s="5">
        <f t="shared" si="0"/>
        <v>0</v>
      </c>
      <c r="G19" s="1"/>
      <c r="H19" s="1">
        <f>SUM(OSRRefH22_0x_0)</f>
        <v>4941.3999999999996</v>
      </c>
      <c r="I19" s="1"/>
      <c r="J19" s="5">
        <f t="shared" si="1"/>
        <v>0</v>
      </c>
      <c r="K19" s="1"/>
      <c r="L19" s="1">
        <f t="shared" si="2"/>
        <v>1132.3100000000004</v>
      </c>
      <c r="M19" s="1"/>
      <c r="N19" s="5">
        <f t="shared" si="3"/>
        <v>0.22914760998907202</v>
      </c>
      <c r="O19" s="12"/>
      <c r="P19" s="1">
        <f>SUM(OSRRefP22_0x_0)</f>
        <v>69971.17</v>
      </c>
      <c r="Q19" s="1"/>
      <c r="R19" s="5">
        <f t="shared" si="4"/>
        <v>0</v>
      </c>
      <c r="S19" s="1"/>
      <c r="T19" s="1">
        <f>SUM(OSRRefT22_0x_0)</f>
        <v>70479.14</v>
      </c>
      <c r="U19" s="1"/>
      <c r="V19" s="5">
        <f t="shared" si="5"/>
        <v>0</v>
      </c>
      <c r="W19" s="1"/>
      <c r="X19" s="1">
        <f t="shared" si="6"/>
        <v>-507.97000000000116</v>
      </c>
      <c r="Y19" s="1"/>
      <c r="Z19" s="5">
        <f t="shared" si="7"/>
        <v>-7.2073807938065242E-3</v>
      </c>
    </row>
    <row r="20" spans="1:26" s="23" customFormat="1" hidden="1" outlineLevel="2" x14ac:dyDescent="0.25">
      <c r="A20" s="25"/>
      <c r="B20" s="10" t="str">
        <f>CONCATENATE("          ", "6111", " - ", "F.I.C.A.")</f>
        <v xml:space="preserve">          6111 - F.I.C.A.</v>
      </c>
      <c r="C20" s="10"/>
      <c r="D20" s="6">
        <v>691.15</v>
      </c>
      <c r="E20" s="2"/>
      <c r="F20" s="7">
        <f t="shared" si="0"/>
        <v>0</v>
      </c>
      <c r="G20" s="2"/>
      <c r="H20" s="6">
        <v>685.42</v>
      </c>
      <c r="I20" s="2"/>
      <c r="J20" s="7">
        <f t="shared" si="1"/>
        <v>0</v>
      </c>
      <c r="K20" s="2"/>
      <c r="L20" s="6">
        <f t="shared" si="2"/>
        <v>5.7300000000000182</v>
      </c>
      <c r="M20" s="2"/>
      <c r="N20" s="7">
        <f t="shared" si="3"/>
        <v>8.359837763706952E-3</v>
      </c>
      <c r="O20" s="10"/>
      <c r="P20" s="6">
        <v>9167.84</v>
      </c>
      <c r="Q20" s="2"/>
      <c r="R20" s="7">
        <f t="shared" si="4"/>
        <v>0</v>
      </c>
      <c r="S20" s="2"/>
      <c r="T20" s="6">
        <v>9246.1299999999992</v>
      </c>
      <c r="U20" s="2"/>
      <c r="V20" s="7">
        <f t="shared" si="5"/>
        <v>0</v>
      </c>
      <c r="W20" s="2"/>
      <c r="X20" s="6">
        <f t="shared" si="6"/>
        <v>-78.289999999999054</v>
      </c>
      <c r="Y20" s="2"/>
      <c r="Z20" s="7">
        <f t="shared" si="7"/>
        <v>-8.4673263300428462E-3</v>
      </c>
    </row>
    <row r="21" spans="1:26" s="23" customFormat="1" hidden="1" outlineLevel="2" x14ac:dyDescent="0.25">
      <c r="A21" s="25"/>
      <c r="B21" s="10" t="str">
        <f>CONCATENATE("          ", "6112", " - ", "COMPENSATION INSURANCE")</f>
        <v xml:space="preserve">          6112 - COMPENSATION INSURANCE</v>
      </c>
      <c r="C21" s="10"/>
      <c r="D21" s="6">
        <v>387.58</v>
      </c>
      <c r="E21" s="2"/>
      <c r="F21" s="7">
        <f t="shared" si="0"/>
        <v>0</v>
      </c>
      <c r="G21" s="2"/>
      <c r="H21" s="6">
        <v>347.63</v>
      </c>
      <c r="I21" s="2"/>
      <c r="J21" s="7">
        <f t="shared" si="1"/>
        <v>0</v>
      </c>
      <c r="K21" s="2"/>
      <c r="L21" s="6">
        <f t="shared" si="2"/>
        <v>39.949999999999989</v>
      </c>
      <c r="M21" s="2"/>
      <c r="N21" s="7">
        <f t="shared" si="3"/>
        <v>0.11492103673445903</v>
      </c>
      <c r="O21" s="10"/>
      <c r="P21" s="6">
        <v>5131.6499999999996</v>
      </c>
      <c r="Q21" s="2"/>
      <c r="R21" s="7">
        <f t="shared" si="4"/>
        <v>0</v>
      </c>
      <c r="S21" s="2"/>
      <c r="T21" s="6">
        <v>4099.1499999999996</v>
      </c>
      <c r="U21" s="2"/>
      <c r="V21" s="7">
        <f t="shared" si="5"/>
        <v>0</v>
      </c>
      <c r="W21" s="2"/>
      <c r="X21" s="6">
        <f t="shared" si="6"/>
        <v>1032.5</v>
      </c>
      <c r="Y21" s="2"/>
      <c r="Z21" s="7">
        <f t="shared" si="7"/>
        <v>0.25188148762548335</v>
      </c>
    </row>
    <row r="22" spans="1:26" s="23" customFormat="1" hidden="1" outlineLevel="2" x14ac:dyDescent="0.25">
      <c r="A22" s="25"/>
      <c r="B22" s="10" t="str">
        <f>CONCATENATE("          ", "6113", " - ", "GROUP INSURANCE")</f>
        <v xml:space="preserve">          6113 - GROUP INSURANCE</v>
      </c>
      <c r="C22" s="10"/>
      <c r="D22" s="6">
        <v>2691.73</v>
      </c>
      <c r="E22" s="2"/>
      <c r="F22" s="7">
        <f t="shared" si="0"/>
        <v>0</v>
      </c>
      <c r="G22" s="2"/>
      <c r="H22" s="6">
        <v>2737.9</v>
      </c>
      <c r="I22" s="2"/>
      <c r="J22" s="7">
        <f t="shared" si="1"/>
        <v>0</v>
      </c>
      <c r="K22" s="2"/>
      <c r="L22" s="6">
        <f t="shared" si="2"/>
        <v>-46.170000000000073</v>
      </c>
      <c r="M22" s="2"/>
      <c r="N22" s="7">
        <f t="shared" si="3"/>
        <v>-1.686328938237338E-2</v>
      </c>
      <c r="O22" s="10"/>
      <c r="P22" s="6">
        <v>32577.78</v>
      </c>
      <c r="Q22" s="2"/>
      <c r="R22" s="7">
        <f t="shared" si="4"/>
        <v>0</v>
      </c>
      <c r="S22" s="2"/>
      <c r="T22" s="6">
        <v>32811</v>
      </c>
      <c r="U22" s="2"/>
      <c r="V22" s="7">
        <f t="shared" si="5"/>
        <v>0</v>
      </c>
      <c r="W22" s="2"/>
      <c r="X22" s="6">
        <f t="shared" si="6"/>
        <v>-233.22000000000116</v>
      </c>
      <c r="Y22" s="2"/>
      <c r="Z22" s="7">
        <f t="shared" si="7"/>
        <v>-7.1079820791807979E-3</v>
      </c>
    </row>
    <row r="23" spans="1:26" s="23" customFormat="1" hidden="1" outlineLevel="2" x14ac:dyDescent="0.25">
      <c r="A23" s="25"/>
      <c r="B23" s="10" t="str">
        <f>CONCATENATE("          ", "6114", " - ", "STATE UNEMPLOYMENT INSURANCE")</f>
        <v xml:space="preserve">          6114 - STATE UNEMPLOYMENT INSURANCE</v>
      </c>
      <c r="C23" s="10"/>
      <c r="D23" s="6">
        <v>23.49</v>
      </c>
      <c r="E23" s="2"/>
      <c r="F23" s="7">
        <f t="shared" si="0"/>
        <v>0</v>
      </c>
      <c r="G23" s="2"/>
      <c r="H23" s="6">
        <v>-290.45</v>
      </c>
      <c r="I23" s="2"/>
      <c r="J23" s="7">
        <f t="shared" si="1"/>
        <v>0</v>
      </c>
      <c r="K23" s="2"/>
      <c r="L23" s="6">
        <f t="shared" si="2"/>
        <v>313.94</v>
      </c>
      <c r="M23" s="2"/>
      <c r="N23" s="7">
        <f t="shared" si="3"/>
        <v>-1.0808745050783268</v>
      </c>
      <c r="O23" s="10"/>
      <c r="P23" s="6">
        <v>310.99</v>
      </c>
      <c r="Q23" s="2"/>
      <c r="R23" s="7">
        <f t="shared" si="4"/>
        <v>0</v>
      </c>
      <c r="S23" s="2"/>
      <c r="T23" s="6">
        <v>0</v>
      </c>
      <c r="U23" s="2"/>
      <c r="V23" s="7">
        <f t="shared" si="5"/>
        <v>0</v>
      </c>
      <c r="W23" s="2"/>
      <c r="X23" s="6">
        <f t="shared" si="6"/>
        <v>310.99</v>
      </c>
      <c r="Y23" s="2"/>
      <c r="Z23" s="7">
        <f t="shared" si="7"/>
        <v>0</v>
      </c>
    </row>
    <row r="24" spans="1:26" s="23" customFormat="1" hidden="1" outlineLevel="2" x14ac:dyDescent="0.25">
      <c r="A24" s="25"/>
      <c r="B24" s="10" t="str">
        <f>CONCATENATE("          ", "6115", " - ", "P.E.R.S.")</f>
        <v xml:space="preserve">          6115 - P.E.R.S.</v>
      </c>
      <c r="C24" s="10"/>
      <c r="D24" s="6">
        <v>1038.8599999999999</v>
      </c>
      <c r="E24" s="2"/>
      <c r="F24" s="7">
        <f t="shared" si="0"/>
        <v>0</v>
      </c>
      <c r="G24" s="2"/>
      <c r="H24" s="6">
        <v>625.82000000000005</v>
      </c>
      <c r="I24" s="2"/>
      <c r="J24" s="7">
        <f t="shared" si="1"/>
        <v>0</v>
      </c>
      <c r="K24" s="2"/>
      <c r="L24" s="6">
        <f t="shared" si="2"/>
        <v>413.03999999999985</v>
      </c>
      <c r="M24" s="2"/>
      <c r="N24" s="7">
        <f t="shared" si="3"/>
        <v>0.6599980825157391</v>
      </c>
      <c r="O24" s="10"/>
      <c r="P24" s="6">
        <v>9349.7099999999991</v>
      </c>
      <c r="Q24" s="2"/>
      <c r="R24" s="7">
        <f t="shared" si="4"/>
        <v>0</v>
      </c>
      <c r="S24" s="2"/>
      <c r="T24" s="6">
        <v>7339.19</v>
      </c>
      <c r="U24" s="2"/>
      <c r="V24" s="7">
        <f t="shared" si="5"/>
        <v>0</v>
      </c>
      <c r="W24" s="2"/>
      <c r="X24" s="6">
        <f t="shared" si="6"/>
        <v>2010.5199999999995</v>
      </c>
      <c r="Y24" s="2"/>
      <c r="Z24" s="7">
        <f t="shared" si="7"/>
        <v>0.27394303731065683</v>
      </c>
    </row>
    <row r="25" spans="1:26" s="23" customFormat="1" hidden="1" outlineLevel="2" x14ac:dyDescent="0.25">
      <c r="A25" s="25"/>
      <c r="B25" s="10" t="str">
        <f>CONCATENATE("          ", "6118", " - ", "VACATION")</f>
        <v xml:space="preserve">          6118 - VACATION</v>
      </c>
      <c r="C25" s="10"/>
      <c r="D25" s="6">
        <v>827.64</v>
      </c>
      <c r="E25" s="2"/>
      <c r="F25" s="7">
        <f t="shared" si="0"/>
        <v>0</v>
      </c>
      <c r="G25" s="2"/>
      <c r="H25" s="6">
        <v>413.82</v>
      </c>
      <c r="I25" s="2"/>
      <c r="J25" s="7">
        <f t="shared" si="1"/>
        <v>0</v>
      </c>
      <c r="K25" s="2"/>
      <c r="L25" s="6">
        <f t="shared" si="2"/>
        <v>413.82</v>
      </c>
      <c r="M25" s="2"/>
      <c r="N25" s="7">
        <f t="shared" si="3"/>
        <v>1</v>
      </c>
      <c r="O25" s="10"/>
      <c r="P25" s="6">
        <v>7892.82</v>
      </c>
      <c r="Q25" s="2"/>
      <c r="R25" s="7">
        <f t="shared" si="4"/>
        <v>0</v>
      </c>
      <c r="S25" s="2"/>
      <c r="T25" s="6">
        <v>9601.31</v>
      </c>
      <c r="U25" s="2"/>
      <c r="V25" s="7">
        <f t="shared" si="5"/>
        <v>0</v>
      </c>
      <c r="W25" s="2"/>
      <c r="X25" s="6">
        <f t="shared" si="6"/>
        <v>-1708.4899999999998</v>
      </c>
      <c r="Y25" s="2"/>
      <c r="Z25" s="7">
        <f t="shared" si="7"/>
        <v>-0.17794342646992961</v>
      </c>
    </row>
    <row r="26" spans="1:26" s="23" customFormat="1" hidden="1" outlineLevel="2" x14ac:dyDescent="0.25">
      <c r="A26" s="25"/>
      <c r="B26" s="10" t="str">
        <f>CONCATENATE("          ", "6119", " - ", "SICK LEAVE")</f>
        <v xml:space="preserve">          6119 - SICK LEAVE</v>
      </c>
      <c r="C26" s="10"/>
      <c r="D26" s="6">
        <v>413.26</v>
      </c>
      <c r="E26" s="2"/>
      <c r="F26" s="7">
        <f t="shared" si="0"/>
        <v>0</v>
      </c>
      <c r="G26" s="2"/>
      <c r="H26" s="6">
        <v>413.26</v>
      </c>
      <c r="I26" s="2"/>
      <c r="J26" s="7">
        <f t="shared" si="1"/>
        <v>0</v>
      </c>
      <c r="K26" s="2"/>
      <c r="L26" s="6">
        <f t="shared" si="2"/>
        <v>0</v>
      </c>
      <c r="M26" s="2"/>
      <c r="N26" s="7">
        <f t="shared" si="3"/>
        <v>0</v>
      </c>
      <c r="O26" s="10"/>
      <c r="P26" s="6">
        <v>5372.38</v>
      </c>
      <c r="Q26" s="2"/>
      <c r="R26" s="7">
        <f t="shared" si="4"/>
        <v>0</v>
      </c>
      <c r="S26" s="2"/>
      <c r="T26" s="6">
        <v>6149.77</v>
      </c>
      <c r="U26" s="2"/>
      <c r="V26" s="7">
        <f t="shared" si="5"/>
        <v>0</v>
      </c>
      <c r="W26" s="2"/>
      <c r="X26" s="6">
        <f t="shared" si="6"/>
        <v>-777.39000000000033</v>
      </c>
      <c r="Y26" s="2"/>
      <c r="Z26" s="7">
        <f t="shared" si="7"/>
        <v>-0.12640960556248448</v>
      </c>
    </row>
    <row r="27" spans="1:26" s="23" customFormat="1" hidden="1" outlineLevel="2" x14ac:dyDescent="0.25">
      <c r="A27" s="25"/>
      <c r="B27" s="10" t="str">
        <f>CONCATENATE("          ", "6156", " - ", "EMPLOYEE MEALS")</f>
        <v xml:space="preserve">          6156 - EMPLOYEE MEALS</v>
      </c>
      <c r="C27" s="10"/>
      <c r="D27" s="6"/>
      <c r="E27" s="2"/>
      <c r="F27" s="7">
        <f t="shared" si="0"/>
        <v>0</v>
      </c>
      <c r="G27" s="2"/>
      <c r="H27" s="6">
        <v>8</v>
      </c>
      <c r="I27" s="2"/>
      <c r="J27" s="7">
        <f t="shared" si="1"/>
        <v>0</v>
      </c>
      <c r="K27" s="2"/>
      <c r="L27" s="6">
        <f t="shared" si="2"/>
        <v>-8</v>
      </c>
      <c r="M27" s="2"/>
      <c r="N27" s="7">
        <f t="shared" si="3"/>
        <v>-1</v>
      </c>
      <c r="O27" s="10"/>
      <c r="P27" s="6">
        <v>168</v>
      </c>
      <c r="Q27" s="2"/>
      <c r="R27" s="7">
        <f t="shared" si="4"/>
        <v>0</v>
      </c>
      <c r="S27" s="2"/>
      <c r="T27" s="6">
        <v>1232.5899999999999</v>
      </c>
      <c r="U27" s="2"/>
      <c r="V27" s="7">
        <f t="shared" si="5"/>
        <v>0</v>
      </c>
      <c r="W27" s="2"/>
      <c r="X27" s="6">
        <f t="shared" si="6"/>
        <v>-1064.5899999999999</v>
      </c>
      <c r="Y27" s="2"/>
      <c r="Z27" s="7">
        <f t="shared" si="7"/>
        <v>-0.86370163639166309</v>
      </c>
    </row>
    <row r="28" spans="1:26" s="27" customFormat="1" outlineLevel="1" collapsed="1" x14ac:dyDescent="0.25">
      <c r="A28" s="26"/>
      <c r="B28" s="12" t="str">
        <f>CONCATENATE("     ","*Payroll                                          ")</f>
        <v xml:space="preserve">     *Payroll                                          </v>
      </c>
      <c r="C28" s="12"/>
      <c r="D28" s="1">
        <f>SUM(OSRRefD22_1x_0)</f>
        <v>6271.67</v>
      </c>
      <c r="E28" s="1"/>
      <c r="F28" s="5">
        <f t="shared" ref="F28:F36" si="8">IF(D$12=0,0,D28/D$12)</f>
        <v>0</v>
      </c>
      <c r="G28" s="1"/>
      <c r="H28" s="1">
        <f>SUM(OSRRefH22_1x_0)</f>
        <v>8511.56</v>
      </c>
      <c r="I28" s="1"/>
      <c r="J28" s="5">
        <f t="shared" ref="J28:J36" si="9">IF(H$12=0,0,H28/H$12)</f>
        <v>0</v>
      </c>
      <c r="K28" s="1"/>
      <c r="L28" s="1">
        <f t="shared" ref="L28:L36" si="10">+D28-H28</f>
        <v>-2239.8899999999994</v>
      </c>
      <c r="M28" s="1"/>
      <c r="N28" s="5">
        <f t="shared" ref="N28:N36" si="11">IF(H28=0,0,L28/H28)</f>
        <v>-0.26315857492633543</v>
      </c>
      <c r="O28" s="12"/>
      <c r="P28" s="1">
        <f>SUM(OSRRefP22_1x_0)</f>
        <v>106395.53</v>
      </c>
      <c r="Q28" s="1"/>
      <c r="R28" s="5">
        <f t="shared" ref="R28:R36" si="12">IF(P$12=0,0,P28/P$12)</f>
        <v>0</v>
      </c>
      <c r="S28" s="1"/>
      <c r="T28" s="1">
        <f>SUM(OSRRefT22_1x_0)</f>
        <v>100143.27</v>
      </c>
      <c r="U28" s="1"/>
      <c r="V28" s="5">
        <f t="shared" ref="V28:V36" si="13">IF(T$12=0,0,T28/T$12)</f>
        <v>0</v>
      </c>
      <c r="W28" s="1"/>
      <c r="X28" s="1">
        <f t="shared" ref="X28:X36" si="14">+P28-T28</f>
        <v>6252.2599999999948</v>
      </c>
      <c r="Y28" s="1"/>
      <c r="Z28" s="5">
        <f t="shared" ref="Z28:Z36" si="15">IF(T28=0,0,X28/T28)</f>
        <v>6.2433152023096454E-2</v>
      </c>
    </row>
    <row r="29" spans="1:26" s="23" customFormat="1" hidden="1" outlineLevel="2" x14ac:dyDescent="0.25">
      <c r="A29" s="25"/>
      <c r="B29" s="10" t="str">
        <f>CONCATENATE("          ", "6001", " - ", "ADMINISTRATIVE SALARIES")</f>
        <v xml:space="preserve">          6001 - ADMINISTRATIVE SALARIES</v>
      </c>
      <c r="C29" s="10"/>
      <c r="D29" s="6">
        <v>6271.67</v>
      </c>
      <c r="E29" s="2"/>
      <c r="F29" s="7">
        <f t="shared" si="8"/>
        <v>0</v>
      </c>
      <c r="G29" s="2"/>
      <c r="H29" s="6">
        <v>8511.56</v>
      </c>
      <c r="I29" s="2"/>
      <c r="J29" s="7">
        <f t="shared" si="9"/>
        <v>0</v>
      </c>
      <c r="K29" s="2"/>
      <c r="L29" s="6">
        <f t="shared" si="10"/>
        <v>-2239.8899999999994</v>
      </c>
      <c r="M29" s="2"/>
      <c r="N29" s="7">
        <f t="shared" si="11"/>
        <v>-0.26315857492633543</v>
      </c>
      <c r="O29" s="10"/>
      <c r="P29" s="6">
        <v>106395.53</v>
      </c>
      <c r="Q29" s="2"/>
      <c r="R29" s="7">
        <f t="shared" si="12"/>
        <v>0</v>
      </c>
      <c r="S29" s="2"/>
      <c r="T29" s="6">
        <v>100143.27</v>
      </c>
      <c r="U29" s="2"/>
      <c r="V29" s="7">
        <f t="shared" si="13"/>
        <v>0</v>
      </c>
      <c r="W29" s="2"/>
      <c r="X29" s="6">
        <f t="shared" si="14"/>
        <v>6252.2599999999948</v>
      </c>
      <c r="Y29" s="2"/>
      <c r="Z29" s="7">
        <f t="shared" si="15"/>
        <v>6.2433152023096454E-2</v>
      </c>
    </row>
    <row r="30" spans="1:26" s="27" customFormat="1" outlineLevel="1" collapsed="1" x14ac:dyDescent="0.25">
      <c r="A30" s="26"/>
      <c r="B30" s="12" t="str">
        <f>CONCATENATE("     ","General                                           ")</f>
        <v xml:space="preserve">     General                                           </v>
      </c>
      <c r="C30" s="12"/>
      <c r="D30" s="1">
        <f>SUM(OSRRefD22_2x_0)</f>
        <v>0</v>
      </c>
      <c r="E30" s="1"/>
      <c r="F30" s="5">
        <f t="shared" si="8"/>
        <v>0</v>
      </c>
      <c r="G30" s="1"/>
      <c r="H30" s="1">
        <f>SUM(OSRRefH22_2x_0)</f>
        <v>0</v>
      </c>
      <c r="I30" s="1"/>
      <c r="J30" s="5">
        <f t="shared" si="9"/>
        <v>0</v>
      </c>
      <c r="K30" s="1"/>
      <c r="L30" s="1">
        <f t="shared" si="10"/>
        <v>0</v>
      </c>
      <c r="M30" s="1"/>
      <c r="N30" s="5">
        <f t="shared" si="11"/>
        <v>0</v>
      </c>
      <c r="O30" s="12"/>
      <c r="P30" s="1">
        <f>SUM(OSRRefP22_2x_0)</f>
        <v>1.65</v>
      </c>
      <c r="Q30" s="1"/>
      <c r="R30" s="5">
        <f t="shared" si="12"/>
        <v>0</v>
      </c>
      <c r="S30" s="1"/>
      <c r="T30" s="1">
        <f>SUM(OSRRefT22_2x_0)</f>
        <v>293.82</v>
      </c>
      <c r="U30" s="1"/>
      <c r="V30" s="5">
        <f t="shared" si="13"/>
        <v>0</v>
      </c>
      <c r="W30" s="1"/>
      <c r="X30" s="1">
        <f t="shared" si="14"/>
        <v>-292.17</v>
      </c>
      <c r="Y30" s="1"/>
      <c r="Z30" s="5">
        <f t="shared" si="15"/>
        <v>-0.99438431692873197</v>
      </c>
    </row>
    <row r="31" spans="1:26" s="23" customFormat="1" hidden="1" outlineLevel="2" x14ac:dyDescent="0.25">
      <c r="A31" s="25"/>
      <c r="B31" s="10" t="str">
        <f>CONCATENATE("          ", "6279", " - ", "GENERAL EXPENSE")</f>
        <v xml:space="preserve">          6279 - GENERAL EXPENSE</v>
      </c>
      <c r="C31" s="10"/>
      <c r="D31" s="6"/>
      <c r="E31" s="2"/>
      <c r="F31" s="7">
        <f t="shared" si="8"/>
        <v>0</v>
      </c>
      <c r="G31" s="2"/>
      <c r="H31" s="6"/>
      <c r="I31" s="2"/>
      <c r="J31" s="7">
        <f t="shared" si="9"/>
        <v>0</v>
      </c>
      <c r="K31" s="2"/>
      <c r="L31" s="6">
        <f t="shared" si="10"/>
        <v>0</v>
      </c>
      <c r="M31" s="2"/>
      <c r="N31" s="7">
        <f t="shared" si="11"/>
        <v>0</v>
      </c>
      <c r="O31" s="10"/>
      <c r="P31" s="6">
        <v>1.65</v>
      </c>
      <c r="Q31" s="2"/>
      <c r="R31" s="7">
        <f t="shared" si="12"/>
        <v>0</v>
      </c>
      <c r="S31" s="2"/>
      <c r="T31" s="6">
        <v>293.82</v>
      </c>
      <c r="U31" s="2"/>
      <c r="V31" s="7">
        <f t="shared" si="13"/>
        <v>0</v>
      </c>
      <c r="W31" s="2"/>
      <c r="X31" s="6">
        <f t="shared" si="14"/>
        <v>-292.17</v>
      </c>
      <c r="Y31" s="2"/>
      <c r="Z31" s="7">
        <f t="shared" si="15"/>
        <v>-0.99438431692873197</v>
      </c>
    </row>
    <row r="32" spans="1:26" s="27" customFormat="1" outlineLevel="1" collapsed="1" x14ac:dyDescent="0.25">
      <c r="A32" s="26"/>
      <c r="B32" s="12" t="str">
        <f>CONCATENATE("     ","Repair and Maintenance                            ")</f>
        <v xml:space="preserve">     Repair and Maintenance                            </v>
      </c>
      <c r="C32" s="12"/>
      <c r="D32" s="1">
        <f>SUM(OSRRefD22_3x_0)</f>
        <v>3500</v>
      </c>
      <c r="E32" s="1"/>
      <c r="F32" s="5">
        <f t="shared" si="8"/>
        <v>0</v>
      </c>
      <c r="G32" s="1"/>
      <c r="H32" s="1">
        <f>SUM(OSRRefH22_3x_0)</f>
        <v>0</v>
      </c>
      <c r="I32" s="1"/>
      <c r="J32" s="5">
        <f t="shared" si="9"/>
        <v>0</v>
      </c>
      <c r="K32" s="1"/>
      <c r="L32" s="1">
        <f t="shared" si="10"/>
        <v>3500</v>
      </c>
      <c r="M32" s="1"/>
      <c r="N32" s="5">
        <f t="shared" si="11"/>
        <v>0</v>
      </c>
      <c r="O32" s="12"/>
      <c r="P32" s="1">
        <f>SUM(OSRRefP22_3x_0)</f>
        <v>24500</v>
      </c>
      <c r="Q32" s="1"/>
      <c r="R32" s="5">
        <f t="shared" si="12"/>
        <v>0</v>
      </c>
      <c r="S32" s="1"/>
      <c r="T32" s="1">
        <f>SUM(OSRRefT22_3x_0)</f>
        <v>46585.43</v>
      </c>
      <c r="U32" s="1"/>
      <c r="V32" s="5">
        <f t="shared" si="13"/>
        <v>0</v>
      </c>
      <c r="W32" s="1"/>
      <c r="X32" s="1">
        <f t="shared" si="14"/>
        <v>-22085.43</v>
      </c>
      <c r="Y32" s="1"/>
      <c r="Z32" s="5">
        <f t="shared" si="15"/>
        <v>-0.47408449379988549</v>
      </c>
    </row>
    <row r="33" spans="1:26" s="23" customFormat="1" hidden="1" outlineLevel="2" x14ac:dyDescent="0.25">
      <c r="A33" s="25"/>
      <c r="B33" s="10" t="str">
        <f>CONCATENATE("          ", "6371", " - ", "COMPUTER SOFTWARE MAINTENANCE")</f>
        <v xml:space="preserve">          6371 - COMPUTER SOFTWARE MAINTENANCE</v>
      </c>
      <c r="C33" s="10"/>
      <c r="D33" s="6">
        <v>3500</v>
      </c>
      <c r="E33" s="2"/>
      <c r="F33" s="7">
        <f t="shared" si="8"/>
        <v>0</v>
      </c>
      <c r="G33" s="2"/>
      <c r="H33" s="6"/>
      <c r="I33" s="2"/>
      <c r="J33" s="7">
        <f t="shared" si="9"/>
        <v>0</v>
      </c>
      <c r="K33" s="2"/>
      <c r="L33" s="6">
        <f t="shared" si="10"/>
        <v>3500</v>
      </c>
      <c r="M33" s="2"/>
      <c r="N33" s="7">
        <f t="shared" si="11"/>
        <v>0</v>
      </c>
      <c r="O33" s="10"/>
      <c r="P33" s="6">
        <v>24500</v>
      </c>
      <c r="Q33" s="2"/>
      <c r="R33" s="7">
        <f t="shared" si="12"/>
        <v>0</v>
      </c>
      <c r="S33" s="2"/>
      <c r="T33" s="6">
        <v>46585.43</v>
      </c>
      <c r="U33" s="2"/>
      <c r="V33" s="7">
        <f t="shared" si="13"/>
        <v>0</v>
      </c>
      <c r="W33" s="2"/>
      <c r="X33" s="6">
        <f t="shared" si="14"/>
        <v>-22085.43</v>
      </c>
      <c r="Y33" s="2"/>
      <c r="Z33" s="7">
        <f t="shared" si="15"/>
        <v>-0.47408449379988549</v>
      </c>
    </row>
    <row r="34" spans="1:26" s="27" customFormat="1" outlineLevel="1" collapsed="1" x14ac:dyDescent="0.25">
      <c r="A34" s="26"/>
      <c r="B34" s="12" t="str">
        <f>CONCATENATE("     ","Supplies                                          ")</f>
        <v xml:space="preserve">     Supplies                                          </v>
      </c>
      <c r="C34" s="12"/>
      <c r="D34" s="1">
        <f>SUM(OSRRefD22_4x_0)</f>
        <v>0</v>
      </c>
      <c r="E34" s="1"/>
      <c r="F34" s="5">
        <f t="shared" si="8"/>
        <v>0</v>
      </c>
      <c r="G34" s="1"/>
      <c r="H34" s="1">
        <f>SUM(OSRRefH22_4x_0)</f>
        <v>264.57</v>
      </c>
      <c r="I34" s="1"/>
      <c r="J34" s="5">
        <f t="shared" si="9"/>
        <v>0</v>
      </c>
      <c r="K34" s="1"/>
      <c r="L34" s="1">
        <f t="shared" si="10"/>
        <v>-264.57</v>
      </c>
      <c r="M34" s="1"/>
      <c r="N34" s="5">
        <f t="shared" si="11"/>
        <v>-1</v>
      </c>
      <c r="O34" s="12"/>
      <c r="P34" s="1">
        <f>SUM(OSRRefP22_4x_0)</f>
        <v>4939.2</v>
      </c>
      <c r="Q34" s="1"/>
      <c r="R34" s="5">
        <f t="shared" si="12"/>
        <v>0</v>
      </c>
      <c r="S34" s="1"/>
      <c r="T34" s="1">
        <f>SUM(OSRRefT22_4x_0)</f>
        <v>4729.8899999999994</v>
      </c>
      <c r="U34" s="1"/>
      <c r="V34" s="5">
        <f t="shared" si="13"/>
        <v>0</v>
      </c>
      <c r="W34" s="1"/>
      <c r="X34" s="1">
        <f t="shared" si="14"/>
        <v>209.3100000000004</v>
      </c>
      <c r="Y34" s="1"/>
      <c r="Z34" s="5">
        <f t="shared" si="15"/>
        <v>4.4252614754254418E-2</v>
      </c>
    </row>
    <row r="35" spans="1:26" s="23" customFormat="1" hidden="1" outlineLevel="2" x14ac:dyDescent="0.25">
      <c r="A35" s="25"/>
      <c r="B35" s="10" t="str">
        <f>CONCATENATE("          ", "6235", " - ", "COVID-19 EXPENSES")</f>
        <v xml:space="preserve">          6235 - COVID-19 EXPENSES</v>
      </c>
      <c r="C35" s="10"/>
      <c r="D35" s="6"/>
      <c r="E35" s="2"/>
      <c r="F35" s="7">
        <f t="shared" si="8"/>
        <v>0</v>
      </c>
      <c r="G35" s="2"/>
      <c r="H35" s="6"/>
      <c r="I35" s="2"/>
      <c r="J35" s="7">
        <f t="shared" si="9"/>
        <v>0</v>
      </c>
      <c r="K35" s="2"/>
      <c r="L35" s="6">
        <f t="shared" si="10"/>
        <v>0</v>
      </c>
      <c r="M35" s="2"/>
      <c r="N35" s="7">
        <f t="shared" si="11"/>
        <v>0</v>
      </c>
      <c r="O35" s="10"/>
      <c r="P35" s="6">
        <v>4939.2</v>
      </c>
      <c r="Q35" s="2"/>
      <c r="R35" s="7">
        <f t="shared" si="12"/>
        <v>0</v>
      </c>
      <c r="S35" s="2"/>
      <c r="T35" s="6">
        <v>529.20000000000005</v>
      </c>
      <c r="U35" s="2"/>
      <c r="V35" s="7">
        <f t="shared" si="13"/>
        <v>0</v>
      </c>
      <c r="W35" s="2"/>
      <c r="X35" s="6">
        <f t="shared" si="14"/>
        <v>4410</v>
      </c>
      <c r="Y35" s="2"/>
      <c r="Z35" s="7">
        <f t="shared" si="15"/>
        <v>8.3333333333333321</v>
      </c>
    </row>
    <row r="36" spans="1:26" s="23" customFormat="1" hidden="1" outlineLevel="2" x14ac:dyDescent="0.25">
      <c r="A36" s="25"/>
      <c r="B36" s="10" t="str">
        <f>CONCATENATE("          ", "6241", " - ", "OFFICE EXPENSE")</f>
        <v xml:space="preserve">          6241 - OFFICE EXPENSE</v>
      </c>
      <c r="C36" s="10"/>
      <c r="D36" s="6"/>
      <c r="E36" s="2"/>
      <c r="F36" s="7">
        <f t="shared" si="8"/>
        <v>0</v>
      </c>
      <c r="G36" s="2"/>
      <c r="H36" s="6">
        <v>264.57</v>
      </c>
      <c r="I36" s="2"/>
      <c r="J36" s="7">
        <f t="shared" si="9"/>
        <v>0</v>
      </c>
      <c r="K36" s="2"/>
      <c r="L36" s="6">
        <f t="shared" si="10"/>
        <v>-264.57</v>
      </c>
      <c r="M36" s="2"/>
      <c r="N36" s="7">
        <f t="shared" si="11"/>
        <v>-1</v>
      </c>
      <c r="O36" s="10"/>
      <c r="P36" s="6"/>
      <c r="Q36" s="2"/>
      <c r="R36" s="7">
        <f t="shared" si="12"/>
        <v>0</v>
      </c>
      <c r="S36" s="2"/>
      <c r="T36" s="6">
        <v>4200.6899999999996</v>
      </c>
      <c r="U36" s="2"/>
      <c r="V36" s="7">
        <f t="shared" si="13"/>
        <v>0</v>
      </c>
      <c r="W36" s="2"/>
      <c r="X36" s="6">
        <f t="shared" si="14"/>
        <v>-4200.6899999999996</v>
      </c>
      <c r="Y36" s="2"/>
      <c r="Z36" s="7">
        <f t="shared" si="15"/>
        <v>-1</v>
      </c>
    </row>
    <row r="37" spans="1:26" s="27" customFormat="1" outlineLevel="1" collapsed="1" x14ac:dyDescent="0.25">
      <c r="A37" s="26"/>
      <c r="B37" s="12" t="str">
        <f>CONCATENATE("     ","Telephone/Data Lines                              ")</f>
        <v xml:space="preserve">     Telephone/Data Lines                              </v>
      </c>
      <c r="C37" s="12"/>
      <c r="D37" s="1">
        <f>SUM(OSRRefD22_5x_0)</f>
        <v>150</v>
      </c>
      <c r="E37" s="1"/>
      <c r="F37" s="5">
        <f t="shared" ref="F37:F42" si="16">IF(D$12=0,0,D37/D$12)</f>
        <v>0</v>
      </c>
      <c r="G37" s="1"/>
      <c r="H37" s="1">
        <f>SUM(OSRRefH22_5x_0)</f>
        <v>50</v>
      </c>
      <c r="I37" s="1"/>
      <c r="J37" s="5">
        <f t="shared" ref="J37:J42" si="17">IF(H$12=0,0,H37/H$12)</f>
        <v>0</v>
      </c>
      <c r="K37" s="1"/>
      <c r="L37" s="1">
        <f t="shared" ref="L37:L42" si="18">+D37-H37</f>
        <v>100</v>
      </c>
      <c r="M37" s="1"/>
      <c r="N37" s="5">
        <f t="shared" ref="N37:N42" si="19">IF(H37=0,0,L37/H37)</f>
        <v>2</v>
      </c>
      <c r="O37" s="12"/>
      <c r="P37" s="1">
        <f>SUM(OSRRefP22_5x_0)</f>
        <v>625</v>
      </c>
      <c r="Q37" s="1"/>
      <c r="R37" s="5">
        <f t="shared" ref="R37:R42" si="20">IF(P$12=0,0,P37/P$12)</f>
        <v>0</v>
      </c>
      <c r="S37" s="1"/>
      <c r="T37" s="1">
        <f>SUM(OSRRefT22_5x_0)</f>
        <v>-400</v>
      </c>
      <c r="U37" s="1"/>
      <c r="V37" s="5">
        <f t="shared" ref="V37:V42" si="21">IF(T$12=0,0,T37/T$12)</f>
        <v>0</v>
      </c>
      <c r="W37" s="1"/>
      <c r="X37" s="1">
        <f t="shared" ref="X37:X42" si="22">+P37-T37</f>
        <v>1025</v>
      </c>
      <c r="Y37" s="1"/>
      <c r="Z37" s="5">
        <f t="shared" ref="Z37:Z42" si="23">IF(T37=0,0,X37/T37)</f>
        <v>-2.5625</v>
      </c>
    </row>
    <row r="38" spans="1:26" s="23" customFormat="1" hidden="1" outlineLevel="2" x14ac:dyDescent="0.25">
      <c r="A38" s="25"/>
      <c r="B38" s="10" t="str">
        <f>CONCATENATE("          ", "6309", " - ", "TELEPHONE")</f>
        <v xml:space="preserve">          6309 - TELEPHONE</v>
      </c>
      <c r="C38" s="10"/>
      <c r="D38" s="6">
        <v>150</v>
      </c>
      <c r="E38" s="2"/>
      <c r="F38" s="7">
        <f t="shared" si="16"/>
        <v>0</v>
      </c>
      <c r="G38" s="2"/>
      <c r="H38" s="6">
        <v>50</v>
      </c>
      <c r="I38" s="2"/>
      <c r="J38" s="7">
        <f t="shared" si="17"/>
        <v>0</v>
      </c>
      <c r="K38" s="2"/>
      <c r="L38" s="6">
        <f t="shared" si="18"/>
        <v>100</v>
      </c>
      <c r="M38" s="2"/>
      <c r="N38" s="7">
        <f t="shared" si="19"/>
        <v>2</v>
      </c>
      <c r="O38" s="10"/>
      <c r="P38" s="6">
        <v>625</v>
      </c>
      <c r="Q38" s="2"/>
      <c r="R38" s="7">
        <f t="shared" si="20"/>
        <v>0</v>
      </c>
      <c r="S38" s="2"/>
      <c r="T38" s="6">
        <v>-400</v>
      </c>
      <c r="U38" s="2"/>
      <c r="V38" s="7">
        <f t="shared" si="21"/>
        <v>0</v>
      </c>
      <c r="W38" s="2"/>
      <c r="X38" s="6">
        <f t="shared" si="22"/>
        <v>1025</v>
      </c>
      <c r="Y38" s="2"/>
      <c r="Z38" s="7">
        <f t="shared" si="23"/>
        <v>-2.5625</v>
      </c>
    </row>
    <row r="39" spans="1:26" s="27" customFormat="1" outlineLevel="1" collapsed="1" x14ac:dyDescent="0.25">
      <c r="A39" s="26"/>
      <c r="B39" s="12" t="str">
        <f>CONCATENATE("     ","Training                                          ")</f>
        <v xml:space="preserve">     Training                                          </v>
      </c>
      <c r="C39" s="12"/>
      <c r="D39" s="1">
        <f>SUM(OSRRefD22_6x_0)</f>
        <v>0</v>
      </c>
      <c r="E39" s="1"/>
      <c r="F39" s="5">
        <f t="shared" si="16"/>
        <v>0</v>
      </c>
      <c r="G39" s="1"/>
      <c r="H39" s="1">
        <f>SUM(OSRRefH22_6x_0)</f>
        <v>0</v>
      </c>
      <c r="I39" s="1"/>
      <c r="J39" s="5">
        <f t="shared" si="17"/>
        <v>0</v>
      </c>
      <c r="K39" s="1"/>
      <c r="L39" s="1">
        <f t="shared" si="18"/>
        <v>0</v>
      </c>
      <c r="M39" s="1"/>
      <c r="N39" s="5">
        <f t="shared" si="19"/>
        <v>0</v>
      </c>
      <c r="O39" s="12"/>
      <c r="P39" s="1">
        <f>SUM(OSRRefP22_6x_0)</f>
        <v>51.23</v>
      </c>
      <c r="Q39" s="1"/>
      <c r="R39" s="5">
        <f t="shared" si="20"/>
        <v>0</v>
      </c>
      <c r="S39" s="1"/>
      <c r="T39" s="1">
        <f>SUM(OSRRefT22_6x_0)</f>
        <v>2950.22</v>
      </c>
      <c r="U39" s="1"/>
      <c r="V39" s="5">
        <f t="shared" si="21"/>
        <v>0</v>
      </c>
      <c r="W39" s="1"/>
      <c r="X39" s="1">
        <f t="shared" si="22"/>
        <v>-2898.99</v>
      </c>
      <c r="Y39" s="1"/>
      <c r="Z39" s="5">
        <f t="shared" si="23"/>
        <v>-0.98263519330761773</v>
      </c>
    </row>
    <row r="40" spans="1:26" s="23" customFormat="1" hidden="1" outlineLevel="2" x14ac:dyDescent="0.25">
      <c r="A40" s="25"/>
      <c r="B40" s="10" t="str">
        <f>CONCATENATE("          ", "6376", " - ", "TRAINING")</f>
        <v xml:space="preserve">          6376 - TRAINING</v>
      </c>
      <c r="C40" s="10"/>
      <c r="D40" s="6"/>
      <c r="E40" s="2"/>
      <c r="F40" s="7">
        <f t="shared" si="16"/>
        <v>0</v>
      </c>
      <c r="G40" s="2"/>
      <c r="H40" s="6"/>
      <c r="I40" s="2"/>
      <c r="J40" s="7">
        <f t="shared" si="17"/>
        <v>0</v>
      </c>
      <c r="K40" s="2"/>
      <c r="L40" s="6">
        <f t="shared" si="18"/>
        <v>0</v>
      </c>
      <c r="M40" s="2"/>
      <c r="N40" s="7">
        <f t="shared" si="19"/>
        <v>0</v>
      </c>
      <c r="O40" s="10"/>
      <c r="P40" s="6">
        <v>51.23</v>
      </c>
      <c r="Q40" s="2"/>
      <c r="R40" s="7">
        <f t="shared" si="20"/>
        <v>0</v>
      </c>
      <c r="S40" s="2"/>
      <c r="T40" s="6">
        <v>2950.22</v>
      </c>
      <c r="U40" s="2"/>
      <c r="V40" s="7">
        <f t="shared" si="21"/>
        <v>0</v>
      </c>
      <c r="W40" s="2"/>
      <c r="X40" s="6">
        <f t="shared" si="22"/>
        <v>-2898.99</v>
      </c>
      <c r="Y40" s="2"/>
      <c r="Z40" s="7">
        <f t="shared" si="23"/>
        <v>-0.98263519330761773</v>
      </c>
    </row>
    <row r="41" spans="1:26" s="27" customFormat="1" outlineLevel="1" collapsed="1" x14ac:dyDescent="0.25">
      <c r="A41" s="26"/>
      <c r="B41" s="12" t="str">
        <f>CONCATENATE("     ","Travel                                            ")</f>
        <v xml:space="preserve">     Travel                                            </v>
      </c>
      <c r="C41" s="12"/>
      <c r="D41" s="1">
        <f>SUM(OSRRefD22_7x_0)</f>
        <v>0</v>
      </c>
      <c r="E41" s="1"/>
      <c r="F41" s="5">
        <f t="shared" si="16"/>
        <v>0</v>
      </c>
      <c r="G41" s="1"/>
      <c r="H41" s="1">
        <f>SUM(OSRRefH22_7x_0)</f>
        <v>0</v>
      </c>
      <c r="I41" s="1"/>
      <c r="J41" s="5">
        <f t="shared" si="17"/>
        <v>0</v>
      </c>
      <c r="K41" s="1"/>
      <c r="L41" s="1">
        <f t="shared" si="18"/>
        <v>0</v>
      </c>
      <c r="M41" s="1"/>
      <c r="N41" s="5">
        <f t="shared" si="19"/>
        <v>0</v>
      </c>
      <c r="O41" s="12"/>
      <c r="P41" s="1">
        <f>SUM(OSRRefP22_7x_0)</f>
        <v>0</v>
      </c>
      <c r="Q41" s="1"/>
      <c r="R41" s="5">
        <f t="shared" si="20"/>
        <v>0</v>
      </c>
      <c r="S41" s="1"/>
      <c r="T41" s="1">
        <f>SUM(OSRRefT22_7x_0)</f>
        <v>325.75</v>
      </c>
      <c r="U41" s="1"/>
      <c r="V41" s="5">
        <f t="shared" si="21"/>
        <v>0</v>
      </c>
      <c r="W41" s="1"/>
      <c r="X41" s="1">
        <f t="shared" si="22"/>
        <v>-325.75</v>
      </c>
      <c r="Y41" s="1"/>
      <c r="Z41" s="5">
        <f t="shared" si="23"/>
        <v>-1</v>
      </c>
    </row>
    <row r="42" spans="1:26" s="23" customFormat="1" hidden="1" outlineLevel="2" x14ac:dyDescent="0.25">
      <c r="A42" s="25"/>
      <c r="B42" s="10" t="str">
        <f>CONCATENATE("          ", "6292", " - ", "TRAVEL/CONFERENCE")</f>
        <v xml:space="preserve">          6292 - TRAVEL/CONFERENCE</v>
      </c>
      <c r="C42" s="10"/>
      <c r="D42" s="6"/>
      <c r="E42" s="2"/>
      <c r="F42" s="7">
        <f t="shared" si="16"/>
        <v>0</v>
      </c>
      <c r="G42" s="2"/>
      <c r="H42" s="6"/>
      <c r="I42" s="2"/>
      <c r="J42" s="7">
        <f t="shared" si="17"/>
        <v>0</v>
      </c>
      <c r="K42" s="2"/>
      <c r="L42" s="6">
        <f t="shared" si="18"/>
        <v>0</v>
      </c>
      <c r="M42" s="2"/>
      <c r="N42" s="7">
        <f t="shared" si="19"/>
        <v>0</v>
      </c>
      <c r="O42" s="10"/>
      <c r="P42" s="6"/>
      <c r="Q42" s="2"/>
      <c r="R42" s="7">
        <f t="shared" si="20"/>
        <v>0</v>
      </c>
      <c r="S42" s="2"/>
      <c r="T42" s="6">
        <v>325.75</v>
      </c>
      <c r="U42" s="2"/>
      <c r="V42" s="7">
        <f t="shared" si="21"/>
        <v>0</v>
      </c>
      <c r="W42" s="2"/>
      <c r="X42" s="6">
        <f t="shared" si="22"/>
        <v>-325.75</v>
      </c>
      <c r="Y42" s="2"/>
      <c r="Z42" s="7">
        <f t="shared" si="23"/>
        <v>-1</v>
      </c>
    </row>
    <row r="43" spans="1:26" s="52" customFormat="1" x14ac:dyDescent="0.25">
      <c r="A43" s="37"/>
      <c r="B43" s="37"/>
      <c r="C43" s="37"/>
      <c r="D43" s="1"/>
      <c r="E43" s="1"/>
      <c r="F43" s="5"/>
      <c r="G43" s="1"/>
      <c r="H43" s="1"/>
      <c r="I43" s="1"/>
      <c r="J43" s="5"/>
      <c r="K43" s="1"/>
      <c r="L43" s="1"/>
      <c r="M43" s="1"/>
      <c r="N43" s="5"/>
      <c r="O43" s="37"/>
      <c r="P43" s="1"/>
      <c r="Q43" s="1"/>
      <c r="R43" s="5"/>
      <c r="S43" s="1"/>
      <c r="T43" s="1"/>
      <c r="U43" s="1"/>
      <c r="V43" s="5"/>
      <c r="W43" s="1"/>
      <c r="X43" s="1"/>
      <c r="Y43" s="1"/>
      <c r="Z43" s="5"/>
    </row>
    <row r="44" spans="1:26" s="24" customFormat="1" x14ac:dyDescent="0.25">
      <c r="A44" s="11"/>
      <c r="B44" s="29" t="s">
        <v>292</v>
      </c>
      <c r="C44" s="11"/>
      <c r="D44" s="4">
        <f>SUM(0)</f>
        <v>0</v>
      </c>
      <c r="E44" s="4"/>
      <c r="F44" s="13">
        <f>IF(D$12=0,0,D44/D$12)</f>
        <v>0</v>
      </c>
      <c r="G44" s="4"/>
      <c r="H44" s="4">
        <f>SUM(0)</f>
        <v>0</v>
      </c>
      <c r="I44" s="4"/>
      <c r="J44" s="13">
        <f>IF(H$12=0,0,H44/H$12)</f>
        <v>0</v>
      </c>
      <c r="K44" s="4"/>
      <c r="L44" s="4">
        <f>+D44-H44</f>
        <v>0</v>
      </c>
      <c r="M44" s="4"/>
      <c r="N44" s="13">
        <f>IF(H44=0,0,L44/H44)</f>
        <v>0</v>
      </c>
      <c r="O44" s="11"/>
      <c r="P44" s="4">
        <f>SUM(0)</f>
        <v>0</v>
      </c>
      <c r="Q44" s="4"/>
      <c r="R44" s="13">
        <f>IF(P$12=0,0,P44/P$12)</f>
        <v>0</v>
      </c>
      <c r="S44" s="4"/>
      <c r="T44" s="4">
        <f>SUM(0)</f>
        <v>0</v>
      </c>
      <c r="U44" s="4"/>
      <c r="V44" s="13">
        <f>IF(T$12=0,0,T44/T$12)</f>
        <v>0</v>
      </c>
      <c r="W44" s="4"/>
      <c r="X44" s="4">
        <f>+P44-T44</f>
        <v>0</v>
      </c>
      <c r="Y44" s="4"/>
      <c r="Z44" s="13">
        <f>IF(T44=0,0,X44/T44)</f>
        <v>0</v>
      </c>
    </row>
    <row r="45" spans="1:26" x14ac:dyDescent="0.25">
      <c r="A45" s="9"/>
      <c r="B45" s="11"/>
      <c r="C45" s="11"/>
      <c r="D45" s="3"/>
      <c r="E45" s="3"/>
      <c r="F45" s="8"/>
      <c r="G45" s="3"/>
      <c r="H45" s="3"/>
      <c r="I45" s="3"/>
      <c r="J45" s="8"/>
      <c r="K45" s="3"/>
      <c r="L45" s="3"/>
      <c r="M45" s="3"/>
      <c r="N45" s="8"/>
      <c r="O45" s="11"/>
      <c r="P45" s="3"/>
      <c r="Q45" s="3"/>
      <c r="R45" s="8"/>
      <c r="S45" s="3"/>
      <c r="T45" s="3"/>
      <c r="U45" s="3"/>
      <c r="V45" s="8"/>
      <c r="W45" s="3"/>
      <c r="X45" s="3"/>
      <c r="Y45" s="3"/>
      <c r="Z45" s="8"/>
    </row>
    <row r="46" spans="1:26" s="24" customFormat="1" x14ac:dyDescent="0.25">
      <c r="A46" s="11"/>
      <c r="B46" s="28" t="s">
        <v>276</v>
      </c>
      <c r="C46" s="28"/>
      <c r="D46" s="21">
        <f>+D16-D18+D44</f>
        <v>-15995.380000000001</v>
      </c>
      <c r="E46" s="14"/>
      <c r="F46" s="22">
        <f>IF(D$12=0,0,D46/D$12)</f>
        <v>0</v>
      </c>
      <c r="G46" s="14"/>
      <c r="H46" s="21">
        <f>+H16-H18+H44</f>
        <v>-13767.529999999999</v>
      </c>
      <c r="I46" s="14"/>
      <c r="J46" s="22">
        <f>IF(H$12=0,0,H46/H$12)</f>
        <v>0</v>
      </c>
      <c r="K46" s="15"/>
      <c r="L46" s="21">
        <f>+D46-H46</f>
        <v>-2227.8500000000022</v>
      </c>
      <c r="M46" s="15"/>
      <c r="N46" s="22">
        <f>IF(H46=0,0,L46/H46)</f>
        <v>0.16181914984024021</v>
      </c>
      <c r="O46" s="29"/>
      <c r="P46" s="21">
        <f>+P16-P18+P44</f>
        <v>-206483.78000000003</v>
      </c>
      <c r="Q46" s="14"/>
      <c r="R46" s="22">
        <f>IF(P$12=0,0,P46/P$12)</f>
        <v>0</v>
      </c>
      <c r="S46" s="14"/>
      <c r="T46" s="21">
        <f>+T16-T18+T44</f>
        <v>-225107.52000000002</v>
      </c>
      <c r="U46" s="14"/>
      <c r="V46" s="22">
        <f>IF(T$12=0,0,T46/T$12)</f>
        <v>0</v>
      </c>
      <c r="W46" s="15"/>
      <c r="X46" s="21">
        <f>+P46-T46</f>
        <v>18623.739999999991</v>
      </c>
      <c r="Y46" s="15"/>
      <c r="Z46" s="22">
        <f>IF(T46=0,0,X46/T46)</f>
        <v>-8.2732642605631249E-2</v>
      </c>
    </row>
    <row r="47" spans="1:26" x14ac:dyDescent="0.25">
      <c r="A47" s="9"/>
      <c r="B47" s="11"/>
      <c r="C47" s="9"/>
      <c r="D47" s="3"/>
      <c r="E47" s="3"/>
      <c r="F47" s="8"/>
      <c r="G47" s="3"/>
      <c r="H47" s="3"/>
      <c r="I47" s="3"/>
      <c r="J47" s="8"/>
      <c r="K47" s="3"/>
      <c r="L47" s="3"/>
      <c r="M47" s="3"/>
      <c r="N47" s="8"/>
      <c r="P47" s="3"/>
      <c r="Q47" s="3"/>
      <c r="R47" s="8"/>
      <c r="S47" s="3"/>
      <c r="T47" s="3"/>
      <c r="U47" s="3"/>
      <c r="V47" s="8"/>
      <c r="W47" s="3"/>
      <c r="X47" s="3"/>
      <c r="Y47" s="3"/>
      <c r="Z47" s="8"/>
    </row>
    <row r="48" spans="1:26" s="24" customFormat="1" x14ac:dyDescent="0.25">
      <c r="A48" s="51"/>
      <c r="B48" s="11" t="s">
        <v>127</v>
      </c>
      <c r="C48" s="11"/>
      <c r="D48" s="4"/>
      <c r="E48" s="4"/>
      <c r="F48" s="13">
        <f>IF(D$12=0,0,D48/D$12)</f>
        <v>0</v>
      </c>
      <c r="G48" s="4"/>
      <c r="H48" s="4"/>
      <c r="I48" s="4"/>
      <c r="J48" s="13">
        <f>IF(H$12=0,0,H48/H$12)</f>
        <v>0</v>
      </c>
      <c r="K48" s="4"/>
      <c r="L48" s="4">
        <f>+D48-H48</f>
        <v>0</v>
      </c>
      <c r="M48" s="4"/>
      <c r="N48" s="13">
        <f>IF(H48=0,0,L48/H48)</f>
        <v>0</v>
      </c>
      <c r="O48" s="11"/>
      <c r="P48" s="4"/>
      <c r="Q48" s="4"/>
      <c r="R48" s="13">
        <f>IF(P$12=0,0,P48/P$12)</f>
        <v>0</v>
      </c>
      <c r="S48" s="4"/>
      <c r="T48" s="4"/>
      <c r="U48" s="4"/>
      <c r="V48" s="13">
        <f>IF(T$12=0,0,T48/T$12)</f>
        <v>0</v>
      </c>
      <c r="W48" s="4"/>
      <c r="X48" s="4">
        <f>+P48-T48</f>
        <v>0</v>
      </c>
      <c r="Y48" s="4"/>
      <c r="Z48" s="13">
        <f>IF(T48=0,0,X48/T48)</f>
        <v>0</v>
      </c>
    </row>
    <row r="49" spans="1:26" x14ac:dyDescent="0.25">
      <c r="A49" s="9"/>
      <c r="B49" s="11"/>
      <c r="C49" s="11"/>
      <c r="D49" s="3"/>
      <c r="E49" s="3"/>
      <c r="F49" s="8"/>
      <c r="G49" s="3"/>
      <c r="H49" s="3"/>
      <c r="I49" s="3"/>
      <c r="J49" s="8"/>
      <c r="K49" s="3"/>
      <c r="L49" s="3"/>
      <c r="M49" s="3"/>
      <c r="N49" s="8"/>
      <c r="O49" s="11"/>
      <c r="P49" s="3"/>
      <c r="Q49" s="3"/>
      <c r="R49" s="8"/>
      <c r="S49" s="3"/>
      <c r="T49" s="3"/>
      <c r="U49" s="3"/>
      <c r="V49" s="8"/>
      <c r="W49" s="3"/>
      <c r="X49" s="3"/>
      <c r="Y49" s="3"/>
      <c r="Z49" s="8"/>
    </row>
    <row r="50" spans="1:26" s="24" customFormat="1" ht="15.75" thickBot="1" x14ac:dyDescent="0.3">
      <c r="A50" s="11"/>
      <c r="B50" s="28" t="s">
        <v>125</v>
      </c>
      <c r="C50" s="28"/>
      <c r="D50" s="34">
        <f>+D46-D48</f>
        <v>-15995.380000000001</v>
      </c>
      <c r="E50" s="14"/>
      <c r="F50" s="31">
        <f>IF(D$12=0,0,D50/D$12)</f>
        <v>0</v>
      </c>
      <c r="G50" s="14"/>
      <c r="H50" s="34">
        <f>+H46-H48</f>
        <v>-13767.529999999999</v>
      </c>
      <c r="I50" s="14"/>
      <c r="J50" s="31">
        <f>IF(H$12=0,0,H50/H$12)</f>
        <v>0</v>
      </c>
      <c r="K50" s="15"/>
      <c r="L50" s="34">
        <f>D50-H50</f>
        <v>-2227.8500000000022</v>
      </c>
      <c r="M50" s="15"/>
      <c r="N50" s="31">
        <f>IF(H50=0,0,L50/H50)</f>
        <v>0.16181914984024021</v>
      </c>
      <c r="O50" s="29"/>
      <c r="P50" s="34">
        <f>+P46-P48</f>
        <v>-206483.78000000003</v>
      </c>
      <c r="Q50" s="14"/>
      <c r="R50" s="31">
        <f>IF(P$12=0,0,P50/P$12)</f>
        <v>0</v>
      </c>
      <c r="S50" s="14"/>
      <c r="T50" s="34">
        <f>+T46-T48</f>
        <v>-225107.52000000002</v>
      </c>
      <c r="U50" s="14"/>
      <c r="V50" s="31">
        <f>IF(T$12=0,0,T50/T$12)</f>
        <v>0</v>
      </c>
      <c r="W50" s="15"/>
      <c r="X50" s="34">
        <f>P50-T50</f>
        <v>18623.739999999991</v>
      </c>
      <c r="Y50" s="15"/>
      <c r="Z50" s="31">
        <f>IF(T50=0,0,X50/T50)</f>
        <v>-8.2732642605631249E-2</v>
      </c>
    </row>
    <row r="51" spans="1:26" ht="15.75" thickTop="1" x14ac:dyDescent="0.25">
      <c r="A51" s="9"/>
      <c r="B51" s="9"/>
      <c r="C51" s="9"/>
      <c r="D51" s="3"/>
      <c r="E51" s="3"/>
      <c r="F51" s="8"/>
      <c r="G51" s="3"/>
      <c r="H51" s="3"/>
      <c r="I51" s="3"/>
      <c r="J51" s="8"/>
      <c r="K51" s="3"/>
      <c r="L51" s="3"/>
      <c r="M51" s="3"/>
      <c r="N51" s="8"/>
      <c r="P51" s="3"/>
      <c r="Q51" s="3"/>
      <c r="R51" s="8"/>
      <c r="S51" s="3"/>
      <c r="T51" s="3"/>
      <c r="U51" s="3"/>
      <c r="V51" s="8"/>
      <c r="W51" s="3"/>
      <c r="X51" s="3"/>
      <c r="Y51" s="3"/>
      <c r="Z51" s="8"/>
    </row>
    <row r="52" spans="1:26" x14ac:dyDescent="0.25">
      <c r="A52" s="9"/>
      <c r="B52" s="9"/>
      <c r="C52" s="9"/>
      <c r="D52" s="3"/>
      <c r="E52" s="3"/>
      <c r="F52" s="8"/>
      <c r="G52" s="3"/>
      <c r="H52" s="3"/>
      <c r="I52" s="3"/>
      <c r="J52" s="8"/>
      <c r="K52" s="3"/>
      <c r="L52" s="3"/>
      <c r="M52" s="3"/>
      <c r="N52" s="8"/>
      <c r="P52" s="3"/>
      <c r="Q52" s="3"/>
      <c r="R52" s="8"/>
      <c r="S52" s="3"/>
      <c r="T52" s="3"/>
      <c r="U52" s="3"/>
      <c r="V52" s="8"/>
      <c r="W52" s="3"/>
      <c r="X52" s="3"/>
      <c r="Y52" s="3"/>
      <c r="Z52" s="8"/>
    </row>
    <row r="53" spans="1:26" s="24" customFormat="1" ht="15.75" thickBot="1" x14ac:dyDescent="0.3">
      <c r="A53" s="11"/>
      <c r="B53" s="28" t="s">
        <v>293</v>
      </c>
      <c r="C53" s="28"/>
      <c r="D53" s="33">
        <f>SUM(D50:D52)</f>
        <v>-15995.380000000001</v>
      </c>
      <c r="E53" s="14"/>
      <c r="F53" s="35">
        <f>IF(D$12=0,0,D53/D$12)</f>
        <v>0</v>
      </c>
      <c r="G53" s="14"/>
      <c r="H53" s="33">
        <f>SUM(H50:H52)</f>
        <v>-13767.529999999999</v>
      </c>
      <c r="I53" s="14"/>
      <c r="J53" s="35">
        <f>IF(H$12=0,0,H53/H$12)</f>
        <v>0</v>
      </c>
      <c r="K53" s="15"/>
      <c r="L53" s="33">
        <f>+D53-H53</f>
        <v>-2227.8500000000022</v>
      </c>
      <c r="M53" s="15"/>
      <c r="N53" s="35">
        <f>IF(H53=0,0,L53/H53)</f>
        <v>0.16181914984024021</v>
      </c>
      <c r="O53" s="29"/>
      <c r="P53" s="33">
        <f>SUM(P50:P52)</f>
        <v>-206483.78000000003</v>
      </c>
      <c r="Q53" s="14"/>
      <c r="R53" s="35">
        <f>IF(P$12=0,0,P53/P$12)</f>
        <v>0</v>
      </c>
      <c r="S53" s="14"/>
      <c r="T53" s="33">
        <f>SUM(T50:T52)</f>
        <v>-225107.52000000002</v>
      </c>
      <c r="U53" s="14"/>
      <c r="V53" s="35">
        <f>IF(T$12=0,0,T53/T$12)</f>
        <v>0</v>
      </c>
      <c r="W53" s="15"/>
      <c r="X53" s="33">
        <f>+P53-T53</f>
        <v>18623.739999999991</v>
      </c>
      <c r="Y53" s="15"/>
      <c r="Z53" s="35">
        <f>IF(T53=0,0,X53/T53)</f>
        <v>-8.2732642605631249E-2</v>
      </c>
    </row>
    <row r="54" spans="1:26" ht="15.75" thickTop="1" x14ac:dyDescent="0.25">
      <c r="A54" s="9"/>
      <c r="C54" s="9"/>
      <c r="D54" s="18"/>
      <c r="E54" s="18"/>
      <c r="G54" s="18"/>
      <c r="H54" s="18"/>
      <c r="I54" s="18"/>
      <c r="J54" s="43"/>
      <c r="K54" s="18"/>
      <c r="L54" s="18"/>
      <c r="M54" s="18"/>
      <c r="P54" s="18"/>
      <c r="Q54" s="18"/>
      <c r="R54" s="43"/>
      <c r="S54" s="18"/>
      <c r="T54" s="18"/>
      <c r="U54" s="18"/>
      <c r="V54" s="43"/>
      <c r="W54" s="18"/>
      <c r="X54" s="18"/>
    </row>
    <row r="55" spans="1:26" x14ac:dyDescent="0.25">
      <c r="A55" s="9"/>
      <c r="B55" s="56">
        <v>44454.698585613427</v>
      </c>
      <c r="D55" s="18"/>
      <c r="E55" s="18"/>
      <c r="G55" s="18"/>
      <c r="H55" s="18"/>
      <c r="I55" s="18"/>
      <c r="J55" s="43"/>
      <c r="K55" s="18"/>
      <c r="L55" s="18"/>
      <c r="M55" s="18"/>
      <c r="P55" s="18"/>
      <c r="Q55" s="18"/>
      <c r="R55" s="43"/>
      <c r="S55" s="18"/>
      <c r="T55" s="18"/>
      <c r="U55" s="18"/>
      <c r="V55" s="43"/>
      <c r="W55" s="18"/>
      <c r="X55" s="18"/>
    </row>
    <row r="56" spans="1:26" x14ac:dyDescent="0.25">
      <c r="A56" s="9"/>
      <c r="B56" s="55" t="s">
        <v>56</v>
      </c>
      <c r="D56" s="18"/>
      <c r="E56" s="18"/>
      <c r="G56" s="18"/>
      <c r="H56" s="18"/>
      <c r="I56" s="18"/>
      <c r="J56" s="43"/>
      <c r="K56" s="18"/>
      <c r="L56" s="18"/>
      <c r="M56" s="18"/>
      <c r="P56" s="18"/>
      <c r="Q56" s="18"/>
      <c r="R56" s="43"/>
      <c r="S56" s="18"/>
      <c r="T56" s="18"/>
      <c r="U56" s="18"/>
      <c r="V56" s="43"/>
      <c r="W56" s="18"/>
      <c r="X56" s="18"/>
    </row>
    <row r="57" spans="1:26" x14ac:dyDescent="0.25">
      <c r="A57" s="9"/>
      <c r="B57" s="60"/>
      <c r="D57" s="18"/>
      <c r="E57" s="18"/>
      <c r="G57" s="18"/>
      <c r="H57" s="18"/>
      <c r="I57" s="18"/>
      <c r="J57" s="43"/>
      <c r="K57" s="18"/>
      <c r="L57" s="18"/>
      <c r="M57" s="18"/>
      <c r="P57" s="18"/>
      <c r="Q57" s="18"/>
      <c r="R57" s="43"/>
      <c r="S57" s="18"/>
      <c r="T57" s="18"/>
      <c r="U57" s="18"/>
      <c r="V57" s="43"/>
      <c r="W57" s="18"/>
      <c r="X57" s="18"/>
    </row>
    <row r="58" spans="1:26" x14ac:dyDescent="0.25">
      <c r="D58" s="18"/>
      <c r="E58" s="18"/>
      <c r="G58" s="18"/>
      <c r="H58" s="18"/>
      <c r="I58" s="18"/>
      <c r="J58" s="43"/>
      <c r="K58" s="18"/>
      <c r="L58" s="18"/>
      <c r="M58" s="18"/>
      <c r="P58" s="18"/>
      <c r="Q58" s="18"/>
      <c r="R58" s="43"/>
      <c r="S58" s="18"/>
      <c r="T58" s="18"/>
      <c r="U58" s="18"/>
      <c r="V58" s="43"/>
      <c r="W58" s="18"/>
      <c r="X58" s="18"/>
    </row>
  </sheetData>
  <pageMargins left="0.25" right="0.25" top="0.75" bottom="0.75" header="0.3" footer="0.3"/>
  <pageSetup scale="55" fitToWidth="2" orientation="landscape"/>
  <drawing r:id="rId1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>
    <tabColor rgb="FF92D050"/>
    <outlinePr summaryBelow="0" summaryRight="0"/>
  </sheetPr>
  <dimension ref="A2:Z98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62" t="s">
        <v>23</v>
      </c>
    </row>
    <row r="3" spans="1:26" x14ac:dyDescent="0.25">
      <c r="D3" s="62" t="s">
        <v>236</v>
      </c>
      <c r="E3" s="17"/>
      <c r="F3" s="46"/>
      <c r="G3" s="17"/>
      <c r="H3" s="17"/>
      <c r="I3" s="17"/>
      <c r="J3" s="38"/>
      <c r="K3" s="17"/>
      <c r="L3" s="17"/>
      <c r="M3" s="17"/>
      <c r="N3" s="46"/>
      <c r="O3" s="53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2" t="str">
        <f>CONCATENATE("Period ",RIGHT(202112,2),", ",2021)</f>
        <v>Period 12, 2021</v>
      </c>
      <c r="E4" s="17"/>
      <c r="F4" s="46"/>
      <c r="G4" s="17"/>
      <c r="H4" s="17"/>
      <c r="I4" s="17"/>
      <c r="J4" s="38"/>
      <c r="K4" s="17"/>
      <c r="L4" s="17"/>
      <c r="M4" s="17"/>
      <c r="N4" s="46"/>
      <c r="O4" s="53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4"/>
      <c r="D5" s="63">
        <v>44377</v>
      </c>
      <c r="E5" s="17"/>
      <c r="F5" s="46"/>
      <c r="G5" s="17"/>
      <c r="H5" s="17"/>
      <c r="I5" s="17"/>
      <c r="J5" s="38"/>
      <c r="K5" s="17"/>
      <c r="L5" s="17"/>
      <c r="M5" s="17"/>
      <c r="N5" s="46"/>
      <c r="O5" s="53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4"/>
      <c r="B6" s="48"/>
      <c r="C6" s="48"/>
      <c r="D6" s="24" t="str">
        <f>CONCATENATE("Department ","433", " - ", "Hillside Dining Hall")</f>
        <v>Department 433 - Hillside Dining Hall</v>
      </c>
      <c r="E6" s="17"/>
      <c r="F6" s="46"/>
      <c r="G6" s="17"/>
      <c r="H6" s="17"/>
      <c r="I6" s="17"/>
      <c r="J6" s="38"/>
      <c r="K6" s="17"/>
      <c r="L6" s="17"/>
      <c r="M6" s="17"/>
      <c r="N6" s="46"/>
      <c r="O6" s="54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9"/>
    </row>
    <row r="8" spans="1:26" x14ac:dyDescent="0.25">
      <c r="B8" s="59"/>
    </row>
    <row r="9" spans="1:26" x14ac:dyDescent="0.25">
      <c r="B9" s="9"/>
      <c r="C9" s="9"/>
      <c r="D9" s="16" t="s">
        <v>291</v>
      </c>
      <c r="E9" s="16"/>
      <c r="F9" s="39"/>
      <c r="G9" s="16"/>
      <c r="H9" s="16"/>
      <c r="I9" s="16"/>
      <c r="J9" s="49"/>
      <c r="K9" s="16"/>
      <c r="L9" s="16"/>
      <c r="M9" s="16"/>
      <c r="N9" s="39"/>
      <c r="P9" s="16" t="s">
        <v>39</v>
      </c>
      <c r="Q9" s="16"/>
      <c r="R9" s="39"/>
      <c r="S9" s="16"/>
      <c r="T9" s="16"/>
      <c r="U9" s="16"/>
      <c r="V9" s="49"/>
      <c r="W9" s="16"/>
      <c r="X9" s="16"/>
      <c r="Y9" s="16"/>
      <c r="Z9" s="39"/>
    </row>
    <row r="10" spans="1:26" x14ac:dyDescent="0.25">
      <c r="A10" s="11"/>
      <c r="B10" s="58"/>
      <c r="C10" s="11"/>
      <c r="D10" s="42" t="s">
        <v>57</v>
      </c>
      <c r="E10" s="36"/>
      <c r="F10" s="30" t="s">
        <v>40</v>
      </c>
      <c r="G10" s="36"/>
      <c r="H10" s="50" t="s">
        <v>237</v>
      </c>
      <c r="I10" s="36"/>
      <c r="J10" s="30" t="s">
        <v>40</v>
      </c>
      <c r="K10" s="11"/>
      <c r="L10" s="42" t="s">
        <v>126</v>
      </c>
      <c r="M10" s="11"/>
      <c r="N10" s="30" t="s">
        <v>257</v>
      </c>
      <c r="O10" s="11"/>
      <c r="P10" s="61" t="s">
        <v>57</v>
      </c>
      <c r="Q10" s="36"/>
      <c r="R10" s="30" t="s">
        <v>40</v>
      </c>
      <c r="S10" s="36"/>
      <c r="T10" s="50" t="s">
        <v>237</v>
      </c>
      <c r="U10" s="36"/>
      <c r="V10" s="30" t="s">
        <v>40</v>
      </c>
      <c r="W10" s="11"/>
      <c r="X10" s="42" t="s">
        <v>126</v>
      </c>
      <c r="Y10" s="11"/>
      <c r="Z10" s="30" t="s">
        <v>257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4" customFormat="1" collapsed="1" x14ac:dyDescent="0.25">
      <c r="A12" s="11"/>
      <c r="B12" s="29" t="s">
        <v>139</v>
      </c>
      <c r="C12" s="11"/>
      <c r="D12" s="4">
        <f>SUM(OSRRefD13x_0)</f>
        <v>0</v>
      </c>
      <c r="E12" s="4"/>
      <c r="F12" s="13"/>
      <c r="G12" s="4"/>
      <c r="H12" s="4">
        <f>SUM(OSRRefH13x_0)</f>
        <v>-33612.1</v>
      </c>
      <c r="I12" s="4"/>
      <c r="J12" s="13"/>
      <c r="K12" s="4"/>
      <c r="L12" s="4">
        <f t="shared" ref="L12:L16" si="0">+D12-H12</f>
        <v>33612.1</v>
      </c>
      <c r="M12" s="4"/>
      <c r="N12" s="13">
        <f t="shared" ref="N12:N16" si="1">IF(H12=0,0,L12/H12)</f>
        <v>-1</v>
      </c>
      <c r="O12" s="11"/>
      <c r="P12" s="4">
        <f>SUM(OSRRefP13x_0)</f>
        <v>23558.720000000001</v>
      </c>
      <c r="Q12" s="4"/>
      <c r="R12" s="13"/>
      <c r="S12" s="4"/>
      <c r="T12" s="4">
        <f>SUM(OSRRefT13x_0)</f>
        <v>3757412.4699999997</v>
      </c>
      <c r="U12" s="4"/>
      <c r="V12" s="13"/>
      <c r="W12" s="4"/>
      <c r="X12" s="4">
        <f t="shared" ref="X12:X16" si="2">+P12-T12</f>
        <v>-3733853.7499999995</v>
      </c>
      <c r="Y12" s="4"/>
      <c r="Z12" s="13">
        <f t="shared" ref="Z12:Z16" si="3">IF(T12=0,0,X12/T12)</f>
        <v>-0.99373006818173459</v>
      </c>
    </row>
    <row r="13" spans="1:26" s="23" customFormat="1" hidden="1" outlineLevel="1" x14ac:dyDescent="0.25">
      <c r="A13" s="44"/>
      <c r="B13" s="10" t="str">
        <f>CONCATENATE("          ", "4053", " - ", "TAXABLE SALES-FOOD")</f>
        <v xml:space="preserve">          4053 - TAXABLE SALES-FOOD</v>
      </c>
      <c r="C13" s="10"/>
      <c r="D13" s="2">
        <f t="shared" ref="D13:D16" si="4">0</f>
        <v>0</v>
      </c>
      <c r="E13" s="2"/>
      <c r="F13" s="19"/>
      <c r="G13" s="2"/>
      <c r="H13" s="2">
        <f>--27.9</f>
        <v>27.9</v>
      </c>
      <c r="I13" s="2"/>
      <c r="J13" s="19"/>
      <c r="K13" s="2"/>
      <c r="L13" s="2">
        <f t="shared" si="0"/>
        <v>-27.9</v>
      </c>
      <c r="M13" s="2"/>
      <c r="N13" s="19">
        <f t="shared" si="1"/>
        <v>-1</v>
      </c>
      <c r="O13" s="10"/>
      <c r="P13" s="2">
        <f>--217.65</f>
        <v>217.65</v>
      </c>
      <c r="Q13" s="2"/>
      <c r="R13" s="19"/>
      <c r="S13" s="2"/>
      <c r="T13" s="2">
        <f>--21468.98</f>
        <v>21468.98</v>
      </c>
      <c r="U13" s="2"/>
      <c r="V13" s="19"/>
      <c r="W13" s="2"/>
      <c r="X13" s="2">
        <f t="shared" si="2"/>
        <v>-21251.329999999998</v>
      </c>
      <c r="Y13" s="2"/>
      <c r="Z13" s="19">
        <f t="shared" si="3"/>
        <v>-0.98986211734325513</v>
      </c>
    </row>
    <row r="14" spans="1:26" s="23" customFormat="1" hidden="1" outlineLevel="1" x14ac:dyDescent="0.25">
      <c r="A14" s="44"/>
      <c r="B14" s="10" t="str">
        <f>CONCATENATE("          ", "4151", " - ", "NON-TAXABLE SALES-FOOD")</f>
        <v xml:space="preserve">          4151 - NON-TAXABLE SALES-FOOD</v>
      </c>
      <c r="C14" s="10"/>
      <c r="D14" s="2">
        <f t="shared" si="4"/>
        <v>0</v>
      </c>
      <c r="E14" s="2"/>
      <c r="F14" s="19"/>
      <c r="G14" s="2"/>
      <c r="H14" s="2">
        <f>-38339.6</f>
        <v>-38339.599999999999</v>
      </c>
      <c r="I14" s="2"/>
      <c r="J14" s="19"/>
      <c r="K14" s="2"/>
      <c r="L14" s="2">
        <f t="shared" si="0"/>
        <v>38339.599999999999</v>
      </c>
      <c r="M14" s="2"/>
      <c r="N14" s="19">
        <f t="shared" si="1"/>
        <v>-1</v>
      </c>
      <c r="O14" s="10"/>
      <c r="P14" s="2">
        <f>--16096</f>
        <v>16096</v>
      </c>
      <c r="Q14" s="2"/>
      <c r="R14" s="19"/>
      <c r="S14" s="2"/>
      <c r="T14" s="2">
        <f>--3486658.53</f>
        <v>3486658.53</v>
      </c>
      <c r="U14" s="2"/>
      <c r="V14" s="19"/>
      <c r="W14" s="2"/>
      <c r="X14" s="2">
        <f t="shared" si="2"/>
        <v>-3470562.53</v>
      </c>
      <c r="Y14" s="2"/>
      <c r="Z14" s="19">
        <f t="shared" si="3"/>
        <v>-0.9953835456321557</v>
      </c>
    </row>
    <row r="15" spans="1:26" s="23" customFormat="1" hidden="1" outlineLevel="1" x14ac:dyDescent="0.25">
      <c r="A15" s="44"/>
      <c r="B15" s="10" t="str">
        <f>CONCATENATE("          ", "4153", " - ", "NON-TAXABLE SALES-FOOD")</f>
        <v xml:space="preserve">          4153 - NON-TAXABLE SALES-FOOD</v>
      </c>
      <c r="C15" s="10"/>
      <c r="D15" s="2">
        <f t="shared" si="4"/>
        <v>0</v>
      </c>
      <c r="E15" s="2"/>
      <c r="F15" s="19"/>
      <c r="G15" s="2"/>
      <c r="H15" s="2">
        <f>--4699.6</f>
        <v>4699.6000000000004</v>
      </c>
      <c r="I15" s="2"/>
      <c r="J15" s="19"/>
      <c r="K15" s="2"/>
      <c r="L15" s="2">
        <f t="shared" si="0"/>
        <v>-4699.6000000000004</v>
      </c>
      <c r="M15" s="2"/>
      <c r="N15" s="19">
        <f t="shared" si="1"/>
        <v>-1</v>
      </c>
      <c r="O15" s="10"/>
      <c r="P15" s="2">
        <f>--7245.07</f>
        <v>7245.07</v>
      </c>
      <c r="Q15" s="2"/>
      <c r="R15" s="19"/>
      <c r="S15" s="2"/>
      <c r="T15" s="2">
        <f>--248901.26</f>
        <v>248901.26</v>
      </c>
      <c r="U15" s="2"/>
      <c r="V15" s="19"/>
      <c r="W15" s="2"/>
      <c r="X15" s="2">
        <f t="shared" si="2"/>
        <v>-241656.19</v>
      </c>
      <c r="Y15" s="2"/>
      <c r="Z15" s="19">
        <f t="shared" si="3"/>
        <v>-0.97089179058394481</v>
      </c>
    </row>
    <row r="16" spans="1:26" s="23" customFormat="1" hidden="1" outlineLevel="1" x14ac:dyDescent="0.25">
      <c r="A16" s="44"/>
      <c r="B16" s="10" t="str">
        <f>CONCATENATE("          ", "4159", " - ", "NON-TAXABLE SALES-FOOD")</f>
        <v xml:space="preserve">          4159 - NON-TAXABLE SALES-FOOD</v>
      </c>
      <c r="C16" s="10"/>
      <c r="D16" s="2">
        <f t="shared" si="4"/>
        <v>0</v>
      </c>
      <c r="E16" s="2"/>
      <c r="F16" s="19"/>
      <c r="G16" s="2"/>
      <c r="H16" s="2">
        <f>0</f>
        <v>0</v>
      </c>
      <c r="I16" s="2"/>
      <c r="J16" s="19"/>
      <c r="K16" s="2"/>
      <c r="L16" s="2">
        <f t="shared" si="0"/>
        <v>0</v>
      </c>
      <c r="M16" s="2"/>
      <c r="N16" s="19">
        <f t="shared" si="1"/>
        <v>0</v>
      </c>
      <c r="O16" s="10"/>
      <c r="P16" s="2">
        <f>0</f>
        <v>0</v>
      </c>
      <c r="Q16" s="2"/>
      <c r="R16" s="19"/>
      <c r="S16" s="2"/>
      <c r="T16" s="2">
        <f>--383.7</f>
        <v>383.7</v>
      </c>
      <c r="U16" s="2"/>
      <c r="V16" s="19"/>
      <c r="W16" s="2"/>
      <c r="X16" s="2">
        <f t="shared" si="2"/>
        <v>-383.7</v>
      </c>
      <c r="Y16" s="2"/>
      <c r="Z16" s="19">
        <f t="shared" si="3"/>
        <v>-1</v>
      </c>
    </row>
    <row r="17" spans="1:26" x14ac:dyDescent="0.25">
      <c r="A17" s="9"/>
      <c r="B17" s="11"/>
      <c r="C17" s="9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4" customFormat="1" collapsed="1" x14ac:dyDescent="0.25">
      <c r="A18" s="11"/>
      <c r="B18" s="29" t="s">
        <v>256</v>
      </c>
      <c r="C18" s="11"/>
      <c r="D18" s="4">
        <f>SUM(OSRRefD16x_0)</f>
        <v>0</v>
      </c>
      <c r="E18" s="4"/>
      <c r="F18" s="13">
        <f t="shared" ref="F18:F20" si="5">IF(D$12=0,0,D18/D$12)</f>
        <v>0</v>
      </c>
      <c r="G18" s="4"/>
      <c r="H18" s="4">
        <f>SUM(OSRRefH16x_0)</f>
        <v>13685.21</v>
      </c>
      <c r="I18" s="4"/>
      <c r="J18" s="13">
        <f t="shared" ref="J18:J20" si="6">IF(H$12=0,0,H18/H$12)</f>
        <v>-0.40715129373053155</v>
      </c>
      <c r="K18" s="4"/>
      <c r="L18" s="4">
        <f t="shared" ref="L18:L20" si="7">+D18-H18</f>
        <v>-13685.21</v>
      </c>
      <c r="M18" s="4"/>
      <c r="N18" s="13">
        <f t="shared" ref="N18:N20" si="8">IF(H18=0,0,L18/H18)</f>
        <v>-1</v>
      </c>
      <c r="O18" s="11"/>
      <c r="P18" s="4">
        <f>SUM(OSRRefP16x_0)</f>
        <v>25322.92</v>
      </c>
      <c r="Q18" s="4"/>
      <c r="R18" s="13">
        <f t="shared" ref="R18:R20" si="9">IF(P$12=0,0,P18/P$12)</f>
        <v>1.0748852229662731</v>
      </c>
      <c r="S18" s="4"/>
      <c r="T18" s="4">
        <f>SUM(OSRRefT16x_0)</f>
        <v>908218.79</v>
      </c>
      <c r="U18" s="4"/>
      <c r="V18" s="13">
        <f t="shared" ref="V18:V20" si="10">IF(T$12=0,0,T18/T$12)</f>
        <v>0.24171389147489578</v>
      </c>
      <c r="W18" s="4"/>
      <c r="X18" s="4">
        <f t="shared" ref="X18:X20" si="11">+P18-T18</f>
        <v>-882895.87</v>
      </c>
      <c r="Y18" s="4"/>
      <c r="Z18" s="13">
        <f t="shared" ref="Z18:Z20" si="12">IF(T18=0,0,X18/T18)</f>
        <v>-0.97211803997140378</v>
      </c>
    </row>
    <row r="19" spans="1:26" s="23" customFormat="1" hidden="1" outlineLevel="1" x14ac:dyDescent="0.25">
      <c r="A19" s="44"/>
      <c r="B19" s="10" t="str">
        <f>CONCATENATE("          ", "5053", " - ", "PURCHASES @ COST-FOOD")</f>
        <v xml:space="preserve">          5053 - PURCHASES @ COST-FOOD</v>
      </c>
      <c r="C19" s="10"/>
      <c r="D19" s="2"/>
      <c r="E19" s="2"/>
      <c r="F19" s="19">
        <f t="shared" si="5"/>
        <v>0</v>
      </c>
      <c r="G19" s="2"/>
      <c r="H19" s="2">
        <v>11418.21</v>
      </c>
      <c r="I19" s="2"/>
      <c r="J19" s="19">
        <f t="shared" si="6"/>
        <v>-0.33970534420640186</v>
      </c>
      <c r="K19" s="2"/>
      <c r="L19" s="2">
        <f t="shared" si="7"/>
        <v>-11418.21</v>
      </c>
      <c r="M19" s="2"/>
      <c r="N19" s="19">
        <f t="shared" si="8"/>
        <v>-1</v>
      </c>
      <c r="O19" s="10"/>
      <c r="P19" s="2">
        <v>14410.92</v>
      </c>
      <c r="Q19" s="2"/>
      <c r="R19" s="19">
        <f t="shared" si="9"/>
        <v>0.61170216378478959</v>
      </c>
      <c r="S19" s="2"/>
      <c r="T19" s="2">
        <v>911587.79</v>
      </c>
      <c r="U19" s="2"/>
      <c r="V19" s="19">
        <f t="shared" si="10"/>
        <v>0.24261051914803489</v>
      </c>
      <c r="W19" s="2"/>
      <c r="X19" s="2">
        <f t="shared" si="11"/>
        <v>-897176.87</v>
      </c>
      <c r="Y19" s="2"/>
      <c r="Z19" s="19">
        <f t="shared" si="12"/>
        <v>-0.98419140739039512</v>
      </c>
    </row>
    <row r="20" spans="1:26" s="23" customFormat="1" hidden="1" outlineLevel="1" x14ac:dyDescent="0.25">
      <c r="A20" s="44"/>
      <c r="B20" s="10" t="str">
        <f>CONCATENATE("          ", "5059", " - ", "PURCHASES @ COST-FOOD")</f>
        <v xml:space="preserve">          5059 - PURCHASES @ COST-FOOD</v>
      </c>
      <c r="C20" s="10"/>
      <c r="D20" s="2"/>
      <c r="E20" s="2"/>
      <c r="F20" s="19">
        <f t="shared" si="5"/>
        <v>0</v>
      </c>
      <c r="G20" s="2"/>
      <c r="H20" s="2">
        <v>2267</v>
      </c>
      <c r="I20" s="2"/>
      <c r="J20" s="19">
        <f t="shared" si="6"/>
        <v>-6.7445949524129703E-2</v>
      </c>
      <c r="K20" s="2"/>
      <c r="L20" s="2">
        <f t="shared" si="7"/>
        <v>-2267</v>
      </c>
      <c r="M20" s="2"/>
      <c r="N20" s="19">
        <f t="shared" si="8"/>
        <v>-1</v>
      </c>
      <c r="O20" s="10"/>
      <c r="P20" s="2">
        <v>10912</v>
      </c>
      <c r="Q20" s="2"/>
      <c r="R20" s="19">
        <f t="shared" si="9"/>
        <v>0.4631830591814835</v>
      </c>
      <c r="S20" s="2"/>
      <c r="T20" s="2">
        <v>-3369</v>
      </c>
      <c r="U20" s="2"/>
      <c r="V20" s="19">
        <f t="shared" si="10"/>
        <v>-8.9662767313911649E-4</v>
      </c>
      <c r="W20" s="2"/>
      <c r="X20" s="2">
        <f t="shared" si="11"/>
        <v>14281</v>
      </c>
      <c r="Y20" s="2"/>
      <c r="Z20" s="19">
        <f t="shared" si="12"/>
        <v>-4.2389433066191744</v>
      </c>
    </row>
    <row r="21" spans="1:26" x14ac:dyDescent="0.25">
      <c r="A21" s="9"/>
      <c r="B21" s="11"/>
      <c r="C21" s="11"/>
      <c r="D21" s="3"/>
      <c r="E21" s="3"/>
      <c r="F21" s="8"/>
      <c r="G21" s="3"/>
      <c r="H21" s="3"/>
      <c r="I21" s="3"/>
      <c r="J21" s="8"/>
      <c r="K21" s="3"/>
      <c r="L21" s="3"/>
      <c r="M21" s="3"/>
      <c r="N21" s="8"/>
      <c r="O21" s="11"/>
      <c r="P21" s="3"/>
      <c r="Q21" s="3"/>
      <c r="R21" s="8"/>
      <c r="S21" s="3"/>
      <c r="T21" s="3"/>
      <c r="U21" s="3"/>
      <c r="V21" s="8"/>
      <c r="W21" s="3"/>
      <c r="X21" s="3"/>
      <c r="Y21" s="3"/>
      <c r="Z21" s="8"/>
    </row>
    <row r="22" spans="1:26" s="24" customFormat="1" x14ac:dyDescent="0.25">
      <c r="A22" s="11"/>
      <c r="B22" s="28" t="s">
        <v>107</v>
      </c>
      <c r="C22" s="28"/>
      <c r="D22" s="21">
        <f>D12-D18</f>
        <v>0</v>
      </c>
      <c r="E22" s="14"/>
      <c r="F22" s="22">
        <f>IF(D$12=0,0,D22/D$12)</f>
        <v>0</v>
      </c>
      <c r="G22" s="14"/>
      <c r="H22" s="21">
        <f>H12-H18</f>
        <v>-47297.31</v>
      </c>
      <c r="I22" s="14"/>
      <c r="J22" s="22">
        <f>IF(H$12=0,0,H22/H$12)</f>
        <v>1.4071512937305315</v>
      </c>
      <c r="K22" s="15"/>
      <c r="L22" s="21">
        <f>+D22-H22</f>
        <v>47297.31</v>
      </c>
      <c r="M22" s="15"/>
      <c r="N22" s="22">
        <f>IF(H22=0,0,L22/H22)</f>
        <v>-1</v>
      </c>
      <c r="O22" s="29"/>
      <c r="P22" s="21">
        <f>P12-P18</f>
        <v>-1764.1999999999971</v>
      </c>
      <c r="Q22" s="14"/>
      <c r="R22" s="22">
        <f>IF(P$12=0,0,P22/P$12)</f>
        <v>-7.4885222966273077E-2</v>
      </c>
      <c r="S22" s="14"/>
      <c r="T22" s="21">
        <f>T12-T18</f>
        <v>2849193.6799999997</v>
      </c>
      <c r="U22" s="14"/>
      <c r="V22" s="22">
        <f>IF(T$12=0,0,T22/T$12)</f>
        <v>0.75828610852510425</v>
      </c>
      <c r="W22" s="15"/>
      <c r="X22" s="21">
        <f>+P22-T22</f>
        <v>-2850957.88</v>
      </c>
      <c r="Y22" s="15"/>
      <c r="Z22" s="22">
        <f>IF(T22=0,0,X22/T22)</f>
        <v>-1.0006191927254311</v>
      </c>
    </row>
    <row r="23" spans="1:26" x14ac:dyDescent="0.25">
      <c r="A23" s="9"/>
      <c r="B23" s="11"/>
      <c r="C23" s="9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4" customFormat="1" x14ac:dyDescent="0.25">
      <c r="A24" s="11"/>
      <c r="B24" s="29" t="s">
        <v>294</v>
      </c>
      <c r="C24" s="11"/>
      <c r="D24" s="20">
        <f>SUM(OSRRefD22x_0)</f>
        <v>46376.02</v>
      </c>
      <c r="E24" s="20"/>
      <c r="F24" s="32">
        <f t="shared" ref="F24:F34" si="13">IF(D$12=0,0,D24/D$12)</f>
        <v>0</v>
      </c>
      <c r="G24" s="20"/>
      <c r="H24" s="20">
        <f>SUM(OSRRefH22x_0)</f>
        <v>40300.73000000001</v>
      </c>
      <c r="I24" s="20"/>
      <c r="J24" s="32">
        <f t="shared" ref="J24:J34" si="14">IF(H$12=0,0,H24/H$12)</f>
        <v>-1.1989947072631586</v>
      </c>
      <c r="K24" s="4"/>
      <c r="L24" s="20">
        <f t="shared" ref="L24:L34" si="15">+D24-H24</f>
        <v>6075.2899999999863</v>
      </c>
      <c r="M24" s="4"/>
      <c r="N24" s="32">
        <f t="shared" ref="N24:N34" si="16">IF(H24=0,0,L24/H24)</f>
        <v>0.15074888221627708</v>
      </c>
      <c r="O24" s="11"/>
      <c r="P24" s="20">
        <f>SUM(OSRRefP22x_0)</f>
        <v>609159.6799999997</v>
      </c>
      <c r="Q24" s="20"/>
      <c r="R24" s="32">
        <f t="shared" ref="R24:R34" si="17">IF(P$12=0,0,P24/P$12)</f>
        <v>25.857078822618533</v>
      </c>
      <c r="S24" s="20"/>
      <c r="T24" s="20">
        <f>SUM(OSRRefT22x_0)</f>
        <v>1729167.5999999999</v>
      </c>
      <c r="U24" s="20"/>
      <c r="V24" s="32">
        <f t="shared" ref="V24:V34" si="18">IF(T$12=0,0,T24/T$12)</f>
        <v>0.46020169832459196</v>
      </c>
      <c r="W24" s="4"/>
      <c r="X24" s="20">
        <f t="shared" ref="X24:X34" si="19">+P24-T24</f>
        <v>-1120007.9200000002</v>
      </c>
      <c r="Y24" s="4"/>
      <c r="Z24" s="32">
        <f t="shared" ref="Z24:Z34" si="20">IF(T24=0,0,X24/T24)</f>
        <v>-0.64771507400439399</v>
      </c>
    </row>
    <row r="25" spans="1:26" s="27" customFormat="1" outlineLevel="1" collapsed="1" x14ac:dyDescent="0.25">
      <c r="A25" s="26"/>
      <c r="B25" s="12" t="str">
        <f>CONCATENATE("     ","*Benefits                                         ")</f>
        <v xml:space="preserve">     *Benefits                                         </v>
      </c>
      <c r="C25" s="12"/>
      <c r="D25" s="1">
        <f>SUM(OSRRefD22_0x_0)</f>
        <v>19821.64</v>
      </c>
      <c r="E25" s="1"/>
      <c r="F25" s="5">
        <f t="shared" si="13"/>
        <v>0</v>
      </c>
      <c r="G25" s="1"/>
      <c r="H25" s="1">
        <f>SUM(OSRRefH22_0x_0)</f>
        <v>15828.91</v>
      </c>
      <c r="I25" s="1"/>
      <c r="J25" s="5">
        <f t="shared" si="14"/>
        <v>-0.47092892143008025</v>
      </c>
      <c r="K25" s="1"/>
      <c r="L25" s="1">
        <f t="shared" si="15"/>
        <v>3992.7299999999996</v>
      </c>
      <c r="M25" s="1"/>
      <c r="N25" s="5">
        <f t="shared" si="16"/>
        <v>0.25224288975046288</v>
      </c>
      <c r="O25" s="12"/>
      <c r="P25" s="1">
        <f>SUM(OSRRefP22_0x_0)</f>
        <v>249805.81</v>
      </c>
      <c r="Q25" s="1"/>
      <c r="R25" s="5">
        <f t="shared" si="17"/>
        <v>10.603539156626505</v>
      </c>
      <c r="S25" s="1"/>
      <c r="T25" s="1">
        <f>SUM(OSRRefT22_0x_0)</f>
        <v>303187.06</v>
      </c>
      <c r="U25" s="1"/>
      <c r="V25" s="5">
        <f t="shared" si="18"/>
        <v>8.0690385317212732E-2</v>
      </c>
      <c r="W25" s="1"/>
      <c r="X25" s="1">
        <f t="shared" si="19"/>
        <v>-53381.25</v>
      </c>
      <c r="Y25" s="1"/>
      <c r="Z25" s="5">
        <f t="shared" si="20"/>
        <v>-0.17606704586930591</v>
      </c>
    </row>
    <row r="26" spans="1:26" s="23" customFormat="1" hidden="1" outlineLevel="2" x14ac:dyDescent="0.25">
      <c r="A26" s="25"/>
      <c r="B26" s="10" t="str">
        <f>CONCATENATE("          ", "6111", " - ", "F.I.C.A.")</f>
        <v xml:space="preserve">          6111 - F.I.C.A.</v>
      </c>
      <c r="C26" s="10"/>
      <c r="D26" s="6">
        <v>1636.47</v>
      </c>
      <c r="E26" s="2"/>
      <c r="F26" s="7">
        <f t="shared" si="13"/>
        <v>0</v>
      </c>
      <c r="G26" s="2"/>
      <c r="H26" s="6">
        <v>1934.19</v>
      </c>
      <c r="I26" s="2"/>
      <c r="J26" s="7">
        <f t="shared" si="14"/>
        <v>-5.7544455716840068E-2</v>
      </c>
      <c r="K26" s="2"/>
      <c r="L26" s="6">
        <f t="shared" si="15"/>
        <v>-297.72000000000003</v>
      </c>
      <c r="M26" s="2"/>
      <c r="N26" s="7">
        <f t="shared" si="16"/>
        <v>-0.15392489879484436</v>
      </c>
      <c r="O26" s="10"/>
      <c r="P26" s="6">
        <v>24157.62</v>
      </c>
      <c r="Q26" s="2"/>
      <c r="R26" s="7">
        <f t="shared" si="17"/>
        <v>1.025421584873881</v>
      </c>
      <c r="S26" s="2"/>
      <c r="T26" s="6">
        <v>47604.73</v>
      </c>
      <c r="U26" s="2"/>
      <c r="V26" s="7">
        <f t="shared" si="18"/>
        <v>1.2669551288309853E-2</v>
      </c>
      <c r="W26" s="2"/>
      <c r="X26" s="6">
        <f t="shared" si="19"/>
        <v>-23447.110000000004</v>
      </c>
      <c r="Y26" s="2"/>
      <c r="Z26" s="7">
        <f t="shared" si="20"/>
        <v>-0.492537401220425</v>
      </c>
    </row>
    <row r="27" spans="1:26" s="23" customFormat="1" hidden="1" outlineLevel="2" x14ac:dyDescent="0.25">
      <c r="A27" s="25"/>
      <c r="B27" s="10" t="str">
        <f>CONCATENATE("          ", "6112", " - ", "COMPENSATION INSURANCE")</f>
        <v xml:space="preserve">          6112 - COMPENSATION INSURANCE</v>
      </c>
      <c r="C27" s="10"/>
      <c r="D27" s="6">
        <v>916.84</v>
      </c>
      <c r="E27" s="2"/>
      <c r="F27" s="7">
        <f t="shared" si="13"/>
        <v>0</v>
      </c>
      <c r="G27" s="2"/>
      <c r="H27" s="6">
        <v>1000.9</v>
      </c>
      <c r="I27" s="2"/>
      <c r="J27" s="7">
        <f t="shared" si="14"/>
        <v>-2.9777966863123697E-2</v>
      </c>
      <c r="K27" s="2"/>
      <c r="L27" s="6">
        <f t="shared" si="15"/>
        <v>-84.059999999999945</v>
      </c>
      <c r="M27" s="2"/>
      <c r="N27" s="7">
        <f t="shared" si="16"/>
        <v>-8.3984414027375304E-2</v>
      </c>
      <c r="O27" s="10"/>
      <c r="P27" s="6">
        <v>13659.52</v>
      </c>
      <c r="Q27" s="2"/>
      <c r="R27" s="7">
        <f t="shared" si="17"/>
        <v>0.57980739191263364</v>
      </c>
      <c r="S27" s="2"/>
      <c r="T27" s="6">
        <v>32114.02</v>
      </c>
      <c r="U27" s="2"/>
      <c r="V27" s="7">
        <f t="shared" si="18"/>
        <v>8.5468444724675127E-3</v>
      </c>
      <c r="W27" s="2"/>
      <c r="X27" s="6">
        <f t="shared" si="19"/>
        <v>-18454.5</v>
      </c>
      <c r="Y27" s="2"/>
      <c r="Z27" s="7">
        <f t="shared" si="20"/>
        <v>-0.57465555542407953</v>
      </c>
    </row>
    <row r="28" spans="1:26" s="23" customFormat="1" hidden="1" outlineLevel="2" x14ac:dyDescent="0.25">
      <c r="A28" s="25"/>
      <c r="B28" s="10" t="str">
        <f>CONCATENATE("          ", "6113", " - ", "GROUP INSURANCE")</f>
        <v xml:space="preserve">          6113 - GROUP INSURANCE</v>
      </c>
      <c r="C28" s="10"/>
      <c r="D28" s="6">
        <v>11992.75</v>
      </c>
      <c r="E28" s="2"/>
      <c r="F28" s="7">
        <f t="shared" si="13"/>
        <v>0</v>
      </c>
      <c r="G28" s="2"/>
      <c r="H28" s="6">
        <v>9826.58</v>
      </c>
      <c r="I28" s="2"/>
      <c r="J28" s="7">
        <f t="shared" si="14"/>
        <v>-0.2923524564070677</v>
      </c>
      <c r="K28" s="2"/>
      <c r="L28" s="6">
        <f t="shared" si="15"/>
        <v>2166.17</v>
      </c>
      <c r="M28" s="2"/>
      <c r="N28" s="7">
        <f t="shared" si="16"/>
        <v>0.22043986819422426</v>
      </c>
      <c r="O28" s="10"/>
      <c r="P28" s="6">
        <v>146094.73000000001</v>
      </c>
      <c r="Q28" s="2"/>
      <c r="R28" s="7">
        <f t="shared" si="17"/>
        <v>6.2013016836228791</v>
      </c>
      <c r="S28" s="2"/>
      <c r="T28" s="6">
        <v>147328.03</v>
      </c>
      <c r="U28" s="2"/>
      <c r="V28" s="7">
        <f t="shared" si="18"/>
        <v>3.9209969939765492E-2</v>
      </c>
      <c r="W28" s="2"/>
      <c r="X28" s="6">
        <f t="shared" si="19"/>
        <v>-1233.2999999999884</v>
      </c>
      <c r="Y28" s="2"/>
      <c r="Z28" s="7">
        <f t="shared" si="20"/>
        <v>-8.3711158019284474E-3</v>
      </c>
    </row>
    <row r="29" spans="1:26" s="23" customFormat="1" hidden="1" outlineLevel="2" x14ac:dyDescent="0.25">
      <c r="A29" s="25"/>
      <c r="B29" s="10" t="str">
        <f>CONCATENATE("          ", "6114", " - ", "STATE UNEMPLOYMENT INSURANCE")</f>
        <v xml:space="preserve">          6114 - STATE UNEMPLOYMENT INSURANCE</v>
      </c>
      <c r="C29" s="10"/>
      <c r="D29" s="6">
        <v>55.57</v>
      </c>
      <c r="E29" s="2"/>
      <c r="F29" s="7">
        <f t="shared" si="13"/>
        <v>0</v>
      </c>
      <c r="G29" s="2"/>
      <c r="H29" s="6">
        <v>-2396.13</v>
      </c>
      <c r="I29" s="2"/>
      <c r="J29" s="7">
        <f t="shared" si="14"/>
        <v>7.1287720791024661E-2</v>
      </c>
      <c r="K29" s="2"/>
      <c r="L29" s="6">
        <f t="shared" si="15"/>
        <v>2451.7000000000003</v>
      </c>
      <c r="M29" s="2"/>
      <c r="N29" s="7">
        <f t="shared" si="16"/>
        <v>-1.0231915630621045</v>
      </c>
      <c r="O29" s="10"/>
      <c r="P29" s="6">
        <v>827.84</v>
      </c>
      <c r="Q29" s="2"/>
      <c r="R29" s="7">
        <f t="shared" si="17"/>
        <v>3.5139430325586446E-2</v>
      </c>
      <c r="S29" s="2"/>
      <c r="T29" s="6">
        <v>0</v>
      </c>
      <c r="U29" s="2"/>
      <c r="V29" s="7">
        <f t="shared" si="18"/>
        <v>0</v>
      </c>
      <c r="W29" s="2"/>
      <c r="X29" s="6">
        <f t="shared" si="19"/>
        <v>827.84</v>
      </c>
      <c r="Y29" s="2"/>
      <c r="Z29" s="7">
        <f t="shared" si="20"/>
        <v>0</v>
      </c>
    </row>
    <row r="30" spans="1:26" s="23" customFormat="1" hidden="1" outlineLevel="2" x14ac:dyDescent="0.25">
      <c r="A30" s="25"/>
      <c r="B30" s="10" t="str">
        <f>CONCATENATE("          ", "6115", " - ", "P.E.R.S.")</f>
        <v xml:space="preserve">          6115 - P.E.R.S.</v>
      </c>
      <c r="C30" s="10"/>
      <c r="D30" s="6">
        <v>1425.05</v>
      </c>
      <c r="E30" s="2"/>
      <c r="F30" s="7">
        <f t="shared" si="13"/>
        <v>0</v>
      </c>
      <c r="G30" s="2"/>
      <c r="H30" s="6">
        <v>872.8</v>
      </c>
      <c r="I30" s="2"/>
      <c r="J30" s="7">
        <f t="shared" si="14"/>
        <v>-2.5966839322743893E-2</v>
      </c>
      <c r="K30" s="2"/>
      <c r="L30" s="6">
        <f t="shared" si="15"/>
        <v>552.25</v>
      </c>
      <c r="M30" s="2"/>
      <c r="N30" s="7">
        <f t="shared" si="16"/>
        <v>0.63273373052245652</v>
      </c>
      <c r="O30" s="10"/>
      <c r="P30" s="6">
        <v>12905.96</v>
      </c>
      <c r="Q30" s="2"/>
      <c r="R30" s="7">
        <f t="shared" si="17"/>
        <v>0.54782093424430522</v>
      </c>
      <c r="S30" s="2"/>
      <c r="T30" s="6">
        <v>14731.47</v>
      </c>
      <c r="U30" s="2"/>
      <c r="V30" s="7">
        <f t="shared" si="18"/>
        <v>3.9206422285600175E-3</v>
      </c>
      <c r="W30" s="2"/>
      <c r="X30" s="6">
        <f t="shared" si="19"/>
        <v>-1825.5100000000002</v>
      </c>
      <c r="Y30" s="2"/>
      <c r="Z30" s="7">
        <f t="shared" si="20"/>
        <v>-0.12391906578230144</v>
      </c>
    </row>
    <row r="31" spans="1:26" s="23" customFormat="1" hidden="1" outlineLevel="2" x14ac:dyDescent="0.25">
      <c r="A31" s="25"/>
      <c r="B31" s="10" t="str">
        <f>CONCATENATE("          ", "6117", " - ", "RETIREMENT STAFF HOURLY")</f>
        <v xml:space="preserve">          6117 - RETIREMENT STAFF HOURLY</v>
      </c>
      <c r="C31" s="10"/>
      <c r="D31" s="6">
        <v>358.48</v>
      </c>
      <c r="E31" s="2"/>
      <c r="F31" s="7">
        <f t="shared" si="13"/>
        <v>0</v>
      </c>
      <c r="G31" s="2"/>
      <c r="H31" s="6">
        <v>374.48</v>
      </c>
      <c r="I31" s="2"/>
      <c r="J31" s="7">
        <f t="shared" si="14"/>
        <v>-1.1141225927567751E-2</v>
      </c>
      <c r="K31" s="2"/>
      <c r="L31" s="6">
        <f t="shared" si="15"/>
        <v>-16</v>
      </c>
      <c r="M31" s="2"/>
      <c r="N31" s="7">
        <f t="shared" si="16"/>
        <v>-4.2725913266396069E-2</v>
      </c>
      <c r="O31" s="10"/>
      <c r="P31" s="6">
        <v>4738.67</v>
      </c>
      <c r="Q31" s="2"/>
      <c r="R31" s="7">
        <f t="shared" si="17"/>
        <v>0.20114293136469213</v>
      </c>
      <c r="S31" s="2"/>
      <c r="T31" s="6">
        <v>6026.81</v>
      </c>
      <c r="U31" s="2"/>
      <c r="V31" s="7">
        <f t="shared" si="18"/>
        <v>1.6039788147080912E-3</v>
      </c>
      <c r="W31" s="2"/>
      <c r="X31" s="6">
        <f t="shared" si="19"/>
        <v>-1288.1400000000003</v>
      </c>
      <c r="Y31" s="2"/>
      <c r="Z31" s="7">
        <f t="shared" si="20"/>
        <v>-0.21373496094949074</v>
      </c>
    </row>
    <row r="32" spans="1:26" s="23" customFormat="1" hidden="1" outlineLevel="2" x14ac:dyDescent="0.25">
      <c r="A32" s="25"/>
      <c r="B32" s="10" t="str">
        <f>CONCATENATE("          ", "6118", " - ", "VACATION")</f>
        <v xml:space="preserve">          6118 - VACATION</v>
      </c>
      <c r="C32" s="10"/>
      <c r="D32" s="6">
        <v>1521.96</v>
      </c>
      <c r="E32" s="2"/>
      <c r="F32" s="7">
        <f t="shared" si="13"/>
        <v>0</v>
      </c>
      <c r="G32" s="2"/>
      <c r="H32" s="6">
        <v>1852.16</v>
      </c>
      <c r="I32" s="2"/>
      <c r="J32" s="7">
        <f t="shared" si="14"/>
        <v>-5.5103965536220594E-2</v>
      </c>
      <c r="K32" s="2"/>
      <c r="L32" s="6">
        <f t="shared" si="15"/>
        <v>-330.20000000000005</v>
      </c>
      <c r="M32" s="2"/>
      <c r="N32" s="7">
        <f t="shared" si="16"/>
        <v>-0.17827833448514169</v>
      </c>
      <c r="O32" s="10"/>
      <c r="P32" s="6">
        <v>22512</v>
      </c>
      <c r="Q32" s="2"/>
      <c r="R32" s="7">
        <f t="shared" si="17"/>
        <v>0.95556974232895497</v>
      </c>
      <c r="S32" s="2"/>
      <c r="T32" s="6">
        <v>29874.38</v>
      </c>
      <c r="U32" s="2"/>
      <c r="V32" s="7">
        <f t="shared" si="18"/>
        <v>7.9507853445751741E-3</v>
      </c>
      <c r="W32" s="2"/>
      <c r="X32" s="6">
        <f t="shared" si="19"/>
        <v>-7362.380000000001</v>
      </c>
      <c r="Y32" s="2"/>
      <c r="Z32" s="7">
        <f t="shared" si="20"/>
        <v>-0.24644461240701901</v>
      </c>
    </row>
    <row r="33" spans="1:26" s="23" customFormat="1" hidden="1" outlineLevel="2" x14ac:dyDescent="0.25">
      <c r="A33" s="25"/>
      <c r="B33" s="10" t="str">
        <f>CONCATENATE("          ", "6119", " - ", "SICK LEAVE")</f>
        <v xml:space="preserve">          6119 - SICK LEAVE</v>
      </c>
      <c r="C33" s="10"/>
      <c r="D33" s="6">
        <v>951.39</v>
      </c>
      <c r="E33" s="2"/>
      <c r="F33" s="7">
        <f t="shared" si="13"/>
        <v>0</v>
      </c>
      <c r="G33" s="2"/>
      <c r="H33" s="6">
        <v>1608.53</v>
      </c>
      <c r="I33" s="2"/>
      <c r="J33" s="7">
        <f t="shared" si="14"/>
        <v>-4.7855682923709023E-2</v>
      </c>
      <c r="K33" s="2"/>
      <c r="L33" s="6">
        <f t="shared" si="15"/>
        <v>-657.14</v>
      </c>
      <c r="M33" s="2"/>
      <c r="N33" s="7">
        <f t="shared" si="16"/>
        <v>-0.40853450044450523</v>
      </c>
      <c r="O33" s="10"/>
      <c r="P33" s="6">
        <v>14989.46</v>
      </c>
      <c r="Q33" s="2"/>
      <c r="R33" s="7">
        <f t="shared" si="17"/>
        <v>0.63625952513549111</v>
      </c>
      <c r="S33" s="2"/>
      <c r="T33" s="6">
        <v>13240.17</v>
      </c>
      <c r="U33" s="2"/>
      <c r="V33" s="7">
        <f t="shared" si="18"/>
        <v>3.5237467554367278E-3</v>
      </c>
      <c r="W33" s="2"/>
      <c r="X33" s="6">
        <f t="shared" si="19"/>
        <v>1749.2899999999991</v>
      </c>
      <c r="Y33" s="2"/>
      <c r="Z33" s="7">
        <f t="shared" si="20"/>
        <v>0.13211990480484759</v>
      </c>
    </row>
    <row r="34" spans="1:26" s="23" customFormat="1" hidden="1" outlineLevel="2" x14ac:dyDescent="0.25">
      <c r="A34" s="25"/>
      <c r="B34" s="10" t="str">
        <f>CONCATENATE("          ", "6156", " - ", "EMPLOYEE MEALS")</f>
        <v xml:space="preserve">          6156 - EMPLOYEE MEALS</v>
      </c>
      <c r="C34" s="10"/>
      <c r="D34" s="6">
        <v>963.13</v>
      </c>
      <c r="E34" s="2"/>
      <c r="F34" s="7">
        <f t="shared" si="13"/>
        <v>0</v>
      </c>
      <c r="G34" s="2"/>
      <c r="H34" s="6">
        <v>755.4</v>
      </c>
      <c r="I34" s="2"/>
      <c r="J34" s="7">
        <f t="shared" si="14"/>
        <v>-2.2474049523832192E-2</v>
      </c>
      <c r="K34" s="2"/>
      <c r="L34" s="6">
        <f t="shared" si="15"/>
        <v>207.73000000000002</v>
      </c>
      <c r="M34" s="2"/>
      <c r="N34" s="7">
        <f t="shared" si="16"/>
        <v>0.27499338099020387</v>
      </c>
      <c r="O34" s="10"/>
      <c r="P34" s="6">
        <v>9920.01</v>
      </c>
      <c r="Q34" s="2"/>
      <c r="R34" s="7">
        <f t="shared" si="17"/>
        <v>0.42107593281808181</v>
      </c>
      <c r="S34" s="2"/>
      <c r="T34" s="6">
        <v>12267.45</v>
      </c>
      <c r="U34" s="2"/>
      <c r="V34" s="7">
        <f t="shared" si="18"/>
        <v>3.264866473389865E-3</v>
      </c>
      <c r="W34" s="2"/>
      <c r="X34" s="6">
        <f t="shared" si="19"/>
        <v>-2347.4400000000005</v>
      </c>
      <c r="Y34" s="2"/>
      <c r="Z34" s="7">
        <f t="shared" si="20"/>
        <v>-0.19135517161268237</v>
      </c>
    </row>
    <row r="35" spans="1:26" s="27" customFormat="1" outlineLevel="1" collapsed="1" x14ac:dyDescent="0.25">
      <c r="A35" s="26"/>
      <c r="B35" s="12" t="str">
        <f>CONCATENATE("     ","*Payroll                                          ")</f>
        <v xml:space="preserve">     *Payroll                                          </v>
      </c>
      <c r="C35" s="12"/>
      <c r="D35" s="1">
        <f>SUM(OSRRefD22_1x_0)</f>
        <v>18605.199999999997</v>
      </c>
      <c r="E35" s="1"/>
      <c r="F35" s="5">
        <f t="shared" ref="F35:F41" si="21">IF(D$12=0,0,D35/D$12)</f>
        <v>0</v>
      </c>
      <c r="G35" s="1"/>
      <c r="H35" s="1">
        <f>SUM(OSRRefH22_1x_0)</f>
        <v>18348.21</v>
      </c>
      <c r="I35" s="1"/>
      <c r="J35" s="5">
        <f t="shared" ref="J35:J41" si="22">IF(H$12=0,0,H35/H$12)</f>
        <v>-0.545881096390883</v>
      </c>
      <c r="K35" s="1"/>
      <c r="L35" s="1">
        <f t="shared" ref="L35:L41" si="23">+D35-H35</f>
        <v>256.98999999999796</v>
      </c>
      <c r="M35" s="1"/>
      <c r="N35" s="5">
        <f t="shared" ref="N35:N41" si="24">IF(H35=0,0,L35/H35)</f>
        <v>1.4006270911440298E-2</v>
      </c>
      <c r="O35" s="12"/>
      <c r="P35" s="1">
        <f>SUM(OSRRefP22_1x_0)</f>
        <v>264835.24</v>
      </c>
      <c r="Q35" s="1"/>
      <c r="R35" s="5">
        <f t="shared" ref="R35:R41" si="25">IF(P$12=0,0,P35/P$12)</f>
        <v>11.241495293462462</v>
      </c>
      <c r="S35" s="1"/>
      <c r="T35" s="1">
        <f>SUM(OSRRefT22_1x_0)</f>
        <v>877301.56</v>
      </c>
      <c r="U35" s="1"/>
      <c r="V35" s="5">
        <f t="shared" ref="V35:V41" si="26">IF(T$12=0,0,T35/T$12)</f>
        <v>0.2334855614081677</v>
      </c>
      <c r="W35" s="1"/>
      <c r="X35" s="1">
        <f t="shared" ref="X35:X41" si="27">+P35-T35</f>
        <v>-612466.32000000007</v>
      </c>
      <c r="Y35" s="1"/>
      <c r="Z35" s="5">
        <f t="shared" ref="Z35:Z41" si="28">IF(T35=0,0,X35/T35)</f>
        <v>-0.69812519198073697</v>
      </c>
    </row>
    <row r="36" spans="1:26" s="23" customFormat="1" hidden="1" outlineLevel="2" x14ac:dyDescent="0.25">
      <c r="A36" s="25"/>
      <c r="B36" s="10" t="str">
        <f>CONCATENATE("          ", "6002", " - ", "STAFF SALARIES")</f>
        <v xml:space="preserve">          6002 - STAFF SALARIES</v>
      </c>
      <c r="C36" s="10"/>
      <c r="D36" s="6">
        <v>7834.07</v>
      </c>
      <c r="E36" s="2"/>
      <c r="F36" s="7">
        <f t="shared" si="21"/>
        <v>0</v>
      </c>
      <c r="G36" s="2"/>
      <c r="H36" s="6">
        <v>6773.11</v>
      </c>
      <c r="I36" s="2"/>
      <c r="J36" s="7">
        <f t="shared" si="22"/>
        <v>-0.20150808786121666</v>
      </c>
      <c r="K36" s="2"/>
      <c r="L36" s="6">
        <f t="shared" si="23"/>
        <v>1060.96</v>
      </c>
      <c r="M36" s="2"/>
      <c r="N36" s="7">
        <f t="shared" si="24"/>
        <v>0.15664296017634441</v>
      </c>
      <c r="O36" s="10"/>
      <c r="P36" s="6">
        <v>108795.38</v>
      </c>
      <c r="Q36" s="2"/>
      <c r="R36" s="7">
        <f t="shared" si="25"/>
        <v>4.6180514051697203</v>
      </c>
      <c r="S36" s="2"/>
      <c r="T36" s="6">
        <v>156872.18</v>
      </c>
      <c r="U36" s="2"/>
      <c r="V36" s="7">
        <f t="shared" si="26"/>
        <v>4.1750055723852965E-2</v>
      </c>
      <c r="W36" s="2"/>
      <c r="X36" s="6">
        <f t="shared" si="27"/>
        <v>-48076.799999999988</v>
      </c>
      <c r="Y36" s="2"/>
      <c r="Z36" s="7">
        <f t="shared" si="28"/>
        <v>-0.30647116652551137</v>
      </c>
    </row>
    <row r="37" spans="1:26" s="23" customFormat="1" hidden="1" outlineLevel="2" x14ac:dyDescent="0.25">
      <c r="A37" s="25"/>
      <c r="B37" s="10" t="str">
        <f>CONCATENATE("          ", "6004", " - ", "STAFF HOURLY")</f>
        <v xml:space="preserve">          6004 - STAFF HOURLY</v>
      </c>
      <c r="C37" s="10"/>
      <c r="D37" s="6">
        <v>10771.13</v>
      </c>
      <c r="E37" s="2"/>
      <c r="F37" s="7">
        <f t="shared" si="21"/>
        <v>0</v>
      </c>
      <c r="G37" s="2"/>
      <c r="H37" s="6">
        <v>11575.1</v>
      </c>
      <c r="I37" s="2"/>
      <c r="J37" s="7">
        <f t="shared" si="22"/>
        <v>-0.3443730085296664</v>
      </c>
      <c r="K37" s="2"/>
      <c r="L37" s="6">
        <f t="shared" si="23"/>
        <v>-803.97000000000116</v>
      </c>
      <c r="M37" s="2"/>
      <c r="N37" s="7">
        <f t="shared" si="24"/>
        <v>-6.945685134469691E-2</v>
      </c>
      <c r="O37" s="10"/>
      <c r="P37" s="6">
        <v>156039.85999999999</v>
      </c>
      <c r="Q37" s="2"/>
      <c r="R37" s="7">
        <f t="shared" si="25"/>
        <v>6.6234438882927416</v>
      </c>
      <c r="S37" s="2"/>
      <c r="T37" s="6">
        <v>222140.89</v>
      </c>
      <c r="U37" s="2"/>
      <c r="V37" s="7">
        <f t="shared" si="26"/>
        <v>5.9120709204438245E-2</v>
      </c>
      <c r="W37" s="2"/>
      <c r="X37" s="6">
        <f t="shared" si="27"/>
        <v>-66101.030000000028</v>
      </c>
      <c r="Y37" s="2"/>
      <c r="Z37" s="7">
        <f t="shared" si="28"/>
        <v>-0.29756354176846966</v>
      </c>
    </row>
    <row r="38" spans="1:26" s="23" customFormat="1" hidden="1" outlineLevel="2" x14ac:dyDescent="0.25">
      <c r="A38" s="25"/>
      <c r="B38" s="10" t="str">
        <f>CONCATENATE("          ", "6005", " - ", "TEMPORARY WAGES-HOURLY")</f>
        <v xml:space="preserve">          6005 - TEMPORARY WAGES-HOURLY</v>
      </c>
      <c r="C38" s="10"/>
      <c r="D38" s="6"/>
      <c r="E38" s="2"/>
      <c r="F38" s="7">
        <f t="shared" si="21"/>
        <v>0</v>
      </c>
      <c r="G38" s="2"/>
      <c r="H38" s="6"/>
      <c r="I38" s="2"/>
      <c r="J38" s="7">
        <f t="shared" si="22"/>
        <v>0</v>
      </c>
      <c r="K38" s="2"/>
      <c r="L38" s="6">
        <f t="shared" si="23"/>
        <v>0</v>
      </c>
      <c r="M38" s="2"/>
      <c r="N38" s="7">
        <f t="shared" si="24"/>
        <v>0</v>
      </c>
      <c r="O38" s="10"/>
      <c r="P38" s="6"/>
      <c r="Q38" s="2"/>
      <c r="R38" s="7">
        <f t="shared" si="25"/>
        <v>0</v>
      </c>
      <c r="S38" s="2"/>
      <c r="T38" s="6">
        <v>132250.51</v>
      </c>
      <c r="U38" s="2"/>
      <c r="V38" s="7">
        <f t="shared" si="26"/>
        <v>3.5197229757424002E-2</v>
      </c>
      <c r="W38" s="2"/>
      <c r="X38" s="6">
        <f t="shared" si="27"/>
        <v>-132250.51</v>
      </c>
      <c r="Y38" s="2"/>
      <c r="Z38" s="7">
        <f t="shared" si="28"/>
        <v>-1</v>
      </c>
    </row>
    <row r="39" spans="1:26" s="23" customFormat="1" hidden="1" outlineLevel="2" x14ac:dyDescent="0.25">
      <c r="A39" s="25"/>
      <c r="B39" s="10" t="str">
        <f>CONCATENATE("          ", "6006", " - ", "TEMPORARY PART TIME")</f>
        <v xml:space="preserve">          6006 - TEMPORARY PART TIME</v>
      </c>
      <c r="C39" s="10"/>
      <c r="D39" s="6"/>
      <c r="E39" s="2"/>
      <c r="F39" s="7">
        <f t="shared" si="21"/>
        <v>0</v>
      </c>
      <c r="G39" s="2"/>
      <c r="H39" s="6"/>
      <c r="I39" s="2"/>
      <c r="J39" s="7">
        <f t="shared" si="22"/>
        <v>0</v>
      </c>
      <c r="K39" s="2"/>
      <c r="L39" s="6">
        <f t="shared" si="23"/>
        <v>0</v>
      </c>
      <c r="M39" s="2"/>
      <c r="N39" s="7">
        <f t="shared" si="24"/>
        <v>0</v>
      </c>
      <c r="O39" s="10"/>
      <c r="P39" s="6"/>
      <c r="Q39" s="2"/>
      <c r="R39" s="7">
        <f t="shared" si="25"/>
        <v>0</v>
      </c>
      <c r="S39" s="2"/>
      <c r="T39" s="6">
        <v>10133.07</v>
      </c>
      <c r="U39" s="2"/>
      <c r="V39" s="7">
        <f t="shared" si="26"/>
        <v>2.6968213047954249E-3</v>
      </c>
      <c r="W39" s="2"/>
      <c r="X39" s="6">
        <f t="shared" si="27"/>
        <v>-10133.07</v>
      </c>
      <c r="Y39" s="2"/>
      <c r="Z39" s="7">
        <f t="shared" si="28"/>
        <v>-1</v>
      </c>
    </row>
    <row r="40" spans="1:26" s="23" customFormat="1" hidden="1" outlineLevel="2" x14ac:dyDescent="0.25">
      <c r="A40" s="25"/>
      <c r="B40" s="10" t="str">
        <f>CONCATENATE("          ", "6007", " - ", "STUDENT HOURLY")</f>
        <v xml:space="preserve">          6007 - STUDENT HOURLY</v>
      </c>
      <c r="C40" s="10"/>
      <c r="D40" s="6"/>
      <c r="E40" s="2"/>
      <c r="F40" s="7">
        <f t="shared" si="21"/>
        <v>0</v>
      </c>
      <c r="G40" s="2"/>
      <c r="H40" s="6"/>
      <c r="I40" s="2"/>
      <c r="J40" s="7">
        <f t="shared" si="22"/>
        <v>0</v>
      </c>
      <c r="K40" s="2"/>
      <c r="L40" s="6">
        <f t="shared" si="23"/>
        <v>0</v>
      </c>
      <c r="M40" s="2"/>
      <c r="N40" s="7">
        <f t="shared" si="24"/>
        <v>0</v>
      </c>
      <c r="O40" s="10"/>
      <c r="P40" s="6">
        <v>0</v>
      </c>
      <c r="Q40" s="2"/>
      <c r="R40" s="7">
        <f t="shared" si="25"/>
        <v>0</v>
      </c>
      <c r="S40" s="2"/>
      <c r="T40" s="6">
        <v>326051.69</v>
      </c>
      <c r="U40" s="2"/>
      <c r="V40" s="7">
        <f t="shared" si="26"/>
        <v>8.6775591608126007E-2</v>
      </c>
      <c r="W40" s="2"/>
      <c r="X40" s="6">
        <f t="shared" si="27"/>
        <v>-326051.69</v>
      </c>
      <c r="Y40" s="2"/>
      <c r="Z40" s="7">
        <f t="shared" si="28"/>
        <v>-1</v>
      </c>
    </row>
    <row r="41" spans="1:26" s="23" customFormat="1" hidden="1" outlineLevel="2" x14ac:dyDescent="0.25">
      <c r="A41" s="25"/>
      <c r="B41" s="10" t="str">
        <f>CONCATENATE("          ", "6008", " - ", "STUDENT HOURLY-FICA EXEMPT")</f>
        <v xml:space="preserve">          6008 - STUDENT HOURLY-FICA EXEMPT</v>
      </c>
      <c r="C41" s="10"/>
      <c r="D41" s="6"/>
      <c r="E41" s="2"/>
      <c r="F41" s="7">
        <f t="shared" si="21"/>
        <v>0</v>
      </c>
      <c r="G41" s="2"/>
      <c r="H41" s="6"/>
      <c r="I41" s="2"/>
      <c r="J41" s="7">
        <f t="shared" si="22"/>
        <v>0</v>
      </c>
      <c r="K41" s="2"/>
      <c r="L41" s="6">
        <f t="shared" si="23"/>
        <v>0</v>
      </c>
      <c r="M41" s="2"/>
      <c r="N41" s="7">
        <f t="shared" si="24"/>
        <v>0</v>
      </c>
      <c r="O41" s="10"/>
      <c r="P41" s="6"/>
      <c r="Q41" s="2"/>
      <c r="R41" s="7">
        <f t="shared" si="25"/>
        <v>0</v>
      </c>
      <c r="S41" s="2"/>
      <c r="T41" s="6">
        <v>29853.22</v>
      </c>
      <c r="U41" s="2"/>
      <c r="V41" s="7">
        <f t="shared" si="26"/>
        <v>7.9451538095310584E-3</v>
      </c>
      <c r="W41" s="2"/>
      <c r="X41" s="6">
        <f t="shared" si="27"/>
        <v>-29853.22</v>
      </c>
      <c r="Y41" s="2"/>
      <c r="Z41" s="7">
        <f t="shared" si="28"/>
        <v>-1</v>
      </c>
    </row>
    <row r="42" spans="1:26" s="27" customFormat="1" outlineLevel="1" collapsed="1" x14ac:dyDescent="0.25">
      <c r="A42" s="26"/>
      <c r="B42" s="12" t="str">
        <f>CONCATENATE("     ","Advertising/Promo                                 ")</f>
        <v xml:space="preserve">     Advertising/Promo                                 </v>
      </c>
      <c r="C42" s="12"/>
      <c r="D42" s="1">
        <f>SUM(OSRRefD22_2x_0)</f>
        <v>12.29</v>
      </c>
      <c r="E42" s="1"/>
      <c r="F42" s="5">
        <f t="shared" ref="F42:F63" si="29">IF(D$12=0,0,D42/D$12)</f>
        <v>0</v>
      </c>
      <c r="G42" s="1"/>
      <c r="H42" s="1">
        <f>SUM(OSRRefH22_2x_0)</f>
        <v>0</v>
      </c>
      <c r="I42" s="1"/>
      <c r="J42" s="5">
        <f t="shared" ref="J42:J63" si="30">IF(H$12=0,0,H42/H$12)</f>
        <v>0</v>
      </c>
      <c r="K42" s="1"/>
      <c r="L42" s="1">
        <f t="shared" ref="L42:L63" si="31">+D42-H42</f>
        <v>12.29</v>
      </c>
      <c r="M42" s="1"/>
      <c r="N42" s="5">
        <f t="shared" ref="N42:N63" si="32">IF(H42=0,0,L42/H42)</f>
        <v>0</v>
      </c>
      <c r="O42" s="12"/>
      <c r="P42" s="1">
        <f>SUM(OSRRefP22_2x_0)</f>
        <v>217.04</v>
      </c>
      <c r="Q42" s="1"/>
      <c r="R42" s="5">
        <f t="shared" ref="R42:R63" si="33">IF(P$12=0,0,P42/P$12)</f>
        <v>9.2127246302006211E-3</v>
      </c>
      <c r="S42" s="1"/>
      <c r="T42" s="1">
        <f>SUM(OSRRefT22_2x_0)</f>
        <v>2828.94</v>
      </c>
      <c r="U42" s="1"/>
      <c r="V42" s="5">
        <f t="shared" ref="V42:V63" si="34">IF(T$12=0,0,T42/T$12)</f>
        <v>7.5289578202735895E-4</v>
      </c>
      <c r="W42" s="1"/>
      <c r="X42" s="1">
        <f t="shared" ref="X42:X63" si="35">+P42-T42</f>
        <v>-2611.9</v>
      </c>
      <c r="Y42" s="1"/>
      <c r="Z42" s="5">
        <f t="shared" ref="Z42:Z63" si="36">IF(T42=0,0,X42/T42)</f>
        <v>-0.92327868388866507</v>
      </c>
    </row>
    <row r="43" spans="1:26" s="23" customFormat="1" hidden="1" outlineLevel="2" x14ac:dyDescent="0.25">
      <c r="A43" s="25"/>
      <c r="B43" s="10" t="str">
        <f>CONCATENATE("          ", "6362", " - ", "ADVERTISING EXPENSE")</f>
        <v xml:space="preserve">          6362 - ADVERTISING EXPENSE</v>
      </c>
      <c r="C43" s="10"/>
      <c r="D43" s="6">
        <v>12.29</v>
      </c>
      <c r="E43" s="2"/>
      <c r="F43" s="7">
        <f t="shared" si="29"/>
        <v>0</v>
      </c>
      <c r="G43" s="2"/>
      <c r="H43" s="6"/>
      <c r="I43" s="2"/>
      <c r="J43" s="7">
        <f t="shared" si="30"/>
        <v>0</v>
      </c>
      <c r="K43" s="2"/>
      <c r="L43" s="6">
        <f t="shared" si="31"/>
        <v>12.29</v>
      </c>
      <c r="M43" s="2"/>
      <c r="N43" s="7">
        <f t="shared" si="32"/>
        <v>0</v>
      </c>
      <c r="O43" s="10"/>
      <c r="P43" s="6">
        <v>217.04</v>
      </c>
      <c r="Q43" s="2"/>
      <c r="R43" s="7">
        <f t="shared" si="33"/>
        <v>9.2127246302006211E-3</v>
      </c>
      <c r="S43" s="2"/>
      <c r="T43" s="6">
        <v>2828.94</v>
      </c>
      <c r="U43" s="2"/>
      <c r="V43" s="7">
        <f t="shared" si="34"/>
        <v>7.5289578202735895E-4</v>
      </c>
      <c r="W43" s="2"/>
      <c r="X43" s="6">
        <f t="shared" si="35"/>
        <v>-2611.9</v>
      </c>
      <c r="Y43" s="2"/>
      <c r="Z43" s="7">
        <f t="shared" si="36"/>
        <v>-0.92327868388866507</v>
      </c>
    </row>
    <row r="44" spans="1:26" s="27" customFormat="1" outlineLevel="1" collapsed="1" x14ac:dyDescent="0.25">
      <c r="A44" s="26"/>
      <c r="B44" s="12" t="str">
        <f>CONCATENATE("     ","Bad Debts/Over/Short                              ")</f>
        <v xml:space="preserve">     Bad Debts/Over/Short                              </v>
      </c>
      <c r="C44" s="12"/>
      <c r="D44" s="1">
        <f>SUM(OSRRefD22_3x_0)</f>
        <v>0</v>
      </c>
      <c r="E44" s="1"/>
      <c r="F44" s="5">
        <f t="shared" si="29"/>
        <v>0</v>
      </c>
      <c r="G44" s="1"/>
      <c r="H44" s="1">
        <f>SUM(OSRRefH22_3x_0)</f>
        <v>0</v>
      </c>
      <c r="I44" s="1"/>
      <c r="J44" s="5">
        <f t="shared" si="30"/>
        <v>0</v>
      </c>
      <c r="K44" s="1"/>
      <c r="L44" s="1">
        <f t="shared" si="31"/>
        <v>0</v>
      </c>
      <c r="M44" s="1"/>
      <c r="N44" s="5">
        <f t="shared" si="32"/>
        <v>0</v>
      </c>
      <c r="O44" s="12"/>
      <c r="P44" s="1">
        <f>SUM(OSRRefP22_3x_0)</f>
        <v>0</v>
      </c>
      <c r="Q44" s="1"/>
      <c r="R44" s="5">
        <f t="shared" si="33"/>
        <v>0</v>
      </c>
      <c r="S44" s="1"/>
      <c r="T44" s="1">
        <f>SUM(OSRRefT22_3x_0)</f>
        <v>1.65</v>
      </c>
      <c r="U44" s="1"/>
      <c r="V44" s="5">
        <f t="shared" si="34"/>
        <v>4.3913198595415317E-7</v>
      </c>
      <c r="W44" s="1"/>
      <c r="X44" s="1">
        <f t="shared" si="35"/>
        <v>-1.65</v>
      </c>
      <c r="Y44" s="1"/>
      <c r="Z44" s="5">
        <f t="shared" si="36"/>
        <v>-1</v>
      </c>
    </row>
    <row r="45" spans="1:26" s="23" customFormat="1" hidden="1" outlineLevel="2" x14ac:dyDescent="0.25">
      <c r="A45" s="25"/>
      <c r="B45" s="10" t="str">
        <f>CONCATENATE("          ", "6272", " - ", "CASH (OVER/SHORT)")</f>
        <v xml:space="preserve">          6272 - CASH (OVER/SHORT)</v>
      </c>
      <c r="C45" s="10"/>
      <c r="D45" s="6"/>
      <c r="E45" s="2"/>
      <c r="F45" s="7">
        <f t="shared" si="29"/>
        <v>0</v>
      </c>
      <c r="G45" s="2"/>
      <c r="H45" s="6"/>
      <c r="I45" s="2"/>
      <c r="J45" s="7">
        <f t="shared" si="30"/>
        <v>0</v>
      </c>
      <c r="K45" s="2"/>
      <c r="L45" s="6">
        <f t="shared" si="31"/>
        <v>0</v>
      </c>
      <c r="M45" s="2"/>
      <c r="N45" s="7">
        <f t="shared" si="32"/>
        <v>0</v>
      </c>
      <c r="O45" s="10"/>
      <c r="P45" s="6">
        <v>0</v>
      </c>
      <c r="Q45" s="2"/>
      <c r="R45" s="7">
        <f t="shared" si="33"/>
        <v>0</v>
      </c>
      <c r="S45" s="2"/>
      <c r="T45" s="6">
        <v>1.65</v>
      </c>
      <c r="U45" s="2"/>
      <c r="V45" s="7">
        <f t="shared" si="34"/>
        <v>4.3913198595415317E-7</v>
      </c>
      <c r="W45" s="2"/>
      <c r="X45" s="6">
        <f t="shared" si="35"/>
        <v>-1.65</v>
      </c>
      <c r="Y45" s="2"/>
      <c r="Z45" s="7">
        <f t="shared" si="36"/>
        <v>-1</v>
      </c>
    </row>
    <row r="46" spans="1:26" s="27" customFormat="1" outlineLevel="1" collapsed="1" x14ac:dyDescent="0.25">
      <c r="A46" s="26"/>
      <c r="B46" s="12" t="str">
        <f>CONCATENATE("     ","Bank/card Fees                                    ")</f>
        <v xml:space="preserve">     Bank/card Fees                                    </v>
      </c>
      <c r="C46" s="12"/>
      <c r="D46" s="1">
        <f>SUM(OSRRefD22_4x_0)</f>
        <v>0</v>
      </c>
      <c r="E46" s="1"/>
      <c r="F46" s="5">
        <f t="shared" si="29"/>
        <v>0</v>
      </c>
      <c r="G46" s="1"/>
      <c r="H46" s="1">
        <f>SUM(OSRRefH22_4x_0)</f>
        <v>0</v>
      </c>
      <c r="I46" s="1"/>
      <c r="J46" s="5">
        <f t="shared" si="30"/>
        <v>0</v>
      </c>
      <c r="K46" s="1"/>
      <c r="L46" s="1">
        <f t="shared" si="31"/>
        <v>0</v>
      </c>
      <c r="M46" s="1"/>
      <c r="N46" s="5">
        <f t="shared" si="32"/>
        <v>0</v>
      </c>
      <c r="O46" s="12"/>
      <c r="P46" s="1">
        <f>SUM(OSRRefP22_4x_0)</f>
        <v>0</v>
      </c>
      <c r="Q46" s="1"/>
      <c r="R46" s="5">
        <f t="shared" si="33"/>
        <v>0</v>
      </c>
      <c r="S46" s="1"/>
      <c r="T46" s="1">
        <f>SUM(OSRRefT22_4x_0)</f>
        <v>1859.94</v>
      </c>
      <c r="U46" s="1"/>
      <c r="V46" s="5">
        <f t="shared" si="34"/>
        <v>4.9500554300337444E-4</v>
      </c>
      <c r="W46" s="1"/>
      <c r="X46" s="1">
        <f t="shared" si="35"/>
        <v>-1859.94</v>
      </c>
      <c r="Y46" s="1"/>
      <c r="Z46" s="5">
        <f t="shared" si="36"/>
        <v>-1</v>
      </c>
    </row>
    <row r="47" spans="1:26" s="23" customFormat="1" hidden="1" outlineLevel="2" x14ac:dyDescent="0.25">
      <c r="A47" s="25"/>
      <c r="B47" s="10" t="str">
        <f>CONCATENATE("          ", "6381", " - ", "BANK/CREDIT CARD FEES")</f>
        <v xml:space="preserve">          6381 - BANK/CREDIT CARD FEES</v>
      </c>
      <c r="C47" s="10"/>
      <c r="D47" s="6"/>
      <c r="E47" s="2"/>
      <c r="F47" s="7">
        <f t="shared" si="29"/>
        <v>0</v>
      </c>
      <c r="G47" s="2"/>
      <c r="H47" s="6"/>
      <c r="I47" s="2"/>
      <c r="J47" s="7">
        <f t="shared" si="30"/>
        <v>0</v>
      </c>
      <c r="K47" s="2"/>
      <c r="L47" s="6">
        <f t="shared" si="31"/>
        <v>0</v>
      </c>
      <c r="M47" s="2"/>
      <c r="N47" s="7">
        <f t="shared" si="32"/>
        <v>0</v>
      </c>
      <c r="O47" s="10"/>
      <c r="P47" s="6"/>
      <c r="Q47" s="2"/>
      <c r="R47" s="7">
        <f t="shared" si="33"/>
        <v>0</v>
      </c>
      <c r="S47" s="2"/>
      <c r="T47" s="6">
        <v>1859.94</v>
      </c>
      <c r="U47" s="2"/>
      <c r="V47" s="7">
        <f t="shared" si="34"/>
        <v>4.9500554300337444E-4</v>
      </c>
      <c r="W47" s="2"/>
      <c r="X47" s="6">
        <f t="shared" si="35"/>
        <v>-1859.94</v>
      </c>
      <c r="Y47" s="2"/>
      <c r="Z47" s="7">
        <f t="shared" si="36"/>
        <v>-1</v>
      </c>
    </row>
    <row r="48" spans="1:26" s="27" customFormat="1" outlineLevel="1" collapsed="1" x14ac:dyDescent="0.25">
      <c r="A48" s="26"/>
      <c r="B48" s="12" t="str">
        <f>CONCATENATE("     ","Depreciation                                      ")</f>
        <v xml:space="preserve">     Depreciation                                      </v>
      </c>
      <c r="C48" s="12"/>
      <c r="D48" s="1">
        <f>SUM(OSRRefD22_5x_0)</f>
        <v>272.70999999999998</v>
      </c>
      <c r="E48" s="1"/>
      <c r="F48" s="5">
        <f t="shared" si="29"/>
        <v>0</v>
      </c>
      <c r="G48" s="1"/>
      <c r="H48" s="1">
        <f>SUM(OSRRefH22_5x_0)</f>
        <v>0</v>
      </c>
      <c r="I48" s="1"/>
      <c r="J48" s="5">
        <f t="shared" si="30"/>
        <v>0</v>
      </c>
      <c r="K48" s="1"/>
      <c r="L48" s="1">
        <f t="shared" si="31"/>
        <v>272.70999999999998</v>
      </c>
      <c r="M48" s="1"/>
      <c r="N48" s="5">
        <f t="shared" si="32"/>
        <v>0</v>
      </c>
      <c r="O48" s="12"/>
      <c r="P48" s="1">
        <f>SUM(OSRRefP22_5x_0)</f>
        <v>3008.63</v>
      </c>
      <c r="Q48" s="1"/>
      <c r="R48" s="5">
        <f t="shared" si="33"/>
        <v>0.12770770228603251</v>
      </c>
      <c r="S48" s="1"/>
      <c r="T48" s="1">
        <f>SUM(OSRRefT22_5x_0)</f>
        <v>0</v>
      </c>
      <c r="U48" s="1"/>
      <c r="V48" s="5">
        <f t="shared" si="34"/>
        <v>0</v>
      </c>
      <c r="W48" s="1"/>
      <c r="X48" s="1">
        <f t="shared" si="35"/>
        <v>3008.63</v>
      </c>
      <c r="Y48" s="1"/>
      <c r="Z48" s="5">
        <f t="shared" si="36"/>
        <v>0</v>
      </c>
    </row>
    <row r="49" spans="1:26" s="23" customFormat="1" hidden="1" outlineLevel="2" x14ac:dyDescent="0.25">
      <c r="A49" s="25"/>
      <c r="B49" s="10" t="str">
        <f>CONCATENATE("          ", "6322", " - ", "EQUIPMENT DEPRECIATION EXPENSE")</f>
        <v xml:space="preserve">          6322 - EQUIPMENT DEPRECIATION EXPENSE</v>
      </c>
      <c r="C49" s="10"/>
      <c r="D49" s="6">
        <v>272.70999999999998</v>
      </c>
      <c r="E49" s="2"/>
      <c r="F49" s="7">
        <f t="shared" si="29"/>
        <v>0</v>
      </c>
      <c r="G49" s="2"/>
      <c r="H49" s="6"/>
      <c r="I49" s="2"/>
      <c r="J49" s="7">
        <f t="shared" si="30"/>
        <v>0</v>
      </c>
      <c r="K49" s="2"/>
      <c r="L49" s="6">
        <f t="shared" si="31"/>
        <v>272.70999999999998</v>
      </c>
      <c r="M49" s="2"/>
      <c r="N49" s="7">
        <f t="shared" si="32"/>
        <v>0</v>
      </c>
      <c r="O49" s="10"/>
      <c r="P49" s="6">
        <v>3008.63</v>
      </c>
      <c r="Q49" s="2"/>
      <c r="R49" s="7">
        <f t="shared" si="33"/>
        <v>0.12770770228603251</v>
      </c>
      <c r="S49" s="2"/>
      <c r="T49" s="6"/>
      <c r="U49" s="2"/>
      <c r="V49" s="7">
        <f t="shared" si="34"/>
        <v>0</v>
      </c>
      <c r="W49" s="2"/>
      <c r="X49" s="6">
        <f t="shared" si="35"/>
        <v>3008.63</v>
      </c>
      <c r="Y49" s="2"/>
      <c r="Z49" s="7">
        <f t="shared" si="36"/>
        <v>0</v>
      </c>
    </row>
    <row r="50" spans="1:26" s="27" customFormat="1" outlineLevel="1" collapsed="1" x14ac:dyDescent="0.25">
      <c r="A50" s="26"/>
      <c r="B50" s="12" t="str">
        <f>CONCATENATE("     ","Donations                                         ")</f>
        <v xml:space="preserve">     Donations                                         </v>
      </c>
      <c r="C50" s="12"/>
      <c r="D50" s="1">
        <f>SUM(OSRRefD22_6x_0)</f>
        <v>0</v>
      </c>
      <c r="E50" s="1"/>
      <c r="F50" s="5">
        <f t="shared" si="29"/>
        <v>0</v>
      </c>
      <c r="G50" s="1"/>
      <c r="H50" s="1">
        <f>SUM(OSRRefH22_6x_0)</f>
        <v>0</v>
      </c>
      <c r="I50" s="1"/>
      <c r="J50" s="5">
        <f t="shared" si="30"/>
        <v>0</v>
      </c>
      <c r="K50" s="1"/>
      <c r="L50" s="1">
        <f t="shared" si="31"/>
        <v>0</v>
      </c>
      <c r="M50" s="1"/>
      <c r="N50" s="5">
        <f t="shared" si="32"/>
        <v>0</v>
      </c>
      <c r="O50" s="12"/>
      <c r="P50" s="1">
        <f>SUM(OSRRefP22_6x_0)</f>
        <v>0</v>
      </c>
      <c r="Q50" s="1"/>
      <c r="R50" s="5">
        <f t="shared" si="33"/>
        <v>0</v>
      </c>
      <c r="S50" s="1"/>
      <c r="T50" s="1">
        <f>SUM(OSRRefT22_6x_0)</f>
        <v>90514.12</v>
      </c>
      <c r="U50" s="1"/>
      <c r="V50" s="5">
        <f t="shared" si="34"/>
        <v>2.408948198332881E-2</v>
      </c>
      <c r="W50" s="1"/>
      <c r="X50" s="1">
        <f t="shared" si="35"/>
        <v>-90514.12</v>
      </c>
      <c r="Y50" s="1"/>
      <c r="Z50" s="5">
        <f t="shared" si="36"/>
        <v>-1</v>
      </c>
    </row>
    <row r="51" spans="1:26" s="23" customFormat="1" hidden="1" outlineLevel="2" x14ac:dyDescent="0.25">
      <c r="A51" s="25"/>
      <c r="B51" s="10" t="str">
        <f>CONCATENATE("          ", "6399", " - ", "DONATION-ON CAMPUS")</f>
        <v xml:space="preserve">          6399 - DONATION-ON CAMPUS</v>
      </c>
      <c r="C51" s="10"/>
      <c r="D51" s="6"/>
      <c r="E51" s="2"/>
      <c r="F51" s="7">
        <f t="shared" si="29"/>
        <v>0</v>
      </c>
      <c r="G51" s="2"/>
      <c r="H51" s="6"/>
      <c r="I51" s="2"/>
      <c r="J51" s="7">
        <f t="shared" si="30"/>
        <v>0</v>
      </c>
      <c r="K51" s="2"/>
      <c r="L51" s="6">
        <f t="shared" si="31"/>
        <v>0</v>
      </c>
      <c r="M51" s="2"/>
      <c r="N51" s="7">
        <f t="shared" si="32"/>
        <v>0</v>
      </c>
      <c r="O51" s="10"/>
      <c r="P51" s="6"/>
      <c r="Q51" s="2"/>
      <c r="R51" s="7">
        <f t="shared" si="33"/>
        <v>0</v>
      </c>
      <c r="S51" s="2"/>
      <c r="T51" s="6">
        <v>90514.12</v>
      </c>
      <c r="U51" s="2"/>
      <c r="V51" s="7">
        <f t="shared" si="34"/>
        <v>2.408948198332881E-2</v>
      </c>
      <c r="W51" s="2"/>
      <c r="X51" s="6">
        <f t="shared" si="35"/>
        <v>-90514.12</v>
      </c>
      <c r="Y51" s="2"/>
      <c r="Z51" s="7">
        <f t="shared" si="36"/>
        <v>-1</v>
      </c>
    </row>
    <row r="52" spans="1:26" s="27" customFormat="1" outlineLevel="1" collapsed="1" x14ac:dyDescent="0.25">
      <c r="A52" s="26"/>
      <c r="B52" s="12" t="str">
        <f>CONCATENATE("     ","Employees' Appreciation                           ")</f>
        <v xml:space="preserve">     Employees' Appreciation                           </v>
      </c>
      <c r="C52" s="12"/>
      <c r="D52" s="1">
        <f>SUM(OSRRefD22_7x_0)</f>
        <v>0</v>
      </c>
      <c r="E52" s="1"/>
      <c r="F52" s="5">
        <f t="shared" si="29"/>
        <v>0</v>
      </c>
      <c r="G52" s="1"/>
      <c r="H52" s="1">
        <f>SUM(OSRRefH22_7x_0)</f>
        <v>0</v>
      </c>
      <c r="I52" s="1"/>
      <c r="J52" s="5">
        <f t="shared" si="30"/>
        <v>0</v>
      </c>
      <c r="K52" s="1"/>
      <c r="L52" s="1">
        <f t="shared" si="31"/>
        <v>0</v>
      </c>
      <c r="M52" s="1"/>
      <c r="N52" s="5">
        <f t="shared" si="32"/>
        <v>0</v>
      </c>
      <c r="O52" s="12"/>
      <c r="P52" s="1">
        <f>SUM(OSRRefP22_7x_0)</f>
        <v>0</v>
      </c>
      <c r="Q52" s="1"/>
      <c r="R52" s="5">
        <f t="shared" si="33"/>
        <v>0</v>
      </c>
      <c r="S52" s="1"/>
      <c r="T52" s="1">
        <f>SUM(OSRRefT22_7x_0)</f>
        <v>172.29</v>
      </c>
      <c r="U52" s="1"/>
      <c r="V52" s="5">
        <f t="shared" si="34"/>
        <v>4.5853363551540031E-5</v>
      </c>
      <c r="W52" s="1"/>
      <c r="X52" s="1">
        <f t="shared" si="35"/>
        <v>-172.29</v>
      </c>
      <c r="Y52" s="1"/>
      <c r="Z52" s="5">
        <f t="shared" si="36"/>
        <v>-1</v>
      </c>
    </row>
    <row r="53" spans="1:26" s="23" customFormat="1" hidden="1" outlineLevel="2" x14ac:dyDescent="0.25">
      <c r="A53" s="25"/>
      <c r="B53" s="10" t="str">
        <f>CONCATENATE("          ", "6277", " - ", "EMPLOYEE APPRECIATION")</f>
        <v xml:space="preserve">          6277 - EMPLOYEE APPRECIATION</v>
      </c>
      <c r="C53" s="10"/>
      <c r="D53" s="6"/>
      <c r="E53" s="2"/>
      <c r="F53" s="7">
        <f t="shared" si="29"/>
        <v>0</v>
      </c>
      <c r="G53" s="2"/>
      <c r="H53" s="6"/>
      <c r="I53" s="2"/>
      <c r="J53" s="7">
        <f t="shared" si="30"/>
        <v>0</v>
      </c>
      <c r="K53" s="2"/>
      <c r="L53" s="6">
        <f t="shared" si="31"/>
        <v>0</v>
      </c>
      <c r="M53" s="2"/>
      <c r="N53" s="7">
        <f t="shared" si="32"/>
        <v>0</v>
      </c>
      <c r="O53" s="10"/>
      <c r="P53" s="6"/>
      <c r="Q53" s="2"/>
      <c r="R53" s="7">
        <f t="shared" si="33"/>
        <v>0</v>
      </c>
      <c r="S53" s="2"/>
      <c r="T53" s="6">
        <v>172.29</v>
      </c>
      <c r="U53" s="2"/>
      <c r="V53" s="7">
        <f t="shared" si="34"/>
        <v>4.5853363551540031E-5</v>
      </c>
      <c r="W53" s="2"/>
      <c r="X53" s="6">
        <f t="shared" si="35"/>
        <v>-172.29</v>
      </c>
      <c r="Y53" s="2"/>
      <c r="Z53" s="7">
        <f t="shared" si="36"/>
        <v>-1</v>
      </c>
    </row>
    <row r="54" spans="1:26" s="27" customFormat="1" outlineLevel="1" collapsed="1" x14ac:dyDescent="0.25">
      <c r="A54" s="26"/>
      <c r="B54" s="12" t="str">
        <f>CONCATENATE("     ","Equipment Rental                                  ")</f>
        <v xml:space="preserve">     Equipment Rental                                  </v>
      </c>
      <c r="C54" s="12"/>
      <c r="D54" s="1">
        <f>SUM(OSRRefD22_8x_0)</f>
        <v>308.58999999999997</v>
      </c>
      <c r="E54" s="1"/>
      <c r="F54" s="5">
        <f t="shared" si="29"/>
        <v>0</v>
      </c>
      <c r="G54" s="1"/>
      <c r="H54" s="1">
        <f>SUM(OSRRefH22_8x_0)</f>
        <v>637.48</v>
      </c>
      <c r="I54" s="1"/>
      <c r="J54" s="5">
        <f t="shared" si="30"/>
        <v>-1.8965789105708956E-2</v>
      </c>
      <c r="K54" s="1"/>
      <c r="L54" s="1">
        <f t="shared" si="31"/>
        <v>-328.89000000000004</v>
      </c>
      <c r="M54" s="1"/>
      <c r="N54" s="5">
        <f t="shared" si="32"/>
        <v>-0.51592206814331432</v>
      </c>
      <c r="O54" s="12"/>
      <c r="P54" s="1">
        <f>SUM(OSRRefP22_8x_0)</f>
        <v>2999.24</v>
      </c>
      <c r="Q54" s="1"/>
      <c r="R54" s="5">
        <f t="shared" si="33"/>
        <v>0.1273091237554502</v>
      </c>
      <c r="S54" s="1"/>
      <c r="T54" s="1">
        <f>SUM(OSRRefT22_8x_0)</f>
        <v>2831.1</v>
      </c>
      <c r="U54" s="1"/>
      <c r="V54" s="5">
        <f t="shared" si="34"/>
        <v>7.5347064571806247E-4</v>
      </c>
      <c r="W54" s="1"/>
      <c r="X54" s="1">
        <f t="shared" si="35"/>
        <v>168.13999999999987</v>
      </c>
      <c r="Y54" s="1"/>
      <c r="Z54" s="5">
        <f t="shared" si="36"/>
        <v>5.9390342976228278E-2</v>
      </c>
    </row>
    <row r="55" spans="1:26" s="23" customFormat="1" hidden="1" outlineLevel="2" x14ac:dyDescent="0.25">
      <c r="A55" s="25"/>
      <c r="B55" s="10" t="str">
        <f>CONCATENATE("          ", "6351", " - ", "EQUIPMENT RENTAL")</f>
        <v xml:space="preserve">          6351 - EQUIPMENT RENTAL</v>
      </c>
      <c r="C55" s="10"/>
      <c r="D55" s="6">
        <v>308.58999999999997</v>
      </c>
      <c r="E55" s="2"/>
      <c r="F55" s="7">
        <f t="shared" si="29"/>
        <v>0</v>
      </c>
      <c r="G55" s="2"/>
      <c r="H55" s="6">
        <v>637.48</v>
      </c>
      <c r="I55" s="2"/>
      <c r="J55" s="7">
        <f t="shared" si="30"/>
        <v>-1.8965789105708956E-2</v>
      </c>
      <c r="K55" s="2"/>
      <c r="L55" s="6">
        <f t="shared" si="31"/>
        <v>-328.89000000000004</v>
      </c>
      <c r="M55" s="2"/>
      <c r="N55" s="7">
        <f t="shared" si="32"/>
        <v>-0.51592206814331432</v>
      </c>
      <c r="O55" s="10"/>
      <c r="P55" s="6">
        <v>2999.24</v>
      </c>
      <c r="Q55" s="2"/>
      <c r="R55" s="7">
        <f t="shared" si="33"/>
        <v>0.1273091237554502</v>
      </c>
      <c r="S55" s="2"/>
      <c r="T55" s="6">
        <v>2831.1</v>
      </c>
      <c r="U55" s="2"/>
      <c r="V55" s="7">
        <f t="shared" si="34"/>
        <v>7.5347064571806247E-4</v>
      </c>
      <c r="W55" s="2"/>
      <c r="X55" s="6">
        <f t="shared" si="35"/>
        <v>168.13999999999987</v>
      </c>
      <c r="Y55" s="2"/>
      <c r="Z55" s="7">
        <f t="shared" si="36"/>
        <v>5.9390342976228278E-2</v>
      </c>
    </row>
    <row r="56" spans="1:26" s="27" customFormat="1" outlineLevel="1" collapsed="1" x14ac:dyDescent="0.25">
      <c r="A56" s="26"/>
      <c r="B56" s="12" t="str">
        <f>CONCATENATE("     ","General                                           ")</f>
        <v xml:space="preserve">     General                                           </v>
      </c>
      <c r="C56" s="12"/>
      <c r="D56" s="1">
        <f>SUM(OSRRefD22_9x_0)</f>
        <v>0</v>
      </c>
      <c r="E56" s="1"/>
      <c r="F56" s="5">
        <f t="shared" si="29"/>
        <v>0</v>
      </c>
      <c r="G56" s="1"/>
      <c r="H56" s="1">
        <f>SUM(OSRRefH22_9x_0)</f>
        <v>0</v>
      </c>
      <c r="I56" s="1"/>
      <c r="J56" s="5">
        <f t="shared" si="30"/>
        <v>0</v>
      </c>
      <c r="K56" s="1"/>
      <c r="L56" s="1">
        <f t="shared" si="31"/>
        <v>0</v>
      </c>
      <c r="M56" s="1"/>
      <c r="N56" s="5">
        <f t="shared" si="32"/>
        <v>0</v>
      </c>
      <c r="O56" s="12"/>
      <c r="P56" s="1">
        <f>SUM(OSRRefP22_9x_0)</f>
        <v>3847.45</v>
      </c>
      <c r="Q56" s="1"/>
      <c r="R56" s="5">
        <f t="shared" si="33"/>
        <v>0.16331320207549474</v>
      </c>
      <c r="S56" s="1"/>
      <c r="T56" s="1">
        <f>SUM(OSRRefT22_9x_0)</f>
        <v>2391.19</v>
      </c>
      <c r="U56" s="1"/>
      <c r="V56" s="5">
        <f t="shared" si="34"/>
        <v>6.3639273545073433E-4</v>
      </c>
      <c r="W56" s="1"/>
      <c r="X56" s="1">
        <f t="shared" si="35"/>
        <v>1456.2599999999998</v>
      </c>
      <c r="Y56" s="1"/>
      <c r="Z56" s="5">
        <f t="shared" si="36"/>
        <v>0.6090105763239223</v>
      </c>
    </row>
    <row r="57" spans="1:26" s="23" customFormat="1" hidden="1" outlineLevel="2" x14ac:dyDescent="0.25">
      <c r="A57" s="25"/>
      <c r="B57" s="10" t="str">
        <f>CONCATENATE("          ", "6279", " - ", "GENERAL EXPENSE")</f>
        <v xml:space="preserve">          6279 - GENERAL EXPENSE</v>
      </c>
      <c r="C57" s="10"/>
      <c r="D57" s="6"/>
      <c r="E57" s="2"/>
      <c r="F57" s="7">
        <f t="shared" si="29"/>
        <v>0</v>
      </c>
      <c r="G57" s="2"/>
      <c r="H57" s="6"/>
      <c r="I57" s="2"/>
      <c r="J57" s="7">
        <f t="shared" si="30"/>
        <v>0</v>
      </c>
      <c r="K57" s="2"/>
      <c r="L57" s="6">
        <f t="shared" si="31"/>
        <v>0</v>
      </c>
      <c r="M57" s="2"/>
      <c r="N57" s="7">
        <f t="shared" si="32"/>
        <v>0</v>
      </c>
      <c r="O57" s="10"/>
      <c r="P57" s="6">
        <v>3847.45</v>
      </c>
      <c r="Q57" s="2"/>
      <c r="R57" s="7">
        <f t="shared" si="33"/>
        <v>0.16331320207549474</v>
      </c>
      <c r="S57" s="2"/>
      <c r="T57" s="6">
        <v>2391.19</v>
      </c>
      <c r="U57" s="2"/>
      <c r="V57" s="7">
        <f t="shared" si="34"/>
        <v>6.3639273545073433E-4</v>
      </c>
      <c r="W57" s="2"/>
      <c r="X57" s="6">
        <f t="shared" si="35"/>
        <v>1456.2599999999998</v>
      </c>
      <c r="Y57" s="2"/>
      <c r="Z57" s="7">
        <f t="shared" si="36"/>
        <v>0.6090105763239223</v>
      </c>
    </row>
    <row r="58" spans="1:26" s="27" customFormat="1" outlineLevel="1" collapsed="1" x14ac:dyDescent="0.25">
      <c r="A58" s="26"/>
      <c r="B58" s="12" t="str">
        <f>CONCATENATE("     ","R/H Commissions                                   ")</f>
        <v xml:space="preserve">     R/H Commissions                                   </v>
      </c>
      <c r="C58" s="12"/>
      <c r="D58" s="1">
        <f>SUM(OSRRefD22_10x_0)</f>
        <v>0</v>
      </c>
      <c r="E58" s="1"/>
      <c r="F58" s="5">
        <f t="shared" si="29"/>
        <v>0</v>
      </c>
      <c r="G58" s="1"/>
      <c r="H58" s="1">
        <f>SUM(OSRRefH22_10x_0)</f>
        <v>-3144.03</v>
      </c>
      <c r="I58" s="1"/>
      <c r="J58" s="5">
        <f t="shared" si="30"/>
        <v>9.3538636383921278E-2</v>
      </c>
      <c r="K58" s="1"/>
      <c r="L58" s="1">
        <f t="shared" si="31"/>
        <v>3144.03</v>
      </c>
      <c r="M58" s="1"/>
      <c r="N58" s="5">
        <f t="shared" si="32"/>
        <v>-1</v>
      </c>
      <c r="O58" s="12"/>
      <c r="P58" s="1">
        <f>SUM(OSRRefP22_10x_0)</f>
        <v>1899.35</v>
      </c>
      <c r="Q58" s="1"/>
      <c r="R58" s="5">
        <f t="shared" si="33"/>
        <v>8.0621952296219823E-2</v>
      </c>
      <c r="S58" s="1"/>
      <c r="T58" s="1">
        <f>SUM(OSRRefT22_10x_0)</f>
        <v>289579.68</v>
      </c>
      <c r="U58" s="1"/>
      <c r="V58" s="5">
        <f t="shared" si="34"/>
        <v>7.7068909072950414E-2</v>
      </c>
      <c r="W58" s="1"/>
      <c r="X58" s="1">
        <f t="shared" si="35"/>
        <v>-287680.33</v>
      </c>
      <c r="Y58" s="1"/>
      <c r="Z58" s="5">
        <f t="shared" si="36"/>
        <v>-0.99344101077810443</v>
      </c>
    </row>
    <row r="59" spans="1:26" s="23" customFormat="1" hidden="1" outlineLevel="2" x14ac:dyDescent="0.25">
      <c r="A59" s="25"/>
      <c r="B59" s="10" t="str">
        <f>CONCATENATE("          ", "6387", " - ", "COMMISSION DUE HOUSING")</f>
        <v xml:space="preserve">          6387 - COMMISSION DUE HOUSING</v>
      </c>
      <c r="C59" s="10"/>
      <c r="D59" s="6"/>
      <c r="E59" s="2"/>
      <c r="F59" s="7">
        <f t="shared" si="29"/>
        <v>0</v>
      </c>
      <c r="G59" s="2"/>
      <c r="H59" s="6">
        <v>-3144.03</v>
      </c>
      <c r="I59" s="2"/>
      <c r="J59" s="7">
        <f t="shared" si="30"/>
        <v>9.3538636383921278E-2</v>
      </c>
      <c r="K59" s="2"/>
      <c r="L59" s="6">
        <f t="shared" si="31"/>
        <v>3144.03</v>
      </c>
      <c r="M59" s="2"/>
      <c r="N59" s="7">
        <f t="shared" si="32"/>
        <v>-1</v>
      </c>
      <c r="O59" s="10"/>
      <c r="P59" s="6">
        <v>1899.35</v>
      </c>
      <c r="Q59" s="2"/>
      <c r="R59" s="7">
        <f t="shared" si="33"/>
        <v>8.0621952296219823E-2</v>
      </c>
      <c r="S59" s="2"/>
      <c r="T59" s="6">
        <v>289579.68</v>
      </c>
      <c r="U59" s="2"/>
      <c r="V59" s="7">
        <f t="shared" si="34"/>
        <v>7.7068909072950414E-2</v>
      </c>
      <c r="W59" s="2"/>
      <c r="X59" s="6">
        <f t="shared" si="35"/>
        <v>-287680.33</v>
      </c>
      <c r="Y59" s="2"/>
      <c r="Z59" s="7">
        <f t="shared" si="36"/>
        <v>-0.99344101077810443</v>
      </c>
    </row>
    <row r="60" spans="1:26" s="27" customFormat="1" outlineLevel="1" collapsed="1" x14ac:dyDescent="0.25">
      <c r="A60" s="26"/>
      <c r="B60" s="12" t="str">
        <f>CONCATENATE("     ","Repair and Maintenance                            ")</f>
        <v xml:space="preserve">     Repair and Maintenance                            </v>
      </c>
      <c r="C60" s="12"/>
      <c r="D60" s="1">
        <f>SUM(OSRRefD22_11x_0)</f>
        <v>83.83</v>
      </c>
      <c r="E60" s="1"/>
      <c r="F60" s="5">
        <f t="shared" si="29"/>
        <v>0</v>
      </c>
      <c r="G60" s="1"/>
      <c r="H60" s="1">
        <f>SUM(OSRRefH22_11x_0)</f>
        <v>72.349999999999994</v>
      </c>
      <c r="I60" s="1"/>
      <c r="J60" s="5">
        <f t="shared" si="30"/>
        <v>-2.1524986537586168E-3</v>
      </c>
      <c r="K60" s="1"/>
      <c r="L60" s="1">
        <f t="shared" si="31"/>
        <v>11.480000000000004</v>
      </c>
      <c r="M60" s="1"/>
      <c r="N60" s="5">
        <f t="shared" si="32"/>
        <v>0.15867311679336565</v>
      </c>
      <c r="O60" s="12"/>
      <c r="P60" s="1">
        <f>SUM(OSRRefP22_11x_0)</f>
        <v>1429.08</v>
      </c>
      <c r="Q60" s="1"/>
      <c r="R60" s="5">
        <f t="shared" si="33"/>
        <v>6.0660341478654185E-2</v>
      </c>
      <c r="S60" s="1"/>
      <c r="T60" s="1">
        <f>SUM(OSRRefT22_11x_0)</f>
        <v>8675.0700000000015</v>
      </c>
      <c r="U60" s="1"/>
      <c r="V60" s="5">
        <f t="shared" si="34"/>
        <v>2.3087883135704829E-3</v>
      </c>
      <c r="W60" s="1"/>
      <c r="X60" s="1">
        <f t="shared" si="35"/>
        <v>-7245.9900000000016</v>
      </c>
      <c r="Y60" s="1"/>
      <c r="Z60" s="5">
        <f t="shared" si="36"/>
        <v>-0.83526588258077461</v>
      </c>
    </row>
    <row r="61" spans="1:26" s="23" customFormat="1" hidden="1" outlineLevel="2" x14ac:dyDescent="0.25">
      <c r="A61" s="25"/>
      <c r="B61" s="10" t="str">
        <f>CONCATENATE("          ", "6371", " - ", "COMPUTER SOFTWARE MAINTENANCE")</f>
        <v xml:space="preserve">          6371 - COMPUTER SOFTWARE MAINTENANCE</v>
      </c>
      <c r="C61" s="10"/>
      <c r="D61" s="6"/>
      <c r="E61" s="2"/>
      <c r="F61" s="7">
        <f t="shared" si="29"/>
        <v>0</v>
      </c>
      <c r="G61" s="2"/>
      <c r="H61" s="6"/>
      <c r="I61" s="2"/>
      <c r="J61" s="7">
        <f t="shared" si="30"/>
        <v>0</v>
      </c>
      <c r="K61" s="2"/>
      <c r="L61" s="6">
        <f t="shared" si="31"/>
        <v>0</v>
      </c>
      <c r="M61" s="2"/>
      <c r="N61" s="7">
        <f t="shared" si="32"/>
        <v>0</v>
      </c>
      <c r="O61" s="10"/>
      <c r="P61" s="6"/>
      <c r="Q61" s="2"/>
      <c r="R61" s="7">
        <f t="shared" si="33"/>
        <v>0</v>
      </c>
      <c r="S61" s="2"/>
      <c r="T61" s="6">
        <v>8238.75</v>
      </c>
      <c r="U61" s="2"/>
      <c r="V61" s="7">
        <f t="shared" si="34"/>
        <v>2.1926658480483515E-3</v>
      </c>
      <c r="W61" s="2"/>
      <c r="X61" s="6">
        <f t="shared" si="35"/>
        <v>-8238.75</v>
      </c>
      <c r="Y61" s="2"/>
      <c r="Z61" s="7">
        <f t="shared" si="36"/>
        <v>-1</v>
      </c>
    </row>
    <row r="62" spans="1:26" s="23" customFormat="1" hidden="1" outlineLevel="2" x14ac:dyDescent="0.25">
      <c r="A62" s="25"/>
      <c r="B62" s="10" t="str">
        <f>CONCATENATE("          ", "6373", " - ", "MAINTENANCE CONTRACTS")</f>
        <v xml:space="preserve">          6373 - MAINTENANCE CONTRACTS</v>
      </c>
      <c r="C62" s="10"/>
      <c r="D62" s="6">
        <v>83.83</v>
      </c>
      <c r="E62" s="2"/>
      <c r="F62" s="7">
        <f t="shared" si="29"/>
        <v>0</v>
      </c>
      <c r="G62" s="2"/>
      <c r="H62" s="6">
        <v>72.349999999999994</v>
      </c>
      <c r="I62" s="2"/>
      <c r="J62" s="7">
        <f t="shared" si="30"/>
        <v>-2.1524986537586168E-3</v>
      </c>
      <c r="K62" s="2"/>
      <c r="L62" s="6">
        <f t="shared" si="31"/>
        <v>11.480000000000004</v>
      </c>
      <c r="M62" s="2"/>
      <c r="N62" s="7">
        <f t="shared" si="32"/>
        <v>0.15867311679336565</v>
      </c>
      <c r="O62" s="10"/>
      <c r="P62" s="6">
        <v>1410.08</v>
      </c>
      <c r="Q62" s="2"/>
      <c r="R62" s="7">
        <f t="shared" si="33"/>
        <v>5.9853846049360913E-2</v>
      </c>
      <c r="S62" s="2"/>
      <c r="T62" s="6">
        <v>284.54000000000002</v>
      </c>
      <c r="U62" s="2"/>
      <c r="V62" s="7">
        <f t="shared" si="34"/>
        <v>7.5727645626299861E-5</v>
      </c>
      <c r="W62" s="2"/>
      <c r="X62" s="6">
        <f t="shared" si="35"/>
        <v>1125.54</v>
      </c>
      <c r="Y62" s="2"/>
      <c r="Z62" s="7">
        <f t="shared" si="36"/>
        <v>3.9556477120967171</v>
      </c>
    </row>
    <row r="63" spans="1:26" s="23" customFormat="1" hidden="1" outlineLevel="2" x14ac:dyDescent="0.25">
      <c r="A63" s="25"/>
      <c r="B63" s="10" t="str">
        <f>CONCATENATE("          ", "6375", " - ", "OUTSIDE REPAIRS &amp; MAINTENANCE")</f>
        <v xml:space="preserve">          6375 - OUTSIDE REPAIRS &amp; MAINTENANCE</v>
      </c>
      <c r="C63" s="10"/>
      <c r="D63" s="6"/>
      <c r="E63" s="2"/>
      <c r="F63" s="7">
        <f t="shared" si="29"/>
        <v>0</v>
      </c>
      <c r="G63" s="2"/>
      <c r="H63" s="6"/>
      <c r="I63" s="2"/>
      <c r="J63" s="7">
        <f t="shared" si="30"/>
        <v>0</v>
      </c>
      <c r="K63" s="2"/>
      <c r="L63" s="6">
        <f t="shared" si="31"/>
        <v>0</v>
      </c>
      <c r="M63" s="2"/>
      <c r="N63" s="7">
        <f t="shared" si="32"/>
        <v>0</v>
      </c>
      <c r="O63" s="10"/>
      <c r="P63" s="6">
        <v>19</v>
      </c>
      <c r="Q63" s="2"/>
      <c r="R63" s="7">
        <f t="shared" si="33"/>
        <v>8.0649542929327222E-4</v>
      </c>
      <c r="S63" s="2"/>
      <c r="T63" s="6">
        <v>151.78</v>
      </c>
      <c r="U63" s="2"/>
      <c r="V63" s="7">
        <f t="shared" si="34"/>
        <v>4.0394819895831139E-5</v>
      </c>
      <c r="W63" s="2"/>
      <c r="X63" s="6">
        <f t="shared" si="35"/>
        <v>-132.78</v>
      </c>
      <c r="Y63" s="2"/>
      <c r="Z63" s="7">
        <f t="shared" si="36"/>
        <v>-0.87481881670839368</v>
      </c>
    </row>
    <row r="64" spans="1:26" s="27" customFormat="1" outlineLevel="1" collapsed="1" x14ac:dyDescent="0.25">
      <c r="A64" s="26"/>
      <c r="B64" s="12" t="str">
        <f>CONCATENATE("     ","Services                                          ")</f>
        <v xml:space="preserve">     Services                                          </v>
      </c>
      <c r="C64" s="12"/>
      <c r="D64" s="1">
        <f>SUM(OSRRefD22_12x_0)</f>
        <v>4846.1799999999994</v>
      </c>
      <c r="E64" s="1"/>
      <c r="F64" s="5">
        <f t="shared" ref="F64:F67" si="37">IF(D$12=0,0,D64/D$12)</f>
        <v>0</v>
      </c>
      <c r="G64" s="1"/>
      <c r="H64" s="1">
        <f>SUM(OSRRefH22_12x_0)</f>
        <v>4936.3</v>
      </c>
      <c r="I64" s="1"/>
      <c r="J64" s="5">
        <f t="shared" ref="J64:J67" si="38">IF(H$12=0,0,H64/H$12)</f>
        <v>-0.14686080310364424</v>
      </c>
      <c r="K64" s="1"/>
      <c r="L64" s="1">
        <f t="shared" ref="L64:L67" si="39">+D64-H64</f>
        <v>-90.1200000000008</v>
      </c>
      <c r="M64" s="1"/>
      <c r="N64" s="5">
        <f t="shared" ref="N64:N67" si="40">IF(H64=0,0,L64/H64)</f>
        <v>-1.8256588943135709E-2</v>
      </c>
      <c r="O64" s="12"/>
      <c r="P64" s="1">
        <f>SUM(OSRRefP22_12x_0)</f>
        <v>67126.929999999993</v>
      </c>
      <c r="Q64" s="1"/>
      <c r="R64" s="5">
        <f t="shared" ref="R64:R67" si="41">IF(P$12=0,0,P64/P$12)</f>
        <v>2.8493453803941806</v>
      </c>
      <c r="S64" s="1"/>
      <c r="T64" s="1">
        <f>SUM(OSRRefT22_12x_0)</f>
        <v>75782.44</v>
      </c>
      <c r="U64" s="1"/>
      <c r="V64" s="5">
        <f t="shared" ref="V64:V67" si="42">IF(T$12=0,0,T64/T$12)</f>
        <v>2.016878386524331E-2</v>
      </c>
      <c r="W64" s="1"/>
      <c r="X64" s="1">
        <f t="shared" ref="X64:X67" si="43">+P64-T64</f>
        <v>-8655.5100000000093</v>
      </c>
      <c r="Y64" s="1"/>
      <c r="Z64" s="5">
        <f t="shared" ref="Z64:Z67" si="44">IF(T64=0,0,X64/T64)</f>
        <v>-0.11421524564265824</v>
      </c>
    </row>
    <row r="65" spans="1:26" s="23" customFormat="1" hidden="1" outlineLevel="2" x14ac:dyDescent="0.25">
      <c r="A65" s="25"/>
      <c r="B65" s="10" t="str">
        <f>CONCATENATE("          ", "6282", " - ", "JANITORIAL/EXTERMINATOR EXPENS")</f>
        <v xml:space="preserve">          6282 - JANITORIAL/EXTERMINATOR EXPENS</v>
      </c>
      <c r="C65" s="10"/>
      <c r="D65" s="6">
        <v>417.32</v>
      </c>
      <c r="E65" s="2"/>
      <c r="F65" s="7">
        <f t="shared" si="37"/>
        <v>0</v>
      </c>
      <c r="G65" s="2"/>
      <c r="H65" s="6">
        <v>417.32</v>
      </c>
      <c r="I65" s="2"/>
      <c r="J65" s="7">
        <f t="shared" si="38"/>
        <v>-1.2415766941071816E-2</v>
      </c>
      <c r="K65" s="2"/>
      <c r="L65" s="6">
        <f t="shared" si="39"/>
        <v>0</v>
      </c>
      <c r="M65" s="2"/>
      <c r="N65" s="7">
        <f t="shared" si="40"/>
        <v>0</v>
      </c>
      <c r="O65" s="10"/>
      <c r="P65" s="6">
        <v>5096.22</v>
      </c>
      <c r="Q65" s="2"/>
      <c r="R65" s="7">
        <f t="shared" si="41"/>
        <v>0.21631990193015579</v>
      </c>
      <c r="S65" s="2"/>
      <c r="T65" s="6">
        <v>5545.16</v>
      </c>
      <c r="U65" s="2"/>
      <c r="V65" s="7">
        <f t="shared" si="42"/>
        <v>1.4757921958991104E-3</v>
      </c>
      <c r="W65" s="2"/>
      <c r="X65" s="6">
        <f t="shared" si="43"/>
        <v>-448.9399999999996</v>
      </c>
      <c r="Y65" s="2"/>
      <c r="Z65" s="7">
        <f t="shared" si="44"/>
        <v>-8.0960693649957727E-2</v>
      </c>
    </row>
    <row r="66" spans="1:26" s="23" customFormat="1" hidden="1" outlineLevel="2" x14ac:dyDescent="0.25">
      <c r="A66" s="25"/>
      <c r="B66" s="10" t="str">
        <f>CONCATENATE("          ", "6285", " - ", "JANITORIAL SERVICES")</f>
        <v xml:space="preserve">          6285 - JANITORIAL SERVICES</v>
      </c>
      <c r="C66" s="10"/>
      <c r="D66" s="6">
        <v>4428.8599999999997</v>
      </c>
      <c r="E66" s="2"/>
      <c r="F66" s="7">
        <f t="shared" si="37"/>
        <v>0</v>
      </c>
      <c r="G66" s="2"/>
      <c r="H66" s="6">
        <v>4157.05</v>
      </c>
      <c r="I66" s="2"/>
      <c r="J66" s="7">
        <f t="shared" si="38"/>
        <v>-0.12367718767943688</v>
      </c>
      <c r="K66" s="2"/>
      <c r="L66" s="6">
        <f t="shared" si="39"/>
        <v>271.80999999999949</v>
      </c>
      <c r="M66" s="2"/>
      <c r="N66" s="7">
        <f t="shared" si="40"/>
        <v>6.5385309293850086E-2</v>
      </c>
      <c r="O66" s="10"/>
      <c r="P66" s="6">
        <v>55776.13</v>
      </c>
      <c r="Q66" s="2"/>
      <c r="R66" s="7">
        <f t="shared" si="41"/>
        <v>2.3675365215088084</v>
      </c>
      <c r="S66" s="2"/>
      <c r="T66" s="6">
        <v>52956.08</v>
      </c>
      <c r="U66" s="2"/>
      <c r="V66" s="7">
        <f t="shared" si="42"/>
        <v>1.409376277499819E-2</v>
      </c>
      <c r="W66" s="2"/>
      <c r="X66" s="6">
        <f t="shared" si="43"/>
        <v>2820.0499999999956</v>
      </c>
      <c r="Y66" s="2"/>
      <c r="Z66" s="7">
        <f t="shared" si="44"/>
        <v>5.3252619906911457E-2</v>
      </c>
    </row>
    <row r="67" spans="1:26" s="23" customFormat="1" hidden="1" outlineLevel="2" x14ac:dyDescent="0.25">
      <c r="A67" s="25"/>
      <c r="B67" s="10" t="str">
        <f>CONCATENATE("          ", "6286", " - ", "LAUNDRY EXPENSE")</f>
        <v xml:space="preserve">          6286 - LAUNDRY EXPENSE</v>
      </c>
      <c r="C67" s="10"/>
      <c r="D67" s="6"/>
      <c r="E67" s="2"/>
      <c r="F67" s="7">
        <f t="shared" si="37"/>
        <v>0</v>
      </c>
      <c r="G67" s="2"/>
      <c r="H67" s="6">
        <v>361.93</v>
      </c>
      <c r="I67" s="2"/>
      <c r="J67" s="7">
        <f t="shared" si="38"/>
        <v>-1.0767848483135539E-2</v>
      </c>
      <c r="K67" s="2"/>
      <c r="L67" s="6">
        <f t="shared" si="39"/>
        <v>-361.93</v>
      </c>
      <c r="M67" s="2"/>
      <c r="N67" s="7">
        <f t="shared" si="40"/>
        <v>-1</v>
      </c>
      <c r="O67" s="10"/>
      <c r="P67" s="6">
        <v>6254.58</v>
      </c>
      <c r="Q67" s="2"/>
      <c r="R67" s="7">
        <f t="shared" si="41"/>
        <v>0.26548895695521657</v>
      </c>
      <c r="S67" s="2"/>
      <c r="T67" s="6">
        <v>17281.2</v>
      </c>
      <c r="U67" s="2"/>
      <c r="V67" s="7">
        <f t="shared" si="42"/>
        <v>4.5992288943460073E-3</v>
      </c>
      <c r="W67" s="2"/>
      <c r="X67" s="6">
        <f t="shared" si="43"/>
        <v>-11026.62</v>
      </c>
      <c r="Y67" s="2"/>
      <c r="Z67" s="7">
        <f t="shared" si="44"/>
        <v>-0.63807027289771545</v>
      </c>
    </row>
    <row r="68" spans="1:26" s="27" customFormat="1" outlineLevel="1" collapsed="1" x14ac:dyDescent="0.25">
      <c r="A68" s="26"/>
      <c r="B68" s="12" t="str">
        <f>CONCATENATE("     ","Supplies                                          ")</f>
        <v xml:space="preserve">     Supplies                                          </v>
      </c>
      <c r="C68" s="12"/>
      <c r="D68" s="1">
        <f>SUM(OSRRefD22_13x_0)</f>
        <v>2186.58</v>
      </c>
      <c r="E68" s="1"/>
      <c r="F68" s="5">
        <f t="shared" ref="F68:F76" si="45">IF(D$12=0,0,D68/D$12)</f>
        <v>0</v>
      </c>
      <c r="G68" s="1"/>
      <c r="H68" s="1">
        <f>SUM(OSRRefH22_13x_0)</f>
        <v>3578.5099999999998</v>
      </c>
      <c r="I68" s="1"/>
      <c r="J68" s="5">
        <f t="shared" ref="J68:J76" si="46">IF(H$12=0,0,H68/H$12)</f>
        <v>-0.1064649337589737</v>
      </c>
      <c r="K68" s="1"/>
      <c r="L68" s="1">
        <f t="shared" ref="L68:L76" si="47">+D68-H68</f>
        <v>-1391.9299999999998</v>
      </c>
      <c r="M68" s="1"/>
      <c r="N68" s="5">
        <f t="shared" ref="N68:N76" si="48">IF(H68=0,0,L68/H68)</f>
        <v>-0.38896915196548282</v>
      </c>
      <c r="O68" s="12"/>
      <c r="P68" s="1">
        <f>SUM(OSRRefP22_13x_0)</f>
        <v>12311.91</v>
      </c>
      <c r="Q68" s="1"/>
      <c r="R68" s="5">
        <f t="shared" ref="R68:R76" si="49">IF(P$12=0,0,P68/P$12)</f>
        <v>0.52260521794053327</v>
      </c>
      <c r="S68" s="1"/>
      <c r="T68" s="1">
        <f>SUM(OSRRefT22_13x_0)</f>
        <v>69918.37000000001</v>
      </c>
      <c r="U68" s="1"/>
      <c r="V68" s="5">
        <f t="shared" ref="V68:V76" si="50">IF(T$12=0,0,T68/T$12)</f>
        <v>1.8608116771380176E-2</v>
      </c>
      <c r="W68" s="1"/>
      <c r="X68" s="1">
        <f t="shared" ref="X68:X76" si="51">+P68-T68</f>
        <v>-57606.460000000006</v>
      </c>
      <c r="Y68" s="1"/>
      <c r="Z68" s="5">
        <f t="shared" ref="Z68:Z76" si="52">IF(T68=0,0,X68/T68)</f>
        <v>-0.82391022559593419</v>
      </c>
    </row>
    <row r="69" spans="1:26" s="23" customFormat="1" hidden="1" outlineLevel="2" x14ac:dyDescent="0.25">
      <c r="A69" s="25"/>
      <c r="B69" s="10" t="str">
        <f>CONCATENATE("          ", "6235", " - ", "COVID-19 EXPENSES")</f>
        <v xml:space="preserve">          6235 - COVID-19 EXPENSES</v>
      </c>
      <c r="C69" s="10"/>
      <c r="D69" s="6"/>
      <c r="E69" s="2"/>
      <c r="F69" s="7">
        <f t="shared" si="45"/>
        <v>0</v>
      </c>
      <c r="G69" s="2"/>
      <c r="H69" s="6">
        <v>29.77</v>
      </c>
      <c r="I69" s="2"/>
      <c r="J69" s="7">
        <f t="shared" si="46"/>
        <v>-8.8569294986031821E-4</v>
      </c>
      <c r="K69" s="2"/>
      <c r="L69" s="6">
        <f t="shared" si="47"/>
        <v>-29.77</v>
      </c>
      <c r="M69" s="2"/>
      <c r="N69" s="7">
        <f t="shared" si="48"/>
        <v>-1</v>
      </c>
      <c r="O69" s="10"/>
      <c r="P69" s="6">
        <v>1375.08</v>
      </c>
      <c r="Q69" s="2"/>
      <c r="R69" s="7">
        <f t="shared" si="49"/>
        <v>5.8368196574346991E-2</v>
      </c>
      <c r="S69" s="2"/>
      <c r="T69" s="6">
        <v>356.6</v>
      </c>
      <c r="U69" s="2"/>
      <c r="V69" s="7">
        <f t="shared" si="50"/>
        <v>9.4905737085606689E-5</v>
      </c>
      <c r="W69" s="2"/>
      <c r="X69" s="6">
        <f t="shared" si="51"/>
        <v>1018.4799999999999</v>
      </c>
      <c r="Y69" s="2"/>
      <c r="Z69" s="7">
        <f t="shared" si="52"/>
        <v>2.8560852495793601</v>
      </c>
    </row>
    <row r="70" spans="1:26" s="23" customFormat="1" hidden="1" outlineLevel="2" x14ac:dyDescent="0.25">
      <c r="A70" s="25"/>
      <c r="B70" s="10" t="str">
        <f>CONCATENATE("          ", "6237", " - ", "JANITORIAL SUPPLIES")</f>
        <v xml:space="preserve">          6237 - JANITORIAL SUPPLIES</v>
      </c>
      <c r="C70" s="10"/>
      <c r="D70" s="6">
        <v>986.76</v>
      </c>
      <c r="E70" s="2"/>
      <c r="F70" s="7">
        <f t="shared" si="45"/>
        <v>0</v>
      </c>
      <c r="G70" s="2"/>
      <c r="H70" s="6">
        <v>2339.62</v>
      </c>
      <c r="I70" s="2"/>
      <c r="J70" s="7">
        <f t="shared" si="46"/>
        <v>-6.9606480999402004E-2</v>
      </c>
      <c r="K70" s="2"/>
      <c r="L70" s="6">
        <f t="shared" si="47"/>
        <v>-1352.86</v>
      </c>
      <c r="M70" s="2"/>
      <c r="N70" s="7">
        <f t="shared" si="48"/>
        <v>-0.57823920123780781</v>
      </c>
      <c r="O70" s="10"/>
      <c r="P70" s="6">
        <v>5676.69</v>
      </c>
      <c r="Q70" s="2"/>
      <c r="R70" s="7">
        <f t="shared" si="49"/>
        <v>0.24095918623762239</v>
      </c>
      <c r="S70" s="2"/>
      <c r="T70" s="6">
        <v>29825.119999999999</v>
      </c>
      <c r="U70" s="2"/>
      <c r="V70" s="7">
        <f t="shared" si="50"/>
        <v>7.93767525873996E-3</v>
      </c>
      <c r="W70" s="2"/>
      <c r="X70" s="6">
        <f t="shared" si="51"/>
        <v>-24148.43</v>
      </c>
      <c r="Y70" s="2"/>
      <c r="Z70" s="7">
        <f t="shared" si="52"/>
        <v>-0.80966748834539481</v>
      </c>
    </row>
    <row r="71" spans="1:26" s="23" customFormat="1" hidden="1" outlineLevel="2" x14ac:dyDescent="0.25">
      <c r="A71" s="25"/>
      <c r="B71" s="10" t="str">
        <f>CONCATENATE("          ", "6239", " - ", "KITCHEN SUPPLIES")</f>
        <v xml:space="preserve">          6239 - KITCHEN SUPPLIES</v>
      </c>
      <c r="C71" s="10"/>
      <c r="D71" s="6">
        <v>1199.82</v>
      </c>
      <c r="E71" s="2"/>
      <c r="F71" s="7">
        <f t="shared" si="45"/>
        <v>0</v>
      </c>
      <c r="G71" s="2"/>
      <c r="H71" s="6">
        <v>349.26</v>
      </c>
      <c r="I71" s="2"/>
      <c r="J71" s="7">
        <f t="shared" si="46"/>
        <v>-1.0390900895808354E-2</v>
      </c>
      <c r="K71" s="2"/>
      <c r="L71" s="6">
        <f t="shared" si="47"/>
        <v>850.56</v>
      </c>
      <c r="M71" s="2"/>
      <c r="N71" s="7">
        <f t="shared" si="48"/>
        <v>2.4353203916852775</v>
      </c>
      <c r="O71" s="10"/>
      <c r="P71" s="6">
        <v>2230.89</v>
      </c>
      <c r="Q71" s="2"/>
      <c r="R71" s="7">
        <f t="shared" si="49"/>
        <v>9.4694873066108839E-2</v>
      </c>
      <c r="S71" s="2"/>
      <c r="T71" s="6">
        <v>6074.3</v>
      </c>
      <c r="U71" s="2"/>
      <c r="V71" s="7">
        <f t="shared" si="50"/>
        <v>1.6166178316856443E-3</v>
      </c>
      <c r="W71" s="2"/>
      <c r="X71" s="6">
        <f t="shared" si="51"/>
        <v>-3843.4100000000003</v>
      </c>
      <c r="Y71" s="2"/>
      <c r="Z71" s="7">
        <f t="shared" si="52"/>
        <v>-0.63273298980952541</v>
      </c>
    </row>
    <row r="72" spans="1:26" s="23" customFormat="1" hidden="1" outlineLevel="2" x14ac:dyDescent="0.25">
      <c r="A72" s="25"/>
      <c r="B72" s="10" t="str">
        <f>CONCATENATE("          ", "6241", " - ", "OFFICE EXPENSE")</f>
        <v xml:space="preserve">          6241 - OFFICE EXPENSE</v>
      </c>
      <c r="C72" s="10"/>
      <c r="D72" s="6"/>
      <c r="E72" s="2"/>
      <c r="F72" s="7">
        <f t="shared" si="45"/>
        <v>0</v>
      </c>
      <c r="G72" s="2"/>
      <c r="H72" s="6"/>
      <c r="I72" s="2"/>
      <c r="J72" s="7">
        <f t="shared" si="46"/>
        <v>0</v>
      </c>
      <c r="K72" s="2"/>
      <c r="L72" s="6">
        <f t="shared" si="47"/>
        <v>0</v>
      </c>
      <c r="M72" s="2"/>
      <c r="N72" s="7">
        <f t="shared" si="48"/>
        <v>0</v>
      </c>
      <c r="O72" s="10"/>
      <c r="P72" s="6">
        <v>19.7</v>
      </c>
      <c r="Q72" s="2"/>
      <c r="R72" s="7">
        <f t="shared" si="49"/>
        <v>8.3620841879355069E-4</v>
      </c>
      <c r="S72" s="2"/>
      <c r="T72" s="6">
        <v>2608.59</v>
      </c>
      <c r="U72" s="2"/>
      <c r="V72" s="7">
        <f t="shared" si="50"/>
        <v>6.9425170135766336E-4</v>
      </c>
      <c r="W72" s="2"/>
      <c r="X72" s="6">
        <f t="shared" si="51"/>
        <v>-2588.8900000000003</v>
      </c>
      <c r="Y72" s="2"/>
      <c r="Z72" s="7">
        <f t="shared" si="52"/>
        <v>-0.99244802747844629</v>
      </c>
    </row>
    <row r="73" spans="1:26" s="23" customFormat="1" hidden="1" outlineLevel="2" x14ac:dyDescent="0.25">
      <c r="A73" s="25"/>
      <c r="B73" s="10" t="str">
        <f>CONCATENATE("          ", "6243", " - ", "PAPER SUPPLIES")</f>
        <v xml:space="preserve">          6243 - PAPER SUPPLIES</v>
      </c>
      <c r="C73" s="10"/>
      <c r="D73" s="6"/>
      <c r="E73" s="2"/>
      <c r="F73" s="7">
        <f t="shared" si="45"/>
        <v>0</v>
      </c>
      <c r="G73" s="2"/>
      <c r="H73" s="6">
        <v>859.86</v>
      </c>
      <c r="I73" s="2"/>
      <c r="J73" s="7">
        <f t="shared" si="46"/>
        <v>-2.5581858913903032E-2</v>
      </c>
      <c r="K73" s="2"/>
      <c r="L73" s="6">
        <f t="shared" si="47"/>
        <v>-859.86</v>
      </c>
      <c r="M73" s="2"/>
      <c r="N73" s="7">
        <f t="shared" si="48"/>
        <v>-1</v>
      </c>
      <c r="O73" s="10"/>
      <c r="P73" s="6">
        <v>3009.55</v>
      </c>
      <c r="Q73" s="2"/>
      <c r="R73" s="7">
        <f t="shared" si="49"/>
        <v>0.12774675364366145</v>
      </c>
      <c r="S73" s="2"/>
      <c r="T73" s="6">
        <v>27008.63</v>
      </c>
      <c r="U73" s="2"/>
      <c r="V73" s="7">
        <f t="shared" si="50"/>
        <v>7.188092927152074E-3</v>
      </c>
      <c r="W73" s="2"/>
      <c r="X73" s="6">
        <f t="shared" si="51"/>
        <v>-23999.08</v>
      </c>
      <c r="Y73" s="2"/>
      <c r="Z73" s="7">
        <f t="shared" si="52"/>
        <v>-0.8885708012587088</v>
      </c>
    </row>
    <row r="74" spans="1:26" s="23" customFormat="1" hidden="1" outlineLevel="2" x14ac:dyDescent="0.25">
      <c r="A74" s="25"/>
      <c r="B74" s="10" t="str">
        <f>CONCATENATE("          ", "6245", " - ", "PRINTING")</f>
        <v xml:space="preserve">          6245 - PRINTING</v>
      </c>
      <c r="C74" s="10"/>
      <c r="D74" s="6"/>
      <c r="E74" s="2"/>
      <c r="F74" s="7">
        <f t="shared" si="45"/>
        <v>0</v>
      </c>
      <c r="G74" s="2"/>
      <c r="H74" s="6"/>
      <c r="I74" s="2"/>
      <c r="J74" s="7">
        <f t="shared" si="46"/>
        <v>0</v>
      </c>
      <c r="K74" s="2"/>
      <c r="L74" s="6">
        <f t="shared" si="47"/>
        <v>0</v>
      </c>
      <c r="M74" s="2"/>
      <c r="N74" s="7">
        <f t="shared" si="48"/>
        <v>0</v>
      </c>
      <c r="O74" s="10"/>
      <c r="P74" s="6"/>
      <c r="Q74" s="2"/>
      <c r="R74" s="7">
        <f t="shared" si="49"/>
        <v>0</v>
      </c>
      <c r="S74" s="2"/>
      <c r="T74" s="6">
        <v>441</v>
      </c>
      <c r="U74" s="2"/>
      <c r="V74" s="7">
        <f t="shared" si="50"/>
        <v>1.1736800351865549E-4</v>
      </c>
      <c r="W74" s="2"/>
      <c r="X74" s="6">
        <f t="shared" si="51"/>
        <v>-441</v>
      </c>
      <c r="Y74" s="2"/>
      <c r="Z74" s="7">
        <f t="shared" si="52"/>
        <v>-1</v>
      </c>
    </row>
    <row r="75" spans="1:26" s="23" customFormat="1" hidden="1" outlineLevel="2" x14ac:dyDescent="0.25">
      <c r="A75" s="25"/>
      <c r="B75" s="10" t="str">
        <f>CONCATENATE("          ", "6247", " - ", "STORE SUPPLIES")</f>
        <v xml:space="preserve">          6247 - STORE SUPPLIES</v>
      </c>
      <c r="C75" s="10"/>
      <c r="D75" s="6"/>
      <c r="E75" s="2"/>
      <c r="F75" s="7">
        <f t="shared" si="45"/>
        <v>0</v>
      </c>
      <c r="G75" s="2"/>
      <c r="H75" s="6"/>
      <c r="I75" s="2"/>
      <c r="J75" s="7">
        <f t="shared" si="46"/>
        <v>0</v>
      </c>
      <c r="K75" s="2"/>
      <c r="L75" s="6">
        <f t="shared" si="47"/>
        <v>0</v>
      </c>
      <c r="M75" s="2"/>
      <c r="N75" s="7">
        <f t="shared" si="48"/>
        <v>0</v>
      </c>
      <c r="O75" s="10"/>
      <c r="P75" s="6"/>
      <c r="Q75" s="2"/>
      <c r="R75" s="7">
        <f t="shared" si="49"/>
        <v>0</v>
      </c>
      <c r="S75" s="2"/>
      <c r="T75" s="6">
        <v>82.5</v>
      </c>
      <c r="U75" s="2"/>
      <c r="V75" s="7">
        <f t="shared" si="50"/>
        <v>2.1956599297707659E-5</v>
      </c>
      <c r="W75" s="2"/>
      <c r="X75" s="6">
        <f t="shared" si="51"/>
        <v>-82.5</v>
      </c>
      <c r="Y75" s="2"/>
      <c r="Z75" s="7">
        <f t="shared" si="52"/>
        <v>-1</v>
      </c>
    </row>
    <row r="76" spans="1:26" s="23" customFormat="1" hidden="1" outlineLevel="2" x14ac:dyDescent="0.25">
      <c r="A76" s="25"/>
      <c r="B76" s="10" t="str">
        <f>CONCATENATE("          ", "6248", " - ", "UNIFORMS")</f>
        <v xml:space="preserve">          6248 - UNIFORMS</v>
      </c>
      <c r="C76" s="10"/>
      <c r="D76" s="6"/>
      <c r="E76" s="2"/>
      <c r="F76" s="7">
        <f t="shared" si="45"/>
        <v>0</v>
      </c>
      <c r="G76" s="2"/>
      <c r="H76" s="6"/>
      <c r="I76" s="2"/>
      <c r="J76" s="7">
        <f t="shared" si="46"/>
        <v>0</v>
      </c>
      <c r="K76" s="2"/>
      <c r="L76" s="6">
        <f t="shared" si="47"/>
        <v>0</v>
      </c>
      <c r="M76" s="2"/>
      <c r="N76" s="7">
        <f t="shared" si="48"/>
        <v>0</v>
      </c>
      <c r="O76" s="10"/>
      <c r="P76" s="6"/>
      <c r="Q76" s="2"/>
      <c r="R76" s="7">
        <f t="shared" si="49"/>
        <v>0</v>
      </c>
      <c r="S76" s="2"/>
      <c r="T76" s="6">
        <v>3521.63</v>
      </c>
      <c r="U76" s="2"/>
      <c r="V76" s="7">
        <f t="shared" si="50"/>
        <v>9.3724871254286337E-4</v>
      </c>
      <c r="W76" s="2"/>
      <c r="X76" s="6">
        <f t="shared" si="51"/>
        <v>-3521.63</v>
      </c>
      <c r="Y76" s="2"/>
      <c r="Z76" s="7">
        <f t="shared" si="52"/>
        <v>-1</v>
      </c>
    </row>
    <row r="77" spans="1:26" s="27" customFormat="1" outlineLevel="1" collapsed="1" x14ac:dyDescent="0.25">
      <c r="A77" s="26"/>
      <c r="B77" s="12" t="str">
        <f>CONCATENATE("     ","Telephone/Data Lines                              ")</f>
        <v xml:space="preserve">     Telephone/Data Lines                              </v>
      </c>
      <c r="C77" s="12"/>
      <c r="D77" s="1">
        <f>SUM(OSRRefD22_14x_0)</f>
        <v>239</v>
      </c>
      <c r="E77" s="1"/>
      <c r="F77" s="5">
        <f t="shared" ref="F77:F82" si="53">IF(D$12=0,0,D77/D$12)</f>
        <v>0</v>
      </c>
      <c r="G77" s="1"/>
      <c r="H77" s="1">
        <f>SUM(OSRRefH22_14x_0)</f>
        <v>43</v>
      </c>
      <c r="I77" s="1"/>
      <c r="J77" s="5">
        <f t="shared" ref="J77:J82" si="54">IF(H$12=0,0,H77/H$12)</f>
        <v>-1.2793012040306915E-3</v>
      </c>
      <c r="K77" s="1"/>
      <c r="L77" s="1">
        <f t="shared" ref="L77:L82" si="55">+D77-H77</f>
        <v>196</v>
      </c>
      <c r="M77" s="1"/>
      <c r="N77" s="5">
        <f t="shared" ref="N77:N82" si="56">IF(H77=0,0,L77/H77)</f>
        <v>4.558139534883721</v>
      </c>
      <c r="O77" s="12"/>
      <c r="P77" s="1">
        <f>SUM(OSRRefP22_14x_0)</f>
        <v>1679</v>
      </c>
      <c r="Q77" s="1"/>
      <c r="R77" s="5">
        <f t="shared" ref="R77:R82" si="57">IF(P$12=0,0,P77/P$12)</f>
        <v>7.1268727672810742E-2</v>
      </c>
      <c r="S77" s="1"/>
      <c r="T77" s="1">
        <f>SUM(OSRRefT22_14x_0)</f>
        <v>2015.85</v>
      </c>
      <c r="U77" s="1"/>
      <c r="V77" s="5">
        <f t="shared" ref="V77:V82" si="58">IF(T$12=0,0,T77/T$12)</f>
        <v>5.3649952356707865E-4</v>
      </c>
      <c r="W77" s="1"/>
      <c r="X77" s="1">
        <f t="shared" ref="X77:X82" si="59">+P77-T77</f>
        <v>-336.84999999999991</v>
      </c>
      <c r="Y77" s="1"/>
      <c r="Z77" s="5">
        <f t="shared" ref="Z77:Z82" si="60">IF(T77=0,0,X77/T77)</f>
        <v>-0.16710072674058085</v>
      </c>
    </row>
    <row r="78" spans="1:26" s="23" customFormat="1" hidden="1" outlineLevel="2" x14ac:dyDescent="0.25">
      <c r="A78" s="25"/>
      <c r="B78" s="10" t="str">
        <f>CONCATENATE("          ", "6309", " - ", "TELEPHONE")</f>
        <v xml:space="preserve">          6309 - TELEPHONE</v>
      </c>
      <c r="C78" s="10"/>
      <c r="D78" s="6">
        <v>239</v>
      </c>
      <c r="E78" s="2"/>
      <c r="F78" s="7">
        <f t="shared" si="53"/>
        <v>0</v>
      </c>
      <c r="G78" s="2"/>
      <c r="H78" s="6">
        <v>43</v>
      </c>
      <c r="I78" s="2"/>
      <c r="J78" s="7">
        <f t="shared" si="54"/>
        <v>-1.2793012040306915E-3</v>
      </c>
      <c r="K78" s="2"/>
      <c r="L78" s="6">
        <f t="shared" si="55"/>
        <v>196</v>
      </c>
      <c r="M78" s="2"/>
      <c r="N78" s="7">
        <f t="shared" si="56"/>
        <v>4.558139534883721</v>
      </c>
      <c r="O78" s="10"/>
      <c r="P78" s="6">
        <v>1679</v>
      </c>
      <c r="Q78" s="2"/>
      <c r="R78" s="7">
        <f t="shared" si="57"/>
        <v>7.1268727672810742E-2</v>
      </c>
      <c r="S78" s="2"/>
      <c r="T78" s="6">
        <v>2015.85</v>
      </c>
      <c r="U78" s="2"/>
      <c r="V78" s="7">
        <f t="shared" si="58"/>
        <v>5.3649952356707865E-4</v>
      </c>
      <c r="W78" s="2"/>
      <c r="X78" s="6">
        <f t="shared" si="59"/>
        <v>-336.84999999999991</v>
      </c>
      <c r="Y78" s="2"/>
      <c r="Z78" s="7">
        <f t="shared" si="60"/>
        <v>-0.16710072674058085</v>
      </c>
    </row>
    <row r="79" spans="1:26" s="27" customFormat="1" outlineLevel="1" collapsed="1" x14ac:dyDescent="0.25">
      <c r="A79" s="26"/>
      <c r="B79" s="12" t="str">
        <f>CONCATENATE("     ","Training                                          ")</f>
        <v xml:space="preserve">     Training                                          </v>
      </c>
      <c r="C79" s="12"/>
      <c r="D79" s="1">
        <f>SUM(OSRRefD22_15x_0)</f>
        <v>0</v>
      </c>
      <c r="E79" s="1"/>
      <c r="F79" s="5">
        <f t="shared" si="53"/>
        <v>0</v>
      </c>
      <c r="G79" s="1"/>
      <c r="H79" s="1">
        <f>SUM(OSRRefH22_15x_0)</f>
        <v>0</v>
      </c>
      <c r="I79" s="1"/>
      <c r="J79" s="5">
        <f t="shared" si="54"/>
        <v>0</v>
      </c>
      <c r="K79" s="1"/>
      <c r="L79" s="1">
        <f t="shared" si="55"/>
        <v>0</v>
      </c>
      <c r="M79" s="1"/>
      <c r="N79" s="5">
        <f t="shared" si="56"/>
        <v>0</v>
      </c>
      <c r="O79" s="12"/>
      <c r="P79" s="1">
        <f>SUM(OSRRefP22_15x_0)</f>
        <v>0</v>
      </c>
      <c r="Q79" s="1"/>
      <c r="R79" s="5">
        <f t="shared" si="57"/>
        <v>0</v>
      </c>
      <c r="S79" s="1"/>
      <c r="T79" s="1">
        <f>SUM(OSRRefT22_15x_0)</f>
        <v>678.48</v>
      </c>
      <c r="U79" s="1"/>
      <c r="V79" s="5">
        <f t="shared" si="58"/>
        <v>1.8057107262434781E-4</v>
      </c>
      <c r="W79" s="1"/>
      <c r="X79" s="1">
        <f t="shared" si="59"/>
        <v>-678.48</v>
      </c>
      <c r="Y79" s="1"/>
      <c r="Z79" s="5">
        <f t="shared" si="60"/>
        <v>-1</v>
      </c>
    </row>
    <row r="80" spans="1:26" s="23" customFormat="1" hidden="1" outlineLevel="2" x14ac:dyDescent="0.25">
      <c r="A80" s="25"/>
      <c r="B80" s="10" t="str">
        <f>CONCATENATE("          ", "6376", " - ", "TRAINING")</f>
        <v xml:space="preserve">          6376 - TRAINING</v>
      </c>
      <c r="C80" s="10"/>
      <c r="D80" s="6"/>
      <c r="E80" s="2"/>
      <c r="F80" s="7">
        <f t="shared" si="53"/>
        <v>0</v>
      </c>
      <c r="G80" s="2"/>
      <c r="H80" s="6"/>
      <c r="I80" s="2"/>
      <c r="J80" s="7">
        <f t="shared" si="54"/>
        <v>0</v>
      </c>
      <c r="K80" s="2"/>
      <c r="L80" s="6">
        <f t="shared" si="55"/>
        <v>0</v>
      </c>
      <c r="M80" s="2"/>
      <c r="N80" s="7">
        <f t="shared" si="56"/>
        <v>0</v>
      </c>
      <c r="O80" s="10"/>
      <c r="P80" s="6"/>
      <c r="Q80" s="2"/>
      <c r="R80" s="7">
        <f t="shared" si="57"/>
        <v>0</v>
      </c>
      <c r="S80" s="2"/>
      <c r="T80" s="6">
        <v>678.48</v>
      </c>
      <c r="U80" s="2"/>
      <c r="V80" s="7">
        <f t="shared" si="58"/>
        <v>1.8057107262434781E-4</v>
      </c>
      <c r="W80" s="2"/>
      <c r="X80" s="6">
        <f t="shared" si="59"/>
        <v>-678.48</v>
      </c>
      <c r="Y80" s="2"/>
      <c r="Z80" s="7">
        <f t="shared" si="60"/>
        <v>-1</v>
      </c>
    </row>
    <row r="81" spans="1:26" s="27" customFormat="1" outlineLevel="1" collapsed="1" x14ac:dyDescent="0.25">
      <c r="A81" s="26"/>
      <c r="B81" s="12" t="str">
        <f>CONCATENATE("     ","Travel                                            ")</f>
        <v xml:space="preserve">     Travel                                            </v>
      </c>
      <c r="C81" s="12"/>
      <c r="D81" s="1">
        <f>SUM(OSRRefD22_16x_0)</f>
        <v>0</v>
      </c>
      <c r="E81" s="1"/>
      <c r="F81" s="5">
        <f t="shared" si="53"/>
        <v>0</v>
      </c>
      <c r="G81" s="1"/>
      <c r="H81" s="1">
        <f>SUM(OSRRefH22_16x_0)</f>
        <v>0</v>
      </c>
      <c r="I81" s="1"/>
      <c r="J81" s="5">
        <f t="shared" si="54"/>
        <v>0</v>
      </c>
      <c r="K81" s="1"/>
      <c r="L81" s="1">
        <f t="shared" si="55"/>
        <v>0</v>
      </c>
      <c r="M81" s="1"/>
      <c r="N81" s="5">
        <f t="shared" si="56"/>
        <v>0</v>
      </c>
      <c r="O81" s="12"/>
      <c r="P81" s="1">
        <f>SUM(OSRRefP22_16x_0)</f>
        <v>0</v>
      </c>
      <c r="Q81" s="1"/>
      <c r="R81" s="5">
        <f t="shared" si="57"/>
        <v>0</v>
      </c>
      <c r="S81" s="1"/>
      <c r="T81" s="1">
        <f>SUM(OSRRefT22_16x_0)</f>
        <v>1429.86</v>
      </c>
      <c r="U81" s="1"/>
      <c r="V81" s="5">
        <f t="shared" si="58"/>
        <v>3.8054379480994269E-4</v>
      </c>
      <c r="W81" s="1"/>
      <c r="X81" s="1">
        <f t="shared" si="59"/>
        <v>-1429.86</v>
      </c>
      <c r="Y81" s="1"/>
      <c r="Z81" s="5">
        <f t="shared" si="60"/>
        <v>-1</v>
      </c>
    </row>
    <row r="82" spans="1:26" s="23" customFormat="1" hidden="1" outlineLevel="2" x14ac:dyDescent="0.25">
      <c r="A82" s="25"/>
      <c r="B82" s="10" t="str">
        <f>CONCATENATE("          ", "6292", " - ", "TRAVEL/CONFERENCE")</f>
        <v xml:space="preserve">          6292 - TRAVEL/CONFERENCE</v>
      </c>
      <c r="C82" s="10"/>
      <c r="D82" s="6"/>
      <c r="E82" s="2"/>
      <c r="F82" s="7">
        <f t="shared" si="53"/>
        <v>0</v>
      </c>
      <c r="G82" s="2"/>
      <c r="H82" s="6"/>
      <c r="I82" s="2"/>
      <c r="J82" s="7">
        <f t="shared" si="54"/>
        <v>0</v>
      </c>
      <c r="K82" s="2"/>
      <c r="L82" s="6">
        <f t="shared" si="55"/>
        <v>0</v>
      </c>
      <c r="M82" s="2"/>
      <c r="N82" s="7">
        <f t="shared" si="56"/>
        <v>0</v>
      </c>
      <c r="O82" s="10"/>
      <c r="P82" s="6"/>
      <c r="Q82" s="2"/>
      <c r="R82" s="7">
        <f t="shared" si="57"/>
        <v>0</v>
      </c>
      <c r="S82" s="2"/>
      <c r="T82" s="6">
        <v>1429.86</v>
      </c>
      <c r="U82" s="2"/>
      <c r="V82" s="7">
        <f t="shared" si="58"/>
        <v>3.8054379480994269E-4</v>
      </c>
      <c r="W82" s="2"/>
      <c r="X82" s="6">
        <f t="shared" si="59"/>
        <v>-1429.86</v>
      </c>
      <c r="Y82" s="2"/>
      <c r="Z82" s="7">
        <f t="shared" si="60"/>
        <v>-1</v>
      </c>
    </row>
    <row r="83" spans="1:26" s="52" customFormat="1" x14ac:dyDescent="0.25">
      <c r="A83" s="37"/>
      <c r="B83" s="37"/>
      <c r="C83" s="37"/>
      <c r="D83" s="1"/>
      <c r="E83" s="1"/>
      <c r="F83" s="5"/>
      <c r="G83" s="1"/>
      <c r="H83" s="1"/>
      <c r="I83" s="1"/>
      <c r="J83" s="5"/>
      <c r="K83" s="1"/>
      <c r="L83" s="1"/>
      <c r="M83" s="1"/>
      <c r="N83" s="5"/>
      <c r="O83" s="37"/>
      <c r="P83" s="1"/>
      <c r="Q83" s="1"/>
      <c r="R83" s="5"/>
      <c r="S83" s="1"/>
      <c r="T83" s="1"/>
      <c r="U83" s="1"/>
      <c r="V83" s="5"/>
      <c r="W83" s="1"/>
      <c r="X83" s="1"/>
      <c r="Y83" s="1"/>
      <c r="Z83" s="5"/>
    </row>
    <row r="84" spans="1:26" s="24" customFormat="1" x14ac:dyDescent="0.25">
      <c r="A84" s="11"/>
      <c r="B84" s="29" t="s">
        <v>292</v>
      </c>
      <c r="C84" s="11"/>
      <c r="D84" s="4">
        <f>SUM(0)</f>
        <v>0</v>
      </c>
      <c r="E84" s="4"/>
      <c r="F84" s="13">
        <f>IF(D$12=0,0,D84/D$12)</f>
        <v>0</v>
      </c>
      <c r="G84" s="4"/>
      <c r="H84" s="4">
        <f>SUM(0)</f>
        <v>0</v>
      </c>
      <c r="I84" s="4"/>
      <c r="J84" s="13">
        <f>IF(H$12=0,0,H84/H$12)</f>
        <v>0</v>
      </c>
      <c r="K84" s="4"/>
      <c r="L84" s="4">
        <f>+D84-H84</f>
        <v>0</v>
      </c>
      <c r="M84" s="4"/>
      <c r="N84" s="13">
        <f>IF(H84=0,0,L84/H84)</f>
        <v>0</v>
      </c>
      <c r="O84" s="11"/>
      <c r="P84" s="4">
        <f>SUM(0)</f>
        <v>0</v>
      </c>
      <c r="Q84" s="4"/>
      <c r="R84" s="13">
        <f>IF(P$12=0,0,P84/P$12)</f>
        <v>0</v>
      </c>
      <c r="S84" s="4"/>
      <c r="T84" s="4">
        <f>SUM(0)</f>
        <v>0</v>
      </c>
      <c r="U84" s="4"/>
      <c r="V84" s="13">
        <f>IF(T$12=0,0,T84/T$12)</f>
        <v>0</v>
      </c>
      <c r="W84" s="4"/>
      <c r="X84" s="4">
        <f>+P84-T84</f>
        <v>0</v>
      </c>
      <c r="Y84" s="4"/>
      <c r="Z84" s="13">
        <f>IF(T84=0,0,X84/T84)</f>
        <v>0</v>
      </c>
    </row>
    <row r="85" spans="1:26" x14ac:dyDescent="0.25">
      <c r="A85" s="9"/>
      <c r="B85" s="11"/>
      <c r="C85" s="11"/>
      <c r="D85" s="3"/>
      <c r="E85" s="3"/>
      <c r="F85" s="8"/>
      <c r="G85" s="3"/>
      <c r="H85" s="3"/>
      <c r="I85" s="3"/>
      <c r="J85" s="8"/>
      <c r="K85" s="3"/>
      <c r="L85" s="3"/>
      <c r="M85" s="3"/>
      <c r="N85" s="8"/>
      <c r="O85" s="11"/>
      <c r="P85" s="3"/>
      <c r="Q85" s="3"/>
      <c r="R85" s="8"/>
      <c r="S85" s="3"/>
      <c r="T85" s="3"/>
      <c r="U85" s="3"/>
      <c r="V85" s="8"/>
      <c r="W85" s="3"/>
      <c r="X85" s="3"/>
      <c r="Y85" s="3"/>
      <c r="Z85" s="8"/>
    </row>
    <row r="86" spans="1:26" s="24" customFormat="1" x14ac:dyDescent="0.25">
      <c r="A86" s="11"/>
      <c r="B86" s="28" t="s">
        <v>276</v>
      </c>
      <c r="C86" s="28"/>
      <c r="D86" s="21">
        <f>+D22-D24+D84</f>
        <v>-46376.02</v>
      </c>
      <c r="E86" s="14"/>
      <c r="F86" s="22">
        <f>IF(D$12=0,0,D86/D$12)</f>
        <v>0</v>
      </c>
      <c r="G86" s="14"/>
      <c r="H86" s="21">
        <f>+H22-H24+H84</f>
        <v>-87598.040000000008</v>
      </c>
      <c r="I86" s="14"/>
      <c r="J86" s="22">
        <f>IF(H$12=0,0,H86/H$12)</f>
        <v>2.6061460009936903</v>
      </c>
      <c r="K86" s="15"/>
      <c r="L86" s="21">
        <f>+D86-H86</f>
        <v>41222.020000000011</v>
      </c>
      <c r="M86" s="15"/>
      <c r="N86" s="22">
        <f>IF(H86=0,0,L86/H86)</f>
        <v>-0.47058153355942678</v>
      </c>
      <c r="O86" s="29"/>
      <c r="P86" s="21">
        <f>+P22-P24+P84</f>
        <v>-610923.87999999966</v>
      </c>
      <c r="Q86" s="14"/>
      <c r="R86" s="22">
        <f>IF(P$12=0,0,P86/P$12)</f>
        <v>-25.931964045584802</v>
      </c>
      <c r="S86" s="14"/>
      <c r="T86" s="21">
        <f>+T22-T24+T84</f>
        <v>1120026.0799999998</v>
      </c>
      <c r="U86" s="14"/>
      <c r="V86" s="22">
        <f>IF(T$12=0,0,T86/T$12)</f>
        <v>0.29808441020051224</v>
      </c>
      <c r="W86" s="15"/>
      <c r="X86" s="21">
        <f>+P86-T86</f>
        <v>-1730949.9599999995</v>
      </c>
      <c r="Y86" s="15"/>
      <c r="Z86" s="22">
        <f>IF(T86=0,0,X86/T86)</f>
        <v>-1.5454550486895804</v>
      </c>
    </row>
    <row r="87" spans="1:26" x14ac:dyDescent="0.25">
      <c r="A87" s="9"/>
      <c r="B87" s="11"/>
      <c r="C87" s="9"/>
      <c r="D87" s="3"/>
      <c r="E87" s="3"/>
      <c r="F87" s="8"/>
      <c r="G87" s="3"/>
      <c r="H87" s="3"/>
      <c r="I87" s="3"/>
      <c r="J87" s="8"/>
      <c r="K87" s="3"/>
      <c r="L87" s="3"/>
      <c r="M87" s="3"/>
      <c r="N87" s="8"/>
      <c r="P87" s="3"/>
      <c r="Q87" s="3"/>
      <c r="R87" s="8"/>
      <c r="S87" s="3"/>
      <c r="T87" s="3"/>
      <c r="U87" s="3"/>
      <c r="V87" s="8"/>
      <c r="W87" s="3"/>
      <c r="X87" s="3"/>
      <c r="Y87" s="3"/>
      <c r="Z87" s="8"/>
    </row>
    <row r="88" spans="1:26" s="24" customFormat="1" x14ac:dyDescent="0.25">
      <c r="A88" s="51"/>
      <c r="B88" s="11" t="s">
        <v>127</v>
      </c>
      <c r="C88" s="11"/>
      <c r="D88" s="4">
        <v>1486.65</v>
      </c>
      <c r="E88" s="4"/>
      <c r="F88" s="13">
        <f>IF(D$12=0,0,D88/D$12)</f>
        <v>0</v>
      </c>
      <c r="G88" s="4"/>
      <c r="H88" s="4">
        <v>120021.94</v>
      </c>
      <c r="I88" s="4"/>
      <c r="J88" s="13">
        <f>IF(H$12=0,0,H88/H$12)</f>
        <v>-3.570795636095335</v>
      </c>
      <c r="K88" s="4"/>
      <c r="L88" s="4">
        <f>+D88-H88</f>
        <v>-118535.29000000001</v>
      </c>
      <c r="M88" s="4"/>
      <c r="N88" s="13">
        <f>IF(H88=0,0,L88/H88)</f>
        <v>-0.98761351466240266</v>
      </c>
      <c r="O88" s="11"/>
      <c r="P88" s="4">
        <v>6520.93</v>
      </c>
      <c r="Q88" s="4"/>
      <c r="R88" s="13">
        <f>IF(P$12=0,0,P88/P$12)</f>
        <v>0.27679474946007254</v>
      </c>
      <c r="S88" s="4"/>
      <c r="T88" s="4">
        <v>568957.25</v>
      </c>
      <c r="U88" s="4"/>
      <c r="V88" s="13">
        <f>IF(T$12=0,0,T88/T$12)</f>
        <v>0.15142262249425067</v>
      </c>
      <c r="W88" s="4"/>
      <c r="X88" s="4">
        <f>+P88-T88</f>
        <v>-562436.31999999995</v>
      </c>
      <c r="Y88" s="4"/>
      <c r="Z88" s="13">
        <f>IF(T88=0,0,X88/T88)</f>
        <v>-0.98853880498051472</v>
      </c>
    </row>
    <row r="89" spans="1:26" x14ac:dyDescent="0.25">
      <c r="A89" s="9"/>
      <c r="B89" s="11"/>
      <c r="C89" s="11"/>
      <c r="D89" s="3"/>
      <c r="E89" s="3"/>
      <c r="F89" s="8"/>
      <c r="G89" s="3"/>
      <c r="H89" s="3"/>
      <c r="I89" s="3"/>
      <c r="J89" s="8"/>
      <c r="K89" s="3"/>
      <c r="L89" s="3"/>
      <c r="M89" s="3"/>
      <c r="N89" s="8"/>
      <c r="O89" s="11"/>
      <c r="P89" s="3"/>
      <c r="Q89" s="3"/>
      <c r="R89" s="8"/>
      <c r="S89" s="3"/>
      <c r="T89" s="3"/>
      <c r="U89" s="3"/>
      <c r="V89" s="8"/>
      <c r="W89" s="3"/>
      <c r="X89" s="3"/>
      <c r="Y89" s="3"/>
      <c r="Z89" s="8"/>
    </row>
    <row r="90" spans="1:26" s="24" customFormat="1" ht="15.75" thickBot="1" x14ac:dyDescent="0.3">
      <c r="A90" s="11"/>
      <c r="B90" s="28" t="s">
        <v>125</v>
      </c>
      <c r="C90" s="28"/>
      <c r="D90" s="34">
        <f>+D86-D88</f>
        <v>-47862.67</v>
      </c>
      <c r="E90" s="14"/>
      <c r="F90" s="31">
        <f>IF(D$12=0,0,D90/D$12)</f>
        <v>0</v>
      </c>
      <c r="G90" s="14"/>
      <c r="H90" s="34">
        <f>+H86-H88</f>
        <v>-207619.98</v>
      </c>
      <c r="I90" s="14"/>
      <c r="J90" s="31">
        <f>IF(H$12=0,0,H90/H$12)</f>
        <v>6.1769416370890253</v>
      </c>
      <c r="K90" s="15"/>
      <c r="L90" s="34">
        <f>D90-H90</f>
        <v>159757.31</v>
      </c>
      <c r="M90" s="15"/>
      <c r="N90" s="31">
        <f>IF(H90=0,0,L90/H90)</f>
        <v>-0.76946982655522844</v>
      </c>
      <c r="O90" s="29"/>
      <c r="P90" s="34">
        <f>+P86-P88</f>
        <v>-617444.80999999971</v>
      </c>
      <c r="Q90" s="14"/>
      <c r="R90" s="31">
        <f>IF(P$12=0,0,P90/P$12)</f>
        <v>-26.208758795044879</v>
      </c>
      <c r="S90" s="14"/>
      <c r="T90" s="34">
        <f>+T86-T88</f>
        <v>551068.82999999984</v>
      </c>
      <c r="U90" s="14"/>
      <c r="V90" s="31">
        <f>IF(T$12=0,0,T90/T$12)</f>
        <v>0.14666178770626156</v>
      </c>
      <c r="W90" s="15"/>
      <c r="X90" s="34">
        <f>P90-T90</f>
        <v>-1168513.6399999997</v>
      </c>
      <c r="Y90" s="15"/>
      <c r="Z90" s="31">
        <f>IF(T90=0,0,X90/T90)</f>
        <v>-2.1204495271489043</v>
      </c>
    </row>
    <row r="91" spans="1:26" ht="15.75" thickTop="1" x14ac:dyDescent="0.25">
      <c r="A91" s="9"/>
      <c r="B91" s="9"/>
      <c r="C91" s="9"/>
      <c r="D91" s="3"/>
      <c r="E91" s="3"/>
      <c r="F91" s="8"/>
      <c r="G91" s="3"/>
      <c r="H91" s="3"/>
      <c r="I91" s="3"/>
      <c r="J91" s="8"/>
      <c r="K91" s="3"/>
      <c r="L91" s="3"/>
      <c r="M91" s="3"/>
      <c r="N91" s="8"/>
      <c r="P91" s="3"/>
      <c r="Q91" s="3"/>
      <c r="R91" s="8"/>
      <c r="S91" s="3"/>
      <c r="T91" s="3"/>
      <c r="U91" s="3"/>
      <c r="V91" s="8"/>
      <c r="W91" s="3"/>
      <c r="X91" s="3"/>
      <c r="Y91" s="3"/>
      <c r="Z91" s="8"/>
    </row>
    <row r="92" spans="1:26" x14ac:dyDescent="0.25">
      <c r="A92" s="9"/>
      <c r="B92" s="9"/>
      <c r="C92" s="9"/>
      <c r="D92" s="3"/>
      <c r="E92" s="3"/>
      <c r="F92" s="8"/>
      <c r="G92" s="3"/>
      <c r="H92" s="3"/>
      <c r="I92" s="3"/>
      <c r="J92" s="8"/>
      <c r="K92" s="3"/>
      <c r="L92" s="3"/>
      <c r="M92" s="3"/>
      <c r="N92" s="8"/>
      <c r="P92" s="3"/>
      <c r="Q92" s="3"/>
      <c r="R92" s="8"/>
      <c r="S92" s="3"/>
      <c r="T92" s="3"/>
      <c r="U92" s="3"/>
      <c r="V92" s="8"/>
      <c r="W92" s="3"/>
      <c r="X92" s="3"/>
      <c r="Y92" s="3"/>
      <c r="Z92" s="8"/>
    </row>
    <row r="93" spans="1:26" s="24" customFormat="1" ht="15.75" thickBot="1" x14ac:dyDescent="0.3">
      <c r="A93" s="11"/>
      <c r="B93" s="28" t="s">
        <v>293</v>
      </c>
      <c r="C93" s="28"/>
      <c r="D93" s="33">
        <f>SUM(D90:D92)</f>
        <v>-47862.67</v>
      </c>
      <c r="E93" s="14"/>
      <c r="F93" s="35">
        <f>IF(D$12=0,0,D93/D$12)</f>
        <v>0</v>
      </c>
      <c r="G93" s="14"/>
      <c r="H93" s="33">
        <f>SUM(H90:H92)</f>
        <v>-207619.98</v>
      </c>
      <c r="I93" s="14"/>
      <c r="J93" s="35">
        <f>IF(H$12=0,0,H93/H$12)</f>
        <v>6.1769416370890253</v>
      </c>
      <c r="K93" s="15"/>
      <c r="L93" s="33">
        <f>+D93-H93</f>
        <v>159757.31</v>
      </c>
      <c r="M93" s="15"/>
      <c r="N93" s="35">
        <f>IF(H93=0,0,L93/H93)</f>
        <v>-0.76946982655522844</v>
      </c>
      <c r="O93" s="29"/>
      <c r="P93" s="33">
        <f>SUM(P90:P92)</f>
        <v>-617444.80999999971</v>
      </c>
      <c r="Q93" s="14"/>
      <c r="R93" s="35">
        <f>IF(P$12=0,0,P93/P$12)</f>
        <v>-26.208758795044879</v>
      </c>
      <c r="S93" s="14"/>
      <c r="T93" s="33">
        <f>SUM(T90:T92)</f>
        <v>551068.82999999984</v>
      </c>
      <c r="U93" s="14"/>
      <c r="V93" s="35">
        <f>IF(T$12=0,0,T93/T$12)</f>
        <v>0.14666178770626156</v>
      </c>
      <c r="W93" s="15"/>
      <c r="X93" s="33">
        <f>+P93-T93</f>
        <v>-1168513.6399999997</v>
      </c>
      <c r="Y93" s="15"/>
      <c r="Z93" s="35">
        <f>IF(T93=0,0,X93/T93)</f>
        <v>-2.1204495271489043</v>
      </c>
    </row>
    <row r="94" spans="1:26" ht="15.75" thickTop="1" x14ac:dyDescent="0.25">
      <c r="A94" s="9"/>
      <c r="C94" s="9"/>
      <c r="D94" s="18"/>
      <c r="E94" s="18"/>
      <c r="G94" s="18"/>
      <c r="H94" s="18"/>
      <c r="I94" s="18"/>
      <c r="J94" s="43"/>
      <c r="K94" s="18"/>
      <c r="L94" s="18"/>
      <c r="M94" s="18"/>
      <c r="P94" s="18"/>
      <c r="Q94" s="18"/>
      <c r="R94" s="43"/>
      <c r="S94" s="18"/>
      <c r="T94" s="18"/>
      <c r="U94" s="18"/>
      <c r="V94" s="43"/>
      <c r="W94" s="18"/>
      <c r="X94" s="18"/>
    </row>
    <row r="95" spans="1:26" x14ac:dyDescent="0.25">
      <c r="A95" s="9"/>
      <c r="B95" s="56">
        <v>44454.698585613427</v>
      </c>
      <c r="D95" s="18"/>
      <c r="E95" s="18"/>
      <c r="G95" s="18"/>
      <c r="H95" s="18"/>
      <c r="I95" s="18"/>
      <c r="J95" s="43"/>
      <c r="K95" s="18"/>
      <c r="L95" s="18"/>
      <c r="M95" s="18"/>
      <c r="P95" s="18"/>
      <c r="Q95" s="18"/>
      <c r="R95" s="43"/>
      <c r="S95" s="18"/>
      <c r="T95" s="18"/>
      <c r="U95" s="18"/>
      <c r="V95" s="43"/>
      <c r="W95" s="18"/>
      <c r="X95" s="18"/>
    </row>
    <row r="96" spans="1:26" x14ac:dyDescent="0.25">
      <c r="A96" s="9"/>
      <c r="B96" s="55" t="s">
        <v>56</v>
      </c>
      <c r="D96" s="18"/>
      <c r="E96" s="18"/>
      <c r="G96" s="18"/>
      <c r="H96" s="18"/>
      <c r="I96" s="18"/>
      <c r="J96" s="43"/>
      <c r="K96" s="18"/>
      <c r="L96" s="18"/>
      <c r="M96" s="18"/>
      <c r="P96" s="18"/>
      <c r="Q96" s="18"/>
      <c r="R96" s="43"/>
      <c r="S96" s="18"/>
      <c r="T96" s="18"/>
      <c r="U96" s="18"/>
      <c r="V96" s="43"/>
      <c r="W96" s="18"/>
      <c r="X96" s="18"/>
    </row>
    <row r="97" spans="1:24" x14ac:dyDescent="0.25">
      <c r="A97" s="9"/>
      <c r="B97" s="60"/>
      <c r="D97" s="18"/>
      <c r="E97" s="18"/>
      <c r="G97" s="18"/>
      <c r="H97" s="18"/>
      <c r="I97" s="18"/>
      <c r="J97" s="43"/>
      <c r="K97" s="18"/>
      <c r="L97" s="18"/>
      <c r="M97" s="18"/>
      <c r="P97" s="18"/>
      <c r="Q97" s="18"/>
      <c r="R97" s="43"/>
      <c r="S97" s="18"/>
      <c r="T97" s="18"/>
      <c r="U97" s="18"/>
      <c r="V97" s="43"/>
      <c r="W97" s="18"/>
      <c r="X97" s="18"/>
    </row>
    <row r="98" spans="1:24" x14ac:dyDescent="0.25">
      <c r="D98" s="18"/>
      <c r="E98" s="18"/>
      <c r="G98" s="18"/>
      <c r="H98" s="18"/>
      <c r="I98" s="18"/>
      <c r="J98" s="43"/>
      <c r="K98" s="18"/>
      <c r="L98" s="18"/>
      <c r="M98" s="18"/>
      <c r="P98" s="18"/>
      <c r="Q98" s="18"/>
      <c r="R98" s="43"/>
      <c r="S98" s="18"/>
      <c r="T98" s="18"/>
      <c r="U98" s="18"/>
      <c r="V98" s="43"/>
      <c r="W98" s="18"/>
      <c r="X98" s="18"/>
    </row>
  </sheetData>
  <pageMargins left="0.25" right="0.25" top="0.75" bottom="0.75" header="0.3" footer="0.3"/>
  <pageSetup scale="55" fitToWidth="2" orientation="landscape"/>
  <drawing r:id="rId1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>
    <tabColor rgb="FF92D050"/>
    <outlinePr summaryBelow="0" summaryRight="0"/>
  </sheetPr>
  <dimension ref="A2:Z63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62" t="s">
        <v>23</v>
      </c>
    </row>
    <row r="3" spans="1:26" x14ac:dyDescent="0.25">
      <c r="D3" s="62" t="s">
        <v>236</v>
      </c>
      <c r="E3" s="17"/>
      <c r="F3" s="46"/>
      <c r="G3" s="17"/>
      <c r="H3" s="17"/>
      <c r="I3" s="17"/>
      <c r="J3" s="38"/>
      <c r="K3" s="17"/>
      <c r="L3" s="17"/>
      <c r="M3" s="17"/>
      <c r="N3" s="46"/>
      <c r="O3" s="53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2" t="str">
        <f>CONCATENATE("Period ",RIGHT(202112,2),", ",2021)</f>
        <v>Period 12, 2021</v>
      </c>
      <c r="E4" s="17"/>
      <c r="F4" s="46"/>
      <c r="G4" s="17"/>
      <c r="H4" s="17"/>
      <c r="I4" s="17"/>
      <c r="J4" s="38"/>
      <c r="K4" s="17"/>
      <c r="L4" s="17"/>
      <c r="M4" s="17"/>
      <c r="N4" s="46"/>
      <c r="O4" s="53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4"/>
      <c r="D5" s="63">
        <v>44377</v>
      </c>
      <c r="E5" s="17"/>
      <c r="F5" s="46"/>
      <c r="G5" s="17"/>
      <c r="H5" s="17"/>
      <c r="I5" s="17"/>
      <c r="J5" s="38"/>
      <c r="K5" s="17"/>
      <c r="L5" s="17"/>
      <c r="M5" s="17"/>
      <c r="N5" s="46"/>
      <c r="O5" s="53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4"/>
      <c r="B6" s="48"/>
      <c r="C6" s="48"/>
      <c r="D6" s="24" t="str">
        <f>CONCATENATE("Department ","435", " - ", "Ground Floor Coffee House")</f>
        <v>Department 435 - Ground Floor Coffee House</v>
      </c>
      <c r="E6" s="17"/>
      <c r="F6" s="46"/>
      <c r="G6" s="17"/>
      <c r="H6" s="17"/>
      <c r="I6" s="17"/>
      <c r="J6" s="38"/>
      <c r="K6" s="17"/>
      <c r="L6" s="17"/>
      <c r="M6" s="17"/>
      <c r="N6" s="46"/>
      <c r="O6" s="54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9"/>
    </row>
    <row r="8" spans="1:26" x14ac:dyDescent="0.25">
      <c r="B8" s="59"/>
    </row>
    <row r="9" spans="1:26" x14ac:dyDescent="0.25">
      <c r="B9" s="9"/>
      <c r="C9" s="9"/>
      <c r="D9" s="16" t="s">
        <v>291</v>
      </c>
      <c r="E9" s="16"/>
      <c r="F9" s="39"/>
      <c r="G9" s="16"/>
      <c r="H9" s="16"/>
      <c r="I9" s="16"/>
      <c r="J9" s="49"/>
      <c r="K9" s="16"/>
      <c r="L9" s="16"/>
      <c r="M9" s="16"/>
      <c r="N9" s="39"/>
      <c r="P9" s="16" t="s">
        <v>39</v>
      </c>
      <c r="Q9" s="16"/>
      <c r="R9" s="39"/>
      <c r="S9" s="16"/>
      <c r="T9" s="16"/>
      <c r="U9" s="16"/>
      <c r="V9" s="49"/>
      <c r="W9" s="16"/>
      <c r="X9" s="16"/>
      <c r="Y9" s="16"/>
      <c r="Z9" s="39"/>
    </row>
    <row r="10" spans="1:26" x14ac:dyDescent="0.25">
      <c r="A10" s="11"/>
      <c r="B10" s="58"/>
      <c r="C10" s="11"/>
      <c r="D10" s="42" t="s">
        <v>57</v>
      </c>
      <c r="E10" s="36"/>
      <c r="F10" s="30" t="s">
        <v>40</v>
      </c>
      <c r="G10" s="36"/>
      <c r="H10" s="50" t="s">
        <v>237</v>
      </c>
      <c r="I10" s="36"/>
      <c r="J10" s="30" t="s">
        <v>40</v>
      </c>
      <c r="K10" s="11"/>
      <c r="L10" s="42" t="s">
        <v>126</v>
      </c>
      <c r="M10" s="11"/>
      <c r="N10" s="30" t="s">
        <v>257</v>
      </c>
      <c r="O10" s="11"/>
      <c r="P10" s="61" t="s">
        <v>57</v>
      </c>
      <c r="Q10" s="36"/>
      <c r="R10" s="30" t="s">
        <v>40</v>
      </c>
      <c r="S10" s="36"/>
      <c r="T10" s="50" t="s">
        <v>237</v>
      </c>
      <c r="U10" s="36"/>
      <c r="V10" s="30" t="s">
        <v>40</v>
      </c>
      <c r="W10" s="11"/>
      <c r="X10" s="42" t="s">
        <v>126</v>
      </c>
      <c r="Y10" s="11"/>
      <c r="Z10" s="30" t="s">
        <v>257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4" customFormat="1" collapsed="1" x14ac:dyDescent="0.25">
      <c r="A12" s="11"/>
      <c r="B12" s="29" t="s">
        <v>139</v>
      </c>
      <c r="C12" s="11"/>
      <c r="D12" s="4">
        <f>SUM(OSRRefD13x_0)</f>
        <v>0</v>
      </c>
      <c r="E12" s="4"/>
      <c r="F12" s="13"/>
      <c r="G12" s="4"/>
      <c r="H12" s="4">
        <f>SUM(OSRRefH13x_0)</f>
        <v>0</v>
      </c>
      <c r="I12" s="4"/>
      <c r="J12" s="13"/>
      <c r="K12" s="4"/>
      <c r="L12" s="4">
        <f t="shared" ref="L12:L15" si="0">+D12-H12</f>
        <v>0</v>
      </c>
      <c r="M12" s="4"/>
      <c r="N12" s="13">
        <f t="shared" ref="N12:N15" si="1">IF(H12=0,0,L12/H12)</f>
        <v>0</v>
      </c>
      <c r="O12" s="11"/>
      <c r="P12" s="4">
        <f>SUM(OSRRefP13x_0)</f>
        <v>0</v>
      </c>
      <c r="Q12" s="4"/>
      <c r="R12" s="13"/>
      <c r="S12" s="4"/>
      <c r="T12" s="4">
        <f>SUM(OSRRefT13x_0)</f>
        <v>5179.0200000000004</v>
      </c>
      <c r="U12" s="4"/>
      <c r="V12" s="13"/>
      <c r="W12" s="4"/>
      <c r="X12" s="4">
        <f t="shared" ref="X12:X15" si="2">+P12-T12</f>
        <v>-5179.0200000000004</v>
      </c>
      <c r="Y12" s="4"/>
      <c r="Z12" s="13">
        <f t="shared" ref="Z12:Z15" si="3">IF(T12=0,0,X12/T12)</f>
        <v>-1</v>
      </c>
    </row>
    <row r="13" spans="1:26" s="23" customFormat="1" hidden="1" outlineLevel="1" x14ac:dyDescent="0.25">
      <c r="A13" s="44"/>
      <c r="B13" s="10" t="str">
        <f>CONCATENATE("          ", "4055", " - ", "TAXABLE SALES-FOOD")</f>
        <v xml:space="preserve">          4055 - TAXABLE SALES-FOOD</v>
      </c>
      <c r="C13" s="10"/>
      <c r="D13" s="2">
        <f t="shared" ref="D13:D15" si="4">0</f>
        <v>0</v>
      </c>
      <c r="E13" s="2"/>
      <c r="F13" s="19"/>
      <c r="G13" s="2"/>
      <c r="H13" s="2">
        <f t="shared" ref="H13:H15" si="5">0</f>
        <v>0</v>
      </c>
      <c r="I13" s="2"/>
      <c r="J13" s="19"/>
      <c r="K13" s="2"/>
      <c r="L13" s="2">
        <f t="shared" si="0"/>
        <v>0</v>
      </c>
      <c r="M13" s="2"/>
      <c r="N13" s="19">
        <f t="shared" si="1"/>
        <v>0</v>
      </c>
      <c r="O13" s="10"/>
      <c r="P13" s="2">
        <f t="shared" ref="P13:P15" si="6">0</f>
        <v>0</v>
      </c>
      <c r="Q13" s="2"/>
      <c r="R13" s="19"/>
      <c r="S13" s="2"/>
      <c r="T13" s="2">
        <f>--973.49</f>
        <v>973.49</v>
      </c>
      <c r="U13" s="2"/>
      <c r="V13" s="19"/>
      <c r="W13" s="2"/>
      <c r="X13" s="2">
        <f t="shared" si="2"/>
        <v>-973.49</v>
      </c>
      <c r="Y13" s="2"/>
      <c r="Z13" s="19">
        <f t="shared" si="3"/>
        <v>-1</v>
      </c>
    </row>
    <row r="14" spans="1:26" s="23" customFormat="1" hidden="1" outlineLevel="1" x14ac:dyDescent="0.25">
      <c r="A14" s="44"/>
      <c r="B14" s="10" t="str">
        <f>CONCATENATE("          ", "4153", " - ", "NON-TAXABLE SALES-FOOD")</f>
        <v xml:space="preserve">          4153 - NON-TAXABLE SALES-FOOD</v>
      </c>
      <c r="C14" s="10"/>
      <c r="D14" s="2">
        <f t="shared" si="4"/>
        <v>0</v>
      </c>
      <c r="E14" s="2"/>
      <c r="F14" s="19"/>
      <c r="G14" s="2"/>
      <c r="H14" s="2">
        <f t="shared" si="5"/>
        <v>0</v>
      </c>
      <c r="I14" s="2"/>
      <c r="J14" s="19"/>
      <c r="K14" s="2"/>
      <c r="L14" s="2">
        <f t="shared" si="0"/>
        <v>0</v>
      </c>
      <c r="M14" s="2"/>
      <c r="N14" s="19">
        <f t="shared" si="1"/>
        <v>0</v>
      </c>
      <c r="O14" s="10"/>
      <c r="P14" s="2">
        <f t="shared" si="6"/>
        <v>0</v>
      </c>
      <c r="Q14" s="2"/>
      <c r="R14" s="19"/>
      <c r="S14" s="2"/>
      <c r="T14" s="2">
        <f>--471.63</f>
        <v>471.63</v>
      </c>
      <c r="U14" s="2"/>
      <c r="V14" s="19"/>
      <c r="W14" s="2"/>
      <c r="X14" s="2">
        <f t="shared" si="2"/>
        <v>-471.63</v>
      </c>
      <c r="Y14" s="2"/>
      <c r="Z14" s="19">
        <f t="shared" si="3"/>
        <v>-1</v>
      </c>
    </row>
    <row r="15" spans="1:26" s="23" customFormat="1" hidden="1" outlineLevel="1" x14ac:dyDescent="0.25">
      <c r="A15" s="44"/>
      <c r="B15" s="10" t="str">
        <f>CONCATENATE("          ", "4155", " - ", "NON-TAXABLE SALES-FOOD")</f>
        <v xml:space="preserve">          4155 - NON-TAXABLE SALES-FOOD</v>
      </c>
      <c r="C15" s="10"/>
      <c r="D15" s="2">
        <f t="shared" si="4"/>
        <v>0</v>
      </c>
      <c r="E15" s="2"/>
      <c r="F15" s="19"/>
      <c r="G15" s="2"/>
      <c r="H15" s="2">
        <f t="shared" si="5"/>
        <v>0</v>
      </c>
      <c r="I15" s="2"/>
      <c r="J15" s="19"/>
      <c r="K15" s="2"/>
      <c r="L15" s="2">
        <f t="shared" si="0"/>
        <v>0</v>
      </c>
      <c r="M15" s="2"/>
      <c r="N15" s="19">
        <f t="shared" si="1"/>
        <v>0</v>
      </c>
      <c r="O15" s="10"/>
      <c r="P15" s="2">
        <f t="shared" si="6"/>
        <v>0</v>
      </c>
      <c r="Q15" s="2"/>
      <c r="R15" s="19"/>
      <c r="S15" s="2"/>
      <c r="T15" s="2">
        <f>--3733.9</f>
        <v>3733.9</v>
      </c>
      <c r="U15" s="2"/>
      <c r="V15" s="19"/>
      <c r="W15" s="2"/>
      <c r="X15" s="2">
        <f t="shared" si="2"/>
        <v>-3733.9</v>
      </c>
      <c r="Y15" s="2"/>
      <c r="Z15" s="19">
        <f t="shared" si="3"/>
        <v>-1</v>
      </c>
    </row>
    <row r="16" spans="1:26" x14ac:dyDescent="0.25">
      <c r="A16" s="9"/>
      <c r="B16" s="11"/>
      <c r="C16" s="9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4" customFormat="1" collapsed="1" x14ac:dyDescent="0.25">
      <c r="A17" s="11"/>
      <c r="B17" s="29" t="s">
        <v>256</v>
      </c>
      <c r="C17" s="11"/>
      <c r="D17" s="4">
        <f>SUM(OSRRefD16x_0)</f>
        <v>0</v>
      </c>
      <c r="E17" s="4"/>
      <c r="F17" s="13">
        <f t="shared" ref="F17:F19" si="7">IF(D$12=0,0,D17/D$12)</f>
        <v>0</v>
      </c>
      <c r="G17" s="4"/>
      <c r="H17" s="4">
        <f>SUM(OSRRefH16x_0)</f>
        <v>0</v>
      </c>
      <c r="I17" s="4"/>
      <c r="J17" s="13">
        <f t="shared" ref="J17:J19" si="8">IF(H$12=0,0,H17/H$12)</f>
        <v>0</v>
      </c>
      <c r="K17" s="4"/>
      <c r="L17" s="4">
        <f t="shared" ref="L17:L19" si="9">+D17-H17</f>
        <v>0</v>
      </c>
      <c r="M17" s="4"/>
      <c r="N17" s="13">
        <f t="shared" ref="N17:N19" si="10">IF(H17=0,0,L17/H17)</f>
        <v>0</v>
      </c>
      <c r="O17" s="11"/>
      <c r="P17" s="4">
        <f>SUM(OSRRefP16x_0)</f>
        <v>0</v>
      </c>
      <c r="Q17" s="4"/>
      <c r="R17" s="13">
        <f t="shared" ref="R17:R19" si="11">IF(P$12=0,0,P17/P$12)</f>
        <v>0</v>
      </c>
      <c r="S17" s="4"/>
      <c r="T17" s="4">
        <f>SUM(OSRRefT16x_0)</f>
        <v>6466.4699999999993</v>
      </c>
      <c r="U17" s="4"/>
      <c r="V17" s="13">
        <f t="shared" ref="V17:V19" si="12">IF(T$12=0,0,T17/T$12)</f>
        <v>1.2485895014886983</v>
      </c>
      <c r="W17" s="4"/>
      <c r="X17" s="4">
        <f t="shared" ref="X17:X19" si="13">+P17-T17</f>
        <v>-6466.4699999999993</v>
      </c>
      <c r="Y17" s="4"/>
      <c r="Z17" s="13">
        <f t="shared" ref="Z17:Z19" si="14">IF(T17=0,0,X17/T17)</f>
        <v>-1</v>
      </c>
    </row>
    <row r="18" spans="1:26" s="23" customFormat="1" hidden="1" outlineLevel="1" x14ac:dyDescent="0.25">
      <c r="A18" s="44"/>
      <c r="B18" s="10" t="str">
        <f>CONCATENATE("          ", "5053", " - ", "PURCHASES @ COST-FOOD")</f>
        <v xml:space="preserve">          5053 - PURCHASES @ COST-FOOD</v>
      </c>
      <c r="C18" s="10"/>
      <c r="D18" s="2"/>
      <c r="E18" s="2"/>
      <c r="F18" s="19">
        <f t="shared" si="7"/>
        <v>0</v>
      </c>
      <c r="G18" s="2"/>
      <c r="H18" s="2"/>
      <c r="I18" s="2"/>
      <c r="J18" s="19">
        <f t="shared" si="8"/>
        <v>0</v>
      </c>
      <c r="K18" s="2"/>
      <c r="L18" s="2">
        <f t="shared" si="9"/>
        <v>0</v>
      </c>
      <c r="M18" s="2"/>
      <c r="N18" s="19">
        <f t="shared" si="10"/>
        <v>0</v>
      </c>
      <c r="O18" s="10"/>
      <c r="P18" s="2"/>
      <c r="Q18" s="2"/>
      <c r="R18" s="19">
        <f t="shared" si="11"/>
        <v>0</v>
      </c>
      <c r="S18" s="2"/>
      <c r="T18" s="2">
        <v>3948.48</v>
      </c>
      <c r="U18" s="2"/>
      <c r="V18" s="19">
        <f t="shared" si="12"/>
        <v>0.762399063915567</v>
      </c>
      <c r="W18" s="2"/>
      <c r="X18" s="2">
        <f t="shared" si="13"/>
        <v>-3948.48</v>
      </c>
      <c r="Y18" s="2"/>
      <c r="Z18" s="19">
        <f t="shared" si="14"/>
        <v>-1</v>
      </c>
    </row>
    <row r="19" spans="1:26" s="23" customFormat="1" hidden="1" outlineLevel="1" x14ac:dyDescent="0.25">
      <c r="A19" s="44"/>
      <c r="B19" s="10" t="str">
        <f>CONCATENATE("          ", "5059", " - ", "PURCHASES @ COST-FOOD")</f>
        <v xml:space="preserve">          5059 - PURCHASES @ COST-FOOD</v>
      </c>
      <c r="C19" s="10"/>
      <c r="D19" s="2"/>
      <c r="E19" s="2"/>
      <c r="F19" s="19">
        <f t="shared" si="7"/>
        <v>0</v>
      </c>
      <c r="G19" s="2"/>
      <c r="H19" s="2"/>
      <c r="I19" s="2"/>
      <c r="J19" s="19">
        <f t="shared" si="8"/>
        <v>0</v>
      </c>
      <c r="K19" s="2"/>
      <c r="L19" s="2">
        <f t="shared" si="9"/>
        <v>0</v>
      </c>
      <c r="M19" s="2"/>
      <c r="N19" s="19">
        <f t="shared" si="10"/>
        <v>0</v>
      </c>
      <c r="O19" s="10"/>
      <c r="P19" s="2"/>
      <c r="Q19" s="2"/>
      <c r="R19" s="19">
        <f t="shared" si="11"/>
        <v>0</v>
      </c>
      <c r="S19" s="2"/>
      <c r="T19" s="2">
        <v>2517.9899999999998</v>
      </c>
      <c r="U19" s="2"/>
      <c r="V19" s="19">
        <f t="shared" si="12"/>
        <v>0.48619043757313152</v>
      </c>
      <c r="W19" s="2"/>
      <c r="X19" s="2">
        <f t="shared" si="13"/>
        <v>-2517.9899999999998</v>
      </c>
      <c r="Y19" s="2"/>
      <c r="Z19" s="19">
        <f t="shared" si="14"/>
        <v>-1</v>
      </c>
    </row>
    <row r="20" spans="1:26" x14ac:dyDescent="0.25">
      <c r="A20" s="9"/>
      <c r="B20" s="11"/>
      <c r="C20" s="11"/>
      <c r="D20" s="3"/>
      <c r="E20" s="3"/>
      <c r="F20" s="8"/>
      <c r="G20" s="3"/>
      <c r="H20" s="3"/>
      <c r="I20" s="3"/>
      <c r="J20" s="8"/>
      <c r="K20" s="3"/>
      <c r="L20" s="3"/>
      <c r="M20" s="3"/>
      <c r="N20" s="8"/>
      <c r="O20" s="11"/>
      <c r="P20" s="3"/>
      <c r="Q20" s="3"/>
      <c r="R20" s="8"/>
      <c r="S20" s="3"/>
      <c r="T20" s="3"/>
      <c r="U20" s="3"/>
      <c r="V20" s="8"/>
      <c r="W20" s="3"/>
      <c r="X20" s="3"/>
      <c r="Y20" s="3"/>
      <c r="Z20" s="8"/>
    </row>
    <row r="21" spans="1:26" s="24" customFormat="1" x14ac:dyDescent="0.25">
      <c r="A21" s="11"/>
      <c r="B21" s="28" t="s">
        <v>107</v>
      </c>
      <c r="C21" s="28"/>
      <c r="D21" s="21">
        <f>D12-D17</f>
        <v>0</v>
      </c>
      <c r="E21" s="14"/>
      <c r="F21" s="22">
        <f>IF(D$12=0,0,D21/D$12)</f>
        <v>0</v>
      </c>
      <c r="G21" s="14"/>
      <c r="H21" s="21">
        <f>H12-H17</f>
        <v>0</v>
      </c>
      <c r="I21" s="14"/>
      <c r="J21" s="22">
        <f>IF(H$12=0,0,H21/H$12)</f>
        <v>0</v>
      </c>
      <c r="K21" s="15"/>
      <c r="L21" s="21">
        <f>+D21-H21</f>
        <v>0</v>
      </c>
      <c r="M21" s="15"/>
      <c r="N21" s="22">
        <f>IF(H21=0,0,L21/H21)</f>
        <v>0</v>
      </c>
      <c r="O21" s="29"/>
      <c r="P21" s="21">
        <f>P12-P17</f>
        <v>0</v>
      </c>
      <c r="Q21" s="14"/>
      <c r="R21" s="22">
        <f>IF(P$12=0,0,P21/P$12)</f>
        <v>0</v>
      </c>
      <c r="S21" s="14"/>
      <c r="T21" s="21">
        <f>T12-T17</f>
        <v>-1287.4499999999989</v>
      </c>
      <c r="U21" s="14"/>
      <c r="V21" s="22">
        <f>IF(T$12=0,0,T21/T$12)</f>
        <v>-0.24858950148869841</v>
      </c>
      <c r="W21" s="15"/>
      <c r="X21" s="21">
        <f>+P21-T21</f>
        <v>1287.4499999999989</v>
      </c>
      <c r="Y21" s="15"/>
      <c r="Z21" s="22">
        <f>IF(T21=0,0,X21/T21)</f>
        <v>-1</v>
      </c>
    </row>
    <row r="22" spans="1:26" x14ac:dyDescent="0.25">
      <c r="A22" s="9"/>
      <c r="B22" s="11"/>
      <c r="C22" s="9"/>
      <c r="D22" s="1"/>
      <c r="E22" s="1"/>
      <c r="F22" s="5"/>
      <c r="G22" s="1"/>
      <c r="H22" s="1"/>
      <c r="I22" s="1"/>
      <c r="J22" s="5"/>
      <c r="K22" s="1"/>
      <c r="L22" s="1"/>
      <c r="M22" s="1"/>
      <c r="N22" s="5"/>
      <c r="O22" s="37"/>
      <c r="P22" s="1"/>
      <c r="Q22" s="1"/>
      <c r="R22" s="5"/>
      <c r="S22" s="1"/>
      <c r="T22" s="1"/>
      <c r="U22" s="1"/>
      <c r="V22" s="5"/>
      <c r="W22" s="1"/>
      <c r="X22" s="1"/>
      <c r="Y22" s="1"/>
      <c r="Z22" s="5"/>
    </row>
    <row r="23" spans="1:26" s="24" customFormat="1" x14ac:dyDescent="0.25">
      <c r="A23" s="11"/>
      <c r="B23" s="29" t="s">
        <v>294</v>
      </c>
      <c r="C23" s="11"/>
      <c r="D23" s="20">
        <f>SUM(OSRRefD22x_0)</f>
        <v>0</v>
      </c>
      <c r="E23" s="20"/>
      <c r="F23" s="32">
        <f t="shared" ref="F23:F27" si="15">IF(D$12=0,0,D23/D$12)</f>
        <v>0</v>
      </c>
      <c r="G23" s="20"/>
      <c r="H23" s="20">
        <f>SUM(OSRRefH22x_0)</f>
        <v>116.1</v>
      </c>
      <c r="I23" s="20"/>
      <c r="J23" s="32">
        <f t="shared" ref="J23:J27" si="16">IF(H$12=0,0,H23/H$12)</f>
        <v>0</v>
      </c>
      <c r="K23" s="4"/>
      <c r="L23" s="20">
        <f t="shared" ref="L23:L27" si="17">+D23-H23</f>
        <v>-116.1</v>
      </c>
      <c r="M23" s="4"/>
      <c r="N23" s="32">
        <f t="shared" ref="N23:N27" si="18">IF(H23=0,0,L23/H23)</f>
        <v>-1</v>
      </c>
      <c r="O23" s="11"/>
      <c r="P23" s="20">
        <f>SUM(OSRRefP22x_0)</f>
        <v>178.69</v>
      </c>
      <c r="Q23" s="20"/>
      <c r="R23" s="32">
        <f t="shared" ref="R23:R27" si="19">IF(P$12=0,0,P23/P$12)</f>
        <v>0</v>
      </c>
      <c r="S23" s="20"/>
      <c r="T23" s="20">
        <f>SUM(OSRRefT22x_0)</f>
        <v>16005.319999999998</v>
      </c>
      <c r="U23" s="20"/>
      <c r="V23" s="32">
        <f t="shared" ref="V23:V27" si="20">IF(T$12=0,0,T23/T$12)</f>
        <v>3.0904147888982849</v>
      </c>
      <c r="W23" s="4"/>
      <c r="X23" s="20">
        <f t="shared" ref="X23:X27" si="21">+P23-T23</f>
        <v>-15826.629999999997</v>
      </c>
      <c r="Y23" s="4"/>
      <c r="Z23" s="32">
        <f t="shared" ref="Z23:Z27" si="22">IF(T23=0,0,X23/T23)</f>
        <v>-0.98883558716726683</v>
      </c>
    </row>
    <row r="24" spans="1:26" s="27" customFormat="1" outlineLevel="1" collapsed="1" x14ac:dyDescent="0.25">
      <c r="A24" s="26"/>
      <c r="B24" s="12" t="str">
        <f>CONCATENATE("     ","*Benefits                                         ")</f>
        <v xml:space="preserve">     *Benefits                                         </v>
      </c>
      <c r="C24" s="12"/>
      <c r="D24" s="1">
        <f>SUM(OSRRefD22_0x_0)</f>
        <v>0</v>
      </c>
      <c r="E24" s="1"/>
      <c r="F24" s="5">
        <f t="shared" si="15"/>
        <v>0</v>
      </c>
      <c r="G24" s="1"/>
      <c r="H24" s="1">
        <f>SUM(OSRRefH22_0x_0)</f>
        <v>-34.9</v>
      </c>
      <c r="I24" s="1"/>
      <c r="J24" s="5">
        <f t="shared" si="16"/>
        <v>0</v>
      </c>
      <c r="K24" s="1"/>
      <c r="L24" s="1">
        <f t="shared" si="17"/>
        <v>34.9</v>
      </c>
      <c r="M24" s="1"/>
      <c r="N24" s="5">
        <f t="shared" si="18"/>
        <v>-1</v>
      </c>
      <c r="O24" s="12"/>
      <c r="P24" s="1">
        <f>SUM(OSRRefP22_0x_0)</f>
        <v>0</v>
      </c>
      <c r="Q24" s="1"/>
      <c r="R24" s="5">
        <f t="shared" si="19"/>
        <v>0</v>
      </c>
      <c r="S24" s="1"/>
      <c r="T24" s="1">
        <f>SUM(OSRRefT22_0x_0)</f>
        <v>823.68000000000006</v>
      </c>
      <c r="U24" s="1"/>
      <c r="V24" s="5">
        <f t="shared" si="20"/>
        <v>0.15904167197655156</v>
      </c>
      <c r="W24" s="1"/>
      <c r="X24" s="1">
        <f t="shared" si="21"/>
        <v>-823.68000000000006</v>
      </c>
      <c r="Y24" s="1"/>
      <c r="Z24" s="5">
        <f t="shared" si="22"/>
        <v>-1</v>
      </c>
    </row>
    <row r="25" spans="1:26" s="23" customFormat="1" hidden="1" outlineLevel="2" x14ac:dyDescent="0.25">
      <c r="A25" s="25"/>
      <c r="B25" s="10" t="str">
        <f>CONCATENATE("          ", "6111", " - ", "F.I.C.A.")</f>
        <v xml:space="preserve">          6111 - F.I.C.A.</v>
      </c>
      <c r="C25" s="10"/>
      <c r="D25" s="6"/>
      <c r="E25" s="2"/>
      <c r="F25" s="7">
        <f t="shared" si="15"/>
        <v>0</v>
      </c>
      <c r="G25" s="2"/>
      <c r="H25" s="6"/>
      <c r="I25" s="2"/>
      <c r="J25" s="7">
        <f t="shared" si="16"/>
        <v>0</v>
      </c>
      <c r="K25" s="2"/>
      <c r="L25" s="6">
        <f t="shared" si="17"/>
        <v>0</v>
      </c>
      <c r="M25" s="2"/>
      <c r="N25" s="7">
        <f t="shared" si="18"/>
        <v>0</v>
      </c>
      <c r="O25" s="10"/>
      <c r="P25" s="6"/>
      <c r="Q25" s="2"/>
      <c r="R25" s="7">
        <f t="shared" si="19"/>
        <v>0</v>
      </c>
      <c r="S25" s="2"/>
      <c r="T25" s="6">
        <v>602.38</v>
      </c>
      <c r="U25" s="2"/>
      <c r="V25" s="7">
        <f t="shared" si="20"/>
        <v>0.11631158018312343</v>
      </c>
      <c r="W25" s="2"/>
      <c r="X25" s="6">
        <f t="shared" si="21"/>
        <v>-602.38</v>
      </c>
      <c r="Y25" s="2"/>
      <c r="Z25" s="7">
        <f t="shared" si="22"/>
        <v>-1</v>
      </c>
    </row>
    <row r="26" spans="1:26" s="23" customFormat="1" hidden="1" outlineLevel="2" x14ac:dyDescent="0.25">
      <c r="A26" s="25"/>
      <c r="B26" s="10" t="str">
        <f>CONCATENATE("          ", "6112", " - ", "COMPENSATION INSURANCE")</f>
        <v xml:space="preserve">          6112 - COMPENSATION INSURANCE</v>
      </c>
      <c r="C26" s="10"/>
      <c r="D26" s="6"/>
      <c r="E26" s="2"/>
      <c r="F26" s="7">
        <f t="shared" si="15"/>
        <v>0</v>
      </c>
      <c r="G26" s="2"/>
      <c r="H26" s="6"/>
      <c r="I26" s="2"/>
      <c r="J26" s="7">
        <f t="shared" si="16"/>
        <v>0</v>
      </c>
      <c r="K26" s="2"/>
      <c r="L26" s="6">
        <f t="shared" si="17"/>
        <v>0</v>
      </c>
      <c r="M26" s="2"/>
      <c r="N26" s="7">
        <f t="shared" si="18"/>
        <v>0</v>
      </c>
      <c r="O26" s="10"/>
      <c r="P26" s="6"/>
      <c r="Q26" s="2"/>
      <c r="R26" s="7">
        <f t="shared" si="19"/>
        <v>0</v>
      </c>
      <c r="S26" s="2"/>
      <c r="T26" s="6">
        <v>221.3</v>
      </c>
      <c r="U26" s="2"/>
      <c r="V26" s="7">
        <f t="shared" si="20"/>
        <v>4.2730091793428099E-2</v>
      </c>
      <c r="W26" s="2"/>
      <c r="X26" s="6">
        <f t="shared" si="21"/>
        <v>-221.3</v>
      </c>
      <c r="Y26" s="2"/>
      <c r="Z26" s="7">
        <f t="shared" si="22"/>
        <v>-1</v>
      </c>
    </row>
    <row r="27" spans="1:26" s="23" customFormat="1" hidden="1" outlineLevel="2" x14ac:dyDescent="0.25">
      <c r="A27" s="25"/>
      <c r="B27" s="10" t="str">
        <f>CONCATENATE("          ", "6114", " - ", "STATE UNEMPLOYMENT INSURANCE")</f>
        <v xml:space="preserve">          6114 - STATE UNEMPLOYMENT INSURANCE</v>
      </c>
      <c r="C27" s="10"/>
      <c r="D27" s="6"/>
      <c r="E27" s="2"/>
      <c r="F27" s="7">
        <f t="shared" si="15"/>
        <v>0</v>
      </c>
      <c r="G27" s="2"/>
      <c r="H27" s="6">
        <v>-34.9</v>
      </c>
      <c r="I27" s="2"/>
      <c r="J27" s="7">
        <f t="shared" si="16"/>
        <v>0</v>
      </c>
      <c r="K27" s="2"/>
      <c r="L27" s="6">
        <f t="shared" si="17"/>
        <v>34.9</v>
      </c>
      <c r="M27" s="2"/>
      <c r="N27" s="7">
        <f t="shared" si="18"/>
        <v>-1</v>
      </c>
      <c r="O27" s="10"/>
      <c r="P27" s="6"/>
      <c r="Q27" s="2"/>
      <c r="R27" s="7">
        <f t="shared" si="19"/>
        <v>0</v>
      </c>
      <c r="S27" s="2"/>
      <c r="T27" s="6">
        <v>0</v>
      </c>
      <c r="U27" s="2"/>
      <c r="V27" s="7">
        <f t="shared" si="20"/>
        <v>0</v>
      </c>
      <c r="W27" s="2"/>
      <c r="X27" s="6">
        <f t="shared" si="21"/>
        <v>0</v>
      </c>
      <c r="Y27" s="2"/>
      <c r="Z27" s="7">
        <f t="shared" si="22"/>
        <v>0</v>
      </c>
    </row>
    <row r="28" spans="1:26" s="27" customFormat="1" outlineLevel="1" collapsed="1" x14ac:dyDescent="0.25">
      <c r="A28" s="26"/>
      <c r="B28" s="12" t="str">
        <f>CONCATENATE("     ","*Payroll                                          ")</f>
        <v xml:space="preserve">     *Payroll                                          </v>
      </c>
      <c r="C28" s="12"/>
      <c r="D28" s="1">
        <f>SUM(OSRRefD22_1x_0)</f>
        <v>0</v>
      </c>
      <c r="E28" s="1"/>
      <c r="F28" s="5">
        <f t="shared" ref="F28:F31" si="23">IF(D$12=0,0,D28/D$12)</f>
        <v>0</v>
      </c>
      <c r="G28" s="1"/>
      <c r="H28" s="1">
        <f>SUM(OSRRefH22_1x_0)</f>
        <v>0</v>
      </c>
      <c r="I28" s="1"/>
      <c r="J28" s="5">
        <f t="shared" ref="J28:J31" si="24">IF(H$12=0,0,H28/H$12)</f>
        <v>0</v>
      </c>
      <c r="K28" s="1"/>
      <c r="L28" s="1">
        <f t="shared" ref="L28:L31" si="25">+D28-H28</f>
        <v>0</v>
      </c>
      <c r="M28" s="1"/>
      <c r="N28" s="5">
        <f t="shared" ref="N28:N31" si="26">IF(H28=0,0,L28/H28)</f>
        <v>0</v>
      </c>
      <c r="O28" s="12"/>
      <c r="P28" s="1">
        <f>SUM(OSRRefP22_1x_0)</f>
        <v>0</v>
      </c>
      <c r="Q28" s="1"/>
      <c r="R28" s="5">
        <f t="shared" ref="R28:R31" si="27">IF(P$12=0,0,P28/P$12)</f>
        <v>0</v>
      </c>
      <c r="S28" s="1"/>
      <c r="T28" s="1">
        <f>SUM(OSRRefT22_1x_0)</f>
        <v>10914.98</v>
      </c>
      <c r="U28" s="1"/>
      <c r="V28" s="5">
        <f t="shared" ref="V28:V31" si="28">IF(T$12=0,0,T28/T$12)</f>
        <v>2.1075377194913321</v>
      </c>
      <c r="W28" s="1"/>
      <c r="X28" s="1">
        <f t="shared" ref="X28:X31" si="29">+P28-T28</f>
        <v>-10914.98</v>
      </c>
      <c r="Y28" s="1"/>
      <c r="Z28" s="5">
        <f t="shared" ref="Z28:Z31" si="30">IF(T28=0,0,X28/T28)</f>
        <v>-1</v>
      </c>
    </row>
    <row r="29" spans="1:26" s="23" customFormat="1" hidden="1" outlineLevel="2" x14ac:dyDescent="0.25">
      <c r="A29" s="25"/>
      <c r="B29" s="10" t="str">
        <f>CONCATENATE("          ", "6005", " - ", "TEMPORARY WAGES-HOURLY")</f>
        <v xml:space="preserve">          6005 - TEMPORARY WAGES-HOURLY</v>
      </c>
      <c r="C29" s="10"/>
      <c r="D29" s="6"/>
      <c r="E29" s="2"/>
      <c r="F29" s="7">
        <f t="shared" si="23"/>
        <v>0</v>
      </c>
      <c r="G29" s="2"/>
      <c r="H29" s="6"/>
      <c r="I29" s="2"/>
      <c r="J29" s="7">
        <f t="shared" si="24"/>
        <v>0</v>
      </c>
      <c r="K29" s="2"/>
      <c r="L29" s="6">
        <f t="shared" si="25"/>
        <v>0</v>
      </c>
      <c r="M29" s="2"/>
      <c r="N29" s="7">
        <f t="shared" si="26"/>
        <v>0</v>
      </c>
      <c r="O29" s="10"/>
      <c r="P29" s="6"/>
      <c r="Q29" s="2"/>
      <c r="R29" s="7">
        <f t="shared" si="27"/>
        <v>0</v>
      </c>
      <c r="S29" s="2"/>
      <c r="T29" s="6">
        <v>7765.17</v>
      </c>
      <c r="U29" s="2"/>
      <c r="V29" s="7">
        <f t="shared" si="28"/>
        <v>1.4993512286108182</v>
      </c>
      <c r="W29" s="2"/>
      <c r="X29" s="6">
        <f t="shared" si="29"/>
        <v>-7765.17</v>
      </c>
      <c r="Y29" s="2"/>
      <c r="Z29" s="7">
        <f t="shared" si="30"/>
        <v>-1</v>
      </c>
    </row>
    <row r="30" spans="1:26" s="23" customFormat="1" hidden="1" outlineLevel="2" x14ac:dyDescent="0.25">
      <c r="A30" s="25"/>
      <c r="B30" s="10" t="str">
        <f>CONCATENATE("          ", "6006", " - ", "TEMPORARY PART TIME")</f>
        <v xml:space="preserve">          6006 - TEMPORARY PART TIME</v>
      </c>
      <c r="C30" s="10"/>
      <c r="D30" s="6"/>
      <c r="E30" s="2"/>
      <c r="F30" s="7">
        <f t="shared" si="23"/>
        <v>0</v>
      </c>
      <c r="G30" s="2"/>
      <c r="H30" s="6"/>
      <c r="I30" s="2"/>
      <c r="J30" s="7">
        <f t="shared" si="24"/>
        <v>0</v>
      </c>
      <c r="K30" s="2"/>
      <c r="L30" s="6">
        <f t="shared" si="25"/>
        <v>0</v>
      </c>
      <c r="M30" s="2"/>
      <c r="N30" s="7">
        <f t="shared" si="26"/>
        <v>0</v>
      </c>
      <c r="O30" s="10"/>
      <c r="P30" s="6"/>
      <c r="Q30" s="2"/>
      <c r="R30" s="7">
        <f t="shared" si="27"/>
        <v>0</v>
      </c>
      <c r="S30" s="2"/>
      <c r="T30" s="6">
        <v>73.31</v>
      </c>
      <c r="U30" s="2"/>
      <c r="V30" s="7">
        <f t="shared" si="28"/>
        <v>1.4155187660986054E-2</v>
      </c>
      <c r="W30" s="2"/>
      <c r="X30" s="6">
        <f t="shared" si="29"/>
        <v>-73.31</v>
      </c>
      <c r="Y30" s="2"/>
      <c r="Z30" s="7">
        <f t="shared" si="30"/>
        <v>-1</v>
      </c>
    </row>
    <row r="31" spans="1:26" s="23" customFormat="1" hidden="1" outlineLevel="2" x14ac:dyDescent="0.25">
      <c r="A31" s="25"/>
      <c r="B31" s="10" t="str">
        <f>CONCATENATE("          ", "6007", " - ", "STUDENT HOURLY")</f>
        <v xml:space="preserve">          6007 - STUDENT HOURLY</v>
      </c>
      <c r="C31" s="10"/>
      <c r="D31" s="6"/>
      <c r="E31" s="2"/>
      <c r="F31" s="7">
        <f t="shared" si="23"/>
        <v>0</v>
      </c>
      <c r="G31" s="2"/>
      <c r="H31" s="6"/>
      <c r="I31" s="2"/>
      <c r="J31" s="7">
        <f t="shared" si="24"/>
        <v>0</v>
      </c>
      <c r="K31" s="2"/>
      <c r="L31" s="6">
        <f t="shared" si="25"/>
        <v>0</v>
      </c>
      <c r="M31" s="2"/>
      <c r="N31" s="7">
        <f t="shared" si="26"/>
        <v>0</v>
      </c>
      <c r="O31" s="10"/>
      <c r="P31" s="6"/>
      <c r="Q31" s="2"/>
      <c r="R31" s="7">
        <f t="shared" si="27"/>
        <v>0</v>
      </c>
      <c r="S31" s="2"/>
      <c r="T31" s="6">
        <v>3076.5</v>
      </c>
      <c r="U31" s="2"/>
      <c r="V31" s="7">
        <f t="shared" si="28"/>
        <v>0.59403130321952802</v>
      </c>
      <c r="W31" s="2"/>
      <c r="X31" s="6">
        <f t="shared" si="29"/>
        <v>-3076.5</v>
      </c>
      <c r="Y31" s="2"/>
      <c r="Z31" s="7">
        <f t="shared" si="30"/>
        <v>-1</v>
      </c>
    </row>
    <row r="32" spans="1:26" s="27" customFormat="1" outlineLevel="1" collapsed="1" x14ac:dyDescent="0.25">
      <c r="A32" s="26"/>
      <c r="B32" s="12" t="str">
        <f>CONCATENATE("     ","Bad Debts/Over/Short                              ")</f>
        <v xml:space="preserve">     Bad Debts/Over/Short                              </v>
      </c>
      <c r="C32" s="12"/>
      <c r="D32" s="1">
        <f>SUM(OSRRefD22_2x_0)</f>
        <v>0</v>
      </c>
      <c r="E32" s="1"/>
      <c r="F32" s="5">
        <f t="shared" ref="F32:F45" si="31">IF(D$12=0,0,D32/D$12)</f>
        <v>0</v>
      </c>
      <c r="G32" s="1"/>
      <c r="H32" s="1">
        <f>SUM(OSRRefH22_2x_0)</f>
        <v>0</v>
      </c>
      <c r="I32" s="1"/>
      <c r="J32" s="5">
        <f t="shared" ref="J32:J45" si="32">IF(H$12=0,0,H32/H$12)</f>
        <v>0</v>
      </c>
      <c r="K32" s="1"/>
      <c r="L32" s="1">
        <f t="shared" ref="L32:L45" si="33">+D32-H32</f>
        <v>0</v>
      </c>
      <c r="M32" s="1"/>
      <c r="N32" s="5">
        <f t="shared" ref="N32:N45" si="34">IF(H32=0,0,L32/H32)</f>
        <v>0</v>
      </c>
      <c r="O32" s="12"/>
      <c r="P32" s="1">
        <f>SUM(OSRRefP22_2x_0)</f>
        <v>0</v>
      </c>
      <c r="Q32" s="1"/>
      <c r="R32" s="5">
        <f t="shared" ref="R32:R45" si="35">IF(P$12=0,0,P32/P$12)</f>
        <v>0</v>
      </c>
      <c r="S32" s="1"/>
      <c r="T32" s="1">
        <f>SUM(OSRRefT22_2x_0)</f>
        <v>-1.41</v>
      </c>
      <c r="U32" s="1"/>
      <c r="V32" s="5">
        <f t="shared" ref="V32:V45" si="36">IF(T$12=0,0,T32/T$12)</f>
        <v>-2.7225227938876463E-4</v>
      </c>
      <c r="W32" s="1"/>
      <c r="X32" s="1">
        <f t="shared" ref="X32:X45" si="37">+P32-T32</f>
        <v>1.41</v>
      </c>
      <c r="Y32" s="1"/>
      <c r="Z32" s="5">
        <f t="shared" ref="Z32:Z45" si="38">IF(T32=0,0,X32/T32)</f>
        <v>-1</v>
      </c>
    </row>
    <row r="33" spans="1:26" s="23" customFormat="1" hidden="1" outlineLevel="2" x14ac:dyDescent="0.25">
      <c r="A33" s="25"/>
      <c r="B33" s="10" t="str">
        <f>CONCATENATE("          ", "6272", " - ", "CASH (OVER/SHORT)")</f>
        <v xml:space="preserve">          6272 - CASH (OVER/SHORT)</v>
      </c>
      <c r="C33" s="10"/>
      <c r="D33" s="6"/>
      <c r="E33" s="2"/>
      <c r="F33" s="7">
        <f t="shared" si="31"/>
        <v>0</v>
      </c>
      <c r="G33" s="2"/>
      <c r="H33" s="6"/>
      <c r="I33" s="2"/>
      <c r="J33" s="7">
        <f t="shared" si="32"/>
        <v>0</v>
      </c>
      <c r="K33" s="2"/>
      <c r="L33" s="6">
        <f t="shared" si="33"/>
        <v>0</v>
      </c>
      <c r="M33" s="2"/>
      <c r="N33" s="7">
        <f t="shared" si="34"/>
        <v>0</v>
      </c>
      <c r="O33" s="10"/>
      <c r="P33" s="6"/>
      <c r="Q33" s="2"/>
      <c r="R33" s="7">
        <f t="shared" si="35"/>
        <v>0</v>
      </c>
      <c r="S33" s="2"/>
      <c r="T33" s="6">
        <v>-1.41</v>
      </c>
      <c r="U33" s="2"/>
      <c r="V33" s="7">
        <f t="shared" si="36"/>
        <v>-2.7225227938876463E-4</v>
      </c>
      <c r="W33" s="2"/>
      <c r="X33" s="6">
        <f t="shared" si="37"/>
        <v>1.41</v>
      </c>
      <c r="Y33" s="2"/>
      <c r="Z33" s="7">
        <f t="shared" si="38"/>
        <v>-1</v>
      </c>
    </row>
    <row r="34" spans="1:26" s="27" customFormat="1" outlineLevel="1" collapsed="1" x14ac:dyDescent="0.25">
      <c r="A34" s="26"/>
      <c r="B34" s="12" t="str">
        <f>CONCATENATE("     ","Bank/card Fees                                    ")</f>
        <v xml:space="preserve">     Bank/card Fees                                    </v>
      </c>
      <c r="C34" s="12"/>
      <c r="D34" s="1">
        <f>SUM(OSRRefD22_3x_0)</f>
        <v>0</v>
      </c>
      <c r="E34" s="1"/>
      <c r="F34" s="5">
        <f t="shared" si="31"/>
        <v>0</v>
      </c>
      <c r="G34" s="1"/>
      <c r="H34" s="1">
        <f>SUM(OSRRefH22_3x_0)</f>
        <v>0</v>
      </c>
      <c r="I34" s="1"/>
      <c r="J34" s="5">
        <f t="shared" si="32"/>
        <v>0</v>
      </c>
      <c r="K34" s="1"/>
      <c r="L34" s="1">
        <f t="shared" si="33"/>
        <v>0</v>
      </c>
      <c r="M34" s="1"/>
      <c r="N34" s="5">
        <f t="shared" si="34"/>
        <v>0</v>
      </c>
      <c r="O34" s="12"/>
      <c r="P34" s="1">
        <f>SUM(OSRRefP22_3x_0)</f>
        <v>0</v>
      </c>
      <c r="Q34" s="1"/>
      <c r="R34" s="5">
        <f t="shared" si="35"/>
        <v>0</v>
      </c>
      <c r="S34" s="1"/>
      <c r="T34" s="1">
        <f>SUM(OSRRefT22_3x_0)</f>
        <v>125.26</v>
      </c>
      <c r="U34" s="1"/>
      <c r="V34" s="5">
        <f t="shared" si="36"/>
        <v>2.418604291931678E-2</v>
      </c>
      <c r="W34" s="1"/>
      <c r="X34" s="1">
        <f t="shared" si="37"/>
        <v>-125.26</v>
      </c>
      <c r="Y34" s="1"/>
      <c r="Z34" s="5">
        <f t="shared" si="38"/>
        <v>-1</v>
      </c>
    </row>
    <row r="35" spans="1:26" s="23" customFormat="1" hidden="1" outlineLevel="2" x14ac:dyDescent="0.25">
      <c r="A35" s="25"/>
      <c r="B35" s="10" t="str">
        <f>CONCATENATE("          ", "6381", " - ", "BANK/CREDIT CARD FEES")</f>
        <v xml:space="preserve">          6381 - BANK/CREDIT CARD FEES</v>
      </c>
      <c r="C35" s="10"/>
      <c r="D35" s="6"/>
      <c r="E35" s="2"/>
      <c r="F35" s="7">
        <f t="shared" si="31"/>
        <v>0</v>
      </c>
      <c r="G35" s="2"/>
      <c r="H35" s="6"/>
      <c r="I35" s="2"/>
      <c r="J35" s="7">
        <f t="shared" si="32"/>
        <v>0</v>
      </c>
      <c r="K35" s="2"/>
      <c r="L35" s="6">
        <f t="shared" si="33"/>
        <v>0</v>
      </c>
      <c r="M35" s="2"/>
      <c r="N35" s="7">
        <f t="shared" si="34"/>
        <v>0</v>
      </c>
      <c r="O35" s="10"/>
      <c r="P35" s="6"/>
      <c r="Q35" s="2"/>
      <c r="R35" s="7">
        <f t="shared" si="35"/>
        <v>0</v>
      </c>
      <c r="S35" s="2"/>
      <c r="T35" s="6">
        <v>125.26</v>
      </c>
      <c r="U35" s="2"/>
      <c r="V35" s="7">
        <f t="shared" si="36"/>
        <v>2.418604291931678E-2</v>
      </c>
      <c r="W35" s="2"/>
      <c r="X35" s="6">
        <f t="shared" si="37"/>
        <v>-125.26</v>
      </c>
      <c r="Y35" s="2"/>
      <c r="Z35" s="7">
        <f t="shared" si="38"/>
        <v>-1</v>
      </c>
    </row>
    <row r="36" spans="1:26" s="27" customFormat="1" outlineLevel="1" collapsed="1" x14ac:dyDescent="0.25">
      <c r="A36" s="26"/>
      <c r="B36" s="12" t="str">
        <f>CONCATENATE("     ","Employees' Appreciation                           ")</f>
        <v xml:space="preserve">     Employees' Appreciation                           </v>
      </c>
      <c r="C36" s="12"/>
      <c r="D36" s="1">
        <f>SUM(OSRRefD22_4x_0)</f>
        <v>0</v>
      </c>
      <c r="E36" s="1"/>
      <c r="F36" s="5">
        <f t="shared" si="31"/>
        <v>0</v>
      </c>
      <c r="G36" s="1"/>
      <c r="H36" s="1">
        <f>SUM(OSRRefH22_4x_0)</f>
        <v>0</v>
      </c>
      <c r="I36" s="1"/>
      <c r="J36" s="5">
        <f t="shared" si="32"/>
        <v>0</v>
      </c>
      <c r="K36" s="1"/>
      <c r="L36" s="1">
        <f t="shared" si="33"/>
        <v>0</v>
      </c>
      <c r="M36" s="1"/>
      <c r="N36" s="5">
        <f t="shared" si="34"/>
        <v>0</v>
      </c>
      <c r="O36" s="12"/>
      <c r="P36" s="1">
        <f>SUM(OSRRefP22_4x_0)</f>
        <v>0</v>
      </c>
      <c r="Q36" s="1"/>
      <c r="R36" s="5">
        <f t="shared" si="35"/>
        <v>0</v>
      </c>
      <c r="S36" s="1"/>
      <c r="T36" s="1">
        <f>SUM(OSRRefT22_4x_0)</f>
        <v>40.799999999999997</v>
      </c>
      <c r="U36" s="1"/>
      <c r="V36" s="5">
        <f t="shared" si="36"/>
        <v>7.877938297206807E-3</v>
      </c>
      <c r="W36" s="1"/>
      <c r="X36" s="1">
        <f t="shared" si="37"/>
        <v>-40.799999999999997</v>
      </c>
      <c r="Y36" s="1"/>
      <c r="Z36" s="5">
        <f t="shared" si="38"/>
        <v>-1</v>
      </c>
    </row>
    <row r="37" spans="1:26" s="23" customFormat="1" hidden="1" outlineLevel="2" x14ac:dyDescent="0.25">
      <c r="A37" s="25"/>
      <c r="B37" s="10" t="str">
        <f>CONCATENATE("          ", "6277", " - ", "EMPLOYEE APPRECIATION")</f>
        <v xml:space="preserve">          6277 - EMPLOYEE APPRECIATION</v>
      </c>
      <c r="C37" s="10"/>
      <c r="D37" s="6"/>
      <c r="E37" s="2"/>
      <c r="F37" s="7">
        <f t="shared" si="31"/>
        <v>0</v>
      </c>
      <c r="G37" s="2"/>
      <c r="H37" s="6"/>
      <c r="I37" s="2"/>
      <c r="J37" s="7">
        <f t="shared" si="32"/>
        <v>0</v>
      </c>
      <c r="K37" s="2"/>
      <c r="L37" s="6">
        <f t="shared" si="33"/>
        <v>0</v>
      </c>
      <c r="M37" s="2"/>
      <c r="N37" s="7">
        <f t="shared" si="34"/>
        <v>0</v>
      </c>
      <c r="O37" s="10"/>
      <c r="P37" s="6"/>
      <c r="Q37" s="2"/>
      <c r="R37" s="7">
        <f t="shared" si="35"/>
        <v>0</v>
      </c>
      <c r="S37" s="2"/>
      <c r="T37" s="6">
        <v>40.799999999999997</v>
      </c>
      <c r="U37" s="2"/>
      <c r="V37" s="7">
        <f t="shared" si="36"/>
        <v>7.877938297206807E-3</v>
      </c>
      <c r="W37" s="2"/>
      <c r="X37" s="6">
        <f t="shared" si="37"/>
        <v>-40.799999999999997</v>
      </c>
      <c r="Y37" s="2"/>
      <c r="Z37" s="7">
        <f t="shared" si="38"/>
        <v>-1</v>
      </c>
    </row>
    <row r="38" spans="1:26" s="27" customFormat="1" outlineLevel="1" collapsed="1" x14ac:dyDescent="0.25">
      <c r="A38" s="26"/>
      <c r="B38" s="12" t="str">
        <f>CONCATENATE("     ","General                                           ")</f>
        <v xml:space="preserve">     General                                           </v>
      </c>
      <c r="C38" s="12"/>
      <c r="D38" s="1">
        <f>SUM(OSRRefD22_5x_0)</f>
        <v>0</v>
      </c>
      <c r="E38" s="1"/>
      <c r="F38" s="5">
        <f t="shared" si="31"/>
        <v>0</v>
      </c>
      <c r="G38" s="1"/>
      <c r="H38" s="1">
        <f>SUM(OSRRefH22_5x_0)</f>
        <v>0</v>
      </c>
      <c r="I38" s="1"/>
      <c r="J38" s="5">
        <f t="shared" si="32"/>
        <v>0</v>
      </c>
      <c r="K38" s="1"/>
      <c r="L38" s="1">
        <f t="shared" si="33"/>
        <v>0</v>
      </c>
      <c r="M38" s="1"/>
      <c r="N38" s="5">
        <f t="shared" si="34"/>
        <v>0</v>
      </c>
      <c r="O38" s="12"/>
      <c r="P38" s="1">
        <f>SUM(OSRRefP22_5x_0)</f>
        <v>0</v>
      </c>
      <c r="Q38" s="1"/>
      <c r="R38" s="5">
        <f t="shared" si="35"/>
        <v>0</v>
      </c>
      <c r="S38" s="1"/>
      <c r="T38" s="1">
        <f>SUM(OSRRefT22_5x_0)</f>
        <v>1154.05</v>
      </c>
      <c r="U38" s="1"/>
      <c r="V38" s="5">
        <f t="shared" si="36"/>
        <v>0.22283173264439987</v>
      </c>
      <c r="W38" s="1"/>
      <c r="X38" s="1">
        <f t="shared" si="37"/>
        <v>-1154.05</v>
      </c>
      <c r="Y38" s="1"/>
      <c r="Z38" s="5">
        <f t="shared" si="38"/>
        <v>-1</v>
      </c>
    </row>
    <row r="39" spans="1:26" s="23" customFormat="1" hidden="1" outlineLevel="2" x14ac:dyDescent="0.25">
      <c r="A39" s="25"/>
      <c r="B39" s="10" t="str">
        <f>CONCATENATE("          ", "6279", " - ", "GENERAL EXPENSE")</f>
        <v xml:space="preserve">          6279 - GENERAL EXPENSE</v>
      </c>
      <c r="C39" s="10"/>
      <c r="D39" s="6"/>
      <c r="E39" s="2"/>
      <c r="F39" s="7">
        <f t="shared" si="31"/>
        <v>0</v>
      </c>
      <c r="G39" s="2"/>
      <c r="H39" s="6"/>
      <c r="I39" s="2"/>
      <c r="J39" s="7">
        <f t="shared" si="32"/>
        <v>0</v>
      </c>
      <c r="K39" s="2"/>
      <c r="L39" s="6">
        <f t="shared" si="33"/>
        <v>0</v>
      </c>
      <c r="M39" s="2"/>
      <c r="N39" s="7">
        <f t="shared" si="34"/>
        <v>0</v>
      </c>
      <c r="O39" s="10"/>
      <c r="P39" s="6"/>
      <c r="Q39" s="2"/>
      <c r="R39" s="7">
        <f t="shared" si="35"/>
        <v>0</v>
      </c>
      <c r="S39" s="2"/>
      <c r="T39" s="6">
        <v>1154.05</v>
      </c>
      <c r="U39" s="2"/>
      <c r="V39" s="7">
        <f t="shared" si="36"/>
        <v>0.22283173264439987</v>
      </c>
      <c r="W39" s="2"/>
      <c r="X39" s="6">
        <f t="shared" si="37"/>
        <v>-1154.05</v>
      </c>
      <c r="Y39" s="2"/>
      <c r="Z39" s="7">
        <f t="shared" si="38"/>
        <v>-1</v>
      </c>
    </row>
    <row r="40" spans="1:26" s="27" customFormat="1" outlineLevel="1" collapsed="1" x14ac:dyDescent="0.25">
      <c r="A40" s="26"/>
      <c r="B40" s="12" t="str">
        <f>CONCATENATE("     ","R/H Commissions                                   ")</f>
        <v xml:space="preserve">     R/H Commissions                                   </v>
      </c>
      <c r="C40" s="12"/>
      <c r="D40" s="1">
        <f>SUM(OSRRefD22_6x_0)</f>
        <v>0</v>
      </c>
      <c r="E40" s="1"/>
      <c r="F40" s="5">
        <f t="shared" si="31"/>
        <v>0</v>
      </c>
      <c r="G40" s="1"/>
      <c r="H40" s="1">
        <f>SUM(OSRRefH22_6x_0)</f>
        <v>0</v>
      </c>
      <c r="I40" s="1"/>
      <c r="J40" s="5">
        <f t="shared" si="32"/>
        <v>0</v>
      </c>
      <c r="K40" s="1"/>
      <c r="L40" s="1">
        <f t="shared" si="33"/>
        <v>0</v>
      </c>
      <c r="M40" s="1"/>
      <c r="N40" s="5">
        <f t="shared" si="34"/>
        <v>0</v>
      </c>
      <c r="O40" s="12"/>
      <c r="P40" s="1">
        <f>SUM(OSRRefP22_6x_0)</f>
        <v>0</v>
      </c>
      <c r="Q40" s="1"/>
      <c r="R40" s="5">
        <f t="shared" si="35"/>
        <v>0</v>
      </c>
      <c r="S40" s="1"/>
      <c r="T40" s="1">
        <f>SUM(OSRRefT22_6x_0)</f>
        <v>414.32</v>
      </c>
      <c r="U40" s="1"/>
      <c r="V40" s="5">
        <f t="shared" si="36"/>
        <v>7.9999691061243244E-2</v>
      </c>
      <c r="W40" s="1"/>
      <c r="X40" s="1">
        <f t="shared" si="37"/>
        <v>-414.32</v>
      </c>
      <c r="Y40" s="1"/>
      <c r="Z40" s="5">
        <f t="shared" si="38"/>
        <v>-1</v>
      </c>
    </row>
    <row r="41" spans="1:26" s="23" customFormat="1" hidden="1" outlineLevel="2" x14ac:dyDescent="0.25">
      <c r="A41" s="25"/>
      <c r="B41" s="10" t="str">
        <f>CONCATENATE("          ", "6387", " - ", "COMMISSION DUE HOUSING")</f>
        <v xml:space="preserve">          6387 - COMMISSION DUE HOUSING</v>
      </c>
      <c r="C41" s="10"/>
      <c r="D41" s="6"/>
      <c r="E41" s="2"/>
      <c r="F41" s="7">
        <f t="shared" si="31"/>
        <v>0</v>
      </c>
      <c r="G41" s="2"/>
      <c r="H41" s="6"/>
      <c r="I41" s="2"/>
      <c r="J41" s="7">
        <f t="shared" si="32"/>
        <v>0</v>
      </c>
      <c r="K41" s="2"/>
      <c r="L41" s="6">
        <f t="shared" si="33"/>
        <v>0</v>
      </c>
      <c r="M41" s="2"/>
      <c r="N41" s="7">
        <f t="shared" si="34"/>
        <v>0</v>
      </c>
      <c r="O41" s="10"/>
      <c r="P41" s="6"/>
      <c r="Q41" s="2"/>
      <c r="R41" s="7">
        <f t="shared" si="35"/>
        <v>0</v>
      </c>
      <c r="S41" s="2"/>
      <c r="T41" s="6">
        <v>414.32</v>
      </c>
      <c r="U41" s="2"/>
      <c r="V41" s="7">
        <f t="shared" si="36"/>
        <v>7.9999691061243244E-2</v>
      </c>
      <c r="W41" s="2"/>
      <c r="X41" s="6">
        <f t="shared" si="37"/>
        <v>-414.32</v>
      </c>
      <c r="Y41" s="2"/>
      <c r="Z41" s="7">
        <f t="shared" si="38"/>
        <v>-1</v>
      </c>
    </row>
    <row r="42" spans="1:26" s="27" customFormat="1" outlineLevel="1" collapsed="1" x14ac:dyDescent="0.25">
      <c r="A42" s="26"/>
      <c r="B42" s="12" t="str">
        <f>CONCATENATE("     ","Supplies                                          ")</f>
        <v xml:space="preserve">     Supplies                                          </v>
      </c>
      <c r="C42" s="12"/>
      <c r="D42" s="1">
        <f>SUM(OSRRefD22_7x_0)</f>
        <v>0</v>
      </c>
      <c r="E42" s="1"/>
      <c r="F42" s="5">
        <f t="shared" si="31"/>
        <v>0</v>
      </c>
      <c r="G42" s="1"/>
      <c r="H42" s="1">
        <f>SUM(OSRRefH22_7x_0)</f>
        <v>0</v>
      </c>
      <c r="I42" s="1"/>
      <c r="J42" s="5">
        <f t="shared" si="32"/>
        <v>0</v>
      </c>
      <c r="K42" s="1"/>
      <c r="L42" s="1">
        <f t="shared" si="33"/>
        <v>0</v>
      </c>
      <c r="M42" s="1"/>
      <c r="N42" s="5">
        <f t="shared" si="34"/>
        <v>0</v>
      </c>
      <c r="O42" s="12"/>
      <c r="P42" s="1">
        <f>SUM(OSRRefP22_7x_0)</f>
        <v>0</v>
      </c>
      <c r="Q42" s="1"/>
      <c r="R42" s="5">
        <f t="shared" si="35"/>
        <v>0</v>
      </c>
      <c r="S42" s="1"/>
      <c r="T42" s="1">
        <f>SUM(OSRRefT22_7x_0)</f>
        <v>1592.1399999999999</v>
      </c>
      <c r="U42" s="1"/>
      <c r="V42" s="5">
        <f t="shared" si="36"/>
        <v>0.30742109511065796</v>
      </c>
      <c r="W42" s="1"/>
      <c r="X42" s="1">
        <f t="shared" si="37"/>
        <v>-1592.1399999999999</v>
      </c>
      <c r="Y42" s="1"/>
      <c r="Z42" s="5">
        <f t="shared" si="38"/>
        <v>-1</v>
      </c>
    </row>
    <row r="43" spans="1:26" s="23" customFormat="1" hidden="1" outlineLevel="2" x14ac:dyDescent="0.25">
      <c r="A43" s="25"/>
      <c r="B43" s="10" t="str">
        <f>CONCATENATE("          ", "6237", " - ", "JANITORIAL SUPPLIES")</f>
        <v xml:space="preserve">          6237 - JANITORIAL SUPPLIES</v>
      </c>
      <c r="C43" s="10"/>
      <c r="D43" s="6"/>
      <c r="E43" s="2"/>
      <c r="F43" s="7">
        <f t="shared" si="31"/>
        <v>0</v>
      </c>
      <c r="G43" s="2"/>
      <c r="H43" s="6"/>
      <c r="I43" s="2"/>
      <c r="J43" s="7">
        <f t="shared" si="32"/>
        <v>0</v>
      </c>
      <c r="K43" s="2"/>
      <c r="L43" s="6">
        <f t="shared" si="33"/>
        <v>0</v>
      </c>
      <c r="M43" s="2"/>
      <c r="N43" s="7">
        <f t="shared" si="34"/>
        <v>0</v>
      </c>
      <c r="O43" s="10"/>
      <c r="P43" s="6"/>
      <c r="Q43" s="2"/>
      <c r="R43" s="7">
        <f t="shared" si="35"/>
        <v>0</v>
      </c>
      <c r="S43" s="2"/>
      <c r="T43" s="6">
        <v>47.13</v>
      </c>
      <c r="U43" s="2"/>
      <c r="V43" s="7">
        <f t="shared" si="36"/>
        <v>9.1001772536116864E-3</v>
      </c>
      <c r="W43" s="2"/>
      <c r="X43" s="6">
        <f t="shared" si="37"/>
        <v>-47.13</v>
      </c>
      <c r="Y43" s="2"/>
      <c r="Z43" s="7">
        <f t="shared" si="38"/>
        <v>-1</v>
      </c>
    </row>
    <row r="44" spans="1:26" s="23" customFormat="1" hidden="1" outlineLevel="2" x14ac:dyDescent="0.25">
      <c r="A44" s="25"/>
      <c r="B44" s="10" t="str">
        <f>CONCATENATE("          ", "6247", " - ", "STORE SUPPLIES")</f>
        <v xml:space="preserve">          6247 - STORE SUPPLIES</v>
      </c>
      <c r="C44" s="10"/>
      <c r="D44" s="6"/>
      <c r="E44" s="2"/>
      <c r="F44" s="7">
        <f t="shared" si="31"/>
        <v>0</v>
      </c>
      <c r="G44" s="2"/>
      <c r="H44" s="6"/>
      <c r="I44" s="2"/>
      <c r="J44" s="7">
        <f t="shared" si="32"/>
        <v>0</v>
      </c>
      <c r="K44" s="2"/>
      <c r="L44" s="6">
        <f t="shared" si="33"/>
        <v>0</v>
      </c>
      <c r="M44" s="2"/>
      <c r="N44" s="7">
        <f t="shared" si="34"/>
        <v>0</v>
      </c>
      <c r="O44" s="10"/>
      <c r="P44" s="6"/>
      <c r="Q44" s="2"/>
      <c r="R44" s="7">
        <f t="shared" si="35"/>
        <v>0</v>
      </c>
      <c r="S44" s="2"/>
      <c r="T44" s="6">
        <v>431.41</v>
      </c>
      <c r="U44" s="2"/>
      <c r="V44" s="7">
        <f t="shared" si="36"/>
        <v>8.3299543156813455E-2</v>
      </c>
      <c r="W44" s="2"/>
      <c r="X44" s="6">
        <f t="shared" si="37"/>
        <v>-431.41</v>
      </c>
      <c r="Y44" s="2"/>
      <c r="Z44" s="7">
        <f t="shared" si="38"/>
        <v>-1</v>
      </c>
    </row>
    <row r="45" spans="1:26" s="23" customFormat="1" hidden="1" outlineLevel="2" x14ac:dyDescent="0.25">
      <c r="A45" s="25"/>
      <c r="B45" s="10" t="str">
        <f>CONCATENATE("          ", "6248", " - ", "UNIFORMS")</f>
        <v xml:space="preserve">          6248 - UNIFORMS</v>
      </c>
      <c r="C45" s="10"/>
      <c r="D45" s="6"/>
      <c r="E45" s="2"/>
      <c r="F45" s="7">
        <f t="shared" si="31"/>
        <v>0</v>
      </c>
      <c r="G45" s="2"/>
      <c r="H45" s="6"/>
      <c r="I45" s="2"/>
      <c r="J45" s="7">
        <f t="shared" si="32"/>
        <v>0</v>
      </c>
      <c r="K45" s="2"/>
      <c r="L45" s="6">
        <f t="shared" si="33"/>
        <v>0</v>
      </c>
      <c r="M45" s="2"/>
      <c r="N45" s="7">
        <f t="shared" si="34"/>
        <v>0</v>
      </c>
      <c r="O45" s="10"/>
      <c r="P45" s="6"/>
      <c r="Q45" s="2"/>
      <c r="R45" s="7">
        <f t="shared" si="35"/>
        <v>0</v>
      </c>
      <c r="S45" s="2"/>
      <c r="T45" s="6">
        <v>1113.5999999999999</v>
      </c>
      <c r="U45" s="2"/>
      <c r="V45" s="7">
        <f t="shared" si="36"/>
        <v>0.21502137470023283</v>
      </c>
      <c r="W45" s="2"/>
      <c r="X45" s="6">
        <f t="shared" si="37"/>
        <v>-1113.5999999999999</v>
      </c>
      <c r="Y45" s="2"/>
      <c r="Z45" s="7">
        <f t="shared" si="38"/>
        <v>-1</v>
      </c>
    </row>
    <row r="46" spans="1:26" s="27" customFormat="1" outlineLevel="1" collapsed="1" x14ac:dyDescent="0.25">
      <c r="A46" s="26"/>
      <c r="B46" s="12" t="str">
        <f>CONCATENATE("     ","Telephone/Data Lines                              ")</f>
        <v xml:space="preserve">     Telephone/Data Lines                              </v>
      </c>
      <c r="C46" s="12"/>
      <c r="D46" s="1">
        <f>SUM(OSRRefD22_8x_0)</f>
        <v>0</v>
      </c>
      <c r="E46" s="1"/>
      <c r="F46" s="5">
        <f t="shared" ref="F46:F47" si="39">IF(D$12=0,0,D46/D$12)</f>
        <v>0</v>
      </c>
      <c r="G46" s="1"/>
      <c r="H46" s="1">
        <f>SUM(OSRRefH22_8x_0)</f>
        <v>151</v>
      </c>
      <c r="I46" s="1"/>
      <c r="J46" s="5">
        <f t="shared" ref="J46:J47" si="40">IF(H$12=0,0,H46/H$12)</f>
        <v>0</v>
      </c>
      <c r="K46" s="1"/>
      <c r="L46" s="1">
        <f t="shared" ref="L46:L47" si="41">+D46-H46</f>
        <v>-151</v>
      </c>
      <c r="M46" s="1"/>
      <c r="N46" s="5">
        <f t="shared" ref="N46:N47" si="42">IF(H46=0,0,L46/H46)</f>
        <v>-1</v>
      </c>
      <c r="O46" s="12"/>
      <c r="P46" s="1">
        <f>SUM(OSRRefP22_8x_0)</f>
        <v>178.69</v>
      </c>
      <c r="Q46" s="1"/>
      <c r="R46" s="5">
        <f t="shared" ref="R46:R47" si="43">IF(P$12=0,0,P46/P$12)</f>
        <v>0</v>
      </c>
      <c r="S46" s="1"/>
      <c r="T46" s="1">
        <f>SUM(OSRRefT22_8x_0)</f>
        <v>941.5</v>
      </c>
      <c r="U46" s="1"/>
      <c r="V46" s="5">
        <f t="shared" ref="V46:V47" si="44">IF(T$12=0,0,T46/T$12)</f>
        <v>0.18179114967696589</v>
      </c>
      <c r="W46" s="1"/>
      <c r="X46" s="1">
        <f t="shared" ref="X46:X47" si="45">+P46-T46</f>
        <v>-762.81</v>
      </c>
      <c r="Y46" s="1"/>
      <c r="Z46" s="5">
        <f t="shared" ref="Z46:Z47" si="46">IF(T46=0,0,X46/T46)</f>
        <v>-0.81020711630377051</v>
      </c>
    </row>
    <row r="47" spans="1:26" s="23" customFormat="1" hidden="1" outlineLevel="2" x14ac:dyDescent="0.25">
      <c r="A47" s="25"/>
      <c r="B47" s="10" t="str">
        <f>CONCATENATE("          ", "6309", " - ", "TELEPHONE")</f>
        <v xml:space="preserve">          6309 - TELEPHONE</v>
      </c>
      <c r="C47" s="10"/>
      <c r="D47" s="6"/>
      <c r="E47" s="2"/>
      <c r="F47" s="7">
        <f t="shared" si="39"/>
        <v>0</v>
      </c>
      <c r="G47" s="2"/>
      <c r="H47" s="6">
        <v>151</v>
      </c>
      <c r="I47" s="2"/>
      <c r="J47" s="7">
        <f t="shared" si="40"/>
        <v>0</v>
      </c>
      <c r="K47" s="2"/>
      <c r="L47" s="6">
        <f t="shared" si="41"/>
        <v>-151</v>
      </c>
      <c r="M47" s="2"/>
      <c r="N47" s="7">
        <f t="shared" si="42"/>
        <v>-1</v>
      </c>
      <c r="O47" s="10"/>
      <c r="P47" s="6">
        <v>178.69</v>
      </c>
      <c r="Q47" s="2"/>
      <c r="R47" s="7">
        <f t="shared" si="43"/>
        <v>0</v>
      </c>
      <c r="S47" s="2"/>
      <c r="T47" s="6">
        <v>941.5</v>
      </c>
      <c r="U47" s="2"/>
      <c r="V47" s="7">
        <f t="shared" si="44"/>
        <v>0.18179114967696589</v>
      </c>
      <c r="W47" s="2"/>
      <c r="X47" s="6">
        <f t="shared" si="45"/>
        <v>-762.81</v>
      </c>
      <c r="Y47" s="2"/>
      <c r="Z47" s="7">
        <f t="shared" si="46"/>
        <v>-0.81020711630377051</v>
      </c>
    </row>
    <row r="48" spans="1:26" s="52" customFormat="1" x14ac:dyDescent="0.25">
      <c r="A48" s="37"/>
      <c r="B48" s="37"/>
      <c r="C48" s="37"/>
      <c r="D48" s="1"/>
      <c r="E48" s="1"/>
      <c r="F48" s="5"/>
      <c r="G48" s="1"/>
      <c r="H48" s="1"/>
      <c r="I48" s="1"/>
      <c r="J48" s="5"/>
      <c r="K48" s="1"/>
      <c r="L48" s="1"/>
      <c r="M48" s="1"/>
      <c r="N48" s="5"/>
      <c r="O48" s="37"/>
      <c r="P48" s="1"/>
      <c r="Q48" s="1"/>
      <c r="R48" s="5"/>
      <c r="S48" s="1"/>
      <c r="T48" s="1"/>
      <c r="U48" s="1"/>
      <c r="V48" s="5"/>
      <c r="W48" s="1"/>
      <c r="X48" s="1"/>
      <c r="Y48" s="1"/>
      <c r="Z48" s="5"/>
    </row>
    <row r="49" spans="1:26" s="24" customFormat="1" x14ac:dyDescent="0.25">
      <c r="A49" s="11"/>
      <c r="B49" s="29" t="s">
        <v>292</v>
      </c>
      <c r="C49" s="11"/>
      <c r="D49" s="4">
        <f>SUM(0)</f>
        <v>0</v>
      </c>
      <c r="E49" s="4"/>
      <c r="F49" s="13">
        <f>IF(D$12=0,0,D49/D$12)</f>
        <v>0</v>
      </c>
      <c r="G49" s="4"/>
      <c r="H49" s="4">
        <f>SUM(0)</f>
        <v>0</v>
      </c>
      <c r="I49" s="4"/>
      <c r="J49" s="13">
        <f>IF(H$12=0,0,H49/H$12)</f>
        <v>0</v>
      </c>
      <c r="K49" s="4"/>
      <c r="L49" s="4">
        <f>+D49-H49</f>
        <v>0</v>
      </c>
      <c r="M49" s="4"/>
      <c r="N49" s="13">
        <f>IF(H49=0,0,L49/H49)</f>
        <v>0</v>
      </c>
      <c r="O49" s="11"/>
      <c r="P49" s="4">
        <f>SUM(0)</f>
        <v>0</v>
      </c>
      <c r="Q49" s="4"/>
      <c r="R49" s="13">
        <f>IF(P$12=0,0,P49/P$12)</f>
        <v>0</v>
      </c>
      <c r="S49" s="4"/>
      <c r="T49" s="4">
        <f>SUM(0)</f>
        <v>0</v>
      </c>
      <c r="U49" s="4"/>
      <c r="V49" s="13">
        <f>IF(T$12=0,0,T49/T$12)</f>
        <v>0</v>
      </c>
      <c r="W49" s="4"/>
      <c r="X49" s="4">
        <f>+P49-T49</f>
        <v>0</v>
      </c>
      <c r="Y49" s="4"/>
      <c r="Z49" s="13">
        <f>IF(T49=0,0,X49/T49)</f>
        <v>0</v>
      </c>
    </row>
    <row r="50" spans="1:26" x14ac:dyDescent="0.25">
      <c r="A50" s="9"/>
      <c r="B50" s="11"/>
      <c r="C50" s="11"/>
      <c r="D50" s="3"/>
      <c r="E50" s="3"/>
      <c r="F50" s="8"/>
      <c r="G50" s="3"/>
      <c r="H50" s="3"/>
      <c r="I50" s="3"/>
      <c r="J50" s="8"/>
      <c r="K50" s="3"/>
      <c r="L50" s="3"/>
      <c r="M50" s="3"/>
      <c r="N50" s="8"/>
      <c r="O50" s="11"/>
      <c r="P50" s="3"/>
      <c r="Q50" s="3"/>
      <c r="R50" s="8"/>
      <c r="S50" s="3"/>
      <c r="T50" s="3"/>
      <c r="U50" s="3"/>
      <c r="V50" s="8"/>
      <c r="W50" s="3"/>
      <c r="X50" s="3"/>
      <c r="Y50" s="3"/>
      <c r="Z50" s="8"/>
    </row>
    <row r="51" spans="1:26" s="24" customFormat="1" x14ac:dyDescent="0.25">
      <c r="A51" s="11"/>
      <c r="B51" s="28" t="s">
        <v>276</v>
      </c>
      <c r="C51" s="28"/>
      <c r="D51" s="21">
        <f>+D21-D23+D49</f>
        <v>0</v>
      </c>
      <c r="E51" s="14"/>
      <c r="F51" s="22">
        <f>IF(D$12=0,0,D51/D$12)</f>
        <v>0</v>
      </c>
      <c r="G51" s="14"/>
      <c r="H51" s="21">
        <f>+H21-H23+H49</f>
        <v>-116.1</v>
      </c>
      <c r="I51" s="14"/>
      <c r="J51" s="22">
        <f>IF(H$12=0,0,H51/H$12)</f>
        <v>0</v>
      </c>
      <c r="K51" s="15"/>
      <c r="L51" s="21">
        <f>+D51-H51</f>
        <v>116.1</v>
      </c>
      <c r="M51" s="15"/>
      <c r="N51" s="22">
        <f>IF(H51=0,0,L51/H51)</f>
        <v>-1</v>
      </c>
      <c r="O51" s="29"/>
      <c r="P51" s="21">
        <f>+P21-P23+P49</f>
        <v>-178.69</v>
      </c>
      <c r="Q51" s="14"/>
      <c r="R51" s="22">
        <f>IF(P$12=0,0,P51/P$12)</f>
        <v>0</v>
      </c>
      <c r="S51" s="14"/>
      <c r="T51" s="21">
        <f>+T21-T23+T49</f>
        <v>-17292.769999999997</v>
      </c>
      <c r="U51" s="14"/>
      <c r="V51" s="22">
        <f>IF(T$12=0,0,T51/T$12)</f>
        <v>-3.3390042903869834</v>
      </c>
      <c r="W51" s="15"/>
      <c r="X51" s="21">
        <f>+P51-T51</f>
        <v>17114.079999999998</v>
      </c>
      <c r="Y51" s="15"/>
      <c r="Z51" s="22">
        <f>IF(T51=0,0,X51/T51)</f>
        <v>-0.98966677981607354</v>
      </c>
    </row>
    <row r="52" spans="1:26" x14ac:dyDescent="0.25">
      <c r="A52" s="9"/>
      <c r="B52" s="11"/>
      <c r="C52" s="9"/>
      <c r="D52" s="3"/>
      <c r="E52" s="3"/>
      <c r="F52" s="8"/>
      <c r="G52" s="3"/>
      <c r="H52" s="3"/>
      <c r="I52" s="3"/>
      <c r="J52" s="8"/>
      <c r="K52" s="3"/>
      <c r="L52" s="3"/>
      <c r="M52" s="3"/>
      <c r="N52" s="8"/>
      <c r="P52" s="3"/>
      <c r="Q52" s="3"/>
      <c r="R52" s="8"/>
      <c r="S52" s="3"/>
      <c r="T52" s="3"/>
      <c r="U52" s="3"/>
      <c r="V52" s="8"/>
      <c r="W52" s="3"/>
      <c r="X52" s="3"/>
      <c r="Y52" s="3"/>
      <c r="Z52" s="8"/>
    </row>
    <row r="53" spans="1:26" s="24" customFormat="1" x14ac:dyDescent="0.25">
      <c r="A53" s="51"/>
      <c r="B53" s="11" t="s">
        <v>127</v>
      </c>
      <c r="C53" s="11"/>
      <c r="D53" s="4"/>
      <c r="E53" s="4"/>
      <c r="F53" s="13">
        <f>IF(D$12=0,0,D53/D$12)</f>
        <v>0</v>
      </c>
      <c r="G53" s="4"/>
      <c r="H53" s="4">
        <v>170.92</v>
      </c>
      <c r="I53" s="4"/>
      <c r="J53" s="13">
        <f>IF(H$12=0,0,H53/H$12)</f>
        <v>0</v>
      </c>
      <c r="K53" s="4"/>
      <c r="L53" s="4">
        <f>+D53-H53</f>
        <v>-170.92</v>
      </c>
      <c r="M53" s="4"/>
      <c r="N53" s="13">
        <f>IF(H53=0,0,L53/H53)</f>
        <v>-1</v>
      </c>
      <c r="O53" s="11"/>
      <c r="P53" s="4"/>
      <c r="Q53" s="4"/>
      <c r="R53" s="13">
        <f>IF(P$12=0,0,P53/P$12)</f>
        <v>0</v>
      </c>
      <c r="S53" s="4"/>
      <c r="T53" s="4">
        <v>784.22</v>
      </c>
      <c r="U53" s="4"/>
      <c r="V53" s="13">
        <f>IF(T$12=0,0,T53/T$12)</f>
        <v>0.15142246988812555</v>
      </c>
      <c r="W53" s="4"/>
      <c r="X53" s="4">
        <f>+P53-T53</f>
        <v>-784.22</v>
      </c>
      <c r="Y53" s="4"/>
      <c r="Z53" s="13">
        <f>IF(T53=0,0,X53/T53)</f>
        <v>-1</v>
      </c>
    </row>
    <row r="54" spans="1:26" x14ac:dyDescent="0.25">
      <c r="A54" s="9"/>
      <c r="B54" s="11"/>
      <c r="C54" s="11"/>
      <c r="D54" s="3"/>
      <c r="E54" s="3"/>
      <c r="F54" s="8"/>
      <c r="G54" s="3"/>
      <c r="H54" s="3"/>
      <c r="I54" s="3"/>
      <c r="J54" s="8"/>
      <c r="K54" s="3"/>
      <c r="L54" s="3"/>
      <c r="M54" s="3"/>
      <c r="N54" s="8"/>
      <c r="O54" s="11"/>
      <c r="P54" s="3"/>
      <c r="Q54" s="3"/>
      <c r="R54" s="8"/>
      <c r="S54" s="3"/>
      <c r="T54" s="3"/>
      <c r="U54" s="3"/>
      <c r="V54" s="8"/>
      <c r="W54" s="3"/>
      <c r="X54" s="3"/>
      <c r="Y54" s="3"/>
      <c r="Z54" s="8"/>
    </row>
    <row r="55" spans="1:26" s="24" customFormat="1" ht="15.75" thickBot="1" x14ac:dyDescent="0.3">
      <c r="A55" s="11"/>
      <c r="B55" s="28" t="s">
        <v>125</v>
      </c>
      <c r="C55" s="28"/>
      <c r="D55" s="34">
        <f>+D51-D53</f>
        <v>0</v>
      </c>
      <c r="E55" s="14"/>
      <c r="F55" s="31">
        <f>IF(D$12=0,0,D55/D$12)</f>
        <v>0</v>
      </c>
      <c r="G55" s="14"/>
      <c r="H55" s="34">
        <f>+H51-H53</f>
        <v>-287.02</v>
      </c>
      <c r="I55" s="14"/>
      <c r="J55" s="31">
        <f>IF(H$12=0,0,H55/H$12)</f>
        <v>0</v>
      </c>
      <c r="K55" s="15"/>
      <c r="L55" s="34">
        <f>D55-H55</f>
        <v>287.02</v>
      </c>
      <c r="M55" s="15"/>
      <c r="N55" s="31">
        <f>IF(H55=0,0,L55/H55)</f>
        <v>-1</v>
      </c>
      <c r="O55" s="29"/>
      <c r="P55" s="34">
        <f>+P51-P53</f>
        <v>-178.69</v>
      </c>
      <c r="Q55" s="14"/>
      <c r="R55" s="31">
        <f>IF(P$12=0,0,P55/P$12)</f>
        <v>0</v>
      </c>
      <c r="S55" s="14"/>
      <c r="T55" s="34">
        <f>+T51-T53</f>
        <v>-18076.989999999998</v>
      </c>
      <c r="U55" s="14"/>
      <c r="V55" s="31">
        <f>IF(T$12=0,0,T55/T$12)</f>
        <v>-3.4904267602751093</v>
      </c>
      <c r="W55" s="15"/>
      <c r="X55" s="34">
        <f>P55-T55</f>
        <v>17898.3</v>
      </c>
      <c r="Y55" s="15"/>
      <c r="Z55" s="31">
        <f>IF(T55=0,0,X55/T55)</f>
        <v>-0.99011505787191345</v>
      </c>
    </row>
    <row r="56" spans="1:26" ht="15.75" thickTop="1" x14ac:dyDescent="0.25">
      <c r="A56" s="9"/>
      <c r="B56" s="9"/>
      <c r="C56" s="9"/>
      <c r="D56" s="3"/>
      <c r="E56" s="3"/>
      <c r="F56" s="8"/>
      <c r="G56" s="3"/>
      <c r="H56" s="3"/>
      <c r="I56" s="3"/>
      <c r="J56" s="8"/>
      <c r="K56" s="3"/>
      <c r="L56" s="3"/>
      <c r="M56" s="3"/>
      <c r="N56" s="8"/>
      <c r="P56" s="3"/>
      <c r="Q56" s="3"/>
      <c r="R56" s="8"/>
      <c r="S56" s="3"/>
      <c r="T56" s="3"/>
      <c r="U56" s="3"/>
      <c r="V56" s="8"/>
      <c r="W56" s="3"/>
      <c r="X56" s="3"/>
      <c r="Y56" s="3"/>
      <c r="Z56" s="8"/>
    </row>
    <row r="57" spans="1:26" x14ac:dyDescent="0.25">
      <c r="A57" s="9"/>
      <c r="B57" s="9"/>
      <c r="C57" s="9"/>
      <c r="D57" s="3"/>
      <c r="E57" s="3"/>
      <c r="F57" s="8"/>
      <c r="G57" s="3"/>
      <c r="H57" s="3"/>
      <c r="I57" s="3"/>
      <c r="J57" s="8"/>
      <c r="K57" s="3"/>
      <c r="L57" s="3"/>
      <c r="M57" s="3"/>
      <c r="N57" s="8"/>
      <c r="P57" s="3"/>
      <c r="Q57" s="3"/>
      <c r="R57" s="8"/>
      <c r="S57" s="3"/>
      <c r="T57" s="3"/>
      <c r="U57" s="3"/>
      <c r="V57" s="8"/>
      <c r="W57" s="3"/>
      <c r="X57" s="3"/>
      <c r="Y57" s="3"/>
      <c r="Z57" s="8"/>
    </row>
    <row r="58" spans="1:26" s="24" customFormat="1" ht="15.75" thickBot="1" x14ac:dyDescent="0.3">
      <c r="A58" s="11"/>
      <c r="B58" s="28" t="s">
        <v>293</v>
      </c>
      <c r="C58" s="28"/>
      <c r="D58" s="33">
        <f>SUM(D55:D57)</f>
        <v>0</v>
      </c>
      <c r="E58" s="14"/>
      <c r="F58" s="35">
        <f>IF(D$12=0,0,D58/D$12)</f>
        <v>0</v>
      </c>
      <c r="G58" s="14"/>
      <c r="H58" s="33">
        <f>SUM(H55:H57)</f>
        <v>-287.02</v>
      </c>
      <c r="I58" s="14"/>
      <c r="J58" s="35">
        <f>IF(H$12=0,0,H58/H$12)</f>
        <v>0</v>
      </c>
      <c r="K58" s="15"/>
      <c r="L58" s="33">
        <f>+D58-H58</f>
        <v>287.02</v>
      </c>
      <c r="M58" s="15"/>
      <c r="N58" s="35">
        <f>IF(H58=0,0,L58/H58)</f>
        <v>-1</v>
      </c>
      <c r="O58" s="29"/>
      <c r="P58" s="33">
        <f>SUM(P55:P57)</f>
        <v>-178.69</v>
      </c>
      <c r="Q58" s="14"/>
      <c r="R58" s="35">
        <f>IF(P$12=0,0,P58/P$12)</f>
        <v>0</v>
      </c>
      <c r="S58" s="14"/>
      <c r="T58" s="33">
        <f>SUM(T55:T57)</f>
        <v>-18076.989999999998</v>
      </c>
      <c r="U58" s="14"/>
      <c r="V58" s="35">
        <f>IF(T$12=0,0,T58/T$12)</f>
        <v>-3.4904267602751093</v>
      </c>
      <c r="W58" s="15"/>
      <c r="X58" s="33">
        <f>+P58-T58</f>
        <v>17898.3</v>
      </c>
      <c r="Y58" s="15"/>
      <c r="Z58" s="35">
        <f>IF(T58=0,0,X58/T58)</f>
        <v>-0.99011505787191345</v>
      </c>
    </row>
    <row r="59" spans="1:26" ht="15.75" thickTop="1" x14ac:dyDescent="0.25">
      <c r="A59" s="9"/>
      <c r="C59" s="9"/>
      <c r="D59" s="18"/>
      <c r="E59" s="18"/>
      <c r="G59" s="18"/>
      <c r="H59" s="18"/>
      <c r="I59" s="18"/>
      <c r="J59" s="43"/>
      <c r="K59" s="18"/>
      <c r="L59" s="18"/>
      <c r="M59" s="18"/>
      <c r="P59" s="18"/>
      <c r="Q59" s="18"/>
      <c r="R59" s="43"/>
      <c r="S59" s="18"/>
      <c r="T59" s="18"/>
      <c r="U59" s="18"/>
      <c r="V59" s="43"/>
      <c r="W59" s="18"/>
      <c r="X59" s="18"/>
    </row>
    <row r="60" spans="1:26" x14ac:dyDescent="0.25">
      <c r="A60" s="9"/>
      <c r="B60" s="56">
        <v>44454.698585613427</v>
      </c>
      <c r="D60" s="18"/>
      <c r="E60" s="18"/>
      <c r="G60" s="18"/>
      <c r="H60" s="18"/>
      <c r="I60" s="18"/>
      <c r="J60" s="43"/>
      <c r="K60" s="18"/>
      <c r="L60" s="18"/>
      <c r="M60" s="18"/>
      <c r="P60" s="18"/>
      <c r="Q60" s="18"/>
      <c r="R60" s="43"/>
      <c r="S60" s="18"/>
      <c r="T60" s="18"/>
      <c r="U60" s="18"/>
      <c r="V60" s="43"/>
      <c r="W60" s="18"/>
      <c r="X60" s="18"/>
    </row>
    <row r="61" spans="1:26" x14ac:dyDescent="0.25">
      <c r="A61" s="9"/>
      <c r="B61" s="55" t="s">
        <v>56</v>
      </c>
      <c r="D61" s="18"/>
      <c r="E61" s="18"/>
      <c r="G61" s="18"/>
      <c r="H61" s="18"/>
      <c r="I61" s="18"/>
      <c r="J61" s="43"/>
      <c r="K61" s="18"/>
      <c r="L61" s="18"/>
      <c r="M61" s="18"/>
      <c r="P61" s="18"/>
      <c r="Q61" s="18"/>
      <c r="R61" s="43"/>
      <c r="S61" s="18"/>
      <c r="T61" s="18"/>
      <c r="U61" s="18"/>
      <c r="V61" s="43"/>
      <c r="W61" s="18"/>
      <c r="X61" s="18"/>
    </row>
    <row r="62" spans="1:26" x14ac:dyDescent="0.25">
      <c r="A62" s="9"/>
      <c r="B62" s="60"/>
      <c r="D62" s="18"/>
      <c r="E62" s="18"/>
      <c r="G62" s="18"/>
      <c r="H62" s="18"/>
      <c r="I62" s="18"/>
      <c r="J62" s="43"/>
      <c r="K62" s="18"/>
      <c r="L62" s="18"/>
      <c r="M62" s="18"/>
      <c r="P62" s="18"/>
      <c r="Q62" s="18"/>
      <c r="R62" s="43"/>
      <c r="S62" s="18"/>
      <c r="T62" s="18"/>
      <c r="U62" s="18"/>
      <c r="V62" s="43"/>
      <c r="W62" s="18"/>
      <c r="X62" s="18"/>
    </row>
    <row r="63" spans="1:26" x14ac:dyDescent="0.25">
      <c r="D63" s="18"/>
      <c r="E63" s="18"/>
      <c r="G63" s="18"/>
      <c r="H63" s="18"/>
      <c r="I63" s="18"/>
      <c r="J63" s="43"/>
      <c r="K63" s="18"/>
      <c r="L63" s="18"/>
      <c r="M63" s="18"/>
      <c r="P63" s="18"/>
      <c r="Q63" s="18"/>
      <c r="R63" s="43"/>
      <c r="S63" s="18"/>
      <c r="T63" s="18"/>
      <c r="U63" s="18"/>
      <c r="V63" s="43"/>
      <c r="W63" s="18"/>
      <c r="X63" s="18"/>
    </row>
  </sheetData>
  <pageMargins left="0.25" right="0.25" top="0.75" bottom="0.75" header="0.3" footer="0.3"/>
  <pageSetup scale="55" fitToWidth="2" orientation="landscape"/>
  <drawing r:id="rId1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>
    <tabColor rgb="FF92D050"/>
    <outlinePr summaryBelow="0" summaryRight="0"/>
  </sheetPr>
  <dimension ref="A2:Z102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62" t="s">
        <v>23</v>
      </c>
    </row>
    <row r="3" spans="1:26" x14ac:dyDescent="0.25">
      <c r="D3" s="62" t="s">
        <v>236</v>
      </c>
      <c r="E3" s="17"/>
      <c r="F3" s="46"/>
      <c r="G3" s="17"/>
      <c r="H3" s="17"/>
      <c r="I3" s="17"/>
      <c r="J3" s="38"/>
      <c r="K3" s="17"/>
      <c r="L3" s="17"/>
      <c r="M3" s="17"/>
      <c r="N3" s="46"/>
      <c r="O3" s="53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2" t="str">
        <f>CONCATENATE("Period ",RIGHT(202112,2),", ",2021)</f>
        <v>Period 12, 2021</v>
      </c>
      <c r="E4" s="17"/>
      <c r="F4" s="46"/>
      <c r="G4" s="17"/>
      <c r="H4" s="17"/>
      <c r="I4" s="17"/>
      <c r="J4" s="38"/>
      <c r="K4" s="17"/>
      <c r="L4" s="17"/>
      <c r="M4" s="17"/>
      <c r="N4" s="46"/>
      <c r="O4" s="53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4"/>
      <c r="D5" s="63">
        <v>44377</v>
      </c>
      <c r="E5" s="17"/>
      <c r="F5" s="46"/>
      <c r="G5" s="17"/>
      <c r="H5" s="17"/>
      <c r="I5" s="17"/>
      <c r="J5" s="38"/>
      <c r="K5" s="17"/>
      <c r="L5" s="17"/>
      <c r="M5" s="17"/>
      <c r="N5" s="46"/>
      <c r="O5" s="53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4"/>
      <c r="B6" s="48"/>
      <c r="C6" s="48"/>
      <c r="D6" s="24" t="str">
        <f>CONCATENATE("Department ","444", " - ", "Parkside Dining Hall")</f>
        <v>Department 444 - Parkside Dining Hall</v>
      </c>
      <c r="E6" s="17"/>
      <c r="F6" s="46"/>
      <c r="G6" s="17"/>
      <c r="H6" s="17"/>
      <c r="I6" s="17"/>
      <c r="J6" s="38"/>
      <c r="K6" s="17"/>
      <c r="L6" s="17"/>
      <c r="M6" s="17"/>
      <c r="N6" s="46"/>
      <c r="O6" s="54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9"/>
    </row>
    <row r="8" spans="1:26" x14ac:dyDescent="0.25">
      <c r="B8" s="59"/>
    </row>
    <row r="9" spans="1:26" x14ac:dyDescent="0.25">
      <c r="B9" s="9"/>
      <c r="C9" s="9"/>
      <c r="D9" s="16" t="s">
        <v>291</v>
      </c>
      <c r="E9" s="16"/>
      <c r="F9" s="39"/>
      <c r="G9" s="16"/>
      <c r="H9" s="16"/>
      <c r="I9" s="16"/>
      <c r="J9" s="49"/>
      <c r="K9" s="16"/>
      <c r="L9" s="16"/>
      <c r="M9" s="16"/>
      <c r="N9" s="39"/>
      <c r="P9" s="16" t="s">
        <v>39</v>
      </c>
      <c r="Q9" s="16"/>
      <c r="R9" s="39"/>
      <c r="S9" s="16"/>
      <c r="T9" s="16"/>
      <c r="U9" s="16"/>
      <c r="V9" s="49"/>
      <c r="W9" s="16"/>
      <c r="X9" s="16"/>
      <c r="Y9" s="16"/>
      <c r="Z9" s="39"/>
    </row>
    <row r="10" spans="1:26" x14ac:dyDescent="0.25">
      <c r="A10" s="11"/>
      <c r="B10" s="58"/>
      <c r="C10" s="11"/>
      <c r="D10" s="42" t="s">
        <v>57</v>
      </c>
      <c r="E10" s="36"/>
      <c r="F10" s="30" t="s">
        <v>40</v>
      </c>
      <c r="G10" s="36"/>
      <c r="H10" s="50" t="s">
        <v>237</v>
      </c>
      <c r="I10" s="36"/>
      <c r="J10" s="30" t="s">
        <v>40</v>
      </c>
      <c r="K10" s="11"/>
      <c r="L10" s="42" t="s">
        <v>126</v>
      </c>
      <c r="M10" s="11"/>
      <c r="N10" s="30" t="s">
        <v>257</v>
      </c>
      <c r="O10" s="11"/>
      <c r="P10" s="61" t="s">
        <v>57</v>
      </c>
      <c r="Q10" s="36"/>
      <c r="R10" s="30" t="s">
        <v>40</v>
      </c>
      <c r="S10" s="36"/>
      <c r="T10" s="50" t="s">
        <v>237</v>
      </c>
      <c r="U10" s="36"/>
      <c r="V10" s="30" t="s">
        <v>40</v>
      </c>
      <c r="W10" s="11"/>
      <c r="X10" s="42" t="s">
        <v>126</v>
      </c>
      <c r="Y10" s="11"/>
      <c r="Z10" s="30" t="s">
        <v>257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4" customFormat="1" collapsed="1" x14ac:dyDescent="0.25">
      <c r="A12" s="11"/>
      <c r="B12" s="29" t="s">
        <v>139</v>
      </c>
      <c r="C12" s="11"/>
      <c r="D12" s="4">
        <f>SUM(OSRRefD13x_0)</f>
        <v>30111.4</v>
      </c>
      <c r="E12" s="4"/>
      <c r="F12" s="13"/>
      <c r="G12" s="4"/>
      <c r="H12" s="4">
        <f>SUM(OSRRefH13x_0)</f>
        <v>-66685</v>
      </c>
      <c r="I12" s="4"/>
      <c r="J12" s="13"/>
      <c r="K12" s="4"/>
      <c r="L12" s="4">
        <f t="shared" ref="L12:L15" si="0">+D12-H12</f>
        <v>96796.4</v>
      </c>
      <c r="M12" s="4"/>
      <c r="N12" s="13">
        <f t="shared" ref="N12:N15" si="1">IF(H12=0,0,L12/H12)</f>
        <v>-1.4515468246232286</v>
      </c>
      <c r="O12" s="11"/>
      <c r="P12" s="4">
        <f>SUM(OSRRefP13x_0)</f>
        <v>998437.27999999991</v>
      </c>
      <c r="Q12" s="4"/>
      <c r="R12" s="13"/>
      <c r="S12" s="4"/>
      <c r="T12" s="4">
        <f>SUM(OSRRefT13x_0)</f>
        <v>3313755.62</v>
      </c>
      <c r="U12" s="4"/>
      <c r="V12" s="13"/>
      <c r="W12" s="4"/>
      <c r="X12" s="4">
        <f t="shared" ref="X12:X15" si="2">+P12-T12</f>
        <v>-2315318.3400000003</v>
      </c>
      <c r="Y12" s="4"/>
      <c r="Z12" s="13">
        <f t="shared" ref="Z12:Z15" si="3">IF(T12=0,0,X12/T12)</f>
        <v>-0.69869918168558254</v>
      </c>
    </row>
    <row r="13" spans="1:26" s="23" customFormat="1" hidden="1" outlineLevel="1" x14ac:dyDescent="0.25">
      <c r="A13" s="44"/>
      <c r="B13" s="10" t="str">
        <f>CONCATENATE("          ", "4053", " - ", "TAXABLE SALES-FOOD")</f>
        <v xml:space="preserve">          4053 - TAXABLE SALES-FOOD</v>
      </c>
      <c r="C13" s="10"/>
      <c r="D13" s="2">
        <f>--10.83</f>
        <v>10.83</v>
      </c>
      <c r="E13" s="2"/>
      <c r="F13" s="19"/>
      <c r="G13" s="2"/>
      <c r="H13" s="2">
        <f>0</f>
        <v>0</v>
      </c>
      <c r="I13" s="2"/>
      <c r="J13" s="19"/>
      <c r="K13" s="2"/>
      <c r="L13" s="2">
        <f t="shared" si="0"/>
        <v>10.83</v>
      </c>
      <c r="M13" s="2"/>
      <c r="N13" s="19">
        <f t="shared" si="1"/>
        <v>0</v>
      </c>
      <c r="O13" s="10"/>
      <c r="P13" s="2">
        <f>--899.74</f>
        <v>899.74</v>
      </c>
      <c r="Q13" s="2"/>
      <c r="R13" s="19"/>
      <c r="S13" s="2"/>
      <c r="T13" s="2">
        <f>--4314.79</f>
        <v>4314.79</v>
      </c>
      <c r="U13" s="2"/>
      <c r="V13" s="19"/>
      <c r="W13" s="2"/>
      <c r="X13" s="2">
        <f t="shared" si="2"/>
        <v>-3415.05</v>
      </c>
      <c r="Y13" s="2"/>
      <c r="Z13" s="19">
        <f t="shared" si="3"/>
        <v>-0.7914753672832282</v>
      </c>
    </row>
    <row r="14" spans="1:26" s="23" customFormat="1" hidden="1" outlineLevel="1" x14ac:dyDescent="0.25">
      <c r="A14" s="44"/>
      <c r="B14" s="10" t="str">
        <f>CONCATENATE("          ", "4151", " - ", "NON-TAXABLE SALES-FOOD")</f>
        <v xml:space="preserve">          4151 - NON-TAXABLE SALES-FOOD</v>
      </c>
      <c r="C14" s="10"/>
      <c r="D14" s="2">
        <f>--27599</f>
        <v>27599</v>
      </c>
      <c r="E14" s="2"/>
      <c r="F14" s="19"/>
      <c r="G14" s="2"/>
      <c r="H14" s="2">
        <f>-66685</f>
        <v>-66685</v>
      </c>
      <c r="I14" s="2"/>
      <c r="J14" s="19"/>
      <c r="K14" s="2"/>
      <c r="L14" s="2">
        <f t="shared" si="0"/>
        <v>94284</v>
      </c>
      <c r="M14" s="2"/>
      <c r="N14" s="19">
        <f t="shared" si="1"/>
        <v>-1.4138711854240085</v>
      </c>
      <c r="O14" s="10"/>
      <c r="P14" s="2">
        <f>--951946.72</f>
        <v>951946.72</v>
      </c>
      <c r="Q14" s="2"/>
      <c r="R14" s="19"/>
      <c r="S14" s="2"/>
      <c r="T14" s="2">
        <f>--3263328.39</f>
        <v>3263328.39</v>
      </c>
      <c r="U14" s="2"/>
      <c r="V14" s="19"/>
      <c r="W14" s="2"/>
      <c r="X14" s="2">
        <f t="shared" si="2"/>
        <v>-2311381.67</v>
      </c>
      <c r="Y14" s="2"/>
      <c r="Z14" s="19">
        <f t="shared" si="3"/>
        <v>-0.70828963370125309</v>
      </c>
    </row>
    <row r="15" spans="1:26" s="23" customFormat="1" hidden="1" outlineLevel="1" x14ac:dyDescent="0.25">
      <c r="A15" s="44"/>
      <c r="B15" s="10" t="str">
        <f>CONCATENATE("          ", "4153", " - ", "NON-TAXABLE SALES-FOOD")</f>
        <v xml:space="preserve">          4153 - NON-TAXABLE SALES-FOOD</v>
      </c>
      <c r="C15" s="10"/>
      <c r="D15" s="2">
        <f>--2501.57</f>
        <v>2501.5700000000002</v>
      </c>
      <c r="E15" s="2"/>
      <c r="F15" s="19"/>
      <c r="G15" s="2"/>
      <c r="H15" s="2">
        <f>0</f>
        <v>0</v>
      </c>
      <c r="I15" s="2"/>
      <c r="J15" s="19"/>
      <c r="K15" s="2"/>
      <c r="L15" s="2">
        <f t="shared" si="0"/>
        <v>2501.5700000000002</v>
      </c>
      <c r="M15" s="2"/>
      <c r="N15" s="19">
        <f t="shared" si="1"/>
        <v>0</v>
      </c>
      <c r="O15" s="10"/>
      <c r="P15" s="2">
        <f>--45590.82</f>
        <v>45590.82</v>
      </c>
      <c r="Q15" s="2"/>
      <c r="R15" s="19"/>
      <c r="S15" s="2"/>
      <c r="T15" s="2">
        <f>--46112.44</f>
        <v>46112.44</v>
      </c>
      <c r="U15" s="2"/>
      <c r="V15" s="19"/>
      <c r="W15" s="2"/>
      <c r="X15" s="2">
        <f t="shared" si="2"/>
        <v>-521.62000000000262</v>
      </c>
      <c r="Y15" s="2"/>
      <c r="Z15" s="19">
        <f t="shared" si="3"/>
        <v>-1.1311914962643542E-2</v>
      </c>
    </row>
    <row r="16" spans="1:26" x14ac:dyDescent="0.25">
      <c r="A16" s="9"/>
      <c r="B16" s="11"/>
      <c r="C16" s="9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4" customFormat="1" collapsed="1" x14ac:dyDescent="0.25">
      <c r="A17" s="11"/>
      <c r="B17" s="29" t="s">
        <v>256</v>
      </c>
      <c r="C17" s="11"/>
      <c r="D17" s="4">
        <f>SUM(OSRRefD16x_0)</f>
        <v>19817.82</v>
      </c>
      <c r="E17" s="4"/>
      <c r="F17" s="13">
        <f t="shared" ref="F17:F19" si="4">IF(D$12=0,0,D17/D$12)</f>
        <v>0.65815006940892817</v>
      </c>
      <c r="G17" s="4"/>
      <c r="H17" s="4">
        <f>SUM(OSRRefH16x_0)</f>
        <v>3546</v>
      </c>
      <c r="I17" s="4"/>
      <c r="J17" s="13">
        <f t="shared" ref="J17:J19" si="5">IF(H$12=0,0,H17/H$12)</f>
        <v>-5.3175376771387867E-2</v>
      </c>
      <c r="K17" s="4"/>
      <c r="L17" s="4">
        <f t="shared" ref="L17:L19" si="6">+D17-H17</f>
        <v>16271.82</v>
      </c>
      <c r="M17" s="4"/>
      <c r="N17" s="13">
        <f t="shared" ref="N17:N19" si="7">IF(H17=0,0,L17/H17)</f>
        <v>4.5887817258883246</v>
      </c>
      <c r="O17" s="11"/>
      <c r="P17" s="4">
        <f>SUM(OSRRefP16x_0)</f>
        <v>435566.87</v>
      </c>
      <c r="Q17" s="4"/>
      <c r="R17" s="13">
        <f t="shared" ref="R17:R19" si="8">IF(P$12=0,0,P17/P$12)</f>
        <v>0.43624860441909785</v>
      </c>
      <c r="S17" s="4"/>
      <c r="T17" s="4">
        <f>SUM(OSRRefT16x_0)</f>
        <v>849805.55</v>
      </c>
      <c r="U17" s="4"/>
      <c r="V17" s="13">
        <f t="shared" ref="V17:V19" si="9">IF(T$12=0,0,T17/T$12)</f>
        <v>0.25644786382889634</v>
      </c>
      <c r="W17" s="4"/>
      <c r="X17" s="4">
        <f t="shared" ref="X17:X19" si="10">+P17-T17</f>
        <v>-414238.68000000005</v>
      </c>
      <c r="Y17" s="4"/>
      <c r="Z17" s="13">
        <f t="shared" ref="Z17:Z19" si="11">IF(T17=0,0,X17/T17)</f>
        <v>-0.48745113514497523</v>
      </c>
    </row>
    <row r="18" spans="1:26" s="23" customFormat="1" hidden="1" outlineLevel="1" x14ac:dyDescent="0.25">
      <c r="A18" s="44"/>
      <c r="B18" s="10" t="str">
        <f>CONCATENATE("          ", "5053", " - ", "PURCHASES @ COST-FOOD")</f>
        <v xml:space="preserve">          5053 - PURCHASES @ COST-FOOD</v>
      </c>
      <c r="C18" s="10"/>
      <c r="D18" s="2">
        <v>14888.82</v>
      </c>
      <c r="E18" s="2"/>
      <c r="F18" s="19">
        <f t="shared" si="4"/>
        <v>0.49445791294991265</v>
      </c>
      <c r="G18" s="2"/>
      <c r="H18" s="2"/>
      <c r="I18" s="2"/>
      <c r="J18" s="19">
        <f t="shared" si="5"/>
        <v>0</v>
      </c>
      <c r="K18" s="2"/>
      <c r="L18" s="2">
        <f t="shared" si="6"/>
        <v>14888.82</v>
      </c>
      <c r="M18" s="2"/>
      <c r="N18" s="19">
        <f t="shared" si="7"/>
        <v>0</v>
      </c>
      <c r="O18" s="10"/>
      <c r="P18" s="2">
        <v>444226.57</v>
      </c>
      <c r="Q18" s="2"/>
      <c r="R18" s="19">
        <f t="shared" si="8"/>
        <v>0.44492185828638137</v>
      </c>
      <c r="S18" s="2"/>
      <c r="T18" s="2">
        <v>830847.8</v>
      </c>
      <c r="U18" s="2"/>
      <c r="V18" s="19">
        <f t="shared" si="9"/>
        <v>0.25072693803534007</v>
      </c>
      <c r="W18" s="2"/>
      <c r="X18" s="2">
        <f t="shared" si="10"/>
        <v>-386621.23000000004</v>
      </c>
      <c r="Y18" s="2"/>
      <c r="Z18" s="19">
        <f t="shared" si="11"/>
        <v>-0.4653333980062293</v>
      </c>
    </row>
    <row r="19" spans="1:26" s="23" customFormat="1" hidden="1" outlineLevel="1" x14ac:dyDescent="0.25">
      <c r="A19" s="44"/>
      <c r="B19" s="10" t="str">
        <f>CONCATENATE("          ", "5059", " - ", "PURCHASES @ COST-FOOD")</f>
        <v xml:space="preserve">          5059 - PURCHASES @ COST-FOOD</v>
      </c>
      <c r="C19" s="10"/>
      <c r="D19" s="2">
        <v>4929</v>
      </c>
      <c r="E19" s="2"/>
      <c r="F19" s="19">
        <f t="shared" si="4"/>
        <v>0.16369215645901553</v>
      </c>
      <c r="G19" s="2"/>
      <c r="H19" s="2">
        <v>3546</v>
      </c>
      <c r="I19" s="2"/>
      <c r="J19" s="19">
        <f t="shared" si="5"/>
        <v>-5.3175376771387867E-2</v>
      </c>
      <c r="K19" s="2"/>
      <c r="L19" s="2">
        <f t="shared" si="6"/>
        <v>1383</v>
      </c>
      <c r="M19" s="2"/>
      <c r="N19" s="19">
        <f t="shared" si="7"/>
        <v>0.39001692047377329</v>
      </c>
      <c r="O19" s="10"/>
      <c r="P19" s="2">
        <v>-8659.7000000000007</v>
      </c>
      <c r="Q19" s="2"/>
      <c r="R19" s="19">
        <f t="shared" si="8"/>
        <v>-8.6732538672834834E-3</v>
      </c>
      <c r="S19" s="2"/>
      <c r="T19" s="2">
        <v>18957.75</v>
      </c>
      <c r="U19" s="2"/>
      <c r="V19" s="19">
        <f t="shared" si="9"/>
        <v>5.7209257935562545E-3</v>
      </c>
      <c r="W19" s="2"/>
      <c r="X19" s="2">
        <f t="shared" si="10"/>
        <v>-27617.45</v>
      </c>
      <c r="Y19" s="2"/>
      <c r="Z19" s="19">
        <f t="shared" si="11"/>
        <v>-1.4567894396750669</v>
      </c>
    </row>
    <row r="20" spans="1:26" x14ac:dyDescent="0.25">
      <c r="A20" s="9"/>
      <c r="B20" s="11"/>
      <c r="C20" s="11"/>
      <c r="D20" s="3"/>
      <c r="E20" s="3"/>
      <c r="F20" s="8"/>
      <c r="G20" s="3"/>
      <c r="H20" s="3"/>
      <c r="I20" s="3"/>
      <c r="J20" s="8"/>
      <c r="K20" s="3"/>
      <c r="L20" s="3"/>
      <c r="M20" s="3"/>
      <c r="N20" s="8"/>
      <c r="O20" s="11"/>
      <c r="P20" s="3"/>
      <c r="Q20" s="3"/>
      <c r="R20" s="8"/>
      <c r="S20" s="3"/>
      <c r="T20" s="3"/>
      <c r="U20" s="3"/>
      <c r="V20" s="8"/>
      <c r="W20" s="3"/>
      <c r="X20" s="3"/>
      <c r="Y20" s="3"/>
      <c r="Z20" s="8"/>
    </row>
    <row r="21" spans="1:26" s="24" customFormat="1" x14ac:dyDescent="0.25">
      <c r="A21" s="11"/>
      <c r="B21" s="28" t="s">
        <v>107</v>
      </c>
      <c r="C21" s="28"/>
      <c r="D21" s="21">
        <f>D12-D17</f>
        <v>10293.580000000002</v>
      </c>
      <c r="E21" s="14"/>
      <c r="F21" s="22">
        <f>IF(D$12=0,0,D21/D$12)</f>
        <v>0.34184993059107188</v>
      </c>
      <c r="G21" s="14"/>
      <c r="H21" s="21">
        <f>H12-H17</f>
        <v>-70231</v>
      </c>
      <c r="I21" s="14"/>
      <c r="J21" s="22">
        <f>IF(H$12=0,0,H21/H$12)</f>
        <v>1.0531753767713878</v>
      </c>
      <c r="K21" s="15"/>
      <c r="L21" s="21">
        <f>+D21-H21</f>
        <v>80524.58</v>
      </c>
      <c r="M21" s="15"/>
      <c r="N21" s="22">
        <f>IF(H21=0,0,L21/H21)</f>
        <v>-1.1465674702054649</v>
      </c>
      <c r="O21" s="29"/>
      <c r="P21" s="21">
        <f>P12-P17</f>
        <v>562870.40999999992</v>
      </c>
      <c r="Q21" s="14"/>
      <c r="R21" s="22">
        <f>IF(P$12=0,0,P21/P$12)</f>
        <v>0.56375139558090215</v>
      </c>
      <c r="S21" s="14"/>
      <c r="T21" s="21">
        <f>T12-T17</f>
        <v>2463950.0700000003</v>
      </c>
      <c r="U21" s="14"/>
      <c r="V21" s="22">
        <f>IF(T$12=0,0,T21/T$12)</f>
        <v>0.74355213617110372</v>
      </c>
      <c r="W21" s="15"/>
      <c r="X21" s="21">
        <f>+P21-T21</f>
        <v>-1901079.6600000004</v>
      </c>
      <c r="Y21" s="15"/>
      <c r="Z21" s="22">
        <f>IF(T21=0,0,X21/T21)</f>
        <v>-0.77155770449520522</v>
      </c>
    </row>
    <row r="22" spans="1:26" x14ac:dyDescent="0.25">
      <c r="A22" s="9"/>
      <c r="B22" s="11"/>
      <c r="C22" s="9"/>
      <c r="D22" s="1"/>
      <c r="E22" s="1"/>
      <c r="F22" s="5"/>
      <c r="G22" s="1"/>
      <c r="H22" s="1"/>
      <c r="I22" s="1"/>
      <c r="J22" s="5"/>
      <c r="K22" s="1"/>
      <c r="L22" s="1"/>
      <c r="M22" s="1"/>
      <c r="N22" s="5"/>
      <c r="O22" s="37"/>
      <c r="P22" s="1"/>
      <c r="Q22" s="1"/>
      <c r="R22" s="5"/>
      <c r="S22" s="1"/>
      <c r="T22" s="1"/>
      <c r="U22" s="1"/>
      <c r="V22" s="5"/>
      <c r="W22" s="1"/>
      <c r="X22" s="1"/>
      <c r="Y22" s="1"/>
      <c r="Z22" s="5"/>
    </row>
    <row r="23" spans="1:26" s="24" customFormat="1" x14ac:dyDescent="0.25">
      <c r="A23" s="11"/>
      <c r="B23" s="29" t="s">
        <v>294</v>
      </c>
      <c r="C23" s="11"/>
      <c r="D23" s="20">
        <f>SUM(OSRRefD22x_0)</f>
        <v>85246.849999999991</v>
      </c>
      <c r="E23" s="20"/>
      <c r="F23" s="32">
        <f t="shared" ref="F23:F33" si="12">IF(D$12=0,0,D23/D$12)</f>
        <v>2.8310490379059088</v>
      </c>
      <c r="G23" s="20"/>
      <c r="H23" s="20">
        <f>SUM(OSRRefH22x_0)</f>
        <v>42456.05</v>
      </c>
      <c r="I23" s="20"/>
      <c r="J23" s="32">
        <f t="shared" ref="J23:J33" si="13">IF(H$12=0,0,H23/H$12)</f>
        <v>-0.6366656669415911</v>
      </c>
      <c r="K23" s="4"/>
      <c r="L23" s="20">
        <f t="shared" ref="L23:L33" si="14">+D23-H23</f>
        <v>42790.799999999988</v>
      </c>
      <c r="M23" s="4"/>
      <c r="N23" s="32">
        <f t="shared" ref="N23:N33" si="15">IF(H23=0,0,L23/H23)</f>
        <v>1.0078846242172785</v>
      </c>
      <c r="O23" s="11"/>
      <c r="P23" s="20">
        <f>SUM(OSRRefP22x_0)</f>
        <v>1350484.1800000004</v>
      </c>
      <c r="Q23" s="20"/>
      <c r="R23" s="32">
        <f t="shared" ref="R23:R33" si="16">IF(P$12=0,0,P23/P$12)</f>
        <v>1.3525979118087423</v>
      </c>
      <c r="S23" s="20"/>
      <c r="T23" s="20">
        <f>SUM(OSRRefT22x_0)</f>
        <v>1753369</v>
      </c>
      <c r="U23" s="20"/>
      <c r="V23" s="32">
        <f t="shared" ref="V23:V33" si="17">IF(T$12=0,0,T23/T$12)</f>
        <v>0.52911837837939302</v>
      </c>
      <c r="W23" s="4"/>
      <c r="X23" s="20">
        <f t="shared" ref="X23:X33" si="18">+P23-T23</f>
        <v>-402884.8199999996</v>
      </c>
      <c r="Y23" s="4"/>
      <c r="Z23" s="32">
        <f t="shared" ref="Z23:Z33" si="19">IF(T23=0,0,X23/T23)</f>
        <v>-0.22977754254808863</v>
      </c>
    </row>
    <row r="24" spans="1:26" s="27" customFormat="1" outlineLevel="1" collapsed="1" x14ac:dyDescent="0.25">
      <c r="A24" s="26"/>
      <c r="B24" s="12" t="str">
        <f>CONCATENATE("     ","*Benefits                                         ")</f>
        <v xml:space="preserve">     *Benefits                                         </v>
      </c>
      <c r="C24" s="12"/>
      <c r="D24" s="1">
        <f>SUM(OSRRefD22_0x_0)</f>
        <v>29706.059999999998</v>
      </c>
      <c r="E24" s="1"/>
      <c r="F24" s="5">
        <f t="shared" si="12"/>
        <v>0.98653865313469302</v>
      </c>
      <c r="G24" s="1"/>
      <c r="H24" s="1">
        <f>SUM(OSRRefH22_0x_0)</f>
        <v>24331.480000000003</v>
      </c>
      <c r="I24" s="1"/>
      <c r="J24" s="5">
        <f t="shared" si="13"/>
        <v>-0.36487186023843449</v>
      </c>
      <c r="K24" s="1"/>
      <c r="L24" s="1">
        <f t="shared" si="14"/>
        <v>5374.5799999999945</v>
      </c>
      <c r="M24" s="1"/>
      <c r="N24" s="5">
        <f t="shared" si="15"/>
        <v>0.22088997463368418</v>
      </c>
      <c r="O24" s="12"/>
      <c r="P24" s="1">
        <f>SUM(OSRRefP22_0x_0)</f>
        <v>370676.99</v>
      </c>
      <c r="Q24" s="1"/>
      <c r="R24" s="5">
        <f t="shared" si="16"/>
        <v>0.37125716099062328</v>
      </c>
      <c r="S24" s="1"/>
      <c r="T24" s="1">
        <f>SUM(OSRRefT22_0x_0)</f>
        <v>372049.08</v>
      </c>
      <c r="U24" s="1"/>
      <c r="V24" s="5">
        <f t="shared" si="17"/>
        <v>0.11227414530948424</v>
      </c>
      <c r="W24" s="1"/>
      <c r="X24" s="1">
        <f t="shared" si="18"/>
        <v>-1372.0900000000256</v>
      </c>
      <c r="Y24" s="1"/>
      <c r="Z24" s="5">
        <f t="shared" si="19"/>
        <v>-3.6879274100073719E-3</v>
      </c>
    </row>
    <row r="25" spans="1:26" s="23" customFormat="1" hidden="1" outlineLevel="2" x14ac:dyDescent="0.25">
      <c r="A25" s="25"/>
      <c r="B25" s="10" t="str">
        <f>CONCATENATE("          ", "6111", " - ", "F.I.C.A.")</f>
        <v xml:space="preserve">          6111 - F.I.C.A.</v>
      </c>
      <c r="C25" s="10"/>
      <c r="D25" s="6">
        <v>2872.21</v>
      </c>
      <c r="E25" s="2"/>
      <c r="F25" s="7">
        <f t="shared" si="12"/>
        <v>9.5386132826769929E-2</v>
      </c>
      <c r="G25" s="2"/>
      <c r="H25" s="6">
        <v>2489.33</v>
      </c>
      <c r="I25" s="2"/>
      <c r="J25" s="7">
        <f t="shared" si="13"/>
        <v>-3.7329684336807376E-2</v>
      </c>
      <c r="K25" s="2"/>
      <c r="L25" s="6">
        <f t="shared" si="14"/>
        <v>382.88000000000011</v>
      </c>
      <c r="M25" s="2"/>
      <c r="N25" s="7">
        <f t="shared" si="15"/>
        <v>0.15380845448373665</v>
      </c>
      <c r="O25" s="10"/>
      <c r="P25" s="6">
        <v>42401.58</v>
      </c>
      <c r="Q25" s="2"/>
      <c r="R25" s="7">
        <f t="shared" si="16"/>
        <v>4.2467945507803959E-2</v>
      </c>
      <c r="S25" s="2"/>
      <c r="T25" s="6">
        <v>51185.29</v>
      </c>
      <c r="U25" s="2"/>
      <c r="V25" s="7">
        <f t="shared" si="17"/>
        <v>1.5446308017125293E-2</v>
      </c>
      <c r="W25" s="2"/>
      <c r="X25" s="6">
        <f t="shared" si="18"/>
        <v>-8783.7099999999991</v>
      </c>
      <c r="Y25" s="2"/>
      <c r="Z25" s="7">
        <f t="shared" si="19"/>
        <v>-0.17160613918569181</v>
      </c>
    </row>
    <row r="26" spans="1:26" s="23" customFormat="1" hidden="1" outlineLevel="2" x14ac:dyDescent="0.25">
      <c r="A26" s="25"/>
      <c r="B26" s="10" t="str">
        <f>CONCATENATE("          ", "6112", " - ", "COMPENSATION INSURANCE")</f>
        <v xml:space="preserve">          6112 - COMPENSATION INSURANCE</v>
      </c>
      <c r="C26" s="10"/>
      <c r="D26" s="6">
        <v>1602.42</v>
      </c>
      <c r="E26" s="2"/>
      <c r="F26" s="7">
        <f t="shared" si="12"/>
        <v>5.3216389805854261E-2</v>
      </c>
      <c r="G26" s="2"/>
      <c r="H26" s="6">
        <v>1262.07</v>
      </c>
      <c r="I26" s="2"/>
      <c r="J26" s="7">
        <f t="shared" si="13"/>
        <v>-1.8925845392517057E-2</v>
      </c>
      <c r="K26" s="2"/>
      <c r="L26" s="6">
        <f t="shared" si="14"/>
        <v>340.35000000000014</v>
      </c>
      <c r="M26" s="2"/>
      <c r="N26" s="7">
        <f t="shared" si="15"/>
        <v>0.26967600846228829</v>
      </c>
      <c r="O26" s="10"/>
      <c r="P26" s="6">
        <v>28973.33</v>
      </c>
      <c r="Q26" s="2"/>
      <c r="R26" s="7">
        <f t="shared" si="16"/>
        <v>2.9018678068591354E-2</v>
      </c>
      <c r="S26" s="2"/>
      <c r="T26" s="6">
        <v>33455.5</v>
      </c>
      <c r="U26" s="2"/>
      <c r="V26" s="7">
        <f t="shared" si="17"/>
        <v>1.0095946664890153E-2</v>
      </c>
      <c r="W26" s="2"/>
      <c r="X26" s="6">
        <f t="shared" si="18"/>
        <v>-4482.1699999999983</v>
      </c>
      <c r="Y26" s="2"/>
      <c r="Z26" s="7">
        <f t="shared" si="19"/>
        <v>-0.13397408497855354</v>
      </c>
    </row>
    <row r="27" spans="1:26" s="23" customFormat="1" hidden="1" outlineLevel="2" x14ac:dyDescent="0.25">
      <c r="A27" s="25"/>
      <c r="B27" s="10" t="str">
        <f>CONCATENATE("          ", "6113", " - ", "GROUP INSURANCE")</f>
        <v xml:space="preserve">          6113 - GROUP INSURANCE</v>
      </c>
      <c r="C27" s="10"/>
      <c r="D27" s="6">
        <v>17664.759999999998</v>
      </c>
      <c r="E27" s="2"/>
      <c r="F27" s="7">
        <f t="shared" si="12"/>
        <v>0.58664691777864852</v>
      </c>
      <c r="G27" s="2"/>
      <c r="H27" s="6">
        <v>16509.650000000001</v>
      </c>
      <c r="I27" s="2"/>
      <c r="J27" s="7">
        <f t="shared" si="13"/>
        <v>-0.24757666641673542</v>
      </c>
      <c r="K27" s="2"/>
      <c r="L27" s="6">
        <f t="shared" si="14"/>
        <v>1155.1099999999969</v>
      </c>
      <c r="M27" s="2"/>
      <c r="N27" s="7">
        <f t="shared" si="15"/>
        <v>6.9965747305363646E-2</v>
      </c>
      <c r="O27" s="10"/>
      <c r="P27" s="6">
        <v>209103.39</v>
      </c>
      <c r="Q27" s="2"/>
      <c r="R27" s="7">
        <f t="shared" si="16"/>
        <v>0.20943067149896488</v>
      </c>
      <c r="S27" s="2"/>
      <c r="T27" s="6">
        <v>210134.7</v>
      </c>
      <c r="U27" s="2"/>
      <c r="V27" s="7">
        <f t="shared" si="17"/>
        <v>6.3412853600833735E-2</v>
      </c>
      <c r="W27" s="2"/>
      <c r="X27" s="6">
        <f t="shared" si="18"/>
        <v>-1031.3099999999977</v>
      </c>
      <c r="Y27" s="2"/>
      <c r="Z27" s="7">
        <f t="shared" si="19"/>
        <v>-4.907851963526241E-3</v>
      </c>
    </row>
    <row r="28" spans="1:26" s="23" customFormat="1" hidden="1" outlineLevel="2" x14ac:dyDescent="0.25">
      <c r="A28" s="25"/>
      <c r="B28" s="10" t="str">
        <f>CONCATENATE("          ", "6114", " - ", "STATE UNEMPLOYMENT INSURANCE")</f>
        <v xml:space="preserve">          6114 - STATE UNEMPLOYMENT INSURANCE</v>
      </c>
      <c r="C28" s="10"/>
      <c r="D28" s="6">
        <v>97.1</v>
      </c>
      <c r="E28" s="2"/>
      <c r="F28" s="7">
        <f t="shared" si="12"/>
        <v>3.2246923092250773E-3</v>
      </c>
      <c r="G28" s="2"/>
      <c r="H28" s="6">
        <v>-2535.62</v>
      </c>
      <c r="I28" s="2"/>
      <c r="J28" s="7">
        <f t="shared" si="13"/>
        <v>3.8023843443053158E-2</v>
      </c>
      <c r="K28" s="2"/>
      <c r="L28" s="6">
        <f t="shared" si="14"/>
        <v>2632.72</v>
      </c>
      <c r="M28" s="2"/>
      <c r="N28" s="7">
        <f t="shared" si="15"/>
        <v>-1.0382943816502472</v>
      </c>
      <c r="O28" s="10"/>
      <c r="P28" s="6">
        <v>1835.72</v>
      </c>
      <c r="Q28" s="2"/>
      <c r="R28" s="7">
        <f t="shared" si="16"/>
        <v>1.8385932063754672E-3</v>
      </c>
      <c r="S28" s="2"/>
      <c r="T28" s="6">
        <v>0</v>
      </c>
      <c r="U28" s="2"/>
      <c r="V28" s="7">
        <f t="shared" si="17"/>
        <v>0</v>
      </c>
      <c r="W28" s="2"/>
      <c r="X28" s="6">
        <f t="shared" si="18"/>
        <v>1835.72</v>
      </c>
      <c r="Y28" s="2"/>
      <c r="Z28" s="7">
        <f t="shared" si="19"/>
        <v>0</v>
      </c>
    </row>
    <row r="29" spans="1:26" s="23" customFormat="1" hidden="1" outlineLevel="2" x14ac:dyDescent="0.25">
      <c r="A29" s="25"/>
      <c r="B29" s="10" t="str">
        <f>CONCATENATE("          ", "6115", " - ", "P.E.R.S.")</f>
        <v xml:space="preserve">          6115 - P.E.R.S.</v>
      </c>
      <c r="C29" s="10"/>
      <c r="D29" s="6">
        <v>2186.25</v>
      </c>
      <c r="E29" s="2"/>
      <c r="F29" s="7">
        <f t="shared" si="12"/>
        <v>7.2605391977789133E-2</v>
      </c>
      <c r="G29" s="2"/>
      <c r="H29" s="6">
        <v>1334.66</v>
      </c>
      <c r="I29" s="2"/>
      <c r="J29" s="7">
        <f t="shared" si="13"/>
        <v>-2.0014396041088702E-2</v>
      </c>
      <c r="K29" s="2"/>
      <c r="L29" s="6">
        <f t="shared" si="14"/>
        <v>851.58999999999992</v>
      </c>
      <c r="M29" s="2"/>
      <c r="N29" s="7">
        <f t="shared" si="15"/>
        <v>0.63805763265550763</v>
      </c>
      <c r="O29" s="10"/>
      <c r="P29" s="6">
        <v>19742.84</v>
      </c>
      <c r="Q29" s="2"/>
      <c r="R29" s="7">
        <f t="shared" si="16"/>
        <v>1.977374082025463E-2</v>
      </c>
      <c r="S29" s="2"/>
      <c r="T29" s="6">
        <v>16454.14</v>
      </c>
      <c r="U29" s="2"/>
      <c r="V29" s="7">
        <f t="shared" si="17"/>
        <v>4.9654053849631794E-3</v>
      </c>
      <c r="W29" s="2"/>
      <c r="X29" s="6">
        <f t="shared" si="18"/>
        <v>3288.7000000000007</v>
      </c>
      <c r="Y29" s="2"/>
      <c r="Z29" s="7">
        <f t="shared" si="19"/>
        <v>0.19987067084636456</v>
      </c>
    </row>
    <row r="30" spans="1:26" s="23" customFormat="1" hidden="1" outlineLevel="2" x14ac:dyDescent="0.25">
      <c r="A30" s="25"/>
      <c r="B30" s="10" t="str">
        <f>CONCATENATE("          ", "6117", " - ", "RETIREMENT STAFF HOURLY")</f>
        <v xml:space="preserve">          6117 - RETIREMENT STAFF HOURLY</v>
      </c>
      <c r="C30" s="10"/>
      <c r="D30" s="6">
        <v>414.95</v>
      </c>
      <c r="E30" s="2"/>
      <c r="F30" s="7">
        <f t="shared" si="12"/>
        <v>1.3780495094881008E-2</v>
      </c>
      <c r="G30" s="2"/>
      <c r="H30" s="6">
        <v>548.91</v>
      </c>
      <c r="I30" s="2"/>
      <c r="J30" s="7">
        <f t="shared" si="13"/>
        <v>-8.2313863687485944E-3</v>
      </c>
      <c r="K30" s="2"/>
      <c r="L30" s="6">
        <f t="shared" si="14"/>
        <v>-133.95999999999998</v>
      </c>
      <c r="M30" s="2"/>
      <c r="N30" s="7">
        <f t="shared" si="15"/>
        <v>-0.24404729372756917</v>
      </c>
      <c r="O30" s="10"/>
      <c r="P30" s="6">
        <v>6442.62</v>
      </c>
      <c r="Q30" s="2"/>
      <c r="R30" s="7">
        <f t="shared" si="16"/>
        <v>6.4527037692342585E-3</v>
      </c>
      <c r="S30" s="2"/>
      <c r="T30" s="6">
        <v>8419.14</v>
      </c>
      <c r="U30" s="2"/>
      <c r="V30" s="7">
        <f t="shared" si="17"/>
        <v>2.5406641181343359E-3</v>
      </c>
      <c r="W30" s="2"/>
      <c r="X30" s="6">
        <f t="shared" si="18"/>
        <v>-1976.5199999999995</v>
      </c>
      <c r="Y30" s="2"/>
      <c r="Z30" s="7">
        <f t="shared" si="19"/>
        <v>-0.23476507101675465</v>
      </c>
    </row>
    <row r="31" spans="1:26" s="23" customFormat="1" hidden="1" outlineLevel="2" x14ac:dyDescent="0.25">
      <c r="A31" s="25"/>
      <c r="B31" s="10" t="str">
        <f>CONCATENATE("          ", "6118", " - ", "VACATION")</f>
        <v xml:space="preserve">          6118 - VACATION</v>
      </c>
      <c r="C31" s="10"/>
      <c r="D31" s="6">
        <v>2365.8000000000002</v>
      </c>
      <c r="E31" s="2"/>
      <c r="F31" s="7">
        <f t="shared" si="12"/>
        <v>7.8568249898709461E-2</v>
      </c>
      <c r="G31" s="2"/>
      <c r="H31" s="6">
        <v>2366.1799999999998</v>
      </c>
      <c r="I31" s="2"/>
      <c r="J31" s="7">
        <f t="shared" si="13"/>
        <v>-3.5482942190897503E-2</v>
      </c>
      <c r="K31" s="2"/>
      <c r="L31" s="6">
        <f t="shared" si="14"/>
        <v>-0.37999999999965439</v>
      </c>
      <c r="M31" s="2"/>
      <c r="N31" s="7">
        <f t="shared" si="15"/>
        <v>-1.6059640433088539E-4</v>
      </c>
      <c r="O31" s="10"/>
      <c r="P31" s="6">
        <v>32470.38</v>
      </c>
      <c r="Q31" s="2"/>
      <c r="R31" s="7">
        <f t="shared" si="16"/>
        <v>3.2521201532058182E-2</v>
      </c>
      <c r="S31" s="2"/>
      <c r="T31" s="6">
        <v>34542.699999999997</v>
      </c>
      <c r="U31" s="2"/>
      <c r="V31" s="7">
        <f t="shared" si="17"/>
        <v>1.0424033622612157E-2</v>
      </c>
      <c r="W31" s="2"/>
      <c r="X31" s="6">
        <f t="shared" si="18"/>
        <v>-2072.3199999999961</v>
      </c>
      <c r="Y31" s="2"/>
      <c r="Z31" s="7">
        <f t="shared" si="19"/>
        <v>-5.9992994178219891E-2</v>
      </c>
    </row>
    <row r="32" spans="1:26" s="23" customFormat="1" hidden="1" outlineLevel="2" x14ac:dyDescent="0.25">
      <c r="A32" s="25"/>
      <c r="B32" s="10" t="str">
        <f>CONCATENATE("          ", "6119", " - ", "SICK LEAVE")</f>
        <v xml:space="preserve">          6119 - SICK LEAVE</v>
      </c>
      <c r="C32" s="10"/>
      <c r="D32" s="6">
        <v>1562.7</v>
      </c>
      <c r="E32" s="2"/>
      <c r="F32" s="7">
        <f t="shared" si="12"/>
        <v>5.1897288070298954E-2</v>
      </c>
      <c r="G32" s="2"/>
      <c r="H32" s="6">
        <v>1504</v>
      </c>
      <c r="I32" s="2"/>
      <c r="J32" s="7">
        <f t="shared" si="13"/>
        <v>-2.255379770563095E-2</v>
      </c>
      <c r="K32" s="2"/>
      <c r="L32" s="6">
        <f t="shared" si="14"/>
        <v>58.700000000000045</v>
      </c>
      <c r="M32" s="2"/>
      <c r="N32" s="7">
        <f t="shared" si="15"/>
        <v>3.9029255319148963E-2</v>
      </c>
      <c r="O32" s="10"/>
      <c r="P32" s="6">
        <v>20478.03</v>
      </c>
      <c r="Q32" s="2"/>
      <c r="R32" s="7">
        <f t="shared" si="16"/>
        <v>2.0510081514584472E-2</v>
      </c>
      <c r="S32" s="2"/>
      <c r="T32" s="6">
        <v>3302.8</v>
      </c>
      <c r="U32" s="2"/>
      <c r="V32" s="7">
        <f t="shared" si="17"/>
        <v>9.9669389621435023E-4</v>
      </c>
      <c r="W32" s="2"/>
      <c r="X32" s="6">
        <f t="shared" si="18"/>
        <v>17175.23</v>
      </c>
      <c r="Y32" s="2"/>
      <c r="Z32" s="7">
        <f t="shared" si="19"/>
        <v>5.200202858180937</v>
      </c>
    </row>
    <row r="33" spans="1:26" s="23" customFormat="1" hidden="1" outlineLevel="2" x14ac:dyDescent="0.25">
      <c r="A33" s="25"/>
      <c r="B33" s="10" t="str">
        <f>CONCATENATE("          ", "6156", " - ", "EMPLOYEE MEALS")</f>
        <v xml:space="preserve">          6156 - EMPLOYEE MEALS</v>
      </c>
      <c r="C33" s="10"/>
      <c r="D33" s="6">
        <v>939.87</v>
      </c>
      <c r="E33" s="2"/>
      <c r="F33" s="7">
        <f t="shared" si="12"/>
        <v>3.1213095372516719E-2</v>
      </c>
      <c r="G33" s="2"/>
      <c r="H33" s="6">
        <v>852.3</v>
      </c>
      <c r="I33" s="2"/>
      <c r="J33" s="7">
        <f t="shared" si="13"/>
        <v>-1.2780985229062007E-2</v>
      </c>
      <c r="K33" s="2"/>
      <c r="L33" s="6">
        <f t="shared" si="14"/>
        <v>87.57000000000005</v>
      </c>
      <c r="M33" s="2"/>
      <c r="N33" s="7">
        <f t="shared" si="15"/>
        <v>0.10274551214361147</v>
      </c>
      <c r="O33" s="10"/>
      <c r="P33" s="6">
        <v>9229.1</v>
      </c>
      <c r="Q33" s="2"/>
      <c r="R33" s="7">
        <f t="shared" si="16"/>
        <v>9.2435450727560986E-3</v>
      </c>
      <c r="S33" s="2"/>
      <c r="T33" s="6">
        <v>14554.81</v>
      </c>
      <c r="U33" s="2"/>
      <c r="V33" s="7">
        <f t="shared" si="17"/>
        <v>4.3922400047110288E-3</v>
      </c>
      <c r="W33" s="2"/>
      <c r="X33" s="6">
        <f t="shared" si="18"/>
        <v>-5325.7099999999991</v>
      </c>
      <c r="Y33" s="2"/>
      <c r="Z33" s="7">
        <f t="shared" si="19"/>
        <v>-0.36590721555279659</v>
      </c>
    </row>
    <row r="34" spans="1:26" s="27" customFormat="1" outlineLevel="1" collapsed="1" x14ac:dyDescent="0.25">
      <c r="A34" s="26"/>
      <c r="B34" s="12" t="str">
        <f>CONCATENATE("     ","*Payroll                                          ")</f>
        <v xml:space="preserve">     *Payroll                                          </v>
      </c>
      <c r="C34" s="12"/>
      <c r="D34" s="1">
        <f>SUM(OSRRefD22_1x_0)</f>
        <v>32534.199999999997</v>
      </c>
      <c r="E34" s="1"/>
      <c r="F34" s="5">
        <f t="shared" ref="F34:F40" si="20">IF(D$12=0,0,D34/D$12)</f>
        <v>1.0804612206672555</v>
      </c>
      <c r="G34" s="1"/>
      <c r="H34" s="1">
        <f>SUM(OSRRefH22_1x_0)</f>
        <v>21975.620000000003</v>
      </c>
      <c r="I34" s="1"/>
      <c r="J34" s="5">
        <f t="shared" ref="J34:J40" si="21">IF(H$12=0,0,H34/H$12)</f>
        <v>-0.32954367548924052</v>
      </c>
      <c r="K34" s="1"/>
      <c r="L34" s="1">
        <f t="shared" ref="L34:L40" si="22">+D34-H34</f>
        <v>10558.579999999994</v>
      </c>
      <c r="M34" s="1"/>
      <c r="N34" s="5">
        <f t="shared" ref="N34:N40" si="23">IF(H34=0,0,L34/H34)</f>
        <v>0.48046790033682751</v>
      </c>
      <c r="O34" s="12"/>
      <c r="P34" s="1">
        <f>SUM(OSRRefP22_1x_0)</f>
        <v>622177.75</v>
      </c>
      <c r="Q34" s="1"/>
      <c r="R34" s="5">
        <f t="shared" ref="R34:R40" si="24">IF(P$12=0,0,P34/P$12)</f>
        <v>0.62315156140804362</v>
      </c>
      <c r="S34" s="1"/>
      <c r="T34" s="1">
        <f>SUM(OSRRefT22_1x_0)</f>
        <v>935181.37</v>
      </c>
      <c r="U34" s="1"/>
      <c r="V34" s="5">
        <f t="shared" ref="V34:V40" si="25">IF(T$12=0,0,T34/T$12)</f>
        <v>0.28221193028108693</v>
      </c>
      <c r="W34" s="1"/>
      <c r="X34" s="1">
        <f t="shared" ref="X34:X40" si="26">+P34-T34</f>
        <v>-313003.62</v>
      </c>
      <c r="Y34" s="1"/>
      <c r="Z34" s="5">
        <f t="shared" ref="Z34:Z40" si="27">IF(T34=0,0,X34/T34)</f>
        <v>-0.33469830563455299</v>
      </c>
    </row>
    <row r="35" spans="1:26" s="23" customFormat="1" hidden="1" outlineLevel="2" x14ac:dyDescent="0.25">
      <c r="A35" s="25"/>
      <c r="B35" s="10" t="str">
        <f>CONCATENATE("          ", "6002", " - ", "STAFF SALARIES")</f>
        <v xml:space="preserve">          6002 - STAFF SALARIES</v>
      </c>
      <c r="C35" s="10"/>
      <c r="D35" s="6">
        <v>14070.96</v>
      </c>
      <c r="E35" s="2"/>
      <c r="F35" s="7">
        <f t="shared" si="20"/>
        <v>0.46729677132248909</v>
      </c>
      <c r="G35" s="2"/>
      <c r="H35" s="6">
        <v>12601.86</v>
      </c>
      <c r="I35" s="2"/>
      <c r="J35" s="7">
        <f t="shared" si="21"/>
        <v>-0.18897593161880483</v>
      </c>
      <c r="K35" s="2"/>
      <c r="L35" s="6">
        <f t="shared" si="22"/>
        <v>1469.0999999999985</v>
      </c>
      <c r="M35" s="2"/>
      <c r="N35" s="7">
        <f t="shared" si="23"/>
        <v>0.11657802895762995</v>
      </c>
      <c r="O35" s="10"/>
      <c r="P35" s="6">
        <v>182917.75</v>
      </c>
      <c r="Q35" s="2"/>
      <c r="R35" s="7">
        <f t="shared" si="24"/>
        <v>0.18320404662774611</v>
      </c>
      <c r="S35" s="2"/>
      <c r="T35" s="6">
        <v>172840.85</v>
      </c>
      <c r="U35" s="2"/>
      <c r="V35" s="7">
        <f t="shared" si="25"/>
        <v>5.2158598828721113E-2</v>
      </c>
      <c r="W35" s="2"/>
      <c r="X35" s="6">
        <f t="shared" si="26"/>
        <v>10076.899999999994</v>
      </c>
      <c r="Y35" s="2"/>
      <c r="Z35" s="7">
        <f t="shared" si="27"/>
        <v>5.8301610990688799E-2</v>
      </c>
    </row>
    <row r="36" spans="1:26" s="23" customFormat="1" hidden="1" outlineLevel="2" x14ac:dyDescent="0.25">
      <c r="A36" s="25"/>
      <c r="B36" s="10" t="str">
        <f>CONCATENATE("          ", "6004", " - ", "STAFF HOURLY")</f>
        <v xml:space="preserve">          6004 - STAFF HOURLY</v>
      </c>
      <c r="C36" s="10"/>
      <c r="D36" s="6">
        <v>14129.25</v>
      </c>
      <c r="E36" s="2"/>
      <c r="F36" s="7">
        <f t="shared" si="20"/>
        <v>0.46923258300842868</v>
      </c>
      <c r="G36" s="2"/>
      <c r="H36" s="6">
        <v>9373.76</v>
      </c>
      <c r="I36" s="2"/>
      <c r="J36" s="7">
        <f t="shared" si="21"/>
        <v>-0.14056774387043564</v>
      </c>
      <c r="K36" s="2"/>
      <c r="L36" s="6">
        <f t="shared" si="22"/>
        <v>4755.49</v>
      </c>
      <c r="M36" s="2"/>
      <c r="N36" s="7">
        <f t="shared" si="23"/>
        <v>0.50731936810842182</v>
      </c>
      <c r="O36" s="10"/>
      <c r="P36" s="6">
        <v>198765.06</v>
      </c>
      <c r="Q36" s="2"/>
      <c r="R36" s="7">
        <f t="shared" si="24"/>
        <v>0.1990761602972197</v>
      </c>
      <c r="S36" s="2"/>
      <c r="T36" s="6">
        <v>230880.56</v>
      </c>
      <c r="U36" s="2"/>
      <c r="V36" s="7">
        <f t="shared" si="25"/>
        <v>6.9673381647859717E-2</v>
      </c>
      <c r="W36" s="2"/>
      <c r="X36" s="6">
        <f t="shared" si="26"/>
        <v>-32115.5</v>
      </c>
      <c r="Y36" s="2"/>
      <c r="Z36" s="7">
        <f t="shared" si="27"/>
        <v>-0.13910006108786291</v>
      </c>
    </row>
    <row r="37" spans="1:26" s="23" customFormat="1" hidden="1" outlineLevel="2" x14ac:dyDescent="0.25">
      <c r="A37" s="25"/>
      <c r="B37" s="10" t="str">
        <f>CONCATENATE("          ", "6005", " - ", "TEMPORARY WAGES-HOURLY")</f>
        <v xml:space="preserve">          6005 - TEMPORARY WAGES-HOURLY</v>
      </c>
      <c r="C37" s="10"/>
      <c r="D37" s="6">
        <v>4305.99</v>
      </c>
      <c r="E37" s="2"/>
      <c r="F37" s="7">
        <f t="shared" si="20"/>
        <v>0.14300198595880628</v>
      </c>
      <c r="G37" s="2"/>
      <c r="H37" s="6"/>
      <c r="I37" s="2"/>
      <c r="J37" s="7">
        <f t="shared" si="21"/>
        <v>0</v>
      </c>
      <c r="K37" s="2"/>
      <c r="L37" s="6">
        <f t="shared" si="22"/>
        <v>4305.99</v>
      </c>
      <c r="M37" s="2"/>
      <c r="N37" s="7">
        <f t="shared" si="23"/>
        <v>0</v>
      </c>
      <c r="O37" s="10"/>
      <c r="P37" s="6">
        <v>110372.98</v>
      </c>
      <c r="Q37" s="2"/>
      <c r="R37" s="7">
        <f t="shared" si="24"/>
        <v>0.11054573202635223</v>
      </c>
      <c r="S37" s="2"/>
      <c r="T37" s="6">
        <v>146126.23000000001</v>
      </c>
      <c r="U37" s="2"/>
      <c r="V37" s="7">
        <f t="shared" si="25"/>
        <v>4.4096863727084379E-2</v>
      </c>
      <c r="W37" s="2"/>
      <c r="X37" s="6">
        <f t="shared" si="26"/>
        <v>-35753.250000000015</v>
      </c>
      <c r="Y37" s="2"/>
      <c r="Z37" s="7">
        <f t="shared" si="27"/>
        <v>-0.24467373174549165</v>
      </c>
    </row>
    <row r="38" spans="1:26" s="23" customFormat="1" hidden="1" outlineLevel="2" x14ac:dyDescent="0.25">
      <c r="A38" s="25"/>
      <c r="B38" s="10" t="str">
        <f>CONCATENATE("          ", "6006", " - ", "TEMPORARY PART TIME")</f>
        <v xml:space="preserve">          6006 - TEMPORARY PART TIME</v>
      </c>
      <c r="C38" s="10"/>
      <c r="D38" s="6"/>
      <c r="E38" s="2"/>
      <c r="F38" s="7">
        <f t="shared" si="20"/>
        <v>0</v>
      </c>
      <c r="G38" s="2"/>
      <c r="H38" s="6"/>
      <c r="I38" s="2"/>
      <c r="J38" s="7">
        <f t="shared" si="21"/>
        <v>0</v>
      </c>
      <c r="K38" s="2"/>
      <c r="L38" s="6">
        <f t="shared" si="22"/>
        <v>0</v>
      </c>
      <c r="M38" s="2"/>
      <c r="N38" s="7">
        <f t="shared" si="23"/>
        <v>0</v>
      </c>
      <c r="O38" s="10"/>
      <c r="P38" s="6">
        <v>2427.2199999999998</v>
      </c>
      <c r="Q38" s="2"/>
      <c r="R38" s="7">
        <f t="shared" si="24"/>
        <v>2.4310190020148288E-3</v>
      </c>
      <c r="S38" s="2"/>
      <c r="T38" s="6">
        <v>13546.1</v>
      </c>
      <c r="U38" s="2"/>
      <c r="V38" s="7">
        <f t="shared" si="25"/>
        <v>4.087839162985712E-3</v>
      </c>
      <c r="W38" s="2"/>
      <c r="X38" s="6">
        <f t="shared" si="26"/>
        <v>-11118.880000000001</v>
      </c>
      <c r="Y38" s="2"/>
      <c r="Z38" s="7">
        <f t="shared" si="27"/>
        <v>-0.82081779995718329</v>
      </c>
    </row>
    <row r="39" spans="1:26" s="23" customFormat="1" hidden="1" outlineLevel="2" x14ac:dyDescent="0.25">
      <c r="A39" s="25"/>
      <c r="B39" s="10" t="str">
        <f>CONCATENATE("          ", "6007", " - ", "STUDENT HOURLY")</f>
        <v xml:space="preserve">          6007 - STUDENT HOURLY</v>
      </c>
      <c r="C39" s="10"/>
      <c r="D39" s="6">
        <v>28</v>
      </c>
      <c r="E39" s="2"/>
      <c r="F39" s="7">
        <f t="shared" si="20"/>
        <v>9.2988037753143321E-4</v>
      </c>
      <c r="G39" s="2"/>
      <c r="H39" s="6"/>
      <c r="I39" s="2"/>
      <c r="J39" s="7">
        <f t="shared" si="21"/>
        <v>0</v>
      </c>
      <c r="K39" s="2"/>
      <c r="L39" s="6">
        <f t="shared" si="22"/>
        <v>28</v>
      </c>
      <c r="M39" s="2"/>
      <c r="N39" s="7">
        <f t="shared" si="23"/>
        <v>0</v>
      </c>
      <c r="O39" s="10"/>
      <c r="P39" s="6">
        <v>117063.86</v>
      </c>
      <c r="Q39" s="2"/>
      <c r="R39" s="7">
        <f t="shared" si="24"/>
        <v>0.11724708436367681</v>
      </c>
      <c r="S39" s="2"/>
      <c r="T39" s="6">
        <v>291246.51</v>
      </c>
      <c r="U39" s="2"/>
      <c r="V39" s="7">
        <f t="shared" si="25"/>
        <v>8.7890159504278711E-2</v>
      </c>
      <c r="W39" s="2"/>
      <c r="X39" s="6">
        <f t="shared" si="26"/>
        <v>-174182.65000000002</v>
      </c>
      <c r="Y39" s="2"/>
      <c r="Z39" s="7">
        <f t="shared" si="27"/>
        <v>-0.59805918361047494</v>
      </c>
    </row>
    <row r="40" spans="1:26" s="23" customFormat="1" hidden="1" outlineLevel="2" x14ac:dyDescent="0.25">
      <c r="A40" s="25"/>
      <c r="B40" s="10" t="str">
        <f>CONCATENATE("          ", "6008", " - ", "STUDENT HOURLY-FICA EXEMPT")</f>
        <v xml:space="preserve">          6008 - STUDENT HOURLY-FICA EXEMPT</v>
      </c>
      <c r="C40" s="10"/>
      <c r="D40" s="6"/>
      <c r="E40" s="2"/>
      <c r="F40" s="7">
        <f t="shared" si="20"/>
        <v>0</v>
      </c>
      <c r="G40" s="2"/>
      <c r="H40" s="6"/>
      <c r="I40" s="2"/>
      <c r="J40" s="7">
        <f t="shared" si="21"/>
        <v>0</v>
      </c>
      <c r="K40" s="2"/>
      <c r="L40" s="6">
        <f t="shared" si="22"/>
        <v>0</v>
      </c>
      <c r="M40" s="2"/>
      <c r="N40" s="7">
        <f t="shared" si="23"/>
        <v>0</v>
      </c>
      <c r="O40" s="10"/>
      <c r="P40" s="6">
        <v>10630.88</v>
      </c>
      <c r="Q40" s="2"/>
      <c r="R40" s="7">
        <f t="shared" si="24"/>
        <v>1.064751909103394E-2</v>
      </c>
      <c r="S40" s="2"/>
      <c r="T40" s="6">
        <v>80541.119999999995</v>
      </c>
      <c r="U40" s="2"/>
      <c r="V40" s="7">
        <f t="shared" si="25"/>
        <v>2.43050874101573E-2</v>
      </c>
      <c r="W40" s="2"/>
      <c r="X40" s="6">
        <f t="shared" si="26"/>
        <v>-69910.239999999991</v>
      </c>
      <c r="Y40" s="2"/>
      <c r="Z40" s="7">
        <f t="shared" si="27"/>
        <v>-0.86800680199133062</v>
      </c>
    </row>
    <row r="41" spans="1:26" s="27" customFormat="1" outlineLevel="1" collapsed="1" x14ac:dyDescent="0.25">
      <c r="A41" s="26"/>
      <c r="B41" s="12" t="str">
        <f>CONCATENATE("     ","Advertising/Promo                                 ")</f>
        <v xml:space="preserve">     Advertising/Promo                                 </v>
      </c>
      <c r="C41" s="12"/>
      <c r="D41" s="1">
        <f>SUM(OSRRefD22_2x_0)</f>
        <v>12.3</v>
      </c>
      <c r="E41" s="1"/>
      <c r="F41" s="5">
        <f t="shared" ref="F41:F62" si="28">IF(D$12=0,0,D41/D$12)</f>
        <v>4.0848316584416534E-4</v>
      </c>
      <c r="G41" s="1"/>
      <c r="H41" s="1">
        <f>SUM(OSRRefH22_2x_0)</f>
        <v>0</v>
      </c>
      <c r="I41" s="1"/>
      <c r="J41" s="5">
        <f t="shared" ref="J41:J62" si="29">IF(H$12=0,0,H41/H$12)</f>
        <v>0</v>
      </c>
      <c r="K41" s="1"/>
      <c r="L41" s="1">
        <f t="shared" ref="L41:L62" si="30">+D41-H41</f>
        <v>12.3</v>
      </c>
      <c r="M41" s="1"/>
      <c r="N41" s="5">
        <f t="shared" ref="N41:N62" si="31">IF(H41=0,0,L41/H41)</f>
        <v>0</v>
      </c>
      <c r="O41" s="12"/>
      <c r="P41" s="1">
        <f>SUM(OSRRefP22_2x_0)</f>
        <v>1375.48</v>
      </c>
      <c r="Q41" s="1"/>
      <c r="R41" s="5">
        <f t="shared" ref="R41:R62" si="32">IF(P$12=0,0,P41/P$12)</f>
        <v>1.3776328544142505E-3</v>
      </c>
      <c r="S41" s="1"/>
      <c r="T41" s="1">
        <f>SUM(OSRRefT22_2x_0)</f>
        <v>2628.74</v>
      </c>
      <c r="U41" s="1"/>
      <c r="V41" s="5">
        <f t="shared" ref="V41:V62" si="33">IF(T$12=0,0,T41/T$12)</f>
        <v>7.9328118951632273E-4</v>
      </c>
      <c r="W41" s="1"/>
      <c r="X41" s="1">
        <f t="shared" ref="X41:X62" si="34">+P41-T41</f>
        <v>-1253.2599999999998</v>
      </c>
      <c r="Y41" s="1"/>
      <c r="Z41" s="5">
        <f t="shared" ref="Z41:Z62" si="35">IF(T41=0,0,X41/T41)</f>
        <v>-0.47675312126722302</v>
      </c>
    </row>
    <row r="42" spans="1:26" s="23" customFormat="1" hidden="1" outlineLevel="2" x14ac:dyDescent="0.25">
      <c r="A42" s="25"/>
      <c r="B42" s="10" t="str">
        <f>CONCATENATE("          ", "6362", " - ", "ADVERTISING EXPENSE")</f>
        <v xml:space="preserve">          6362 - ADVERTISING EXPENSE</v>
      </c>
      <c r="C42" s="10"/>
      <c r="D42" s="6">
        <v>12.3</v>
      </c>
      <c r="E42" s="2"/>
      <c r="F42" s="7">
        <f t="shared" si="28"/>
        <v>4.0848316584416534E-4</v>
      </c>
      <c r="G42" s="2"/>
      <c r="H42" s="6"/>
      <c r="I42" s="2"/>
      <c r="J42" s="7">
        <f t="shared" si="29"/>
        <v>0</v>
      </c>
      <c r="K42" s="2"/>
      <c r="L42" s="6">
        <f t="shared" si="30"/>
        <v>12.3</v>
      </c>
      <c r="M42" s="2"/>
      <c r="N42" s="7">
        <f t="shared" si="31"/>
        <v>0</v>
      </c>
      <c r="O42" s="10"/>
      <c r="P42" s="6">
        <v>1375.48</v>
      </c>
      <c r="Q42" s="2"/>
      <c r="R42" s="7">
        <f t="shared" si="32"/>
        <v>1.3776328544142505E-3</v>
      </c>
      <c r="S42" s="2"/>
      <c r="T42" s="6">
        <v>2628.74</v>
      </c>
      <c r="U42" s="2"/>
      <c r="V42" s="7">
        <f t="shared" si="33"/>
        <v>7.9328118951632273E-4</v>
      </c>
      <c r="W42" s="2"/>
      <c r="X42" s="6">
        <f t="shared" si="34"/>
        <v>-1253.2599999999998</v>
      </c>
      <c r="Y42" s="2"/>
      <c r="Z42" s="7">
        <f t="shared" si="35"/>
        <v>-0.47675312126722302</v>
      </c>
    </row>
    <row r="43" spans="1:26" s="27" customFormat="1" outlineLevel="1" collapsed="1" x14ac:dyDescent="0.25">
      <c r="A43" s="26"/>
      <c r="B43" s="12" t="str">
        <f>CONCATENATE("     ","Bad Debts/Over/Short                              ")</f>
        <v xml:space="preserve">     Bad Debts/Over/Short                              </v>
      </c>
      <c r="C43" s="12"/>
      <c r="D43" s="1">
        <f>SUM(OSRRefD22_3x_0)</f>
        <v>-0.02</v>
      </c>
      <c r="E43" s="1"/>
      <c r="F43" s="5">
        <f t="shared" si="28"/>
        <v>-6.6420026966530949E-7</v>
      </c>
      <c r="G43" s="1"/>
      <c r="H43" s="1">
        <f>SUM(OSRRefH22_3x_0)</f>
        <v>0</v>
      </c>
      <c r="I43" s="1"/>
      <c r="J43" s="5">
        <f t="shared" si="29"/>
        <v>0</v>
      </c>
      <c r="K43" s="1"/>
      <c r="L43" s="1">
        <f t="shared" si="30"/>
        <v>-0.02</v>
      </c>
      <c r="M43" s="1"/>
      <c r="N43" s="5">
        <f t="shared" si="31"/>
        <v>0</v>
      </c>
      <c r="O43" s="12"/>
      <c r="P43" s="1">
        <f>SUM(OSRRefP22_3x_0)</f>
        <v>23.78</v>
      </c>
      <c r="Q43" s="1"/>
      <c r="R43" s="5">
        <f t="shared" si="32"/>
        <v>2.3817219645484393E-5</v>
      </c>
      <c r="S43" s="1"/>
      <c r="T43" s="1">
        <f>SUM(OSRRefT22_3x_0)</f>
        <v>16.690000000000001</v>
      </c>
      <c r="U43" s="1"/>
      <c r="V43" s="5">
        <f t="shared" si="33"/>
        <v>5.0365814241908405E-6</v>
      </c>
      <c r="W43" s="1"/>
      <c r="X43" s="1">
        <f t="shared" si="34"/>
        <v>7.09</v>
      </c>
      <c r="Y43" s="1"/>
      <c r="Z43" s="5">
        <f t="shared" si="35"/>
        <v>0.42480527261833428</v>
      </c>
    </row>
    <row r="44" spans="1:26" s="23" customFormat="1" hidden="1" outlineLevel="2" x14ac:dyDescent="0.25">
      <c r="A44" s="25"/>
      <c r="B44" s="10" t="str">
        <f>CONCATENATE("          ", "6272", " - ", "CASH (OVER/SHORT)")</f>
        <v xml:space="preserve">          6272 - CASH (OVER/SHORT)</v>
      </c>
      <c r="C44" s="10"/>
      <c r="D44" s="6">
        <v>-0.02</v>
      </c>
      <c r="E44" s="2"/>
      <c r="F44" s="7">
        <f t="shared" si="28"/>
        <v>-6.6420026966530949E-7</v>
      </c>
      <c r="G44" s="2"/>
      <c r="H44" s="6"/>
      <c r="I44" s="2"/>
      <c r="J44" s="7">
        <f t="shared" si="29"/>
        <v>0</v>
      </c>
      <c r="K44" s="2"/>
      <c r="L44" s="6">
        <f t="shared" si="30"/>
        <v>-0.02</v>
      </c>
      <c r="M44" s="2"/>
      <c r="N44" s="7">
        <f t="shared" si="31"/>
        <v>0</v>
      </c>
      <c r="O44" s="10"/>
      <c r="P44" s="6">
        <v>23.78</v>
      </c>
      <c r="Q44" s="2"/>
      <c r="R44" s="7">
        <f t="shared" si="32"/>
        <v>2.3817219645484393E-5</v>
      </c>
      <c r="S44" s="2"/>
      <c r="T44" s="6">
        <v>16.690000000000001</v>
      </c>
      <c r="U44" s="2"/>
      <c r="V44" s="7">
        <f t="shared" si="33"/>
        <v>5.0365814241908405E-6</v>
      </c>
      <c r="W44" s="2"/>
      <c r="X44" s="6">
        <f t="shared" si="34"/>
        <v>7.09</v>
      </c>
      <c r="Y44" s="2"/>
      <c r="Z44" s="7">
        <f t="shared" si="35"/>
        <v>0.42480527261833428</v>
      </c>
    </row>
    <row r="45" spans="1:26" s="27" customFormat="1" outlineLevel="1" collapsed="1" x14ac:dyDescent="0.25">
      <c r="A45" s="26"/>
      <c r="B45" s="12" t="str">
        <f>CONCATENATE("     ","Bank/card Fees                                    ")</f>
        <v xml:space="preserve">     Bank/card Fees                                    </v>
      </c>
      <c r="C45" s="12"/>
      <c r="D45" s="1">
        <f>SUM(OSRRefD22_4x_0)</f>
        <v>0</v>
      </c>
      <c r="E45" s="1"/>
      <c r="F45" s="5">
        <f t="shared" si="28"/>
        <v>0</v>
      </c>
      <c r="G45" s="1"/>
      <c r="H45" s="1">
        <f>SUM(OSRRefH22_4x_0)</f>
        <v>0</v>
      </c>
      <c r="I45" s="1"/>
      <c r="J45" s="5">
        <f t="shared" si="29"/>
        <v>0</v>
      </c>
      <c r="K45" s="1"/>
      <c r="L45" s="1">
        <f t="shared" si="30"/>
        <v>0</v>
      </c>
      <c r="M45" s="1"/>
      <c r="N45" s="5">
        <f t="shared" si="31"/>
        <v>0</v>
      </c>
      <c r="O45" s="12"/>
      <c r="P45" s="1">
        <f>SUM(OSRRefP22_4x_0)</f>
        <v>423.53</v>
      </c>
      <c r="Q45" s="1"/>
      <c r="R45" s="5">
        <f t="shared" si="32"/>
        <v>4.2419289472043754E-4</v>
      </c>
      <c r="S45" s="1"/>
      <c r="T45" s="1">
        <f>SUM(OSRRefT22_4x_0)</f>
        <v>1125.75</v>
      </c>
      <c r="U45" s="1"/>
      <c r="V45" s="5">
        <f t="shared" si="33"/>
        <v>3.3972028389951095E-4</v>
      </c>
      <c r="W45" s="1"/>
      <c r="X45" s="1">
        <f t="shared" si="34"/>
        <v>-702.22</v>
      </c>
      <c r="Y45" s="1"/>
      <c r="Z45" s="5">
        <f t="shared" si="35"/>
        <v>-0.62377970242060854</v>
      </c>
    </row>
    <row r="46" spans="1:26" s="23" customFormat="1" hidden="1" outlineLevel="2" x14ac:dyDescent="0.25">
      <c r="A46" s="25"/>
      <c r="B46" s="10" t="str">
        <f>CONCATENATE("          ", "6381", " - ", "BANK/CREDIT CARD FEES")</f>
        <v xml:space="preserve">          6381 - BANK/CREDIT CARD FEES</v>
      </c>
      <c r="C46" s="10"/>
      <c r="D46" s="6"/>
      <c r="E46" s="2"/>
      <c r="F46" s="7">
        <f t="shared" si="28"/>
        <v>0</v>
      </c>
      <c r="G46" s="2"/>
      <c r="H46" s="6"/>
      <c r="I46" s="2"/>
      <c r="J46" s="7">
        <f t="shared" si="29"/>
        <v>0</v>
      </c>
      <c r="K46" s="2"/>
      <c r="L46" s="6">
        <f t="shared" si="30"/>
        <v>0</v>
      </c>
      <c r="M46" s="2"/>
      <c r="N46" s="7">
        <f t="shared" si="31"/>
        <v>0</v>
      </c>
      <c r="O46" s="10"/>
      <c r="P46" s="6">
        <v>423.53</v>
      </c>
      <c r="Q46" s="2"/>
      <c r="R46" s="7">
        <f t="shared" si="32"/>
        <v>4.2419289472043754E-4</v>
      </c>
      <c r="S46" s="2"/>
      <c r="T46" s="6">
        <v>1125.75</v>
      </c>
      <c r="U46" s="2"/>
      <c r="V46" s="7">
        <f t="shared" si="33"/>
        <v>3.3972028389951095E-4</v>
      </c>
      <c r="W46" s="2"/>
      <c r="X46" s="6">
        <f t="shared" si="34"/>
        <v>-702.22</v>
      </c>
      <c r="Y46" s="2"/>
      <c r="Z46" s="7">
        <f t="shared" si="35"/>
        <v>-0.62377970242060854</v>
      </c>
    </row>
    <row r="47" spans="1:26" s="27" customFormat="1" outlineLevel="1" collapsed="1" x14ac:dyDescent="0.25">
      <c r="A47" s="26"/>
      <c r="B47" s="12" t="str">
        <f>CONCATENATE("     ","Depreciation                                      ")</f>
        <v xml:space="preserve">     Depreciation                                      </v>
      </c>
      <c r="C47" s="12"/>
      <c r="D47" s="1">
        <f>SUM(OSRRefD22_5x_0)</f>
        <v>272.70999999999998</v>
      </c>
      <c r="E47" s="1"/>
      <c r="F47" s="5">
        <f t="shared" si="28"/>
        <v>9.0567027770213256E-3</v>
      </c>
      <c r="G47" s="1"/>
      <c r="H47" s="1">
        <f>SUM(OSRRefH22_5x_0)</f>
        <v>0</v>
      </c>
      <c r="I47" s="1"/>
      <c r="J47" s="5">
        <f t="shared" si="29"/>
        <v>0</v>
      </c>
      <c r="K47" s="1"/>
      <c r="L47" s="1">
        <f t="shared" si="30"/>
        <v>272.70999999999998</v>
      </c>
      <c r="M47" s="1"/>
      <c r="N47" s="5">
        <f t="shared" si="31"/>
        <v>0</v>
      </c>
      <c r="O47" s="12"/>
      <c r="P47" s="1">
        <f>SUM(OSRRefP22_5x_0)</f>
        <v>3008.63</v>
      </c>
      <c r="Q47" s="1"/>
      <c r="R47" s="5">
        <f t="shared" si="32"/>
        <v>3.0133390051300972E-3</v>
      </c>
      <c r="S47" s="1"/>
      <c r="T47" s="1">
        <f>SUM(OSRRefT22_5x_0)</f>
        <v>0</v>
      </c>
      <c r="U47" s="1"/>
      <c r="V47" s="5">
        <f t="shared" si="33"/>
        <v>0</v>
      </c>
      <c r="W47" s="1"/>
      <c r="X47" s="1">
        <f t="shared" si="34"/>
        <v>3008.63</v>
      </c>
      <c r="Y47" s="1"/>
      <c r="Z47" s="5">
        <f t="shared" si="35"/>
        <v>0</v>
      </c>
    </row>
    <row r="48" spans="1:26" s="23" customFormat="1" hidden="1" outlineLevel="2" x14ac:dyDescent="0.25">
      <c r="A48" s="25"/>
      <c r="B48" s="10" t="str">
        <f>CONCATENATE("          ", "6322", " - ", "EQUIPMENT DEPRECIATION EXPENSE")</f>
        <v xml:space="preserve">          6322 - EQUIPMENT DEPRECIATION EXPENSE</v>
      </c>
      <c r="C48" s="10"/>
      <c r="D48" s="6">
        <v>272.70999999999998</v>
      </c>
      <c r="E48" s="2"/>
      <c r="F48" s="7">
        <f t="shared" si="28"/>
        <v>9.0567027770213256E-3</v>
      </c>
      <c r="G48" s="2"/>
      <c r="H48" s="6"/>
      <c r="I48" s="2"/>
      <c r="J48" s="7">
        <f t="shared" si="29"/>
        <v>0</v>
      </c>
      <c r="K48" s="2"/>
      <c r="L48" s="6">
        <f t="shared" si="30"/>
        <v>272.70999999999998</v>
      </c>
      <c r="M48" s="2"/>
      <c r="N48" s="7">
        <f t="shared" si="31"/>
        <v>0</v>
      </c>
      <c r="O48" s="10"/>
      <c r="P48" s="6">
        <v>3008.63</v>
      </c>
      <c r="Q48" s="2"/>
      <c r="R48" s="7">
        <f t="shared" si="32"/>
        <v>3.0133390051300972E-3</v>
      </c>
      <c r="S48" s="2"/>
      <c r="T48" s="6"/>
      <c r="U48" s="2"/>
      <c r="V48" s="7">
        <f t="shared" si="33"/>
        <v>0</v>
      </c>
      <c r="W48" s="2"/>
      <c r="X48" s="6">
        <f t="shared" si="34"/>
        <v>3008.63</v>
      </c>
      <c r="Y48" s="2"/>
      <c r="Z48" s="7">
        <f t="shared" si="35"/>
        <v>0</v>
      </c>
    </row>
    <row r="49" spans="1:26" s="27" customFormat="1" outlineLevel="1" collapsed="1" x14ac:dyDescent="0.25">
      <c r="A49" s="26"/>
      <c r="B49" s="12" t="str">
        <f>CONCATENATE("     ","Donations                                         ")</f>
        <v xml:space="preserve">     Donations                                         </v>
      </c>
      <c r="C49" s="12"/>
      <c r="D49" s="1">
        <f>SUM(OSRRefD22_6x_0)</f>
        <v>0</v>
      </c>
      <c r="E49" s="1"/>
      <c r="F49" s="5">
        <f t="shared" si="28"/>
        <v>0</v>
      </c>
      <c r="G49" s="1"/>
      <c r="H49" s="1">
        <f>SUM(OSRRefH22_6x_0)</f>
        <v>0</v>
      </c>
      <c r="I49" s="1"/>
      <c r="J49" s="5">
        <f t="shared" si="29"/>
        <v>0</v>
      </c>
      <c r="K49" s="1"/>
      <c r="L49" s="1">
        <f t="shared" si="30"/>
        <v>0</v>
      </c>
      <c r="M49" s="1"/>
      <c r="N49" s="5">
        <f t="shared" si="31"/>
        <v>0</v>
      </c>
      <c r="O49" s="12"/>
      <c r="P49" s="1">
        <f>SUM(OSRRefP22_6x_0)</f>
        <v>61909.05</v>
      </c>
      <c r="Q49" s="1"/>
      <c r="R49" s="5">
        <f t="shared" si="32"/>
        <v>6.2005947934956923E-2</v>
      </c>
      <c r="S49" s="1"/>
      <c r="T49" s="1">
        <f>SUM(OSRRefT22_6x_0)</f>
        <v>27751.46</v>
      </c>
      <c r="U49" s="1"/>
      <c r="V49" s="5">
        <f t="shared" si="33"/>
        <v>8.3746248010889823E-3</v>
      </c>
      <c r="W49" s="1"/>
      <c r="X49" s="1">
        <f t="shared" si="34"/>
        <v>34157.590000000004</v>
      </c>
      <c r="Y49" s="1"/>
      <c r="Z49" s="5">
        <f t="shared" si="35"/>
        <v>1.2308393864683158</v>
      </c>
    </row>
    <row r="50" spans="1:26" s="23" customFormat="1" hidden="1" outlineLevel="2" x14ac:dyDescent="0.25">
      <c r="A50" s="25"/>
      <c r="B50" s="10" t="str">
        <f>CONCATENATE("          ", "6399", " - ", "DONATION-ON CAMPUS")</f>
        <v xml:space="preserve">          6399 - DONATION-ON CAMPUS</v>
      </c>
      <c r="C50" s="10"/>
      <c r="D50" s="6"/>
      <c r="E50" s="2"/>
      <c r="F50" s="7">
        <f t="shared" si="28"/>
        <v>0</v>
      </c>
      <c r="G50" s="2"/>
      <c r="H50" s="6"/>
      <c r="I50" s="2"/>
      <c r="J50" s="7">
        <f t="shared" si="29"/>
        <v>0</v>
      </c>
      <c r="K50" s="2"/>
      <c r="L50" s="6">
        <f t="shared" si="30"/>
        <v>0</v>
      </c>
      <c r="M50" s="2"/>
      <c r="N50" s="7">
        <f t="shared" si="31"/>
        <v>0</v>
      </c>
      <c r="O50" s="10"/>
      <c r="P50" s="6">
        <v>61909.05</v>
      </c>
      <c r="Q50" s="2"/>
      <c r="R50" s="7">
        <f t="shared" si="32"/>
        <v>6.2005947934956923E-2</v>
      </c>
      <c r="S50" s="2"/>
      <c r="T50" s="6">
        <v>27751.46</v>
      </c>
      <c r="U50" s="2"/>
      <c r="V50" s="7">
        <f t="shared" si="33"/>
        <v>8.3746248010889823E-3</v>
      </c>
      <c r="W50" s="2"/>
      <c r="X50" s="6">
        <f t="shared" si="34"/>
        <v>34157.590000000004</v>
      </c>
      <c r="Y50" s="2"/>
      <c r="Z50" s="7">
        <f t="shared" si="35"/>
        <v>1.2308393864683158</v>
      </c>
    </row>
    <row r="51" spans="1:26" s="27" customFormat="1" outlineLevel="1" collapsed="1" x14ac:dyDescent="0.25">
      <c r="A51" s="26"/>
      <c r="B51" s="12" t="str">
        <f>CONCATENATE("     ","Employees' Appreciation                           ")</f>
        <v xml:space="preserve">     Employees' Appreciation                           </v>
      </c>
      <c r="C51" s="12"/>
      <c r="D51" s="1">
        <f>SUM(OSRRefD22_7x_0)</f>
        <v>25</v>
      </c>
      <c r="E51" s="1"/>
      <c r="F51" s="5">
        <f t="shared" si="28"/>
        <v>8.3025033708163684E-4</v>
      </c>
      <c r="G51" s="1"/>
      <c r="H51" s="1">
        <f>SUM(OSRRefH22_7x_0)</f>
        <v>0</v>
      </c>
      <c r="I51" s="1"/>
      <c r="J51" s="5">
        <f t="shared" si="29"/>
        <v>0</v>
      </c>
      <c r="K51" s="1"/>
      <c r="L51" s="1">
        <f t="shared" si="30"/>
        <v>25</v>
      </c>
      <c r="M51" s="1"/>
      <c r="N51" s="5">
        <f t="shared" si="31"/>
        <v>0</v>
      </c>
      <c r="O51" s="12"/>
      <c r="P51" s="1">
        <f>SUM(OSRRefP22_7x_0)</f>
        <v>25</v>
      </c>
      <c r="Q51" s="1"/>
      <c r="R51" s="5">
        <f t="shared" si="32"/>
        <v>2.503912914790201E-5</v>
      </c>
      <c r="S51" s="1"/>
      <c r="T51" s="1">
        <f>SUM(OSRRefT22_7x_0)</f>
        <v>1564</v>
      </c>
      <c r="U51" s="1"/>
      <c r="V51" s="5">
        <f t="shared" si="33"/>
        <v>4.7197203999008229E-4</v>
      </c>
      <c r="W51" s="1"/>
      <c r="X51" s="1">
        <f t="shared" si="34"/>
        <v>-1539</v>
      </c>
      <c r="Y51" s="1"/>
      <c r="Z51" s="5">
        <f t="shared" si="35"/>
        <v>-0.98401534526854217</v>
      </c>
    </row>
    <row r="52" spans="1:26" s="23" customFormat="1" hidden="1" outlineLevel="2" x14ac:dyDescent="0.25">
      <c r="A52" s="25"/>
      <c r="B52" s="10" t="str">
        <f>CONCATENATE("          ", "6277", " - ", "EMPLOYEE APPRECIATION")</f>
        <v xml:space="preserve">          6277 - EMPLOYEE APPRECIATION</v>
      </c>
      <c r="C52" s="10"/>
      <c r="D52" s="6">
        <v>25</v>
      </c>
      <c r="E52" s="2"/>
      <c r="F52" s="7">
        <f t="shared" si="28"/>
        <v>8.3025033708163684E-4</v>
      </c>
      <c r="G52" s="2"/>
      <c r="H52" s="6"/>
      <c r="I52" s="2"/>
      <c r="J52" s="7">
        <f t="shared" si="29"/>
        <v>0</v>
      </c>
      <c r="K52" s="2"/>
      <c r="L52" s="6">
        <f t="shared" si="30"/>
        <v>25</v>
      </c>
      <c r="M52" s="2"/>
      <c r="N52" s="7">
        <f t="shared" si="31"/>
        <v>0</v>
      </c>
      <c r="O52" s="10"/>
      <c r="P52" s="6">
        <v>25</v>
      </c>
      <c r="Q52" s="2"/>
      <c r="R52" s="7">
        <f t="shared" si="32"/>
        <v>2.503912914790201E-5</v>
      </c>
      <c r="S52" s="2"/>
      <c r="T52" s="6">
        <v>1564</v>
      </c>
      <c r="U52" s="2"/>
      <c r="V52" s="7">
        <f t="shared" si="33"/>
        <v>4.7197203999008229E-4</v>
      </c>
      <c r="W52" s="2"/>
      <c r="X52" s="6">
        <f t="shared" si="34"/>
        <v>-1539</v>
      </c>
      <c r="Y52" s="2"/>
      <c r="Z52" s="7">
        <f t="shared" si="35"/>
        <v>-0.98401534526854217</v>
      </c>
    </row>
    <row r="53" spans="1:26" s="27" customFormat="1" outlineLevel="1" collapsed="1" x14ac:dyDescent="0.25">
      <c r="A53" s="26"/>
      <c r="B53" s="12" t="str">
        <f>CONCATENATE("     ","Equipment Rental                                  ")</f>
        <v xml:space="preserve">     Equipment Rental                                  </v>
      </c>
      <c r="C53" s="12"/>
      <c r="D53" s="1">
        <f>SUM(OSRRefD22_8x_0)</f>
        <v>497.28</v>
      </c>
      <c r="E53" s="1"/>
      <c r="F53" s="5">
        <f t="shared" si="28"/>
        <v>1.6514675504958252E-2</v>
      </c>
      <c r="G53" s="1"/>
      <c r="H53" s="1">
        <f>SUM(OSRRefH22_8x_0)</f>
        <v>323.94</v>
      </c>
      <c r="I53" s="1"/>
      <c r="J53" s="5">
        <f t="shared" si="29"/>
        <v>-4.8577641148684113E-3</v>
      </c>
      <c r="K53" s="1"/>
      <c r="L53" s="1">
        <f t="shared" si="30"/>
        <v>173.33999999999997</v>
      </c>
      <c r="M53" s="1"/>
      <c r="N53" s="5">
        <f t="shared" si="31"/>
        <v>0.53509909242452303</v>
      </c>
      <c r="O53" s="12"/>
      <c r="P53" s="1">
        <f>SUM(OSRRefP22_8x_0)</f>
        <v>4072.13</v>
      </c>
      <c r="Q53" s="1"/>
      <c r="R53" s="5">
        <f t="shared" si="32"/>
        <v>4.0785035590818492E-3</v>
      </c>
      <c r="S53" s="1"/>
      <c r="T53" s="1">
        <f>SUM(OSRRefT22_8x_0)</f>
        <v>3081.17</v>
      </c>
      <c r="U53" s="1"/>
      <c r="V53" s="5">
        <f t="shared" si="33"/>
        <v>9.2981207829682987E-4</v>
      </c>
      <c r="W53" s="1"/>
      <c r="X53" s="1">
        <f t="shared" si="34"/>
        <v>990.96</v>
      </c>
      <c r="Y53" s="1"/>
      <c r="Z53" s="5">
        <f t="shared" si="35"/>
        <v>0.32161808663592079</v>
      </c>
    </row>
    <row r="54" spans="1:26" s="23" customFormat="1" hidden="1" outlineLevel="2" x14ac:dyDescent="0.25">
      <c r="A54" s="25"/>
      <c r="B54" s="10" t="str">
        <f>CONCATENATE("          ", "6351", " - ", "EQUIPMENT RENTAL")</f>
        <v xml:space="preserve">          6351 - EQUIPMENT RENTAL</v>
      </c>
      <c r="C54" s="10"/>
      <c r="D54" s="6">
        <v>497.28</v>
      </c>
      <c r="E54" s="2"/>
      <c r="F54" s="7">
        <f t="shared" si="28"/>
        <v>1.6514675504958252E-2</v>
      </c>
      <c r="G54" s="2"/>
      <c r="H54" s="6">
        <v>323.94</v>
      </c>
      <c r="I54" s="2"/>
      <c r="J54" s="7">
        <f t="shared" si="29"/>
        <v>-4.8577641148684113E-3</v>
      </c>
      <c r="K54" s="2"/>
      <c r="L54" s="6">
        <f t="shared" si="30"/>
        <v>173.33999999999997</v>
      </c>
      <c r="M54" s="2"/>
      <c r="N54" s="7">
        <f t="shared" si="31"/>
        <v>0.53509909242452303</v>
      </c>
      <c r="O54" s="10"/>
      <c r="P54" s="6">
        <v>4072.13</v>
      </c>
      <c r="Q54" s="2"/>
      <c r="R54" s="7">
        <f t="shared" si="32"/>
        <v>4.0785035590818492E-3</v>
      </c>
      <c r="S54" s="2"/>
      <c r="T54" s="6">
        <v>3081.17</v>
      </c>
      <c r="U54" s="2"/>
      <c r="V54" s="7">
        <f t="shared" si="33"/>
        <v>9.2981207829682987E-4</v>
      </c>
      <c r="W54" s="2"/>
      <c r="X54" s="6">
        <f t="shared" si="34"/>
        <v>990.96</v>
      </c>
      <c r="Y54" s="2"/>
      <c r="Z54" s="7">
        <f t="shared" si="35"/>
        <v>0.32161808663592079</v>
      </c>
    </row>
    <row r="55" spans="1:26" s="27" customFormat="1" outlineLevel="1" collapsed="1" x14ac:dyDescent="0.25">
      <c r="A55" s="26"/>
      <c r="B55" s="12" t="str">
        <f>CONCATENATE("     ","General                                           ")</f>
        <v xml:space="preserve">     General                                           </v>
      </c>
      <c r="C55" s="12"/>
      <c r="D55" s="1">
        <f>SUM(OSRRefD22_9x_0)</f>
        <v>2520</v>
      </c>
      <c r="E55" s="1"/>
      <c r="F55" s="5">
        <f t="shared" si="28"/>
        <v>8.3689233977828986E-2</v>
      </c>
      <c r="G55" s="1"/>
      <c r="H55" s="1">
        <f>SUM(OSRRefH22_9x_0)</f>
        <v>0</v>
      </c>
      <c r="I55" s="1"/>
      <c r="J55" s="5">
        <f t="shared" si="29"/>
        <v>0</v>
      </c>
      <c r="K55" s="1"/>
      <c r="L55" s="1">
        <f t="shared" si="30"/>
        <v>2520</v>
      </c>
      <c r="M55" s="1"/>
      <c r="N55" s="5">
        <f t="shared" si="31"/>
        <v>0</v>
      </c>
      <c r="O55" s="12"/>
      <c r="P55" s="1">
        <f>SUM(OSRRefP22_9x_0)</f>
        <v>4408.78</v>
      </c>
      <c r="Q55" s="1"/>
      <c r="R55" s="5">
        <f t="shared" si="32"/>
        <v>4.4156804721874974E-3</v>
      </c>
      <c r="S55" s="1"/>
      <c r="T55" s="1">
        <f>SUM(OSRRefT22_9x_0)</f>
        <v>3224.62</v>
      </c>
      <c r="U55" s="1"/>
      <c r="V55" s="5">
        <f t="shared" si="33"/>
        <v>9.7310132966292779E-4</v>
      </c>
      <c r="W55" s="1"/>
      <c r="X55" s="1">
        <f t="shared" si="34"/>
        <v>1184.1599999999999</v>
      </c>
      <c r="Y55" s="1"/>
      <c r="Z55" s="5">
        <f t="shared" si="35"/>
        <v>0.36722466523187225</v>
      </c>
    </row>
    <row r="56" spans="1:26" s="23" customFormat="1" hidden="1" outlineLevel="2" x14ac:dyDescent="0.25">
      <c r="A56" s="25"/>
      <c r="B56" s="10" t="str">
        <f>CONCATENATE("          ", "6279", " - ", "GENERAL EXPENSE")</f>
        <v xml:space="preserve">          6279 - GENERAL EXPENSE</v>
      </c>
      <c r="C56" s="10"/>
      <c r="D56" s="6">
        <v>2520</v>
      </c>
      <c r="E56" s="2"/>
      <c r="F56" s="7">
        <f t="shared" si="28"/>
        <v>8.3689233977828986E-2</v>
      </c>
      <c r="G56" s="2"/>
      <c r="H56" s="6"/>
      <c r="I56" s="2"/>
      <c r="J56" s="7">
        <f t="shared" si="29"/>
        <v>0</v>
      </c>
      <c r="K56" s="2"/>
      <c r="L56" s="6">
        <f t="shared" si="30"/>
        <v>2520</v>
      </c>
      <c r="M56" s="2"/>
      <c r="N56" s="7">
        <f t="shared" si="31"/>
        <v>0</v>
      </c>
      <c r="O56" s="10"/>
      <c r="P56" s="6">
        <v>4408.78</v>
      </c>
      <c r="Q56" s="2"/>
      <c r="R56" s="7">
        <f t="shared" si="32"/>
        <v>4.4156804721874974E-3</v>
      </c>
      <c r="S56" s="2"/>
      <c r="T56" s="6">
        <v>3224.62</v>
      </c>
      <c r="U56" s="2"/>
      <c r="V56" s="7">
        <f t="shared" si="33"/>
        <v>9.7310132966292779E-4</v>
      </c>
      <c r="W56" s="2"/>
      <c r="X56" s="6">
        <f t="shared" si="34"/>
        <v>1184.1599999999999</v>
      </c>
      <c r="Y56" s="2"/>
      <c r="Z56" s="7">
        <f t="shared" si="35"/>
        <v>0.36722466523187225</v>
      </c>
    </row>
    <row r="57" spans="1:26" s="27" customFormat="1" outlineLevel="1" collapsed="1" x14ac:dyDescent="0.25">
      <c r="A57" s="26"/>
      <c r="B57" s="12" t="str">
        <f>CONCATENATE("     ","R/H Commissions                                   ")</f>
        <v xml:space="preserve">     R/H Commissions                                   </v>
      </c>
      <c r="C57" s="12"/>
      <c r="D57" s="1">
        <f>SUM(OSRRefD22_10x_0)</f>
        <v>2207.92</v>
      </c>
      <c r="E57" s="1"/>
      <c r="F57" s="5">
        <f t="shared" si="28"/>
        <v>7.3325052969971508E-2</v>
      </c>
      <c r="G57" s="1"/>
      <c r="H57" s="1">
        <f>SUM(OSRRefH22_10x_0)</f>
        <v>-5335</v>
      </c>
      <c r="I57" s="1"/>
      <c r="J57" s="5">
        <f t="shared" si="29"/>
        <v>8.000299917522681E-2</v>
      </c>
      <c r="K57" s="1"/>
      <c r="L57" s="1">
        <f t="shared" si="30"/>
        <v>7542.92</v>
      </c>
      <c r="M57" s="1"/>
      <c r="N57" s="5">
        <f t="shared" si="31"/>
        <v>-1.4138556701030929</v>
      </c>
      <c r="O57" s="12"/>
      <c r="P57" s="1">
        <f>SUM(OSRRefP22_10x_0)</f>
        <v>69709.039999999994</v>
      </c>
      <c r="Q57" s="1"/>
      <c r="R57" s="5">
        <f t="shared" si="32"/>
        <v>6.9818146213450685E-2</v>
      </c>
      <c r="S57" s="1"/>
      <c r="T57" s="1">
        <f>SUM(OSRRefT22_10x_0)</f>
        <v>259594.55</v>
      </c>
      <c r="U57" s="1"/>
      <c r="V57" s="5">
        <f t="shared" si="33"/>
        <v>7.8338471441053339E-2</v>
      </c>
      <c r="W57" s="1"/>
      <c r="X57" s="1">
        <f t="shared" si="34"/>
        <v>-189885.51</v>
      </c>
      <c r="Y57" s="1"/>
      <c r="Z57" s="5">
        <f t="shared" si="35"/>
        <v>-0.73146955511970502</v>
      </c>
    </row>
    <row r="58" spans="1:26" s="23" customFormat="1" hidden="1" outlineLevel="2" x14ac:dyDescent="0.25">
      <c r="A58" s="25"/>
      <c r="B58" s="10" t="str">
        <f>CONCATENATE("          ", "6387", " - ", "COMMISSION DUE HOUSING")</f>
        <v xml:space="preserve">          6387 - COMMISSION DUE HOUSING</v>
      </c>
      <c r="C58" s="10"/>
      <c r="D58" s="6">
        <v>2207.92</v>
      </c>
      <c r="E58" s="2"/>
      <c r="F58" s="7">
        <f t="shared" si="28"/>
        <v>7.3325052969971508E-2</v>
      </c>
      <c r="G58" s="2"/>
      <c r="H58" s="6">
        <v>-5335</v>
      </c>
      <c r="I58" s="2"/>
      <c r="J58" s="7">
        <f t="shared" si="29"/>
        <v>8.000299917522681E-2</v>
      </c>
      <c r="K58" s="2"/>
      <c r="L58" s="6">
        <f t="shared" si="30"/>
        <v>7542.92</v>
      </c>
      <c r="M58" s="2"/>
      <c r="N58" s="7">
        <f t="shared" si="31"/>
        <v>-1.4138556701030929</v>
      </c>
      <c r="O58" s="10"/>
      <c r="P58" s="6">
        <v>69709.039999999994</v>
      </c>
      <c r="Q58" s="2"/>
      <c r="R58" s="7">
        <f t="shared" si="32"/>
        <v>6.9818146213450685E-2</v>
      </c>
      <c r="S58" s="2"/>
      <c r="T58" s="6">
        <v>259594.55</v>
      </c>
      <c r="U58" s="2"/>
      <c r="V58" s="7">
        <f t="shared" si="33"/>
        <v>7.8338471441053339E-2</v>
      </c>
      <c r="W58" s="2"/>
      <c r="X58" s="6">
        <f t="shared" si="34"/>
        <v>-189885.51</v>
      </c>
      <c r="Y58" s="2"/>
      <c r="Z58" s="7">
        <f t="shared" si="35"/>
        <v>-0.73146955511970502</v>
      </c>
    </row>
    <row r="59" spans="1:26" s="27" customFormat="1" outlineLevel="1" collapsed="1" x14ac:dyDescent="0.25">
      <c r="A59" s="26"/>
      <c r="B59" s="12" t="str">
        <f>CONCATENATE("     ","Repair and Maintenance                            ")</f>
        <v xml:space="preserve">     Repair and Maintenance                            </v>
      </c>
      <c r="C59" s="12"/>
      <c r="D59" s="1">
        <f>SUM(OSRRefD22_11x_0)</f>
        <v>268.06</v>
      </c>
      <c r="E59" s="1"/>
      <c r="F59" s="5">
        <f t="shared" si="28"/>
        <v>8.9022762143241424E-3</v>
      </c>
      <c r="G59" s="1"/>
      <c r="H59" s="1">
        <f>SUM(OSRRefH22_11x_0)</f>
        <v>73.81</v>
      </c>
      <c r="I59" s="1"/>
      <c r="J59" s="5">
        <f t="shared" si="29"/>
        <v>-1.1068456174551998E-3</v>
      </c>
      <c r="K59" s="1"/>
      <c r="L59" s="1">
        <f t="shared" si="30"/>
        <v>194.25</v>
      </c>
      <c r="M59" s="1"/>
      <c r="N59" s="5">
        <f t="shared" si="31"/>
        <v>2.6317572144695838</v>
      </c>
      <c r="O59" s="12"/>
      <c r="P59" s="1">
        <f>SUM(OSRRefP22_11x_0)</f>
        <v>3783.09</v>
      </c>
      <c r="Q59" s="1"/>
      <c r="R59" s="5">
        <f t="shared" si="32"/>
        <v>3.789011163525465E-3</v>
      </c>
      <c r="S59" s="1"/>
      <c r="T59" s="1">
        <f>SUM(OSRRefT22_11x_0)</f>
        <v>9519.0399999999991</v>
      </c>
      <c r="U59" s="1"/>
      <c r="V59" s="5">
        <f t="shared" si="33"/>
        <v>2.8725835853882307E-3</v>
      </c>
      <c r="W59" s="1"/>
      <c r="X59" s="1">
        <f t="shared" si="34"/>
        <v>-5735.9499999999989</v>
      </c>
      <c r="Y59" s="1"/>
      <c r="Z59" s="5">
        <f t="shared" si="35"/>
        <v>-0.60257652032137687</v>
      </c>
    </row>
    <row r="60" spans="1:26" s="23" customFormat="1" hidden="1" outlineLevel="2" x14ac:dyDescent="0.25">
      <c r="A60" s="25"/>
      <c r="B60" s="10" t="str">
        <f>CONCATENATE("          ", "6371", " - ", "COMPUTER SOFTWARE MAINTENANCE")</f>
        <v xml:space="preserve">          6371 - COMPUTER SOFTWARE MAINTENANCE</v>
      </c>
      <c r="C60" s="10"/>
      <c r="D60" s="6"/>
      <c r="E60" s="2"/>
      <c r="F60" s="7">
        <f t="shared" si="28"/>
        <v>0</v>
      </c>
      <c r="G60" s="2"/>
      <c r="H60" s="6"/>
      <c r="I60" s="2"/>
      <c r="J60" s="7">
        <f t="shared" si="29"/>
        <v>0</v>
      </c>
      <c r="K60" s="2"/>
      <c r="L60" s="6">
        <f t="shared" si="30"/>
        <v>0</v>
      </c>
      <c r="M60" s="2"/>
      <c r="N60" s="7">
        <f t="shared" si="31"/>
        <v>0</v>
      </c>
      <c r="O60" s="10"/>
      <c r="P60" s="6"/>
      <c r="Q60" s="2"/>
      <c r="R60" s="7">
        <f t="shared" si="32"/>
        <v>0</v>
      </c>
      <c r="S60" s="2"/>
      <c r="T60" s="6">
        <v>8238.75</v>
      </c>
      <c r="U60" s="2"/>
      <c r="V60" s="7">
        <f t="shared" si="33"/>
        <v>2.4862273941613109E-3</v>
      </c>
      <c r="W60" s="2"/>
      <c r="X60" s="6">
        <f t="shared" si="34"/>
        <v>-8238.75</v>
      </c>
      <c r="Y60" s="2"/>
      <c r="Z60" s="7">
        <f t="shared" si="35"/>
        <v>-1</v>
      </c>
    </row>
    <row r="61" spans="1:26" s="23" customFormat="1" hidden="1" outlineLevel="2" x14ac:dyDescent="0.25">
      <c r="A61" s="25"/>
      <c r="B61" s="10" t="str">
        <f>CONCATENATE("          ", "6373", " - ", "MAINTENANCE CONTRACTS")</f>
        <v xml:space="preserve">          6373 - MAINTENANCE CONTRACTS</v>
      </c>
      <c r="C61" s="10"/>
      <c r="D61" s="6">
        <v>98.06</v>
      </c>
      <c r="E61" s="2"/>
      <c r="F61" s="7">
        <f t="shared" si="28"/>
        <v>3.2565739221690122E-3</v>
      </c>
      <c r="G61" s="2"/>
      <c r="H61" s="6">
        <v>73.81</v>
      </c>
      <c r="I61" s="2"/>
      <c r="J61" s="7">
        <f t="shared" si="29"/>
        <v>-1.1068456174551998E-3</v>
      </c>
      <c r="K61" s="2"/>
      <c r="L61" s="6">
        <f t="shared" si="30"/>
        <v>24.25</v>
      </c>
      <c r="M61" s="2"/>
      <c r="N61" s="7">
        <f t="shared" si="31"/>
        <v>0.32854626744343585</v>
      </c>
      <c r="O61" s="10"/>
      <c r="P61" s="6">
        <v>1805.12</v>
      </c>
      <c r="Q61" s="2"/>
      <c r="R61" s="7">
        <f t="shared" si="32"/>
        <v>1.807945312298435E-3</v>
      </c>
      <c r="S61" s="2"/>
      <c r="T61" s="6">
        <v>372.88</v>
      </c>
      <c r="U61" s="2"/>
      <c r="V61" s="7">
        <f t="shared" si="33"/>
        <v>1.1252489403548714E-4</v>
      </c>
      <c r="W61" s="2"/>
      <c r="X61" s="6">
        <f t="shared" si="34"/>
        <v>1432.2399999999998</v>
      </c>
      <c r="Y61" s="2"/>
      <c r="Z61" s="7">
        <f t="shared" si="35"/>
        <v>3.8410212400772359</v>
      </c>
    </row>
    <row r="62" spans="1:26" s="23" customFormat="1" hidden="1" outlineLevel="2" x14ac:dyDescent="0.25">
      <c r="A62" s="25"/>
      <c r="B62" s="10" t="str">
        <f>CONCATENATE("          ", "6375", " - ", "OUTSIDE REPAIRS &amp; MAINTENANCE")</f>
        <v xml:space="preserve">          6375 - OUTSIDE REPAIRS &amp; MAINTENANCE</v>
      </c>
      <c r="C62" s="10"/>
      <c r="D62" s="6">
        <v>170</v>
      </c>
      <c r="E62" s="2"/>
      <c r="F62" s="7">
        <f t="shared" si="28"/>
        <v>5.6457022921551307E-3</v>
      </c>
      <c r="G62" s="2"/>
      <c r="H62" s="6"/>
      <c r="I62" s="2"/>
      <c r="J62" s="7">
        <f t="shared" si="29"/>
        <v>0</v>
      </c>
      <c r="K62" s="2"/>
      <c r="L62" s="6">
        <f t="shared" si="30"/>
        <v>170</v>
      </c>
      <c r="M62" s="2"/>
      <c r="N62" s="7">
        <f t="shared" si="31"/>
        <v>0</v>
      </c>
      <c r="O62" s="10"/>
      <c r="P62" s="6">
        <v>1977.97</v>
      </c>
      <c r="Q62" s="2"/>
      <c r="R62" s="7">
        <f t="shared" si="32"/>
        <v>1.9810658512270296E-3</v>
      </c>
      <c r="S62" s="2"/>
      <c r="T62" s="6">
        <v>907.41</v>
      </c>
      <c r="U62" s="2"/>
      <c r="V62" s="7">
        <f t="shared" si="33"/>
        <v>2.7383129719143258E-4</v>
      </c>
      <c r="W62" s="2"/>
      <c r="X62" s="6">
        <f t="shared" si="34"/>
        <v>1070.56</v>
      </c>
      <c r="Y62" s="2"/>
      <c r="Z62" s="7">
        <f t="shared" si="35"/>
        <v>1.1797974454766864</v>
      </c>
    </row>
    <row r="63" spans="1:26" s="27" customFormat="1" outlineLevel="1" collapsed="1" x14ac:dyDescent="0.25">
      <c r="A63" s="26"/>
      <c r="B63" s="12" t="str">
        <f>CONCATENATE("     ","Services                                          ")</f>
        <v xml:space="preserve">     Services                                          </v>
      </c>
      <c r="C63" s="12"/>
      <c r="D63" s="1">
        <f>SUM(OSRRefD22_12x_0)</f>
        <v>6059.83</v>
      </c>
      <c r="E63" s="1"/>
      <c r="F63" s="5">
        <f t="shared" ref="F63:F67" si="36">IF(D$12=0,0,D63/D$12)</f>
        <v>0.20124703600629662</v>
      </c>
      <c r="G63" s="1"/>
      <c r="H63" s="1">
        <f>SUM(OSRRefH22_12x_0)</f>
        <v>421.34</v>
      </c>
      <c r="I63" s="1"/>
      <c r="J63" s="5">
        <f t="shared" ref="J63:J67" si="37">IF(H$12=0,0,H63/H$12)</f>
        <v>-6.3183624503261602E-3</v>
      </c>
      <c r="K63" s="1"/>
      <c r="L63" s="1">
        <f t="shared" ref="L63:L67" si="38">+D63-H63</f>
        <v>5638.49</v>
      </c>
      <c r="M63" s="1"/>
      <c r="N63" s="5">
        <f t="shared" ref="N63:N67" si="39">IF(H63=0,0,L63/H63)</f>
        <v>13.382280343665448</v>
      </c>
      <c r="O63" s="12"/>
      <c r="P63" s="1">
        <f>SUM(OSRRefP22_12x_0)</f>
        <v>65418.840000000004</v>
      </c>
      <c r="Q63" s="1"/>
      <c r="R63" s="5">
        <f t="shared" ref="R63:R67" si="40">IF(P$12=0,0,P63/P$12)</f>
        <v>6.552123133863752E-2</v>
      </c>
      <c r="S63" s="1"/>
      <c r="T63" s="1">
        <f>SUM(OSRRefT22_12x_0)</f>
        <v>55562.11</v>
      </c>
      <c r="U63" s="1"/>
      <c r="V63" s="5">
        <f t="shared" ref="V63:V67" si="41">IF(T$12=0,0,T63/T$12)</f>
        <v>1.6767111510775801E-2</v>
      </c>
      <c r="W63" s="1"/>
      <c r="X63" s="1">
        <f t="shared" ref="X63:X67" si="42">+P63-T63</f>
        <v>9856.7300000000032</v>
      </c>
      <c r="Y63" s="1"/>
      <c r="Z63" s="5">
        <f t="shared" ref="Z63:Z67" si="43">IF(T63=0,0,X63/T63)</f>
        <v>0.17740021032318612</v>
      </c>
    </row>
    <row r="64" spans="1:26" s="23" customFormat="1" hidden="1" outlineLevel="2" x14ac:dyDescent="0.25">
      <c r="A64" s="25"/>
      <c r="B64" s="10" t="str">
        <f>CONCATENATE("          ", "6282", " - ", "JANITORIAL/EXTERMINATOR EXPENS")</f>
        <v xml:space="preserve">          6282 - JANITORIAL/EXTERMINATOR EXPENS</v>
      </c>
      <c r="C64" s="10"/>
      <c r="D64" s="6">
        <v>421.34</v>
      </c>
      <c r="E64" s="2"/>
      <c r="F64" s="7">
        <f t="shared" si="36"/>
        <v>1.3992707081039073E-2</v>
      </c>
      <c r="G64" s="2"/>
      <c r="H64" s="6">
        <v>421.34</v>
      </c>
      <c r="I64" s="2"/>
      <c r="J64" s="7">
        <f t="shared" si="37"/>
        <v>-6.3183624503261602E-3</v>
      </c>
      <c r="K64" s="2"/>
      <c r="L64" s="6">
        <f t="shared" si="38"/>
        <v>0</v>
      </c>
      <c r="M64" s="2"/>
      <c r="N64" s="7">
        <f t="shared" si="39"/>
        <v>0</v>
      </c>
      <c r="O64" s="10"/>
      <c r="P64" s="6">
        <v>4924.12</v>
      </c>
      <c r="Q64" s="2"/>
      <c r="R64" s="7">
        <f t="shared" si="40"/>
        <v>4.9318270647906899E-3</v>
      </c>
      <c r="S64" s="2"/>
      <c r="T64" s="6">
        <v>5477.42</v>
      </c>
      <c r="U64" s="2"/>
      <c r="V64" s="7">
        <f t="shared" si="41"/>
        <v>1.6529342015872612E-3</v>
      </c>
      <c r="W64" s="2"/>
      <c r="X64" s="6">
        <f t="shared" si="42"/>
        <v>-553.30000000000018</v>
      </c>
      <c r="Y64" s="2"/>
      <c r="Z64" s="7">
        <f t="shared" si="43"/>
        <v>-0.10101471130568775</v>
      </c>
    </row>
    <row r="65" spans="1:26" s="23" customFormat="1" hidden="1" outlineLevel="2" x14ac:dyDescent="0.25">
      <c r="A65" s="25"/>
      <c r="B65" s="10" t="str">
        <f>CONCATENATE("          ", "6284", " - ", "TRASH REMOVAL EXPENSE")</f>
        <v xml:space="preserve">          6284 - TRASH REMOVAL EXPENSE</v>
      </c>
      <c r="C65" s="10"/>
      <c r="D65" s="6"/>
      <c r="E65" s="2"/>
      <c r="F65" s="7">
        <f t="shared" si="36"/>
        <v>0</v>
      </c>
      <c r="G65" s="2"/>
      <c r="H65" s="6"/>
      <c r="I65" s="2"/>
      <c r="J65" s="7">
        <f t="shared" si="37"/>
        <v>0</v>
      </c>
      <c r="K65" s="2"/>
      <c r="L65" s="6">
        <f t="shared" si="38"/>
        <v>0</v>
      </c>
      <c r="M65" s="2"/>
      <c r="N65" s="7">
        <f t="shared" si="39"/>
        <v>0</v>
      </c>
      <c r="O65" s="10"/>
      <c r="P65" s="6">
        <v>282.75</v>
      </c>
      <c r="Q65" s="2"/>
      <c r="R65" s="7">
        <f t="shared" si="40"/>
        <v>2.8319255066277176E-4</v>
      </c>
      <c r="S65" s="2"/>
      <c r="T65" s="6"/>
      <c r="U65" s="2"/>
      <c r="V65" s="7">
        <f t="shared" si="41"/>
        <v>0</v>
      </c>
      <c r="W65" s="2"/>
      <c r="X65" s="6">
        <f t="shared" si="42"/>
        <v>282.75</v>
      </c>
      <c r="Y65" s="2"/>
      <c r="Z65" s="7">
        <f t="shared" si="43"/>
        <v>0</v>
      </c>
    </row>
    <row r="66" spans="1:26" s="23" customFormat="1" hidden="1" outlineLevel="2" x14ac:dyDescent="0.25">
      <c r="A66" s="25"/>
      <c r="B66" s="10" t="str">
        <f>CONCATENATE("          ", "6285", " - ", "JANITORIAL SERVICES")</f>
        <v xml:space="preserve">          6285 - JANITORIAL SERVICES</v>
      </c>
      <c r="C66" s="10"/>
      <c r="D66" s="6">
        <v>4468.33</v>
      </c>
      <c r="E66" s="2"/>
      <c r="F66" s="7">
        <f t="shared" si="36"/>
        <v>0.1483932995476796</v>
      </c>
      <c r="G66" s="2"/>
      <c r="H66" s="6"/>
      <c r="I66" s="2"/>
      <c r="J66" s="7">
        <f t="shared" si="37"/>
        <v>0</v>
      </c>
      <c r="K66" s="2"/>
      <c r="L66" s="6">
        <f t="shared" si="38"/>
        <v>4468.33</v>
      </c>
      <c r="M66" s="2"/>
      <c r="N66" s="7">
        <f t="shared" si="39"/>
        <v>0</v>
      </c>
      <c r="O66" s="10"/>
      <c r="P66" s="6">
        <v>50091.6</v>
      </c>
      <c r="Q66" s="2"/>
      <c r="R66" s="7">
        <f t="shared" si="40"/>
        <v>5.0170001665001934E-2</v>
      </c>
      <c r="S66" s="2"/>
      <c r="T66" s="6">
        <v>38570.82</v>
      </c>
      <c r="U66" s="2"/>
      <c r="V66" s="7">
        <f t="shared" si="41"/>
        <v>1.1639609078957971E-2</v>
      </c>
      <c r="W66" s="2"/>
      <c r="X66" s="6">
        <f t="shared" si="42"/>
        <v>11520.779999999999</v>
      </c>
      <c r="Y66" s="2"/>
      <c r="Z66" s="7">
        <f t="shared" si="43"/>
        <v>0.29869160157860264</v>
      </c>
    </row>
    <row r="67" spans="1:26" s="23" customFormat="1" hidden="1" outlineLevel="2" x14ac:dyDescent="0.25">
      <c r="A67" s="25"/>
      <c r="B67" s="10" t="str">
        <f>CONCATENATE("          ", "6286", " - ", "LAUNDRY EXPENSE")</f>
        <v xml:space="preserve">          6286 - LAUNDRY EXPENSE</v>
      </c>
      <c r="C67" s="10"/>
      <c r="D67" s="6">
        <v>1170.1600000000001</v>
      </c>
      <c r="E67" s="2"/>
      <c r="F67" s="7">
        <f t="shared" si="36"/>
        <v>3.8861029377577926E-2</v>
      </c>
      <c r="G67" s="2"/>
      <c r="H67" s="6"/>
      <c r="I67" s="2"/>
      <c r="J67" s="7">
        <f t="shared" si="37"/>
        <v>0</v>
      </c>
      <c r="K67" s="2"/>
      <c r="L67" s="6">
        <f t="shared" si="38"/>
        <v>1170.1600000000001</v>
      </c>
      <c r="M67" s="2"/>
      <c r="N67" s="7">
        <f t="shared" si="39"/>
        <v>0</v>
      </c>
      <c r="O67" s="10"/>
      <c r="P67" s="6">
        <v>10120.370000000001</v>
      </c>
      <c r="Q67" s="2"/>
      <c r="R67" s="7">
        <f t="shared" si="40"/>
        <v>1.0136210058182124E-2</v>
      </c>
      <c r="S67" s="2"/>
      <c r="T67" s="6">
        <v>11513.87</v>
      </c>
      <c r="U67" s="2"/>
      <c r="V67" s="7">
        <f t="shared" si="41"/>
        <v>3.4745682302305685E-3</v>
      </c>
      <c r="W67" s="2"/>
      <c r="X67" s="6">
        <f t="shared" si="42"/>
        <v>-1393.5</v>
      </c>
      <c r="Y67" s="2"/>
      <c r="Z67" s="7">
        <f t="shared" si="43"/>
        <v>-0.12102794282026808</v>
      </c>
    </row>
    <row r="68" spans="1:26" s="27" customFormat="1" outlineLevel="1" collapsed="1" x14ac:dyDescent="0.25">
      <c r="A68" s="26"/>
      <c r="B68" s="12" t="str">
        <f>CONCATENATE("     ","Subscriptions &amp; Dues                              ")</f>
        <v xml:space="preserve">     Subscriptions &amp; Dues                              </v>
      </c>
      <c r="C68" s="12"/>
      <c r="D68" s="1">
        <f>SUM(OSRRefD22_13x_0)</f>
        <v>0</v>
      </c>
      <c r="E68" s="1"/>
      <c r="F68" s="5">
        <f t="shared" ref="F68:F79" si="44">IF(D$12=0,0,D68/D$12)</f>
        <v>0</v>
      </c>
      <c r="G68" s="1"/>
      <c r="H68" s="1">
        <f>SUM(OSRRefH22_13x_0)</f>
        <v>0</v>
      </c>
      <c r="I68" s="1"/>
      <c r="J68" s="5">
        <f t="shared" ref="J68:J79" si="45">IF(H$12=0,0,H68/H$12)</f>
        <v>0</v>
      </c>
      <c r="K68" s="1"/>
      <c r="L68" s="1">
        <f t="shared" ref="L68:L79" si="46">+D68-H68</f>
        <v>0</v>
      </c>
      <c r="M68" s="1"/>
      <c r="N68" s="5">
        <f t="shared" ref="N68:N79" si="47">IF(H68=0,0,L68/H68)</f>
        <v>0</v>
      </c>
      <c r="O68" s="12"/>
      <c r="P68" s="1">
        <f>SUM(OSRRefP22_13x_0)</f>
        <v>795</v>
      </c>
      <c r="Q68" s="1"/>
      <c r="R68" s="5">
        <f t="shared" ref="R68:R79" si="48">IF(P$12=0,0,P68/P$12)</f>
        <v>7.9624430690328392E-4</v>
      </c>
      <c r="S68" s="1"/>
      <c r="T68" s="1">
        <f>SUM(OSRRefT22_13x_0)</f>
        <v>0</v>
      </c>
      <c r="U68" s="1"/>
      <c r="V68" s="5">
        <f t="shared" ref="V68:V79" si="49">IF(T$12=0,0,T68/T$12)</f>
        <v>0</v>
      </c>
      <c r="W68" s="1"/>
      <c r="X68" s="1">
        <f t="shared" ref="X68:X79" si="50">+P68-T68</f>
        <v>795</v>
      </c>
      <c r="Y68" s="1"/>
      <c r="Z68" s="5">
        <f t="shared" ref="Z68:Z79" si="51">IF(T68=0,0,X68/T68)</f>
        <v>0</v>
      </c>
    </row>
    <row r="69" spans="1:26" s="23" customFormat="1" hidden="1" outlineLevel="2" x14ac:dyDescent="0.25">
      <c r="A69" s="25"/>
      <c r="B69" s="10" t="str">
        <f>CONCATENATE("          ", "6258", " - ", "MEMBERSHIP DUES")</f>
        <v xml:space="preserve">          6258 - MEMBERSHIP DUES</v>
      </c>
      <c r="C69" s="10"/>
      <c r="D69" s="6"/>
      <c r="E69" s="2"/>
      <c r="F69" s="7">
        <f t="shared" si="44"/>
        <v>0</v>
      </c>
      <c r="G69" s="2"/>
      <c r="H69" s="6"/>
      <c r="I69" s="2"/>
      <c r="J69" s="7">
        <f t="shared" si="45"/>
        <v>0</v>
      </c>
      <c r="K69" s="2"/>
      <c r="L69" s="6">
        <f t="shared" si="46"/>
        <v>0</v>
      </c>
      <c r="M69" s="2"/>
      <c r="N69" s="7">
        <f t="shared" si="47"/>
        <v>0</v>
      </c>
      <c r="O69" s="10"/>
      <c r="P69" s="6">
        <v>795</v>
      </c>
      <c r="Q69" s="2"/>
      <c r="R69" s="7">
        <f t="shared" si="48"/>
        <v>7.9624430690328392E-4</v>
      </c>
      <c r="S69" s="2"/>
      <c r="T69" s="6"/>
      <c r="U69" s="2"/>
      <c r="V69" s="7">
        <f t="shared" si="49"/>
        <v>0</v>
      </c>
      <c r="W69" s="2"/>
      <c r="X69" s="6">
        <f t="shared" si="50"/>
        <v>795</v>
      </c>
      <c r="Y69" s="2"/>
      <c r="Z69" s="7">
        <f t="shared" si="51"/>
        <v>0</v>
      </c>
    </row>
    <row r="70" spans="1:26" s="27" customFormat="1" outlineLevel="1" collapsed="1" x14ac:dyDescent="0.25">
      <c r="A70" s="26"/>
      <c r="B70" s="12" t="str">
        <f>CONCATENATE("     ","Supplies                                          ")</f>
        <v xml:space="preserve">     Supplies                                          </v>
      </c>
      <c r="C70" s="12"/>
      <c r="D70" s="1">
        <f>SUM(OSRRefD22_14x_0)</f>
        <v>10190.509999999998</v>
      </c>
      <c r="E70" s="1"/>
      <c r="F70" s="5">
        <f t="shared" si="44"/>
        <v>0.33842697450135156</v>
      </c>
      <c r="G70" s="1"/>
      <c r="H70" s="1">
        <f>SUM(OSRRefH22_14x_0)</f>
        <v>18.16</v>
      </c>
      <c r="I70" s="1"/>
      <c r="J70" s="5">
        <f t="shared" si="45"/>
        <v>-2.7232511059458651E-4</v>
      </c>
      <c r="K70" s="1"/>
      <c r="L70" s="1">
        <f t="shared" si="46"/>
        <v>10172.349999999999</v>
      </c>
      <c r="M70" s="1"/>
      <c r="N70" s="5">
        <f t="shared" si="47"/>
        <v>560.15143171806164</v>
      </c>
      <c r="O70" s="12"/>
      <c r="P70" s="1">
        <f>SUM(OSRRefP22_14x_0)</f>
        <v>138178.78999999998</v>
      </c>
      <c r="Q70" s="1"/>
      <c r="R70" s="5">
        <f t="shared" si="48"/>
        <v>0.13839506273243321</v>
      </c>
      <c r="S70" s="1"/>
      <c r="T70" s="1">
        <f>SUM(OSRRefT22_14x_0)</f>
        <v>76960</v>
      </c>
      <c r="U70" s="1"/>
      <c r="V70" s="5">
        <f t="shared" si="49"/>
        <v>2.322440421843781E-2</v>
      </c>
      <c r="W70" s="1"/>
      <c r="X70" s="1">
        <f t="shared" si="50"/>
        <v>61218.789999999979</v>
      </c>
      <c r="Y70" s="1"/>
      <c r="Z70" s="5">
        <f t="shared" si="51"/>
        <v>0.7954624480249477</v>
      </c>
    </row>
    <row r="71" spans="1:26" s="23" customFormat="1" hidden="1" outlineLevel="2" x14ac:dyDescent="0.25">
      <c r="A71" s="25"/>
      <c r="B71" s="10" t="str">
        <f>CONCATENATE("          ", "6234", " - ", "EXPENDABLE SUPPLIES &amp; EQUIPMEN")</f>
        <v xml:space="preserve">          6234 - EXPENDABLE SUPPLIES &amp; EQUIPMEN</v>
      </c>
      <c r="C71" s="10"/>
      <c r="D71" s="6"/>
      <c r="E71" s="2"/>
      <c r="F71" s="7">
        <f t="shared" si="44"/>
        <v>0</v>
      </c>
      <c r="G71" s="2"/>
      <c r="H71" s="6"/>
      <c r="I71" s="2"/>
      <c r="J71" s="7">
        <f t="shared" si="45"/>
        <v>0</v>
      </c>
      <c r="K71" s="2"/>
      <c r="L71" s="6">
        <f t="shared" si="46"/>
        <v>0</v>
      </c>
      <c r="M71" s="2"/>
      <c r="N71" s="7">
        <f t="shared" si="47"/>
        <v>0</v>
      </c>
      <c r="O71" s="10"/>
      <c r="P71" s="6"/>
      <c r="Q71" s="2"/>
      <c r="R71" s="7">
        <f t="shared" si="48"/>
        <v>0</v>
      </c>
      <c r="S71" s="2"/>
      <c r="T71" s="6">
        <v>118.34</v>
      </c>
      <c r="U71" s="2"/>
      <c r="V71" s="7">
        <f t="shared" si="49"/>
        <v>3.5711746299505332E-5</v>
      </c>
      <c r="W71" s="2"/>
      <c r="X71" s="6">
        <f t="shared" si="50"/>
        <v>-118.34</v>
      </c>
      <c r="Y71" s="2"/>
      <c r="Z71" s="7">
        <f t="shared" si="51"/>
        <v>-1</v>
      </c>
    </row>
    <row r="72" spans="1:26" s="23" customFormat="1" hidden="1" outlineLevel="2" x14ac:dyDescent="0.25">
      <c r="A72" s="25"/>
      <c r="B72" s="10" t="str">
        <f>CONCATENATE("          ", "6235", " - ", "COVID-19 EXPENSES")</f>
        <v xml:space="preserve">          6235 - COVID-19 EXPENSES</v>
      </c>
      <c r="C72" s="10"/>
      <c r="D72" s="6"/>
      <c r="E72" s="2"/>
      <c r="F72" s="7">
        <f t="shared" si="44"/>
        <v>0</v>
      </c>
      <c r="G72" s="2"/>
      <c r="H72" s="6"/>
      <c r="I72" s="2"/>
      <c r="J72" s="7">
        <f t="shared" si="45"/>
        <v>0</v>
      </c>
      <c r="K72" s="2"/>
      <c r="L72" s="6">
        <f t="shared" si="46"/>
        <v>0</v>
      </c>
      <c r="M72" s="2"/>
      <c r="N72" s="7">
        <f t="shared" si="47"/>
        <v>0</v>
      </c>
      <c r="O72" s="10"/>
      <c r="P72" s="6">
        <v>53097.67</v>
      </c>
      <c r="Q72" s="2"/>
      <c r="R72" s="7">
        <f t="shared" si="48"/>
        <v>5.3180776663307283E-2</v>
      </c>
      <c r="S72" s="2"/>
      <c r="T72" s="6"/>
      <c r="U72" s="2"/>
      <c r="V72" s="7">
        <f t="shared" si="49"/>
        <v>0</v>
      </c>
      <c r="W72" s="2"/>
      <c r="X72" s="6">
        <f t="shared" si="50"/>
        <v>53097.67</v>
      </c>
      <c r="Y72" s="2"/>
      <c r="Z72" s="7">
        <f t="shared" si="51"/>
        <v>0</v>
      </c>
    </row>
    <row r="73" spans="1:26" s="23" customFormat="1" hidden="1" outlineLevel="2" x14ac:dyDescent="0.25">
      <c r="A73" s="25"/>
      <c r="B73" s="10" t="str">
        <f>CONCATENATE("          ", "6237", " - ", "JANITORIAL SUPPLIES")</f>
        <v xml:space="preserve">          6237 - JANITORIAL SUPPLIES</v>
      </c>
      <c r="C73" s="10"/>
      <c r="D73" s="6">
        <v>918.55</v>
      </c>
      <c r="E73" s="2"/>
      <c r="F73" s="7">
        <f t="shared" si="44"/>
        <v>3.0505057885053498E-2</v>
      </c>
      <c r="G73" s="2"/>
      <c r="H73" s="6"/>
      <c r="I73" s="2"/>
      <c r="J73" s="7">
        <f t="shared" si="45"/>
        <v>0</v>
      </c>
      <c r="K73" s="2"/>
      <c r="L73" s="6">
        <f t="shared" si="46"/>
        <v>918.55</v>
      </c>
      <c r="M73" s="2"/>
      <c r="N73" s="7">
        <f t="shared" si="47"/>
        <v>0</v>
      </c>
      <c r="O73" s="10"/>
      <c r="P73" s="6">
        <v>19395.349999999999</v>
      </c>
      <c r="Q73" s="2"/>
      <c r="R73" s="7">
        <f t="shared" si="48"/>
        <v>1.9425706940750451E-2</v>
      </c>
      <c r="S73" s="2"/>
      <c r="T73" s="6">
        <v>34387.160000000003</v>
      </c>
      <c r="U73" s="2"/>
      <c r="V73" s="7">
        <f t="shared" si="49"/>
        <v>1.0377095942880665E-2</v>
      </c>
      <c r="W73" s="2"/>
      <c r="X73" s="6">
        <f t="shared" si="50"/>
        <v>-14991.810000000005</v>
      </c>
      <c r="Y73" s="2"/>
      <c r="Z73" s="7">
        <f t="shared" si="51"/>
        <v>-0.43597115900237193</v>
      </c>
    </row>
    <row r="74" spans="1:26" s="23" customFormat="1" hidden="1" outlineLevel="2" x14ac:dyDescent="0.25">
      <c r="A74" s="25"/>
      <c r="B74" s="10" t="str">
        <f>CONCATENATE("          ", "6239", " - ", "KITCHEN SUPPLIES")</f>
        <v xml:space="preserve">          6239 - KITCHEN SUPPLIES</v>
      </c>
      <c r="C74" s="10"/>
      <c r="D74" s="6">
        <v>3554.22</v>
      </c>
      <c r="E74" s="2"/>
      <c r="F74" s="7">
        <f t="shared" si="44"/>
        <v>0.1180356941224918</v>
      </c>
      <c r="G74" s="2"/>
      <c r="H74" s="6"/>
      <c r="I74" s="2"/>
      <c r="J74" s="7">
        <f t="shared" si="45"/>
        <v>0</v>
      </c>
      <c r="K74" s="2"/>
      <c r="L74" s="6">
        <f t="shared" si="46"/>
        <v>3554.22</v>
      </c>
      <c r="M74" s="2"/>
      <c r="N74" s="7">
        <f t="shared" si="47"/>
        <v>0</v>
      </c>
      <c r="O74" s="10"/>
      <c r="P74" s="6">
        <v>10389.42</v>
      </c>
      <c r="Q74" s="2"/>
      <c r="R74" s="7">
        <f t="shared" si="48"/>
        <v>1.0405681166071845E-2</v>
      </c>
      <c r="S74" s="2"/>
      <c r="T74" s="6">
        <v>16573.400000000001</v>
      </c>
      <c r="U74" s="2"/>
      <c r="V74" s="7">
        <f t="shared" si="49"/>
        <v>5.0013947618744439E-3</v>
      </c>
      <c r="W74" s="2"/>
      <c r="X74" s="6">
        <f t="shared" si="50"/>
        <v>-6183.9800000000014</v>
      </c>
      <c r="Y74" s="2"/>
      <c r="Z74" s="7">
        <f t="shared" si="51"/>
        <v>-0.37312681767169081</v>
      </c>
    </row>
    <row r="75" spans="1:26" s="23" customFormat="1" hidden="1" outlineLevel="2" x14ac:dyDescent="0.25">
      <c r="A75" s="25"/>
      <c r="B75" s="10" t="str">
        <f>CONCATENATE("          ", "6241", " - ", "OFFICE EXPENSE")</f>
        <v xml:space="preserve">          6241 - OFFICE EXPENSE</v>
      </c>
      <c r="C75" s="10"/>
      <c r="D75" s="6">
        <v>1232.0899999999999</v>
      </c>
      <c r="E75" s="2"/>
      <c r="F75" s="7">
        <f t="shared" si="44"/>
        <v>4.0917725512596551E-2</v>
      </c>
      <c r="G75" s="2"/>
      <c r="H75" s="6">
        <v>18.16</v>
      </c>
      <c r="I75" s="2"/>
      <c r="J75" s="7">
        <f t="shared" si="45"/>
        <v>-2.7232511059458651E-4</v>
      </c>
      <c r="K75" s="2"/>
      <c r="L75" s="6">
        <f t="shared" si="46"/>
        <v>1213.9299999999998</v>
      </c>
      <c r="M75" s="2"/>
      <c r="N75" s="7">
        <f t="shared" si="47"/>
        <v>66.846365638766514</v>
      </c>
      <c r="O75" s="10"/>
      <c r="P75" s="6">
        <v>10600.79</v>
      </c>
      <c r="Q75" s="2"/>
      <c r="R75" s="7">
        <f t="shared" si="48"/>
        <v>1.0617381995191527E-2</v>
      </c>
      <c r="S75" s="2"/>
      <c r="T75" s="6">
        <v>3297.69</v>
      </c>
      <c r="U75" s="2"/>
      <c r="V75" s="7">
        <f t="shared" si="49"/>
        <v>9.9515183922947227E-4</v>
      </c>
      <c r="W75" s="2"/>
      <c r="X75" s="6">
        <f t="shared" si="50"/>
        <v>7303.1</v>
      </c>
      <c r="Y75" s="2"/>
      <c r="Z75" s="7">
        <f t="shared" si="51"/>
        <v>2.2146108336441572</v>
      </c>
    </row>
    <row r="76" spans="1:26" s="23" customFormat="1" hidden="1" outlineLevel="2" x14ac:dyDescent="0.25">
      <c r="A76" s="25"/>
      <c r="B76" s="10" t="str">
        <f>CONCATENATE("          ", "6243", " - ", "PAPER SUPPLIES")</f>
        <v xml:space="preserve">          6243 - PAPER SUPPLIES</v>
      </c>
      <c r="C76" s="10"/>
      <c r="D76" s="6">
        <v>4485.6499999999996</v>
      </c>
      <c r="E76" s="2"/>
      <c r="F76" s="7">
        <f t="shared" si="44"/>
        <v>0.14896849698120976</v>
      </c>
      <c r="G76" s="2"/>
      <c r="H76" s="6"/>
      <c r="I76" s="2"/>
      <c r="J76" s="7">
        <f t="shared" si="45"/>
        <v>0</v>
      </c>
      <c r="K76" s="2"/>
      <c r="L76" s="6">
        <f t="shared" si="46"/>
        <v>4485.6499999999996</v>
      </c>
      <c r="M76" s="2"/>
      <c r="N76" s="7">
        <f t="shared" si="47"/>
        <v>0</v>
      </c>
      <c r="O76" s="10"/>
      <c r="P76" s="6">
        <v>40194.97</v>
      </c>
      <c r="Q76" s="2"/>
      <c r="R76" s="7">
        <f t="shared" si="48"/>
        <v>4.0257881797041879E-2</v>
      </c>
      <c r="S76" s="2"/>
      <c r="T76" s="6">
        <v>19420.62</v>
      </c>
      <c r="U76" s="2"/>
      <c r="V76" s="7">
        <f t="shared" si="49"/>
        <v>5.8606071862354163E-3</v>
      </c>
      <c r="W76" s="2"/>
      <c r="X76" s="6">
        <f t="shared" si="50"/>
        <v>20774.350000000002</v>
      </c>
      <c r="Y76" s="2"/>
      <c r="Z76" s="7">
        <f t="shared" si="51"/>
        <v>1.0697058075385855</v>
      </c>
    </row>
    <row r="77" spans="1:26" s="23" customFormat="1" hidden="1" outlineLevel="2" x14ac:dyDescent="0.25">
      <c r="A77" s="25"/>
      <c r="B77" s="10" t="str">
        <f>CONCATENATE("          ", "6245", " - ", "PRINTING")</f>
        <v xml:space="preserve">          6245 - PRINTING</v>
      </c>
      <c r="C77" s="10"/>
      <c r="D77" s="6"/>
      <c r="E77" s="2"/>
      <c r="F77" s="7">
        <f t="shared" si="44"/>
        <v>0</v>
      </c>
      <c r="G77" s="2"/>
      <c r="H77" s="6"/>
      <c r="I77" s="2"/>
      <c r="J77" s="7">
        <f t="shared" si="45"/>
        <v>0</v>
      </c>
      <c r="K77" s="2"/>
      <c r="L77" s="6">
        <f t="shared" si="46"/>
        <v>0</v>
      </c>
      <c r="M77" s="2"/>
      <c r="N77" s="7">
        <f t="shared" si="47"/>
        <v>0</v>
      </c>
      <c r="O77" s="10"/>
      <c r="P77" s="6"/>
      <c r="Q77" s="2"/>
      <c r="R77" s="7">
        <f t="shared" si="48"/>
        <v>0</v>
      </c>
      <c r="S77" s="2"/>
      <c r="T77" s="6">
        <v>441</v>
      </c>
      <c r="U77" s="2"/>
      <c r="V77" s="7">
        <f t="shared" si="49"/>
        <v>1.3308163020180709E-4</v>
      </c>
      <c r="W77" s="2"/>
      <c r="X77" s="6">
        <f t="shared" si="50"/>
        <v>-441</v>
      </c>
      <c r="Y77" s="2"/>
      <c r="Z77" s="7">
        <f t="shared" si="51"/>
        <v>-1</v>
      </c>
    </row>
    <row r="78" spans="1:26" s="23" customFormat="1" hidden="1" outlineLevel="2" x14ac:dyDescent="0.25">
      <c r="A78" s="25"/>
      <c r="B78" s="10" t="str">
        <f>CONCATENATE("          ", "6247", " - ", "STORE SUPPLIES")</f>
        <v xml:space="preserve">          6247 - STORE SUPPLIES</v>
      </c>
      <c r="C78" s="10"/>
      <c r="D78" s="6"/>
      <c r="E78" s="2"/>
      <c r="F78" s="7">
        <f t="shared" si="44"/>
        <v>0</v>
      </c>
      <c r="G78" s="2"/>
      <c r="H78" s="6"/>
      <c r="I78" s="2"/>
      <c r="J78" s="7">
        <f t="shared" si="45"/>
        <v>0</v>
      </c>
      <c r="K78" s="2"/>
      <c r="L78" s="6">
        <f t="shared" si="46"/>
        <v>0</v>
      </c>
      <c r="M78" s="2"/>
      <c r="N78" s="7">
        <f t="shared" si="47"/>
        <v>0</v>
      </c>
      <c r="O78" s="10"/>
      <c r="P78" s="6"/>
      <c r="Q78" s="2"/>
      <c r="R78" s="7">
        <f t="shared" si="48"/>
        <v>0</v>
      </c>
      <c r="S78" s="2"/>
      <c r="T78" s="6">
        <v>153.87</v>
      </c>
      <c r="U78" s="2"/>
      <c r="V78" s="7">
        <f t="shared" si="49"/>
        <v>4.643371981667133E-5</v>
      </c>
      <c r="W78" s="2"/>
      <c r="X78" s="6">
        <f t="shared" si="50"/>
        <v>-153.87</v>
      </c>
      <c r="Y78" s="2"/>
      <c r="Z78" s="7">
        <f t="shared" si="51"/>
        <v>-1</v>
      </c>
    </row>
    <row r="79" spans="1:26" s="23" customFormat="1" hidden="1" outlineLevel="2" x14ac:dyDescent="0.25">
      <c r="A79" s="25"/>
      <c r="B79" s="10" t="str">
        <f>CONCATENATE("          ", "6248", " - ", "UNIFORMS")</f>
        <v xml:space="preserve">          6248 - UNIFORMS</v>
      </c>
      <c r="C79" s="10"/>
      <c r="D79" s="6"/>
      <c r="E79" s="2"/>
      <c r="F79" s="7">
        <f t="shared" si="44"/>
        <v>0</v>
      </c>
      <c r="G79" s="2"/>
      <c r="H79" s="6"/>
      <c r="I79" s="2"/>
      <c r="J79" s="7">
        <f t="shared" si="45"/>
        <v>0</v>
      </c>
      <c r="K79" s="2"/>
      <c r="L79" s="6">
        <f t="shared" si="46"/>
        <v>0</v>
      </c>
      <c r="M79" s="2"/>
      <c r="N79" s="7">
        <f t="shared" si="47"/>
        <v>0</v>
      </c>
      <c r="O79" s="10"/>
      <c r="P79" s="6">
        <v>4500.59</v>
      </c>
      <c r="Q79" s="2"/>
      <c r="R79" s="7">
        <f t="shared" si="48"/>
        <v>4.507634170070253E-3</v>
      </c>
      <c r="S79" s="2"/>
      <c r="T79" s="6">
        <v>2567.92</v>
      </c>
      <c r="U79" s="2"/>
      <c r="V79" s="7">
        <f t="shared" si="49"/>
        <v>7.7492739189982879E-4</v>
      </c>
      <c r="W79" s="2"/>
      <c r="X79" s="6">
        <f t="shared" si="50"/>
        <v>1932.67</v>
      </c>
      <c r="Y79" s="2"/>
      <c r="Z79" s="7">
        <f t="shared" si="51"/>
        <v>0.75262079815570582</v>
      </c>
    </row>
    <row r="80" spans="1:26" s="27" customFormat="1" outlineLevel="1" collapsed="1" x14ac:dyDescent="0.25">
      <c r="A80" s="26"/>
      <c r="B80" s="12" t="str">
        <f>CONCATENATE("     ","Telephone/Data Lines                              ")</f>
        <v xml:space="preserve">     Telephone/Data Lines                              </v>
      </c>
      <c r="C80" s="12"/>
      <c r="D80" s="1">
        <f>SUM(OSRRefD22_15x_0)</f>
        <v>459</v>
      </c>
      <c r="E80" s="1"/>
      <c r="F80" s="5">
        <f t="shared" ref="F80:F86" si="52">IF(D$12=0,0,D80/D$12)</f>
        <v>1.5243396188818852E-2</v>
      </c>
      <c r="G80" s="1"/>
      <c r="H80" s="1">
        <f>SUM(OSRRefH22_15x_0)</f>
        <v>152.69999999999999</v>
      </c>
      <c r="I80" s="1"/>
      <c r="J80" s="5">
        <f t="shared" ref="J80:J86" si="53">IF(H$12=0,0,H80/H$12)</f>
        <v>-2.2898702856714403E-3</v>
      </c>
      <c r="K80" s="1"/>
      <c r="L80" s="1">
        <f t="shared" ref="L80:L86" si="54">+D80-H80</f>
        <v>306.3</v>
      </c>
      <c r="M80" s="1"/>
      <c r="N80" s="5">
        <f t="shared" ref="N80:N86" si="55">IF(H80=0,0,L80/H80)</f>
        <v>2.0058939096267192</v>
      </c>
      <c r="O80" s="12"/>
      <c r="P80" s="1">
        <f>SUM(OSRRefP22_15x_0)</f>
        <v>3109</v>
      </c>
      <c r="Q80" s="1"/>
      <c r="R80" s="5">
        <f t="shared" ref="R80:R86" si="56">IF(P$12=0,0,P80/P$12)</f>
        <v>3.1138661008330943E-3</v>
      </c>
      <c r="S80" s="1"/>
      <c r="T80" s="1">
        <f>SUM(OSRRefT22_15x_0)</f>
        <v>3444.85</v>
      </c>
      <c r="U80" s="1"/>
      <c r="V80" s="5">
        <f t="shared" ref="V80:V86" si="57">IF(T$12=0,0,T80/T$12)</f>
        <v>1.0395606662147283E-3</v>
      </c>
      <c r="W80" s="1"/>
      <c r="X80" s="1">
        <f t="shared" ref="X80:X86" si="58">+P80-T80</f>
        <v>-335.84999999999991</v>
      </c>
      <c r="Y80" s="1"/>
      <c r="Z80" s="5">
        <f t="shared" ref="Z80:Z86" si="59">IF(T80=0,0,X80/T80)</f>
        <v>-9.7493359652815054E-2</v>
      </c>
    </row>
    <row r="81" spans="1:26" s="23" customFormat="1" hidden="1" outlineLevel="2" x14ac:dyDescent="0.25">
      <c r="A81" s="25"/>
      <c r="B81" s="10" t="str">
        <f>CONCATENATE("          ", "6309", " - ", "TELEPHONE")</f>
        <v xml:space="preserve">          6309 - TELEPHONE</v>
      </c>
      <c r="C81" s="10"/>
      <c r="D81" s="6">
        <v>459</v>
      </c>
      <c r="E81" s="2"/>
      <c r="F81" s="7">
        <f t="shared" si="52"/>
        <v>1.5243396188818852E-2</v>
      </c>
      <c r="G81" s="2"/>
      <c r="H81" s="6">
        <v>152.69999999999999</v>
      </c>
      <c r="I81" s="2"/>
      <c r="J81" s="7">
        <f t="shared" si="53"/>
        <v>-2.2898702856714403E-3</v>
      </c>
      <c r="K81" s="2"/>
      <c r="L81" s="6">
        <f t="shared" si="54"/>
        <v>306.3</v>
      </c>
      <c r="M81" s="2"/>
      <c r="N81" s="7">
        <f t="shared" si="55"/>
        <v>2.0058939096267192</v>
      </c>
      <c r="O81" s="10"/>
      <c r="P81" s="6">
        <v>3109</v>
      </c>
      <c r="Q81" s="2"/>
      <c r="R81" s="7">
        <f t="shared" si="56"/>
        <v>3.1138661008330943E-3</v>
      </c>
      <c r="S81" s="2"/>
      <c r="T81" s="6">
        <v>3444.85</v>
      </c>
      <c r="U81" s="2"/>
      <c r="V81" s="7">
        <f t="shared" si="57"/>
        <v>1.0395606662147283E-3</v>
      </c>
      <c r="W81" s="2"/>
      <c r="X81" s="6">
        <f t="shared" si="58"/>
        <v>-335.84999999999991</v>
      </c>
      <c r="Y81" s="2"/>
      <c r="Z81" s="7">
        <f t="shared" si="59"/>
        <v>-9.7493359652815054E-2</v>
      </c>
    </row>
    <row r="82" spans="1:26" s="27" customFormat="1" outlineLevel="1" collapsed="1" x14ac:dyDescent="0.25">
      <c r="A82" s="26"/>
      <c r="B82" s="12" t="str">
        <f>CONCATENATE("     ","Training                                          ")</f>
        <v xml:space="preserve">     Training                                          </v>
      </c>
      <c r="C82" s="12"/>
      <c r="D82" s="1">
        <f>SUM(OSRRefD22_16x_0)</f>
        <v>494</v>
      </c>
      <c r="E82" s="1"/>
      <c r="F82" s="5">
        <f t="shared" si="52"/>
        <v>1.6405746660733144E-2</v>
      </c>
      <c r="G82" s="1"/>
      <c r="H82" s="1">
        <f>SUM(OSRRefH22_16x_0)</f>
        <v>494</v>
      </c>
      <c r="I82" s="1"/>
      <c r="J82" s="5">
        <f t="shared" si="53"/>
        <v>-7.4079628102271871E-3</v>
      </c>
      <c r="K82" s="1"/>
      <c r="L82" s="1">
        <f t="shared" si="54"/>
        <v>0</v>
      </c>
      <c r="M82" s="1"/>
      <c r="N82" s="5">
        <f t="shared" si="55"/>
        <v>0</v>
      </c>
      <c r="O82" s="12"/>
      <c r="P82" s="1">
        <f>SUM(OSRRefP22_16x_0)</f>
        <v>1229</v>
      </c>
      <c r="Q82" s="1"/>
      <c r="R82" s="5">
        <f t="shared" si="56"/>
        <v>1.2309235889108629E-3</v>
      </c>
      <c r="S82" s="1"/>
      <c r="T82" s="1">
        <f>SUM(OSRRefT22_16x_0)</f>
        <v>1606.43</v>
      </c>
      <c r="U82" s="1"/>
      <c r="V82" s="5">
        <f t="shared" si="57"/>
        <v>4.8477624309543985E-4</v>
      </c>
      <c r="W82" s="1"/>
      <c r="X82" s="1">
        <f t="shared" si="58"/>
        <v>-377.43000000000006</v>
      </c>
      <c r="Y82" s="1"/>
      <c r="Z82" s="5">
        <f t="shared" si="59"/>
        <v>-0.23494954650996311</v>
      </c>
    </row>
    <row r="83" spans="1:26" s="23" customFormat="1" hidden="1" outlineLevel="2" x14ac:dyDescent="0.25">
      <c r="A83" s="25"/>
      <c r="B83" s="10" t="str">
        <f>CONCATENATE("          ", "6376", " - ", "TRAINING")</f>
        <v xml:space="preserve">          6376 - TRAINING</v>
      </c>
      <c r="C83" s="10"/>
      <c r="D83" s="6">
        <v>494</v>
      </c>
      <c r="E83" s="2"/>
      <c r="F83" s="7">
        <f t="shared" si="52"/>
        <v>1.6405746660733144E-2</v>
      </c>
      <c r="G83" s="2"/>
      <c r="H83" s="6">
        <v>494</v>
      </c>
      <c r="I83" s="2"/>
      <c r="J83" s="7">
        <f t="shared" si="53"/>
        <v>-7.4079628102271871E-3</v>
      </c>
      <c r="K83" s="2"/>
      <c r="L83" s="6">
        <f t="shared" si="54"/>
        <v>0</v>
      </c>
      <c r="M83" s="2"/>
      <c r="N83" s="7">
        <f t="shared" si="55"/>
        <v>0</v>
      </c>
      <c r="O83" s="10"/>
      <c r="P83" s="6">
        <v>1229</v>
      </c>
      <c r="Q83" s="2"/>
      <c r="R83" s="7">
        <f t="shared" si="56"/>
        <v>1.2309235889108629E-3</v>
      </c>
      <c r="S83" s="2"/>
      <c r="T83" s="6">
        <v>1606.43</v>
      </c>
      <c r="U83" s="2"/>
      <c r="V83" s="7">
        <f t="shared" si="57"/>
        <v>4.8477624309543985E-4</v>
      </c>
      <c r="W83" s="2"/>
      <c r="X83" s="6">
        <f t="shared" si="58"/>
        <v>-377.43000000000006</v>
      </c>
      <c r="Y83" s="2"/>
      <c r="Z83" s="7">
        <f t="shared" si="59"/>
        <v>-0.23494954650996311</v>
      </c>
    </row>
    <row r="84" spans="1:26" s="27" customFormat="1" outlineLevel="1" collapsed="1" x14ac:dyDescent="0.25">
      <c r="A84" s="26"/>
      <c r="B84" s="12" t="str">
        <f>CONCATENATE("     ","Travel                                            ")</f>
        <v xml:space="preserve">     Travel                                            </v>
      </c>
      <c r="C84" s="12"/>
      <c r="D84" s="1">
        <f>SUM(OSRRefD22_17x_0)</f>
        <v>0</v>
      </c>
      <c r="E84" s="1"/>
      <c r="F84" s="5">
        <f t="shared" si="52"/>
        <v>0</v>
      </c>
      <c r="G84" s="1"/>
      <c r="H84" s="1">
        <f>SUM(OSRRefH22_17x_0)</f>
        <v>0</v>
      </c>
      <c r="I84" s="1"/>
      <c r="J84" s="5">
        <f t="shared" si="53"/>
        <v>0</v>
      </c>
      <c r="K84" s="1"/>
      <c r="L84" s="1">
        <f t="shared" si="54"/>
        <v>0</v>
      </c>
      <c r="M84" s="1"/>
      <c r="N84" s="5">
        <f t="shared" si="55"/>
        <v>0</v>
      </c>
      <c r="O84" s="12"/>
      <c r="P84" s="1">
        <f>SUM(OSRRefP22_17x_0)</f>
        <v>160.30000000000001</v>
      </c>
      <c r="Q84" s="1"/>
      <c r="R84" s="5">
        <f t="shared" si="56"/>
        <v>1.605508960963477E-4</v>
      </c>
      <c r="S84" s="1"/>
      <c r="T84" s="1">
        <f>SUM(OSRRefT22_17x_0)</f>
        <v>59.14</v>
      </c>
      <c r="U84" s="1"/>
      <c r="V84" s="5">
        <f t="shared" si="57"/>
        <v>1.7846819977630095E-5</v>
      </c>
      <c r="W84" s="1"/>
      <c r="X84" s="1">
        <f t="shared" si="58"/>
        <v>101.16000000000001</v>
      </c>
      <c r="Y84" s="1"/>
      <c r="Z84" s="5">
        <f t="shared" si="59"/>
        <v>1.7105174163003045</v>
      </c>
    </row>
    <row r="85" spans="1:26" s="23" customFormat="1" hidden="1" outlineLevel="2" x14ac:dyDescent="0.25">
      <c r="A85" s="25"/>
      <c r="B85" s="10" t="str">
        <f>CONCATENATE("          ", "6292", " - ", "TRAVEL/CONFERENCE")</f>
        <v xml:space="preserve">          6292 - TRAVEL/CONFERENCE</v>
      </c>
      <c r="C85" s="10"/>
      <c r="D85" s="6"/>
      <c r="E85" s="2"/>
      <c r="F85" s="7">
        <f t="shared" si="52"/>
        <v>0</v>
      </c>
      <c r="G85" s="2"/>
      <c r="H85" s="6"/>
      <c r="I85" s="2"/>
      <c r="J85" s="7">
        <f t="shared" si="53"/>
        <v>0</v>
      </c>
      <c r="K85" s="2"/>
      <c r="L85" s="6">
        <f t="shared" si="54"/>
        <v>0</v>
      </c>
      <c r="M85" s="2"/>
      <c r="N85" s="7">
        <f t="shared" si="55"/>
        <v>0</v>
      </c>
      <c r="O85" s="10"/>
      <c r="P85" s="6"/>
      <c r="Q85" s="2"/>
      <c r="R85" s="7">
        <f t="shared" si="56"/>
        <v>0</v>
      </c>
      <c r="S85" s="2"/>
      <c r="T85" s="6">
        <v>59.14</v>
      </c>
      <c r="U85" s="2"/>
      <c r="V85" s="7">
        <f t="shared" si="57"/>
        <v>1.7846819977630095E-5</v>
      </c>
      <c r="W85" s="2"/>
      <c r="X85" s="6">
        <f t="shared" si="58"/>
        <v>-59.14</v>
      </c>
      <c r="Y85" s="2"/>
      <c r="Z85" s="7">
        <f t="shared" si="59"/>
        <v>-1</v>
      </c>
    </row>
    <row r="86" spans="1:26" s="23" customFormat="1" hidden="1" outlineLevel="2" x14ac:dyDescent="0.25">
      <c r="A86" s="25"/>
      <c r="B86" s="10" t="str">
        <f>CONCATENATE("          ", "6294", " - ", "TRAVEL OPERATIONAL")</f>
        <v xml:space="preserve">          6294 - TRAVEL OPERATIONAL</v>
      </c>
      <c r="C86" s="10"/>
      <c r="D86" s="6"/>
      <c r="E86" s="2"/>
      <c r="F86" s="7">
        <f t="shared" si="52"/>
        <v>0</v>
      </c>
      <c r="G86" s="2"/>
      <c r="H86" s="6"/>
      <c r="I86" s="2"/>
      <c r="J86" s="7">
        <f t="shared" si="53"/>
        <v>0</v>
      </c>
      <c r="K86" s="2"/>
      <c r="L86" s="6">
        <f t="shared" si="54"/>
        <v>0</v>
      </c>
      <c r="M86" s="2"/>
      <c r="N86" s="7">
        <f t="shared" si="55"/>
        <v>0</v>
      </c>
      <c r="O86" s="10"/>
      <c r="P86" s="6">
        <v>160.30000000000001</v>
      </c>
      <c r="Q86" s="2"/>
      <c r="R86" s="7">
        <f t="shared" si="56"/>
        <v>1.605508960963477E-4</v>
      </c>
      <c r="S86" s="2"/>
      <c r="T86" s="6"/>
      <c r="U86" s="2"/>
      <c r="V86" s="7">
        <f t="shared" si="57"/>
        <v>0</v>
      </c>
      <c r="W86" s="2"/>
      <c r="X86" s="6">
        <f t="shared" si="58"/>
        <v>160.30000000000001</v>
      </c>
      <c r="Y86" s="2"/>
      <c r="Z86" s="7">
        <f t="shared" si="59"/>
        <v>0</v>
      </c>
    </row>
    <row r="87" spans="1:26" s="52" customFormat="1" x14ac:dyDescent="0.25">
      <c r="A87" s="37"/>
      <c r="B87" s="37"/>
      <c r="C87" s="37"/>
      <c r="D87" s="1"/>
      <c r="E87" s="1"/>
      <c r="F87" s="5"/>
      <c r="G87" s="1"/>
      <c r="H87" s="1"/>
      <c r="I87" s="1"/>
      <c r="J87" s="5"/>
      <c r="K87" s="1"/>
      <c r="L87" s="1"/>
      <c r="M87" s="1"/>
      <c r="N87" s="5"/>
      <c r="O87" s="37"/>
      <c r="P87" s="1"/>
      <c r="Q87" s="1"/>
      <c r="R87" s="5"/>
      <c r="S87" s="1"/>
      <c r="T87" s="1"/>
      <c r="U87" s="1"/>
      <c r="V87" s="5"/>
      <c r="W87" s="1"/>
      <c r="X87" s="1"/>
      <c r="Y87" s="1"/>
      <c r="Z87" s="5"/>
    </row>
    <row r="88" spans="1:26" s="24" customFormat="1" x14ac:dyDescent="0.25">
      <c r="A88" s="11"/>
      <c r="B88" s="29" t="s">
        <v>292</v>
      </c>
      <c r="C88" s="11"/>
      <c r="D88" s="4">
        <f>SUM(0)</f>
        <v>0</v>
      </c>
      <c r="E88" s="4"/>
      <c r="F88" s="13">
        <f>IF(D$12=0,0,D88/D$12)</f>
        <v>0</v>
      </c>
      <c r="G88" s="4"/>
      <c r="H88" s="4">
        <f>SUM(0)</f>
        <v>0</v>
      </c>
      <c r="I88" s="4"/>
      <c r="J88" s="13">
        <f>IF(H$12=0,0,H88/H$12)</f>
        <v>0</v>
      </c>
      <c r="K88" s="4"/>
      <c r="L88" s="4">
        <f>+D88-H88</f>
        <v>0</v>
      </c>
      <c r="M88" s="4"/>
      <c r="N88" s="13">
        <f>IF(H88=0,0,L88/H88)</f>
        <v>0</v>
      </c>
      <c r="O88" s="11"/>
      <c r="P88" s="4">
        <f>SUM(0)</f>
        <v>0</v>
      </c>
      <c r="Q88" s="4"/>
      <c r="R88" s="13">
        <f>IF(P$12=0,0,P88/P$12)</f>
        <v>0</v>
      </c>
      <c r="S88" s="4"/>
      <c r="T88" s="4">
        <f>SUM(0)</f>
        <v>0</v>
      </c>
      <c r="U88" s="4"/>
      <c r="V88" s="13">
        <f>IF(T$12=0,0,T88/T$12)</f>
        <v>0</v>
      </c>
      <c r="W88" s="4"/>
      <c r="X88" s="4">
        <f>+P88-T88</f>
        <v>0</v>
      </c>
      <c r="Y88" s="4"/>
      <c r="Z88" s="13">
        <f>IF(T88=0,0,X88/T88)</f>
        <v>0</v>
      </c>
    </row>
    <row r="89" spans="1:26" x14ac:dyDescent="0.25">
      <c r="A89" s="9"/>
      <c r="B89" s="11"/>
      <c r="C89" s="11"/>
      <c r="D89" s="3"/>
      <c r="E89" s="3"/>
      <c r="F89" s="8"/>
      <c r="G89" s="3"/>
      <c r="H89" s="3"/>
      <c r="I89" s="3"/>
      <c r="J89" s="8"/>
      <c r="K89" s="3"/>
      <c r="L89" s="3"/>
      <c r="M89" s="3"/>
      <c r="N89" s="8"/>
      <c r="O89" s="11"/>
      <c r="P89" s="3"/>
      <c r="Q89" s="3"/>
      <c r="R89" s="8"/>
      <c r="S89" s="3"/>
      <c r="T89" s="3"/>
      <c r="U89" s="3"/>
      <c r="V89" s="8"/>
      <c r="W89" s="3"/>
      <c r="X89" s="3"/>
      <c r="Y89" s="3"/>
      <c r="Z89" s="8"/>
    </row>
    <row r="90" spans="1:26" s="24" customFormat="1" x14ac:dyDescent="0.25">
      <c r="A90" s="11"/>
      <c r="B90" s="28" t="s">
        <v>276</v>
      </c>
      <c r="C90" s="28"/>
      <c r="D90" s="21">
        <f>+D21-D23+D88</f>
        <v>-74953.26999999999</v>
      </c>
      <c r="E90" s="14"/>
      <c r="F90" s="22">
        <f>IF(D$12=0,0,D90/D$12)</f>
        <v>-2.4891991073148372</v>
      </c>
      <c r="G90" s="14"/>
      <c r="H90" s="21">
        <f>+H21-H23+H88</f>
        <v>-112687.05</v>
      </c>
      <c r="I90" s="14"/>
      <c r="J90" s="22">
        <f>IF(H$12=0,0,H90/H$12)</f>
        <v>1.6898410437129789</v>
      </c>
      <c r="K90" s="15"/>
      <c r="L90" s="21">
        <f>+D90-H90</f>
        <v>37733.780000000013</v>
      </c>
      <c r="M90" s="15"/>
      <c r="N90" s="22">
        <f>IF(H90=0,0,L90/H90)</f>
        <v>-0.33485462615269468</v>
      </c>
      <c r="O90" s="29"/>
      <c r="P90" s="21">
        <f>+P21-P23+P88</f>
        <v>-787613.77000000048</v>
      </c>
      <c r="Q90" s="14"/>
      <c r="R90" s="22">
        <f>IF(P$12=0,0,P90/P$12)</f>
        <v>-0.78884651622784008</v>
      </c>
      <c r="S90" s="14"/>
      <c r="T90" s="21">
        <f>+T21-T23+T88</f>
        <v>710581.0700000003</v>
      </c>
      <c r="U90" s="14"/>
      <c r="V90" s="22">
        <f>IF(T$12=0,0,T90/T$12)</f>
        <v>0.21443375779171076</v>
      </c>
      <c r="W90" s="15"/>
      <c r="X90" s="21">
        <f>+P90-T90</f>
        <v>-1498194.8400000008</v>
      </c>
      <c r="Y90" s="15"/>
      <c r="Z90" s="22">
        <f>IF(T90=0,0,X90/T90)</f>
        <v>-2.1084080385085406</v>
      </c>
    </row>
    <row r="91" spans="1:26" x14ac:dyDescent="0.25">
      <c r="A91" s="9"/>
      <c r="B91" s="11"/>
      <c r="C91" s="9"/>
      <c r="D91" s="3"/>
      <c r="E91" s="3"/>
      <c r="F91" s="8"/>
      <c r="G91" s="3"/>
      <c r="H91" s="3"/>
      <c r="I91" s="3"/>
      <c r="J91" s="8"/>
      <c r="K91" s="3"/>
      <c r="L91" s="3"/>
      <c r="M91" s="3"/>
      <c r="N91" s="8"/>
      <c r="P91" s="3"/>
      <c r="Q91" s="3"/>
      <c r="R91" s="8"/>
      <c r="S91" s="3"/>
      <c r="T91" s="3"/>
      <c r="U91" s="3"/>
      <c r="V91" s="8"/>
      <c r="W91" s="3"/>
      <c r="X91" s="3"/>
      <c r="Y91" s="3"/>
      <c r="Z91" s="8"/>
    </row>
    <row r="92" spans="1:26" s="24" customFormat="1" x14ac:dyDescent="0.25">
      <c r="A92" s="51"/>
      <c r="B92" s="11" t="s">
        <v>127</v>
      </c>
      <c r="C92" s="11"/>
      <c r="D92" s="4">
        <v>69440.039999999994</v>
      </c>
      <c r="E92" s="4"/>
      <c r="F92" s="13">
        <f>IF(D$12=0,0,D92/D$12)</f>
        <v>2.3061046646784935</v>
      </c>
      <c r="G92" s="4"/>
      <c r="H92" s="4">
        <v>101463.85</v>
      </c>
      <c r="I92" s="4"/>
      <c r="J92" s="13">
        <f>IF(H$12=0,0,H92/H$12)</f>
        <v>-1.5215393266851616</v>
      </c>
      <c r="K92" s="4"/>
      <c r="L92" s="4">
        <f>+D92-H92</f>
        <v>-32023.810000000012</v>
      </c>
      <c r="M92" s="4"/>
      <c r="N92" s="13">
        <f>IF(H92=0,0,L92/H92)</f>
        <v>-0.31561792697596247</v>
      </c>
      <c r="O92" s="11"/>
      <c r="P92" s="4">
        <v>276362.09999999998</v>
      </c>
      <c r="Q92" s="4"/>
      <c r="R92" s="13">
        <f>IF(P$12=0,0,P92/P$12)</f>
        <v>0.27679465253941637</v>
      </c>
      <c r="S92" s="4"/>
      <c r="T92" s="4">
        <v>501777.57</v>
      </c>
      <c r="U92" s="4"/>
      <c r="V92" s="13">
        <f>IF(T$12=0,0,T92/T$12)</f>
        <v>0.15142262361519584</v>
      </c>
      <c r="W92" s="4"/>
      <c r="X92" s="4">
        <f>+P92-T92</f>
        <v>-225415.47000000003</v>
      </c>
      <c r="Y92" s="4"/>
      <c r="Z92" s="13">
        <f>IF(T92=0,0,X92/T92)</f>
        <v>-0.4492338507677815</v>
      </c>
    </row>
    <row r="93" spans="1:26" x14ac:dyDescent="0.25">
      <c r="A93" s="9"/>
      <c r="B93" s="11"/>
      <c r="C93" s="11"/>
      <c r="D93" s="3"/>
      <c r="E93" s="3"/>
      <c r="F93" s="8"/>
      <c r="G93" s="3"/>
      <c r="H93" s="3"/>
      <c r="I93" s="3"/>
      <c r="J93" s="8"/>
      <c r="K93" s="3"/>
      <c r="L93" s="3"/>
      <c r="M93" s="3"/>
      <c r="N93" s="8"/>
      <c r="O93" s="11"/>
      <c r="P93" s="3"/>
      <c r="Q93" s="3"/>
      <c r="R93" s="8"/>
      <c r="S93" s="3"/>
      <c r="T93" s="3"/>
      <c r="U93" s="3"/>
      <c r="V93" s="8"/>
      <c r="W93" s="3"/>
      <c r="X93" s="3"/>
      <c r="Y93" s="3"/>
      <c r="Z93" s="8"/>
    </row>
    <row r="94" spans="1:26" s="24" customFormat="1" ht="15.75" thickBot="1" x14ac:dyDescent="0.3">
      <c r="A94" s="11"/>
      <c r="B94" s="28" t="s">
        <v>125</v>
      </c>
      <c r="C94" s="28"/>
      <c r="D94" s="34">
        <f>+D90-D92</f>
        <v>-144393.31</v>
      </c>
      <c r="E94" s="14"/>
      <c r="F94" s="31">
        <f>IF(D$12=0,0,D94/D$12)</f>
        <v>-4.7953037719933311</v>
      </c>
      <c r="G94" s="14"/>
      <c r="H94" s="34">
        <f>+H90-H92</f>
        <v>-214150.90000000002</v>
      </c>
      <c r="I94" s="14"/>
      <c r="J94" s="31">
        <f>IF(H$12=0,0,H94/H$12)</f>
        <v>3.2113803703981407</v>
      </c>
      <c r="K94" s="15"/>
      <c r="L94" s="34">
        <f>D94-H94</f>
        <v>69757.590000000026</v>
      </c>
      <c r="M94" s="15"/>
      <c r="N94" s="31">
        <f>IF(H94=0,0,L94/H94)</f>
        <v>-0.32574035411478552</v>
      </c>
      <c r="O94" s="29"/>
      <c r="P94" s="34">
        <f>+P90-P92</f>
        <v>-1063975.8700000006</v>
      </c>
      <c r="Q94" s="14"/>
      <c r="R94" s="31">
        <f>IF(P$12=0,0,P94/P$12)</f>
        <v>-1.0656411687672567</v>
      </c>
      <c r="S94" s="14"/>
      <c r="T94" s="34">
        <f>+T90-T92</f>
        <v>208803.50000000029</v>
      </c>
      <c r="U94" s="14"/>
      <c r="V94" s="31">
        <f>IF(T$12=0,0,T94/T$12)</f>
        <v>6.3011134176514882E-2</v>
      </c>
      <c r="W94" s="15"/>
      <c r="X94" s="34">
        <f>P94-T94</f>
        <v>-1272779.3700000008</v>
      </c>
      <c r="Y94" s="15"/>
      <c r="Z94" s="31">
        <f>IF(T94=0,0,X94/T94)</f>
        <v>-6.0955844609884364</v>
      </c>
    </row>
    <row r="95" spans="1:26" ht="15.75" thickTop="1" x14ac:dyDescent="0.25">
      <c r="A95" s="9"/>
      <c r="B95" s="9"/>
      <c r="C95" s="9"/>
      <c r="D95" s="3"/>
      <c r="E95" s="3"/>
      <c r="F95" s="8"/>
      <c r="G95" s="3"/>
      <c r="H95" s="3"/>
      <c r="I95" s="3"/>
      <c r="J95" s="8"/>
      <c r="K95" s="3"/>
      <c r="L95" s="3"/>
      <c r="M95" s="3"/>
      <c r="N95" s="8"/>
      <c r="P95" s="3"/>
      <c r="Q95" s="3"/>
      <c r="R95" s="8"/>
      <c r="S95" s="3"/>
      <c r="T95" s="3"/>
      <c r="U95" s="3"/>
      <c r="V95" s="8"/>
      <c r="W95" s="3"/>
      <c r="X95" s="3"/>
      <c r="Y95" s="3"/>
      <c r="Z95" s="8"/>
    </row>
    <row r="96" spans="1:26" x14ac:dyDescent="0.25">
      <c r="A96" s="9"/>
      <c r="B96" s="9"/>
      <c r="C96" s="9"/>
      <c r="D96" s="3"/>
      <c r="E96" s="3"/>
      <c r="F96" s="8"/>
      <c r="G96" s="3"/>
      <c r="H96" s="3"/>
      <c r="I96" s="3"/>
      <c r="J96" s="8"/>
      <c r="K96" s="3"/>
      <c r="L96" s="3"/>
      <c r="M96" s="3"/>
      <c r="N96" s="8"/>
      <c r="P96" s="3"/>
      <c r="Q96" s="3"/>
      <c r="R96" s="8"/>
      <c r="S96" s="3"/>
      <c r="T96" s="3"/>
      <c r="U96" s="3"/>
      <c r="V96" s="8"/>
      <c r="W96" s="3"/>
      <c r="X96" s="3"/>
      <c r="Y96" s="3"/>
      <c r="Z96" s="8"/>
    </row>
    <row r="97" spans="1:26" s="24" customFormat="1" ht="15.75" thickBot="1" x14ac:dyDescent="0.3">
      <c r="A97" s="11"/>
      <c r="B97" s="28" t="s">
        <v>293</v>
      </c>
      <c r="C97" s="28"/>
      <c r="D97" s="33">
        <f>SUM(D94:D96)</f>
        <v>-144393.31</v>
      </c>
      <c r="E97" s="14"/>
      <c r="F97" s="35">
        <f>IF(D$12=0,0,D97/D$12)</f>
        <v>-4.7953037719933311</v>
      </c>
      <c r="G97" s="14"/>
      <c r="H97" s="33">
        <f>SUM(H94:H96)</f>
        <v>-214150.90000000002</v>
      </c>
      <c r="I97" s="14"/>
      <c r="J97" s="35">
        <f>IF(H$12=0,0,H97/H$12)</f>
        <v>3.2113803703981407</v>
      </c>
      <c r="K97" s="15"/>
      <c r="L97" s="33">
        <f>+D97-H97</f>
        <v>69757.590000000026</v>
      </c>
      <c r="M97" s="15"/>
      <c r="N97" s="35">
        <f>IF(H97=0,0,L97/H97)</f>
        <v>-0.32574035411478552</v>
      </c>
      <c r="O97" s="29"/>
      <c r="P97" s="33">
        <f>SUM(P94:P96)</f>
        <v>-1063975.8700000006</v>
      </c>
      <c r="Q97" s="14"/>
      <c r="R97" s="35">
        <f>IF(P$12=0,0,P97/P$12)</f>
        <v>-1.0656411687672567</v>
      </c>
      <c r="S97" s="14"/>
      <c r="T97" s="33">
        <f>SUM(T94:T96)</f>
        <v>208803.50000000029</v>
      </c>
      <c r="U97" s="14"/>
      <c r="V97" s="35">
        <f>IF(T$12=0,0,T97/T$12)</f>
        <v>6.3011134176514882E-2</v>
      </c>
      <c r="W97" s="15"/>
      <c r="X97" s="33">
        <f>+P97-T97</f>
        <v>-1272779.3700000008</v>
      </c>
      <c r="Y97" s="15"/>
      <c r="Z97" s="35">
        <f>IF(T97=0,0,X97/T97)</f>
        <v>-6.0955844609884364</v>
      </c>
    </row>
    <row r="98" spans="1:26" ht="15.75" thickTop="1" x14ac:dyDescent="0.25">
      <c r="A98" s="9"/>
      <c r="C98" s="9"/>
      <c r="D98" s="18"/>
      <c r="E98" s="18"/>
      <c r="G98" s="18"/>
      <c r="H98" s="18"/>
      <c r="I98" s="18"/>
      <c r="J98" s="43"/>
      <c r="K98" s="18"/>
      <c r="L98" s="18"/>
      <c r="M98" s="18"/>
      <c r="P98" s="18"/>
      <c r="Q98" s="18"/>
      <c r="R98" s="43"/>
      <c r="S98" s="18"/>
      <c r="T98" s="18"/>
      <c r="U98" s="18"/>
      <c r="V98" s="43"/>
      <c r="W98" s="18"/>
      <c r="X98" s="18"/>
    </row>
    <row r="99" spans="1:26" x14ac:dyDescent="0.25">
      <c r="A99" s="9"/>
      <c r="B99" s="56">
        <v>44454.698585613427</v>
      </c>
      <c r="D99" s="18"/>
      <c r="E99" s="18"/>
      <c r="G99" s="18"/>
      <c r="H99" s="18"/>
      <c r="I99" s="18"/>
      <c r="J99" s="43"/>
      <c r="K99" s="18"/>
      <c r="L99" s="18"/>
      <c r="M99" s="18"/>
      <c r="P99" s="18"/>
      <c r="Q99" s="18"/>
      <c r="R99" s="43"/>
      <c r="S99" s="18"/>
      <c r="T99" s="18"/>
      <c r="U99" s="18"/>
      <c r="V99" s="43"/>
      <c r="W99" s="18"/>
      <c r="X99" s="18"/>
    </row>
    <row r="100" spans="1:26" x14ac:dyDescent="0.25">
      <c r="A100" s="9"/>
      <c r="B100" s="55" t="s">
        <v>56</v>
      </c>
      <c r="D100" s="18"/>
      <c r="E100" s="18"/>
      <c r="G100" s="18"/>
      <c r="H100" s="18"/>
      <c r="I100" s="18"/>
      <c r="J100" s="43"/>
      <c r="K100" s="18"/>
      <c r="L100" s="18"/>
      <c r="M100" s="18"/>
      <c r="P100" s="18"/>
      <c r="Q100" s="18"/>
      <c r="R100" s="43"/>
      <c r="S100" s="18"/>
      <c r="T100" s="18"/>
      <c r="U100" s="18"/>
      <c r="V100" s="43"/>
      <c r="W100" s="18"/>
      <c r="X100" s="18"/>
    </row>
    <row r="101" spans="1:26" x14ac:dyDescent="0.25">
      <c r="A101" s="9"/>
      <c r="B101" s="60"/>
      <c r="D101" s="18"/>
      <c r="E101" s="18"/>
      <c r="G101" s="18"/>
      <c r="H101" s="18"/>
      <c r="I101" s="18"/>
      <c r="J101" s="43"/>
      <c r="K101" s="18"/>
      <c r="L101" s="18"/>
      <c r="M101" s="18"/>
      <c r="P101" s="18"/>
      <c r="Q101" s="18"/>
      <c r="R101" s="43"/>
      <c r="S101" s="18"/>
      <c r="T101" s="18"/>
      <c r="U101" s="18"/>
      <c r="V101" s="43"/>
      <c r="W101" s="18"/>
      <c r="X101" s="18"/>
    </row>
    <row r="102" spans="1:26" x14ac:dyDescent="0.25">
      <c r="D102" s="18"/>
      <c r="E102" s="18"/>
      <c r="G102" s="18"/>
      <c r="H102" s="18"/>
      <c r="I102" s="18"/>
      <c r="J102" s="43"/>
      <c r="K102" s="18"/>
      <c r="L102" s="18"/>
      <c r="M102" s="18"/>
      <c r="P102" s="18"/>
      <c r="Q102" s="18"/>
      <c r="R102" s="43"/>
      <c r="S102" s="18"/>
      <c r="T102" s="18"/>
      <c r="U102" s="18"/>
      <c r="V102" s="43"/>
      <c r="W102" s="18"/>
      <c r="X102" s="18"/>
    </row>
  </sheetData>
  <pageMargins left="0.25" right="0.25" top="0.75" bottom="0.75" header="0.3" footer="0.3"/>
  <pageSetup scale="55" fitToWidth="2" orientation="landscape"/>
  <drawing r:id="rId1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sheetPr>
    <tabColor rgb="FF92D050"/>
    <outlinePr summaryBelow="0" summaryRight="0"/>
  </sheetPr>
  <dimension ref="A2:Z96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62" t="s">
        <v>23</v>
      </c>
    </row>
    <row r="3" spans="1:26" x14ac:dyDescent="0.25">
      <c r="D3" s="62" t="s">
        <v>236</v>
      </c>
      <c r="E3" s="17"/>
      <c r="F3" s="46"/>
      <c r="G3" s="17"/>
      <c r="H3" s="17"/>
      <c r="I3" s="17"/>
      <c r="J3" s="38"/>
      <c r="K3" s="17"/>
      <c r="L3" s="17"/>
      <c r="M3" s="17"/>
      <c r="N3" s="46"/>
      <c r="O3" s="53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2" t="str">
        <f>CONCATENATE("Period ",RIGHT(202112,2),", ",2021)</f>
        <v>Period 12, 2021</v>
      </c>
      <c r="E4" s="17"/>
      <c r="F4" s="46"/>
      <c r="G4" s="17"/>
      <c r="H4" s="17"/>
      <c r="I4" s="17"/>
      <c r="J4" s="38"/>
      <c r="K4" s="17"/>
      <c r="L4" s="17"/>
      <c r="M4" s="17"/>
      <c r="N4" s="46"/>
      <c r="O4" s="53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4"/>
      <c r="D5" s="63">
        <v>44377</v>
      </c>
      <c r="E5" s="17"/>
      <c r="F5" s="46"/>
      <c r="G5" s="17"/>
      <c r="H5" s="17"/>
      <c r="I5" s="17"/>
      <c r="J5" s="38"/>
      <c r="K5" s="17"/>
      <c r="L5" s="17"/>
      <c r="M5" s="17"/>
      <c r="N5" s="46"/>
      <c r="O5" s="53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4"/>
      <c r="B6" s="48"/>
      <c r="C6" s="48"/>
      <c r="D6" s="24" t="str">
        <f>CONCATENATE("Department ","450", " - ", "Beachside Dining Hall")</f>
        <v>Department 450 - Beachside Dining Hall</v>
      </c>
      <c r="E6" s="17"/>
      <c r="F6" s="46"/>
      <c r="G6" s="17"/>
      <c r="H6" s="17"/>
      <c r="I6" s="17"/>
      <c r="J6" s="38"/>
      <c r="K6" s="17"/>
      <c r="L6" s="17"/>
      <c r="M6" s="17"/>
      <c r="N6" s="46"/>
      <c r="O6" s="54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9"/>
    </row>
    <row r="8" spans="1:26" x14ac:dyDescent="0.25">
      <c r="B8" s="59"/>
    </row>
    <row r="9" spans="1:26" x14ac:dyDescent="0.25">
      <c r="B9" s="9"/>
      <c r="C9" s="9"/>
      <c r="D9" s="16" t="s">
        <v>291</v>
      </c>
      <c r="E9" s="16"/>
      <c r="F9" s="39"/>
      <c r="G9" s="16"/>
      <c r="H9" s="16"/>
      <c r="I9" s="16"/>
      <c r="J9" s="49"/>
      <c r="K9" s="16"/>
      <c r="L9" s="16"/>
      <c r="M9" s="16"/>
      <c r="N9" s="39"/>
      <c r="P9" s="16" t="s">
        <v>39</v>
      </c>
      <c r="Q9" s="16"/>
      <c r="R9" s="39"/>
      <c r="S9" s="16"/>
      <c r="T9" s="16"/>
      <c r="U9" s="16"/>
      <c r="V9" s="49"/>
      <c r="W9" s="16"/>
      <c r="X9" s="16"/>
      <c r="Y9" s="16"/>
      <c r="Z9" s="39"/>
    </row>
    <row r="10" spans="1:26" x14ac:dyDescent="0.25">
      <c r="A10" s="11"/>
      <c r="B10" s="58"/>
      <c r="C10" s="11"/>
      <c r="D10" s="42" t="s">
        <v>57</v>
      </c>
      <c r="E10" s="36"/>
      <c r="F10" s="30" t="s">
        <v>40</v>
      </c>
      <c r="G10" s="36"/>
      <c r="H10" s="50" t="s">
        <v>237</v>
      </c>
      <c r="I10" s="36"/>
      <c r="J10" s="30" t="s">
        <v>40</v>
      </c>
      <c r="K10" s="11"/>
      <c r="L10" s="42" t="s">
        <v>126</v>
      </c>
      <c r="M10" s="11"/>
      <c r="N10" s="30" t="s">
        <v>257</v>
      </c>
      <c r="O10" s="11"/>
      <c r="P10" s="61" t="s">
        <v>57</v>
      </c>
      <c r="Q10" s="36"/>
      <c r="R10" s="30" t="s">
        <v>40</v>
      </c>
      <c r="S10" s="36"/>
      <c r="T10" s="50" t="s">
        <v>237</v>
      </c>
      <c r="U10" s="36"/>
      <c r="V10" s="30" t="s">
        <v>40</v>
      </c>
      <c r="W10" s="11"/>
      <c r="X10" s="42" t="s">
        <v>126</v>
      </c>
      <c r="Y10" s="11"/>
      <c r="Z10" s="30" t="s">
        <v>257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4" customFormat="1" collapsed="1" x14ac:dyDescent="0.25">
      <c r="A12" s="11"/>
      <c r="B12" s="29" t="s">
        <v>139</v>
      </c>
      <c r="C12" s="11"/>
      <c r="D12" s="4">
        <f>SUM(OSRRefD13x_0)</f>
        <v>0</v>
      </c>
      <c r="E12" s="4"/>
      <c r="F12" s="13"/>
      <c r="G12" s="4"/>
      <c r="H12" s="4">
        <f>SUM(OSRRefH13x_0)</f>
        <v>-33341.82</v>
      </c>
      <c r="I12" s="4"/>
      <c r="J12" s="13"/>
      <c r="K12" s="4"/>
      <c r="L12" s="4">
        <f t="shared" ref="L12:L15" si="0">+D12-H12</f>
        <v>33341.82</v>
      </c>
      <c r="M12" s="4"/>
      <c r="N12" s="13">
        <f t="shared" ref="N12:N15" si="1">IF(H12=0,0,L12/H12)</f>
        <v>-1</v>
      </c>
      <c r="O12" s="11"/>
      <c r="P12" s="4">
        <f>SUM(OSRRefP13x_0)</f>
        <v>0</v>
      </c>
      <c r="Q12" s="4"/>
      <c r="R12" s="13"/>
      <c r="S12" s="4"/>
      <c r="T12" s="4">
        <f>SUM(OSRRefT13x_0)</f>
        <v>1960998.74</v>
      </c>
      <c r="U12" s="4"/>
      <c r="V12" s="13"/>
      <c r="W12" s="4"/>
      <c r="X12" s="4">
        <f t="shared" ref="X12:X15" si="2">+P12-T12</f>
        <v>-1960998.74</v>
      </c>
      <c r="Y12" s="4"/>
      <c r="Z12" s="13">
        <f t="shared" ref="Z12:Z15" si="3">IF(T12=0,0,X12/T12)</f>
        <v>-1</v>
      </c>
    </row>
    <row r="13" spans="1:26" s="23" customFormat="1" hidden="1" outlineLevel="1" x14ac:dyDescent="0.25">
      <c r="A13" s="44"/>
      <c r="B13" s="10" t="str">
        <f>CONCATENATE("          ", "4053", " - ", "TAXABLE SALES-FOOD")</f>
        <v xml:space="preserve">          4053 - TAXABLE SALES-FOOD</v>
      </c>
      <c r="C13" s="10"/>
      <c r="D13" s="2">
        <f t="shared" ref="D13:D15" si="4">0</f>
        <v>0</v>
      </c>
      <c r="E13" s="2"/>
      <c r="F13" s="19"/>
      <c r="G13" s="2"/>
      <c r="H13" s="2">
        <f>0</f>
        <v>0</v>
      </c>
      <c r="I13" s="2"/>
      <c r="J13" s="19"/>
      <c r="K13" s="2"/>
      <c r="L13" s="2">
        <f t="shared" si="0"/>
        <v>0</v>
      </c>
      <c r="M13" s="2"/>
      <c r="N13" s="19">
        <f t="shared" si="1"/>
        <v>0</v>
      </c>
      <c r="O13" s="10"/>
      <c r="P13" s="2">
        <f t="shared" ref="P13:P15" si="5">0</f>
        <v>0</v>
      </c>
      <c r="Q13" s="2"/>
      <c r="R13" s="19"/>
      <c r="S13" s="2"/>
      <c r="T13" s="2">
        <f>--959.82</f>
        <v>959.82</v>
      </c>
      <c r="U13" s="2"/>
      <c r="V13" s="19"/>
      <c r="W13" s="2"/>
      <c r="X13" s="2">
        <f t="shared" si="2"/>
        <v>-959.82</v>
      </c>
      <c r="Y13" s="2"/>
      <c r="Z13" s="19">
        <f t="shared" si="3"/>
        <v>-1</v>
      </c>
    </row>
    <row r="14" spans="1:26" s="23" customFormat="1" hidden="1" outlineLevel="1" x14ac:dyDescent="0.25">
      <c r="A14" s="44"/>
      <c r="B14" s="10" t="str">
        <f>CONCATENATE("          ", "4151", " - ", "NON-TAXABLE SALES-FOOD")</f>
        <v xml:space="preserve">          4151 - NON-TAXABLE SALES-FOOD</v>
      </c>
      <c r="C14" s="10"/>
      <c r="D14" s="2">
        <f t="shared" si="4"/>
        <v>0</v>
      </c>
      <c r="E14" s="2"/>
      <c r="F14" s="19"/>
      <c r="G14" s="2"/>
      <c r="H14" s="2">
        <f>-33341.82</f>
        <v>-33341.82</v>
      </c>
      <c r="I14" s="2"/>
      <c r="J14" s="19"/>
      <c r="K14" s="2"/>
      <c r="L14" s="2">
        <f t="shared" si="0"/>
        <v>33341.82</v>
      </c>
      <c r="M14" s="2"/>
      <c r="N14" s="19">
        <f t="shared" si="1"/>
        <v>-1</v>
      </c>
      <c r="O14" s="10"/>
      <c r="P14" s="2">
        <f t="shared" si="5"/>
        <v>0</v>
      </c>
      <c r="Q14" s="2"/>
      <c r="R14" s="19"/>
      <c r="S14" s="2"/>
      <c r="T14" s="2">
        <f>--1950872.52</f>
        <v>1950872.52</v>
      </c>
      <c r="U14" s="2"/>
      <c r="V14" s="19"/>
      <c r="W14" s="2"/>
      <c r="X14" s="2">
        <f t="shared" si="2"/>
        <v>-1950872.52</v>
      </c>
      <c r="Y14" s="2"/>
      <c r="Z14" s="19">
        <f t="shared" si="3"/>
        <v>-1</v>
      </c>
    </row>
    <row r="15" spans="1:26" s="23" customFormat="1" hidden="1" outlineLevel="1" x14ac:dyDescent="0.25">
      <c r="A15" s="44"/>
      <c r="B15" s="10" t="str">
        <f>CONCATENATE("          ", "4153", " - ", "NON-TAXABLE SALES-FOOD")</f>
        <v xml:space="preserve">          4153 - NON-TAXABLE SALES-FOOD</v>
      </c>
      <c r="C15" s="10"/>
      <c r="D15" s="2">
        <f t="shared" si="4"/>
        <v>0</v>
      </c>
      <c r="E15" s="2"/>
      <c r="F15" s="19"/>
      <c r="G15" s="2"/>
      <c r="H15" s="2">
        <f>0</f>
        <v>0</v>
      </c>
      <c r="I15" s="2"/>
      <c r="J15" s="19"/>
      <c r="K15" s="2"/>
      <c r="L15" s="2">
        <f t="shared" si="0"/>
        <v>0</v>
      </c>
      <c r="M15" s="2"/>
      <c r="N15" s="19">
        <f t="shared" si="1"/>
        <v>0</v>
      </c>
      <c r="O15" s="10"/>
      <c r="P15" s="2">
        <f t="shared" si="5"/>
        <v>0</v>
      </c>
      <c r="Q15" s="2"/>
      <c r="R15" s="19"/>
      <c r="S15" s="2"/>
      <c r="T15" s="2">
        <f>--9166.4</f>
        <v>9166.4</v>
      </c>
      <c r="U15" s="2"/>
      <c r="V15" s="19"/>
      <c r="W15" s="2"/>
      <c r="X15" s="2">
        <f t="shared" si="2"/>
        <v>-9166.4</v>
      </c>
      <c r="Y15" s="2"/>
      <c r="Z15" s="19">
        <f t="shared" si="3"/>
        <v>-1</v>
      </c>
    </row>
    <row r="16" spans="1:26" x14ac:dyDescent="0.25">
      <c r="A16" s="9"/>
      <c r="B16" s="11"/>
      <c r="C16" s="9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4" customFormat="1" collapsed="1" x14ac:dyDescent="0.25">
      <c r="A17" s="11"/>
      <c r="B17" s="29" t="s">
        <v>256</v>
      </c>
      <c r="C17" s="11"/>
      <c r="D17" s="4">
        <f>SUM(OSRRefD16x_0)</f>
        <v>0</v>
      </c>
      <c r="E17" s="4"/>
      <c r="F17" s="13">
        <f t="shared" ref="F17:F19" si="6">IF(D$12=0,0,D17/D$12)</f>
        <v>0</v>
      </c>
      <c r="G17" s="4"/>
      <c r="H17" s="4">
        <f>SUM(OSRRefH16x_0)</f>
        <v>969</v>
      </c>
      <c r="I17" s="4"/>
      <c r="J17" s="13">
        <f t="shared" ref="J17:J19" si="7">IF(H$12=0,0,H17/H$12)</f>
        <v>-2.9062600661871489E-2</v>
      </c>
      <c r="K17" s="4"/>
      <c r="L17" s="4">
        <f t="shared" ref="L17:L19" si="8">+D17-H17</f>
        <v>-969</v>
      </c>
      <c r="M17" s="4"/>
      <c r="N17" s="13">
        <f t="shared" ref="N17:N19" si="9">IF(H17=0,0,L17/H17)</f>
        <v>-1</v>
      </c>
      <c r="O17" s="11"/>
      <c r="P17" s="4">
        <f>SUM(OSRRefP16x_0)</f>
        <v>0</v>
      </c>
      <c r="Q17" s="4"/>
      <c r="R17" s="13">
        <f t="shared" ref="R17:R19" si="10">IF(P$12=0,0,P17/P$12)</f>
        <v>0</v>
      </c>
      <c r="S17" s="4"/>
      <c r="T17" s="4">
        <f>SUM(OSRRefT16x_0)</f>
        <v>448851.54</v>
      </c>
      <c r="U17" s="4"/>
      <c r="V17" s="13">
        <f t="shared" ref="V17:V19" si="11">IF(T$12=0,0,T17/T$12)</f>
        <v>0.22888925466622176</v>
      </c>
      <c r="W17" s="4"/>
      <c r="X17" s="4">
        <f t="shared" ref="X17:X19" si="12">+P17-T17</f>
        <v>-448851.54</v>
      </c>
      <c r="Y17" s="4"/>
      <c r="Z17" s="13">
        <f t="shared" ref="Z17:Z19" si="13">IF(T17=0,0,X17/T17)</f>
        <v>-1</v>
      </c>
    </row>
    <row r="18" spans="1:26" s="23" customFormat="1" hidden="1" outlineLevel="1" x14ac:dyDescent="0.25">
      <c r="A18" s="44"/>
      <c r="B18" s="10" t="str">
        <f>CONCATENATE("          ", "5053", " - ", "PURCHASES @ COST-FOOD")</f>
        <v xml:space="preserve">          5053 - PURCHASES @ COST-FOOD</v>
      </c>
      <c r="C18" s="10"/>
      <c r="D18" s="2"/>
      <c r="E18" s="2"/>
      <c r="F18" s="19">
        <f t="shared" si="6"/>
        <v>0</v>
      </c>
      <c r="G18" s="2"/>
      <c r="H18" s="2">
        <v>-450</v>
      </c>
      <c r="I18" s="2"/>
      <c r="J18" s="19">
        <f t="shared" si="7"/>
        <v>1.349656377486292E-2</v>
      </c>
      <c r="K18" s="2"/>
      <c r="L18" s="2">
        <f t="shared" si="8"/>
        <v>450</v>
      </c>
      <c r="M18" s="2"/>
      <c r="N18" s="19">
        <f t="shared" si="9"/>
        <v>-1</v>
      </c>
      <c r="O18" s="10"/>
      <c r="P18" s="2"/>
      <c r="Q18" s="2"/>
      <c r="R18" s="19">
        <f t="shared" si="10"/>
        <v>0</v>
      </c>
      <c r="S18" s="2"/>
      <c r="T18" s="2">
        <v>436724.54</v>
      </c>
      <c r="U18" s="2"/>
      <c r="V18" s="19">
        <f t="shared" si="11"/>
        <v>0.22270516094263273</v>
      </c>
      <c r="W18" s="2"/>
      <c r="X18" s="2">
        <f t="shared" si="12"/>
        <v>-436724.54</v>
      </c>
      <c r="Y18" s="2"/>
      <c r="Z18" s="19">
        <f t="shared" si="13"/>
        <v>-1</v>
      </c>
    </row>
    <row r="19" spans="1:26" s="23" customFormat="1" hidden="1" outlineLevel="1" x14ac:dyDescent="0.25">
      <c r="A19" s="44"/>
      <c r="B19" s="10" t="str">
        <f>CONCATENATE("          ", "5059", " - ", "PURCHASES @ COST-FOOD")</f>
        <v xml:space="preserve">          5059 - PURCHASES @ COST-FOOD</v>
      </c>
      <c r="C19" s="10"/>
      <c r="D19" s="2"/>
      <c r="E19" s="2"/>
      <c r="F19" s="19">
        <f t="shared" si="6"/>
        <v>0</v>
      </c>
      <c r="G19" s="2"/>
      <c r="H19" s="2">
        <v>1419</v>
      </c>
      <c r="I19" s="2"/>
      <c r="J19" s="19">
        <f t="shared" si="7"/>
        <v>-4.2559164436734409E-2</v>
      </c>
      <c r="K19" s="2"/>
      <c r="L19" s="2">
        <f t="shared" si="8"/>
        <v>-1419</v>
      </c>
      <c r="M19" s="2"/>
      <c r="N19" s="19">
        <f t="shared" si="9"/>
        <v>-1</v>
      </c>
      <c r="O19" s="10"/>
      <c r="P19" s="2"/>
      <c r="Q19" s="2"/>
      <c r="R19" s="19">
        <f t="shared" si="10"/>
        <v>0</v>
      </c>
      <c r="S19" s="2"/>
      <c r="T19" s="2">
        <v>12127</v>
      </c>
      <c r="U19" s="2"/>
      <c r="V19" s="19">
        <f t="shared" si="11"/>
        <v>6.1840937235890323E-3</v>
      </c>
      <c r="W19" s="2"/>
      <c r="X19" s="2">
        <f t="shared" si="12"/>
        <v>-12127</v>
      </c>
      <c r="Y19" s="2"/>
      <c r="Z19" s="19">
        <f t="shared" si="13"/>
        <v>-1</v>
      </c>
    </row>
    <row r="20" spans="1:26" x14ac:dyDescent="0.25">
      <c r="A20" s="9"/>
      <c r="B20" s="11"/>
      <c r="C20" s="11"/>
      <c r="D20" s="3"/>
      <c r="E20" s="3"/>
      <c r="F20" s="8"/>
      <c r="G20" s="3"/>
      <c r="H20" s="3"/>
      <c r="I20" s="3"/>
      <c r="J20" s="8"/>
      <c r="K20" s="3"/>
      <c r="L20" s="3"/>
      <c r="M20" s="3"/>
      <c r="N20" s="8"/>
      <c r="O20" s="11"/>
      <c r="P20" s="3"/>
      <c r="Q20" s="3"/>
      <c r="R20" s="8"/>
      <c r="S20" s="3"/>
      <c r="T20" s="3"/>
      <c r="U20" s="3"/>
      <c r="V20" s="8"/>
      <c r="W20" s="3"/>
      <c r="X20" s="3"/>
      <c r="Y20" s="3"/>
      <c r="Z20" s="8"/>
    </row>
    <row r="21" spans="1:26" s="24" customFormat="1" x14ac:dyDescent="0.25">
      <c r="A21" s="11"/>
      <c r="B21" s="28" t="s">
        <v>107</v>
      </c>
      <c r="C21" s="28"/>
      <c r="D21" s="21">
        <f>D12-D17</f>
        <v>0</v>
      </c>
      <c r="E21" s="14"/>
      <c r="F21" s="22">
        <f>IF(D$12=0,0,D21/D$12)</f>
        <v>0</v>
      </c>
      <c r="G21" s="14"/>
      <c r="H21" s="21">
        <f>H12-H17</f>
        <v>-34310.82</v>
      </c>
      <c r="I21" s="14"/>
      <c r="J21" s="22">
        <f>IF(H$12=0,0,H21/H$12)</f>
        <v>1.0290626006618715</v>
      </c>
      <c r="K21" s="15"/>
      <c r="L21" s="21">
        <f>+D21-H21</f>
        <v>34310.82</v>
      </c>
      <c r="M21" s="15"/>
      <c r="N21" s="22">
        <f>IF(H21=0,0,L21/H21)</f>
        <v>-1</v>
      </c>
      <c r="O21" s="29"/>
      <c r="P21" s="21">
        <f>P12-P17</f>
        <v>0</v>
      </c>
      <c r="Q21" s="14"/>
      <c r="R21" s="22">
        <f>IF(P$12=0,0,P21/P$12)</f>
        <v>0</v>
      </c>
      <c r="S21" s="14"/>
      <c r="T21" s="21">
        <f>T12-T17</f>
        <v>1512147.2</v>
      </c>
      <c r="U21" s="14"/>
      <c r="V21" s="22">
        <f>IF(T$12=0,0,T21/T$12)</f>
        <v>0.77111074533377821</v>
      </c>
      <c r="W21" s="15"/>
      <c r="X21" s="21">
        <f>+P21-T21</f>
        <v>-1512147.2</v>
      </c>
      <c r="Y21" s="15"/>
      <c r="Z21" s="22">
        <f>IF(T21=0,0,X21/T21)</f>
        <v>-1</v>
      </c>
    </row>
    <row r="22" spans="1:26" x14ac:dyDescent="0.25">
      <c r="A22" s="9"/>
      <c r="B22" s="11"/>
      <c r="C22" s="9"/>
      <c r="D22" s="1"/>
      <c r="E22" s="1"/>
      <c r="F22" s="5"/>
      <c r="G22" s="1"/>
      <c r="H22" s="1"/>
      <c r="I22" s="1"/>
      <c r="J22" s="5"/>
      <c r="K22" s="1"/>
      <c r="L22" s="1"/>
      <c r="M22" s="1"/>
      <c r="N22" s="5"/>
      <c r="O22" s="37"/>
      <c r="P22" s="1"/>
      <c r="Q22" s="1"/>
      <c r="R22" s="5"/>
      <c r="S22" s="1"/>
      <c r="T22" s="1"/>
      <c r="U22" s="1"/>
      <c r="V22" s="5"/>
      <c r="W22" s="1"/>
      <c r="X22" s="1"/>
      <c r="Y22" s="1"/>
      <c r="Z22" s="5"/>
    </row>
    <row r="23" spans="1:26" s="24" customFormat="1" x14ac:dyDescent="0.25">
      <c r="A23" s="11"/>
      <c r="B23" s="29" t="s">
        <v>294</v>
      </c>
      <c r="C23" s="11"/>
      <c r="D23" s="20">
        <f>SUM(OSRRefD22x_0)</f>
        <v>38835.090000000004</v>
      </c>
      <c r="E23" s="20"/>
      <c r="F23" s="32">
        <f t="shared" ref="F23:F33" si="14">IF(D$12=0,0,D23/D$12)</f>
        <v>0</v>
      </c>
      <c r="G23" s="20"/>
      <c r="H23" s="20">
        <f>SUM(OSRRefH22x_0)</f>
        <v>28158.18</v>
      </c>
      <c r="I23" s="20"/>
      <c r="J23" s="32">
        <f t="shared" ref="J23:J33" si="15">IF(H$12=0,0,H23/H$12)</f>
        <v>-0.84453038256459911</v>
      </c>
      <c r="K23" s="4"/>
      <c r="L23" s="20">
        <f t="shared" ref="L23:L33" si="16">+D23-H23</f>
        <v>10676.910000000003</v>
      </c>
      <c r="M23" s="4"/>
      <c r="N23" s="32">
        <f t="shared" ref="N23:N33" si="17">IF(H23=0,0,L23/H23)</f>
        <v>0.37917613993518057</v>
      </c>
      <c r="O23" s="11"/>
      <c r="P23" s="20">
        <f>SUM(OSRRefP22x_0)</f>
        <v>487946.78</v>
      </c>
      <c r="Q23" s="20"/>
      <c r="R23" s="32">
        <f t="shared" ref="R23:R33" si="18">IF(P$12=0,0,P23/P$12)</f>
        <v>0</v>
      </c>
      <c r="S23" s="20"/>
      <c r="T23" s="20">
        <f>SUM(OSRRefT22x_0)</f>
        <v>1216927.97</v>
      </c>
      <c r="U23" s="20"/>
      <c r="V23" s="32">
        <f t="shared" ref="V23:V33" si="19">IF(T$12=0,0,T23/T$12)</f>
        <v>0.62056540128118587</v>
      </c>
      <c r="W23" s="4"/>
      <c r="X23" s="20">
        <f t="shared" ref="X23:X33" si="20">+P23-T23</f>
        <v>-728981.19</v>
      </c>
      <c r="Y23" s="4"/>
      <c r="Z23" s="32">
        <f t="shared" ref="Z23:Z33" si="21">IF(T23=0,0,X23/T23)</f>
        <v>-0.59903396747467308</v>
      </c>
    </row>
    <row r="24" spans="1:26" s="27" customFormat="1" outlineLevel="1" collapsed="1" x14ac:dyDescent="0.25">
      <c r="A24" s="26"/>
      <c r="B24" s="12" t="str">
        <f>CONCATENATE("     ","*Benefits                                         ")</f>
        <v xml:space="preserve">     *Benefits                                         </v>
      </c>
      <c r="C24" s="12"/>
      <c r="D24" s="1">
        <f>SUM(OSRRefD22_0x_0)</f>
        <v>19048.600000000002</v>
      </c>
      <c r="E24" s="1"/>
      <c r="F24" s="5">
        <f t="shared" si="14"/>
        <v>0</v>
      </c>
      <c r="G24" s="1"/>
      <c r="H24" s="1">
        <f>SUM(OSRRefH22_0x_0)</f>
        <v>16788.280000000002</v>
      </c>
      <c r="I24" s="1"/>
      <c r="J24" s="5">
        <f t="shared" si="15"/>
        <v>-0.50352020375612372</v>
      </c>
      <c r="K24" s="1"/>
      <c r="L24" s="1">
        <f t="shared" si="16"/>
        <v>2260.3199999999997</v>
      </c>
      <c r="M24" s="1"/>
      <c r="N24" s="5">
        <f t="shared" si="17"/>
        <v>0.13463678232671836</v>
      </c>
      <c r="O24" s="12"/>
      <c r="P24" s="1">
        <f>SUM(OSRRefP22_0x_0)</f>
        <v>233079.9</v>
      </c>
      <c r="Q24" s="1"/>
      <c r="R24" s="5">
        <f t="shared" si="18"/>
        <v>0</v>
      </c>
      <c r="S24" s="1"/>
      <c r="T24" s="1">
        <f>SUM(OSRRefT22_0x_0)</f>
        <v>258813.22000000003</v>
      </c>
      <c r="U24" s="1"/>
      <c r="V24" s="5">
        <f t="shared" si="19"/>
        <v>0.13198030917653727</v>
      </c>
      <c r="W24" s="1"/>
      <c r="X24" s="1">
        <f t="shared" si="20"/>
        <v>-25733.320000000036</v>
      </c>
      <c r="Y24" s="1"/>
      <c r="Z24" s="5">
        <f t="shared" si="21"/>
        <v>-9.9428151313136301E-2</v>
      </c>
    </row>
    <row r="25" spans="1:26" s="23" customFormat="1" hidden="1" outlineLevel="2" x14ac:dyDescent="0.25">
      <c r="A25" s="25"/>
      <c r="B25" s="10" t="str">
        <f>CONCATENATE("          ", "6111", " - ", "F.I.C.A.")</f>
        <v xml:space="preserve">          6111 - F.I.C.A.</v>
      </c>
      <c r="C25" s="10"/>
      <c r="D25" s="6">
        <v>1529.03</v>
      </c>
      <c r="E25" s="2"/>
      <c r="F25" s="7">
        <f t="shared" si="14"/>
        <v>0</v>
      </c>
      <c r="G25" s="2"/>
      <c r="H25" s="6">
        <v>1568.77</v>
      </c>
      <c r="I25" s="2"/>
      <c r="J25" s="7">
        <f t="shared" si="15"/>
        <v>-4.705112078464823E-2</v>
      </c>
      <c r="K25" s="2"/>
      <c r="L25" s="6">
        <f t="shared" si="16"/>
        <v>-39.740000000000009</v>
      </c>
      <c r="M25" s="2"/>
      <c r="N25" s="7">
        <f t="shared" si="17"/>
        <v>-2.533194795922921E-2</v>
      </c>
      <c r="O25" s="10"/>
      <c r="P25" s="6">
        <v>20290.330000000002</v>
      </c>
      <c r="Q25" s="2"/>
      <c r="R25" s="7">
        <f t="shared" si="18"/>
        <v>0</v>
      </c>
      <c r="S25" s="2"/>
      <c r="T25" s="6">
        <v>41716.54</v>
      </c>
      <c r="U25" s="2"/>
      <c r="V25" s="7">
        <f t="shared" si="19"/>
        <v>2.1273109028106769E-2</v>
      </c>
      <c r="W25" s="2"/>
      <c r="X25" s="6">
        <f t="shared" si="20"/>
        <v>-21426.21</v>
      </c>
      <c r="Y25" s="2"/>
      <c r="Z25" s="7">
        <f t="shared" si="21"/>
        <v>-0.51361426427023904</v>
      </c>
    </row>
    <row r="26" spans="1:26" s="23" customFormat="1" hidden="1" outlineLevel="2" x14ac:dyDescent="0.25">
      <c r="A26" s="25"/>
      <c r="B26" s="10" t="str">
        <f>CONCATENATE("          ", "6112", " - ", "COMPENSATION INSURANCE")</f>
        <v xml:space="preserve">          6112 - COMPENSATION INSURANCE</v>
      </c>
      <c r="C26" s="10"/>
      <c r="D26" s="6">
        <v>852.97</v>
      </c>
      <c r="E26" s="2"/>
      <c r="F26" s="7">
        <f t="shared" si="14"/>
        <v>0</v>
      </c>
      <c r="G26" s="2"/>
      <c r="H26" s="6">
        <v>740.18</v>
      </c>
      <c r="I26" s="2"/>
      <c r="J26" s="7">
        <f t="shared" si="15"/>
        <v>-2.2199747944173412E-2</v>
      </c>
      <c r="K26" s="2"/>
      <c r="L26" s="6">
        <f t="shared" si="16"/>
        <v>112.79000000000008</v>
      </c>
      <c r="M26" s="2"/>
      <c r="N26" s="7">
        <f t="shared" si="17"/>
        <v>0.15238185306276864</v>
      </c>
      <c r="O26" s="10"/>
      <c r="P26" s="6">
        <v>11303.24</v>
      </c>
      <c r="Q26" s="2"/>
      <c r="R26" s="7">
        <f t="shared" si="18"/>
        <v>0</v>
      </c>
      <c r="S26" s="2"/>
      <c r="T26" s="6">
        <v>25014.48</v>
      </c>
      <c r="U26" s="2"/>
      <c r="V26" s="7">
        <f t="shared" si="19"/>
        <v>1.2755989838116877E-2</v>
      </c>
      <c r="W26" s="2"/>
      <c r="X26" s="6">
        <f t="shared" si="20"/>
        <v>-13711.24</v>
      </c>
      <c r="Y26" s="2"/>
      <c r="Z26" s="7">
        <f t="shared" si="21"/>
        <v>-0.54813212187501004</v>
      </c>
    </row>
    <row r="27" spans="1:26" s="23" customFormat="1" hidden="1" outlineLevel="2" x14ac:dyDescent="0.25">
      <c r="A27" s="25"/>
      <c r="B27" s="10" t="str">
        <f>CONCATENATE("          ", "6113", " - ", "GROUP INSURANCE")</f>
        <v xml:space="preserve">          6113 - GROUP INSURANCE</v>
      </c>
      <c r="C27" s="10"/>
      <c r="D27" s="6">
        <v>12477.91</v>
      </c>
      <c r="E27" s="2"/>
      <c r="F27" s="7">
        <f t="shared" si="14"/>
        <v>0</v>
      </c>
      <c r="G27" s="2"/>
      <c r="H27" s="6">
        <v>12616.96</v>
      </c>
      <c r="I27" s="2"/>
      <c r="J27" s="7">
        <f t="shared" si="15"/>
        <v>-0.37841245618865432</v>
      </c>
      <c r="K27" s="2"/>
      <c r="L27" s="6">
        <f t="shared" si="16"/>
        <v>-139.04999999999927</v>
      </c>
      <c r="M27" s="2"/>
      <c r="N27" s="7">
        <f t="shared" si="17"/>
        <v>-1.1020879831591706E-2</v>
      </c>
      <c r="O27" s="10"/>
      <c r="P27" s="6">
        <v>150568.99</v>
      </c>
      <c r="Q27" s="2"/>
      <c r="R27" s="7">
        <f t="shared" si="18"/>
        <v>0</v>
      </c>
      <c r="S27" s="2"/>
      <c r="T27" s="6">
        <v>167665.99</v>
      </c>
      <c r="U27" s="2"/>
      <c r="V27" s="7">
        <f t="shared" si="19"/>
        <v>8.5500304808966879E-2</v>
      </c>
      <c r="W27" s="2"/>
      <c r="X27" s="6">
        <f t="shared" si="20"/>
        <v>-17097</v>
      </c>
      <c r="Y27" s="2"/>
      <c r="Z27" s="7">
        <f t="shared" si="21"/>
        <v>-0.10197059045785016</v>
      </c>
    </row>
    <row r="28" spans="1:26" s="23" customFormat="1" hidden="1" outlineLevel="2" x14ac:dyDescent="0.25">
      <c r="A28" s="25"/>
      <c r="B28" s="10" t="str">
        <f>CONCATENATE("          ", "6114", " - ", "STATE UNEMPLOYMENT INSURANCE")</f>
        <v xml:space="preserve">          6114 - STATE UNEMPLOYMENT INSURANCE</v>
      </c>
      <c r="C28" s="10"/>
      <c r="D28" s="6">
        <v>51.7</v>
      </c>
      <c r="E28" s="2"/>
      <c r="F28" s="7">
        <f t="shared" si="14"/>
        <v>0</v>
      </c>
      <c r="G28" s="2"/>
      <c r="H28" s="6">
        <v>-1896.74</v>
      </c>
      <c r="I28" s="2"/>
      <c r="J28" s="7">
        <f t="shared" si="15"/>
        <v>5.6887716387407763E-2</v>
      </c>
      <c r="K28" s="2"/>
      <c r="L28" s="6">
        <f t="shared" si="16"/>
        <v>1948.44</v>
      </c>
      <c r="M28" s="2"/>
      <c r="N28" s="7">
        <f t="shared" si="17"/>
        <v>-1.0272572940940772</v>
      </c>
      <c r="O28" s="10"/>
      <c r="P28" s="6">
        <v>693.72</v>
      </c>
      <c r="Q28" s="2"/>
      <c r="R28" s="7">
        <f t="shared" si="18"/>
        <v>0</v>
      </c>
      <c r="S28" s="2"/>
      <c r="T28" s="6">
        <v>0</v>
      </c>
      <c r="U28" s="2"/>
      <c r="V28" s="7">
        <f t="shared" si="19"/>
        <v>0</v>
      </c>
      <c r="W28" s="2"/>
      <c r="X28" s="6">
        <f t="shared" si="20"/>
        <v>693.72</v>
      </c>
      <c r="Y28" s="2"/>
      <c r="Z28" s="7">
        <f t="shared" si="21"/>
        <v>0</v>
      </c>
    </row>
    <row r="29" spans="1:26" s="23" customFormat="1" hidden="1" outlineLevel="2" x14ac:dyDescent="0.25">
      <c r="A29" s="25"/>
      <c r="B29" s="10" t="str">
        <f>CONCATENATE("          ", "6115", " - ", "P.E.R.S.")</f>
        <v xml:space="preserve">          6115 - P.E.R.S.</v>
      </c>
      <c r="C29" s="10"/>
      <c r="D29" s="6">
        <v>741.28</v>
      </c>
      <c r="E29" s="2"/>
      <c r="F29" s="7">
        <f t="shared" si="14"/>
        <v>0</v>
      </c>
      <c r="G29" s="2"/>
      <c r="H29" s="6">
        <v>449.45</v>
      </c>
      <c r="I29" s="2"/>
      <c r="J29" s="7">
        <f t="shared" si="15"/>
        <v>-1.3480067974693644E-2</v>
      </c>
      <c r="K29" s="2"/>
      <c r="L29" s="6">
        <f t="shared" si="16"/>
        <v>291.83</v>
      </c>
      <c r="M29" s="2"/>
      <c r="N29" s="7">
        <f t="shared" si="17"/>
        <v>0.64930470575147403</v>
      </c>
      <c r="O29" s="10"/>
      <c r="P29" s="6">
        <v>6725.94</v>
      </c>
      <c r="Q29" s="2"/>
      <c r="R29" s="7">
        <f t="shared" si="18"/>
        <v>0</v>
      </c>
      <c r="S29" s="2"/>
      <c r="T29" s="6">
        <v>13163.64</v>
      </c>
      <c r="U29" s="2"/>
      <c r="V29" s="7">
        <f t="shared" si="19"/>
        <v>6.7127223141408036E-3</v>
      </c>
      <c r="W29" s="2"/>
      <c r="X29" s="6">
        <f t="shared" si="20"/>
        <v>-6437.7</v>
      </c>
      <c r="Y29" s="2"/>
      <c r="Z29" s="7">
        <f t="shared" si="21"/>
        <v>-0.48905166048296672</v>
      </c>
    </row>
    <row r="30" spans="1:26" s="23" customFormat="1" hidden="1" outlineLevel="2" x14ac:dyDescent="0.25">
      <c r="A30" s="25"/>
      <c r="B30" s="10" t="str">
        <f>CONCATENATE("          ", "6117", " - ", "RETIREMENT STAFF HOURLY")</f>
        <v xml:space="preserve">          6117 - RETIREMENT STAFF HOURLY</v>
      </c>
      <c r="C30" s="10"/>
      <c r="D30" s="6">
        <v>521.35</v>
      </c>
      <c r="E30" s="2"/>
      <c r="F30" s="7">
        <f t="shared" si="14"/>
        <v>0</v>
      </c>
      <c r="G30" s="2"/>
      <c r="H30" s="6">
        <v>530.52</v>
      </c>
      <c r="I30" s="2"/>
      <c r="J30" s="7">
        <f t="shared" si="15"/>
        <v>-1.5911548919645059E-2</v>
      </c>
      <c r="K30" s="2"/>
      <c r="L30" s="6">
        <f t="shared" si="16"/>
        <v>-9.1699999999999591</v>
      </c>
      <c r="M30" s="2"/>
      <c r="N30" s="7">
        <f t="shared" si="17"/>
        <v>-1.7284927995174469E-2</v>
      </c>
      <c r="O30" s="10"/>
      <c r="P30" s="6">
        <v>6945.45</v>
      </c>
      <c r="Q30" s="2"/>
      <c r="R30" s="7">
        <f t="shared" si="18"/>
        <v>0</v>
      </c>
      <c r="S30" s="2"/>
      <c r="T30" s="6">
        <v>6431.65</v>
      </c>
      <c r="U30" s="2"/>
      <c r="V30" s="7">
        <f t="shared" si="19"/>
        <v>3.2797828314769847E-3</v>
      </c>
      <c r="W30" s="2"/>
      <c r="X30" s="6">
        <f t="shared" si="20"/>
        <v>513.80000000000018</v>
      </c>
      <c r="Y30" s="2"/>
      <c r="Z30" s="7">
        <f t="shared" si="21"/>
        <v>7.9886187836713779E-2</v>
      </c>
    </row>
    <row r="31" spans="1:26" s="23" customFormat="1" hidden="1" outlineLevel="2" x14ac:dyDescent="0.25">
      <c r="A31" s="25"/>
      <c r="B31" s="10" t="str">
        <f>CONCATENATE("          ", "6118", " - ", "VACATION")</f>
        <v xml:space="preserve">          6118 - VACATION</v>
      </c>
      <c r="C31" s="10"/>
      <c r="D31" s="6">
        <v>1248.1600000000001</v>
      </c>
      <c r="E31" s="2"/>
      <c r="F31" s="7">
        <f t="shared" si="14"/>
        <v>0</v>
      </c>
      <c r="G31" s="2"/>
      <c r="H31" s="6">
        <v>1199.6199999999999</v>
      </c>
      <c r="I31" s="2"/>
      <c r="J31" s="7">
        <f t="shared" si="15"/>
        <v>-3.5979439634669014E-2</v>
      </c>
      <c r="K31" s="2"/>
      <c r="L31" s="6">
        <f t="shared" si="16"/>
        <v>48.540000000000191</v>
      </c>
      <c r="M31" s="2"/>
      <c r="N31" s="7">
        <f t="shared" si="17"/>
        <v>4.0462813224187821E-2</v>
      </c>
      <c r="O31" s="10"/>
      <c r="P31" s="6">
        <v>16123.09</v>
      </c>
      <c r="Q31" s="2"/>
      <c r="R31" s="7">
        <f t="shared" si="18"/>
        <v>0</v>
      </c>
      <c r="S31" s="2"/>
      <c r="T31" s="6">
        <v>24555.34</v>
      </c>
      <c r="U31" s="2"/>
      <c r="V31" s="7">
        <f t="shared" si="19"/>
        <v>1.2521854042598722E-2</v>
      </c>
      <c r="W31" s="2"/>
      <c r="X31" s="6">
        <f t="shared" si="20"/>
        <v>-8432.25</v>
      </c>
      <c r="Y31" s="2"/>
      <c r="Z31" s="7">
        <f t="shared" si="21"/>
        <v>-0.34339781082241172</v>
      </c>
    </row>
    <row r="32" spans="1:26" s="23" customFormat="1" hidden="1" outlineLevel="2" x14ac:dyDescent="0.25">
      <c r="A32" s="25"/>
      <c r="B32" s="10" t="str">
        <f>CONCATENATE("          ", "6119", " - ", "SICK LEAVE")</f>
        <v xml:space="preserve">          6119 - SICK LEAVE</v>
      </c>
      <c r="C32" s="10"/>
      <c r="D32" s="6">
        <v>950.34</v>
      </c>
      <c r="E32" s="2"/>
      <c r="F32" s="7">
        <f t="shared" si="14"/>
        <v>0</v>
      </c>
      <c r="G32" s="2"/>
      <c r="H32" s="6">
        <v>946.52</v>
      </c>
      <c r="I32" s="2"/>
      <c r="J32" s="7">
        <f t="shared" si="15"/>
        <v>-2.8388372320407224E-2</v>
      </c>
      <c r="K32" s="2"/>
      <c r="L32" s="6">
        <f t="shared" si="16"/>
        <v>3.82000000000005</v>
      </c>
      <c r="M32" s="2"/>
      <c r="N32" s="7">
        <f t="shared" si="17"/>
        <v>4.0358365380552446E-3</v>
      </c>
      <c r="O32" s="10"/>
      <c r="P32" s="6">
        <v>12329.58</v>
      </c>
      <c r="Q32" s="2"/>
      <c r="R32" s="7">
        <f t="shared" si="18"/>
        <v>0</v>
      </c>
      <c r="S32" s="2"/>
      <c r="T32" s="6">
        <v>-32536.11</v>
      </c>
      <c r="U32" s="2"/>
      <c r="V32" s="7">
        <f t="shared" si="19"/>
        <v>-1.6591601685577832E-2</v>
      </c>
      <c r="W32" s="2"/>
      <c r="X32" s="6">
        <f t="shared" si="20"/>
        <v>44865.69</v>
      </c>
      <c r="Y32" s="2"/>
      <c r="Z32" s="7">
        <f t="shared" si="21"/>
        <v>-1.3789506489866183</v>
      </c>
    </row>
    <row r="33" spans="1:26" s="23" customFormat="1" hidden="1" outlineLevel="2" x14ac:dyDescent="0.25">
      <c r="A33" s="25"/>
      <c r="B33" s="10" t="str">
        <f>CONCATENATE("          ", "6156", " - ", "EMPLOYEE MEALS")</f>
        <v xml:space="preserve">          6156 - EMPLOYEE MEALS</v>
      </c>
      <c r="C33" s="10"/>
      <c r="D33" s="6">
        <v>675.86</v>
      </c>
      <c r="E33" s="2"/>
      <c r="F33" s="7">
        <f t="shared" si="14"/>
        <v>0</v>
      </c>
      <c r="G33" s="2"/>
      <c r="H33" s="6">
        <v>633</v>
      </c>
      <c r="I33" s="2"/>
      <c r="J33" s="7">
        <f t="shared" si="15"/>
        <v>-1.8985166376640508E-2</v>
      </c>
      <c r="K33" s="2"/>
      <c r="L33" s="6">
        <f t="shared" si="16"/>
        <v>42.860000000000014</v>
      </c>
      <c r="M33" s="2"/>
      <c r="N33" s="7">
        <f t="shared" si="17"/>
        <v>6.7709320695102701E-2</v>
      </c>
      <c r="O33" s="10"/>
      <c r="P33" s="6">
        <v>8099.56</v>
      </c>
      <c r="Q33" s="2"/>
      <c r="R33" s="7">
        <f t="shared" si="18"/>
        <v>0</v>
      </c>
      <c r="S33" s="2"/>
      <c r="T33" s="6">
        <v>12801.69</v>
      </c>
      <c r="U33" s="2"/>
      <c r="V33" s="7">
        <f t="shared" si="19"/>
        <v>6.5281479987080466E-3</v>
      </c>
      <c r="W33" s="2"/>
      <c r="X33" s="6">
        <f t="shared" si="20"/>
        <v>-4702.13</v>
      </c>
      <c r="Y33" s="2"/>
      <c r="Z33" s="7">
        <f t="shared" si="21"/>
        <v>-0.36730541045752552</v>
      </c>
    </row>
    <row r="34" spans="1:26" s="27" customFormat="1" outlineLevel="1" collapsed="1" x14ac:dyDescent="0.25">
      <c r="A34" s="26"/>
      <c r="B34" s="12" t="str">
        <f>CONCATENATE("     ","*Payroll                                          ")</f>
        <v xml:space="preserve">     *Payroll                                          </v>
      </c>
      <c r="C34" s="12"/>
      <c r="D34" s="1">
        <f>SUM(OSRRefD22_1x_0)</f>
        <v>17476.89</v>
      </c>
      <c r="E34" s="1"/>
      <c r="F34" s="5">
        <f t="shared" ref="F34:F40" si="22">IF(D$12=0,0,D34/D$12)</f>
        <v>0</v>
      </c>
      <c r="G34" s="1"/>
      <c r="H34" s="1">
        <f>SUM(OSRRefH22_1x_0)</f>
        <v>12759.61</v>
      </c>
      <c r="I34" s="1"/>
      <c r="J34" s="5">
        <f t="shared" ref="J34:J40" si="23">IF(H$12=0,0,H34/H$12)</f>
        <v>-0.38269086690528592</v>
      </c>
      <c r="K34" s="1"/>
      <c r="L34" s="1">
        <f t="shared" ref="L34:L40" si="24">+D34-H34</f>
        <v>4717.2799999999988</v>
      </c>
      <c r="M34" s="1"/>
      <c r="N34" s="5">
        <f t="shared" ref="N34:N40" si="25">IF(H34=0,0,L34/H34)</f>
        <v>0.36970408970180113</v>
      </c>
      <c r="O34" s="12"/>
      <c r="P34" s="1">
        <f>SUM(OSRRefP22_1x_0)</f>
        <v>239586.00999999998</v>
      </c>
      <c r="Q34" s="1"/>
      <c r="R34" s="5">
        <f t="shared" ref="R34:R40" si="26">IF(P$12=0,0,P34/P$12)</f>
        <v>0</v>
      </c>
      <c r="S34" s="1"/>
      <c r="T34" s="1">
        <f>SUM(OSRRefT22_1x_0)</f>
        <v>672066.22</v>
      </c>
      <c r="U34" s="1"/>
      <c r="V34" s="5">
        <f t="shared" ref="V34:V40" si="27">IF(T$12=0,0,T34/T$12)</f>
        <v>0.34271629363719019</v>
      </c>
      <c r="W34" s="1"/>
      <c r="X34" s="1">
        <f t="shared" ref="X34:X40" si="28">+P34-T34</f>
        <v>-432480.20999999996</v>
      </c>
      <c r="Y34" s="1"/>
      <c r="Z34" s="5">
        <f t="shared" ref="Z34:Z40" si="29">IF(T34=0,0,X34/T34)</f>
        <v>-0.64350832868820573</v>
      </c>
    </row>
    <row r="35" spans="1:26" s="23" customFormat="1" hidden="1" outlineLevel="2" x14ac:dyDescent="0.25">
      <c r="A35" s="25"/>
      <c r="B35" s="10" t="str">
        <f>CONCATENATE("          ", "6002", " - ", "STAFF SALARIES")</f>
        <v xml:space="preserve">          6002 - STAFF SALARIES</v>
      </c>
      <c r="C35" s="10"/>
      <c r="D35" s="6">
        <v>3808</v>
      </c>
      <c r="E35" s="2"/>
      <c r="F35" s="7">
        <f t="shared" si="22"/>
        <v>0</v>
      </c>
      <c r="G35" s="2"/>
      <c r="H35" s="6">
        <v>2858.26</v>
      </c>
      <c r="I35" s="2"/>
      <c r="J35" s="7">
        <f t="shared" si="23"/>
        <v>-8.5725974166977095E-2</v>
      </c>
      <c r="K35" s="2"/>
      <c r="L35" s="6">
        <f t="shared" si="24"/>
        <v>949.73999999999978</v>
      </c>
      <c r="M35" s="2"/>
      <c r="N35" s="7">
        <f t="shared" si="25"/>
        <v>0.33227907888015773</v>
      </c>
      <c r="O35" s="10"/>
      <c r="P35" s="6">
        <v>51128.99</v>
      </c>
      <c r="Q35" s="2"/>
      <c r="R35" s="7">
        <f t="shared" si="26"/>
        <v>0</v>
      </c>
      <c r="S35" s="2"/>
      <c r="T35" s="6">
        <v>102393.01</v>
      </c>
      <c r="U35" s="2"/>
      <c r="V35" s="7">
        <f t="shared" si="27"/>
        <v>5.2214725033428624E-2</v>
      </c>
      <c r="W35" s="2"/>
      <c r="X35" s="6">
        <f t="shared" si="28"/>
        <v>-51264.02</v>
      </c>
      <c r="Y35" s="2"/>
      <c r="Z35" s="7">
        <f t="shared" si="29"/>
        <v>-0.50065937118168513</v>
      </c>
    </row>
    <row r="36" spans="1:26" s="23" customFormat="1" hidden="1" outlineLevel="2" x14ac:dyDescent="0.25">
      <c r="A36" s="25"/>
      <c r="B36" s="10" t="str">
        <f>CONCATENATE("          ", "6004", " - ", "STAFF HOURLY")</f>
        <v xml:space="preserve">          6004 - STAFF HOURLY</v>
      </c>
      <c r="C36" s="10"/>
      <c r="D36" s="6">
        <v>13668.89</v>
      </c>
      <c r="E36" s="2"/>
      <c r="F36" s="7">
        <f t="shared" si="22"/>
        <v>0</v>
      </c>
      <c r="G36" s="2"/>
      <c r="H36" s="6">
        <v>9901.35</v>
      </c>
      <c r="I36" s="2"/>
      <c r="J36" s="7">
        <f t="shared" si="23"/>
        <v>-0.29696489273830884</v>
      </c>
      <c r="K36" s="2"/>
      <c r="L36" s="6">
        <f t="shared" si="24"/>
        <v>3767.5399999999991</v>
      </c>
      <c r="M36" s="2"/>
      <c r="N36" s="7">
        <f t="shared" si="25"/>
        <v>0.38050770854479427</v>
      </c>
      <c r="O36" s="10"/>
      <c r="P36" s="6">
        <v>188457.02</v>
      </c>
      <c r="Q36" s="2"/>
      <c r="R36" s="7">
        <f t="shared" si="26"/>
        <v>0</v>
      </c>
      <c r="S36" s="2"/>
      <c r="T36" s="6">
        <v>242990.06</v>
      </c>
      <c r="U36" s="2"/>
      <c r="V36" s="7">
        <f t="shared" si="27"/>
        <v>0.12391137997365567</v>
      </c>
      <c r="W36" s="2"/>
      <c r="X36" s="6">
        <f t="shared" si="28"/>
        <v>-54533.040000000008</v>
      </c>
      <c r="Y36" s="2"/>
      <c r="Z36" s="7">
        <f t="shared" si="29"/>
        <v>-0.22442498265155378</v>
      </c>
    </row>
    <row r="37" spans="1:26" s="23" customFormat="1" hidden="1" outlineLevel="2" x14ac:dyDescent="0.25">
      <c r="A37" s="25"/>
      <c r="B37" s="10" t="str">
        <f>CONCATENATE("          ", "6005", " - ", "TEMPORARY WAGES-HOURLY")</f>
        <v xml:space="preserve">          6005 - TEMPORARY WAGES-HOURLY</v>
      </c>
      <c r="C37" s="10"/>
      <c r="D37" s="6"/>
      <c r="E37" s="2"/>
      <c r="F37" s="7">
        <f t="shared" si="22"/>
        <v>0</v>
      </c>
      <c r="G37" s="2"/>
      <c r="H37" s="6"/>
      <c r="I37" s="2"/>
      <c r="J37" s="7">
        <f t="shared" si="23"/>
        <v>0</v>
      </c>
      <c r="K37" s="2"/>
      <c r="L37" s="6">
        <f t="shared" si="24"/>
        <v>0</v>
      </c>
      <c r="M37" s="2"/>
      <c r="N37" s="7">
        <f t="shared" si="25"/>
        <v>0</v>
      </c>
      <c r="O37" s="10"/>
      <c r="P37" s="6"/>
      <c r="Q37" s="2"/>
      <c r="R37" s="7">
        <f t="shared" si="26"/>
        <v>0</v>
      </c>
      <c r="S37" s="2"/>
      <c r="T37" s="6">
        <v>107403.49</v>
      </c>
      <c r="U37" s="2"/>
      <c r="V37" s="7">
        <f t="shared" si="27"/>
        <v>5.4769790418121335E-2</v>
      </c>
      <c r="W37" s="2"/>
      <c r="X37" s="6">
        <f t="shared" si="28"/>
        <v>-107403.49</v>
      </c>
      <c r="Y37" s="2"/>
      <c r="Z37" s="7">
        <f t="shared" si="29"/>
        <v>-1</v>
      </c>
    </row>
    <row r="38" spans="1:26" s="23" customFormat="1" hidden="1" outlineLevel="2" x14ac:dyDescent="0.25">
      <c r="A38" s="25"/>
      <c r="B38" s="10" t="str">
        <f>CONCATENATE("          ", "6006", " - ", "TEMPORARY PART TIME")</f>
        <v xml:space="preserve">          6006 - TEMPORARY PART TIME</v>
      </c>
      <c r="C38" s="10"/>
      <c r="D38" s="6"/>
      <c r="E38" s="2"/>
      <c r="F38" s="7">
        <f t="shared" si="22"/>
        <v>0</v>
      </c>
      <c r="G38" s="2"/>
      <c r="H38" s="6"/>
      <c r="I38" s="2"/>
      <c r="J38" s="7">
        <f t="shared" si="23"/>
        <v>0</v>
      </c>
      <c r="K38" s="2"/>
      <c r="L38" s="6">
        <f t="shared" si="24"/>
        <v>0</v>
      </c>
      <c r="M38" s="2"/>
      <c r="N38" s="7">
        <f t="shared" si="25"/>
        <v>0</v>
      </c>
      <c r="O38" s="10"/>
      <c r="P38" s="6"/>
      <c r="Q38" s="2"/>
      <c r="R38" s="7">
        <f t="shared" si="26"/>
        <v>0</v>
      </c>
      <c r="S38" s="2"/>
      <c r="T38" s="6">
        <v>10378.219999999999</v>
      </c>
      <c r="U38" s="2"/>
      <c r="V38" s="7">
        <f t="shared" si="27"/>
        <v>5.2923134463615205E-3</v>
      </c>
      <c r="W38" s="2"/>
      <c r="X38" s="6">
        <f t="shared" si="28"/>
        <v>-10378.219999999999</v>
      </c>
      <c r="Y38" s="2"/>
      <c r="Z38" s="7">
        <f t="shared" si="29"/>
        <v>-1</v>
      </c>
    </row>
    <row r="39" spans="1:26" s="23" customFormat="1" hidden="1" outlineLevel="2" x14ac:dyDescent="0.25">
      <c r="A39" s="25"/>
      <c r="B39" s="10" t="str">
        <f>CONCATENATE("          ", "6007", " - ", "STUDENT HOURLY")</f>
        <v xml:space="preserve">          6007 - STUDENT HOURLY</v>
      </c>
      <c r="C39" s="10"/>
      <c r="D39" s="6"/>
      <c r="E39" s="2"/>
      <c r="F39" s="7">
        <f t="shared" si="22"/>
        <v>0</v>
      </c>
      <c r="G39" s="2"/>
      <c r="H39" s="6"/>
      <c r="I39" s="2"/>
      <c r="J39" s="7">
        <f t="shared" si="23"/>
        <v>0</v>
      </c>
      <c r="K39" s="2"/>
      <c r="L39" s="6">
        <f t="shared" si="24"/>
        <v>0</v>
      </c>
      <c r="M39" s="2"/>
      <c r="N39" s="7">
        <f t="shared" si="25"/>
        <v>0</v>
      </c>
      <c r="O39" s="10"/>
      <c r="P39" s="6">
        <v>0</v>
      </c>
      <c r="Q39" s="2"/>
      <c r="R39" s="7">
        <f t="shared" si="26"/>
        <v>0</v>
      </c>
      <c r="S39" s="2"/>
      <c r="T39" s="6">
        <v>146844.07999999999</v>
      </c>
      <c r="U39" s="2"/>
      <c r="V39" s="7">
        <f t="shared" si="27"/>
        <v>7.4882291867255354E-2</v>
      </c>
      <c r="W39" s="2"/>
      <c r="X39" s="6">
        <f t="shared" si="28"/>
        <v>-146844.07999999999</v>
      </c>
      <c r="Y39" s="2"/>
      <c r="Z39" s="7">
        <f t="shared" si="29"/>
        <v>-1</v>
      </c>
    </row>
    <row r="40" spans="1:26" s="23" customFormat="1" hidden="1" outlineLevel="2" x14ac:dyDescent="0.25">
      <c r="A40" s="25"/>
      <c r="B40" s="10" t="str">
        <f>CONCATENATE("          ", "6008", " - ", "STUDENT HOURLY-FICA EXEMPT")</f>
        <v xml:space="preserve">          6008 - STUDENT HOURLY-FICA EXEMPT</v>
      </c>
      <c r="C40" s="10"/>
      <c r="D40" s="6"/>
      <c r="E40" s="2"/>
      <c r="F40" s="7">
        <f t="shared" si="22"/>
        <v>0</v>
      </c>
      <c r="G40" s="2"/>
      <c r="H40" s="6"/>
      <c r="I40" s="2"/>
      <c r="J40" s="7">
        <f t="shared" si="23"/>
        <v>0</v>
      </c>
      <c r="K40" s="2"/>
      <c r="L40" s="6">
        <f t="shared" si="24"/>
        <v>0</v>
      </c>
      <c r="M40" s="2"/>
      <c r="N40" s="7">
        <f t="shared" si="25"/>
        <v>0</v>
      </c>
      <c r="O40" s="10"/>
      <c r="P40" s="6"/>
      <c r="Q40" s="2"/>
      <c r="R40" s="7">
        <f t="shared" si="26"/>
        <v>0</v>
      </c>
      <c r="S40" s="2"/>
      <c r="T40" s="6">
        <v>62057.36</v>
      </c>
      <c r="U40" s="2"/>
      <c r="V40" s="7">
        <f t="shared" si="27"/>
        <v>3.1645792898367699E-2</v>
      </c>
      <c r="W40" s="2"/>
      <c r="X40" s="6">
        <f t="shared" si="28"/>
        <v>-62057.36</v>
      </c>
      <c r="Y40" s="2"/>
      <c r="Z40" s="7">
        <f t="shared" si="29"/>
        <v>-1</v>
      </c>
    </row>
    <row r="41" spans="1:26" s="27" customFormat="1" outlineLevel="1" collapsed="1" x14ac:dyDescent="0.25">
      <c r="A41" s="26"/>
      <c r="B41" s="12" t="str">
        <f>CONCATENATE("     ","Advertising/Promo                                 ")</f>
        <v xml:space="preserve">     Advertising/Promo                                 </v>
      </c>
      <c r="C41" s="12"/>
      <c r="D41" s="1">
        <f>SUM(OSRRefD22_2x_0)</f>
        <v>12.3</v>
      </c>
      <c r="E41" s="1"/>
      <c r="F41" s="5">
        <f t="shared" ref="F41:F63" si="30">IF(D$12=0,0,D41/D$12)</f>
        <v>0</v>
      </c>
      <c r="G41" s="1"/>
      <c r="H41" s="1">
        <f>SUM(OSRRefH22_2x_0)</f>
        <v>0</v>
      </c>
      <c r="I41" s="1"/>
      <c r="J41" s="5">
        <f t="shared" ref="J41:J63" si="31">IF(H$12=0,0,H41/H$12)</f>
        <v>0</v>
      </c>
      <c r="K41" s="1"/>
      <c r="L41" s="1">
        <f t="shared" ref="L41:L63" si="32">+D41-H41</f>
        <v>12.3</v>
      </c>
      <c r="M41" s="1"/>
      <c r="N41" s="5">
        <f t="shared" ref="N41:N63" si="33">IF(H41=0,0,L41/H41)</f>
        <v>0</v>
      </c>
      <c r="O41" s="12"/>
      <c r="P41" s="1">
        <f>SUM(OSRRefP22_2x_0)</f>
        <v>12.3</v>
      </c>
      <c r="Q41" s="1"/>
      <c r="R41" s="5">
        <f t="shared" ref="R41:R63" si="34">IF(P$12=0,0,P41/P$12)</f>
        <v>0</v>
      </c>
      <c r="S41" s="1"/>
      <c r="T41" s="1">
        <f>SUM(OSRRefT22_2x_0)</f>
        <v>3020.03</v>
      </c>
      <c r="U41" s="1"/>
      <c r="V41" s="5">
        <f t="shared" ref="V41:V63" si="35">IF(T$12=0,0,T41/T$12)</f>
        <v>1.5400468844768355E-3</v>
      </c>
      <c r="W41" s="1"/>
      <c r="X41" s="1">
        <f t="shared" ref="X41:X63" si="36">+P41-T41</f>
        <v>-3007.73</v>
      </c>
      <c r="Y41" s="1"/>
      <c r="Z41" s="5">
        <f t="shared" ref="Z41:Z63" si="37">IF(T41=0,0,X41/T41)</f>
        <v>-0.99592719277623065</v>
      </c>
    </row>
    <row r="42" spans="1:26" s="23" customFormat="1" hidden="1" outlineLevel="2" x14ac:dyDescent="0.25">
      <c r="A42" s="25"/>
      <c r="B42" s="10" t="str">
        <f>CONCATENATE("          ", "6362", " - ", "ADVERTISING EXPENSE")</f>
        <v xml:space="preserve">          6362 - ADVERTISING EXPENSE</v>
      </c>
      <c r="C42" s="10"/>
      <c r="D42" s="6">
        <v>12.3</v>
      </c>
      <c r="E42" s="2"/>
      <c r="F42" s="7">
        <f t="shared" si="30"/>
        <v>0</v>
      </c>
      <c r="G42" s="2"/>
      <c r="H42" s="6"/>
      <c r="I42" s="2"/>
      <c r="J42" s="7">
        <f t="shared" si="31"/>
        <v>0</v>
      </c>
      <c r="K42" s="2"/>
      <c r="L42" s="6">
        <f t="shared" si="32"/>
        <v>12.3</v>
      </c>
      <c r="M42" s="2"/>
      <c r="N42" s="7">
        <f t="shared" si="33"/>
        <v>0</v>
      </c>
      <c r="O42" s="10"/>
      <c r="P42" s="6">
        <v>12.3</v>
      </c>
      <c r="Q42" s="2"/>
      <c r="R42" s="7">
        <f t="shared" si="34"/>
        <v>0</v>
      </c>
      <c r="S42" s="2"/>
      <c r="T42" s="6">
        <v>3020.03</v>
      </c>
      <c r="U42" s="2"/>
      <c r="V42" s="7">
        <f t="shared" si="35"/>
        <v>1.5400468844768355E-3</v>
      </c>
      <c r="W42" s="2"/>
      <c r="X42" s="6">
        <f t="shared" si="36"/>
        <v>-3007.73</v>
      </c>
      <c r="Y42" s="2"/>
      <c r="Z42" s="7">
        <f t="shared" si="37"/>
        <v>-0.99592719277623065</v>
      </c>
    </row>
    <row r="43" spans="1:26" s="27" customFormat="1" outlineLevel="1" collapsed="1" x14ac:dyDescent="0.25">
      <c r="A43" s="26"/>
      <c r="B43" s="12" t="str">
        <f>CONCATENATE("     ","Bad Debts/Over/Short                              ")</f>
        <v xml:space="preserve">     Bad Debts/Over/Short                              </v>
      </c>
      <c r="C43" s="12"/>
      <c r="D43" s="1">
        <f>SUM(OSRRefD22_3x_0)</f>
        <v>0</v>
      </c>
      <c r="E43" s="1"/>
      <c r="F43" s="5">
        <f t="shared" si="30"/>
        <v>0</v>
      </c>
      <c r="G43" s="1"/>
      <c r="H43" s="1">
        <f>SUM(OSRRefH22_3x_0)</f>
        <v>0</v>
      </c>
      <c r="I43" s="1"/>
      <c r="J43" s="5">
        <f t="shared" si="31"/>
        <v>0</v>
      </c>
      <c r="K43" s="1"/>
      <c r="L43" s="1">
        <f t="shared" si="32"/>
        <v>0</v>
      </c>
      <c r="M43" s="1"/>
      <c r="N43" s="5">
        <f t="shared" si="33"/>
        <v>0</v>
      </c>
      <c r="O43" s="12"/>
      <c r="P43" s="1">
        <f>SUM(OSRRefP22_3x_0)</f>
        <v>29.74</v>
      </c>
      <c r="Q43" s="1"/>
      <c r="R43" s="5">
        <f t="shared" si="34"/>
        <v>0</v>
      </c>
      <c r="S43" s="1"/>
      <c r="T43" s="1">
        <f>SUM(OSRRefT22_3x_0)</f>
        <v>46.62</v>
      </c>
      <c r="U43" s="1"/>
      <c r="V43" s="5">
        <f t="shared" si="35"/>
        <v>2.3773600180895577E-5</v>
      </c>
      <c r="W43" s="1"/>
      <c r="X43" s="1">
        <f t="shared" si="36"/>
        <v>-16.88</v>
      </c>
      <c r="Y43" s="1"/>
      <c r="Z43" s="5">
        <f t="shared" si="37"/>
        <v>-0.36207636207636207</v>
      </c>
    </row>
    <row r="44" spans="1:26" s="23" customFormat="1" hidden="1" outlineLevel="2" x14ac:dyDescent="0.25">
      <c r="A44" s="25"/>
      <c r="B44" s="10" t="str">
        <f>CONCATENATE("          ", "6272", " - ", "CASH (OVER/SHORT)")</f>
        <v xml:space="preserve">          6272 - CASH (OVER/SHORT)</v>
      </c>
      <c r="C44" s="10"/>
      <c r="D44" s="6"/>
      <c r="E44" s="2"/>
      <c r="F44" s="7">
        <f t="shared" si="30"/>
        <v>0</v>
      </c>
      <c r="G44" s="2"/>
      <c r="H44" s="6"/>
      <c r="I44" s="2"/>
      <c r="J44" s="7">
        <f t="shared" si="31"/>
        <v>0</v>
      </c>
      <c r="K44" s="2"/>
      <c r="L44" s="6">
        <f t="shared" si="32"/>
        <v>0</v>
      </c>
      <c r="M44" s="2"/>
      <c r="N44" s="7">
        <f t="shared" si="33"/>
        <v>0</v>
      </c>
      <c r="O44" s="10"/>
      <c r="P44" s="6">
        <v>29.74</v>
      </c>
      <c r="Q44" s="2"/>
      <c r="R44" s="7">
        <f t="shared" si="34"/>
        <v>0</v>
      </c>
      <c r="S44" s="2"/>
      <c r="T44" s="6">
        <v>46.62</v>
      </c>
      <c r="U44" s="2"/>
      <c r="V44" s="7">
        <f t="shared" si="35"/>
        <v>2.3773600180895577E-5</v>
      </c>
      <c r="W44" s="2"/>
      <c r="X44" s="6">
        <f t="shared" si="36"/>
        <v>-16.88</v>
      </c>
      <c r="Y44" s="2"/>
      <c r="Z44" s="7">
        <f t="shared" si="37"/>
        <v>-0.36207636207636207</v>
      </c>
    </row>
    <row r="45" spans="1:26" s="27" customFormat="1" outlineLevel="1" collapsed="1" x14ac:dyDescent="0.25">
      <c r="A45" s="26"/>
      <c r="B45" s="12" t="str">
        <f>CONCATENATE("     ","Bank/card Fees                                    ")</f>
        <v xml:space="preserve">     Bank/card Fees                                    </v>
      </c>
      <c r="C45" s="12"/>
      <c r="D45" s="1">
        <f>SUM(OSRRefD22_4x_0)</f>
        <v>0</v>
      </c>
      <c r="E45" s="1"/>
      <c r="F45" s="5">
        <f t="shared" si="30"/>
        <v>0</v>
      </c>
      <c r="G45" s="1"/>
      <c r="H45" s="1">
        <f>SUM(OSRRefH22_4x_0)</f>
        <v>0</v>
      </c>
      <c r="I45" s="1"/>
      <c r="J45" s="5">
        <f t="shared" si="31"/>
        <v>0</v>
      </c>
      <c r="K45" s="1"/>
      <c r="L45" s="1">
        <f t="shared" si="32"/>
        <v>0</v>
      </c>
      <c r="M45" s="1"/>
      <c r="N45" s="5">
        <f t="shared" si="33"/>
        <v>0</v>
      </c>
      <c r="O45" s="12"/>
      <c r="P45" s="1">
        <f>SUM(OSRRefP22_4x_0)</f>
        <v>0</v>
      </c>
      <c r="Q45" s="1"/>
      <c r="R45" s="5">
        <f t="shared" si="34"/>
        <v>0</v>
      </c>
      <c r="S45" s="1"/>
      <c r="T45" s="1">
        <f>SUM(OSRRefT22_4x_0)</f>
        <v>70.89</v>
      </c>
      <c r="U45" s="1"/>
      <c r="V45" s="5">
        <f t="shared" si="35"/>
        <v>3.6149946735814835E-5</v>
      </c>
      <c r="W45" s="1"/>
      <c r="X45" s="1">
        <f t="shared" si="36"/>
        <v>-70.89</v>
      </c>
      <c r="Y45" s="1"/>
      <c r="Z45" s="5">
        <f t="shared" si="37"/>
        <v>-1</v>
      </c>
    </row>
    <row r="46" spans="1:26" s="23" customFormat="1" hidden="1" outlineLevel="2" x14ac:dyDescent="0.25">
      <c r="A46" s="25"/>
      <c r="B46" s="10" t="str">
        <f>CONCATENATE("          ", "6381", " - ", "BANK/CREDIT CARD FEES")</f>
        <v xml:space="preserve">          6381 - BANK/CREDIT CARD FEES</v>
      </c>
      <c r="C46" s="10"/>
      <c r="D46" s="6"/>
      <c r="E46" s="2"/>
      <c r="F46" s="7">
        <f t="shared" si="30"/>
        <v>0</v>
      </c>
      <c r="G46" s="2"/>
      <c r="H46" s="6"/>
      <c r="I46" s="2"/>
      <c r="J46" s="7">
        <f t="shared" si="31"/>
        <v>0</v>
      </c>
      <c r="K46" s="2"/>
      <c r="L46" s="6">
        <f t="shared" si="32"/>
        <v>0</v>
      </c>
      <c r="M46" s="2"/>
      <c r="N46" s="7">
        <f t="shared" si="33"/>
        <v>0</v>
      </c>
      <c r="O46" s="10"/>
      <c r="P46" s="6"/>
      <c r="Q46" s="2"/>
      <c r="R46" s="7">
        <f t="shared" si="34"/>
        <v>0</v>
      </c>
      <c r="S46" s="2"/>
      <c r="T46" s="6">
        <v>70.89</v>
      </c>
      <c r="U46" s="2"/>
      <c r="V46" s="7">
        <f t="shared" si="35"/>
        <v>3.6149946735814835E-5</v>
      </c>
      <c r="W46" s="2"/>
      <c r="X46" s="6">
        <f t="shared" si="36"/>
        <v>-70.89</v>
      </c>
      <c r="Y46" s="2"/>
      <c r="Z46" s="7">
        <f t="shared" si="37"/>
        <v>-1</v>
      </c>
    </row>
    <row r="47" spans="1:26" s="27" customFormat="1" outlineLevel="1" collapsed="1" x14ac:dyDescent="0.25">
      <c r="A47" s="26"/>
      <c r="B47" s="12" t="str">
        <f>CONCATENATE("     ","Depreciation                                      ")</f>
        <v xml:space="preserve">     Depreciation                                      </v>
      </c>
      <c r="C47" s="12"/>
      <c r="D47" s="1">
        <f>SUM(OSRRefD22_5x_0)</f>
        <v>212.99</v>
      </c>
      <c r="E47" s="1"/>
      <c r="F47" s="5">
        <f t="shared" si="30"/>
        <v>0</v>
      </c>
      <c r="G47" s="1"/>
      <c r="H47" s="1">
        <f>SUM(OSRRefH22_5x_0)</f>
        <v>213.01</v>
      </c>
      <c r="I47" s="1"/>
      <c r="J47" s="5">
        <f t="shared" si="31"/>
        <v>-6.3886734437412235E-3</v>
      </c>
      <c r="K47" s="1"/>
      <c r="L47" s="1">
        <f t="shared" si="32"/>
        <v>-1.999999999998181E-2</v>
      </c>
      <c r="M47" s="1"/>
      <c r="N47" s="5">
        <f t="shared" si="33"/>
        <v>-9.3892305525476787E-5</v>
      </c>
      <c r="O47" s="12"/>
      <c r="P47" s="1">
        <f>SUM(OSRRefP22_5x_0)</f>
        <v>2556.21</v>
      </c>
      <c r="Q47" s="1"/>
      <c r="R47" s="5">
        <f t="shared" si="34"/>
        <v>0</v>
      </c>
      <c r="S47" s="1"/>
      <c r="T47" s="1">
        <f>SUM(OSRRefT22_5x_0)</f>
        <v>852.07</v>
      </c>
      <c r="U47" s="1"/>
      <c r="V47" s="5">
        <f t="shared" si="35"/>
        <v>4.3450818331479402E-4</v>
      </c>
      <c r="W47" s="1"/>
      <c r="X47" s="1">
        <f t="shared" si="36"/>
        <v>1704.1399999999999</v>
      </c>
      <c r="Y47" s="1"/>
      <c r="Z47" s="5">
        <f t="shared" si="37"/>
        <v>1.9999999999999998</v>
      </c>
    </row>
    <row r="48" spans="1:26" s="23" customFormat="1" hidden="1" outlineLevel="2" x14ac:dyDescent="0.25">
      <c r="A48" s="25"/>
      <c r="B48" s="10" t="str">
        <f>CONCATENATE("          ", "6322", " - ", "EQUIPMENT DEPRECIATION EXPENSE")</f>
        <v xml:space="preserve">          6322 - EQUIPMENT DEPRECIATION EXPENSE</v>
      </c>
      <c r="C48" s="10"/>
      <c r="D48" s="6">
        <v>212.99</v>
      </c>
      <c r="E48" s="2"/>
      <c r="F48" s="7">
        <f t="shared" si="30"/>
        <v>0</v>
      </c>
      <c r="G48" s="2"/>
      <c r="H48" s="6">
        <v>213.01</v>
      </c>
      <c r="I48" s="2"/>
      <c r="J48" s="7">
        <f t="shared" si="31"/>
        <v>-6.3886734437412235E-3</v>
      </c>
      <c r="K48" s="2"/>
      <c r="L48" s="6">
        <f t="shared" si="32"/>
        <v>-1.999999999998181E-2</v>
      </c>
      <c r="M48" s="2"/>
      <c r="N48" s="7">
        <f t="shared" si="33"/>
        <v>-9.3892305525476787E-5</v>
      </c>
      <c r="O48" s="10"/>
      <c r="P48" s="6">
        <v>2556.21</v>
      </c>
      <c r="Q48" s="2"/>
      <c r="R48" s="7">
        <f t="shared" si="34"/>
        <v>0</v>
      </c>
      <c r="S48" s="2"/>
      <c r="T48" s="6">
        <v>852.07</v>
      </c>
      <c r="U48" s="2"/>
      <c r="V48" s="7">
        <f t="shared" si="35"/>
        <v>4.3450818331479402E-4</v>
      </c>
      <c r="W48" s="2"/>
      <c r="X48" s="6">
        <f t="shared" si="36"/>
        <v>1704.1399999999999</v>
      </c>
      <c r="Y48" s="2"/>
      <c r="Z48" s="7">
        <f t="shared" si="37"/>
        <v>1.9999999999999998</v>
      </c>
    </row>
    <row r="49" spans="1:26" s="27" customFormat="1" outlineLevel="1" collapsed="1" x14ac:dyDescent="0.25">
      <c r="A49" s="26"/>
      <c r="B49" s="12" t="str">
        <f>CONCATENATE("     ","Donations                                         ")</f>
        <v xml:space="preserve">     Donations                                         </v>
      </c>
      <c r="C49" s="12"/>
      <c r="D49" s="1">
        <f>SUM(OSRRefD22_6x_0)</f>
        <v>0</v>
      </c>
      <c r="E49" s="1"/>
      <c r="F49" s="5">
        <f t="shared" si="30"/>
        <v>0</v>
      </c>
      <c r="G49" s="1"/>
      <c r="H49" s="1">
        <f>SUM(OSRRefH22_6x_0)</f>
        <v>0</v>
      </c>
      <c r="I49" s="1"/>
      <c r="J49" s="5">
        <f t="shared" si="31"/>
        <v>0</v>
      </c>
      <c r="K49" s="1"/>
      <c r="L49" s="1">
        <f t="shared" si="32"/>
        <v>0</v>
      </c>
      <c r="M49" s="1"/>
      <c r="N49" s="5">
        <f t="shared" si="33"/>
        <v>0</v>
      </c>
      <c r="O49" s="12"/>
      <c r="P49" s="1">
        <f>SUM(OSRRefP22_6x_0)</f>
        <v>0</v>
      </c>
      <c r="Q49" s="1"/>
      <c r="R49" s="5">
        <f t="shared" si="34"/>
        <v>0</v>
      </c>
      <c r="S49" s="1"/>
      <c r="T49" s="1">
        <f>SUM(OSRRefT22_6x_0)</f>
        <v>21833.94</v>
      </c>
      <c r="U49" s="1"/>
      <c r="V49" s="5">
        <f t="shared" si="35"/>
        <v>1.1134091804668879E-2</v>
      </c>
      <c r="W49" s="1"/>
      <c r="X49" s="1">
        <f t="shared" si="36"/>
        <v>-21833.94</v>
      </c>
      <c r="Y49" s="1"/>
      <c r="Z49" s="5">
        <f t="shared" si="37"/>
        <v>-1</v>
      </c>
    </row>
    <row r="50" spans="1:26" s="23" customFormat="1" hidden="1" outlineLevel="2" x14ac:dyDescent="0.25">
      <c r="A50" s="25"/>
      <c r="B50" s="10" t="str">
        <f>CONCATENATE("          ", "6399", " - ", "DONATION-ON CAMPUS")</f>
        <v xml:space="preserve">          6399 - DONATION-ON CAMPUS</v>
      </c>
      <c r="C50" s="10"/>
      <c r="D50" s="6"/>
      <c r="E50" s="2"/>
      <c r="F50" s="7">
        <f t="shared" si="30"/>
        <v>0</v>
      </c>
      <c r="G50" s="2"/>
      <c r="H50" s="6"/>
      <c r="I50" s="2"/>
      <c r="J50" s="7">
        <f t="shared" si="31"/>
        <v>0</v>
      </c>
      <c r="K50" s="2"/>
      <c r="L50" s="6">
        <f t="shared" si="32"/>
        <v>0</v>
      </c>
      <c r="M50" s="2"/>
      <c r="N50" s="7">
        <f t="shared" si="33"/>
        <v>0</v>
      </c>
      <c r="O50" s="10"/>
      <c r="P50" s="6"/>
      <c r="Q50" s="2"/>
      <c r="R50" s="7">
        <f t="shared" si="34"/>
        <v>0</v>
      </c>
      <c r="S50" s="2"/>
      <c r="T50" s="6">
        <v>21833.94</v>
      </c>
      <c r="U50" s="2"/>
      <c r="V50" s="7">
        <f t="shared" si="35"/>
        <v>1.1134091804668879E-2</v>
      </c>
      <c r="W50" s="2"/>
      <c r="X50" s="6">
        <f t="shared" si="36"/>
        <v>-21833.94</v>
      </c>
      <c r="Y50" s="2"/>
      <c r="Z50" s="7">
        <f t="shared" si="37"/>
        <v>-1</v>
      </c>
    </row>
    <row r="51" spans="1:26" s="27" customFormat="1" outlineLevel="1" collapsed="1" x14ac:dyDescent="0.25">
      <c r="A51" s="26"/>
      <c r="B51" s="12" t="str">
        <f>CONCATENATE("     ","Employees' Appreciation                           ")</f>
        <v xml:space="preserve">     Employees' Appreciation                           </v>
      </c>
      <c r="C51" s="12"/>
      <c r="D51" s="1">
        <f>SUM(OSRRefD22_7x_0)</f>
        <v>0</v>
      </c>
      <c r="E51" s="1"/>
      <c r="F51" s="5">
        <f t="shared" si="30"/>
        <v>0</v>
      </c>
      <c r="G51" s="1"/>
      <c r="H51" s="1">
        <f>SUM(OSRRefH22_7x_0)</f>
        <v>0</v>
      </c>
      <c r="I51" s="1"/>
      <c r="J51" s="5">
        <f t="shared" si="31"/>
        <v>0</v>
      </c>
      <c r="K51" s="1"/>
      <c r="L51" s="1">
        <f t="shared" si="32"/>
        <v>0</v>
      </c>
      <c r="M51" s="1"/>
      <c r="N51" s="5">
        <f t="shared" si="33"/>
        <v>0</v>
      </c>
      <c r="O51" s="12"/>
      <c r="P51" s="1">
        <f>SUM(OSRRefP22_7x_0)</f>
        <v>0</v>
      </c>
      <c r="Q51" s="1"/>
      <c r="R51" s="5">
        <f t="shared" si="34"/>
        <v>0</v>
      </c>
      <c r="S51" s="1"/>
      <c r="T51" s="1">
        <f>SUM(OSRRefT22_7x_0)</f>
        <v>21.34</v>
      </c>
      <c r="U51" s="1"/>
      <c r="V51" s="5">
        <f t="shared" si="35"/>
        <v>1.0882209949813635E-5</v>
      </c>
      <c r="W51" s="1"/>
      <c r="X51" s="1">
        <f t="shared" si="36"/>
        <v>-21.34</v>
      </c>
      <c r="Y51" s="1"/>
      <c r="Z51" s="5">
        <f t="shared" si="37"/>
        <v>-1</v>
      </c>
    </row>
    <row r="52" spans="1:26" s="23" customFormat="1" hidden="1" outlineLevel="2" x14ac:dyDescent="0.25">
      <c r="A52" s="25"/>
      <c r="B52" s="10" t="str">
        <f>CONCATENATE("          ", "6277", " - ", "EMPLOYEE APPRECIATION")</f>
        <v xml:space="preserve">          6277 - EMPLOYEE APPRECIATION</v>
      </c>
      <c r="C52" s="10"/>
      <c r="D52" s="6"/>
      <c r="E52" s="2"/>
      <c r="F52" s="7">
        <f t="shared" si="30"/>
        <v>0</v>
      </c>
      <c r="G52" s="2"/>
      <c r="H52" s="6"/>
      <c r="I52" s="2"/>
      <c r="J52" s="7">
        <f t="shared" si="31"/>
        <v>0</v>
      </c>
      <c r="K52" s="2"/>
      <c r="L52" s="6">
        <f t="shared" si="32"/>
        <v>0</v>
      </c>
      <c r="M52" s="2"/>
      <c r="N52" s="7">
        <f t="shared" si="33"/>
        <v>0</v>
      </c>
      <c r="O52" s="10"/>
      <c r="P52" s="6"/>
      <c r="Q52" s="2"/>
      <c r="R52" s="7">
        <f t="shared" si="34"/>
        <v>0</v>
      </c>
      <c r="S52" s="2"/>
      <c r="T52" s="6">
        <v>21.34</v>
      </c>
      <c r="U52" s="2"/>
      <c r="V52" s="7">
        <f t="shared" si="35"/>
        <v>1.0882209949813635E-5</v>
      </c>
      <c r="W52" s="2"/>
      <c r="X52" s="6">
        <f t="shared" si="36"/>
        <v>-21.34</v>
      </c>
      <c r="Y52" s="2"/>
      <c r="Z52" s="7">
        <f t="shared" si="37"/>
        <v>-1</v>
      </c>
    </row>
    <row r="53" spans="1:26" s="27" customFormat="1" outlineLevel="1" collapsed="1" x14ac:dyDescent="0.25">
      <c r="A53" s="26"/>
      <c r="B53" s="12" t="str">
        <f>CONCATENATE("     ","Equipment Rental                                  ")</f>
        <v xml:space="preserve">     Equipment Rental                                  </v>
      </c>
      <c r="C53" s="12"/>
      <c r="D53" s="1">
        <f>SUM(OSRRefD22_8x_0)</f>
        <v>0</v>
      </c>
      <c r="E53" s="1"/>
      <c r="F53" s="5">
        <f t="shared" si="30"/>
        <v>0</v>
      </c>
      <c r="G53" s="1"/>
      <c r="H53" s="1">
        <f>SUM(OSRRefH22_8x_0)</f>
        <v>0</v>
      </c>
      <c r="I53" s="1"/>
      <c r="J53" s="5">
        <f t="shared" si="31"/>
        <v>0</v>
      </c>
      <c r="K53" s="1"/>
      <c r="L53" s="1">
        <f t="shared" si="32"/>
        <v>0</v>
      </c>
      <c r="M53" s="1"/>
      <c r="N53" s="5">
        <f t="shared" si="33"/>
        <v>0</v>
      </c>
      <c r="O53" s="12"/>
      <c r="P53" s="1">
        <f>SUM(OSRRefP22_8x_0)</f>
        <v>20</v>
      </c>
      <c r="Q53" s="1"/>
      <c r="R53" s="5">
        <f t="shared" si="34"/>
        <v>0</v>
      </c>
      <c r="S53" s="1"/>
      <c r="T53" s="1">
        <f>SUM(OSRRefT22_8x_0)</f>
        <v>0.01</v>
      </c>
      <c r="U53" s="1"/>
      <c r="V53" s="5">
        <f t="shared" si="35"/>
        <v>5.0994423382444394E-9</v>
      </c>
      <c r="W53" s="1"/>
      <c r="X53" s="1">
        <f t="shared" si="36"/>
        <v>19.989999999999998</v>
      </c>
      <c r="Y53" s="1"/>
      <c r="Z53" s="5">
        <f t="shared" si="37"/>
        <v>1998.9999999999998</v>
      </c>
    </row>
    <row r="54" spans="1:26" s="23" customFormat="1" hidden="1" outlineLevel="2" x14ac:dyDescent="0.25">
      <c r="A54" s="25"/>
      <c r="B54" s="10" t="str">
        <f>CONCATENATE("          ", "6351", " - ", "EQUIPMENT RENTAL")</f>
        <v xml:space="preserve">          6351 - EQUIPMENT RENTAL</v>
      </c>
      <c r="C54" s="10"/>
      <c r="D54" s="6"/>
      <c r="E54" s="2"/>
      <c r="F54" s="7">
        <f t="shared" si="30"/>
        <v>0</v>
      </c>
      <c r="G54" s="2"/>
      <c r="H54" s="6"/>
      <c r="I54" s="2"/>
      <c r="J54" s="7">
        <f t="shared" si="31"/>
        <v>0</v>
      </c>
      <c r="K54" s="2"/>
      <c r="L54" s="6">
        <f t="shared" si="32"/>
        <v>0</v>
      </c>
      <c r="M54" s="2"/>
      <c r="N54" s="7">
        <f t="shared" si="33"/>
        <v>0</v>
      </c>
      <c r="O54" s="10"/>
      <c r="P54" s="6">
        <v>20</v>
      </c>
      <c r="Q54" s="2"/>
      <c r="R54" s="7">
        <f t="shared" si="34"/>
        <v>0</v>
      </c>
      <c r="S54" s="2"/>
      <c r="T54" s="6">
        <v>0.01</v>
      </c>
      <c r="U54" s="2"/>
      <c r="V54" s="7">
        <f t="shared" si="35"/>
        <v>5.0994423382444394E-9</v>
      </c>
      <c r="W54" s="2"/>
      <c r="X54" s="6">
        <f t="shared" si="36"/>
        <v>19.989999999999998</v>
      </c>
      <c r="Y54" s="2"/>
      <c r="Z54" s="7">
        <f t="shared" si="37"/>
        <v>1998.9999999999998</v>
      </c>
    </row>
    <row r="55" spans="1:26" s="27" customFormat="1" outlineLevel="1" collapsed="1" x14ac:dyDescent="0.25">
      <c r="A55" s="26"/>
      <c r="B55" s="12" t="str">
        <f>CONCATENATE("     ","General                                           ")</f>
        <v xml:space="preserve">     General                                           </v>
      </c>
      <c r="C55" s="12"/>
      <c r="D55" s="1">
        <f>SUM(OSRRefD22_9x_0)</f>
        <v>0</v>
      </c>
      <c r="E55" s="1"/>
      <c r="F55" s="5">
        <f t="shared" si="30"/>
        <v>0</v>
      </c>
      <c r="G55" s="1"/>
      <c r="H55" s="1">
        <f>SUM(OSRRefH22_9x_0)</f>
        <v>0</v>
      </c>
      <c r="I55" s="1"/>
      <c r="J55" s="5">
        <f t="shared" si="31"/>
        <v>0</v>
      </c>
      <c r="K55" s="1"/>
      <c r="L55" s="1">
        <f t="shared" si="32"/>
        <v>0</v>
      </c>
      <c r="M55" s="1"/>
      <c r="N55" s="5">
        <f t="shared" si="33"/>
        <v>0</v>
      </c>
      <c r="O55" s="12"/>
      <c r="P55" s="1">
        <f>SUM(OSRRefP22_9x_0)</f>
        <v>2179.0500000000002</v>
      </c>
      <c r="Q55" s="1"/>
      <c r="R55" s="5">
        <f t="shared" si="34"/>
        <v>0</v>
      </c>
      <c r="S55" s="1"/>
      <c r="T55" s="1">
        <f>SUM(OSRRefT22_9x_0)</f>
        <v>1950.43</v>
      </c>
      <c r="U55" s="1"/>
      <c r="V55" s="5">
        <f t="shared" si="35"/>
        <v>9.9461053197821034E-4</v>
      </c>
      <c r="W55" s="1"/>
      <c r="X55" s="1">
        <f t="shared" si="36"/>
        <v>228.62000000000012</v>
      </c>
      <c r="Y55" s="1"/>
      <c r="Z55" s="5">
        <f t="shared" si="37"/>
        <v>0.11721517819147578</v>
      </c>
    </row>
    <row r="56" spans="1:26" s="23" customFormat="1" hidden="1" outlineLevel="2" x14ac:dyDescent="0.25">
      <c r="A56" s="25"/>
      <c r="B56" s="10" t="str">
        <f>CONCATENATE("          ", "6279", " - ", "GENERAL EXPENSE")</f>
        <v xml:space="preserve">          6279 - GENERAL EXPENSE</v>
      </c>
      <c r="C56" s="10"/>
      <c r="D56" s="6">
        <v>0</v>
      </c>
      <c r="E56" s="2"/>
      <c r="F56" s="7">
        <f t="shared" si="30"/>
        <v>0</v>
      </c>
      <c r="G56" s="2"/>
      <c r="H56" s="6"/>
      <c r="I56" s="2"/>
      <c r="J56" s="7">
        <f t="shared" si="31"/>
        <v>0</v>
      </c>
      <c r="K56" s="2"/>
      <c r="L56" s="6">
        <f t="shared" si="32"/>
        <v>0</v>
      </c>
      <c r="M56" s="2"/>
      <c r="N56" s="7">
        <f t="shared" si="33"/>
        <v>0</v>
      </c>
      <c r="O56" s="10"/>
      <c r="P56" s="6">
        <v>2179.0500000000002</v>
      </c>
      <c r="Q56" s="2"/>
      <c r="R56" s="7">
        <f t="shared" si="34"/>
        <v>0</v>
      </c>
      <c r="S56" s="2"/>
      <c r="T56" s="6">
        <v>1950.43</v>
      </c>
      <c r="U56" s="2"/>
      <c r="V56" s="7">
        <f t="shared" si="35"/>
        <v>9.9461053197821034E-4</v>
      </c>
      <c r="W56" s="2"/>
      <c r="X56" s="6">
        <f t="shared" si="36"/>
        <v>228.62000000000012</v>
      </c>
      <c r="Y56" s="2"/>
      <c r="Z56" s="7">
        <f t="shared" si="37"/>
        <v>0.11721517819147578</v>
      </c>
    </row>
    <row r="57" spans="1:26" s="27" customFormat="1" outlineLevel="1" collapsed="1" x14ac:dyDescent="0.25">
      <c r="A57" s="26"/>
      <c r="B57" s="12" t="str">
        <f>CONCATENATE("     ","Insurance                                         ")</f>
        <v xml:space="preserve">     Insurance                                         </v>
      </c>
      <c r="C57" s="12"/>
      <c r="D57" s="1">
        <f>SUM(OSRRefD22_10x_0)</f>
        <v>-7.01</v>
      </c>
      <c r="E57" s="1"/>
      <c r="F57" s="5">
        <f t="shared" si="30"/>
        <v>0</v>
      </c>
      <c r="G57" s="1"/>
      <c r="H57" s="1">
        <f>SUM(OSRRefH22_10x_0)</f>
        <v>5.9</v>
      </c>
      <c r="I57" s="1"/>
      <c r="J57" s="5">
        <f t="shared" si="31"/>
        <v>-1.7695494727042497E-4</v>
      </c>
      <c r="K57" s="1"/>
      <c r="L57" s="1">
        <f t="shared" si="32"/>
        <v>-12.91</v>
      </c>
      <c r="M57" s="1"/>
      <c r="N57" s="5">
        <f t="shared" si="33"/>
        <v>-2.188135593220339</v>
      </c>
      <c r="O57" s="12"/>
      <c r="P57" s="1">
        <f>SUM(OSRRefP22_10x_0)</f>
        <v>57.89</v>
      </c>
      <c r="Q57" s="1"/>
      <c r="R57" s="5">
        <f t="shared" si="34"/>
        <v>0</v>
      </c>
      <c r="S57" s="1"/>
      <c r="T57" s="1">
        <f>SUM(OSRRefT22_10x_0)</f>
        <v>70.8</v>
      </c>
      <c r="U57" s="1"/>
      <c r="V57" s="5">
        <f t="shared" si="35"/>
        <v>3.6104051754770634E-5</v>
      </c>
      <c r="W57" s="1"/>
      <c r="X57" s="1">
        <f t="shared" si="36"/>
        <v>-12.909999999999997</v>
      </c>
      <c r="Y57" s="1"/>
      <c r="Z57" s="5">
        <f t="shared" si="37"/>
        <v>-0.18234463276836155</v>
      </c>
    </row>
    <row r="58" spans="1:26" s="23" customFormat="1" hidden="1" outlineLevel="2" x14ac:dyDescent="0.25">
      <c r="A58" s="25"/>
      <c r="B58" s="10" t="str">
        <f>CONCATENATE("          ", "6314", " - ", "LIABILITY INSURANCE")</f>
        <v xml:space="preserve">          6314 - LIABILITY INSURANCE</v>
      </c>
      <c r="C58" s="10"/>
      <c r="D58" s="6">
        <v>-7.01</v>
      </c>
      <c r="E58" s="2"/>
      <c r="F58" s="7">
        <f t="shared" si="30"/>
        <v>0</v>
      </c>
      <c r="G58" s="2"/>
      <c r="H58" s="6">
        <v>5.9</v>
      </c>
      <c r="I58" s="2"/>
      <c r="J58" s="7">
        <f t="shared" si="31"/>
        <v>-1.7695494727042497E-4</v>
      </c>
      <c r="K58" s="2"/>
      <c r="L58" s="6">
        <f t="shared" si="32"/>
        <v>-12.91</v>
      </c>
      <c r="M58" s="2"/>
      <c r="N58" s="7">
        <f t="shared" si="33"/>
        <v>-2.188135593220339</v>
      </c>
      <c r="O58" s="10"/>
      <c r="P58" s="6">
        <v>57.89</v>
      </c>
      <c r="Q58" s="2"/>
      <c r="R58" s="7">
        <f t="shared" si="34"/>
        <v>0</v>
      </c>
      <c r="S58" s="2"/>
      <c r="T58" s="6">
        <v>70.8</v>
      </c>
      <c r="U58" s="2"/>
      <c r="V58" s="7">
        <f t="shared" si="35"/>
        <v>3.6104051754770634E-5</v>
      </c>
      <c r="W58" s="2"/>
      <c r="X58" s="6">
        <f t="shared" si="36"/>
        <v>-12.909999999999997</v>
      </c>
      <c r="Y58" s="2"/>
      <c r="Z58" s="7">
        <f t="shared" si="37"/>
        <v>-0.18234463276836155</v>
      </c>
    </row>
    <row r="59" spans="1:26" s="27" customFormat="1" outlineLevel="1" collapsed="1" x14ac:dyDescent="0.25">
      <c r="A59" s="26"/>
      <c r="B59" s="12" t="str">
        <f>CONCATENATE("     ","R/H Commissions                                   ")</f>
        <v xml:space="preserve">     R/H Commissions                                   </v>
      </c>
      <c r="C59" s="12"/>
      <c r="D59" s="1">
        <f>SUM(OSRRefD22_11x_0)</f>
        <v>0</v>
      </c>
      <c r="E59" s="1"/>
      <c r="F59" s="5">
        <f t="shared" si="30"/>
        <v>0</v>
      </c>
      <c r="G59" s="1"/>
      <c r="H59" s="1">
        <f>SUM(OSRRefH22_11x_0)</f>
        <v>-2667</v>
      </c>
      <c r="I59" s="1"/>
      <c r="J59" s="5">
        <f t="shared" si="31"/>
        <v>7.998963463902091E-2</v>
      </c>
      <c r="K59" s="1"/>
      <c r="L59" s="1">
        <f t="shared" si="32"/>
        <v>2667</v>
      </c>
      <c r="M59" s="1"/>
      <c r="N59" s="5">
        <f t="shared" si="33"/>
        <v>-1</v>
      </c>
      <c r="O59" s="12"/>
      <c r="P59" s="1">
        <f>SUM(OSRRefP22_11x_0)</f>
        <v>0</v>
      </c>
      <c r="Q59" s="1"/>
      <c r="R59" s="5">
        <f t="shared" si="34"/>
        <v>0</v>
      </c>
      <c r="S59" s="1"/>
      <c r="T59" s="1">
        <f>SUM(OSRRefT22_11x_0)</f>
        <v>153541.5</v>
      </c>
      <c r="U59" s="1"/>
      <c r="V59" s="5">
        <f t="shared" si="35"/>
        <v>7.8297602577755865E-2</v>
      </c>
      <c r="W59" s="1"/>
      <c r="X59" s="1">
        <f t="shared" si="36"/>
        <v>-153541.5</v>
      </c>
      <c r="Y59" s="1"/>
      <c r="Z59" s="5">
        <f t="shared" si="37"/>
        <v>-1</v>
      </c>
    </row>
    <row r="60" spans="1:26" s="23" customFormat="1" hidden="1" outlineLevel="2" x14ac:dyDescent="0.25">
      <c r="A60" s="25"/>
      <c r="B60" s="10" t="str">
        <f>CONCATENATE("          ", "6387", " - ", "COMMISSION DUE HOUSING")</f>
        <v xml:space="preserve">          6387 - COMMISSION DUE HOUSING</v>
      </c>
      <c r="C60" s="10"/>
      <c r="D60" s="6"/>
      <c r="E60" s="2"/>
      <c r="F60" s="7">
        <f t="shared" si="30"/>
        <v>0</v>
      </c>
      <c r="G60" s="2"/>
      <c r="H60" s="6">
        <v>-2667</v>
      </c>
      <c r="I60" s="2"/>
      <c r="J60" s="7">
        <f t="shared" si="31"/>
        <v>7.998963463902091E-2</v>
      </c>
      <c r="K60" s="2"/>
      <c r="L60" s="6">
        <f t="shared" si="32"/>
        <v>2667</v>
      </c>
      <c r="M60" s="2"/>
      <c r="N60" s="7">
        <f t="shared" si="33"/>
        <v>-1</v>
      </c>
      <c r="O60" s="10"/>
      <c r="P60" s="6"/>
      <c r="Q60" s="2"/>
      <c r="R60" s="7">
        <f t="shared" si="34"/>
        <v>0</v>
      </c>
      <c r="S60" s="2"/>
      <c r="T60" s="6">
        <v>153541.5</v>
      </c>
      <c r="U60" s="2"/>
      <c r="V60" s="7">
        <f t="shared" si="35"/>
        <v>7.8297602577755865E-2</v>
      </c>
      <c r="W60" s="2"/>
      <c r="X60" s="6">
        <f t="shared" si="36"/>
        <v>-153541.5</v>
      </c>
      <c r="Y60" s="2"/>
      <c r="Z60" s="7">
        <f t="shared" si="37"/>
        <v>-1</v>
      </c>
    </row>
    <row r="61" spans="1:26" s="27" customFormat="1" outlineLevel="1" collapsed="1" x14ac:dyDescent="0.25">
      <c r="A61" s="26"/>
      <c r="B61" s="12" t="str">
        <f>CONCATENATE("     ","Repair and Maintenance                            ")</f>
        <v xml:space="preserve">     Repair and Maintenance                            </v>
      </c>
      <c r="C61" s="12"/>
      <c r="D61" s="1">
        <f>SUM(OSRRefD22_12x_0)</f>
        <v>71.86</v>
      </c>
      <c r="E61" s="1"/>
      <c r="F61" s="5">
        <f t="shared" si="30"/>
        <v>0</v>
      </c>
      <c r="G61" s="1"/>
      <c r="H61" s="1">
        <f>SUM(OSRRefH22_12x_0)</f>
        <v>72.33</v>
      </c>
      <c r="I61" s="1"/>
      <c r="J61" s="5">
        <f t="shared" si="31"/>
        <v>-2.1693476840796335E-3</v>
      </c>
      <c r="K61" s="1"/>
      <c r="L61" s="1">
        <f t="shared" si="32"/>
        <v>-0.46999999999999886</v>
      </c>
      <c r="M61" s="1"/>
      <c r="N61" s="5">
        <f t="shared" si="33"/>
        <v>-6.4979952993225341E-3</v>
      </c>
      <c r="O61" s="12"/>
      <c r="P61" s="1">
        <f>SUM(OSRRefP22_12x_0)</f>
        <v>288.85000000000002</v>
      </c>
      <c r="Q61" s="1"/>
      <c r="R61" s="5">
        <f t="shared" si="34"/>
        <v>0</v>
      </c>
      <c r="S61" s="1"/>
      <c r="T61" s="1">
        <f>SUM(OSRRefT22_12x_0)</f>
        <v>284.49</v>
      </c>
      <c r="U61" s="1"/>
      <c r="V61" s="5">
        <f t="shared" si="35"/>
        <v>1.4507403508071606E-4</v>
      </c>
      <c r="W61" s="1"/>
      <c r="X61" s="1">
        <f t="shared" si="36"/>
        <v>4.3600000000000136</v>
      </c>
      <c r="Y61" s="1"/>
      <c r="Z61" s="5">
        <f t="shared" si="37"/>
        <v>1.5325670498084339E-2</v>
      </c>
    </row>
    <row r="62" spans="1:26" s="23" customFormat="1" hidden="1" outlineLevel="2" x14ac:dyDescent="0.25">
      <c r="A62" s="25"/>
      <c r="B62" s="10" t="str">
        <f>CONCATENATE("          ", "6373", " - ", "MAINTENANCE CONTRACTS")</f>
        <v xml:space="preserve">          6373 - MAINTENANCE CONTRACTS</v>
      </c>
      <c r="C62" s="10"/>
      <c r="D62" s="6">
        <v>71.86</v>
      </c>
      <c r="E62" s="2"/>
      <c r="F62" s="7">
        <f t="shared" si="30"/>
        <v>0</v>
      </c>
      <c r="G62" s="2"/>
      <c r="H62" s="6">
        <v>72.33</v>
      </c>
      <c r="I62" s="2"/>
      <c r="J62" s="7">
        <f t="shared" si="31"/>
        <v>-2.1693476840796335E-3</v>
      </c>
      <c r="K62" s="2"/>
      <c r="L62" s="6">
        <f t="shared" si="32"/>
        <v>-0.46999999999999886</v>
      </c>
      <c r="M62" s="2"/>
      <c r="N62" s="7">
        <f t="shared" si="33"/>
        <v>-6.4979952993225341E-3</v>
      </c>
      <c r="O62" s="10"/>
      <c r="P62" s="6">
        <v>288.85000000000002</v>
      </c>
      <c r="Q62" s="2"/>
      <c r="R62" s="7">
        <f t="shared" si="34"/>
        <v>0</v>
      </c>
      <c r="S62" s="2"/>
      <c r="T62" s="6">
        <v>284.49</v>
      </c>
      <c r="U62" s="2"/>
      <c r="V62" s="7">
        <f t="shared" si="35"/>
        <v>1.4507403508071606E-4</v>
      </c>
      <c r="W62" s="2"/>
      <c r="X62" s="6">
        <f t="shared" si="36"/>
        <v>4.3600000000000136</v>
      </c>
      <c r="Y62" s="2"/>
      <c r="Z62" s="7">
        <f t="shared" si="37"/>
        <v>1.5325670498084339E-2</v>
      </c>
    </row>
    <row r="63" spans="1:26" s="23" customFormat="1" hidden="1" outlineLevel="2" x14ac:dyDescent="0.25">
      <c r="A63" s="25"/>
      <c r="B63" s="10" t="str">
        <f>CONCATENATE("          ", "6375", " - ", "OUTSIDE REPAIRS &amp; MAINTENANCE")</f>
        <v xml:space="preserve">          6375 - OUTSIDE REPAIRS &amp; MAINTENANCE</v>
      </c>
      <c r="C63" s="10"/>
      <c r="D63" s="6"/>
      <c r="E63" s="2"/>
      <c r="F63" s="7">
        <f t="shared" si="30"/>
        <v>0</v>
      </c>
      <c r="G63" s="2"/>
      <c r="H63" s="6"/>
      <c r="I63" s="2"/>
      <c r="J63" s="7">
        <f t="shared" si="31"/>
        <v>0</v>
      </c>
      <c r="K63" s="2"/>
      <c r="L63" s="6">
        <f t="shared" si="32"/>
        <v>0</v>
      </c>
      <c r="M63" s="2"/>
      <c r="N63" s="7">
        <f t="shared" si="33"/>
        <v>0</v>
      </c>
      <c r="O63" s="10"/>
      <c r="P63" s="6"/>
      <c r="Q63" s="2"/>
      <c r="R63" s="7">
        <f t="shared" si="34"/>
        <v>0</v>
      </c>
      <c r="S63" s="2"/>
      <c r="T63" s="6">
        <v>0</v>
      </c>
      <c r="U63" s="2"/>
      <c r="V63" s="7">
        <f t="shared" si="35"/>
        <v>0</v>
      </c>
      <c r="W63" s="2"/>
      <c r="X63" s="6">
        <f t="shared" si="36"/>
        <v>0</v>
      </c>
      <c r="Y63" s="2"/>
      <c r="Z63" s="7">
        <f t="shared" si="37"/>
        <v>0</v>
      </c>
    </row>
    <row r="64" spans="1:26" s="27" customFormat="1" outlineLevel="1" collapsed="1" x14ac:dyDescent="0.25">
      <c r="A64" s="26"/>
      <c r="B64" s="12" t="str">
        <f>CONCATENATE("     ","Services                                          ")</f>
        <v xml:space="preserve">     Services                                          </v>
      </c>
      <c r="C64" s="12"/>
      <c r="D64" s="1">
        <f>SUM(OSRRefD22_13x_0)</f>
        <v>669.64</v>
      </c>
      <c r="E64" s="1"/>
      <c r="F64" s="5">
        <f t="shared" ref="F64:F67" si="38">IF(D$12=0,0,D64/D$12)</f>
        <v>0</v>
      </c>
      <c r="G64" s="1"/>
      <c r="H64" s="1">
        <f>SUM(OSRRefH22_13x_0)</f>
        <v>1051.05</v>
      </c>
      <c r="I64" s="1"/>
      <c r="J64" s="5">
        <f t="shared" ref="J64:J67" si="39">IF(H$12=0,0,H64/H$12)</f>
        <v>-3.152347412348816E-2</v>
      </c>
      <c r="K64" s="1"/>
      <c r="L64" s="1">
        <f t="shared" ref="L64:L67" si="40">+D64-H64</f>
        <v>-381.40999999999997</v>
      </c>
      <c r="M64" s="1"/>
      <c r="N64" s="5">
        <f t="shared" ref="N64:N67" si="41">IF(H64=0,0,L64/H64)</f>
        <v>-0.3628847343133057</v>
      </c>
      <c r="O64" s="12"/>
      <c r="P64" s="1">
        <f>SUM(OSRRefP22_13x_0)</f>
        <v>8035.68</v>
      </c>
      <c r="Q64" s="1"/>
      <c r="R64" s="5">
        <f t="shared" ref="R64:R67" si="42">IF(P$12=0,0,P64/P$12)</f>
        <v>0</v>
      </c>
      <c r="S64" s="1"/>
      <c r="T64" s="1">
        <f>SUM(OSRRefT22_13x_0)</f>
        <v>58096.53</v>
      </c>
      <c r="U64" s="1"/>
      <c r="V64" s="5">
        <f t="shared" ref="V64:V67" si="43">IF(T$12=0,0,T64/T$12)</f>
        <v>2.9625990478708824E-2</v>
      </c>
      <c r="W64" s="1"/>
      <c r="X64" s="1">
        <f t="shared" ref="X64:X67" si="44">+P64-T64</f>
        <v>-50060.85</v>
      </c>
      <c r="Y64" s="1"/>
      <c r="Z64" s="5">
        <f t="shared" ref="Z64:Z67" si="45">IF(T64=0,0,X64/T64)</f>
        <v>-0.86168399386331673</v>
      </c>
    </row>
    <row r="65" spans="1:26" s="23" customFormat="1" hidden="1" outlineLevel="2" x14ac:dyDescent="0.25">
      <c r="A65" s="25"/>
      <c r="B65" s="10" t="str">
        <f>CONCATENATE("          ", "6282", " - ", "JANITORIAL/EXTERMINATOR EXPENS")</f>
        <v xml:space="preserve">          6282 - JANITORIAL/EXTERMINATOR EXPENS</v>
      </c>
      <c r="C65" s="10"/>
      <c r="D65" s="6">
        <v>669.64</v>
      </c>
      <c r="E65" s="2"/>
      <c r="F65" s="7">
        <f t="shared" si="38"/>
        <v>0</v>
      </c>
      <c r="G65" s="2"/>
      <c r="H65" s="6">
        <v>741.41</v>
      </c>
      <c r="I65" s="2"/>
      <c r="J65" s="7">
        <f t="shared" si="39"/>
        <v>-2.2236638551824704E-2</v>
      </c>
      <c r="K65" s="2"/>
      <c r="L65" s="6">
        <f t="shared" si="40"/>
        <v>-71.769999999999982</v>
      </c>
      <c r="M65" s="2"/>
      <c r="N65" s="7">
        <f t="shared" si="41"/>
        <v>-9.6802039357440528E-2</v>
      </c>
      <c r="O65" s="10"/>
      <c r="P65" s="6">
        <v>7437.81</v>
      </c>
      <c r="Q65" s="2"/>
      <c r="R65" s="7">
        <f t="shared" si="42"/>
        <v>0</v>
      </c>
      <c r="S65" s="2"/>
      <c r="T65" s="6">
        <v>8855.32</v>
      </c>
      <c r="U65" s="2"/>
      <c r="V65" s="7">
        <f t="shared" si="43"/>
        <v>4.5157193726702754E-3</v>
      </c>
      <c r="W65" s="2"/>
      <c r="X65" s="6">
        <f t="shared" si="44"/>
        <v>-1417.5099999999993</v>
      </c>
      <c r="Y65" s="2"/>
      <c r="Z65" s="7">
        <f t="shared" si="45"/>
        <v>-0.160074395956329</v>
      </c>
    </row>
    <row r="66" spans="1:26" s="23" customFormat="1" hidden="1" outlineLevel="2" x14ac:dyDescent="0.25">
      <c r="A66" s="25"/>
      <c r="B66" s="10" t="str">
        <f>CONCATENATE("          ", "6285", " - ", "JANITORIAL SERVICES")</f>
        <v xml:space="preserve">          6285 - JANITORIAL SERVICES</v>
      </c>
      <c r="C66" s="10"/>
      <c r="D66" s="6"/>
      <c r="E66" s="2"/>
      <c r="F66" s="7">
        <f t="shared" si="38"/>
        <v>0</v>
      </c>
      <c r="G66" s="2"/>
      <c r="H66" s="6"/>
      <c r="I66" s="2"/>
      <c r="J66" s="7">
        <f t="shared" si="39"/>
        <v>0</v>
      </c>
      <c r="K66" s="2"/>
      <c r="L66" s="6">
        <f t="shared" si="40"/>
        <v>0</v>
      </c>
      <c r="M66" s="2"/>
      <c r="N66" s="7">
        <f t="shared" si="41"/>
        <v>0</v>
      </c>
      <c r="O66" s="10"/>
      <c r="P66" s="6"/>
      <c r="Q66" s="2"/>
      <c r="R66" s="7">
        <f t="shared" si="42"/>
        <v>0</v>
      </c>
      <c r="S66" s="2"/>
      <c r="T66" s="6">
        <v>35826.720000000001</v>
      </c>
      <c r="U66" s="2"/>
      <c r="V66" s="7">
        <f t="shared" si="43"/>
        <v>1.8269629280842883E-2</v>
      </c>
      <c r="W66" s="2"/>
      <c r="X66" s="6">
        <f t="shared" si="44"/>
        <v>-35826.720000000001</v>
      </c>
      <c r="Y66" s="2"/>
      <c r="Z66" s="7">
        <f t="shared" si="45"/>
        <v>-1</v>
      </c>
    </row>
    <row r="67" spans="1:26" s="23" customFormat="1" hidden="1" outlineLevel="2" x14ac:dyDescent="0.25">
      <c r="A67" s="25"/>
      <c r="B67" s="10" t="str">
        <f>CONCATENATE("          ", "6286", " - ", "LAUNDRY EXPENSE")</f>
        <v xml:space="preserve">          6286 - LAUNDRY EXPENSE</v>
      </c>
      <c r="C67" s="10"/>
      <c r="D67" s="6"/>
      <c r="E67" s="2"/>
      <c r="F67" s="7">
        <f t="shared" si="38"/>
        <v>0</v>
      </c>
      <c r="G67" s="2"/>
      <c r="H67" s="6">
        <v>309.64</v>
      </c>
      <c r="I67" s="2"/>
      <c r="J67" s="7">
        <f t="shared" si="39"/>
        <v>-9.2868355716634546E-3</v>
      </c>
      <c r="K67" s="2"/>
      <c r="L67" s="6">
        <f t="shared" si="40"/>
        <v>-309.64</v>
      </c>
      <c r="M67" s="2"/>
      <c r="N67" s="7">
        <f t="shared" si="41"/>
        <v>-1</v>
      </c>
      <c r="O67" s="10"/>
      <c r="P67" s="6">
        <v>597.87</v>
      </c>
      <c r="Q67" s="2"/>
      <c r="R67" s="7">
        <f t="shared" si="42"/>
        <v>0</v>
      </c>
      <c r="S67" s="2"/>
      <c r="T67" s="6">
        <v>13414.49</v>
      </c>
      <c r="U67" s="2"/>
      <c r="V67" s="7">
        <f t="shared" si="43"/>
        <v>6.840641825195665E-3</v>
      </c>
      <c r="W67" s="2"/>
      <c r="X67" s="6">
        <f t="shared" si="44"/>
        <v>-12816.619999999999</v>
      </c>
      <c r="Y67" s="2"/>
      <c r="Z67" s="7">
        <f t="shared" si="45"/>
        <v>-0.95543103017706965</v>
      </c>
    </row>
    <row r="68" spans="1:26" s="27" customFormat="1" outlineLevel="1" collapsed="1" x14ac:dyDescent="0.25">
      <c r="A68" s="26"/>
      <c r="B68" s="12" t="str">
        <f>CONCATENATE("     ","Supplies                                          ")</f>
        <v xml:space="preserve">     Supplies                                          </v>
      </c>
      <c r="C68" s="12"/>
      <c r="D68" s="1">
        <f>SUM(OSRRefD22_14x_0)</f>
        <v>1199.82</v>
      </c>
      <c r="E68" s="1"/>
      <c r="F68" s="5">
        <f t="shared" ref="F68:F74" si="46">IF(D$12=0,0,D68/D$12)</f>
        <v>0</v>
      </c>
      <c r="G68" s="1"/>
      <c r="H68" s="1">
        <f>SUM(OSRRefH22_14x_0)</f>
        <v>0</v>
      </c>
      <c r="I68" s="1"/>
      <c r="J68" s="5">
        <f t="shared" ref="J68:J74" si="47">IF(H$12=0,0,H68/H$12)</f>
        <v>0</v>
      </c>
      <c r="K68" s="1"/>
      <c r="L68" s="1">
        <f t="shared" ref="L68:L74" si="48">+D68-H68</f>
        <v>1199.82</v>
      </c>
      <c r="M68" s="1"/>
      <c r="N68" s="5">
        <f t="shared" ref="N68:N74" si="49">IF(H68=0,0,L68/H68)</f>
        <v>0</v>
      </c>
      <c r="O68" s="12"/>
      <c r="P68" s="1">
        <f>SUM(OSRRefP22_14x_0)</f>
        <v>1296.52</v>
      </c>
      <c r="Q68" s="1"/>
      <c r="R68" s="5">
        <f t="shared" ref="R68:R74" si="50">IF(P$12=0,0,P68/P$12)</f>
        <v>0</v>
      </c>
      <c r="S68" s="1"/>
      <c r="T68" s="1">
        <f>SUM(OSRRefT22_14x_0)</f>
        <v>43096.97</v>
      </c>
      <c r="U68" s="1"/>
      <c r="V68" s="5">
        <f t="shared" ref="V68:V74" si="51">IF(T$12=0,0,T68/T$12)</f>
        <v>2.1977051346805047E-2</v>
      </c>
      <c r="W68" s="1"/>
      <c r="X68" s="1">
        <f t="shared" ref="X68:X74" si="52">+P68-T68</f>
        <v>-41800.450000000004</v>
      </c>
      <c r="Y68" s="1"/>
      <c r="Z68" s="5">
        <f t="shared" ref="Z68:Z74" si="53">IF(T68=0,0,X68/T68)</f>
        <v>-0.96991621452737864</v>
      </c>
    </row>
    <row r="69" spans="1:26" s="23" customFormat="1" hidden="1" outlineLevel="2" x14ac:dyDescent="0.25">
      <c r="A69" s="25"/>
      <c r="B69" s="10" t="str">
        <f>CONCATENATE("          ", "6237", " - ", "JANITORIAL SUPPLIES")</f>
        <v xml:space="preserve">          6237 - JANITORIAL SUPPLIES</v>
      </c>
      <c r="C69" s="10"/>
      <c r="D69" s="6"/>
      <c r="E69" s="2"/>
      <c r="F69" s="7">
        <f t="shared" si="46"/>
        <v>0</v>
      </c>
      <c r="G69" s="2"/>
      <c r="H69" s="6"/>
      <c r="I69" s="2"/>
      <c r="J69" s="7">
        <f t="shared" si="47"/>
        <v>0</v>
      </c>
      <c r="K69" s="2"/>
      <c r="L69" s="6">
        <f t="shared" si="48"/>
        <v>0</v>
      </c>
      <c r="M69" s="2"/>
      <c r="N69" s="7">
        <f t="shared" si="49"/>
        <v>0</v>
      </c>
      <c r="O69" s="10"/>
      <c r="P69" s="6"/>
      <c r="Q69" s="2"/>
      <c r="R69" s="7">
        <f t="shared" si="50"/>
        <v>0</v>
      </c>
      <c r="S69" s="2"/>
      <c r="T69" s="6">
        <v>12287.44</v>
      </c>
      <c r="U69" s="2"/>
      <c r="V69" s="7">
        <f t="shared" si="51"/>
        <v>6.2659091764638263E-3</v>
      </c>
      <c r="W69" s="2"/>
      <c r="X69" s="6">
        <f t="shared" si="52"/>
        <v>-12287.44</v>
      </c>
      <c r="Y69" s="2"/>
      <c r="Z69" s="7">
        <f t="shared" si="53"/>
        <v>-1</v>
      </c>
    </row>
    <row r="70" spans="1:26" s="23" customFormat="1" hidden="1" outlineLevel="2" x14ac:dyDescent="0.25">
      <c r="A70" s="25"/>
      <c r="B70" s="10" t="str">
        <f>CONCATENATE("          ", "6239", " - ", "KITCHEN SUPPLIES")</f>
        <v xml:space="preserve">          6239 - KITCHEN SUPPLIES</v>
      </c>
      <c r="C70" s="10"/>
      <c r="D70" s="6">
        <v>1199.82</v>
      </c>
      <c r="E70" s="2"/>
      <c r="F70" s="7">
        <f t="shared" si="46"/>
        <v>0</v>
      </c>
      <c r="G70" s="2"/>
      <c r="H70" s="6"/>
      <c r="I70" s="2"/>
      <c r="J70" s="7">
        <f t="shared" si="47"/>
        <v>0</v>
      </c>
      <c r="K70" s="2"/>
      <c r="L70" s="6">
        <f t="shared" si="48"/>
        <v>1199.82</v>
      </c>
      <c r="M70" s="2"/>
      <c r="N70" s="7">
        <f t="shared" si="49"/>
        <v>0</v>
      </c>
      <c r="O70" s="10"/>
      <c r="P70" s="6">
        <v>1199.82</v>
      </c>
      <c r="Q70" s="2"/>
      <c r="R70" s="7">
        <f t="shared" si="50"/>
        <v>0</v>
      </c>
      <c r="S70" s="2"/>
      <c r="T70" s="6">
        <v>4550.0600000000004</v>
      </c>
      <c r="U70" s="2"/>
      <c r="V70" s="7">
        <f t="shared" si="51"/>
        <v>2.3202768605552499E-3</v>
      </c>
      <c r="W70" s="2"/>
      <c r="X70" s="6">
        <f t="shared" si="52"/>
        <v>-3350.2400000000007</v>
      </c>
      <c r="Y70" s="2"/>
      <c r="Z70" s="7">
        <f t="shared" si="53"/>
        <v>-0.73630677397660704</v>
      </c>
    </row>
    <row r="71" spans="1:26" s="23" customFormat="1" hidden="1" outlineLevel="2" x14ac:dyDescent="0.25">
      <c r="A71" s="25"/>
      <c r="B71" s="10" t="str">
        <f>CONCATENATE("          ", "6241", " - ", "OFFICE EXPENSE")</f>
        <v xml:space="preserve">          6241 - OFFICE EXPENSE</v>
      </c>
      <c r="C71" s="10"/>
      <c r="D71" s="6"/>
      <c r="E71" s="2"/>
      <c r="F71" s="7">
        <f t="shared" si="46"/>
        <v>0</v>
      </c>
      <c r="G71" s="2"/>
      <c r="H71" s="6"/>
      <c r="I71" s="2"/>
      <c r="J71" s="7">
        <f t="shared" si="47"/>
        <v>0</v>
      </c>
      <c r="K71" s="2"/>
      <c r="L71" s="6">
        <f t="shared" si="48"/>
        <v>0</v>
      </c>
      <c r="M71" s="2"/>
      <c r="N71" s="7">
        <f t="shared" si="49"/>
        <v>0</v>
      </c>
      <c r="O71" s="10"/>
      <c r="P71" s="6">
        <v>96.7</v>
      </c>
      <c r="Q71" s="2"/>
      <c r="R71" s="7">
        <f t="shared" si="50"/>
        <v>0</v>
      </c>
      <c r="S71" s="2"/>
      <c r="T71" s="6">
        <v>18733.82</v>
      </c>
      <c r="U71" s="2"/>
      <c r="V71" s="7">
        <f t="shared" si="51"/>
        <v>9.5532034865050443E-3</v>
      </c>
      <c r="W71" s="2"/>
      <c r="X71" s="6">
        <f t="shared" si="52"/>
        <v>-18637.12</v>
      </c>
      <c r="Y71" s="2"/>
      <c r="Z71" s="7">
        <f t="shared" si="53"/>
        <v>-0.99483821238807668</v>
      </c>
    </row>
    <row r="72" spans="1:26" s="23" customFormat="1" hidden="1" outlineLevel="2" x14ac:dyDescent="0.25">
      <c r="A72" s="25"/>
      <c r="B72" s="10" t="str">
        <f>CONCATENATE("          ", "6243", " - ", "PAPER SUPPLIES")</f>
        <v xml:space="preserve">          6243 - PAPER SUPPLIES</v>
      </c>
      <c r="C72" s="10"/>
      <c r="D72" s="6"/>
      <c r="E72" s="2"/>
      <c r="F72" s="7">
        <f t="shared" si="46"/>
        <v>0</v>
      </c>
      <c r="G72" s="2"/>
      <c r="H72" s="6"/>
      <c r="I72" s="2"/>
      <c r="J72" s="7">
        <f t="shared" si="47"/>
        <v>0</v>
      </c>
      <c r="K72" s="2"/>
      <c r="L72" s="6">
        <f t="shared" si="48"/>
        <v>0</v>
      </c>
      <c r="M72" s="2"/>
      <c r="N72" s="7">
        <f t="shared" si="49"/>
        <v>0</v>
      </c>
      <c r="O72" s="10"/>
      <c r="P72" s="6"/>
      <c r="Q72" s="2"/>
      <c r="R72" s="7">
        <f t="shared" si="50"/>
        <v>0</v>
      </c>
      <c r="S72" s="2"/>
      <c r="T72" s="6">
        <v>14386.16</v>
      </c>
      <c r="U72" s="2"/>
      <c r="V72" s="7">
        <f t="shared" si="51"/>
        <v>7.3361393388758625E-3</v>
      </c>
      <c r="W72" s="2"/>
      <c r="X72" s="6">
        <f t="shared" si="52"/>
        <v>-14386.16</v>
      </c>
      <c r="Y72" s="2"/>
      <c r="Z72" s="7">
        <f t="shared" si="53"/>
        <v>-1</v>
      </c>
    </row>
    <row r="73" spans="1:26" s="23" customFormat="1" hidden="1" outlineLevel="2" x14ac:dyDescent="0.25">
      <c r="A73" s="25"/>
      <c r="B73" s="10" t="str">
        <f>CONCATENATE("          ", "6245", " - ", "PRINTING")</f>
        <v xml:space="preserve">          6245 - PRINTING</v>
      </c>
      <c r="C73" s="10"/>
      <c r="D73" s="6"/>
      <c r="E73" s="2"/>
      <c r="F73" s="7">
        <f t="shared" si="46"/>
        <v>0</v>
      </c>
      <c r="G73" s="2"/>
      <c r="H73" s="6"/>
      <c r="I73" s="2"/>
      <c r="J73" s="7">
        <f t="shared" si="47"/>
        <v>0</v>
      </c>
      <c r="K73" s="2"/>
      <c r="L73" s="6">
        <f t="shared" si="48"/>
        <v>0</v>
      </c>
      <c r="M73" s="2"/>
      <c r="N73" s="7">
        <f t="shared" si="49"/>
        <v>0</v>
      </c>
      <c r="O73" s="10"/>
      <c r="P73" s="6"/>
      <c r="Q73" s="2"/>
      <c r="R73" s="7">
        <f t="shared" si="50"/>
        <v>0</v>
      </c>
      <c r="S73" s="2"/>
      <c r="T73" s="6">
        <v>469.44</v>
      </c>
      <c r="U73" s="2"/>
      <c r="V73" s="7">
        <f t="shared" si="51"/>
        <v>2.3938822112654697E-4</v>
      </c>
      <c r="W73" s="2"/>
      <c r="X73" s="6">
        <f t="shared" si="52"/>
        <v>-469.44</v>
      </c>
      <c r="Y73" s="2"/>
      <c r="Z73" s="7">
        <f t="shared" si="53"/>
        <v>-1</v>
      </c>
    </row>
    <row r="74" spans="1:26" s="23" customFormat="1" hidden="1" outlineLevel="2" x14ac:dyDescent="0.25">
      <c r="A74" s="25"/>
      <c r="B74" s="10" t="str">
        <f>CONCATENATE("          ", "6248", " - ", "UNIFORMS")</f>
        <v xml:space="preserve">          6248 - UNIFORMS</v>
      </c>
      <c r="C74" s="10"/>
      <c r="D74" s="6"/>
      <c r="E74" s="2"/>
      <c r="F74" s="7">
        <f t="shared" si="46"/>
        <v>0</v>
      </c>
      <c r="G74" s="2"/>
      <c r="H74" s="6"/>
      <c r="I74" s="2"/>
      <c r="J74" s="7">
        <f t="shared" si="47"/>
        <v>0</v>
      </c>
      <c r="K74" s="2"/>
      <c r="L74" s="6">
        <f t="shared" si="48"/>
        <v>0</v>
      </c>
      <c r="M74" s="2"/>
      <c r="N74" s="7">
        <f t="shared" si="49"/>
        <v>0</v>
      </c>
      <c r="O74" s="10"/>
      <c r="P74" s="6"/>
      <c r="Q74" s="2"/>
      <c r="R74" s="7">
        <f t="shared" si="50"/>
        <v>0</v>
      </c>
      <c r="S74" s="2"/>
      <c r="T74" s="6">
        <v>-7329.95</v>
      </c>
      <c r="U74" s="2"/>
      <c r="V74" s="7">
        <f t="shared" si="51"/>
        <v>-3.7378657367214828E-3</v>
      </c>
      <c r="W74" s="2"/>
      <c r="X74" s="6">
        <f t="shared" si="52"/>
        <v>7329.95</v>
      </c>
      <c r="Y74" s="2"/>
      <c r="Z74" s="7">
        <f t="shared" si="53"/>
        <v>-1</v>
      </c>
    </row>
    <row r="75" spans="1:26" s="27" customFormat="1" outlineLevel="1" collapsed="1" x14ac:dyDescent="0.25">
      <c r="A75" s="26"/>
      <c r="B75" s="12" t="str">
        <f>CONCATENATE("     ","Telephone/Data Lines                              ")</f>
        <v xml:space="preserve">     Telephone/Data Lines                              </v>
      </c>
      <c r="C75" s="12"/>
      <c r="D75" s="1">
        <f>SUM(OSRRefD22_15x_0)</f>
        <v>150</v>
      </c>
      <c r="E75" s="1"/>
      <c r="F75" s="5">
        <f t="shared" ref="F75:F80" si="54">IF(D$12=0,0,D75/D$12)</f>
        <v>0</v>
      </c>
      <c r="G75" s="1"/>
      <c r="H75" s="1">
        <f>SUM(OSRRefH22_15x_0)</f>
        <v>-65</v>
      </c>
      <c r="I75" s="1"/>
      <c r="J75" s="5">
        <f t="shared" ref="J75:J80" si="55">IF(H$12=0,0,H75/H$12)</f>
        <v>1.9495036563690884E-3</v>
      </c>
      <c r="K75" s="1"/>
      <c r="L75" s="1">
        <f t="shared" ref="L75:L80" si="56">+D75-H75</f>
        <v>215</v>
      </c>
      <c r="M75" s="1"/>
      <c r="N75" s="5">
        <f t="shared" ref="N75:N80" si="57">IF(H75=0,0,L75/H75)</f>
        <v>-3.3076923076923075</v>
      </c>
      <c r="O75" s="12"/>
      <c r="P75" s="1">
        <f>SUM(OSRRefP22_15x_0)</f>
        <v>804.63</v>
      </c>
      <c r="Q75" s="1"/>
      <c r="R75" s="5">
        <f t="shared" ref="R75:R80" si="58">IF(P$12=0,0,P75/P$12)</f>
        <v>0</v>
      </c>
      <c r="S75" s="1"/>
      <c r="T75" s="1">
        <f>SUM(OSRRefT22_15x_0)</f>
        <v>1426.3</v>
      </c>
      <c r="U75" s="1"/>
      <c r="V75" s="5">
        <f t="shared" ref="V75:V80" si="59">IF(T$12=0,0,T75/T$12)</f>
        <v>7.2733346070380446E-4</v>
      </c>
      <c r="W75" s="1"/>
      <c r="X75" s="1">
        <f t="shared" ref="X75:X80" si="60">+P75-T75</f>
        <v>-621.66999999999996</v>
      </c>
      <c r="Y75" s="1"/>
      <c r="Z75" s="5">
        <f t="shared" ref="Z75:Z80" si="61">IF(T75=0,0,X75/T75)</f>
        <v>-0.43586202061277429</v>
      </c>
    </row>
    <row r="76" spans="1:26" s="23" customFormat="1" hidden="1" outlineLevel="2" x14ac:dyDescent="0.25">
      <c r="A76" s="25"/>
      <c r="B76" s="10" t="str">
        <f>CONCATENATE("          ", "6309", " - ", "TELEPHONE")</f>
        <v xml:space="preserve">          6309 - TELEPHONE</v>
      </c>
      <c r="C76" s="10"/>
      <c r="D76" s="6">
        <v>150</v>
      </c>
      <c r="E76" s="2"/>
      <c r="F76" s="7">
        <f t="shared" si="54"/>
        <v>0</v>
      </c>
      <c r="G76" s="2"/>
      <c r="H76" s="6">
        <v>-65</v>
      </c>
      <c r="I76" s="2"/>
      <c r="J76" s="7">
        <f t="shared" si="55"/>
        <v>1.9495036563690884E-3</v>
      </c>
      <c r="K76" s="2"/>
      <c r="L76" s="6">
        <f t="shared" si="56"/>
        <v>215</v>
      </c>
      <c r="M76" s="2"/>
      <c r="N76" s="7">
        <f t="shared" si="57"/>
        <v>-3.3076923076923075</v>
      </c>
      <c r="O76" s="10"/>
      <c r="P76" s="6">
        <v>804.63</v>
      </c>
      <c r="Q76" s="2"/>
      <c r="R76" s="7">
        <f t="shared" si="58"/>
        <v>0</v>
      </c>
      <c r="S76" s="2"/>
      <c r="T76" s="6">
        <v>1426.3</v>
      </c>
      <c r="U76" s="2"/>
      <c r="V76" s="7">
        <f t="shared" si="59"/>
        <v>7.2733346070380446E-4</v>
      </c>
      <c r="W76" s="2"/>
      <c r="X76" s="6">
        <f t="shared" si="60"/>
        <v>-621.66999999999996</v>
      </c>
      <c r="Y76" s="2"/>
      <c r="Z76" s="7">
        <f t="shared" si="61"/>
        <v>-0.43586202061277429</v>
      </c>
    </row>
    <row r="77" spans="1:26" s="27" customFormat="1" outlineLevel="1" collapsed="1" x14ac:dyDescent="0.25">
      <c r="A77" s="26"/>
      <c r="B77" s="12" t="str">
        <f>CONCATENATE("     ","Training                                          ")</f>
        <v xml:space="preserve">     Training                                          </v>
      </c>
      <c r="C77" s="12"/>
      <c r="D77" s="1">
        <f>SUM(OSRRefD22_16x_0)</f>
        <v>0</v>
      </c>
      <c r="E77" s="1"/>
      <c r="F77" s="5">
        <f t="shared" si="54"/>
        <v>0</v>
      </c>
      <c r="G77" s="1"/>
      <c r="H77" s="1">
        <f>SUM(OSRRefH22_16x_0)</f>
        <v>0</v>
      </c>
      <c r="I77" s="1"/>
      <c r="J77" s="5">
        <f t="shared" si="55"/>
        <v>0</v>
      </c>
      <c r="K77" s="1"/>
      <c r="L77" s="1">
        <f t="shared" si="56"/>
        <v>0</v>
      </c>
      <c r="M77" s="1"/>
      <c r="N77" s="5">
        <f t="shared" si="57"/>
        <v>0</v>
      </c>
      <c r="O77" s="12"/>
      <c r="P77" s="1">
        <f>SUM(OSRRefP22_16x_0)</f>
        <v>0</v>
      </c>
      <c r="Q77" s="1"/>
      <c r="R77" s="5">
        <f t="shared" si="58"/>
        <v>0</v>
      </c>
      <c r="S77" s="1"/>
      <c r="T77" s="1">
        <f>SUM(OSRRefT22_16x_0)</f>
        <v>1657.1</v>
      </c>
      <c r="U77" s="1"/>
      <c r="V77" s="5">
        <f t="shared" si="59"/>
        <v>8.4502858987048606E-4</v>
      </c>
      <c r="W77" s="1"/>
      <c r="X77" s="1">
        <f t="shared" si="60"/>
        <v>-1657.1</v>
      </c>
      <c r="Y77" s="1"/>
      <c r="Z77" s="5">
        <f t="shared" si="61"/>
        <v>-1</v>
      </c>
    </row>
    <row r="78" spans="1:26" s="23" customFormat="1" hidden="1" outlineLevel="2" x14ac:dyDescent="0.25">
      <c r="A78" s="25"/>
      <c r="B78" s="10" t="str">
        <f>CONCATENATE("          ", "6376", " - ", "TRAINING")</f>
        <v xml:space="preserve">          6376 - TRAINING</v>
      </c>
      <c r="C78" s="10"/>
      <c r="D78" s="6"/>
      <c r="E78" s="2"/>
      <c r="F78" s="7">
        <f t="shared" si="54"/>
        <v>0</v>
      </c>
      <c r="G78" s="2"/>
      <c r="H78" s="6"/>
      <c r="I78" s="2"/>
      <c r="J78" s="7">
        <f t="shared" si="55"/>
        <v>0</v>
      </c>
      <c r="K78" s="2"/>
      <c r="L78" s="6">
        <f t="shared" si="56"/>
        <v>0</v>
      </c>
      <c r="M78" s="2"/>
      <c r="N78" s="7">
        <f t="shared" si="57"/>
        <v>0</v>
      </c>
      <c r="O78" s="10"/>
      <c r="P78" s="6"/>
      <c r="Q78" s="2"/>
      <c r="R78" s="7">
        <f t="shared" si="58"/>
        <v>0</v>
      </c>
      <c r="S78" s="2"/>
      <c r="T78" s="6">
        <v>1657.1</v>
      </c>
      <c r="U78" s="2"/>
      <c r="V78" s="7">
        <f t="shared" si="59"/>
        <v>8.4502858987048606E-4</v>
      </c>
      <c r="W78" s="2"/>
      <c r="X78" s="6">
        <f t="shared" si="60"/>
        <v>-1657.1</v>
      </c>
      <c r="Y78" s="2"/>
      <c r="Z78" s="7">
        <f t="shared" si="61"/>
        <v>-1</v>
      </c>
    </row>
    <row r="79" spans="1:26" s="27" customFormat="1" outlineLevel="1" collapsed="1" x14ac:dyDescent="0.25">
      <c r="A79" s="26"/>
      <c r="B79" s="12" t="str">
        <f>CONCATENATE("     ","Travel                                            ")</f>
        <v xml:space="preserve">     Travel                                            </v>
      </c>
      <c r="C79" s="12"/>
      <c r="D79" s="1">
        <f>SUM(OSRRefD22_17x_0)</f>
        <v>0</v>
      </c>
      <c r="E79" s="1"/>
      <c r="F79" s="5">
        <f t="shared" si="54"/>
        <v>0</v>
      </c>
      <c r="G79" s="1"/>
      <c r="H79" s="1">
        <f>SUM(OSRRefH22_17x_0)</f>
        <v>0</v>
      </c>
      <c r="I79" s="1"/>
      <c r="J79" s="5">
        <f t="shared" si="55"/>
        <v>0</v>
      </c>
      <c r="K79" s="1"/>
      <c r="L79" s="1">
        <f t="shared" si="56"/>
        <v>0</v>
      </c>
      <c r="M79" s="1"/>
      <c r="N79" s="5">
        <f t="shared" si="57"/>
        <v>0</v>
      </c>
      <c r="O79" s="12"/>
      <c r="P79" s="1">
        <f>SUM(OSRRefP22_17x_0)</f>
        <v>0</v>
      </c>
      <c r="Q79" s="1"/>
      <c r="R79" s="5">
        <f t="shared" si="58"/>
        <v>0</v>
      </c>
      <c r="S79" s="1"/>
      <c r="T79" s="1">
        <f>SUM(OSRRefT22_17x_0)</f>
        <v>79.510000000000005</v>
      </c>
      <c r="U79" s="1"/>
      <c r="V79" s="5">
        <f t="shared" si="59"/>
        <v>4.0545666031381541E-5</v>
      </c>
      <c r="W79" s="1"/>
      <c r="X79" s="1">
        <f t="shared" si="60"/>
        <v>-79.510000000000005</v>
      </c>
      <c r="Y79" s="1"/>
      <c r="Z79" s="5">
        <f t="shared" si="61"/>
        <v>-1</v>
      </c>
    </row>
    <row r="80" spans="1:26" s="23" customFormat="1" hidden="1" outlineLevel="2" x14ac:dyDescent="0.25">
      <c r="A80" s="25"/>
      <c r="B80" s="10" t="str">
        <f>CONCATENATE("          ", "6292", " - ", "TRAVEL/CONFERENCE")</f>
        <v xml:space="preserve">          6292 - TRAVEL/CONFERENCE</v>
      </c>
      <c r="C80" s="10"/>
      <c r="D80" s="6"/>
      <c r="E80" s="2"/>
      <c r="F80" s="7">
        <f t="shared" si="54"/>
        <v>0</v>
      </c>
      <c r="G80" s="2"/>
      <c r="H80" s="6"/>
      <c r="I80" s="2"/>
      <c r="J80" s="7">
        <f t="shared" si="55"/>
        <v>0</v>
      </c>
      <c r="K80" s="2"/>
      <c r="L80" s="6">
        <f t="shared" si="56"/>
        <v>0</v>
      </c>
      <c r="M80" s="2"/>
      <c r="N80" s="7">
        <f t="shared" si="57"/>
        <v>0</v>
      </c>
      <c r="O80" s="10"/>
      <c r="P80" s="6"/>
      <c r="Q80" s="2"/>
      <c r="R80" s="7">
        <f t="shared" si="58"/>
        <v>0</v>
      </c>
      <c r="S80" s="2"/>
      <c r="T80" s="6">
        <v>79.510000000000005</v>
      </c>
      <c r="U80" s="2"/>
      <c r="V80" s="7">
        <f t="shared" si="59"/>
        <v>4.0545666031381541E-5</v>
      </c>
      <c r="W80" s="2"/>
      <c r="X80" s="6">
        <f t="shared" si="60"/>
        <v>-79.510000000000005</v>
      </c>
      <c r="Y80" s="2"/>
      <c r="Z80" s="7">
        <f t="shared" si="61"/>
        <v>-1</v>
      </c>
    </row>
    <row r="81" spans="1:26" s="52" customFormat="1" x14ac:dyDescent="0.25">
      <c r="A81" s="37"/>
      <c r="B81" s="37"/>
      <c r="C81" s="37"/>
      <c r="D81" s="1"/>
      <c r="E81" s="1"/>
      <c r="F81" s="5"/>
      <c r="G81" s="1"/>
      <c r="H81" s="1"/>
      <c r="I81" s="1"/>
      <c r="J81" s="5"/>
      <c r="K81" s="1"/>
      <c r="L81" s="1"/>
      <c r="M81" s="1"/>
      <c r="N81" s="5"/>
      <c r="O81" s="37"/>
      <c r="P81" s="1"/>
      <c r="Q81" s="1"/>
      <c r="R81" s="5"/>
      <c r="S81" s="1"/>
      <c r="T81" s="1"/>
      <c r="U81" s="1"/>
      <c r="V81" s="5"/>
      <c r="W81" s="1"/>
      <c r="X81" s="1"/>
      <c r="Y81" s="1"/>
      <c r="Z81" s="5"/>
    </row>
    <row r="82" spans="1:26" s="24" customFormat="1" x14ac:dyDescent="0.25">
      <c r="A82" s="11"/>
      <c r="B82" s="29" t="s">
        <v>292</v>
      </c>
      <c r="C82" s="11"/>
      <c r="D82" s="4">
        <f>SUM(0)</f>
        <v>0</v>
      </c>
      <c r="E82" s="4"/>
      <c r="F82" s="13">
        <f>IF(D$12=0,0,D82/D$12)</f>
        <v>0</v>
      </c>
      <c r="G82" s="4"/>
      <c r="H82" s="4">
        <f>SUM(0)</f>
        <v>0</v>
      </c>
      <c r="I82" s="4"/>
      <c r="J82" s="13">
        <f>IF(H$12=0,0,H82/H$12)</f>
        <v>0</v>
      </c>
      <c r="K82" s="4"/>
      <c r="L82" s="4">
        <f>+D82-H82</f>
        <v>0</v>
      </c>
      <c r="M82" s="4"/>
      <c r="N82" s="13">
        <f>IF(H82=0,0,L82/H82)</f>
        <v>0</v>
      </c>
      <c r="O82" s="11"/>
      <c r="P82" s="4">
        <f>SUM(0)</f>
        <v>0</v>
      </c>
      <c r="Q82" s="4"/>
      <c r="R82" s="13">
        <f>IF(P$12=0,0,P82/P$12)</f>
        <v>0</v>
      </c>
      <c r="S82" s="4"/>
      <c r="T82" s="4">
        <f>SUM(0)</f>
        <v>0</v>
      </c>
      <c r="U82" s="4"/>
      <c r="V82" s="13">
        <f>IF(T$12=0,0,T82/T$12)</f>
        <v>0</v>
      </c>
      <c r="W82" s="4"/>
      <c r="X82" s="4">
        <f>+P82-T82</f>
        <v>0</v>
      </c>
      <c r="Y82" s="4"/>
      <c r="Z82" s="13">
        <f>IF(T82=0,0,X82/T82)</f>
        <v>0</v>
      </c>
    </row>
    <row r="83" spans="1:26" x14ac:dyDescent="0.25">
      <c r="A83" s="9"/>
      <c r="B83" s="11"/>
      <c r="C83" s="11"/>
      <c r="D83" s="3"/>
      <c r="E83" s="3"/>
      <c r="F83" s="8"/>
      <c r="G83" s="3"/>
      <c r="H83" s="3"/>
      <c r="I83" s="3"/>
      <c r="J83" s="8"/>
      <c r="K83" s="3"/>
      <c r="L83" s="3"/>
      <c r="M83" s="3"/>
      <c r="N83" s="8"/>
      <c r="O83" s="11"/>
      <c r="P83" s="3"/>
      <c r="Q83" s="3"/>
      <c r="R83" s="8"/>
      <c r="S83" s="3"/>
      <c r="T83" s="3"/>
      <c r="U83" s="3"/>
      <c r="V83" s="8"/>
      <c r="W83" s="3"/>
      <c r="X83" s="3"/>
      <c r="Y83" s="3"/>
      <c r="Z83" s="8"/>
    </row>
    <row r="84" spans="1:26" s="24" customFormat="1" x14ac:dyDescent="0.25">
      <c r="A84" s="11"/>
      <c r="B84" s="28" t="s">
        <v>276</v>
      </c>
      <c r="C84" s="28"/>
      <c r="D84" s="21">
        <f>+D21-D23+D82</f>
        <v>-38835.090000000004</v>
      </c>
      <c r="E84" s="14"/>
      <c r="F84" s="22">
        <f>IF(D$12=0,0,D84/D$12)</f>
        <v>0</v>
      </c>
      <c r="G84" s="14"/>
      <c r="H84" s="21">
        <f>+H21-H23+H82</f>
        <v>-62469</v>
      </c>
      <c r="I84" s="14"/>
      <c r="J84" s="22">
        <f>IF(H$12=0,0,H84/H$12)</f>
        <v>1.8735929832264706</v>
      </c>
      <c r="K84" s="15"/>
      <c r="L84" s="21">
        <f>+D84-H84</f>
        <v>23633.909999999996</v>
      </c>
      <c r="M84" s="15"/>
      <c r="N84" s="22">
        <f>IF(H84=0,0,L84/H84)</f>
        <v>-0.37833021178504533</v>
      </c>
      <c r="O84" s="29"/>
      <c r="P84" s="21">
        <f>+P21-P23+P82</f>
        <v>-487946.78</v>
      </c>
      <c r="Q84" s="14"/>
      <c r="R84" s="22">
        <f>IF(P$12=0,0,P84/P$12)</f>
        <v>0</v>
      </c>
      <c r="S84" s="14"/>
      <c r="T84" s="21">
        <f>+T21-T23+T82</f>
        <v>295219.23</v>
      </c>
      <c r="U84" s="14"/>
      <c r="V84" s="22">
        <f>IF(T$12=0,0,T84/T$12)</f>
        <v>0.15054534405259229</v>
      </c>
      <c r="W84" s="15"/>
      <c r="X84" s="21">
        <f>+P84-T84</f>
        <v>-783166.01</v>
      </c>
      <c r="Y84" s="15"/>
      <c r="Z84" s="22">
        <f>IF(T84=0,0,X84/T84)</f>
        <v>-2.6528285775963849</v>
      </c>
    </row>
    <row r="85" spans="1:26" x14ac:dyDescent="0.25">
      <c r="A85" s="9"/>
      <c r="B85" s="11"/>
      <c r="C85" s="9"/>
      <c r="D85" s="3"/>
      <c r="E85" s="3"/>
      <c r="F85" s="8"/>
      <c r="G85" s="3"/>
      <c r="H85" s="3"/>
      <c r="I85" s="3"/>
      <c r="J85" s="8"/>
      <c r="K85" s="3"/>
      <c r="L85" s="3"/>
      <c r="M85" s="3"/>
      <c r="N85" s="8"/>
      <c r="P85" s="3"/>
      <c r="Q85" s="3"/>
      <c r="R85" s="8"/>
      <c r="S85" s="3"/>
      <c r="T85" s="3"/>
      <c r="U85" s="3"/>
      <c r="V85" s="8"/>
      <c r="W85" s="3"/>
      <c r="X85" s="3"/>
      <c r="Y85" s="3"/>
      <c r="Z85" s="8"/>
    </row>
    <row r="86" spans="1:26" s="24" customFormat="1" x14ac:dyDescent="0.25">
      <c r="A86" s="51"/>
      <c r="B86" s="11" t="s">
        <v>127</v>
      </c>
      <c r="C86" s="11"/>
      <c r="D86" s="4"/>
      <c r="E86" s="4"/>
      <c r="F86" s="13">
        <f>IF(D$12=0,0,D86/D$12)</f>
        <v>0</v>
      </c>
      <c r="G86" s="4"/>
      <c r="H86" s="4">
        <v>60768.63</v>
      </c>
      <c r="I86" s="4"/>
      <c r="J86" s="13">
        <f>IF(H$12=0,0,H86/H$12)</f>
        <v>-1.8225948673467733</v>
      </c>
      <c r="K86" s="4"/>
      <c r="L86" s="4">
        <f>+D86-H86</f>
        <v>-60768.63</v>
      </c>
      <c r="M86" s="4"/>
      <c r="N86" s="13">
        <f>IF(H86=0,0,L86/H86)</f>
        <v>-1</v>
      </c>
      <c r="O86" s="11"/>
      <c r="P86" s="4">
        <v>0</v>
      </c>
      <c r="Q86" s="4"/>
      <c r="R86" s="13">
        <f>IF(P$12=0,0,P86/P$12)</f>
        <v>0</v>
      </c>
      <c r="S86" s="4"/>
      <c r="T86" s="4">
        <v>296939.59000000003</v>
      </c>
      <c r="U86" s="4"/>
      <c r="V86" s="13">
        <f>IF(T$12=0,0,T86/T$12)</f>
        <v>0.15142263171469453</v>
      </c>
      <c r="W86" s="4"/>
      <c r="X86" s="4">
        <f>+P86-T86</f>
        <v>-296939.59000000003</v>
      </c>
      <c r="Y86" s="4"/>
      <c r="Z86" s="13">
        <f>IF(T86=0,0,X86/T86)</f>
        <v>-1</v>
      </c>
    </row>
    <row r="87" spans="1:26" x14ac:dyDescent="0.25">
      <c r="A87" s="9"/>
      <c r="B87" s="11"/>
      <c r="C87" s="11"/>
      <c r="D87" s="3"/>
      <c r="E87" s="3"/>
      <c r="F87" s="8"/>
      <c r="G87" s="3"/>
      <c r="H87" s="3"/>
      <c r="I87" s="3"/>
      <c r="J87" s="8"/>
      <c r="K87" s="3"/>
      <c r="L87" s="3"/>
      <c r="M87" s="3"/>
      <c r="N87" s="8"/>
      <c r="O87" s="11"/>
      <c r="P87" s="3"/>
      <c r="Q87" s="3"/>
      <c r="R87" s="8"/>
      <c r="S87" s="3"/>
      <c r="T87" s="3"/>
      <c r="U87" s="3"/>
      <c r="V87" s="8"/>
      <c r="W87" s="3"/>
      <c r="X87" s="3"/>
      <c r="Y87" s="3"/>
      <c r="Z87" s="8"/>
    </row>
    <row r="88" spans="1:26" s="24" customFormat="1" ht="15.75" thickBot="1" x14ac:dyDescent="0.3">
      <c r="A88" s="11"/>
      <c r="B88" s="28" t="s">
        <v>125</v>
      </c>
      <c r="C88" s="28"/>
      <c r="D88" s="34">
        <f>+D84-D86</f>
        <v>-38835.090000000004</v>
      </c>
      <c r="E88" s="14"/>
      <c r="F88" s="31">
        <f>IF(D$12=0,0,D88/D$12)</f>
        <v>0</v>
      </c>
      <c r="G88" s="14"/>
      <c r="H88" s="34">
        <f>+H84-H86</f>
        <v>-123237.63</v>
      </c>
      <c r="I88" s="14"/>
      <c r="J88" s="31">
        <f>IF(H$12=0,0,H88/H$12)</f>
        <v>3.6961878505732444</v>
      </c>
      <c r="K88" s="15"/>
      <c r="L88" s="34">
        <f>D88-H88</f>
        <v>84402.540000000008</v>
      </c>
      <c r="M88" s="15"/>
      <c r="N88" s="31">
        <f>IF(H88=0,0,L88/H88)</f>
        <v>-0.68487636446757383</v>
      </c>
      <c r="O88" s="29"/>
      <c r="P88" s="34">
        <f>+P84-P86</f>
        <v>-487946.78</v>
      </c>
      <c r="Q88" s="14"/>
      <c r="R88" s="31">
        <f>IF(P$12=0,0,P88/P$12)</f>
        <v>0</v>
      </c>
      <c r="S88" s="14"/>
      <c r="T88" s="34">
        <f>+T84-T86</f>
        <v>-1720.3600000000442</v>
      </c>
      <c r="U88" s="14"/>
      <c r="V88" s="31">
        <f>IF(T$12=0,0,T88/T$12)</f>
        <v>-8.7728766210224296E-4</v>
      </c>
      <c r="W88" s="15"/>
      <c r="X88" s="34">
        <f>P88-T88</f>
        <v>-486226.42</v>
      </c>
      <c r="Y88" s="15"/>
      <c r="Z88" s="31">
        <f>IF(T88=0,0,X88/T88)</f>
        <v>282.63062382291349</v>
      </c>
    </row>
    <row r="89" spans="1:26" ht="15.75" thickTop="1" x14ac:dyDescent="0.25">
      <c r="A89" s="9"/>
      <c r="B89" s="9"/>
      <c r="C89" s="9"/>
      <c r="D89" s="3"/>
      <c r="E89" s="3"/>
      <c r="F89" s="8"/>
      <c r="G89" s="3"/>
      <c r="H89" s="3"/>
      <c r="I89" s="3"/>
      <c r="J89" s="8"/>
      <c r="K89" s="3"/>
      <c r="L89" s="3"/>
      <c r="M89" s="3"/>
      <c r="N89" s="8"/>
      <c r="P89" s="3"/>
      <c r="Q89" s="3"/>
      <c r="R89" s="8"/>
      <c r="S89" s="3"/>
      <c r="T89" s="3"/>
      <c r="U89" s="3"/>
      <c r="V89" s="8"/>
      <c r="W89" s="3"/>
      <c r="X89" s="3"/>
      <c r="Y89" s="3"/>
      <c r="Z89" s="8"/>
    </row>
    <row r="90" spans="1:26" x14ac:dyDescent="0.25">
      <c r="A90" s="9"/>
      <c r="B90" s="9"/>
      <c r="C90" s="9"/>
      <c r="D90" s="3"/>
      <c r="E90" s="3"/>
      <c r="F90" s="8"/>
      <c r="G90" s="3"/>
      <c r="H90" s="3"/>
      <c r="I90" s="3"/>
      <c r="J90" s="8"/>
      <c r="K90" s="3"/>
      <c r="L90" s="3"/>
      <c r="M90" s="3"/>
      <c r="N90" s="8"/>
      <c r="P90" s="3"/>
      <c r="Q90" s="3"/>
      <c r="R90" s="8"/>
      <c r="S90" s="3"/>
      <c r="T90" s="3"/>
      <c r="U90" s="3"/>
      <c r="V90" s="8"/>
      <c r="W90" s="3"/>
      <c r="X90" s="3"/>
      <c r="Y90" s="3"/>
      <c r="Z90" s="8"/>
    </row>
    <row r="91" spans="1:26" s="24" customFormat="1" ht="15.75" thickBot="1" x14ac:dyDescent="0.3">
      <c r="A91" s="11"/>
      <c r="B91" s="28" t="s">
        <v>293</v>
      </c>
      <c r="C91" s="28"/>
      <c r="D91" s="33">
        <f>SUM(D88:D90)</f>
        <v>-38835.090000000004</v>
      </c>
      <c r="E91" s="14"/>
      <c r="F91" s="35">
        <f>IF(D$12=0,0,D91/D$12)</f>
        <v>0</v>
      </c>
      <c r="G91" s="14"/>
      <c r="H91" s="33">
        <f>SUM(H88:H90)</f>
        <v>-123237.63</v>
      </c>
      <c r="I91" s="14"/>
      <c r="J91" s="35">
        <f>IF(H$12=0,0,H91/H$12)</f>
        <v>3.6961878505732444</v>
      </c>
      <c r="K91" s="15"/>
      <c r="L91" s="33">
        <f>+D91-H91</f>
        <v>84402.540000000008</v>
      </c>
      <c r="M91" s="15"/>
      <c r="N91" s="35">
        <f>IF(H91=0,0,L91/H91)</f>
        <v>-0.68487636446757383</v>
      </c>
      <c r="O91" s="29"/>
      <c r="P91" s="33">
        <f>SUM(P88:P90)</f>
        <v>-487946.78</v>
      </c>
      <c r="Q91" s="14"/>
      <c r="R91" s="35">
        <f>IF(P$12=0,0,P91/P$12)</f>
        <v>0</v>
      </c>
      <c r="S91" s="14"/>
      <c r="T91" s="33">
        <f>SUM(T88:T90)</f>
        <v>-1720.3600000000442</v>
      </c>
      <c r="U91" s="14"/>
      <c r="V91" s="35">
        <f>IF(T$12=0,0,T91/T$12)</f>
        <v>-8.7728766210224296E-4</v>
      </c>
      <c r="W91" s="15"/>
      <c r="X91" s="33">
        <f>+P91-T91</f>
        <v>-486226.42</v>
      </c>
      <c r="Y91" s="15"/>
      <c r="Z91" s="35">
        <f>IF(T91=0,0,X91/T91)</f>
        <v>282.63062382291349</v>
      </c>
    </row>
    <row r="92" spans="1:26" ht="15.75" thickTop="1" x14ac:dyDescent="0.25">
      <c r="A92" s="9"/>
      <c r="C92" s="9"/>
      <c r="D92" s="18"/>
      <c r="E92" s="18"/>
      <c r="G92" s="18"/>
      <c r="H92" s="18"/>
      <c r="I92" s="18"/>
      <c r="J92" s="43"/>
      <c r="K92" s="18"/>
      <c r="L92" s="18"/>
      <c r="M92" s="18"/>
      <c r="P92" s="18"/>
      <c r="Q92" s="18"/>
      <c r="R92" s="43"/>
      <c r="S92" s="18"/>
      <c r="T92" s="18"/>
      <c r="U92" s="18"/>
      <c r="V92" s="43"/>
      <c r="W92" s="18"/>
      <c r="X92" s="18"/>
    </row>
    <row r="93" spans="1:26" x14ac:dyDescent="0.25">
      <c r="A93" s="9"/>
      <c r="B93" s="56">
        <v>44454.698585613427</v>
      </c>
      <c r="D93" s="18"/>
      <c r="E93" s="18"/>
      <c r="G93" s="18"/>
      <c r="H93" s="18"/>
      <c r="I93" s="18"/>
      <c r="J93" s="43"/>
      <c r="K93" s="18"/>
      <c r="L93" s="18"/>
      <c r="M93" s="18"/>
      <c r="P93" s="18"/>
      <c r="Q93" s="18"/>
      <c r="R93" s="43"/>
      <c r="S93" s="18"/>
      <c r="T93" s="18"/>
      <c r="U93" s="18"/>
      <c r="V93" s="43"/>
      <c r="W93" s="18"/>
      <c r="X93" s="18"/>
    </row>
    <row r="94" spans="1:26" x14ac:dyDescent="0.25">
      <c r="A94" s="9"/>
      <c r="B94" s="55" t="s">
        <v>56</v>
      </c>
      <c r="D94" s="18"/>
      <c r="E94" s="18"/>
      <c r="G94" s="18"/>
      <c r="H94" s="18"/>
      <c r="I94" s="18"/>
      <c r="J94" s="43"/>
      <c r="K94" s="18"/>
      <c r="L94" s="18"/>
      <c r="M94" s="18"/>
      <c r="P94" s="18"/>
      <c r="Q94" s="18"/>
      <c r="R94" s="43"/>
      <c r="S94" s="18"/>
      <c r="T94" s="18"/>
      <c r="U94" s="18"/>
      <c r="V94" s="43"/>
      <c r="W94" s="18"/>
      <c r="X94" s="18"/>
    </row>
    <row r="95" spans="1:26" x14ac:dyDescent="0.25">
      <c r="A95" s="9"/>
      <c r="B95" s="60"/>
      <c r="D95" s="18"/>
      <c r="E95" s="18"/>
      <c r="G95" s="18"/>
      <c r="H95" s="18"/>
      <c r="I95" s="18"/>
      <c r="J95" s="43"/>
      <c r="K95" s="18"/>
      <c r="L95" s="18"/>
      <c r="M95" s="18"/>
      <c r="P95" s="18"/>
      <c r="Q95" s="18"/>
      <c r="R95" s="43"/>
      <c r="S95" s="18"/>
      <c r="T95" s="18"/>
      <c r="U95" s="18"/>
      <c r="V95" s="43"/>
      <c r="W95" s="18"/>
      <c r="X95" s="18"/>
    </row>
    <row r="96" spans="1:26" x14ac:dyDescent="0.25">
      <c r="D96" s="18"/>
      <c r="E96" s="18"/>
      <c r="G96" s="18"/>
      <c r="H96" s="18"/>
      <c r="I96" s="18"/>
      <c r="J96" s="43"/>
      <c r="K96" s="18"/>
      <c r="L96" s="18"/>
      <c r="M96" s="18"/>
      <c r="P96" s="18"/>
      <c r="Q96" s="18"/>
      <c r="R96" s="43"/>
      <c r="S96" s="18"/>
      <c r="T96" s="18"/>
      <c r="U96" s="18"/>
      <c r="V96" s="43"/>
      <c r="W96" s="18"/>
      <c r="X96" s="18"/>
    </row>
  </sheetData>
  <pageMargins left="0.25" right="0.25" top="0.75" bottom="0.75" header="0.3" footer="0.3"/>
  <pageSetup scale="55" fitToWidth="2" orientation="landscape"/>
  <drawing r:id="rId1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tabColor rgb="FFFFC000"/>
    <outlinePr summaryBelow="0" summaryRight="0"/>
  </sheetPr>
  <dimension ref="A2:Z8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62" t="s">
        <v>23</v>
      </c>
    </row>
    <row r="3" spans="1:26" x14ac:dyDescent="0.25">
      <c r="D3" s="62" t="s">
        <v>236</v>
      </c>
      <c r="E3" s="17"/>
      <c r="F3" s="46"/>
      <c r="G3" s="17"/>
      <c r="H3" s="17"/>
      <c r="I3" s="17"/>
      <c r="J3" s="38"/>
      <c r="K3" s="17"/>
      <c r="L3" s="17"/>
      <c r="M3" s="17"/>
      <c r="N3" s="46"/>
      <c r="O3" s="53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2" t="str">
        <f>CONCATENATE("Period ",RIGHT(202112,2),", ",2021)</f>
        <v>Period 12, 2021</v>
      </c>
      <c r="E4" s="17"/>
      <c r="F4" s="46"/>
      <c r="G4" s="17"/>
      <c r="H4" s="17"/>
      <c r="I4" s="17"/>
      <c r="J4" s="38"/>
      <c r="K4" s="17"/>
      <c r="L4" s="17"/>
      <c r="M4" s="17"/>
      <c r="N4" s="46"/>
      <c r="O4" s="53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4"/>
      <c r="D5" s="63">
        <v>44377</v>
      </c>
      <c r="E5" s="17"/>
      <c r="F5" s="46"/>
      <c r="G5" s="17"/>
      <c r="H5" s="17"/>
      <c r="I5" s="17"/>
      <c r="J5" s="38"/>
      <c r="K5" s="17"/>
      <c r="L5" s="17"/>
      <c r="M5" s="17"/>
      <c r="N5" s="46"/>
      <c r="O5" s="53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4"/>
      <c r="B6" s="48"/>
      <c r="C6" s="48"/>
      <c r="D6" s="24" t="s">
        <v>104</v>
      </c>
      <c r="E6" s="17"/>
      <c r="F6" s="46"/>
      <c r="G6" s="17"/>
      <c r="H6" s="17"/>
      <c r="I6" s="17"/>
      <c r="J6" s="38"/>
      <c r="K6" s="17"/>
      <c r="L6" s="17"/>
      <c r="M6" s="17"/>
      <c r="N6" s="46"/>
      <c r="O6" s="54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9"/>
    </row>
    <row r="8" spans="1:26" x14ac:dyDescent="0.25">
      <c r="B8" s="59"/>
    </row>
    <row r="9" spans="1:26" x14ac:dyDescent="0.25">
      <c r="B9" s="9"/>
      <c r="C9" s="9"/>
      <c r="D9" s="16" t="s">
        <v>291</v>
      </c>
      <c r="E9" s="16"/>
      <c r="F9" s="39"/>
      <c r="G9" s="16"/>
      <c r="H9" s="16"/>
      <c r="I9" s="16"/>
      <c r="J9" s="49"/>
      <c r="K9" s="16"/>
      <c r="L9" s="16"/>
      <c r="M9" s="16"/>
      <c r="N9" s="39"/>
      <c r="P9" s="16" t="s">
        <v>39</v>
      </c>
      <c r="Q9" s="16"/>
      <c r="R9" s="39"/>
      <c r="S9" s="16"/>
      <c r="T9" s="16"/>
      <c r="U9" s="16"/>
      <c r="V9" s="49"/>
      <c r="W9" s="16"/>
      <c r="X9" s="16"/>
      <c r="Y9" s="16"/>
      <c r="Z9" s="39"/>
    </row>
    <row r="10" spans="1:26" x14ac:dyDescent="0.25">
      <c r="A10" s="11"/>
      <c r="B10" s="58"/>
      <c r="C10" s="11"/>
      <c r="D10" s="42" t="s">
        <v>57</v>
      </c>
      <c r="E10" s="36"/>
      <c r="F10" s="30" t="s">
        <v>40</v>
      </c>
      <c r="G10" s="36"/>
      <c r="H10" s="50" t="s">
        <v>237</v>
      </c>
      <c r="I10" s="36"/>
      <c r="J10" s="30" t="s">
        <v>40</v>
      </c>
      <c r="K10" s="11"/>
      <c r="L10" s="42" t="s">
        <v>126</v>
      </c>
      <c r="M10" s="11"/>
      <c r="N10" s="30" t="s">
        <v>257</v>
      </c>
      <c r="O10" s="11"/>
      <c r="P10" s="61" t="s">
        <v>57</v>
      </c>
      <c r="Q10" s="36"/>
      <c r="R10" s="30" t="s">
        <v>40</v>
      </c>
      <c r="S10" s="36"/>
      <c r="T10" s="50" t="s">
        <v>237</v>
      </c>
      <c r="U10" s="36"/>
      <c r="V10" s="30" t="s">
        <v>40</v>
      </c>
      <c r="W10" s="11"/>
      <c r="X10" s="42" t="s">
        <v>126</v>
      </c>
      <c r="Y10" s="11"/>
      <c r="Z10" s="30" t="s">
        <v>257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4" customFormat="1" collapsed="1" x14ac:dyDescent="0.25">
      <c r="A12" s="11"/>
      <c r="B12" s="29" t="s">
        <v>139</v>
      </c>
      <c r="C12" s="11"/>
      <c r="D12" s="4">
        <f>SUM(OSRRefD13x_0)</f>
        <v>24975</v>
      </c>
      <c r="E12" s="4"/>
      <c r="F12" s="13"/>
      <c r="G12" s="4"/>
      <c r="H12" s="4">
        <f>SUM(OSRRefH13x_0)</f>
        <v>62378</v>
      </c>
      <c r="I12" s="4"/>
      <c r="J12" s="13"/>
      <c r="K12" s="4"/>
      <c r="L12" s="4">
        <f t="shared" ref="L12:L13" si="0">+D12-H12</f>
        <v>-37403</v>
      </c>
      <c r="M12" s="4"/>
      <c r="N12" s="13">
        <f t="shared" ref="N12:N13" si="1">IF(H12=0,0,L12/H12)</f>
        <v>-0.59961845522459845</v>
      </c>
      <c r="O12" s="11"/>
      <c r="P12" s="4">
        <f>SUM(OSRRefP13x_0)</f>
        <v>542161</v>
      </c>
      <c r="Q12" s="4"/>
      <c r="R12" s="13"/>
      <c r="S12" s="4"/>
      <c r="T12" s="4">
        <f>SUM(OSRRefT13x_0)</f>
        <v>491678</v>
      </c>
      <c r="U12" s="4"/>
      <c r="V12" s="13"/>
      <c r="W12" s="4"/>
      <c r="X12" s="4">
        <f t="shared" ref="X12:X13" si="2">+P12-T12</f>
        <v>50483</v>
      </c>
      <c r="Y12" s="4"/>
      <c r="Z12" s="13">
        <f t="shared" ref="Z12:Z13" si="3">IF(T12=0,0,X12/T12)</f>
        <v>0.1026749213916425</v>
      </c>
    </row>
    <row r="13" spans="1:26" s="23" customFormat="1" hidden="1" outlineLevel="1" x14ac:dyDescent="0.25">
      <c r="A13" s="44"/>
      <c r="B13" s="10" t="str">
        <f>CONCATENATE("          ", "4100", " - ", "NON-TAXABLE SALES")</f>
        <v xml:space="preserve">          4100 - NON-TAXABLE SALES</v>
      </c>
      <c r="C13" s="10"/>
      <c r="D13" s="2">
        <f>--24975</f>
        <v>24975</v>
      </c>
      <c r="E13" s="2"/>
      <c r="F13" s="19"/>
      <c r="G13" s="2"/>
      <c r="H13" s="2">
        <f>--62378</f>
        <v>62378</v>
      </c>
      <c r="I13" s="2"/>
      <c r="J13" s="19"/>
      <c r="K13" s="2"/>
      <c r="L13" s="2">
        <f t="shared" si="0"/>
        <v>-37403</v>
      </c>
      <c r="M13" s="2"/>
      <c r="N13" s="19">
        <f t="shared" si="1"/>
        <v>-0.59961845522459845</v>
      </c>
      <c r="O13" s="10"/>
      <c r="P13" s="2">
        <f>--542161</f>
        <v>542161</v>
      </c>
      <c r="Q13" s="2"/>
      <c r="R13" s="19"/>
      <c r="S13" s="2"/>
      <c r="T13" s="2">
        <f>--491678</f>
        <v>491678</v>
      </c>
      <c r="U13" s="2"/>
      <c r="V13" s="19"/>
      <c r="W13" s="2"/>
      <c r="X13" s="2">
        <f t="shared" si="2"/>
        <v>50483</v>
      </c>
      <c r="Y13" s="2"/>
      <c r="Z13" s="19">
        <f t="shared" si="3"/>
        <v>0.1026749213916425</v>
      </c>
    </row>
    <row r="14" spans="1:26" x14ac:dyDescent="0.25">
      <c r="A14" s="9"/>
      <c r="B14" s="11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4" customFormat="1" x14ac:dyDescent="0.25">
      <c r="A15" s="11"/>
      <c r="B15" s="29" t="s">
        <v>256</v>
      </c>
      <c r="C15" s="11"/>
      <c r="D15" s="4">
        <f>SUM(0)</f>
        <v>0</v>
      </c>
      <c r="E15" s="4"/>
      <c r="F15" s="13">
        <f>IF(D$12=0,0,D15/D$12)</f>
        <v>0</v>
      </c>
      <c r="G15" s="4"/>
      <c r="H15" s="4">
        <f>SUM(0)</f>
        <v>0</v>
      </c>
      <c r="I15" s="4"/>
      <c r="J15" s="13">
        <f>IF(H$12=0,0,H15/H$12)</f>
        <v>0</v>
      </c>
      <c r="K15" s="4"/>
      <c r="L15" s="4">
        <f>+D15-H15</f>
        <v>0</v>
      </c>
      <c r="M15" s="4"/>
      <c r="N15" s="13">
        <f>IF(H15=0,0,L15/H15)</f>
        <v>0</v>
      </c>
      <c r="O15" s="11"/>
      <c r="P15" s="4">
        <f>SUM(0)</f>
        <v>0</v>
      </c>
      <c r="Q15" s="4"/>
      <c r="R15" s="13">
        <f>IF(P$12=0,0,P15/P$12)</f>
        <v>0</v>
      </c>
      <c r="S15" s="4"/>
      <c r="T15" s="4">
        <f>SUM(0)</f>
        <v>0</v>
      </c>
      <c r="U15" s="4"/>
      <c r="V15" s="13">
        <f>IF(T$12=0,0,T15/T$12)</f>
        <v>0</v>
      </c>
      <c r="W15" s="4"/>
      <c r="X15" s="4">
        <f>+P15-T15</f>
        <v>0</v>
      </c>
      <c r="Y15" s="4"/>
      <c r="Z15" s="13">
        <f>IF(T15=0,0,X15/T15)</f>
        <v>0</v>
      </c>
    </row>
    <row r="16" spans="1:26" x14ac:dyDescent="0.25">
      <c r="A16" s="9"/>
      <c r="B16" s="11"/>
      <c r="C16" s="11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O16" s="11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4" customFormat="1" x14ac:dyDescent="0.25">
      <c r="A17" s="11"/>
      <c r="B17" s="28" t="s">
        <v>107</v>
      </c>
      <c r="C17" s="28"/>
      <c r="D17" s="21">
        <f>D12-D15</f>
        <v>24975</v>
      </c>
      <c r="E17" s="14"/>
      <c r="F17" s="22">
        <f>IF(D$12=0,0,D17/D$12)</f>
        <v>1</v>
      </c>
      <c r="G17" s="14"/>
      <c r="H17" s="21">
        <f>H12-H15</f>
        <v>62378</v>
      </c>
      <c r="I17" s="14"/>
      <c r="J17" s="22">
        <f>IF(H$12=0,0,H17/H$12)</f>
        <v>1</v>
      </c>
      <c r="K17" s="15"/>
      <c r="L17" s="21">
        <f>+D17-H17</f>
        <v>-37403</v>
      </c>
      <c r="M17" s="15"/>
      <c r="N17" s="22">
        <f>IF(H17=0,0,L17/H17)</f>
        <v>-0.59961845522459845</v>
      </c>
      <c r="O17" s="29"/>
      <c r="P17" s="21">
        <f>P12-P15</f>
        <v>542161</v>
      </c>
      <c r="Q17" s="14"/>
      <c r="R17" s="22">
        <f>IF(P$12=0,0,P17/P$12)</f>
        <v>1</v>
      </c>
      <c r="S17" s="14"/>
      <c r="T17" s="21">
        <f>T12-T15</f>
        <v>491678</v>
      </c>
      <c r="U17" s="14"/>
      <c r="V17" s="22">
        <f>IF(T$12=0,0,T17/T$12)</f>
        <v>1</v>
      </c>
      <c r="W17" s="15"/>
      <c r="X17" s="21">
        <f>+P17-T17</f>
        <v>50483</v>
      </c>
      <c r="Y17" s="15"/>
      <c r="Z17" s="22">
        <f>IF(T17=0,0,X17/T17)</f>
        <v>0.1026749213916425</v>
      </c>
    </row>
    <row r="18" spans="1:26" x14ac:dyDescent="0.25">
      <c r="A18" s="9"/>
      <c r="B18" s="11"/>
      <c r="C18" s="9"/>
      <c r="D18" s="1"/>
      <c r="E18" s="1"/>
      <c r="F18" s="5"/>
      <c r="G18" s="1"/>
      <c r="H18" s="1"/>
      <c r="I18" s="1"/>
      <c r="J18" s="5"/>
      <c r="K18" s="1"/>
      <c r="L18" s="1"/>
      <c r="M18" s="1"/>
      <c r="N18" s="5"/>
      <c r="O18" s="37"/>
      <c r="P18" s="1"/>
      <c r="Q18" s="1"/>
      <c r="R18" s="5"/>
      <c r="S18" s="1"/>
      <c r="T18" s="1"/>
      <c r="U18" s="1"/>
      <c r="V18" s="5"/>
      <c r="W18" s="1"/>
      <c r="X18" s="1"/>
      <c r="Y18" s="1"/>
      <c r="Z18" s="5"/>
    </row>
    <row r="19" spans="1:26" s="24" customFormat="1" x14ac:dyDescent="0.25">
      <c r="A19" s="11"/>
      <c r="B19" s="29" t="s">
        <v>294</v>
      </c>
      <c r="C19" s="11"/>
      <c r="D19" s="20">
        <f>SUM(OSRRefD22x_0)</f>
        <v>17149.86</v>
      </c>
      <c r="E19" s="20"/>
      <c r="F19" s="32">
        <f t="shared" ref="F19:F29" si="4">IF(D$12=0,0,D19/D$12)</f>
        <v>0.68668108108108106</v>
      </c>
      <c r="G19" s="20"/>
      <c r="H19" s="20">
        <f>SUM(OSRRefH22x_0)</f>
        <v>57512.240000000005</v>
      </c>
      <c r="I19" s="20"/>
      <c r="J19" s="32">
        <f t="shared" ref="J19:J29" si="5">IF(H$12=0,0,H19/H$12)</f>
        <v>0.92199557536310883</v>
      </c>
      <c r="K19" s="4"/>
      <c r="L19" s="20">
        <f t="shared" ref="L19:L29" si="6">+D19-H19</f>
        <v>-40362.380000000005</v>
      </c>
      <c r="M19" s="4"/>
      <c r="N19" s="32">
        <f t="shared" ref="N19:N29" si="7">IF(H19=0,0,L19/H19)</f>
        <v>-0.70180504184848302</v>
      </c>
      <c r="O19" s="11"/>
      <c r="P19" s="20">
        <f>SUM(OSRRefP22x_0)</f>
        <v>436927.95000000007</v>
      </c>
      <c r="Q19" s="20"/>
      <c r="R19" s="32">
        <f t="shared" ref="R19:R29" si="8">IF(P$12=0,0,P19/P$12)</f>
        <v>0.80590073797266881</v>
      </c>
      <c r="S19" s="20"/>
      <c r="T19" s="20">
        <f>SUM(OSRRefT22x_0)</f>
        <v>461510.73000000004</v>
      </c>
      <c r="U19" s="20"/>
      <c r="V19" s="32">
        <f t="shared" ref="V19:V29" si="9">IF(T$12=0,0,T19/T$12)</f>
        <v>0.93864425497988524</v>
      </c>
      <c r="W19" s="4"/>
      <c r="X19" s="20">
        <f t="shared" ref="X19:X29" si="10">+P19-T19</f>
        <v>-24582.77999999997</v>
      </c>
      <c r="Y19" s="4"/>
      <c r="Z19" s="32">
        <f t="shared" ref="Z19:Z29" si="11">IF(T19=0,0,X19/T19)</f>
        <v>-5.3265890481029483E-2</v>
      </c>
    </row>
    <row r="20" spans="1:26" s="27" customFormat="1" outlineLevel="1" collapsed="1" x14ac:dyDescent="0.25">
      <c r="A20" s="26"/>
      <c r="B20" s="12" t="str">
        <f>CONCATENATE("     ","*Benefits                                         ")</f>
        <v xml:space="preserve">     *Benefits                                         </v>
      </c>
      <c r="C20" s="12"/>
      <c r="D20" s="1">
        <f>SUM(OSRRefD22_0x_0)</f>
        <v>5094.6000000000013</v>
      </c>
      <c r="E20" s="1"/>
      <c r="F20" s="5">
        <f t="shared" si="4"/>
        <v>0.20398798798798803</v>
      </c>
      <c r="G20" s="1"/>
      <c r="H20" s="1">
        <f>SUM(OSRRefH22_0x_0)</f>
        <v>3268.84</v>
      </c>
      <c r="I20" s="1"/>
      <c r="J20" s="5">
        <f t="shared" si="5"/>
        <v>5.2403732085029978E-2</v>
      </c>
      <c r="K20" s="1"/>
      <c r="L20" s="1">
        <f t="shared" si="6"/>
        <v>1825.7600000000011</v>
      </c>
      <c r="M20" s="1"/>
      <c r="N20" s="5">
        <f t="shared" si="7"/>
        <v>0.55853452600922682</v>
      </c>
      <c r="O20" s="12"/>
      <c r="P20" s="1">
        <f>SUM(OSRRefP22_0x_0)</f>
        <v>51863.28</v>
      </c>
      <c r="Q20" s="1"/>
      <c r="R20" s="5">
        <f t="shared" si="8"/>
        <v>9.5660292791255735E-2</v>
      </c>
      <c r="S20" s="1"/>
      <c r="T20" s="1">
        <f>SUM(OSRRefT22_0x_0)</f>
        <v>52039.48</v>
      </c>
      <c r="U20" s="1"/>
      <c r="V20" s="5">
        <f t="shared" si="9"/>
        <v>0.10584057045464715</v>
      </c>
      <c r="W20" s="1"/>
      <c r="X20" s="1">
        <f t="shared" si="10"/>
        <v>-176.20000000000437</v>
      </c>
      <c r="Y20" s="1"/>
      <c r="Z20" s="5">
        <f t="shared" si="11"/>
        <v>-3.3858908659349469E-3</v>
      </c>
    </row>
    <row r="21" spans="1:26" s="23" customFormat="1" hidden="1" outlineLevel="2" x14ac:dyDescent="0.25">
      <c r="A21" s="25"/>
      <c r="B21" s="10" t="str">
        <f>CONCATENATE("          ", "6111", " - ", "F.I.C.A.")</f>
        <v xml:space="preserve">          6111 - F.I.C.A.</v>
      </c>
      <c r="C21" s="10"/>
      <c r="D21" s="6">
        <v>984.04</v>
      </c>
      <c r="E21" s="2"/>
      <c r="F21" s="7">
        <f t="shared" si="4"/>
        <v>3.9401001001001003E-2</v>
      </c>
      <c r="G21" s="2"/>
      <c r="H21" s="6">
        <v>975.83</v>
      </c>
      <c r="I21" s="2"/>
      <c r="J21" s="7">
        <f t="shared" si="5"/>
        <v>1.5643816730257463E-2</v>
      </c>
      <c r="K21" s="2"/>
      <c r="L21" s="6">
        <f t="shared" si="6"/>
        <v>8.2099999999999227</v>
      </c>
      <c r="M21" s="2"/>
      <c r="N21" s="7">
        <f t="shared" si="7"/>
        <v>8.413350686082538E-3</v>
      </c>
      <c r="O21" s="10"/>
      <c r="P21" s="6">
        <v>12230.81</v>
      </c>
      <c r="Q21" s="2"/>
      <c r="R21" s="7">
        <f t="shared" si="8"/>
        <v>2.2559368895955261E-2</v>
      </c>
      <c r="S21" s="2"/>
      <c r="T21" s="6">
        <v>13042.21</v>
      </c>
      <c r="U21" s="2"/>
      <c r="V21" s="7">
        <f t="shared" si="9"/>
        <v>2.6525917368684381E-2</v>
      </c>
      <c r="W21" s="2"/>
      <c r="X21" s="6">
        <f t="shared" si="10"/>
        <v>-811.39999999999964</v>
      </c>
      <c r="Y21" s="2"/>
      <c r="Z21" s="7">
        <f t="shared" si="11"/>
        <v>-6.2213382547896386E-2</v>
      </c>
    </row>
    <row r="22" spans="1:26" s="23" customFormat="1" hidden="1" outlineLevel="2" x14ac:dyDescent="0.25">
      <c r="A22" s="25"/>
      <c r="B22" s="10" t="str">
        <f>CONCATENATE("          ", "6112", " - ", "COMPENSATION INSURANCE")</f>
        <v xml:space="preserve">          6112 - COMPENSATION INSURANCE</v>
      </c>
      <c r="C22" s="10"/>
      <c r="D22" s="6">
        <v>81.56</v>
      </c>
      <c r="E22" s="2"/>
      <c r="F22" s="7">
        <f t="shared" si="4"/>
        <v>3.2656656656656659E-3</v>
      </c>
      <c r="G22" s="2"/>
      <c r="H22" s="6">
        <v>78.95</v>
      </c>
      <c r="I22" s="2"/>
      <c r="J22" s="7">
        <f t="shared" si="5"/>
        <v>1.2656705889897079E-3</v>
      </c>
      <c r="K22" s="2"/>
      <c r="L22" s="6">
        <f t="shared" si="6"/>
        <v>2.6099999999999994</v>
      </c>
      <c r="M22" s="2"/>
      <c r="N22" s="7">
        <f t="shared" si="7"/>
        <v>3.30588980367321E-2</v>
      </c>
      <c r="O22" s="10"/>
      <c r="P22" s="6">
        <v>975.2</v>
      </c>
      <c r="Q22" s="2"/>
      <c r="R22" s="7">
        <f t="shared" si="8"/>
        <v>1.7987276842118855E-3</v>
      </c>
      <c r="S22" s="2"/>
      <c r="T22" s="6">
        <v>741.24</v>
      </c>
      <c r="U22" s="2"/>
      <c r="V22" s="7">
        <f t="shared" si="9"/>
        <v>1.5075720288481487E-3</v>
      </c>
      <c r="W22" s="2"/>
      <c r="X22" s="6">
        <f t="shared" si="10"/>
        <v>233.96000000000004</v>
      </c>
      <c r="Y22" s="2"/>
      <c r="Z22" s="7">
        <f t="shared" si="11"/>
        <v>0.3156332631806163</v>
      </c>
    </row>
    <row r="23" spans="1:26" s="23" customFormat="1" hidden="1" outlineLevel="2" x14ac:dyDescent="0.25">
      <c r="A23" s="25"/>
      <c r="B23" s="10" t="str">
        <f>CONCATENATE("          ", "6113", " - ", "GROUP INSURANCE")</f>
        <v xml:space="preserve">          6113 - GROUP INSURANCE</v>
      </c>
      <c r="C23" s="10"/>
      <c r="D23" s="6">
        <v>1207.95</v>
      </c>
      <c r="E23" s="2"/>
      <c r="F23" s="7">
        <f t="shared" si="4"/>
        <v>4.8366366366366369E-2</v>
      </c>
      <c r="G23" s="2"/>
      <c r="H23" s="6">
        <v>1285.8599999999999</v>
      </c>
      <c r="I23" s="2"/>
      <c r="J23" s="7">
        <f t="shared" si="5"/>
        <v>2.0613998525121035E-2</v>
      </c>
      <c r="K23" s="2"/>
      <c r="L23" s="6">
        <f t="shared" si="6"/>
        <v>-77.909999999999854</v>
      </c>
      <c r="M23" s="2"/>
      <c r="N23" s="7">
        <f t="shared" si="7"/>
        <v>-6.0589799822686655E-2</v>
      </c>
      <c r="O23" s="10"/>
      <c r="P23" s="6">
        <v>14650.7</v>
      </c>
      <c r="Q23" s="2"/>
      <c r="R23" s="7">
        <f t="shared" si="8"/>
        <v>2.7022784744752944E-2</v>
      </c>
      <c r="S23" s="2"/>
      <c r="T23" s="6">
        <v>15213.59</v>
      </c>
      <c r="U23" s="2"/>
      <c r="V23" s="7">
        <f t="shared" si="9"/>
        <v>3.0942181671744517E-2</v>
      </c>
      <c r="W23" s="2"/>
      <c r="X23" s="6">
        <f t="shared" si="10"/>
        <v>-562.88999999999942</v>
      </c>
      <c r="Y23" s="2"/>
      <c r="Z23" s="7">
        <f t="shared" si="11"/>
        <v>-3.6999156675051673E-2</v>
      </c>
    </row>
    <row r="24" spans="1:26" s="23" customFormat="1" hidden="1" outlineLevel="2" x14ac:dyDescent="0.25">
      <c r="A24" s="25"/>
      <c r="B24" s="10" t="str">
        <f>CONCATENATE("          ", "6114", " - ", "STATE UNEMPLOYMENT INSURANCE")</f>
        <v xml:space="preserve">          6114 - STATE UNEMPLOYMENT INSURANCE</v>
      </c>
      <c r="C24" s="10"/>
      <c r="D24" s="6">
        <v>33.54</v>
      </c>
      <c r="E24" s="2"/>
      <c r="F24" s="7">
        <f t="shared" si="4"/>
        <v>1.3429429429429429E-3</v>
      </c>
      <c r="G24" s="2"/>
      <c r="H24" s="6">
        <v>-495.12</v>
      </c>
      <c r="I24" s="2"/>
      <c r="J24" s="7">
        <f t="shared" si="5"/>
        <v>-7.9374138317996733E-3</v>
      </c>
      <c r="K24" s="2"/>
      <c r="L24" s="6">
        <f t="shared" si="6"/>
        <v>528.66</v>
      </c>
      <c r="M24" s="2"/>
      <c r="N24" s="7">
        <f t="shared" si="7"/>
        <v>-1.0677411536597188</v>
      </c>
      <c r="O24" s="10"/>
      <c r="P24" s="6">
        <v>437.82</v>
      </c>
      <c r="Q24" s="2"/>
      <c r="R24" s="7">
        <f t="shared" si="8"/>
        <v>8.0754609793031958E-4</v>
      </c>
      <c r="S24" s="2"/>
      <c r="T24" s="6">
        <v>0</v>
      </c>
      <c r="U24" s="2"/>
      <c r="V24" s="7">
        <f t="shared" si="9"/>
        <v>0</v>
      </c>
      <c r="W24" s="2"/>
      <c r="X24" s="6">
        <f t="shared" si="10"/>
        <v>437.82</v>
      </c>
      <c r="Y24" s="2"/>
      <c r="Z24" s="7">
        <f t="shared" si="11"/>
        <v>0</v>
      </c>
    </row>
    <row r="25" spans="1:26" s="23" customFormat="1" hidden="1" outlineLevel="2" x14ac:dyDescent="0.25">
      <c r="A25" s="25"/>
      <c r="B25" s="10" t="str">
        <f>CONCATENATE("          ", "6115", " - ", "P.E.R.S.")</f>
        <v xml:space="preserve">          6115 - P.E.R.S.</v>
      </c>
      <c r="C25" s="10"/>
      <c r="D25" s="6">
        <v>1013.88</v>
      </c>
      <c r="E25" s="2"/>
      <c r="F25" s="7">
        <f t="shared" si="4"/>
        <v>4.0595795795795794E-2</v>
      </c>
      <c r="G25" s="2"/>
      <c r="H25" s="6">
        <v>550.21</v>
      </c>
      <c r="I25" s="2"/>
      <c r="J25" s="7">
        <f t="shared" si="5"/>
        <v>8.8205777678027515E-3</v>
      </c>
      <c r="K25" s="2"/>
      <c r="L25" s="6">
        <f t="shared" si="6"/>
        <v>463.66999999999996</v>
      </c>
      <c r="M25" s="2"/>
      <c r="N25" s="7">
        <f t="shared" si="7"/>
        <v>0.84271459988004571</v>
      </c>
      <c r="O25" s="10"/>
      <c r="P25" s="6">
        <v>9355.51</v>
      </c>
      <c r="Q25" s="2"/>
      <c r="R25" s="7">
        <f t="shared" si="8"/>
        <v>1.7255962712183281E-2</v>
      </c>
      <c r="S25" s="2"/>
      <c r="T25" s="6">
        <v>8309.2900000000009</v>
      </c>
      <c r="U25" s="2"/>
      <c r="V25" s="7">
        <f t="shared" si="9"/>
        <v>1.6899861291332946E-2</v>
      </c>
      <c r="W25" s="2"/>
      <c r="X25" s="6">
        <f t="shared" si="10"/>
        <v>1046.2199999999993</v>
      </c>
      <c r="Y25" s="2"/>
      <c r="Z25" s="7">
        <f t="shared" si="11"/>
        <v>0.12590967459313601</v>
      </c>
    </row>
    <row r="26" spans="1:26" s="23" customFormat="1" hidden="1" outlineLevel="2" x14ac:dyDescent="0.25">
      <c r="A26" s="25"/>
      <c r="B26" s="10" t="str">
        <f>CONCATENATE("          ", "6117", " - ", "RETIREMENT STAFF HOURLY")</f>
        <v xml:space="preserve">          6117 - RETIREMENT STAFF HOURLY</v>
      </c>
      <c r="C26" s="10"/>
      <c r="D26" s="6">
        <v>96.01</v>
      </c>
      <c r="E26" s="2"/>
      <c r="F26" s="7">
        <f t="shared" si="4"/>
        <v>3.8442442442442443E-3</v>
      </c>
      <c r="G26" s="2"/>
      <c r="H26" s="6"/>
      <c r="I26" s="2"/>
      <c r="J26" s="7">
        <f t="shared" si="5"/>
        <v>0</v>
      </c>
      <c r="K26" s="2"/>
      <c r="L26" s="6">
        <f t="shared" si="6"/>
        <v>96.01</v>
      </c>
      <c r="M26" s="2"/>
      <c r="N26" s="7">
        <f t="shared" si="7"/>
        <v>0</v>
      </c>
      <c r="O26" s="10"/>
      <c r="P26" s="6">
        <v>1083.72</v>
      </c>
      <c r="Q26" s="2"/>
      <c r="R26" s="7">
        <f t="shared" si="8"/>
        <v>1.9988896287265225E-3</v>
      </c>
      <c r="S26" s="2"/>
      <c r="T26" s="6"/>
      <c r="U26" s="2"/>
      <c r="V26" s="7">
        <f t="shared" si="9"/>
        <v>0</v>
      </c>
      <c r="W26" s="2"/>
      <c r="X26" s="6">
        <f t="shared" si="10"/>
        <v>1083.72</v>
      </c>
      <c r="Y26" s="2"/>
      <c r="Z26" s="7">
        <f t="shared" si="11"/>
        <v>0</v>
      </c>
    </row>
    <row r="27" spans="1:26" s="23" customFormat="1" hidden="1" outlineLevel="2" x14ac:dyDescent="0.25">
      <c r="A27" s="25"/>
      <c r="B27" s="10" t="str">
        <f>CONCATENATE("          ", "6118", " - ", "VACATION")</f>
        <v xml:space="preserve">          6118 - VACATION</v>
      </c>
      <c r="C27" s="10"/>
      <c r="D27" s="6">
        <v>1040.1500000000001</v>
      </c>
      <c r="E27" s="2"/>
      <c r="F27" s="7">
        <f t="shared" si="4"/>
        <v>4.1647647647647654E-2</v>
      </c>
      <c r="G27" s="2"/>
      <c r="H27" s="6">
        <v>484.71</v>
      </c>
      <c r="I27" s="2"/>
      <c r="J27" s="7">
        <f t="shared" si="5"/>
        <v>7.7705280707941896E-3</v>
      </c>
      <c r="K27" s="2"/>
      <c r="L27" s="6">
        <f t="shared" si="6"/>
        <v>555.44000000000005</v>
      </c>
      <c r="M27" s="2"/>
      <c r="N27" s="7">
        <f t="shared" si="7"/>
        <v>1.1459223040580968</v>
      </c>
      <c r="O27" s="10"/>
      <c r="P27" s="6">
        <v>7280.39</v>
      </c>
      <c r="Q27" s="2"/>
      <c r="R27" s="7">
        <f t="shared" si="8"/>
        <v>1.3428464976270886E-2</v>
      </c>
      <c r="S27" s="2"/>
      <c r="T27" s="6">
        <v>8433.2199999999993</v>
      </c>
      <c r="U27" s="2"/>
      <c r="V27" s="7">
        <f t="shared" si="9"/>
        <v>1.7151916498195974E-2</v>
      </c>
      <c r="W27" s="2"/>
      <c r="X27" s="6">
        <f t="shared" si="10"/>
        <v>-1152.829999999999</v>
      </c>
      <c r="Y27" s="2"/>
      <c r="Z27" s="7">
        <f t="shared" si="11"/>
        <v>-0.13670104657532936</v>
      </c>
    </row>
    <row r="28" spans="1:26" s="23" customFormat="1" hidden="1" outlineLevel="2" x14ac:dyDescent="0.25">
      <c r="A28" s="25"/>
      <c r="B28" s="10" t="str">
        <f>CONCATENATE("          ", "6119", " - ", "SICK LEAVE")</f>
        <v xml:space="preserve">          6119 - SICK LEAVE</v>
      </c>
      <c r="C28" s="10"/>
      <c r="D28" s="6">
        <v>637.47</v>
      </c>
      <c r="E28" s="2"/>
      <c r="F28" s="7">
        <f t="shared" si="4"/>
        <v>2.5524324324324325E-2</v>
      </c>
      <c r="G28" s="2"/>
      <c r="H28" s="6">
        <v>281.62</v>
      </c>
      <c r="I28" s="2"/>
      <c r="J28" s="7">
        <f t="shared" si="5"/>
        <v>4.514732758344288E-3</v>
      </c>
      <c r="K28" s="2"/>
      <c r="L28" s="6">
        <f t="shared" si="6"/>
        <v>355.85</v>
      </c>
      <c r="M28" s="2"/>
      <c r="N28" s="7">
        <f t="shared" si="7"/>
        <v>1.2635821319508558</v>
      </c>
      <c r="O28" s="10"/>
      <c r="P28" s="6">
        <v>4228.6000000000004</v>
      </c>
      <c r="Q28" s="2"/>
      <c r="R28" s="7">
        <f t="shared" si="8"/>
        <v>7.7995281844323002E-3</v>
      </c>
      <c r="S28" s="2"/>
      <c r="T28" s="6">
        <v>4824.46</v>
      </c>
      <c r="U28" s="2"/>
      <c r="V28" s="7">
        <f t="shared" si="9"/>
        <v>9.812234836620715E-3</v>
      </c>
      <c r="W28" s="2"/>
      <c r="X28" s="6">
        <f t="shared" si="10"/>
        <v>-595.85999999999967</v>
      </c>
      <c r="Y28" s="2"/>
      <c r="Z28" s="7">
        <f t="shared" si="11"/>
        <v>-0.12350812318891641</v>
      </c>
    </row>
    <row r="29" spans="1:26" s="23" customFormat="1" hidden="1" outlineLevel="2" x14ac:dyDescent="0.25">
      <c r="A29" s="25"/>
      <c r="B29" s="10" t="str">
        <f>CONCATENATE("          ", "6156", " - ", "EMPLOYEE MEALS")</f>
        <v xml:space="preserve">          6156 - EMPLOYEE MEALS</v>
      </c>
      <c r="C29" s="10"/>
      <c r="D29" s="6"/>
      <c r="E29" s="2"/>
      <c r="F29" s="7">
        <f t="shared" si="4"/>
        <v>0</v>
      </c>
      <c r="G29" s="2"/>
      <c r="H29" s="6">
        <v>106.78</v>
      </c>
      <c r="I29" s="2"/>
      <c r="J29" s="7">
        <f t="shared" si="5"/>
        <v>1.7118214755202155E-3</v>
      </c>
      <c r="K29" s="2"/>
      <c r="L29" s="6">
        <f t="shared" si="6"/>
        <v>-106.78</v>
      </c>
      <c r="M29" s="2"/>
      <c r="N29" s="7">
        <f t="shared" si="7"/>
        <v>-1</v>
      </c>
      <c r="O29" s="10"/>
      <c r="P29" s="6">
        <v>1620.53</v>
      </c>
      <c r="Q29" s="2"/>
      <c r="R29" s="7">
        <f t="shared" si="8"/>
        <v>2.9890198667923366E-3</v>
      </c>
      <c r="S29" s="2"/>
      <c r="T29" s="6">
        <v>1475.47</v>
      </c>
      <c r="U29" s="2"/>
      <c r="V29" s="7">
        <f t="shared" si="9"/>
        <v>3.0008867592204655E-3</v>
      </c>
      <c r="W29" s="2"/>
      <c r="X29" s="6">
        <f t="shared" si="10"/>
        <v>145.05999999999995</v>
      </c>
      <c r="Y29" s="2"/>
      <c r="Z29" s="7">
        <f t="shared" si="11"/>
        <v>9.8314435400245301E-2</v>
      </c>
    </row>
    <row r="30" spans="1:26" s="27" customFormat="1" outlineLevel="1" collapsed="1" x14ac:dyDescent="0.25">
      <c r="A30" s="26"/>
      <c r="B30" s="12" t="str">
        <f>CONCATENATE("     ","*Payroll                                          ")</f>
        <v xml:space="preserve">     *Payroll                                          </v>
      </c>
      <c r="C30" s="12"/>
      <c r="D30" s="1">
        <f>SUM(OSRRefD22_1x_0)</f>
        <v>12043.56</v>
      </c>
      <c r="E30" s="1"/>
      <c r="F30" s="5">
        <f t="shared" ref="F30:F35" si="12">IF(D$12=0,0,D30/D$12)</f>
        <v>0.48222462462462462</v>
      </c>
      <c r="G30" s="1"/>
      <c r="H30" s="1">
        <f>SUM(OSRRefH22_1x_0)</f>
        <v>12822.880000000001</v>
      </c>
      <c r="I30" s="1"/>
      <c r="J30" s="5">
        <f t="shared" ref="J30:J35" si="13">IF(H$12=0,0,H30/H$12)</f>
        <v>0.20556734746224631</v>
      </c>
      <c r="K30" s="1"/>
      <c r="L30" s="1">
        <f t="shared" ref="L30:L35" si="14">+D30-H30</f>
        <v>-779.32000000000153</v>
      </c>
      <c r="M30" s="1"/>
      <c r="N30" s="5">
        <f t="shared" ref="N30:N35" si="15">IF(H30=0,0,L30/H30)</f>
        <v>-6.0775738367667906E-2</v>
      </c>
      <c r="O30" s="12"/>
      <c r="P30" s="1">
        <f>SUM(OSRRefP22_1x_0)</f>
        <v>164212.04</v>
      </c>
      <c r="Q30" s="1"/>
      <c r="R30" s="5">
        <f t="shared" ref="R30:R35" si="16">IF(P$12=0,0,P30/P$12)</f>
        <v>0.30288427238403354</v>
      </c>
      <c r="S30" s="1"/>
      <c r="T30" s="1">
        <f>SUM(OSRRefT22_1x_0)</f>
        <v>190012.33</v>
      </c>
      <c r="U30" s="1"/>
      <c r="V30" s="5">
        <f t="shared" ref="V30:V35" si="17">IF(T$12=0,0,T30/T$12)</f>
        <v>0.38645684777435635</v>
      </c>
      <c r="W30" s="1"/>
      <c r="X30" s="1">
        <f t="shared" ref="X30:X35" si="18">+P30-T30</f>
        <v>-25800.289999999979</v>
      </c>
      <c r="Y30" s="1"/>
      <c r="Z30" s="5">
        <f t="shared" ref="Z30:Z35" si="19">IF(T30=0,0,X30/T30)</f>
        <v>-0.13578218845061255</v>
      </c>
    </row>
    <row r="31" spans="1:26" s="23" customFormat="1" hidden="1" outlineLevel="2" x14ac:dyDescent="0.25">
      <c r="A31" s="25"/>
      <c r="B31" s="10" t="str">
        <f>CONCATENATE("          ", "6001", " - ", "ADMINISTRATIVE SALARIES")</f>
        <v xml:space="preserve">          6001 - ADMINISTRATIVE SALARIES</v>
      </c>
      <c r="C31" s="10"/>
      <c r="D31" s="6">
        <v>3583.28</v>
      </c>
      <c r="E31" s="2"/>
      <c r="F31" s="7">
        <f t="shared" si="12"/>
        <v>0.14347467467467467</v>
      </c>
      <c r="G31" s="2"/>
      <c r="H31" s="6"/>
      <c r="I31" s="2"/>
      <c r="J31" s="7">
        <f t="shared" si="13"/>
        <v>0</v>
      </c>
      <c r="K31" s="2"/>
      <c r="L31" s="6">
        <f t="shared" si="14"/>
        <v>3583.28</v>
      </c>
      <c r="M31" s="2"/>
      <c r="N31" s="7">
        <f t="shared" si="15"/>
        <v>0</v>
      </c>
      <c r="O31" s="10"/>
      <c r="P31" s="6">
        <v>51528.44</v>
      </c>
      <c r="Q31" s="2"/>
      <c r="R31" s="7">
        <f t="shared" si="16"/>
        <v>9.5042690270971175E-2</v>
      </c>
      <c r="S31" s="2"/>
      <c r="T31" s="6"/>
      <c r="U31" s="2"/>
      <c r="V31" s="7">
        <f t="shared" si="17"/>
        <v>0</v>
      </c>
      <c r="W31" s="2"/>
      <c r="X31" s="6">
        <f t="shared" si="18"/>
        <v>51528.44</v>
      </c>
      <c r="Y31" s="2"/>
      <c r="Z31" s="7">
        <f t="shared" si="19"/>
        <v>0</v>
      </c>
    </row>
    <row r="32" spans="1:26" s="23" customFormat="1" hidden="1" outlineLevel="2" x14ac:dyDescent="0.25">
      <c r="A32" s="25"/>
      <c r="B32" s="10" t="str">
        <f>CONCATENATE("          ", "6002", " - ", "STAFF SALARIES")</f>
        <v xml:space="preserve">          6002 - STAFF SALARIES</v>
      </c>
      <c r="C32" s="10"/>
      <c r="D32" s="6">
        <v>2582.3000000000002</v>
      </c>
      <c r="E32" s="2"/>
      <c r="F32" s="7">
        <f t="shared" si="12"/>
        <v>0.1033953953953954</v>
      </c>
      <c r="G32" s="2"/>
      <c r="H32" s="6">
        <v>6105.68</v>
      </c>
      <c r="I32" s="2"/>
      <c r="J32" s="7">
        <f t="shared" si="13"/>
        <v>9.7881945557728695E-2</v>
      </c>
      <c r="K32" s="2"/>
      <c r="L32" s="6">
        <f t="shared" si="14"/>
        <v>-3523.38</v>
      </c>
      <c r="M32" s="2"/>
      <c r="N32" s="7">
        <f t="shared" si="15"/>
        <v>-0.57706594515271026</v>
      </c>
      <c r="O32" s="10"/>
      <c r="P32" s="6">
        <v>28372.28</v>
      </c>
      <c r="Q32" s="2"/>
      <c r="R32" s="7">
        <f t="shared" si="16"/>
        <v>5.2331835008420008E-2</v>
      </c>
      <c r="S32" s="2"/>
      <c r="T32" s="6">
        <v>70386.490000000005</v>
      </c>
      <c r="U32" s="2"/>
      <c r="V32" s="7">
        <f t="shared" si="17"/>
        <v>0.1431556628525173</v>
      </c>
      <c r="W32" s="2"/>
      <c r="X32" s="6">
        <f t="shared" si="18"/>
        <v>-42014.210000000006</v>
      </c>
      <c r="Y32" s="2"/>
      <c r="Z32" s="7">
        <f t="shared" si="19"/>
        <v>-0.59690730422841087</v>
      </c>
    </row>
    <row r="33" spans="1:26" s="23" customFormat="1" hidden="1" outlineLevel="2" x14ac:dyDescent="0.25">
      <c r="A33" s="25"/>
      <c r="B33" s="10" t="str">
        <f>CONCATENATE("          ", "6005", " - ", "TEMPORARY WAGES-HOURLY")</f>
        <v xml:space="preserve">          6005 - TEMPORARY WAGES-HOURLY</v>
      </c>
      <c r="C33" s="10"/>
      <c r="D33" s="6">
        <v>5877.98</v>
      </c>
      <c r="E33" s="2"/>
      <c r="F33" s="7">
        <f t="shared" si="12"/>
        <v>0.23535455455455453</v>
      </c>
      <c r="G33" s="2"/>
      <c r="H33" s="6">
        <v>6717.2</v>
      </c>
      <c r="I33" s="2"/>
      <c r="J33" s="7">
        <f t="shared" si="13"/>
        <v>0.10768540190451761</v>
      </c>
      <c r="K33" s="2"/>
      <c r="L33" s="6">
        <f t="shared" si="14"/>
        <v>-839.22000000000025</v>
      </c>
      <c r="M33" s="2"/>
      <c r="N33" s="7">
        <f t="shared" si="15"/>
        <v>-0.12493598523194192</v>
      </c>
      <c r="O33" s="10"/>
      <c r="P33" s="6">
        <v>76121.66</v>
      </c>
      <c r="Q33" s="2"/>
      <c r="R33" s="7">
        <f t="shared" si="16"/>
        <v>0.1404041603877815</v>
      </c>
      <c r="S33" s="2"/>
      <c r="T33" s="6">
        <v>87917.69</v>
      </c>
      <c r="U33" s="2"/>
      <c r="V33" s="7">
        <f t="shared" si="17"/>
        <v>0.17881151892091979</v>
      </c>
      <c r="W33" s="2"/>
      <c r="X33" s="6">
        <f t="shared" si="18"/>
        <v>-11796.029999999999</v>
      </c>
      <c r="Y33" s="2"/>
      <c r="Z33" s="7">
        <f t="shared" si="19"/>
        <v>-0.13417129135217268</v>
      </c>
    </row>
    <row r="34" spans="1:26" s="23" customFormat="1" hidden="1" outlineLevel="2" x14ac:dyDescent="0.25">
      <c r="A34" s="25"/>
      <c r="B34" s="10" t="str">
        <f>CONCATENATE("          ", "6007", " - ", "STUDENT HOURLY")</f>
        <v xml:space="preserve">          6007 - STUDENT HOURLY</v>
      </c>
      <c r="C34" s="10"/>
      <c r="D34" s="6"/>
      <c r="E34" s="2"/>
      <c r="F34" s="7">
        <f t="shared" si="12"/>
        <v>0</v>
      </c>
      <c r="G34" s="2"/>
      <c r="H34" s="6"/>
      <c r="I34" s="2"/>
      <c r="J34" s="7">
        <f t="shared" si="13"/>
        <v>0</v>
      </c>
      <c r="K34" s="2"/>
      <c r="L34" s="6">
        <f t="shared" si="14"/>
        <v>0</v>
      </c>
      <c r="M34" s="2"/>
      <c r="N34" s="7">
        <f t="shared" si="15"/>
        <v>0</v>
      </c>
      <c r="O34" s="10"/>
      <c r="P34" s="6">
        <v>4277.78</v>
      </c>
      <c r="Q34" s="2"/>
      <c r="R34" s="7">
        <f t="shared" si="16"/>
        <v>7.8902392462755523E-3</v>
      </c>
      <c r="S34" s="2"/>
      <c r="T34" s="6">
        <v>25787.41</v>
      </c>
      <c r="U34" s="2"/>
      <c r="V34" s="7">
        <f t="shared" si="17"/>
        <v>5.244776052619804E-2</v>
      </c>
      <c r="W34" s="2"/>
      <c r="X34" s="6">
        <f t="shared" si="18"/>
        <v>-21509.63</v>
      </c>
      <c r="Y34" s="2"/>
      <c r="Z34" s="7">
        <f t="shared" si="19"/>
        <v>-0.8341136236636405</v>
      </c>
    </row>
    <row r="35" spans="1:26" s="23" customFormat="1" hidden="1" outlineLevel="2" x14ac:dyDescent="0.25">
      <c r="A35" s="25"/>
      <c r="B35" s="10" t="str">
        <f>CONCATENATE("          ", "6008", " - ", "STUDENT HOURLY-FICA EXEMPT")</f>
        <v xml:space="preserve">          6008 - STUDENT HOURLY-FICA EXEMPT</v>
      </c>
      <c r="C35" s="10"/>
      <c r="D35" s="6"/>
      <c r="E35" s="2"/>
      <c r="F35" s="7">
        <f t="shared" si="12"/>
        <v>0</v>
      </c>
      <c r="G35" s="2"/>
      <c r="H35" s="6"/>
      <c r="I35" s="2"/>
      <c r="J35" s="7">
        <f t="shared" si="13"/>
        <v>0</v>
      </c>
      <c r="K35" s="2"/>
      <c r="L35" s="6">
        <f t="shared" si="14"/>
        <v>0</v>
      </c>
      <c r="M35" s="2"/>
      <c r="N35" s="7">
        <f t="shared" si="15"/>
        <v>0</v>
      </c>
      <c r="O35" s="10"/>
      <c r="P35" s="6">
        <v>3911.88</v>
      </c>
      <c r="Q35" s="2"/>
      <c r="R35" s="7">
        <f t="shared" si="16"/>
        <v>7.2153474705853064E-3</v>
      </c>
      <c r="S35" s="2"/>
      <c r="T35" s="6">
        <v>5920.74</v>
      </c>
      <c r="U35" s="2"/>
      <c r="V35" s="7">
        <f t="shared" si="17"/>
        <v>1.2041905474721261E-2</v>
      </c>
      <c r="W35" s="2"/>
      <c r="X35" s="6">
        <f t="shared" si="18"/>
        <v>-2008.8599999999997</v>
      </c>
      <c r="Y35" s="2"/>
      <c r="Z35" s="7">
        <f t="shared" si="19"/>
        <v>-0.33929204795346524</v>
      </c>
    </row>
    <row r="36" spans="1:26" s="27" customFormat="1" outlineLevel="1" collapsed="1" x14ac:dyDescent="0.25">
      <c r="A36" s="26"/>
      <c r="B36" s="12" t="str">
        <f>CONCATENATE("     ","Advertising/Promo                                 ")</f>
        <v xml:space="preserve">     Advertising/Promo                                 </v>
      </c>
      <c r="C36" s="12"/>
      <c r="D36" s="1">
        <f>SUM(OSRRefD22_2x_0)</f>
        <v>0</v>
      </c>
      <c r="E36" s="1"/>
      <c r="F36" s="5">
        <f t="shared" ref="F36:F44" si="20">IF(D$12=0,0,D36/D$12)</f>
        <v>0</v>
      </c>
      <c r="G36" s="1"/>
      <c r="H36" s="1">
        <f>SUM(OSRRefH22_2x_0)</f>
        <v>0</v>
      </c>
      <c r="I36" s="1"/>
      <c r="J36" s="5">
        <f t="shared" ref="J36:J44" si="21">IF(H$12=0,0,H36/H$12)</f>
        <v>0</v>
      </c>
      <c r="K36" s="1"/>
      <c r="L36" s="1">
        <f t="shared" ref="L36:L44" si="22">+D36-H36</f>
        <v>0</v>
      </c>
      <c r="M36" s="1"/>
      <c r="N36" s="5">
        <f t="shared" ref="N36:N44" si="23">IF(H36=0,0,L36/H36)</f>
        <v>0</v>
      </c>
      <c r="O36" s="12"/>
      <c r="P36" s="1">
        <f>SUM(OSRRefP22_2x_0)</f>
        <v>0</v>
      </c>
      <c r="Q36" s="1"/>
      <c r="R36" s="5">
        <f t="shared" ref="R36:R44" si="24">IF(P$12=0,0,P36/P$12)</f>
        <v>0</v>
      </c>
      <c r="S36" s="1"/>
      <c r="T36" s="1">
        <f>SUM(OSRRefT22_2x_0)</f>
        <v>2066.92</v>
      </c>
      <c r="U36" s="1"/>
      <c r="V36" s="5">
        <f t="shared" ref="V36:V44" si="25">IF(T$12=0,0,T36/T$12)</f>
        <v>4.2038081834045865E-3</v>
      </c>
      <c r="W36" s="1"/>
      <c r="X36" s="1">
        <f t="shared" ref="X36:X44" si="26">+P36-T36</f>
        <v>-2066.92</v>
      </c>
      <c r="Y36" s="1"/>
      <c r="Z36" s="5">
        <f t="shared" ref="Z36:Z44" si="27">IF(T36=0,0,X36/T36)</f>
        <v>-1</v>
      </c>
    </row>
    <row r="37" spans="1:26" s="23" customFormat="1" hidden="1" outlineLevel="2" x14ac:dyDescent="0.25">
      <c r="A37" s="25"/>
      <c r="B37" s="10" t="str">
        <f>CONCATENATE("          ", "6362", " - ", "ADVERTISING EXPENSE")</f>
        <v xml:space="preserve">          6362 - ADVERTISING EXPENSE</v>
      </c>
      <c r="C37" s="10"/>
      <c r="D37" s="6"/>
      <c r="E37" s="2"/>
      <c r="F37" s="7">
        <f t="shared" si="20"/>
        <v>0</v>
      </c>
      <c r="G37" s="2"/>
      <c r="H37" s="6"/>
      <c r="I37" s="2"/>
      <c r="J37" s="7">
        <f t="shared" si="21"/>
        <v>0</v>
      </c>
      <c r="K37" s="2"/>
      <c r="L37" s="6">
        <f t="shared" si="22"/>
        <v>0</v>
      </c>
      <c r="M37" s="2"/>
      <c r="N37" s="7">
        <f t="shared" si="23"/>
        <v>0</v>
      </c>
      <c r="O37" s="10"/>
      <c r="P37" s="6"/>
      <c r="Q37" s="2"/>
      <c r="R37" s="7">
        <f t="shared" si="24"/>
        <v>0</v>
      </c>
      <c r="S37" s="2"/>
      <c r="T37" s="6">
        <v>2066.92</v>
      </c>
      <c r="U37" s="2"/>
      <c r="V37" s="7">
        <f t="shared" si="25"/>
        <v>4.2038081834045865E-3</v>
      </c>
      <c r="W37" s="2"/>
      <c r="X37" s="6">
        <f t="shared" si="26"/>
        <v>-2066.92</v>
      </c>
      <c r="Y37" s="2"/>
      <c r="Z37" s="7">
        <f t="shared" si="27"/>
        <v>-1</v>
      </c>
    </row>
    <row r="38" spans="1:26" s="27" customFormat="1" outlineLevel="1" collapsed="1" x14ac:dyDescent="0.25">
      <c r="A38" s="26"/>
      <c r="B38" s="12" t="str">
        <f>CONCATENATE("     ","Bank/card Fees                                    ")</f>
        <v xml:space="preserve">     Bank/card Fees                                    </v>
      </c>
      <c r="C38" s="12"/>
      <c r="D38" s="1">
        <f>SUM(OSRRefD22_3x_0)</f>
        <v>-5189.17</v>
      </c>
      <c r="E38" s="1"/>
      <c r="F38" s="5">
        <f t="shared" si="20"/>
        <v>-0.20777457457457457</v>
      </c>
      <c r="G38" s="1"/>
      <c r="H38" s="1">
        <f>SUM(OSRRefH22_3x_0)</f>
        <v>163.22</v>
      </c>
      <c r="I38" s="1"/>
      <c r="J38" s="5">
        <f t="shared" si="21"/>
        <v>2.6166276571868287E-3</v>
      </c>
      <c r="K38" s="1"/>
      <c r="L38" s="1">
        <f t="shared" si="22"/>
        <v>-5352.39</v>
      </c>
      <c r="M38" s="1"/>
      <c r="N38" s="5">
        <f t="shared" si="23"/>
        <v>-32.792488665604708</v>
      </c>
      <c r="O38" s="12"/>
      <c r="P38" s="1">
        <f>SUM(OSRRefP22_3x_0)</f>
        <v>872.08</v>
      </c>
      <c r="Q38" s="1"/>
      <c r="R38" s="5">
        <f t="shared" si="24"/>
        <v>1.6085258806885778E-3</v>
      </c>
      <c r="S38" s="1"/>
      <c r="T38" s="1">
        <f>SUM(OSRRefT22_3x_0)</f>
        <v>17997.099999999999</v>
      </c>
      <c r="U38" s="1"/>
      <c r="V38" s="5">
        <f t="shared" si="25"/>
        <v>3.6603427446418181E-2</v>
      </c>
      <c r="W38" s="1"/>
      <c r="X38" s="1">
        <f t="shared" si="26"/>
        <v>-17125.019999999997</v>
      </c>
      <c r="Y38" s="1"/>
      <c r="Z38" s="5">
        <f t="shared" si="27"/>
        <v>-0.95154330419900979</v>
      </c>
    </row>
    <row r="39" spans="1:26" s="23" customFormat="1" hidden="1" outlineLevel="2" x14ac:dyDescent="0.25">
      <c r="A39" s="25"/>
      <c r="B39" s="10" t="str">
        <f>CONCATENATE("          ", "6381", " - ", "BANK/CREDIT CARD FEES")</f>
        <v xml:space="preserve">          6381 - BANK/CREDIT CARD FEES</v>
      </c>
      <c r="C39" s="10"/>
      <c r="D39" s="6">
        <v>-5189.17</v>
      </c>
      <c r="E39" s="2"/>
      <c r="F39" s="7">
        <f t="shared" si="20"/>
        <v>-0.20777457457457457</v>
      </c>
      <c r="G39" s="2"/>
      <c r="H39" s="6">
        <v>163.22</v>
      </c>
      <c r="I39" s="2"/>
      <c r="J39" s="7">
        <f t="shared" si="21"/>
        <v>2.6166276571868287E-3</v>
      </c>
      <c r="K39" s="2"/>
      <c r="L39" s="6">
        <f t="shared" si="22"/>
        <v>-5352.39</v>
      </c>
      <c r="M39" s="2"/>
      <c r="N39" s="7">
        <f t="shared" si="23"/>
        <v>-32.792488665604708</v>
      </c>
      <c r="O39" s="10"/>
      <c r="P39" s="6">
        <v>872.08</v>
      </c>
      <c r="Q39" s="2"/>
      <c r="R39" s="7">
        <f t="shared" si="24"/>
        <v>1.6085258806885778E-3</v>
      </c>
      <c r="S39" s="2"/>
      <c r="T39" s="6">
        <v>17997.099999999999</v>
      </c>
      <c r="U39" s="2"/>
      <c r="V39" s="7">
        <f t="shared" si="25"/>
        <v>3.6603427446418181E-2</v>
      </c>
      <c r="W39" s="2"/>
      <c r="X39" s="6">
        <f t="shared" si="26"/>
        <v>-17125.019999999997</v>
      </c>
      <c r="Y39" s="2"/>
      <c r="Z39" s="7">
        <f t="shared" si="27"/>
        <v>-0.95154330419900979</v>
      </c>
    </row>
    <row r="40" spans="1:26" s="27" customFormat="1" outlineLevel="1" collapsed="1" x14ac:dyDescent="0.25">
      <c r="A40" s="26"/>
      <c r="B40" s="12" t="str">
        <f>CONCATENATE("     ","Employees' Appreciation                           ")</f>
        <v xml:space="preserve">     Employees' Appreciation                           </v>
      </c>
      <c r="C40" s="12"/>
      <c r="D40" s="1">
        <f>SUM(OSRRefD22_4x_0)</f>
        <v>0</v>
      </c>
      <c r="E40" s="1"/>
      <c r="F40" s="5">
        <f t="shared" si="20"/>
        <v>0</v>
      </c>
      <c r="G40" s="1"/>
      <c r="H40" s="1">
        <f>SUM(OSRRefH22_4x_0)</f>
        <v>0</v>
      </c>
      <c r="I40" s="1"/>
      <c r="J40" s="5">
        <f t="shared" si="21"/>
        <v>0</v>
      </c>
      <c r="K40" s="1"/>
      <c r="L40" s="1">
        <f t="shared" si="22"/>
        <v>0</v>
      </c>
      <c r="M40" s="1"/>
      <c r="N40" s="5">
        <f t="shared" si="23"/>
        <v>0</v>
      </c>
      <c r="O40" s="12"/>
      <c r="P40" s="1">
        <f>SUM(OSRRefP22_4x_0)</f>
        <v>0</v>
      </c>
      <c r="Q40" s="1"/>
      <c r="R40" s="5">
        <f t="shared" si="24"/>
        <v>0</v>
      </c>
      <c r="S40" s="1"/>
      <c r="T40" s="1">
        <f>SUM(OSRRefT22_4x_0)</f>
        <v>64.239999999999995</v>
      </c>
      <c r="U40" s="1"/>
      <c r="V40" s="5">
        <f t="shared" si="25"/>
        <v>1.306546154190344E-4</v>
      </c>
      <c r="W40" s="1"/>
      <c r="X40" s="1">
        <f t="shared" si="26"/>
        <v>-64.239999999999995</v>
      </c>
      <c r="Y40" s="1"/>
      <c r="Z40" s="5">
        <f t="shared" si="27"/>
        <v>-1</v>
      </c>
    </row>
    <row r="41" spans="1:26" s="23" customFormat="1" hidden="1" outlineLevel="2" x14ac:dyDescent="0.25">
      <c r="A41" s="25"/>
      <c r="B41" s="10" t="str">
        <f>CONCATENATE("          ", "6277", " - ", "EMPLOYEE APPRECIATION")</f>
        <v xml:space="preserve">          6277 - EMPLOYEE APPRECIATION</v>
      </c>
      <c r="C41" s="10"/>
      <c r="D41" s="6"/>
      <c r="E41" s="2"/>
      <c r="F41" s="7">
        <f t="shared" si="20"/>
        <v>0</v>
      </c>
      <c r="G41" s="2"/>
      <c r="H41" s="6"/>
      <c r="I41" s="2"/>
      <c r="J41" s="7">
        <f t="shared" si="21"/>
        <v>0</v>
      </c>
      <c r="K41" s="2"/>
      <c r="L41" s="6">
        <f t="shared" si="22"/>
        <v>0</v>
      </c>
      <c r="M41" s="2"/>
      <c r="N41" s="7">
        <f t="shared" si="23"/>
        <v>0</v>
      </c>
      <c r="O41" s="10"/>
      <c r="P41" s="6"/>
      <c r="Q41" s="2"/>
      <c r="R41" s="7">
        <f t="shared" si="24"/>
        <v>0</v>
      </c>
      <c r="S41" s="2"/>
      <c r="T41" s="6">
        <v>64.239999999999995</v>
      </c>
      <c r="U41" s="2"/>
      <c r="V41" s="7">
        <f t="shared" si="25"/>
        <v>1.306546154190344E-4</v>
      </c>
      <c r="W41" s="2"/>
      <c r="X41" s="6">
        <f t="shared" si="26"/>
        <v>-64.239999999999995</v>
      </c>
      <c r="Y41" s="2"/>
      <c r="Z41" s="7">
        <f t="shared" si="27"/>
        <v>-1</v>
      </c>
    </row>
    <row r="42" spans="1:26" s="27" customFormat="1" outlineLevel="1" collapsed="1" x14ac:dyDescent="0.25">
      <c r="A42" s="26"/>
      <c r="B42" s="12" t="str">
        <f>CONCATENATE("     ","Freight out/Postage                               ")</f>
        <v xml:space="preserve">     Freight out/Postage                               </v>
      </c>
      <c r="C42" s="12"/>
      <c r="D42" s="1">
        <f>SUM(OSRRefD22_5x_0)</f>
        <v>0</v>
      </c>
      <c r="E42" s="1"/>
      <c r="F42" s="5">
        <f t="shared" si="20"/>
        <v>0</v>
      </c>
      <c r="G42" s="1"/>
      <c r="H42" s="1">
        <f>SUM(OSRRefH22_5x_0)</f>
        <v>0</v>
      </c>
      <c r="I42" s="1"/>
      <c r="J42" s="5">
        <f t="shared" si="21"/>
        <v>0</v>
      </c>
      <c r="K42" s="1"/>
      <c r="L42" s="1">
        <f t="shared" si="22"/>
        <v>0</v>
      </c>
      <c r="M42" s="1"/>
      <c r="N42" s="5">
        <f t="shared" si="23"/>
        <v>0</v>
      </c>
      <c r="O42" s="12"/>
      <c r="P42" s="1">
        <f>SUM(OSRRefP22_5x_0)</f>
        <v>2.12</v>
      </c>
      <c r="Q42" s="1"/>
      <c r="R42" s="5">
        <f t="shared" si="24"/>
        <v>3.9102775743736642E-6</v>
      </c>
      <c r="S42" s="1"/>
      <c r="T42" s="1">
        <f>SUM(OSRRefT22_5x_0)</f>
        <v>0</v>
      </c>
      <c r="U42" s="1"/>
      <c r="V42" s="5">
        <f t="shared" si="25"/>
        <v>0</v>
      </c>
      <c r="W42" s="1"/>
      <c r="X42" s="1">
        <f t="shared" si="26"/>
        <v>2.12</v>
      </c>
      <c r="Y42" s="1"/>
      <c r="Z42" s="5">
        <f t="shared" si="27"/>
        <v>0</v>
      </c>
    </row>
    <row r="43" spans="1:26" s="23" customFormat="1" hidden="1" outlineLevel="2" x14ac:dyDescent="0.25">
      <c r="A43" s="25"/>
      <c r="B43" s="10" t="str">
        <f>CONCATENATE("          ", "6305", " - ", "FREIGHT OUT")</f>
        <v xml:space="preserve">          6305 - FREIGHT OUT</v>
      </c>
      <c r="C43" s="10"/>
      <c r="D43" s="6"/>
      <c r="E43" s="2"/>
      <c r="F43" s="7">
        <f t="shared" si="20"/>
        <v>0</v>
      </c>
      <c r="G43" s="2"/>
      <c r="H43" s="6"/>
      <c r="I43" s="2"/>
      <c r="J43" s="7">
        <f t="shared" si="21"/>
        <v>0</v>
      </c>
      <c r="K43" s="2"/>
      <c r="L43" s="6">
        <f t="shared" si="22"/>
        <v>0</v>
      </c>
      <c r="M43" s="2"/>
      <c r="N43" s="7">
        <f t="shared" si="23"/>
        <v>0</v>
      </c>
      <c r="O43" s="10"/>
      <c r="P43" s="6">
        <v>1.62</v>
      </c>
      <c r="Q43" s="2"/>
      <c r="R43" s="7">
        <f t="shared" si="24"/>
        <v>2.9880422973987433E-6</v>
      </c>
      <c r="S43" s="2"/>
      <c r="T43" s="6"/>
      <c r="U43" s="2"/>
      <c r="V43" s="7">
        <f t="shared" si="25"/>
        <v>0</v>
      </c>
      <c r="W43" s="2"/>
      <c r="X43" s="6">
        <f t="shared" si="26"/>
        <v>1.62</v>
      </c>
      <c r="Y43" s="2"/>
      <c r="Z43" s="7">
        <f t="shared" si="27"/>
        <v>0</v>
      </c>
    </row>
    <row r="44" spans="1:26" s="23" customFormat="1" hidden="1" outlineLevel="2" x14ac:dyDescent="0.25">
      <c r="A44" s="25"/>
      <c r="B44" s="10" t="str">
        <f>CONCATENATE("          ", "6307", " - ", "POSTAGE")</f>
        <v xml:space="preserve">          6307 - POSTAGE</v>
      </c>
      <c r="C44" s="10"/>
      <c r="D44" s="6"/>
      <c r="E44" s="2"/>
      <c r="F44" s="7">
        <f t="shared" si="20"/>
        <v>0</v>
      </c>
      <c r="G44" s="2"/>
      <c r="H44" s="6"/>
      <c r="I44" s="2"/>
      <c r="J44" s="7">
        <f t="shared" si="21"/>
        <v>0</v>
      </c>
      <c r="K44" s="2"/>
      <c r="L44" s="6">
        <f t="shared" si="22"/>
        <v>0</v>
      </c>
      <c r="M44" s="2"/>
      <c r="N44" s="7">
        <f t="shared" si="23"/>
        <v>0</v>
      </c>
      <c r="O44" s="10"/>
      <c r="P44" s="6">
        <v>0.5</v>
      </c>
      <c r="Q44" s="2"/>
      <c r="R44" s="7">
        <f t="shared" si="24"/>
        <v>9.2223527697492073E-7</v>
      </c>
      <c r="S44" s="2"/>
      <c r="T44" s="6"/>
      <c r="U44" s="2"/>
      <c r="V44" s="7">
        <f t="shared" si="25"/>
        <v>0</v>
      </c>
      <c r="W44" s="2"/>
      <c r="X44" s="6">
        <f t="shared" si="26"/>
        <v>0.5</v>
      </c>
      <c r="Y44" s="2"/>
      <c r="Z44" s="7">
        <f t="shared" si="27"/>
        <v>0</v>
      </c>
    </row>
    <row r="45" spans="1:26" s="27" customFormat="1" outlineLevel="1" collapsed="1" x14ac:dyDescent="0.25">
      <c r="A45" s="26"/>
      <c r="B45" s="12" t="str">
        <f>CONCATENATE("     ","General                                           ")</f>
        <v xml:space="preserve">     General                                           </v>
      </c>
      <c r="C45" s="12"/>
      <c r="D45" s="1">
        <f>SUM(OSRRefD22_6x_0)</f>
        <v>0</v>
      </c>
      <c r="E45" s="1"/>
      <c r="F45" s="5">
        <f t="shared" ref="F45:F54" si="28">IF(D$12=0,0,D45/D$12)</f>
        <v>0</v>
      </c>
      <c r="G45" s="1"/>
      <c r="H45" s="1">
        <f>SUM(OSRRefH22_6x_0)</f>
        <v>0</v>
      </c>
      <c r="I45" s="1"/>
      <c r="J45" s="5">
        <f t="shared" ref="J45:J54" si="29">IF(H$12=0,0,H45/H$12)</f>
        <v>0</v>
      </c>
      <c r="K45" s="1"/>
      <c r="L45" s="1">
        <f t="shared" ref="L45:L54" si="30">+D45-H45</f>
        <v>0</v>
      </c>
      <c r="M45" s="1"/>
      <c r="N45" s="5">
        <f t="shared" ref="N45:N54" si="31">IF(H45=0,0,L45/H45)</f>
        <v>0</v>
      </c>
      <c r="O45" s="12"/>
      <c r="P45" s="1">
        <f>SUM(OSRRefP22_6x_0)</f>
        <v>0</v>
      </c>
      <c r="Q45" s="1"/>
      <c r="R45" s="5">
        <f t="shared" ref="R45:R54" si="32">IF(P$12=0,0,P45/P$12)</f>
        <v>0</v>
      </c>
      <c r="S45" s="1"/>
      <c r="T45" s="1">
        <f>SUM(OSRRefT22_6x_0)</f>
        <v>47.34</v>
      </c>
      <c r="U45" s="1"/>
      <c r="V45" s="5">
        <f t="shared" ref="V45:V54" si="33">IF(T$12=0,0,T45/T$12)</f>
        <v>9.6282526368883712E-5</v>
      </c>
      <c r="W45" s="1"/>
      <c r="X45" s="1">
        <f t="shared" ref="X45:X54" si="34">+P45-T45</f>
        <v>-47.34</v>
      </c>
      <c r="Y45" s="1"/>
      <c r="Z45" s="5">
        <f t="shared" ref="Z45:Z54" si="35">IF(T45=0,0,X45/T45)</f>
        <v>-1</v>
      </c>
    </row>
    <row r="46" spans="1:26" s="23" customFormat="1" hidden="1" outlineLevel="2" x14ac:dyDescent="0.25">
      <c r="A46" s="25"/>
      <c r="B46" s="10" t="str">
        <f>CONCATENATE("          ", "6279", " - ", "GENERAL EXPENSE")</f>
        <v xml:space="preserve">          6279 - GENERAL EXPENSE</v>
      </c>
      <c r="C46" s="10"/>
      <c r="D46" s="6"/>
      <c r="E46" s="2"/>
      <c r="F46" s="7">
        <f t="shared" si="28"/>
        <v>0</v>
      </c>
      <c r="G46" s="2"/>
      <c r="H46" s="6"/>
      <c r="I46" s="2"/>
      <c r="J46" s="7">
        <f t="shared" si="29"/>
        <v>0</v>
      </c>
      <c r="K46" s="2"/>
      <c r="L46" s="6">
        <f t="shared" si="30"/>
        <v>0</v>
      </c>
      <c r="M46" s="2"/>
      <c r="N46" s="7">
        <f t="shared" si="31"/>
        <v>0</v>
      </c>
      <c r="O46" s="10"/>
      <c r="P46" s="6"/>
      <c r="Q46" s="2"/>
      <c r="R46" s="7">
        <f t="shared" si="32"/>
        <v>0</v>
      </c>
      <c r="S46" s="2"/>
      <c r="T46" s="6">
        <v>47.34</v>
      </c>
      <c r="U46" s="2"/>
      <c r="V46" s="7">
        <f t="shared" si="33"/>
        <v>9.6282526368883712E-5</v>
      </c>
      <c r="W46" s="2"/>
      <c r="X46" s="6">
        <f t="shared" si="34"/>
        <v>-47.34</v>
      </c>
      <c r="Y46" s="2"/>
      <c r="Z46" s="7">
        <f t="shared" si="35"/>
        <v>-1</v>
      </c>
    </row>
    <row r="47" spans="1:26" s="27" customFormat="1" outlineLevel="1" collapsed="1" x14ac:dyDescent="0.25">
      <c r="A47" s="26"/>
      <c r="B47" s="12" t="str">
        <f>CONCATENATE("     ","Insurance                                         ")</f>
        <v xml:space="preserve">     Insurance                                         </v>
      </c>
      <c r="C47" s="12"/>
      <c r="D47" s="1">
        <f>SUM(OSRRefD22_7x_0)</f>
        <v>62.28</v>
      </c>
      <c r="E47" s="1"/>
      <c r="F47" s="5">
        <f t="shared" si="28"/>
        <v>2.4936936936936936E-3</v>
      </c>
      <c r="G47" s="1"/>
      <c r="H47" s="1">
        <f>SUM(OSRRefH22_7x_0)</f>
        <v>29.01</v>
      </c>
      <c r="I47" s="1"/>
      <c r="J47" s="5">
        <f t="shared" si="29"/>
        <v>4.6506781236974574E-4</v>
      </c>
      <c r="K47" s="1"/>
      <c r="L47" s="1">
        <f t="shared" si="30"/>
        <v>33.269999999999996</v>
      </c>
      <c r="M47" s="1"/>
      <c r="N47" s="5">
        <f t="shared" si="31"/>
        <v>1.1468459152016544</v>
      </c>
      <c r="O47" s="12"/>
      <c r="P47" s="1">
        <f>SUM(OSRRefP22_7x_0)</f>
        <v>381.39</v>
      </c>
      <c r="Q47" s="1"/>
      <c r="R47" s="5">
        <f t="shared" si="32"/>
        <v>7.0346262457092999E-4</v>
      </c>
      <c r="S47" s="1"/>
      <c r="T47" s="1">
        <f>SUM(OSRRefT22_7x_0)</f>
        <v>348.12</v>
      </c>
      <c r="U47" s="1"/>
      <c r="V47" s="5">
        <f t="shared" si="33"/>
        <v>7.0802435740464291E-4</v>
      </c>
      <c r="W47" s="1"/>
      <c r="X47" s="1">
        <f t="shared" si="34"/>
        <v>33.269999999999982</v>
      </c>
      <c r="Y47" s="1"/>
      <c r="Z47" s="5">
        <f t="shared" si="35"/>
        <v>9.5570492933471168E-2</v>
      </c>
    </row>
    <row r="48" spans="1:26" s="23" customFormat="1" hidden="1" outlineLevel="2" x14ac:dyDescent="0.25">
      <c r="A48" s="25"/>
      <c r="B48" s="10" t="str">
        <f>CONCATENATE("          ", "6314", " - ", "LIABILITY INSURANCE")</f>
        <v xml:space="preserve">          6314 - LIABILITY INSURANCE</v>
      </c>
      <c r="C48" s="10"/>
      <c r="D48" s="6">
        <v>62.28</v>
      </c>
      <c r="E48" s="2"/>
      <c r="F48" s="7">
        <f t="shared" si="28"/>
        <v>2.4936936936936936E-3</v>
      </c>
      <c r="G48" s="2"/>
      <c r="H48" s="6">
        <v>29.01</v>
      </c>
      <c r="I48" s="2"/>
      <c r="J48" s="7">
        <f t="shared" si="29"/>
        <v>4.6506781236974574E-4</v>
      </c>
      <c r="K48" s="2"/>
      <c r="L48" s="6">
        <f t="shared" si="30"/>
        <v>33.269999999999996</v>
      </c>
      <c r="M48" s="2"/>
      <c r="N48" s="7">
        <f t="shared" si="31"/>
        <v>1.1468459152016544</v>
      </c>
      <c r="O48" s="10"/>
      <c r="P48" s="6">
        <v>381.39</v>
      </c>
      <c r="Q48" s="2"/>
      <c r="R48" s="7">
        <f t="shared" si="32"/>
        <v>7.0346262457092999E-4</v>
      </c>
      <c r="S48" s="2"/>
      <c r="T48" s="6">
        <v>348.12</v>
      </c>
      <c r="U48" s="2"/>
      <c r="V48" s="7">
        <f t="shared" si="33"/>
        <v>7.0802435740464291E-4</v>
      </c>
      <c r="W48" s="2"/>
      <c r="X48" s="6">
        <f t="shared" si="34"/>
        <v>33.269999999999982</v>
      </c>
      <c r="Y48" s="2"/>
      <c r="Z48" s="7">
        <f t="shared" si="35"/>
        <v>9.5570492933471168E-2</v>
      </c>
    </row>
    <row r="49" spans="1:26" s="27" customFormat="1" outlineLevel="1" collapsed="1" x14ac:dyDescent="0.25">
      <c r="A49" s="26"/>
      <c r="B49" s="12" t="str">
        <f>CONCATENATE("     ","Rent                                              ")</f>
        <v xml:space="preserve">     Rent                                              </v>
      </c>
      <c r="C49" s="12"/>
      <c r="D49" s="1">
        <f>SUM(OSRRefD22_8x_0)</f>
        <v>800</v>
      </c>
      <c r="E49" s="1"/>
      <c r="F49" s="5">
        <f t="shared" si="28"/>
        <v>3.2032032032032032E-2</v>
      </c>
      <c r="G49" s="1"/>
      <c r="H49" s="1">
        <f>SUM(OSRRefH22_8x_0)</f>
        <v>800</v>
      </c>
      <c r="I49" s="1"/>
      <c r="J49" s="5">
        <f t="shared" si="29"/>
        <v>1.282503446728013E-2</v>
      </c>
      <c r="K49" s="1"/>
      <c r="L49" s="1">
        <f t="shared" si="30"/>
        <v>0</v>
      </c>
      <c r="M49" s="1"/>
      <c r="N49" s="5">
        <f t="shared" si="31"/>
        <v>0</v>
      </c>
      <c r="O49" s="12"/>
      <c r="P49" s="1">
        <f>SUM(OSRRefP22_8x_0)</f>
        <v>9600</v>
      </c>
      <c r="Q49" s="1"/>
      <c r="R49" s="5">
        <f t="shared" si="32"/>
        <v>1.7706917317918479E-2</v>
      </c>
      <c r="S49" s="1"/>
      <c r="T49" s="1">
        <f>SUM(OSRRefT22_8x_0)</f>
        <v>8000</v>
      </c>
      <c r="U49" s="1"/>
      <c r="V49" s="5">
        <f t="shared" si="33"/>
        <v>1.6270811384686727E-2</v>
      </c>
      <c r="W49" s="1"/>
      <c r="X49" s="1">
        <f t="shared" si="34"/>
        <v>1600</v>
      </c>
      <c r="Y49" s="1"/>
      <c r="Z49" s="5">
        <f t="shared" si="35"/>
        <v>0.2</v>
      </c>
    </row>
    <row r="50" spans="1:26" s="23" customFormat="1" hidden="1" outlineLevel="2" x14ac:dyDescent="0.25">
      <c r="A50" s="25"/>
      <c r="B50" s="10" t="str">
        <f>CONCATENATE("          ", "6273", " - ", "RENT")</f>
        <v xml:space="preserve">          6273 - RENT</v>
      </c>
      <c r="C50" s="10"/>
      <c r="D50" s="6">
        <v>800</v>
      </c>
      <c r="E50" s="2"/>
      <c r="F50" s="7">
        <f t="shared" si="28"/>
        <v>3.2032032032032032E-2</v>
      </c>
      <c r="G50" s="2"/>
      <c r="H50" s="6">
        <v>800</v>
      </c>
      <c r="I50" s="2"/>
      <c r="J50" s="7">
        <f t="shared" si="29"/>
        <v>1.282503446728013E-2</v>
      </c>
      <c r="K50" s="2"/>
      <c r="L50" s="6">
        <f t="shared" si="30"/>
        <v>0</v>
      </c>
      <c r="M50" s="2"/>
      <c r="N50" s="7">
        <f t="shared" si="31"/>
        <v>0</v>
      </c>
      <c r="O50" s="10"/>
      <c r="P50" s="6">
        <v>9600</v>
      </c>
      <c r="Q50" s="2"/>
      <c r="R50" s="7">
        <f t="shared" si="32"/>
        <v>1.7706917317918479E-2</v>
      </c>
      <c r="S50" s="2"/>
      <c r="T50" s="6">
        <v>8000</v>
      </c>
      <c r="U50" s="2"/>
      <c r="V50" s="7">
        <f t="shared" si="33"/>
        <v>1.6270811384686727E-2</v>
      </c>
      <c r="W50" s="2"/>
      <c r="X50" s="6">
        <f t="shared" si="34"/>
        <v>1600</v>
      </c>
      <c r="Y50" s="2"/>
      <c r="Z50" s="7">
        <f t="shared" si="35"/>
        <v>0.2</v>
      </c>
    </row>
    <row r="51" spans="1:26" s="27" customFormat="1" outlineLevel="1" collapsed="1" x14ac:dyDescent="0.25">
      <c r="A51" s="26"/>
      <c r="B51" s="12" t="str">
        <f>CONCATENATE("     ","Repair and Maintenance                            ")</f>
        <v xml:space="preserve">     Repair and Maintenance                            </v>
      </c>
      <c r="C51" s="12"/>
      <c r="D51" s="1">
        <f>SUM(OSRRefD22_9x_0)</f>
        <v>0</v>
      </c>
      <c r="E51" s="1"/>
      <c r="F51" s="5">
        <f t="shared" si="28"/>
        <v>0</v>
      </c>
      <c r="G51" s="1"/>
      <c r="H51" s="1">
        <f>SUM(OSRRefH22_9x_0)</f>
        <v>682.35</v>
      </c>
      <c r="I51" s="1"/>
      <c r="J51" s="5">
        <f t="shared" si="29"/>
        <v>1.0938952835935748E-2</v>
      </c>
      <c r="K51" s="1"/>
      <c r="L51" s="1">
        <f t="shared" si="30"/>
        <v>-682.35</v>
      </c>
      <c r="M51" s="1"/>
      <c r="N51" s="5">
        <f t="shared" si="31"/>
        <v>-1</v>
      </c>
      <c r="O51" s="12"/>
      <c r="P51" s="1">
        <f>SUM(OSRRefP22_9x_0)</f>
        <v>154932.13</v>
      </c>
      <c r="Q51" s="1"/>
      <c r="R51" s="5">
        <f t="shared" si="32"/>
        <v>0.28576775164572887</v>
      </c>
      <c r="S51" s="1"/>
      <c r="T51" s="1">
        <f>SUM(OSRRefT22_9x_0)</f>
        <v>119203.11</v>
      </c>
      <c r="U51" s="1"/>
      <c r="V51" s="5">
        <f t="shared" si="33"/>
        <v>0.24244141490975801</v>
      </c>
      <c r="W51" s="1"/>
      <c r="X51" s="1">
        <f t="shared" si="34"/>
        <v>35729.020000000004</v>
      </c>
      <c r="Y51" s="1"/>
      <c r="Z51" s="5">
        <f t="shared" si="35"/>
        <v>0.29973228047489703</v>
      </c>
    </row>
    <row r="52" spans="1:26" s="23" customFormat="1" hidden="1" outlineLevel="2" x14ac:dyDescent="0.25">
      <c r="A52" s="25"/>
      <c r="B52" s="10" t="str">
        <f>CONCATENATE("          ", "6371", " - ", "COMPUTER SOFTWARE MAINTENANCE")</f>
        <v xml:space="preserve">          6371 - COMPUTER SOFTWARE MAINTENANCE</v>
      </c>
      <c r="C52" s="10"/>
      <c r="D52" s="6"/>
      <c r="E52" s="2"/>
      <c r="F52" s="7">
        <f t="shared" si="28"/>
        <v>0</v>
      </c>
      <c r="G52" s="2"/>
      <c r="H52" s="6"/>
      <c r="I52" s="2"/>
      <c r="J52" s="7">
        <f t="shared" si="29"/>
        <v>0</v>
      </c>
      <c r="K52" s="2"/>
      <c r="L52" s="6">
        <f t="shared" si="30"/>
        <v>0</v>
      </c>
      <c r="M52" s="2"/>
      <c r="N52" s="7">
        <f t="shared" si="31"/>
        <v>0</v>
      </c>
      <c r="O52" s="10"/>
      <c r="P52" s="6">
        <v>5436</v>
      </c>
      <c r="Q52" s="2"/>
      <c r="R52" s="7">
        <f t="shared" si="32"/>
        <v>1.0026541931271338E-2</v>
      </c>
      <c r="S52" s="2"/>
      <c r="T52" s="6">
        <v>437.31</v>
      </c>
      <c r="U52" s="2"/>
      <c r="V52" s="7">
        <f t="shared" si="33"/>
        <v>8.8942356582966901E-4</v>
      </c>
      <c r="W52" s="2"/>
      <c r="X52" s="6">
        <f t="shared" si="34"/>
        <v>4998.6899999999996</v>
      </c>
      <c r="Y52" s="2"/>
      <c r="Z52" s="7">
        <f t="shared" si="35"/>
        <v>11.430541263634492</v>
      </c>
    </row>
    <row r="53" spans="1:26" s="23" customFormat="1" hidden="1" outlineLevel="2" x14ac:dyDescent="0.25">
      <c r="A53" s="25"/>
      <c r="B53" s="10" t="str">
        <f>CONCATENATE("          ", "6373", " - ", "MAINTENANCE CONTRACTS")</f>
        <v xml:space="preserve">          6373 - MAINTENANCE CONTRACTS</v>
      </c>
      <c r="C53" s="10"/>
      <c r="D53" s="6"/>
      <c r="E53" s="2"/>
      <c r="F53" s="7">
        <f t="shared" si="28"/>
        <v>0</v>
      </c>
      <c r="G53" s="2"/>
      <c r="H53" s="6"/>
      <c r="I53" s="2"/>
      <c r="J53" s="7">
        <f t="shared" si="29"/>
        <v>0</v>
      </c>
      <c r="K53" s="2"/>
      <c r="L53" s="6">
        <f t="shared" si="30"/>
        <v>0</v>
      </c>
      <c r="M53" s="2"/>
      <c r="N53" s="7">
        <f t="shared" si="31"/>
        <v>0</v>
      </c>
      <c r="O53" s="10"/>
      <c r="P53" s="6">
        <v>142934.13</v>
      </c>
      <c r="Q53" s="2"/>
      <c r="R53" s="7">
        <f t="shared" si="32"/>
        <v>0.26363779393943865</v>
      </c>
      <c r="S53" s="2"/>
      <c r="T53" s="6">
        <v>117094</v>
      </c>
      <c r="U53" s="2"/>
      <c r="V53" s="7">
        <f t="shared" si="33"/>
        <v>0.23815179853481344</v>
      </c>
      <c r="W53" s="2"/>
      <c r="X53" s="6">
        <f t="shared" si="34"/>
        <v>25840.130000000005</v>
      </c>
      <c r="Y53" s="2"/>
      <c r="Z53" s="7">
        <f t="shared" si="35"/>
        <v>0.22067851469759342</v>
      </c>
    </row>
    <row r="54" spans="1:26" s="23" customFormat="1" hidden="1" outlineLevel="2" x14ac:dyDescent="0.25">
      <c r="A54" s="25"/>
      <c r="B54" s="10" t="str">
        <f>CONCATENATE("          ", "6375", " - ", "OUTSIDE REPAIRS &amp; MAINTENANCE")</f>
        <v xml:space="preserve">          6375 - OUTSIDE REPAIRS &amp; MAINTENANCE</v>
      </c>
      <c r="C54" s="10"/>
      <c r="D54" s="6"/>
      <c r="E54" s="2"/>
      <c r="F54" s="7">
        <f t="shared" si="28"/>
        <v>0</v>
      </c>
      <c r="G54" s="2"/>
      <c r="H54" s="6">
        <v>682.35</v>
      </c>
      <c r="I54" s="2"/>
      <c r="J54" s="7">
        <f t="shared" si="29"/>
        <v>1.0938952835935748E-2</v>
      </c>
      <c r="K54" s="2"/>
      <c r="L54" s="6">
        <f t="shared" si="30"/>
        <v>-682.35</v>
      </c>
      <c r="M54" s="2"/>
      <c r="N54" s="7">
        <f t="shared" si="31"/>
        <v>-1</v>
      </c>
      <c r="O54" s="10"/>
      <c r="P54" s="6">
        <v>6562</v>
      </c>
      <c r="Q54" s="2"/>
      <c r="R54" s="7">
        <f t="shared" si="32"/>
        <v>1.2103415775018859E-2</v>
      </c>
      <c r="S54" s="2"/>
      <c r="T54" s="6">
        <v>1671.8</v>
      </c>
      <c r="U54" s="2"/>
      <c r="V54" s="7">
        <f t="shared" si="33"/>
        <v>3.4001928091149086E-3</v>
      </c>
      <c r="W54" s="2"/>
      <c r="X54" s="6">
        <f t="shared" si="34"/>
        <v>4890.2</v>
      </c>
      <c r="Y54" s="2"/>
      <c r="Z54" s="7">
        <f t="shared" si="35"/>
        <v>2.9251106591697571</v>
      </c>
    </row>
    <row r="55" spans="1:26" s="27" customFormat="1" outlineLevel="1" collapsed="1" x14ac:dyDescent="0.25">
      <c r="A55" s="26"/>
      <c r="B55" s="12" t="str">
        <f>CONCATENATE("     ","Subscriptions &amp; Dues                              ")</f>
        <v xml:space="preserve">     Subscriptions &amp; Dues                              </v>
      </c>
      <c r="C55" s="12"/>
      <c r="D55" s="1">
        <f>SUM(OSRRefD22_10x_0)</f>
        <v>0</v>
      </c>
      <c r="E55" s="1"/>
      <c r="F55" s="5">
        <f t="shared" ref="F55:F60" si="36">IF(D$12=0,0,D55/D$12)</f>
        <v>0</v>
      </c>
      <c r="G55" s="1"/>
      <c r="H55" s="1">
        <f>SUM(OSRRefH22_10x_0)</f>
        <v>0</v>
      </c>
      <c r="I55" s="1"/>
      <c r="J55" s="5">
        <f t="shared" ref="J55:J60" si="37">IF(H$12=0,0,H55/H$12)</f>
        <v>0</v>
      </c>
      <c r="K55" s="1"/>
      <c r="L55" s="1">
        <f t="shared" ref="L55:L60" si="38">+D55-H55</f>
        <v>0</v>
      </c>
      <c r="M55" s="1"/>
      <c r="N55" s="5">
        <f t="shared" ref="N55:N60" si="39">IF(H55=0,0,L55/H55)</f>
        <v>0</v>
      </c>
      <c r="O55" s="12"/>
      <c r="P55" s="1">
        <f>SUM(OSRRefP22_10x_0)</f>
        <v>0</v>
      </c>
      <c r="Q55" s="1"/>
      <c r="R55" s="5">
        <f t="shared" ref="R55:R60" si="40">IF(P$12=0,0,P55/P$12)</f>
        <v>0</v>
      </c>
      <c r="S55" s="1"/>
      <c r="T55" s="1">
        <f>SUM(OSRRefT22_10x_0)</f>
        <v>1740</v>
      </c>
      <c r="U55" s="1"/>
      <c r="V55" s="5">
        <f t="shared" ref="V55:V60" si="41">IF(T$12=0,0,T55/T$12)</f>
        <v>3.5389014761693627E-3</v>
      </c>
      <c r="W55" s="1"/>
      <c r="X55" s="1">
        <f t="shared" ref="X55:X60" si="42">+P55-T55</f>
        <v>-1740</v>
      </c>
      <c r="Y55" s="1"/>
      <c r="Z55" s="5">
        <f t="shared" ref="Z55:Z60" si="43">IF(T55=0,0,X55/T55)</f>
        <v>-1</v>
      </c>
    </row>
    <row r="56" spans="1:26" s="23" customFormat="1" hidden="1" outlineLevel="2" x14ac:dyDescent="0.25">
      <c r="A56" s="25"/>
      <c r="B56" s="10" t="str">
        <f>CONCATENATE("          ", "6258", " - ", "MEMBERSHIP DUES")</f>
        <v xml:space="preserve">          6258 - MEMBERSHIP DUES</v>
      </c>
      <c r="C56" s="10"/>
      <c r="D56" s="6"/>
      <c r="E56" s="2"/>
      <c r="F56" s="7">
        <f t="shared" si="36"/>
        <v>0</v>
      </c>
      <c r="G56" s="2"/>
      <c r="H56" s="6"/>
      <c r="I56" s="2"/>
      <c r="J56" s="7">
        <f t="shared" si="37"/>
        <v>0</v>
      </c>
      <c r="K56" s="2"/>
      <c r="L56" s="6">
        <f t="shared" si="38"/>
        <v>0</v>
      </c>
      <c r="M56" s="2"/>
      <c r="N56" s="7">
        <f t="shared" si="39"/>
        <v>0</v>
      </c>
      <c r="O56" s="10"/>
      <c r="P56" s="6"/>
      <c r="Q56" s="2"/>
      <c r="R56" s="7">
        <f t="shared" si="40"/>
        <v>0</v>
      </c>
      <c r="S56" s="2"/>
      <c r="T56" s="6">
        <v>1740</v>
      </c>
      <c r="U56" s="2"/>
      <c r="V56" s="7">
        <f t="shared" si="41"/>
        <v>3.5389014761693627E-3</v>
      </c>
      <c r="W56" s="2"/>
      <c r="X56" s="6">
        <f t="shared" si="42"/>
        <v>-1740</v>
      </c>
      <c r="Y56" s="2"/>
      <c r="Z56" s="7">
        <f t="shared" si="43"/>
        <v>-1</v>
      </c>
    </row>
    <row r="57" spans="1:26" s="27" customFormat="1" outlineLevel="1" collapsed="1" x14ac:dyDescent="0.25">
      <c r="A57" s="26"/>
      <c r="B57" s="12" t="str">
        <f>CONCATENATE("     ","Supplies                                          ")</f>
        <v xml:space="preserve">     Supplies                                          </v>
      </c>
      <c r="C57" s="12"/>
      <c r="D57" s="1">
        <f>SUM(OSRRefD22_11x_0)</f>
        <v>4251.9399999999996</v>
      </c>
      <c r="E57" s="1"/>
      <c r="F57" s="5">
        <f t="shared" si="36"/>
        <v>0.17024784784784783</v>
      </c>
      <c r="G57" s="1"/>
      <c r="H57" s="1">
        <f>SUM(OSRRefH22_11x_0)</f>
        <v>39762.83</v>
      </c>
      <c r="I57" s="1"/>
      <c r="J57" s="5">
        <f t="shared" si="37"/>
        <v>0.63744958158325049</v>
      </c>
      <c r="K57" s="1"/>
      <c r="L57" s="1">
        <f t="shared" si="38"/>
        <v>-35510.89</v>
      </c>
      <c r="M57" s="1"/>
      <c r="N57" s="5">
        <f t="shared" si="39"/>
        <v>-0.89306747029826594</v>
      </c>
      <c r="O57" s="12"/>
      <c r="P57" s="1">
        <f>SUM(OSRRefP22_11x_0)</f>
        <v>53091.53</v>
      </c>
      <c r="Q57" s="1"/>
      <c r="R57" s="5">
        <f t="shared" si="40"/>
        <v>9.792576374914462E-2</v>
      </c>
      <c r="S57" s="1"/>
      <c r="T57" s="1">
        <f>SUM(OSRRefT22_11x_0)</f>
        <v>64725.189999999995</v>
      </c>
      <c r="U57" s="1"/>
      <c r="V57" s="5">
        <f t="shared" si="41"/>
        <v>0.13164141979100141</v>
      </c>
      <c r="W57" s="1"/>
      <c r="X57" s="1">
        <f t="shared" si="42"/>
        <v>-11633.659999999996</v>
      </c>
      <c r="Y57" s="1"/>
      <c r="Z57" s="5">
        <f t="shared" si="43"/>
        <v>-0.179739294701182</v>
      </c>
    </row>
    <row r="58" spans="1:26" s="23" customFormat="1" hidden="1" outlineLevel="2" x14ac:dyDescent="0.25">
      <c r="A58" s="25"/>
      <c r="B58" s="10" t="str">
        <f>CONCATENATE("          ", "6234", " - ", "EXPENDABLE SUPPLIES &amp; EQUIPMEN")</f>
        <v xml:space="preserve">          6234 - EXPENDABLE SUPPLIES &amp; EQUIPMEN</v>
      </c>
      <c r="C58" s="10"/>
      <c r="D58" s="6"/>
      <c r="E58" s="2"/>
      <c r="F58" s="7">
        <f t="shared" si="36"/>
        <v>0</v>
      </c>
      <c r="G58" s="2"/>
      <c r="H58" s="6"/>
      <c r="I58" s="2"/>
      <c r="J58" s="7">
        <f t="shared" si="37"/>
        <v>0</v>
      </c>
      <c r="K58" s="2"/>
      <c r="L58" s="6">
        <f t="shared" si="38"/>
        <v>0</v>
      </c>
      <c r="M58" s="2"/>
      <c r="N58" s="7">
        <f t="shared" si="39"/>
        <v>0</v>
      </c>
      <c r="O58" s="10"/>
      <c r="P58" s="6"/>
      <c r="Q58" s="2"/>
      <c r="R58" s="7">
        <f t="shared" si="40"/>
        <v>0</v>
      </c>
      <c r="S58" s="2"/>
      <c r="T58" s="6">
        <v>413.27</v>
      </c>
      <c r="U58" s="2"/>
      <c r="V58" s="7">
        <f t="shared" si="41"/>
        <v>8.4052977761868539E-4</v>
      </c>
      <c r="W58" s="2"/>
      <c r="X58" s="6">
        <f t="shared" si="42"/>
        <v>-413.27</v>
      </c>
      <c r="Y58" s="2"/>
      <c r="Z58" s="7">
        <f t="shared" si="43"/>
        <v>-1</v>
      </c>
    </row>
    <row r="59" spans="1:26" s="23" customFormat="1" hidden="1" outlineLevel="2" x14ac:dyDescent="0.25">
      <c r="A59" s="25"/>
      <c r="B59" s="10" t="str">
        <f>CONCATENATE("          ", "6241", " - ", "OFFICE EXPENSE")</f>
        <v xml:space="preserve">          6241 - OFFICE EXPENSE</v>
      </c>
      <c r="C59" s="10"/>
      <c r="D59" s="6">
        <v>4251.9399999999996</v>
      </c>
      <c r="E59" s="2"/>
      <c r="F59" s="7">
        <f t="shared" si="36"/>
        <v>0.17024784784784783</v>
      </c>
      <c r="G59" s="2"/>
      <c r="H59" s="6">
        <v>39762.83</v>
      </c>
      <c r="I59" s="2"/>
      <c r="J59" s="7">
        <f t="shared" si="37"/>
        <v>0.63744958158325049</v>
      </c>
      <c r="K59" s="2"/>
      <c r="L59" s="6">
        <f t="shared" si="38"/>
        <v>-35510.89</v>
      </c>
      <c r="M59" s="2"/>
      <c r="N59" s="7">
        <f t="shared" si="39"/>
        <v>-0.89306747029826594</v>
      </c>
      <c r="O59" s="10"/>
      <c r="P59" s="6">
        <v>53091.53</v>
      </c>
      <c r="Q59" s="2"/>
      <c r="R59" s="7">
        <f t="shared" si="40"/>
        <v>9.792576374914462E-2</v>
      </c>
      <c r="S59" s="2"/>
      <c r="T59" s="6">
        <v>64108.4</v>
      </c>
      <c r="U59" s="2"/>
      <c r="V59" s="7">
        <f t="shared" si="41"/>
        <v>0.13038696057175631</v>
      </c>
      <c r="W59" s="2"/>
      <c r="X59" s="6">
        <f t="shared" si="42"/>
        <v>-11016.870000000003</v>
      </c>
      <c r="Y59" s="2"/>
      <c r="Z59" s="7">
        <f t="shared" si="43"/>
        <v>-0.17184752700114186</v>
      </c>
    </row>
    <row r="60" spans="1:26" s="23" customFormat="1" hidden="1" outlineLevel="2" x14ac:dyDescent="0.25">
      <c r="A60" s="25"/>
      <c r="B60" s="10" t="str">
        <f>CONCATENATE("          ", "6245", " - ", "PRINTING")</f>
        <v xml:space="preserve">          6245 - PRINTING</v>
      </c>
      <c r="C60" s="10"/>
      <c r="D60" s="6"/>
      <c r="E60" s="2"/>
      <c r="F60" s="7">
        <f t="shared" si="36"/>
        <v>0</v>
      </c>
      <c r="G60" s="2"/>
      <c r="H60" s="6"/>
      <c r="I60" s="2"/>
      <c r="J60" s="7">
        <f t="shared" si="37"/>
        <v>0</v>
      </c>
      <c r="K60" s="2"/>
      <c r="L60" s="6">
        <f t="shared" si="38"/>
        <v>0</v>
      </c>
      <c r="M60" s="2"/>
      <c r="N60" s="7">
        <f t="shared" si="39"/>
        <v>0</v>
      </c>
      <c r="O60" s="10"/>
      <c r="P60" s="6"/>
      <c r="Q60" s="2"/>
      <c r="R60" s="7">
        <f t="shared" si="40"/>
        <v>0</v>
      </c>
      <c r="S60" s="2"/>
      <c r="T60" s="6">
        <v>203.52</v>
      </c>
      <c r="U60" s="2"/>
      <c r="V60" s="7">
        <f t="shared" si="41"/>
        <v>4.139294416264303E-4</v>
      </c>
      <c r="W60" s="2"/>
      <c r="X60" s="6">
        <f t="shared" si="42"/>
        <v>-203.52</v>
      </c>
      <c r="Y60" s="2"/>
      <c r="Z60" s="7">
        <f t="shared" si="43"/>
        <v>-1</v>
      </c>
    </row>
    <row r="61" spans="1:26" s="27" customFormat="1" outlineLevel="1" collapsed="1" x14ac:dyDescent="0.25">
      <c r="A61" s="26"/>
      <c r="B61" s="12" t="str">
        <f>CONCATENATE("     ","Telephone/Data Lines                              ")</f>
        <v xml:space="preserve">     Telephone/Data Lines                              </v>
      </c>
      <c r="C61" s="12"/>
      <c r="D61" s="1">
        <f>SUM(OSRRefD22_12x_0)</f>
        <v>86.65</v>
      </c>
      <c r="E61" s="1"/>
      <c r="F61" s="5">
        <f t="shared" ref="F61:F64" si="44">IF(D$12=0,0,D61/D$12)</f>
        <v>3.4694694694694696E-3</v>
      </c>
      <c r="G61" s="1"/>
      <c r="H61" s="1">
        <f>SUM(OSRRefH22_12x_0)</f>
        <v>-16.89</v>
      </c>
      <c r="I61" s="1"/>
      <c r="J61" s="5">
        <f t="shared" ref="J61:J64" si="45">IF(H$12=0,0,H61/H$12)</f>
        <v>-2.7076854019045178E-4</v>
      </c>
      <c r="K61" s="1"/>
      <c r="L61" s="1">
        <f t="shared" ref="L61:L64" si="46">+D61-H61</f>
        <v>103.54</v>
      </c>
      <c r="M61" s="1"/>
      <c r="N61" s="5">
        <f t="shared" ref="N61:N64" si="47">IF(H61=0,0,L61/H61)</f>
        <v>-6.1302545885139139</v>
      </c>
      <c r="O61" s="12"/>
      <c r="P61" s="1">
        <f>SUM(OSRRefP22_12x_0)</f>
        <v>1973.38</v>
      </c>
      <c r="Q61" s="1"/>
      <c r="R61" s="5">
        <f t="shared" ref="R61:R64" si="48">IF(P$12=0,0,P61/P$12)</f>
        <v>3.6398413017535384E-3</v>
      </c>
      <c r="S61" s="1"/>
      <c r="T61" s="1">
        <f>SUM(OSRRefT22_12x_0)</f>
        <v>2080.66</v>
      </c>
      <c r="U61" s="1"/>
      <c r="V61" s="5">
        <f t="shared" ref="V61:V64" si="49">IF(T$12=0,0,T61/T$12)</f>
        <v>4.2317533019577847E-3</v>
      </c>
      <c r="W61" s="1"/>
      <c r="X61" s="1">
        <f t="shared" ref="X61:X64" si="50">+P61-T61</f>
        <v>-107.27999999999975</v>
      </c>
      <c r="Y61" s="1"/>
      <c r="Z61" s="5">
        <f t="shared" ref="Z61:Z64" si="51">IF(T61=0,0,X61/T61)</f>
        <v>-5.1560562513817611E-2</v>
      </c>
    </row>
    <row r="62" spans="1:26" s="23" customFormat="1" hidden="1" outlineLevel="2" x14ac:dyDescent="0.25">
      <c r="A62" s="25"/>
      <c r="B62" s="10" t="str">
        <f>CONCATENATE("          ", "6309", " - ", "TELEPHONE")</f>
        <v xml:space="preserve">          6309 - TELEPHONE</v>
      </c>
      <c r="C62" s="10"/>
      <c r="D62" s="6">
        <v>86.65</v>
      </c>
      <c r="E62" s="2"/>
      <c r="F62" s="7">
        <f t="shared" si="44"/>
        <v>3.4694694694694696E-3</v>
      </c>
      <c r="G62" s="2"/>
      <c r="H62" s="6">
        <v>-16.89</v>
      </c>
      <c r="I62" s="2"/>
      <c r="J62" s="7">
        <f t="shared" si="45"/>
        <v>-2.7076854019045178E-4</v>
      </c>
      <c r="K62" s="2"/>
      <c r="L62" s="6">
        <f t="shared" si="46"/>
        <v>103.54</v>
      </c>
      <c r="M62" s="2"/>
      <c r="N62" s="7">
        <f t="shared" si="47"/>
        <v>-6.1302545885139139</v>
      </c>
      <c r="O62" s="10"/>
      <c r="P62" s="6">
        <v>1973.38</v>
      </c>
      <c r="Q62" s="2"/>
      <c r="R62" s="7">
        <f t="shared" si="48"/>
        <v>3.6398413017535384E-3</v>
      </c>
      <c r="S62" s="2"/>
      <c r="T62" s="6">
        <v>2080.66</v>
      </c>
      <c r="U62" s="2"/>
      <c r="V62" s="7">
        <f t="shared" si="49"/>
        <v>4.2317533019577847E-3</v>
      </c>
      <c r="W62" s="2"/>
      <c r="X62" s="6">
        <f t="shared" si="50"/>
        <v>-107.27999999999975</v>
      </c>
      <c r="Y62" s="2"/>
      <c r="Z62" s="7">
        <f t="shared" si="51"/>
        <v>-5.1560562513817611E-2</v>
      </c>
    </row>
    <row r="63" spans="1:26" s="27" customFormat="1" outlineLevel="1" collapsed="1" x14ac:dyDescent="0.25">
      <c r="A63" s="26"/>
      <c r="B63" s="12" t="str">
        <f>CONCATENATE("     ","Training                                          ")</f>
        <v xml:space="preserve">     Training                                          </v>
      </c>
      <c r="C63" s="12"/>
      <c r="D63" s="1">
        <f>SUM(OSRRefD22_13x_0)</f>
        <v>0</v>
      </c>
      <c r="E63" s="1"/>
      <c r="F63" s="5">
        <f t="shared" si="44"/>
        <v>0</v>
      </c>
      <c r="G63" s="1"/>
      <c r="H63" s="1">
        <f>SUM(OSRRefH22_13x_0)</f>
        <v>0</v>
      </c>
      <c r="I63" s="1"/>
      <c r="J63" s="5">
        <f t="shared" si="45"/>
        <v>0</v>
      </c>
      <c r="K63" s="1"/>
      <c r="L63" s="1">
        <f t="shared" si="46"/>
        <v>0</v>
      </c>
      <c r="M63" s="1"/>
      <c r="N63" s="5">
        <f t="shared" si="47"/>
        <v>0</v>
      </c>
      <c r="O63" s="12"/>
      <c r="P63" s="1">
        <f>SUM(OSRRefP22_13x_0)</f>
        <v>0</v>
      </c>
      <c r="Q63" s="1"/>
      <c r="R63" s="5">
        <f t="shared" si="48"/>
        <v>0</v>
      </c>
      <c r="S63" s="1"/>
      <c r="T63" s="1">
        <f>SUM(OSRRefT22_13x_0)</f>
        <v>3186.24</v>
      </c>
      <c r="U63" s="1"/>
      <c r="V63" s="5">
        <f t="shared" si="49"/>
        <v>6.4803387582930286E-3</v>
      </c>
      <c r="W63" s="1"/>
      <c r="X63" s="1">
        <f t="shared" si="50"/>
        <v>-3186.24</v>
      </c>
      <c r="Y63" s="1"/>
      <c r="Z63" s="5">
        <f t="shared" si="51"/>
        <v>-1</v>
      </c>
    </row>
    <row r="64" spans="1:26" s="23" customFormat="1" hidden="1" outlineLevel="2" x14ac:dyDescent="0.25">
      <c r="A64" s="25"/>
      <c r="B64" s="10" t="str">
        <f>CONCATENATE("          ", "6376", " - ", "TRAINING")</f>
        <v xml:space="preserve">          6376 - TRAINING</v>
      </c>
      <c r="C64" s="10"/>
      <c r="D64" s="6"/>
      <c r="E64" s="2"/>
      <c r="F64" s="7">
        <f t="shared" si="44"/>
        <v>0</v>
      </c>
      <c r="G64" s="2"/>
      <c r="H64" s="6"/>
      <c r="I64" s="2"/>
      <c r="J64" s="7">
        <f t="shared" si="45"/>
        <v>0</v>
      </c>
      <c r="K64" s="2"/>
      <c r="L64" s="6">
        <f t="shared" si="46"/>
        <v>0</v>
      </c>
      <c r="M64" s="2"/>
      <c r="N64" s="7">
        <f t="shared" si="47"/>
        <v>0</v>
      </c>
      <c r="O64" s="10"/>
      <c r="P64" s="6"/>
      <c r="Q64" s="2"/>
      <c r="R64" s="7">
        <f t="shared" si="48"/>
        <v>0</v>
      </c>
      <c r="S64" s="2"/>
      <c r="T64" s="6">
        <v>3186.24</v>
      </c>
      <c r="U64" s="2"/>
      <c r="V64" s="7">
        <f t="shared" si="49"/>
        <v>6.4803387582930286E-3</v>
      </c>
      <c r="W64" s="2"/>
      <c r="X64" s="6">
        <f t="shared" si="50"/>
        <v>-3186.24</v>
      </c>
      <c r="Y64" s="2"/>
      <c r="Z64" s="7">
        <f t="shared" si="51"/>
        <v>-1</v>
      </c>
    </row>
    <row r="65" spans="1:26" s="52" customFormat="1" x14ac:dyDescent="0.25">
      <c r="A65" s="37"/>
      <c r="B65" s="37"/>
      <c r="C65" s="37"/>
      <c r="D65" s="1"/>
      <c r="E65" s="1"/>
      <c r="F65" s="5"/>
      <c r="G65" s="1"/>
      <c r="H65" s="1"/>
      <c r="I65" s="1"/>
      <c r="J65" s="5"/>
      <c r="K65" s="1"/>
      <c r="L65" s="1"/>
      <c r="M65" s="1"/>
      <c r="N65" s="5"/>
      <c r="O65" s="37"/>
      <c r="P65" s="1"/>
      <c r="Q65" s="1"/>
      <c r="R65" s="5"/>
      <c r="S65" s="1"/>
      <c r="T65" s="1"/>
      <c r="U65" s="1"/>
      <c r="V65" s="5"/>
      <c r="W65" s="1"/>
      <c r="X65" s="1"/>
      <c r="Y65" s="1"/>
      <c r="Z65" s="5"/>
    </row>
    <row r="66" spans="1:26" s="24" customFormat="1" collapsed="1" x14ac:dyDescent="0.25">
      <c r="A66" s="11"/>
      <c r="B66" s="29" t="s">
        <v>292</v>
      </c>
      <c r="C66" s="11"/>
      <c r="D66" s="4">
        <f>SUM(OSRRefD25x_0)</f>
        <v>2753.29</v>
      </c>
      <c r="E66" s="4"/>
      <c r="F66" s="13">
        <f t="shared" ref="F66:F67" si="52">IF(D$12=0,0,D66/D$12)</f>
        <v>0.11024184184184184</v>
      </c>
      <c r="G66" s="4"/>
      <c r="H66" s="4">
        <f>SUM(OSRRefH25x_0)</f>
        <v>0.04</v>
      </c>
      <c r="I66" s="4"/>
      <c r="J66" s="13">
        <f t="shared" ref="J66:J67" si="53">IF(H$12=0,0,H66/H$12)</f>
        <v>6.4125172336400659E-7</v>
      </c>
      <c r="K66" s="4"/>
      <c r="L66" s="4">
        <f t="shared" ref="L66:L67" si="54">+D66-H66</f>
        <v>2753.25</v>
      </c>
      <c r="M66" s="4"/>
      <c r="N66" s="13">
        <f t="shared" ref="N66:N67" si="55">IF(H66=0,0,L66/H66)</f>
        <v>68831.25</v>
      </c>
      <c r="O66" s="11"/>
      <c r="P66" s="4">
        <f>SUM(OSRRefP25x_0)</f>
        <v>5251.64</v>
      </c>
      <c r="Q66" s="4"/>
      <c r="R66" s="13">
        <f t="shared" ref="R66:R67" si="56">IF(P$12=0,0,P66/P$12)</f>
        <v>9.6864953399451465E-3</v>
      </c>
      <c r="S66" s="4"/>
      <c r="T66" s="4">
        <f>SUM(OSRRefT25x_0)</f>
        <v>20670.75</v>
      </c>
      <c r="U66" s="4"/>
      <c r="V66" s="13">
        <f t="shared" ref="V66:V67" si="57">IF(T$12=0,0,T66/T$12)</f>
        <v>4.2041234303751646E-2</v>
      </c>
      <c r="W66" s="4"/>
      <c r="X66" s="4">
        <f t="shared" ref="X66:X67" si="58">+P66-T66</f>
        <v>-15419.11</v>
      </c>
      <c r="Y66" s="4"/>
      <c r="Z66" s="13">
        <f t="shared" ref="Z66:Z67" si="59">IF(T66=0,0,X66/T66)</f>
        <v>-0.74593858471511676</v>
      </c>
    </row>
    <row r="67" spans="1:26" s="23" customFormat="1" hidden="1" outlineLevel="1" x14ac:dyDescent="0.25">
      <c r="A67" s="44"/>
      <c r="B67" s="10" t="str">
        <f>CONCATENATE("          ", "9150", " - ", "MISC. INCOME")</f>
        <v xml:space="preserve">          9150 - MISC. INCOME</v>
      </c>
      <c r="C67" s="10"/>
      <c r="D67" s="2">
        <f>--2753.29</f>
        <v>2753.29</v>
      </c>
      <c r="E67" s="2"/>
      <c r="F67" s="19">
        <f t="shared" si="52"/>
        <v>0.11024184184184184</v>
      </c>
      <c r="G67" s="2"/>
      <c r="H67" s="2">
        <f>--0.04</f>
        <v>0.04</v>
      </c>
      <c r="I67" s="2"/>
      <c r="J67" s="19">
        <f t="shared" si="53"/>
        <v>6.4125172336400659E-7</v>
      </c>
      <c r="K67" s="2"/>
      <c r="L67" s="2">
        <f t="shared" si="54"/>
        <v>2753.25</v>
      </c>
      <c r="M67" s="2"/>
      <c r="N67" s="19">
        <f t="shared" si="55"/>
        <v>68831.25</v>
      </c>
      <c r="O67" s="10"/>
      <c r="P67" s="2">
        <f>--5251.64</f>
        <v>5251.64</v>
      </c>
      <c r="Q67" s="2"/>
      <c r="R67" s="19">
        <f t="shared" si="56"/>
        <v>9.6864953399451465E-3</v>
      </c>
      <c r="S67" s="2"/>
      <c r="T67" s="2">
        <f>--20670.75</f>
        <v>20670.75</v>
      </c>
      <c r="U67" s="2"/>
      <c r="V67" s="19">
        <f t="shared" si="57"/>
        <v>4.2041234303751646E-2</v>
      </c>
      <c r="W67" s="2"/>
      <c r="X67" s="2">
        <f t="shared" si="58"/>
        <v>-15419.11</v>
      </c>
      <c r="Y67" s="2"/>
      <c r="Z67" s="19">
        <f t="shared" si="59"/>
        <v>-0.74593858471511676</v>
      </c>
    </row>
    <row r="68" spans="1:26" x14ac:dyDescent="0.25">
      <c r="A68" s="9"/>
      <c r="B68" s="11"/>
      <c r="C68" s="11"/>
      <c r="D68" s="3"/>
      <c r="E68" s="3"/>
      <c r="F68" s="8"/>
      <c r="G68" s="3"/>
      <c r="H68" s="3"/>
      <c r="I68" s="3"/>
      <c r="J68" s="8"/>
      <c r="K68" s="3"/>
      <c r="L68" s="3"/>
      <c r="M68" s="3"/>
      <c r="N68" s="8"/>
      <c r="O68" s="11"/>
      <c r="P68" s="3"/>
      <c r="Q68" s="3"/>
      <c r="R68" s="8"/>
      <c r="S68" s="3"/>
      <c r="T68" s="3"/>
      <c r="U68" s="3"/>
      <c r="V68" s="8"/>
      <c r="W68" s="3"/>
      <c r="X68" s="3"/>
      <c r="Y68" s="3"/>
      <c r="Z68" s="8"/>
    </row>
    <row r="69" spans="1:26" s="24" customFormat="1" x14ac:dyDescent="0.25">
      <c r="A69" s="11"/>
      <c r="B69" s="28" t="s">
        <v>276</v>
      </c>
      <c r="C69" s="28"/>
      <c r="D69" s="21">
        <f>+D17-D19+D66</f>
        <v>10578.43</v>
      </c>
      <c r="E69" s="14"/>
      <c r="F69" s="22">
        <f>IF(D$12=0,0,D69/D$12)</f>
        <v>0.42356076076076077</v>
      </c>
      <c r="G69" s="14"/>
      <c r="H69" s="21">
        <f>+H17-H19+H66</f>
        <v>4865.7999999999947</v>
      </c>
      <c r="I69" s="14"/>
      <c r="J69" s="22">
        <f>IF(H$12=0,0,H69/H$12)</f>
        <v>7.8005065888614486E-2</v>
      </c>
      <c r="K69" s="15"/>
      <c r="L69" s="21">
        <f>+D69-H69</f>
        <v>5712.6300000000056</v>
      </c>
      <c r="M69" s="15"/>
      <c r="N69" s="22">
        <f>IF(H69=0,0,L69/H69)</f>
        <v>1.1740371573019877</v>
      </c>
      <c r="O69" s="29"/>
      <c r="P69" s="21">
        <f>+P17-P19+P66</f>
        <v>110484.68999999993</v>
      </c>
      <c r="Q69" s="14"/>
      <c r="R69" s="22">
        <f>IF(P$12=0,0,P69/P$12)</f>
        <v>0.20378575736727639</v>
      </c>
      <c r="S69" s="14"/>
      <c r="T69" s="21">
        <f>+T17-T19+T66</f>
        <v>50838.01999999996</v>
      </c>
      <c r="U69" s="14"/>
      <c r="V69" s="22">
        <f>IF(T$12=0,0,T69/T$12)</f>
        <v>0.10339697932386635</v>
      </c>
      <c r="W69" s="15"/>
      <c r="X69" s="21">
        <f>+P69-T69</f>
        <v>59646.669999999969</v>
      </c>
      <c r="Y69" s="15"/>
      <c r="Z69" s="22">
        <f>IF(T69=0,0,X69/T69)</f>
        <v>1.1732689432043186</v>
      </c>
    </row>
    <row r="70" spans="1:26" x14ac:dyDescent="0.25">
      <c r="A70" s="9"/>
      <c r="B70" s="11"/>
      <c r="C70" s="9"/>
      <c r="D70" s="3"/>
      <c r="E70" s="3"/>
      <c r="F70" s="8"/>
      <c r="G70" s="3"/>
      <c r="H70" s="3"/>
      <c r="I70" s="3"/>
      <c r="J70" s="8"/>
      <c r="K70" s="3"/>
      <c r="L70" s="3"/>
      <c r="M70" s="3"/>
      <c r="N70" s="8"/>
      <c r="P70" s="3"/>
      <c r="Q70" s="3"/>
      <c r="R70" s="8"/>
      <c r="S70" s="3"/>
      <c r="T70" s="3"/>
      <c r="U70" s="3"/>
      <c r="V70" s="8"/>
      <c r="W70" s="3"/>
      <c r="X70" s="3"/>
      <c r="Y70" s="3"/>
      <c r="Z70" s="8"/>
    </row>
    <row r="71" spans="1:26" s="24" customFormat="1" x14ac:dyDescent="0.25">
      <c r="A71" s="51"/>
      <c r="B71" s="11" t="s">
        <v>127</v>
      </c>
      <c r="C71" s="11"/>
      <c r="D71" s="4">
        <v>39549.519999999997</v>
      </c>
      <c r="E71" s="4"/>
      <c r="F71" s="13">
        <f>IF(D$12=0,0,D71/D$12)</f>
        <v>1.5835643643643642</v>
      </c>
      <c r="G71" s="4"/>
      <c r="H71" s="4">
        <v>23613.22</v>
      </c>
      <c r="I71" s="4"/>
      <c r="J71" s="13">
        <f>IF(H$12=0,0,H71/H$12)</f>
        <v>0.37855045047933567</v>
      </c>
      <c r="K71" s="4"/>
      <c r="L71" s="4">
        <f>+D71-H71</f>
        <v>15936.299999999996</v>
      </c>
      <c r="M71" s="4"/>
      <c r="N71" s="13">
        <f>IF(H71=0,0,L71/H71)</f>
        <v>0.67488889698228338</v>
      </c>
      <c r="O71" s="11"/>
      <c r="P71" s="4">
        <v>150067.26</v>
      </c>
      <c r="Q71" s="4"/>
      <c r="R71" s="13">
        <f>IF(P$12=0,0,P71/P$12)</f>
        <v>0.27679464218193489</v>
      </c>
      <c r="S71" s="4"/>
      <c r="T71" s="4">
        <v>74451.17</v>
      </c>
      <c r="U71" s="4"/>
      <c r="V71" s="13">
        <f>IF(T$12=0,0,T71/T$12)</f>
        <v>0.15142261805490584</v>
      </c>
      <c r="W71" s="4"/>
      <c r="X71" s="4">
        <f>+P71-T71</f>
        <v>75616.090000000011</v>
      </c>
      <c r="Y71" s="4"/>
      <c r="Z71" s="13">
        <f>IF(T71=0,0,X71/T71)</f>
        <v>1.0156467655243029</v>
      </c>
    </row>
    <row r="72" spans="1:26" x14ac:dyDescent="0.25">
      <c r="A72" s="9"/>
      <c r="B72" s="11"/>
      <c r="C72" s="11"/>
      <c r="D72" s="3"/>
      <c r="E72" s="3"/>
      <c r="F72" s="8"/>
      <c r="G72" s="3"/>
      <c r="H72" s="3"/>
      <c r="I72" s="3"/>
      <c r="J72" s="8"/>
      <c r="K72" s="3"/>
      <c r="L72" s="3"/>
      <c r="M72" s="3"/>
      <c r="N72" s="8"/>
      <c r="O72" s="11"/>
      <c r="P72" s="3"/>
      <c r="Q72" s="3"/>
      <c r="R72" s="8"/>
      <c r="S72" s="3"/>
      <c r="T72" s="3"/>
      <c r="U72" s="3"/>
      <c r="V72" s="8"/>
      <c r="W72" s="3"/>
      <c r="X72" s="3"/>
      <c r="Y72" s="3"/>
      <c r="Z72" s="8"/>
    </row>
    <row r="73" spans="1:26" s="24" customFormat="1" ht="15.75" thickBot="1" x14ac:dyDescent="0.3">
      <c r="A73" s="11"/>
      <c r="B73" s="28" t="s">
        <v>125</v>
      </c>
      <c r="C73" s="28"/>
      <c r="D73" s="34">
        <f>+D69-D71</f>
        <v>-28971.089999999997</v>
      </c>
      <c r="E73" s="14"/>
      <c r="F73" s="31">
        <f>IF(D$12=0,0,D73/D$12)</f>
        <v>-1.1600036036036034</v>
      </c>
      <c r="G73" s="14"/>
      <c r="H73" s="34">
        <f>+H69-H71</f>
        <v>-18747.420000000006</v>
      </c>
      <c r="I73" s="14"/>
      <c r="J73" s="31">
        <f>IF(H$12=0,0,H73/H$12)</f>
        <v>-0.30054538459072117</v>
      </c>
      <c r="K73" s="15"/>
      <c r="L73" s="34">
        <f>D73-H73</f>
        <v>-10223.669999999991</v>
      </c>
      <c r="M73" s="15"/>
      <c r="N73" s="31">
        <f>IF(H73=0,0,L73/H73)</f>
        <v>0.54533743843152749</v>
      </c>
      <c r="O73" s="29"/>
      <c r="P73" s="34">
        <f>+P69-P71</f>
        <v>-39582.57000000008</v>
      </c>
      <c r="Q73" s="14"/>
      <c r="R73" s="31">
        <f>IF(P$12=0,0,P73/P$12)</f>
        <v>-7.3008884814658517E-2</v>
      </c>
      <c r="S73" s="14"/>
      <c r="T73" s="34">
        <f>+T69-T71</f>
        <v>-23613.150000000038</v>
      </c>
      <c r="U73" s="14"/>
      <c r="V73" s="31">
        <f>IF(T$12=0,0,T73/T$12)</f>
        <v>-4.8025638731039495E-2</v>
      </c>
      <c r="W73" s="15"/>
      <c r="X73" s="34">
        <f>P73-T73</f>
        <v>-15969.420000000042</v>
      </c>
      <c r="Y73" s="15"/>
      <c r="Z73" s="31">
        <f>IF(T73=0,0,X73/T73)</f>
        <v>0.67629350594901638</v>
      </c>
    </row>
    <row r="74" spans="1:26" ht="15.75" thickTop="1" x14ac:dyDescent="0.25">
      <c r="A74" s="9"/>
      <c r="B74" s="9"/>
      <c r="C74" s="9"/>
      <c r="D74" s="3"/>
      <c r="E74" s="3"/>
      <c r="F74" s="8"/>
      <c r="G74" s="3"/>
      <c r="H74" s="3"/>
      <c r="I74" s="3"/>
      <c r="J74" s="8"/>
      <c r="K74" s="3"/>
      <c r="L74" s="3"/>
      <c r="M74" s="3"/>
      <c r="N74" s="8"/>
      <c r="P74" s="3"/>
      <c r="Q74" s="3"/>
      <c r="R74" s="8"/>
      <c r="S74" s="3"/>
      <c r="T74" s="3"/>
      <c r="U74" s="3"/>
      <c r="V74" s="8"/>
      <c r="W74" s="3"/>
      <c r="X74" s="3"/>
      <c r="Y74" s="3"/>
      <c r="Z74" s="8"/>
    </row>
    <row r="75" spans="1:26" x14ac:dyDescent="0.25">
      <c r="A75" s="9"/>
      <c r="B75" s="9"/>
      <c r="C75" s="9"/>
      <c r="D75" s="3"/>
      <c r="E75" s="3"/>
      <c r="F75" s="8"/>
      <c r="G75" s="3"/>
      <c r="H75" s="3"/>
      <c r="I75" s="3"/>
      <c r="J75" s="8"/>
      <c r="K75" s="3"/>
      <c r="L75" s="3"/>
      <c r="M75" s="3"/>
      <c r="N75" s="8"/>
      <c r="P75" s="3"/>
      <c r="Q75" s="3"/>
      <c r="R75" s="8"/>
      <c r="S75" s="3"/>
      <c r="T75" s="3"/>
      <c r="U75" s="3"/>
      <c r="V75" s="8"/>
      <c r="W75" s="3"/>
      <c r="X75" s="3"/>
      <c r="Y75" s="3"/>
      <c r="Z75" s="8"/>
    </row>
    <row r="76" spans="1:26" s="24" customFormat="1" ht="15.75" thickBot="1" x14ac:dyDescent="0.3">
      <c r="A76" s="11"/>
      <c r="B76" s="28" t="s">
        <v>293</v>
      </c>
      <c r="C76" s="28"/>
      <c r="D76" s="33">
        <f>SUM(D73:D75)</f>
        <v>-28971.089999999997</v>
      </c>
      <c r="E76" s="14"/>
      <c r="F76" s="35">
        <f>IF(D$12=0,0,D76/D$12)</f>
        <v>-1.1600036036036034</v>
      </c>
      <c r="G76" s="14"/>
      <c r="H76" s="33">
        <f>SUM(H73:H75)</f>
        <v>-18747.420000000006</v>
      </c>
      <c r="I76" s="14"/>
      <c r="J76" s="35">
        <f>IF(H$12=0,0,H76/H$12)</f>
        <v>-0.30054538459072117</v>
      </c>
      <c r="K76" s="15"/>
      <c r="L76" s="33">
        <f>+D76-H76</f>
        <v>-10223.669999999991</v>
      </c>
      <c r="M76" s="15"/>
      <c r="N76" s="35">
        <f>IF(H76=0,0,L76/H76)</f>
        <v>0.54533743843152749</v>
      </c>
      <c r="O76" s="29"/>
      <c r="P76" s="33">
        <f>SUM(P73:P75)</f>
        <v>-39582.57000000008</v>
      </c>
      <c r="Q76" s="14"/>
      <c r="R76" s="35">
        <f>IF(P$12=0,0,P76/P$12)</f>
        <v>-7.3008884814658517E-2</v>
      </c>
      <c r="S76" s="14"/>
      <c r="T76" s="33">
        <f>SUM(T73:T75)</f>
        <v>-23613.150000000038</v>
      </c>
      <c r="U76" s="14"/>
      <c r="V76" s="35">
        <f>IF(T$12=0,0,T76/T$12)</f>
        <v>-4.8025638731039495E-2</v>
      </c>
      <c r="W76" s="15"/>
      <c r="X76" s="33">
        <f>+P76-T76</f>
        <v>-15969.420000000042</v>
      </c>
      <c r="Y76" s="15"/>
      <c r="Z76" s="35">
        <f>IF(T76=0,0,X76/T76)</f>
        <v>0.67629350594901638</v>
      </c>
    </row>
    <row r="77" spans="1:26" ht="15.75" thickTop="1" x14ac:dyDescent="0.25">
      <c r="A77" s="9"/>
      <c r="C77" s="9"/>
      <c r="D77" s="18"/>
      <c r="E77" s="18"/>
      <c r="G77" s="18"/>
      <c r="H77" s="18"/>
      <c r="I77" s="18"/>
      <c r="J77" s="43"/>
      <c r="K77" s="18"/>
      <c r="L77" s="18"/>
      <c r="M77" s="18"/>
      <c r="P77" s="18"/>
      <c r="Q77" s="18"/>
      <c r="R77" s="43"/>
      <c r="S77" s="18"/>
      <c r="T77" s="18"/>
      <c r="U77" s="18"/>
      <c r="V77" s="43"/>
      <c r="W77" s="18"/>
      <c r="X77" s="18"/>
    </row>
    <row r="78" spans="1:26" x14ac:dyDescent="0.25">
      <c r="A78" s="9"/>
      <c r="B78" s="56">
        <v>44454.698519131947</v>
      </c>
      <c r="D78" s="18"/>
      <c r="E78" s="18"/>
      <c r="G78" s="18"/>
      <c r="H78" s="18"/>
      <c r="I78" s="18"/>
      <c r="J78" s="43"/>
      <c r="K78" s="18"/>
      <c r="L78" s="18"/>
      <c r="M78" s="18"/>
      <c r="P78" s="18"/>
      <c r="Q78" s="18"/>
      <c r="R78" s="43"/>
      <c r="S78" s="18"/>
      <c r="T78" s="18"/>
      <c r="U78" s="18"/>
      <c r="V78" s="43"/>
      <c r="W78" s="18"/>
      <c r="X78" s="18"/>
    </row>
    <row r="79" spans="1:26" x14ac:dyDescent="0.25">
      <c r="A79" s="9"/>
      <c r="B79" s="55" t="s">
        <v>56</v>
      </c>
      <c r="D79" s="18"/>
      <c r="E79" s="18"/>
      <c r="G79" s="18"/>
      <c r="H79" s="18"/>
      <c r="I79" s="18"/>
      <c r="J79" s="43"/>
      <c r="K79" s="18"/>
      <c r="L79" s="18"/>
      <c r="M79" s="18"/>
      <c r="P79" s="18"/>
      <c r="Q79" s="18"/>
      <c r="R79" s="43"/>
      <c r="S79" s="18"/>
      <c r="T79" s="18"/>
      <c r="U79" s="18"/>
      <c r="V79" s="43"/>
      <c r="W79" s="18"/>
      <c r="X79" s="18"/>
    </row>
    <row r="80" spans="1:26" x14ac:dyDescent="0.25">
      <c r="A80" s="9"/>
      <c r="B80" s="60"/>
      <c r="D80" s="18"/>
      <c r="E80" s="18"/>
      <c r="G80" s="18"/>
      <c r="H80" s="18"/>
      <c r="I80" s="18"/>
      <c r="J80" s="43"/>
      <c r="K80" s="18"/>
      <c r="L80" s="18"/>
      <c r="M80" s="18"/>
      <c r="P80" s="18"/>
      <c r="Q80" s="18"/>
      <c r="R80" s="43"/>
      <c r="S80" s="18"/>
      <c r="T80" s="18"/>
      <c r="U80" s="18"/>
      <c r="V80" s="43"/>
      <c r="W80" s="18"/>
      <c r="X80" s="18"/>
    </row>
    <row r="81" spans="4:24" x14ac:dyDescent="0.25">
      <c r="D81" s="18"/>
      <c r="E81" s="18"/>
      <c r="G81" s="18"/>
      <c r="H81" s="18"/>
      <c r="I81" s="18"/>
      <c r="J81" s="43"/>
      <c r="K81" s="18"/>
      <c r="L81" s="18"/>
      <c r="M81" s="18"/>
      <c r="P81" s="18"/>
      <c r="Q81" s="18"/>
      <c r="R81" s="43"/>
      <c r="S81" s="18"/>
      <c r="T81" s="18"/>
      <c r="U81" s="18"/>
      <c r="V81" s="43"/>
      <c r="W81" s="18"/>
      <c r="X81" s="18"/>
    </row>
  </sheetData>
  <pageMargins left="0.25" right="0.25" top="0.75" bottom="0.75" header="0.3" footer="0.3"/>
  <pageSetup scale="55" fitToWidth="2" orientation="landscape"/>
  <drawing r:id="rId1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sheetPr>
    <tabColor rgb="FF92D050"/>
    <outlinePr summaryBelow="0" summaryRight="0"/>
  </sheetPr>
  <dimension ref="A2:Z8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62" t="s">
        <v>23</v>
      </c>
    </row>
    <row r="3" spans="1:26" x14ac:dyDescent="0.25">
      <c r="D3" s="62" t="s">
        <v>236</v>
      </c>
      <c r="E3" s="17"/>
      <c r="F3" s="46"/>
      <c r="G3" s="17"/>
      <c r="H3" s="17"/>
      <c r="I3" s="17"/>
      <c r="J3" s="38"/>
      <c r="K3" s="17"/>
      <c r="L3" s="17"/>
      <c r="M3" s="17"/>
      <c r="N3" s="46"/>
      <c r="O3" s="53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2" t="str">
        <f>CONCATENATE("Period ",RIGHT(202112,2),", ",2021)</f>
        <v>Period 12, 2021</v>
      </c>
      <c r="E4" s="17"/>
      <c r="F4" s="46"/>
      <c r="G4" s="17"/>
      <c r="H4" s="17"/>
      <c r="I4" s="17"/>
      <c r="J4" s="38"/>
      <c r="K4" s="17"/>
      <c r="L4" s="17"/>
      <c r="M4" s="17"/>
      <c r="N4" s="46"/>
      <c r="O4" s="53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4"/>
      <c r="D5" s="63">
        <v>44377</v>
      </c>
      <c r="E5" s="17"/>
      <c r="F5" s="46"/>
      <c r="G5" s="17"/>
      <c r="H5" s="17"/>
      <c r="I5" s="17"/>
      <c r="J5" s="38"/>
      <c r="K5" s="17"/>
      <c r="L5" s="17"/>
      <c r="M5" s="17"/>
      <c r="N5" s="46"/>
      <c r="O5" s="53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4"/>
      <c r="B6" s="48"/>
      <c r="C6" s="48"/>
      <c r="D6" s="24" t="str">
        <f>CONCATENATE("Department ","501", " - ", "ID Card Services")</f>
        <v>Department 501 - ID Card Services</v>
      </c>
      <c r="E6" s="17"/>
      <c r="F6" s="46"/>
      <c r="G6" s="17"/>
      <c r="H6" s="17"/>
      <c r="I6" s="17"/>
      <c r="J6" s="38"/>
      <c r="K6" s="17"/>
      <c r="L6" s="17"/>
      <c r="M6" s="17"/>
      <c r="N6" s="46"/>
      <c r="O6" s="54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9"/>
    </row>
    <row r="8" spans="1:26" x14ac:dyDescent="0.25">
      <c r="B8" s="59"/>
    </row>
    <row r="9" spans="1:26" x14ac:dyDescent="0.25">
      <c r="B9" s="9"/>
      <c r="C9" s="9"/>
      <c r="D9" s="16" t="s">
        <v>291</v>
      </c>
      <c r="E9" s="16"/>
      <c r="F9" s="39"/>
      <c r="G9" s="16"/>
      <c r="H9" s="16"/>
      <c r="I9" s="16"/>
      <c r="J9" s="49"/>
      <c r="K9" s="16"/>
      <c r="L9" s="16"/>
      <c r="M9" s="16"/>
      <c r="N9" s="39"/>
      <c r="P9" s="16" t="s">
        <v>39</v>
      </c>
      <c r="Q9" s="16"/>
      <c r="R9" s="39"/>
      <c r="S9" s="16"/>
      <c r="T9" s="16"/>
      <c r="U9" s="16"/>
      <c r="V9" s="49"/>
      <c r="W9" s="16"/>
      <c r="X9" s="16"/>
      <c r="Y9" s="16"/>
      <c r="Z9" s="39"/>
    </row>
    <row r="10" spans="1:26" x14ac:dyDescent="0.25">
      <c r="A10" s="11"/>
      <c r="B10" s="58"/>
      <c r="C10" s="11"/>
      <c r="D10" s="42" t="s">
        <v>57</v>
      </c>
      <c r="E10" s="36"/>
      <c r="F10" s="30" t="s">
        <v>40</v>
      </c>
      <c r="G10" s="36"/>
      <c r="H10" s="50" t="s">
        <v>237</v>
      </c>
      <c r="I10" s="36"/>
      <c r="J10" s="30" t="s">
        <v>40</v>
      </c>
      <c r="K10" s="11"/>
      <c r="L10" s="42" t="s">
        <v>126</v>
      </c>
      <c r="M10" s="11"/>
      <c r="N10" s="30" t="s">
        <v>257</v>
      </c>
      <c r="O10" s="11"/>
      <c r="P10" s="61" t="s">
        <v>57</v>
      </c>
      <c r="Q10" s="36"/>
      <c r="R10" s="30" t="s">
        <v>40</v>
      </c>
      <c r="S10" s="36"/>
      <c r="T10" s="50" t="s">
        <v>237</v>
      </c>
      <c r="U10" s="36"/>
      <c r="V10" s="30" t="s">
        <v>40</v>
      </c>
      <c r="W10" s="11"/>
      <c r="X10" s="42" t="s">
        <v>126</v>
      </c>
      <c r="Y10" s="11"/>
      <c r="Z10" s="30" t="s">
        <v>257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4" customFormat="1" collapsed="1" x14ac:dyDescent="0.25">
      <c r="A12" s="11"/>
      <c r="B12" s="29" t="s">
        <v>139</v>
      </c>
      <c r="C12" s="11"/>
      <c r="D12" s="4">
        <f>SUM(OSRRefD13x_0)</f>
        <v>24975</v>
      </c>
      <c r="E12" s="4"/>
      <c r="F12" s="13"/>
      <c r="G12" s="4"/>
      <c r="H12" s="4">
        <f>SUM(OSRRefH13x_0)</f>
        <v>62378</v>
      </c>
      <c r="I12" s="4"/>
      <c r="J12" s="13"/>
      <c r="K12" s="4"/>
      <c r="L12" s="4">
        <f t="shared" ref="L12:L13" si="0">+D12-H12</f>
        <v>-37403</v>
      </c>
      <c r="M12" s="4"/>
      <c r="N12" s="13">
        <f t="shared" ref="N12:N13" si="1">IF(H12=0,0,L12/H12)</f>
        <v>-0.59961845522459845</v>
      </c>
      <c r="O12" s="11"/>
      <c r="P12" s="4">
        <f>SUM(OSRRefP13x_0)</f>
        <v>542161</v>
      </c>
      <c r="Q12" s="4"/>
      <c r="R12" s="13"/>
      <c r="S12" s="4"/>
      <c r="T12" s="4">
        <f>SUM(OSRRefT13x_0)</f>
        <v>491678</v>
      </c>
      <c r="U12" s="4"/>
      <c r="V12" s="13"/>
      <c r="W12" s="4"/>
      <c r="X12" s="4">
        <f t="shared" ref="X12:X13" si="2">+P12-T12</f>
        <v>50483</v>
      </c>
      <c r="Y12" s="4"/>
      <c r="Z12" s="13">
        <f t="shared" ref="Z12:Z13" si="3">IF(T12=0,0,X12/T12)</f>
        <v>0.1026749213916425</v>
      </c>
    </row>
    <row r="13" spans="1:26" s="23" customFormat="1" hidden="1" outlineLevel="1" x14ac:dyDescent="0.25">
      <c r="A13" s="44"/>
      <c r="B13" s="10" t="str">
        <f>CONCATENATE("          ", "4100", " - ", "NON-TAXABLE SALES")</f>
        <v xml:space="preserve">          4100 - NON-TAXABLE SALES</v>
      </c>
      <c r="C13" s="10"/>
      <c r="D13" s="2">
        <f>--24975</f>
        <v>24975</v>
      </c>
      <c r="E13" s="2"/>
      <c r="F13" s="19"/>
      <c r="G13" s="2"/>
      <c r="H13" s="2">
        <f>--62378</f>
        <v>62378</v>
      </c>
      <c r="I13" s="2"/>
      <c r="J13" s="19"/>
      <c r="K13" s="2"/>
      <c r="L13" s="2">
        <f t="shared" si="0"/>
        <v>-37403</v>
      </c>
      <c r="M13" s="2"/>
      <c r="N13" s="19">
        <f t="shared" si="1"/>
        <v>-0.59961845522459845</v>
      </c>
      <c r="O13" s="10"/>
      <c r="P13" s="2">
        <f>--542161</f>
        <v>542161</v>
      </c>
      <c r="Q13" s="2"/>
      <c r="R13" s="19"/>
      <c r="S13" s="2"/>
      <c r="T13" s="2">
        <f>--491678</f>
        <v>491678</v>
      </c>
      <c r="U13" s="2"/>
      <c r="V13" s="19"/>
      <c r="W13" s="2"/>
      <c r="X13" s="2">
        <f t="shared" si="2"/>
        <v>50483</v>
      </c>
      <c r="Y13" s="2"/>
      <c r="Z13" s="19">
        <f t="shared" si="3"/>
        <v>0.1026749213916425</v>
      </c>
    </row>
    <row r="14" spans="1:26" x14ac:dyDescent="0.25">
      <c r="A14" s="9"/>
      <c r="B14" s="11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4" customFormat="1" x14ac:dyDescent="0.25">
      <c r="A15" s="11"/>
      <c r="B15" s="29" t="s">
        <v>256</v>
      </c>
      <c r="C15" s="11"/>
      <c r="D15" s="4">
        <f>SUM(0)</f>
        <v>0</v>
      </c>
      <c r="E15" s="4"/>
      <c r="F15" s="13">
        <f>IF(D$12=0,0,D15/D$12)</f>
        <v>0</v>
      </c>
      <c r="G15" s="4"/>
      <c r="H15" s="4">
        <f>SUM(0)</f>
        <v>0</v>
      </c>
      <c r="I15" s="4"/>
      <c r="J15" s="13">
        <f>IF(H$12=0,0,H15/H$12)</f>
        <v>0</v>
      </c>
      <c r="K15" s="4"/>
      <c r="L15" s="4">
        <f>+D15-H15</f>
        <v>0</v>
      </c>
      <c r="M15" s="4"/>
      <c r="N15" s="13">
        <f>IF(H15=0,0,L15/H15)</f>
        <v>0</v>
      </c>
      <c r="O15" s="11"/>
      <c r="P15" s="4">
        <f>SUM(0)</f>
        <v>0</v>
      </c>
      <c r="Q15" s="4"/>
      <c r="R15" s="13">
        <f>IF(P$12=0,0,P15/P$12)</f>
        <v>0</v>
      </c>
      <c r="S15" s="4"/>
      <c r="T15" s="4">
        <f>SUM(0)</f>
        <v>0</v>
      </c>
      <c r="U15" s="4"/>
      <c r="V15" s="13">
        <f>IF(T$12=0,0,T15/T$12)</f>
        <v>0</v>
      </c>
      <c r="W15" s="4"/>
      <c r="X15" s="4">
        <f>+P15-T15</f>
        <v>0</v>
      </c>
      <c r="Y15" s="4"/>
      <c r="Z15" s="13">
        <f>IF(T15=0,0,X15/T15)</f>
        <v>0</v>
      </c>
    </row>
    <row r="16" spans="1:26" x14ac:dyDescent="0.25">
      <c r="A16" s="9"/>
      <c r="B16" s="11"/>
      <c r="C16" s="11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O16" s="11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4" customFormat="1" x14ac:dyDescent="0.25">
      <c r="A17" s="11"/>
      <c r="B17" s="28" t="s">
        <v>107</v>
      </c>
      <c r="C17" s="28"/>
      <c r="D17" s="21">
        <f>D12-D15</f>
        <v>24975</v>
      </c>
      <c r="E17" s="14"/>
      <c r="F17" s="22">
        <f>IF(D$12=0,0,D17/D$12)</f>
        <v>1</v>
      </c>
      <c r="G17" s="14"/>
      <c r="H17" s="21">
        <f>H12-H15</f>
        <v>62378</v>
      </c>
      <c r="I17" s="14"/>
      <c r="J17" s="22">
        <f>IF(H$12=0,0,H17/H$12)</f>
        <v>1</v>
      </c>
      <c r="K17" s="15"/>
      <c r="L17" s="21">
        <f>+D17-H17</f>
        <v>-37403</v>
      </c>
      <c r="M17" s="15"/>
      <c r="N17" s="22">
        <f>IF(H17=0,0,L17/H17)</f>
        <v>-0.59961845522459845</v>
      </c>
      <c r="O17" s="29"/>
      <c r="P17" s="21">
        <f>P12-P15</f>
        <v>542161</v>
      </c>
      <c r="Q17" s="14"/>
      <c r="R17" s="22">
        <f>IF(P$12=0,0,P17/P$12)</f>
        <v>1</v>
      </c>
      <c r="S17" s="14"/>
      <c r="T17" s="21">
        <f>T12-T15</f>
        <v>491678</v>
      </c>
      <c r="U17" s="14"/>
      <c r="V17" s="22">
        <f>IF(T$12=0,0,T17/T$12)</f>
        <v>1</v>
      </c>
      <c r="W17" s="15"/>
      <c r="X17" s="21">
        <f>+P17-T17</f>
        <v>50483</v>
      </c>
      <c r="Y17" s="15"/>
      <c r="Z17" s="22">
        <f>IF(T17=0,0,X17/T17)</f>
        <v>0.1026749213916425</v>
      </c>
    </row>
    <row r="18" spans="1:26" x14ac:dyDescent="0.25">
      <c r="A18" s="9"/>
      <c r="B18" s="11"/>
      <c r="C18" s="9"/>
      <c r="D18" s="1"/>
      <c r="E18" s="1"/>
      <c r="F18" s="5"/>
      <c r="G18" s="1"/>
      <c r="H18" s="1"/>
      <c r="I18" s="1"/>
      <c r="J18" s="5"/>
      <c r="K18" s="1"/>
      <c r="L18" s="1"/>
      <c r="M18" s="1"/>
      <c r="N18" s="5"/>
      <c r="O18" s="37"/>
      <c r="P18" s="1"/>
      <c r="Q18" s="1"/>
      <c r="R18" s="5"/>
      <c r="S18" s="1"/>
      <c r="T18" s="1"/>
      <c r="U18" s="1"/>
      <c r="V18" s="5"/>
      <c r="W18" s="1"/>
      <c r="X18" s="1"/>
      <c r="Y18" s="1"/>
      <c r="Z18" s="5"/>
    </row>
    <row r="19" spans="1:26" s="24" customFormat="1" x14ac:dyDescent="0.25">
      <c r="A19" s="11"/>
      <c r="B19" s="29" t="s">
        <v>294</v>
      </c>
      <c r="C19" s="11"/>
      <c r="D19" s="20">
        <f>SUM(OSRRefD22x_0)</f>
        <v>17149.86</v>
      </c>
      <c r="E19" s="20"/>
      <c r="F19" s="32">
        <f t="shared" ref="F19:F29" si="4">IF(D$12=0,0,D19/D$12)</f>
        <v>0.68668108108108106</v>
      </c>
      <c r="G19" s="20"/>
      <c r="H19" s="20">
        <f>SUM(OSRRefH22x_0)</f>
        <v>57512.240000000005</v>
      </c>
      <c r="I19" s="20"/>
      <c r="J19" s="32">
        <f t="shared" ref="J19:J29" si="5">IF(H$12=0,0,H19/H$12)</f>
        <v>0.92199557536310883</v>
      </c>
      <c r="K19" s="4"/>
      <c r="L19" s="20">
        <f t="shared" ref="L19:L29" si="6">+D19-H19</f>
        <v>-40362.380000000005</v>
      </c>
      <c r="M19" s="4"/>
      <c r="N19" s="32">
        <f t="shared" ref="N19:N29" si="7">IF(H19=0,0,L19/H19)</f>
        <v>-0.70180504184848302</v>
      </c>
      <c r="O19" s="11"/>
      <c r="P19" s="20">
        <f>SUM(OSRRefP22x_0)</f>
        <v>436927.95000000007</v>
      </c>
      <c r="Q19" s="20"/>
      <c r="R19" s="32">
        <f t="shared" ref="R19:R29" si="8">IF(P$12=0,0,P19/P$12)</f>
        <v>0.80590073797266881</v>
      </c>
      <c r="S19" s="20"/>
      <c r="T19" s="20">
        <f>SUM(OSRRefT22x_0)</f>
        <v>461510.73000000004</v>
      </c>
      <c r="U19" s="20"/>
      <c r="V19" s="32">
        <f t="shared" ref="V19:V29" si="9">IF(T$12=0,0,T19/T$12)</f>
        <v>0.93864425497988524</v>
      </c>
      <c r="W19" s="4"/>
      <c r="X19" s="20">
        <f t="shared" ref="X19:X29" si="10">+P19-T19</f>
        <v>-24582.77999999997</v>
      </c>
      <c r="Y19" s="4"/>
      <c r="Z19" s="32">
        <f t="shared" ref="Z19:Z29" si="11">IF(T19=0,0,X19/T19)</f>
        <v>-5.3265890481029483E-2</v>
      </c>
    </row>
    <row r="20" spans="1:26" s="27" customFormat="1" outlineLevel="1" collapsed="1" x14ac:dyDescent="0.25">
      <c r="A20" s="26"/>
      <c r="B20" s="12" t="str">
        <f>CONCATENATE("     ","*Benefits                                         ")</f>
        <v xml:space="preserve">     *Benefits                                         </v>
      </c>
      <c r="C20" s="12"/>
      <c r="D20" s="1">
        <f>SUM(OSRRefD22_0x_0)</f>
        <v>5094.6000000000013</v>
      </c>
      <c r="E20" s="1"/>
      <c r="F20" s="5">
        <f t="shared" si="4"/>
        <v>0.20398798798798803</v>
      </c>
      <c r="G20" s="1"/>
      <c r="H20" s="1">
        <f>SUM(OSRRefH22_0x_0)</f>
        <v>3268.84</v>
      </c>
      <c r="I20" s="1"/>
      <c r="J20" s="5">
        <f t="shared" si="5"/>
        <v>5.2403732085029978E-2</v>
      </c>
      <c r="K20" s="1"/>
      <c r="L20" s="1">
        <f t="shared" si="6"/>
        <v>1825.7600000000011</v>
      </c>
      <c r="M20" s="1"/>
      <c r="N20" s="5">
        <f t="shared" si="7"/>
        <v>0.55853452600922682</v>
      </c>
      <c r="O20" s="12"/>
      <c r="P20" s="1">
        <f>SUM(OSRRefP22_0x_0)</f>
        <v>51863.28</v>
      </c>
      <c r="Q20" s="1"/>
      <c r="R20" s="5">
        <f t="shared" si="8"/>
        <v>9.5660292791255735E-2</v>
      </c>
      <c r="S20" s="1"/>
      <c r="T20" s="1">
        <f>SUM(OSRRefT22_0x_0)</f>
        <v>52039.48</v>
      </c>
      <c r="U20" s="1"/>
      <c r="V20" s="5">
        <f t="shared" si="9"/>
        <v>0.10584057045464715</v>
      </c>
      <c r="W20" s="1"/>
      <c r="X20" s="1">
        <f t="shared" si="10"/>
        <v>-176.20000000000437</v>
      </c>
      <c r="Y20" s="1"/>
      <c r="Z20" s="5">
        <f t="shared" si="11"/>
        <v>-3.3858908659349469E-3</v>
      </c>
    </row>
    <row r="21" spans="1:26" s="23" customFormat="1" hidden="1" outlineLevel="2" x14ac:dyDescent="0.25">
      <c r="A21" s="25"/>
      <c r="B21" s="10" t="str">
        <f>CONCATENATE("          ", "6111", " - ", "F.I.C.A.")</f>
        <v xml:space="preserve">          6111 - F.I.C.A.</v>
      </c>
      <c r="C21" s="10"/>
      <c r="D21" s="6">
        <v>984.04</v>
      </c>
      <c r="E21" s="2"/>
      <c r="F21" s="7">
        <f t="shared" si="4"/>
        <v>3.9401001001001003E-2</v>
      </c>
      <c r="G21" s="2"/>
      <c r="H21" s="6">
        <v>975.83</v>
      </c>
      <c r="I21" s="2"/>
      <c r="J21" s="7">
        <f t="shared" si="5"/>
        <v>1.5643816730257463E-2</v>
      </c>
      <c r="K21" s="2"/>
      <c r="L21" s="6">
        <f t="shared" si="6"/>
        <v>8.2099999999999227</v>
      </c>
      <c r="M21" s="2"/>
      <c r="N21" s="7">
        <f t="shared" si="7"/>
        <v>8.413350686082538E-3</v>
      </c>
      <c r="O21" s="10"/>
      <c r="P21" s="6">
        <v>12230.81</v>
      </c>
      <c r="Q21" s="2"/>
      <c r="R21" s="7">
        <f t="shared" si="8"/>
        <v>2.2559368895955261E-2</v>
      </c>
      <c r="S21" s="2"/>
      <c r="T21" s="6">
        <v>13042.21</v>
      </c>
      <c r="U21" s="2"/>
      <c r="V21" s="7">
        <f t="shared" si="9"/>
        <v>2.6525917368684381E-2</v>
      </c>
      <c r="W21" s="2"/>
      <c r="X21" s="6">
        <f t="shared" si="10"/>
        <v>-811.39999999999964</v>
      </c>
      <c r="Y21" s="2"/>
      <c r="Z21" s="7">
        <f t="shared" si="11"/>
        <v>-6.2213382547896386E-2</v>
      </c>
    </row>
    <row r="22" spans="1:26" s="23" customFormat="1" hidden="1" outlineLevel="2" x14ac:dyDescent="0.25">
      <c r="A22" s="25"/>
      <c r="B22" s="10" t="str">
        <f>CONCATENATE("          ", "6112", " - ", "COMPENSATION INSURANCE")</f>
        <v xml:space="preserve">          6112 - COMPENSATION INSURANCE</v>
      </c>
      <c r="C22" s="10"/>
      <c r="D22" s="6">
        <v>81.56</v>
      </c>
      <c r="E22" s="2"/>
      <c r="F22" s="7">
        <f t="shared" si="4"/>
        <v>3.2656656656656659E-3</v>
      </c>
      <c r="G22" s="2"/>
      <c r="H22" s="6">
        <v>78.95</v>
      </c>
      <c r="I22" s="2"/>
      <c r="J22" s="7">
        <f t="shared" si="5"/>
        <v>1.2656705889897079E-3</v>
      </c>
      <c r="K22" s="2"/>
      <c r="L22" s="6">
        <f t="shared" si="6"/>
        <v>2.6099999999999994</v>
      </c>
      <c r="M22" s="2"/>
      <c r="N22" s="7">
        <f t="shared" si="7"/>
        <v>3.30588980367321E-2</v>
      </c>
      <c r="O22" s="10"/>
      <c r="P22" s="6">
        <v>975.2</v>
      </c>
      <c r="Q22" s="2"/>
      <c r="R22" s="7">
        <f t="shared" si="8"/>
        <v>1.7987276842118855E-3</v>
      </c>
      <c r="S22" s="2"/>
      <c r="T22" s="6">
        <v>741.24</v>
      </c>
      <c r="U22" s="2"/>
      <c r="V22" s="7">
        <f t="shared" si="9"/>
        <v>1.5075720288481487E-3</v>
      </c>
      <c r="W22" s="2"/>
      <c r="X22" s="6">
        <f t="shared" si="10"/>
        <v>233.96000000000004</v>
      </c>
      <c r="Y22" s="2"/>
      <c r="Z22" s="7">
        <f t="shared" si="11"/>
        <v>0.3156332631806163</v>
      </c>
    </row>
    <row r="23" spans="1:26" s="23" customFormat="1" hidden="1" outlineLevel="2" x14ac:dyDescent="0.25">
      <c r="A23" s="25"/>
      <c r="B23" s="10" t="str">
        <f>CONCATENATE("          ", "6113", " - ", "GROUP INSURANCE")</f>
        <v xml:space="preserve">          6113 - GROUP INSURANCE</v>
      </c>
      <c r="C23" s="10"/>
      <c r="D23" s="6">
        <v>1207.95</v>
      </c>
      <c r="E23" s="2"/>
      <c r="F23" s="7">
        <f t="shared" si="4"/>
        <v>4.8366366366366369E-2</v>
      </c>
      <c r="G23" s="2"/>
      <c r="H23" s="6">
        <v>1285.8599999999999</v>
      </c>
      <c r="I23" s="2"/>
      <c r="J23" s="7">
        <f t="shared" si="5"/>
        <v>2.0613998525121035E-2</v>
      </c>
      <c r="K23" s="2"/>
      <c r="L23" s="6">
        <f t="shared" si="6"/>
        <v>-77.909999999999854</v>
      </c>
      <c r="M23" s="2"/>
      <c r="N23" s="7">
        <f t="shared" si="7"/>
        <v>-6.0589799822686655E-2</v>
      </c>
      <c r="O23" s="10"/>
      <c r="P23" s="6">
        <v>14650.7</v>
      </c>
      <c r="Q23" s="2"/>
      <c r="R23" s="7">
        <f t="shared" si="8"/>
        <v>2.7022784744752944E-2</v>
      </c>
      <c r="S23" s="2"/>
      <c r="T23" s="6">
        <v>15213.59</v>
      </c>
      <c r="U23" s="2"/>
      <c r="V23" s="7">
        <f t="shared" si="9"/>
        <v>3.0942181671744517E-2</v>
      </c>
      <c r="W23" s="2"/>
      <c r="X23" s="6">
        <f t="shared" si="10"/>
        <v>-562.88999999999942</v>
      </c>
      <c r="Y23" s="2"/>
      <c r="Z23" s="7">
        <f t="shared" si="11"/>
        <v>-3.6999156675051673E-2</v>
      </c>
    </row>
    <row r="24" spans="1:26" s="23" customFormat="1" hidden="1" outlineLevel="2" x14ac:dyDescent="0.25">
      <c r="A24" s="25"/>
      <c r="B24" s="10" t="str">
        <f>CONCATENATE("          ", "6114", " - ", "STATE UNEMPLOYMENT INSURANCE")</f>
        <v xml:space="preserve">          6114 - STATE UNEMPLOYMENT INSURANCE</v>
      </c>
      <c r="C24" s="10"/>
      <c r="D24" s="6">
        <v>33.54</v>
      </c>
      <c r="E24" s="2"/>
      <c r="F24" s="7">
        <f t="shared" si="4"/>
        <v>1.3429429429429429E-3</v>
      </c>
      <c r="G24" s="2"/>
      <c r="H24" s="6">
        <v>-495.12</v>
      </c>
      <c r="I24" s="2"/>
      <c r="J24" s="7">
        <f t="shared" si="5"/>
        <v>-7.9374138317996733E-3</v>
      </c>
      <c r="K24" s="2"/>
      <c r="L24" s="6">
        <f t="shared" si="6"/>
        <v>528.66</v>
      </c>
      <c r="M24" s="2"/>
      <c r="N24" s="7">
        <f t="shared" si="7"/>
        <v>-1.0677411536597188</v>
      </c>
      <c r="O24" s="10"/>
      <c r="P24" s="6">
        <v>437.82</v>
      </c>
      <c r="Q24" s="2"/>
      <c r="R24" s="7">
        <f t="shared" si="8"/>
        <v>8.0754609793031958E-4</v>
      </c>
      <c r="S24" s="2"/>
      <c r="T24" s="6">
        <v>0</v>
      </c>
      <c r="U24" s="2"/>
      <c r="V24" s="7">
        <f t="shared" si="9"/>
        <v>0</v>
      </c>
      <c r="W24" s="2"/>
      <c r="X24" s="6">
        <f t="shared" si="10"/>
        <v>437.82</v>
      </c>
      <c r="Y24" s="2"/>
      <c r="Z24" s="7">
        <f t="shared" si="11"/>
        <v>0</v>
      </c>
    </row>
    <row r="25" spans="1:26" s="23" customFormat="1" hidden="1" outlineLevel="2" x14ac:dyDescent="0.25">
      <c r="A25" s="25"/>
      <c r="B25" s="10" t="str">
        <f>CONCATENATE("          ", "6115", " - ", "P.E.R.S.")</f>
        <v xml:space="preserve">          6115 - P.E.R.S.</v>
      </c>
      <c r="C25" s="10"/>
      <c r="D25" s="6">
        <v>1013.88</v>
      </c>
      <c r="E25" s="2"/>
      <c r="F25" s="7">
        <f t="shared" si="4"/>
        <v>4.0595795795795794E-2</v>
      </c>
      <c r="G25" s="2"/>
      <c r="H25" s="6">
        <v>550.21</v>
      </c>
      <c r="I25" s="2"/>
      <c r="J25" s="7">
        <f t="shared" si="5"/>
        <v>8.8205777678027515E-3</v>
      </c>
      <c r="K25" s="2"/>
      <c r="L25" s="6">
        <f t="shared" si="6"/>
        <v>463.66999999999996</v>
      </c>
      <c r="M25" s="2"/>
      <c r="N25" s="7">
        <f t="shared" si="7"/>
        <v>0.84271459988004571</v>
      </c>
      <c r="O25" s="10"/>
      <c r="P25" s="6">
        <v>9355.51</v>
      </c>
      <c r="Q25" s="2"/>
      <c r="R25" s="7">
        <f t="shared" si="8"/>
        <v>1.7255962712183281E-2</v>
      </c>
      <c r="S25" s="2"/>
      <c r="T25" s="6">
        <v>8309.2900000000009</v>
      </c>
      <c r="U25" s="2"/>
      <c r="V25" s="7">
        <f t="shared" si="9"/>
        <v>1.6899861291332946E-2</v>
      </c>
      <c r="W25" s="2"/>
      <c r="X25" s="6">
        <f t="shared" si="10"/>
        <v>1046.2199999999993</v>
      </c>
      <c r="Y25" s="2"/>
      <c r="Z25" s="7">
        <f t="shared" si="11"/>
        <v>0.12590967459313601</v>
      </c>
    </row>
    <row r="26" spans="1:26" s="23" customFormat="1" hidden="1" outlineLevel="2" x14ac:dyDescent="0.25">
      <c r="A26" s="25"/>
      <c r="B26" s="10" t="str">
        <f>CONCATENATE("          ", "6117", " - ", "RETIREMENT STAFF HOURLY")</f>
        <v xml:space="preserve">          6117 - RETIREMENT STAFF HOURLY</v>
      </c>
      <c r="C26" s="10"/>
      <c r="D26" s="6">
        <v>96.01</v>
      </c>
      <c r="E26" s="2"/>
      <c r="F26" s="7">
        <f t="shared" si="4"/>
        <v>3.8442442442442443E-3</v>
      </c>
      <c r="G26" s="2"/>
      <c r="H26" s="6"/>
      <c r="I26" s="2"/>
      <c r="J26" s="7">
        <f t="shared" si="5"/>
        <v>0</v>
      </c>
      <c r="K26" s="2"/>
      <c r="L26" s="6">
        <f t="shared" si="6"/>
        <v>96.01</v>
      </c>
      <c r="M26" s="2"/>
      <c r="N26" s="7">
        <f t="shared" si="7"/>
        <v>0</v>
      </c>
      <c r="O26" s="10"/>
      <c r="P26" s="6">
        <v>1083.72</v>
      </c>
      <c r="Q26" s="2"/>
      <c r="R26" s="7">
        <f t="shared" si="8"/>
        <v>1.9988896287265225E-3</v>
      </c>
      <c r="S26" s="2"/>
      <c r="T26" s="6"/>
      <c r="U26" s="2"/>
      <c r="V26" s="7">
        <f t="shared" si="9"/>
        <v>0</v>
      </c>
      <c r="W26" s="2"/>
      <c r="X26" s="6">
        <f t="shared" si="10"/>
        <v>1083.72</v>
      </c>
      <c r="Y26" s="2"/>
      <c r="Z26" s="7">
        <f t="shared" si="11"/>
        <v>0</v>
      </c>
    </row>
    <row r="27" spans="1:26" s="23" customFormat="1" hidden="1" outlineLevel="2" x14ac:dyDescent="0.25">
      <c r="A27" s="25"/>
      <c r="B27" s="10" t="str">
        <f>CONCATENATE("          ", "6118", " - ", "VACATION")</f>
        <v xml:space="preserve">          6118 - VACATION</v>
      </c>
      <c r="C27" s="10"/>
      <c r="D27" s="6">
        <v>1040.1500000000001</v>
      </c>
      <c r="E27" s="2"/>
      <c r="F27" s="7">
        <f t="shared" si="4"/>
        <v>4.1647647647647654E-2</v>
      </c>
      <c r="G27" s="2"/>
      <c r="H27" s="6">
        <v>484.71</v>
      </c>
      <c r="I27" s="2"/>
      <c r="J27" s="7">
        <f t="shared" si="5"/>
        <v>7.7705280707941896E-3</v>
      </c>
      <c r="K27" s="2"/>
      <c r="L27" s="6">
        <f t="shared" si="6"/>
        <v>555.44000000000005</v>
      </c>
      <c r="M27" s="2"/>
      <c r="N27" s="7">
        <f t="shared" si="7"/>
        <v>1.1459223040580968</v>
      </c>
      <c r="O27" s="10"/>
      <c r="P27" s="6">
        <v>7280.39</v>
      </c>
      <c r="Q27" s="2"/>
      <c r="R27" s="7">
        <f t="shared" si="8"/>
        <v>1.3428464976270886E-2</v>
      </c>
      <c r="S27" s="2"/>
      <c r="T27" s="6">
        <v>8433.2199999999993</v>
      </c>
      <c r="U27" s="2"/>
      <c r="V27" s="7">
        <f t="shared" si="9"/>
        <v>1.7151916498195974E-2</v>
      </c>
      <c r="W27" s="2"/>
      <c r="X27" s="6">
        <f t="shared" si="10"/>
        <v>-1152.829999999999</v>
      </c>
      <c r="Y27" s="2"/>
      <c r="Z27" s="7">
        <f t="shared" si="11"/>
        <v>-0.13670104657532936</v>
      </c>
    </row>
    <row r="28" spans="1:26" s="23" customFormat="1" hidden="1" outlineLevel="2" x14ac:dyDescent="0.25">
      <c r="A28" s="25"/>
      <c r="B28" s="10" t="str">
        <f>CONCATENATE("          ", "6119", " - ", "SICK LEAVE")</f>
        <v xml:space="preserve">          6119 - SICK LEAVE</v>
      </c>
      <c r="C28" s="10"/>
      <c r="D28" s="6">
        <v>637.47</v>
      </c>
      <c r="E28" s="2"/>
      <c r="F28" s="7">
        <f t="shared" si="4"/>
        <v>2.5524324324324325E-2</v>
      </c>
      <c r="G28" s="2"/>
      <c r="H28" s="6">
        <v>281.62</v>
      </c>
      <c r="I28" s="2"/>
      <c r="J28" s="7">
        <f t="shared" si="5"/>
        <v>4.514732758344288E-3</v>
      </c>
      <c r="K28" s="2"/>
      <c r="L28" s="6">
        <f t="shared" si="6"/>
        <v>355.85</v>
      </c>
      <c r="M28" s="2"/>
      <c r="N28" s="7">
        <f t="shared" si="7"/>
        <v>1.2635821319508558</v>
      </c>
      <c r="O28" s="10"/>
      <c r="P28" s="6">
        <v>4228.6000000000004</v>
      </c>
      <c r="Q28" s="2"/>
      <c r="R28" s="7">
        <f t="shared" si="8"/>
        <v>7.7995281844323002E-3</v>
      </c>
      <c r="S28" s="2"/>
      <c r="T28" s="6">
        <v>4824.46</v>
      </c>
      <c r="U28" s="2"/>
      <c r="V28" s="7">
        <f t="shared" si="9"/>
        <v>9.812234836620715E-3</v>
      </c>
      <c r="W28" s="2"/>
      <c r="X28" s="6">
        <f t="shared" si="10"/>
        <v>-595.85999999999967</v>
      </c>
      <c r="Y28" s="2"/>
      <c r="Z28" s="7">
        <f t="shared" si="11"/>
        <v>-0.12350812318891641</v>
      </c>
    </row>
    <row r="29" spans="1:26" s="23" customFormat="1" hidden="1" outlineLevel="2" x14ac:dyDescent="0.25">
      <c r="A29" s="25"/>
      <c r="B29" s="10" t="str">
        <f>CONCATENATE("          ", "6156", " - ", "EMPLOYEE MEALS")</f>
        <v xml:space="preserve">          6156 - EMPLOYEE MEALS</v>
      </c>
      <c r="C29" s="10"/>
      <c r="D29" s="6"/>
      <c r="E29" s="2"/>
      <c r="F29" s="7">
        <f t="shared" si="4"/>
        <v>0</v>
      </c>
      <c r="G29" s="2"/>
      <c r="H29" s="6">
        <v>106.78</v>
      </c>
      <c r="I29" s="2"/>
      <c r="J29" s="7">
        <f t="shared" si="5"/>
        <v>1.7118214755202155E-3</v>
      </c>
      <c r="K29" s="2"/>
      <c r="L29" s="6">
        <f t="shared" si="6"/>
        <v>-106.78</v>
      </c>
      <c r="M29" s="2"/>
      <c r="N29" s="7">
        <f t="shared" si="7"/>
        <v>-1</v>
      </c>
      <c r="O29" s="10"/>
      <c r="P29" s="6">
        <v>1620.53</v>
      </c>
      <c r="Q29" s="2"/>
      <c r="R29" s="7">
        <f t="shared" si="8"/>
        <v>2.9890198667923366E-3</v>
      </c>
      <c r="S29" s="2"/>
      <c r="T29" s="6">
        <v>1475.47</v>
      </c>
      <c r="U29" s="2"/>
      <c r="V29" s="7">
        <f t="shared" si="9"/>
        <v>3.0008867592204655E-3</v>
      </c>
      <c r="W29" s="2"/>
      <c r="X29" s="6">
        <f t="shared" si="10"/>
        <v>145.05999999999995</v>
      </c>
      <c r="Y29" s="2"/>
      <c r="Z29" s="7">
        <f t="shared" si="11"/>
        <v>9.8314435400245301E-2</v>
      </c>
    </row>
    <row r="30" spans="1:26" s="27" customFormat="1" outlineLevel="1" collapsed="1" x14ac:dyDescent="0.25">
      <c r="A30" s="26"/>
      <c r="B30" s="12" t="str">
        <f>CONCATENATE("     ","*Payroll                                          ")</f>
        <v xml:space="preserve">     *Payroll                                          </v>
      </c>
      <c r="C30" s="12"/>
      <c r="D30" s="1">
        <f>SUM(OSRRefD22_1x_0)</f>
        <v>12043.56</v>
      </c>
      <c r="E30" s="1"/>
      <c r="F30" s="5">
        <f t="shared" ref="F30:F35" si="12">IF(D$12=0,0,D30/D$12)</f>
        <v>0.48222462462462462</v>
      </c>
      <c r="G30" s="1"/>
      <c r="H30" s="1">
        <f>SUM(OSRRefH22_1x_0)</f>
        <v>12822.880000000001</v>
      </c>
      <c r="I30" s="1"/>
      <c r="J30" s="5">
        <f t="shared" ref="J30:J35" si="13">IF(H$12=0,0,H30/H$12)</f>
        <v>0.20556734746224631</v>
      </c>
      <c r="K30" s="1"/>
      <c r="L30" s="1">
        <f t="shared" ref="L30:L35" si="14">+D30-H30</f>
        <v>-779.32000000000153</v>
      </c>
      <c r="M30" s="1"/>
      <c r="N30" s="5">
        <f t="shared" ref="N30:N35" si="15">IF(H30=0,0,L30/H30)</f>
        <v>-6.0775738367667906E-2</v>
      </c>
      <c r="O30" s="12"/>
      <c r="P30" s="1">
        <f>SUM(OSRRefP22_1x_0)</f>
        <v>164212.04</v>
      </c>
      <c r="Q30" s="1"/>
      <c r="R30" s="5">
        <f t="shared" ref="R30:R35" si="16">IF(P$12=0,0,P30/P$12)</f>
        <v>0.30288427238403354</v>
      </c>
      <c r="S30" s="1"/>
      <c r="T30" s="1">
        <f>SUM(OSRRefT22_1x_0)</f>
        <v>190012.33</v>
      </c>
      <c r="U30" s="1"/>
      <c r="V30" s="5">
        <f t="shared" ref="V30:V35" si="17">IF(T$12=0,0,T30/T$12)</f>
        <v>0.38645684777435635</v>
      </c>
      <c r="W30" s="1"/>
      <c r="X30" s="1">
        <f t="shared" ref="X30:X35" si="18">+P30-T30</f>
        <v>-25800.289999999979</v>
      </c>
      <c r="Y30" s="1"/>
      <c r="Z30" s="5">
        <f t="shared" ref="Z30:Z35" si="19">IF(T30=0,0,X30/T30)</f>
        <v>-0.13578218845061255</v>
      </c>
    </row>
    <row r="31" spans="1:26" s="23" customFormat="1" hidden="1" outlineLevel="2" x14ac:dyDescent="0.25">
      <c r="A31" s="25"/>
      <c r="B31" s="10" t="str">
        <f>CONCATENATE("          ", "6001", " - ", "ADMINISTRATIVE SALARIES")</f>
        <v xml:space="preserve">          6001 - ADMINISTRATIVE SALARIES</v>
      </c>
      <c r="C31" s="10"/>
      <c r="D31" s="6">
        <v>3583.28</v>
      </c>
      <c r="E31" s="2"/>
      <c r="F31" s="7">
        <f t="shared" si="12"/>
        <v>0.14347467467467467</v>
      </c>
      <c r="G31" s="2"/>
      <c r="H31" s="6"/>
      <c r="I31" s="2"/>
      <c r="J31" s="7">
        <f t="shared" si="13"/>
        <v>0</v>
      </c>
      <c r="K31" s="2"/>
      <c r="L31" s="6">
        <f t="shared" si="14"/>
        <v>3583.28</v>
      </c>
      <c r="M31" s="2"/>
      <c r="N31" s="7">
        <f t="shared" si="15"/>
        <v>0</v>
      </c>
      <c r="O31" s="10"/>
      <c r="P31" s="6">
        <v>51528.44</v>
      </c>
      <c r="Q31" s="2"/>
      <c r="R31" s="7">
        <f t="shared" si="16"/>
        <v>9.5042690270971175E-2</v>
      </c>
      <c r="S31" s="2"/>
      <c r="T31" s="6"/>
      <c r="U31" s="2"/>
      <c r="V31" s="7">
        <f t="shared" si="17"/>
        <v>0</v>
      </c>
      <c r="W31" s="2"/>
      <c r="X31" s="6">
        <f t="shared" si="18"/>
        <v>51528.44</v>
      </c>
      <c r="Y31" s="2"/>
      <c r="Z31" s="7">
        <f t="shared" si="19"/>
        <v>0</v>
      </c>
    </row>
    <row r="32" spans="1:26" s="23" customFormat="1" hidden="1" outlineLevel="2" x14ac:dyDescent="0.25">
      <c r="A32" s="25"/>
      <c r="B32" s="10" t="str">
        <f>CONCATENATE("          ", "6002", " - ", "STAFF SALARIES")</f>
        <v xml:space="preserve">          6002 - STAFF SALARIES</v>
      </c>
      <c r="C32" s="10"/>
      <c r="D32" s="6">
        <v>2582.3000000000002</v>
      </c>
      <c r="E32" s="2"/>
      <c r="F32" s="7">
        <f t="shared" si="12"/>
        <v>0.1033953953953954</v>
      </c>
      <c r="G32" s="2"/>
      <c r="H32" s="6">
        <v>6105.68</v>
      </c>
      <c r="I32" s="2"/>
      <c r="J32" s="7">
        <f t="shared" si="13"/>
        <v>9.7881945557728695E-2</v>
      </c>
      <c r="K32" s="2"/>
      <c r="L32" s="6">
        <f t="shared" si="14"/>
        <v>-3523.38</v>
      </c>
      <c r="M32" s="2"/>
      <c r="N32" s="7">
        <f t="shared" si="15"/>
        <v>-0.57706594515271026</v>
      </c>
      <c r="O32" s="10"/>
      <c r="P32" s="6">
        <v>28372.28</v>
      </c>
      <c r="Q32" s="2"/>
      <c r="R32" s="7">
        <f t="shared" si="16"/>
        <v>5.2331835008420008E-2</v>
      </c>
      <c r="S32" s="2"/>
      <c r="T32" s="6">
        <v>70386.490000000005</v>
      </c>
      <c r="U32" s="2"/>
      <c r="V32" s="7">
        <f t="shared" si="17"/>
        <v>0.1431556628525173</v>
      </c>
      <c r="W32" s="2"/>
      <c r="X32" s="6">
        <f t="shared" si="18"/>
        <v>-42014.210000000006</v>
      </c>
      <c r="Y32" s="2"/>
      <c r="Z32" s="7">
        <f t="shared" si="19"/>
        <v>-0.59690730422841087</v>
      </c>
    </row>
    <row r="33" spans="1:26" s="23" customFormat="1" hidden="1" outlineLevel="2" x14ac:dyDescent="0.25">
      <c r="A33" s="25"/>
      <c r="B33" s="10" t="str">
        <f>CONCATENATE("          ", "6005", " - ", "TEMPORARY WAGES-HOURLY")</f>
        <v xml:space="preserve">          6005 - TEMPORARY WAGES-HOURLY</v>
      </c>
      <c r="C33" s="10"/>
      <c r="D33" s="6">
        <v>5877.98</v>
      </c>
      <c r="E33" s="2"/>
      <c r="F33" s="7">
        <f t="shared" si="12"/>
        <v>0.23535455455455453</v>
      </c>
      <c r="G33" s="2"/>
      <c r="H33" s="6">
        <v>6717.2</v>
      </c>
      <c r="I33" s="2"/>
      <c r="J33" s="7">
        <f t="shared" si="13"/>
        <v>0.10768540190451761</v>
      </c>
      <c r="K33" s="2"/>
      <c r="L33" s="6">
        <f t="shared" si="14"/>
        <v>-839.22000000000025</v>
      </c>
      <c r="M33" s="2"/>
      <c r="N33" s="7">
        <f t="shared" si="15"/>
        <v>-0.12493598523194192</v>
      </c>
      <c r="O33" s="10"/>
      <c r="P33" s="6">
        <v>76121.66</v>
      </c>
      <c r="Q33" s="2"/>
      <c r="R33" s="7">
        <f t="shared" si="16"/>
        <v>0.1404041603877815</v>
      </c>
      <c r="S33" s="2"/>
      <c r="T33" s="6">
        <v>87917.69</v>
      </c>
      <c r="U33" s="2"/>
      <c r="V33" s="7">
        <f t="shared" si="17"/>
        <v>0.17881151892091979</v>
      </c>
      <c r="W33" s="2"/>
      <c r="X33" s="6">
        <f t="shared" si="18"/>
        <v>-11796.029999999999</v>
      </c>
      <c r="Y33" s="2"/>
      <c r="Z33" s="7">
        <f t="shared" si="19"/>
        <v>-0.13417129135217268</v>
      </c>
    </row>
    <row r="34" spans="1:26" s="23" customFormat="1" hidden="1" outlineLevel="2" x14ac:dyDescent="0.25">
      <c r="A34" s="25"/>
      <c r="B34" s="10" t="str">
        <f>CONCATENATE("          ", "6007", " - ", "STUDENT HOURLY")</f>
        <v xml:space="preserve">          6007 - STUDENT HOURLY</v>
      </c>
      <c r="C34" s="10"/>
      <c r="D34" s="6"/>
      <c r="E34" s="2"/>
      <c r="F34" s="7">
        <f t="shared" si="12"/>
        <v>0</v>
      </c>
      <c r="G34" s="2"/>
      <c r="H34" s="6"/>
      <c r="I34" s="2"/>
      <c r="J34" s="7">
        <f t="shared" si="13"/>
        <v>0</v>
      </c>
      <c r="K34" s="2"/>
      <c r="L34" s="6">
        <f t="shared" si="14"/>
        <v>0</v>
      </c>
      <c r="M34" s="2"/>
      <c r="N34" s="7">
        <f t="shared" si="15"/>
        <v>0</v>
      </c>
      <c r="O34" s="10"/>
      <c r="P34" s="6">
        <v>4277.78</v>
      </c>
      <c r="Q34" s="2"/>
      <c r="R34" s="7">
        <f t="shared" si="16"/>
        <v>7.8902392462755523E-3</v>
      </c>
      <c r="S34" s="2"/>
      <c r="T34" s="6">
        <v>25787.41</v>
      </c>
      <c r="U34" s="2"/>
      <c r="V34" s="7">
        <f t="shared" si="17"/>
        <v>5.244776052619804E-2</v>
      </c>
      <c r="W34" s="2"/>
      <c r="X34" s="6">
        <f t="shared" si="18"/>
        <v>-21509.63</v>
      </c>
      <c r="Y34" s="2"/>
      <c r="Z34" s="7">
        <f t="shared" si="19"/>
        <v>-0.8341136236636405</v>
      </c>
    </row>
    <row r="35" spans="1:26" s="23" customFormat="1" hidden="1" outlineLevel="2" x14ac:dyDescent="0.25">
      <c r="A35" s="25"/>
      <c r="B35" s="10" t="str">
        <f>CONCATENATE("          ", "6008", " - ", "STUDENT HOURLY-FICA EXEMPT")</f>
        <v xml:space="preserve">          6008 - STUDENT HOURLY-FICA EXEMPT</v>
      </c>
      <c r="C35" s="10"/>
      <c r="D35" s="6"/>
      <c r="E35" s="2"/>
      <c r="F35" s="7">
        <f t="shared" si="12"/>
        <v>0</v>
      </c>
      <c r="G35" s="2"/>
      <c r="H35" s="6"/>
      <c r="I35" s="2"/>
      <c r="J35" s="7">
        <f t="shared" si="13"/>
        <v>0</v>
      </c>
      <c r="K35" s="2"/>
      <c r="L35" s="6">
        <f t="shared" si="14"/>
        <v>0</v>
      </c>
      <c r="M35" s="2"/>
      <c r="N35" s="7">
        <f t="shared" si="15"/>
        <v>0</v>
      </c>
      <c r="O35" s="10"/>
      <c r="P35" s="6">
        <v>3911.88</v>
      </c>
      <c r="Q35" s="2"/>
      <c r="R35" s="7">
        <f t="shared" si="16"/>
        <v>7.2153474705853064E-3</v>
      </c>
      <c r="S35" s="2"/>
      <c r="T35" s="6">
        <v>5920.74</v>
      </c>
      <c r="U35" s="2"/>
      <c r="V35" s="7">
        <f t="shared" si="17"/>
        <v>1.2041905474721261E-2</v>
      </c>
      <c r="W35" s="2"/>
      <c r="X35" s="6">
        <f t="shared" si="18"/>
        <v>-2008.8599999999997</v>
      </c>
      <c r="Y35" s="2"/>
      <c r="Z35" s="7">
        <f t="shared" si="19"/>
        <v>-0.33929204795346524</v>
      </c>
    </row>
    <row r="36" spans="1:26" s="27" customFormat="1" outlineLevel="1" collapsed="1" x14ac:dyDescent="0.25">
      <c r="A36" s="26"/>
      <c r="B36" s="12" t="str">
        <f>CONCATENATE("     ","Advertising/Promo                                 ")</f>
        <v xml:space="preserve">     Advertising/Promo                                 </v>
      </c>
      <c r="C36" s="12"/>
      <c r="D36" s="1">
        <f>SUM(OSRRefD22_2x_0)</f>
        <v>0</v>
      </c>
      <c r="E36" s="1"/>
      <c r="F36" s="5">
        <f t="shared" ref="F36:F44" si="20">IF(D$12=0,0,D36/D$12)</f>
        <v>0</v>
      </c>
      <c r="G36" s="1"/>
      <c r="H36" s="1">
        <f>SUM(OSRRefH22_2x_0)</f>
        <v>0</v>
      </c>
      <c r="I36" s="1"/>
      <c r="J36" s="5">
        <f t="shared" ref="J36:J44" si="21">IF(H$12=0,0,H36/H$12)</f>
        <v>0</v>
      </c>
      <c r="K36" s="1"/>
      <c r="L36" s="1">
        <f t="shared" ref="L36:L44" si="22">+D36-H36</f>
        <v>0</v>
      </c>
      <c r="M36" s="1"/>
      <c r="N36" s="5">
        <f t="shared" ref="N36:N44" si="23">IF(H36=0,0,L36/H36)</f>
        <v>0</v>
      </c>
      <c r="O36" s="12"/>
      <c r="P36" s="1">
        <f>SUM(OSRRefP22_2x_0)</f>
        <v>0</v>
      </c>
      <c r="Q36" s="1"/>
      <c r="R36" s="5">
        <f t="shared" ref="R36:R44" si="24">IF(P$12=0,0,P36/P$12)</f>
        <v>0</v>
      </c>
      <c r="S36" s="1"/>
      <c r="T36" s="1">
        <f>SUM(OSRRefT22_2x_0)</f>
        <v>2066.92</v>
      </c>
      <c r="U36" s="1"/>
      <c r="V36" s="5">
        <f t="shared" ref="V36:V44" si="25">IF(T$12=0,0,T36/T$12)</f>
        <v>4.2038081834045865E-3</v>
      </c>
      <c r="W36" s="1"/>
      <c r="X36" s="1">
        <f t="shared" ref="X36:X44" si="26">+P36-T36</f>
        <v>-2066.92</v>
      </c>
      <c r="Y36" s="1"/>
      <c r="Z36" s="5">
        <f t="shared" ref="Z36:Z44" si="27">IF(T36=0,0,X36/T36)</f>
        <v>-1</v>
      </c>
    </row>
    <row r="37" spans="1:26" s="23" customFormat="1" hidden="1" outlineLevel="2" x14ac:dyDescent="0.25">
      <c r="A37" s="25"/>
      <c r="B37" s="10" t="str">
        <f>CONCATENATE("          ", "6362", " - ", "ADVERTISING EXPENSE")</f>
        <v xml:space="preserve">          6362 - ADVERTISING EXPENSE</v>
      </c>
      <c r="C37" s="10"/>
      <c r="D37" s="6"/>
      <c r="E37" s="2"/>
      <c r="F37" s="7">
        <f t="shared" si="20"/>
        <v>0</v>
      </c>
      <c r="G37" s="2"/>
      <c r="H37" s="6"/>
      <c r="I37" s="2"/>
      <c r="J37" s="7">
        <f t="shared" si="21"/>
        <v>0</v>
      </c>
      <c r="K37" s="2"/>
      <c r="L37" s="6">
        <f t="shared" si="22"/>
        <v>0</v>
      </c>
      <c r="M37" s="2"/>
      <c r="N37" s="7">
        <f t="shared" si="23"/>
        <v>0</v>
      </c>
      <c r="O37" s="10"/>
      <c r="P37" s="6"/>
      <c r="Q37" s="2"/>
      <c r="R37" s="7">
        <f t="shared" si="24"/>
        <v>0</v>
      </c>
      <c r="S37" s="2"/>
      <c r="T37" s="6">
        <v>2066.92</v>
      </c>
      <c r="U37" s="2"/>
      <c r="V37" s="7">
        <f t="shared" si="25"/>
        <v>4.2038081834045865E-3</v>
      </c>
      <c r="W37" s="2"/>
      <c r="X37" s="6">
        <f t="shared" si="26"/>
        <v>-2066.92</v>
      </c>
      <c r="Y37" s="2"/>
      <c r="Z37" s="7">
        <f t="shared" si="27"/>
        <v>-1</v>
      </c>
    </row>
    <row r="38" spans="1:26" s="27" customFormat="1" outlineLevel="1" collapsed="1" x14ac:dyDescent="0.25">
      <c r="A38" s="26"/>
      <c r="B38" s="12" t="str">
        <f>CONCATENATE("     ","Bank/card Fees                                    ")</f>
        <v xml:space="preserve">     Bank/card Fees                                    </v>
      </c>
      <c r="C38" s="12"/>
      <c r="D38" s="1">
        <f>SUM(OSRRefD22_3x_0)</f>
        <v>-5189.17</v>
      </c>
      <c r="E38" s="1"/>
      <c r="F38" s="5">
        <f t="shared" si="20"/>
        <v>-0.20777457457457457</v>
      </c>
      <c r="G38" s="1"/>
      <c r="H38" s="1">
        <f>SUM(OSRRefH22_3x_0)</f>
        <v>163.22</v>
      </c>
      <c r="I38" s="1"/>
      <c r="J38" s="5">
        <f t="shared" si="21"/>
        <v>2.6166276571868287E-3</v>
      </c>
      <c r="K38" s="1"/>
      <c r="L38" s="1">
        <f t="shared" si="22"/>
        <v>-5352.39</v>
      </c>
      <c r="M38" s="1"/>
      <c r="N38" s="5">
        <f t="shared" si="23"/>
        <v>-32.792488665604708</v>
      </c>
      <c r="O38" s="12"/>
      <c r="P38" s="1">
        <f>SUM(OSRRefP22_3x_0)</f>
        <v>872.08</v>
      </c>
      <c r="Q38" s="1"/>
      <c r="R38" s="5">
        <f t="shared" si="24"/>
        <v>1.6085258806885778E-3</v>
      </c>
      <c r="S38" s="1"/>
      <c r="T38" s="1">
        <f>SUM(OSRRefT22_3x_0)</f>
        <v>17997.099999999999</v>
      </c>
      <c r="U38" s="1"/>
      <c r="V38" s="5">
        <f t="shared" si="25"/>
        <v>3.6603427446418181E-2</v>
      </c>
      <c r="W38" s="1"/>
      <c r="X38" s="1">
        <f t="shared" si="26"/>
        <v>-17125.019999999997</v>
      </c>
      <c r="Y38" s="1"/>
      <c r="Z38" s="5">
        <f t="shared" si="27"/>
        <v>-0.95154330419900979</v>
      </c>
    </row>
    <row r="39" spans="1:26" s="23" customFormat="1" hidden="1" outlineLevel="2" x14ac:dyDescent="0.25">
      <c r="A39" s="25"/>
      <c r="B39" s="10" t="str">
        <f>CONCATENATE("          ", "6381", " - ", "BANK/CREDIT CARD FEES")</f>
        <v xml:space="preserve">          6381 - BANK/CREDIT CARD FEES</v>
      </c>
      <c r="C39" s="10"/>
      <c r="D39" s="6">
        <v>-5189.17</v>
      </c>
      <c r="E39" s="2"/>
      <c r="F39" s="7">
        <f t="shared" si="20"/>
        <v>-0.20777457457457457</v>
      </c>
      <c r="G39" s="2"/>
      <c r="H39" s="6">
        <v>163.22</v>
      </c>
      <c r="I39" s="2"/>
      <c r="J39" s="7">
        <f t="shared" si="21"/>
        <v>2.6166276571868287E-3</v>
      </c>
      <c r="K39" s="2"/>
      <c r="L39" s="6">
        <f t="shared" si="22"/>
        <v>-5352.39</v>
      </c>
      <c r="M39" s="2"/>
      <c r="N39" s="7">
        <f t="shared" si="23"/>
        <v>-32.792488665604708</v>
      </c>
      <c r="O39" s="10"/>
      <c r="P39" s="6">
        <v>872.08</v>
      </c>
      <c r="Q39" s="2"/>
      <c r="R39" s="7">
        <f t="shared" si="24"/>
        <v>1.6085258806885778E-3</v>
      </c>
      <c r="S39" s="2"/>
      <c r="T39" s="6">
        <v>17997.099999999999</v>
      </c>
      <c r="U39" s="2"/>
      <c r="V39" s="7">
        <f t="shared" si="25"/>
        <v>3.6603427446418181E-2</v>
      </c>
      <c r="W39" s="2"/>
      <c r="X39" s="6">
        <f t="shared" si="26"/>
        <v>-17125.019999999997</v>
      </c>
      <c r="Y39" s="2"/>
      <c r="Z39" s="7">
        <f t="shared" si="27"/>
        <v>-0.95154330419900979</v>
      </c>
    </row>
    <row r="40" spans="1:26" s="27" customFormat="1" outlineLevel="1" collapsed="1" x14ac:dyDescent="0.25">
      <c r="A40" s="26"/>
      <c r="B40" s="12" t="str">
        <f>CONCATENATE("     ","Employees' Appreciation                           ")</f>
        <v xml:space="preserve">     Employees' Appreciation                           </v>
      </c>
      <c r="C40" s="12"/>
      <c r="D40" s="1">
        <f>SUM(OSRRefD22_4x_0)</f>
        <v>0</v>
      </c>
      <c r="E40" s="1"/>
      <c r="F40" s="5">
        <f t="shared" si="20"/>
        <v>0</v>
      </c>
      <c r="G40" s="1"/>
      <c r="H40" s="1">
        <f>SUM(OSRRefH22_4x_0)</f>
        <v>0</v>
      </c>
      <c r="I40" s="1"/>
      <c r="J40" s="5">
        <f t="shared" si="21"/>
        <v>0</v>
      </c>
      <c r="K40" s="1"/>
      <c r="L40" s="1">
        <f t="shared" si="22"/>
        <v>0</v>
      </c>
      <c r="M40" s="1"/>
      <c r="N40" s="5">
        <f t="shared" si="23"/>
        <v>0</v>
      </c>
      <c r="O40" s="12"/>
      <c r="P40" s="1">
        <f>SUM(OSRRefP22_4x_0)</f>
        <v>0</v>
      </c>
      <c r="Q40" s="1"/>
      <c r="R40" s="5">
        <f t="shared" si="24"/>
        <v>0</v>
      </c>
      <c r="S40" s="1"/>
      <c r="T40" s="1">
        <f>SUM(OSRRefT22_4x_0)</f>
        <v>64.239999999999995</v>
      </c>
      <c r="U40" s="1"/>
      <c r="V40" s="5">
        <f t="shared" si="25"/>
        <v>1.306546154190344E-4</v>
      </c>
      <c r="W40" s="1"/>
      <c r="X40" s="1">
        <f t="shared" si="26"/>
        <v>-64.239999999999995</v>
      </c>
      <c r="Y40" s="1"/>
      <c r="Z40" s="5">
        <f t="shared" si="27"/>
        <v>-1</v>
      </c>
    </row>
    <row r="41" spans="1:26" s="23" customFormat="1" hidden="1" outlineLevel="2" x14ac:dyDescent="0.25">
      <c r="A41" s="25"/>
      <c r="B41" s="10" t="str">
        <f>CONCATENATE("          ", "6277", " - ", "EMPLOYEE APPRECIATION")</f>
        <v xml:space="preserve">          6277 - EMPLOYEE APPRECIATION</v>
      </c>
      <c r="C41" s="10"/>
      <c r="D41" s="6"/>
      <c r="E41" s="2"/>
      <c r="F41" s="7">
        <f t="shared" si="20"/>
        <v>0</v>
      </c>
      <c r="G41" s="2"/>
      <c r="H41" s="6"/>
      <c r="I41" s="2"/>
      <c r="J41" s="7">
        <f t="shared" si="21"/>
        <v>0</v>
      </c>
      <c r="K41" s="2"/>
      <c r="L41" s="6">
        <f t="shared" si="22"/>
        <v>0</v>
      </c>
      <c r="M41" s="2"/>
      <c r="N41" s="7">
        <f t="shared" si="23"/>
        <v>0</v>
      </c>
      <c r="O41" s="10"/>
      <c r="P41" s="6"/>
      <c r="Q41" s="2"/>
      <c r="R41" s="7">
        <f t="shared" si="24"/>
        <v>0</v>
      </c>
      <c r="S41" s="2"/>
      <c r="T41" s="6">
        <v>64.239999999999995</v>
      </c>
      <c r="U41" s="2"/>
      <c r="V41" s="7">
        <f t="shared" si="25"/>
        <v>1.306546154190344E-4</v>
      </c>
      <c r="W41" s="2"/>
      <c r="X41" s="6">
        <f t="shared" si="26"/>
        <v>-64.239999999999995</v>
      </c>
      <c r="Y41" s="2"/>
      <c r="Z41" s="7">
        <f t="shared" si="27"/>
        <v>-1</v>
      </c>
    </row>
    <row r="42" spans="1:26" s="27" customFormat="1" outlineLevel="1" collapsed="1" x14ac:dyDescent="0.25">
      <c r="A42" s="26"/>
      <c r="B42" s="12" t="str">
        <f>CONCATENATE("     ","Freight out/Postage                               ")</f>
        <v xml:space="preserve">     Freight out/Postage                               </v>
      </c>
      <c r="C42" s="12"/>
      <c r="D42" s="1">
        <f>SUM(OSRRefD22_5x_0)</f>
        <v>0</v>
      </c>
      <c r="E42" s="1"/>
      <c r="F42" s="5">
        <f t="shared" si="20"/>
        <v>0</v>
      </c>
      <c r="G42" s="1"/>
      <c r="H42" s="1">
        <f>SUM(OSRRefH22_5x_0)</f>
        <v>0</v>
      </c>
      <c r="I42" s="1"/>
      <c r="J42" s="5">
        <f t="shared" si="21"/>
        <v>0</v>
      </c>
      <c r="K42" s="1"/>
      <c r="L42" s="1">
        <f t="shared" si="22"/>
        <v>0</v>
      </c>
      <c r="M42" s="1"/>
      <c r="N42" s="5">
        <f t="shared" si="23"/>
        <v>0</v>
      </c>
      <c r="O42" s="12"/>
      <c r="P42" s="1">
        <f>SUM(OSRRefP22_5x_0)</f>
        <v>2.12</v>
      </c>
      <c r="Q42" s="1"/>
      <c r="R42" s="5">
        <f t="shared" si="24"/>
        <v>3.9102775743736642E-6</v>
      </c>
      <c r="S42" s="1"/>
      <c r="T42" s="1">
        <f>SUM(OSRRefT22_5x_0)</f>
        <v>0</v>
      </c>
      <c r="U42" s="1"/>
      <c r="V42" s="5">
        <f t="shared" si="25"/>
        <v>0</v>
      </c>
      <c r="W42" s="1"/>
      <c r="X42" s="1">
        <f t="shared" si="26"/>
        <v>2.12</v>
      </c>
      <c r="Y42" s="1"/>
      <c r="Z42" s="5">
        <f t="shared" si="27"/>
        <v>0</v>
      </c>
    </row>
    <row r="43" spans="1:26" s="23" customFormat="1" hidden="1" outlineLevel="2" x14ac:dyDescent="0.25">
      <c r="A43" s="25"/>
      <c r="B43" s="10" t="str">
        <f>CONCATENATE("          ", "6305", " - ", "FREIGHT OUT")</f>
        <v xml:space="preserve">          6305 - FREIGHT OUT</v>
      </c>
      <c r="C43" s="10"/>
      <c r="D43" s="6"/>
      <c r="E43" s="2"/>
      <c r="F43" s="7">
        <f t="shared" si="20"/>
        <v>0</v>
      </c>
      <c r="G43" s="2"/>
      <c r="H43" s="6"/>
      <c r="I43" s="2"/>
      <c r="J43" s="7">
        <f t="shared" si="21"/>
        <v>0</v>
      </c>
      <c r="K43" s="2"/>
      <c r="L43" s="6">
        <f t="shared" si="22"/>
        <v>0</v>
      </c>
      <c r="M43" s="2"/>
      <c r="N43" s="7">
        <f t="shared" si="23"/>
        <v>0</v>
      </c>
      <c r="O43" s="10"/>
      <c r="P43" s="6">
        <v>1.62</v>
      </c>
      <c r="Q43" s="2"/>
      <c r="R43" s="7">
        <f t="shared" si="24"/>
        <v>2.9880422973987433E-6</v>
      </c>
      <c r="S43" s="2"/>
      <c r="T43" s="6"/>
      <c r="U43" s="2"/>
      <c r="V43" s="7">
        <f t="shared" si="25"/>
        <v>0</v>
      </c>
      <c r="W43" s="2"/>
      <c r="X43" s="6">
        <f t="shared" si="26"/>
        <v>1.62</v>
      </c>
      <c r="Y43" s="2"/>
      <c r="Z43" s="7">
        <f t="shared" si="27"/>
        <v>0</v>
      </c>
    </row>
    <row r="44" spans="1:26" s="23" customFormat="1" hidden="1" outlineLevel="2" x14ac:dyDescent="0.25">
      <c r="A44" s="25"/>
      <c r="B44" s="10" t="str">
        <f>CONCATENATE("          ", "6307", " - ", "POSTAGE")</f>
        <v xml:space="preserve">          6307 - POSTAGE</v>
      </c>
      <c r="C44" s="10"/>
      <c r="D44" s="6"/>
      <c r="E44" s="2"/>
      <c r="F44" s="7">
        <f t="shared" si="20"/>
        <v>0</v>
      </c>
      <c r="G44" s="2"/>
      <c r="H44" s="6"/>
      <c r="I44" s="2"/>
      <c r="J44" s="7">
        <f t="shared" si="21"/>
        <v>0</v>
      </c>
      <c r="K44" s="2"/>
      <c r="L44" s="6">
        <f t="shared" si="22"/>
        <v>0</v>
      </c>
      <c r="M44" s="2"/>
      <c r="N44" s="7">
        <f t="shared" si="23"/>
        <v>0</v>
      </c>
      <c r="O44" s="10"/>
      <c r="P44" s="6">
        <v>0.5</v>
      </c>
      <c r="Q44" s="2"/>
      <c r="R44" s="7">
        <f t="shared" si="24"/>
        <v>9.2223527697492073E-7</v>
      </c>
      <c r="S44" s="2"/>
      <c r="T44" s="6"/>
      <c r="U44" s="2"/>
      <c r="V44" s="7">
        <f t="shared" si="25"/>
        <v>0</v>
      </c>
      <c r="W44" s="2"/>
      <c r="X44" s="6">
        <f t="shared" si="26"/>
        <v>0.5</v>
      </c>
      <c r="Y44" s="2"/>
      <c r="Z44" s="7">
        <f t="shared" si="27"/>
        <v>0</v>
      </c>
    </row>
    <row r="45" spans="1:26" s="27" customFormat="1" outlineLevel="1" collapsed="1" x14ac:dyDescent="0.25">
      <c r="A45" s="26"/>
      <c r="B45" s="12" t="str">
        <f>CONCATENATE("     ","General                                           ")</f>
        <v xml:space="preserve">     General                                           </v>
      </c>
      <c r="C45" s="12"/>
      <c r="D45" s="1">
        <f>SUM(OSRRefD22_6x_0)</f>
        <v>0</v>
      </c>
      <c r="E45" s="1"/>
      <c r="F45" s="5">
        <f t="shared" ref="F45:F54" si="28">IF(D$12=0,0,D45/D$12)</f>
        <v>0</v>
      </c>
      <c r="G45" s="1"/>
      <c r="H45" s="1">
        <f>SUM(OSRRefH22_6x_0)</f>
        <v>0</v>
      </c>
      <c r="I45" s="1"/>
      <c r="J45" s="5">
        <f t="shared" ref="J45:J54" si="29">IF(H$12=0,0,H45/H$12)</f>
        <v>0</v>
      </c>
      <c r="K45" s="1"/>
      <c r="L45" s="1">
        <f t="shared" ref="L45:L54" si="30">+D45-H45</f>
        <v>0</v>
      </c>
      <c r="M45" s="1"/>
      <c r="N45" s="5">
        <f t="shared" ref="N45:N54" si="31">IF(H45=0,0,L45/H45)</f>
        <v>0</v>
      </c>
      <c r="O45" s="12"/>
      <c r="P45" s="1">
        <f>SUM(OSRRefP22_6x_0)</f>
        <v>0</v>
      </c>
      <c r="Q45" s="1"/>
      <c r="R45" s="5">
        <f t="shared" ref="R45:R54" si="32">IF(P$12=0,0,P45/P$12)</f>
        <v>0</v>
      </c>
      <c r="S45" s="1"/>
      <c r="T45" s="1">
        <f>SUM(OSRRefT22_6x_0)</f>
        <v>47.34</v>
      </c>
      <c r="U45" s="1"/>
      <c r="V45" s="5">
        <f t="shared" ref="V45:V54" si="33">IF(T$12=0,0,T45/T$12)</f>
        <v>9.6282526368883712E-5</v>
      </c>
      <c r="W45" s="1"/>
      <c r="X45" s="1">
        <f t="shared" ref="X45:X54" si="34">+P45-T45</f>
        <v>-47.34</v>
      </c>
      <c r="Y45" s="1"/>
      <c r="Z45" s="5">
        <f t="shared" ref="Z45:Z54" si="35">IF(T45=0,0,X45/T45)</f>
        <v>-1</v>
      </c>
    </row>
    <row r="46" spans="1:26" s="23" customFormat="1" hidden="1" outlineLevel="2" x14ac:dyDescent="0.25">
      <c r="A46" s="25"/>
      <c r="B46" s="10" t="str">
        <f>CONCATENATE("          ", "6279", " - ", "GENERAL EXPENSE")</f>
        <v xml:space="preserve">          6279 - GENERAL EXPENSE</v>
      </c>
      <c r="C46" s="10"/>
      <c r="D46" s="6"/>
      <c r="E46" s="2"/>
      <c r="F46" s="7">
        <f t="shared" si="28"/>
        <v>0</v>
      </c>
      <c r="G46" s="2"/>
      <c r="H46" s="6"/>
      <c r="I46" s="2"/>
      <c r="J46" s="7">
        <f t="shared" si="29"/>
        <v>0</v>
      </c>
      <c r="K46" s="2"/>
      <c r="L46" s="6">
        <f t="shared" si="30"/>
        <v>0</v>
      </c>
      <c r="M46" s="2"/>
      <c r="N46" s="7">
        <f t="shared" si="31"/>
        <v>0</v>
      </c>
      <c r="O46" s="10"/>
      <c r="P46" s="6"/>
      <c r="Q46" s="2"/>
      <c r="R46" s="7">
        <f t="shared" si="32"/>
        <v>0</v>
      </c>
      <c r="S46" s="2"/>
      <c r="T46" s="6">
        <v>47.34</v>
      </c>
      <c r="U46" s="2"/>
      <c r="V46" s="7">
        <f t="shared" si="33"/>
        <v>9.6282526368883712E-5</v>
      </c>
      <c r="W46" s="2"/>
      <c r="X46" s="6">
        <f t="shared" si="34"/>
        <v>-47.34</v>
      </c>
      <c r="Y46" s="2"/>
      <c r="Z46" s="7">
        <f t="shared" si="35"/>
        <v>-1</v>
      </c>
    </row>
    <row r="47" spans="1:26" s="27" customFormat="1" outlineLevel="1" collapsed="1" x14ac:dyDescent="0.25">
      <c r="A47" s="26"/>
      <c r="B47" s="12" t="str">
        <f>CONCATENATE("     ","Insurance                                         ")</f>
        <v xml:space="preserve">     Insurance                                         </v>
      </c>
      <c r="C47" s="12"/>
      <c r="D47" s="1">
        <f>SUM(OSRRefD22_7x_0)</f>
        <v>62.28</v>
      </c>
      <c r="E47" s="1"/>
      <c r="F47" s="5">
        <f t="shared" si="28"/>
        <v>2.4936936936936936E-3</v>
      </c>
      <c r="G47" s="1"/>
      <c r="H47" s="1">
        <f>SUM(OSRRefH22_7x_0)</f>
        <v>29.01</v>
      </c>
      <c r="I47" s="1"/>
      <c r="J47" s="5">
        <f t="shared" si="29"/>
        <v>4.6506781236974574E-4</v>
      </c>
      <c r="K47" s="1"/>
      <c r="L47" s="1">
        <f t="shared" si="30"/>
        <v>33.269999999999996</v>
      </c>
      <c r="M47" s="1"/>
      <c r="N47" s="5">
        <f t="shared" si="31"/>
        <v>1.1468459152016544</v>
      </c>
      <c r="O47" s="12"/>
      <c r="P47" s="1">
        <f>SUM(OSRRefP22_7x_0)</f>
        <v>381.39</v>
      </c>
      <c r="Q47" s="1"/>
      <c r="R47" s="5">
        <f t="shared" si="32"/>
        <v>7.0346262457092999E-4</v>
      </c>
      <c r="S47" s="1"/>
      <c r="T47" s="1">
        <f>SUM(OSRRefT22_7x_0)</f>
        <v>348.12</v>
      </c>
      <c r="U47" s="1"/>
      <c r="V47" s="5">
        <f t="shared" si="33"/>
        <v>7.0802435740464291E-4</v>
      </c>
      <c r="W47" s="1"/>
      <c r="X47" s="1">
        <f t="shared" si="34"/>
        <v>33.269999999999982</v>
      </c>
      <c r="Y47" s="1"/>
      <c r="Z47" s="5">
        <f t="shared" si="35"/>
        <v>9.5570492933471168E-2</v>
      </c>
    </row>
    <row r="48" spans="1:26" s="23" customFormat="1" hidden="1" outlineLevel="2" x14ac:dyDescent="0.25">
      <c r="A48" s="25"/>
      <c r="B48" s="10" t="str">
        <f>CONCATENATE("          ", "6314", " - ", "LIABILITY INSURANCE")</f>
        <v xml:space="preserve">          6314 - LIABILITY INSURANCE</v>
      </c>
      <c r="C48" s="10"/>
      <c r="D48" s="6">
        <v>62.28</v>
      </c>
      <c r="E48" s="2"/>
      <c r="F48" s="7">
        <f t="shared" si="28"/>
        <v>2.4936936936936936E-3</v>
      </c>
      <c r="G48" s="2"/>
      <c r="H48" s="6">
        <v>29.01</v>
      </c>
      <c r="I48" s="2"/>
      <c r="J48" s="7">
        <f t="shared" si="29"/>
        <v>4.6506781236974574E-4</v>
      </c>
      <c r="K48" s="2"/>
      <c r="L48" s="6">
        <f t="shared" si="30"/>
        <v>33.269999999999996</v>
      </c>
      <c r="M48" s="2"/>
      <c r="N48" s="7">
        <f t="shared" si="31"/>
        <v>1.1468459152016544</v>
      </c>
      <c r="O48" s="10"/>
      <c r="P48" s="6">
        <v>381.39</v>
      </c>
      <c r="Q48" s="2"/>
      <c r="R48" s="7">
        <f t="shared" si="32"/>
        <v>7.0346262457092999E-4</v>
      </c>
      <c r="S48" s="2"/>
      <c r="T48" s="6">
        <v>348.12</v>
      </c>
      <c r="U48" s="2"/>
      <c r="V48" s="7">
        <f t="shared" si="33"/>
        <v>7.0802435740464291E-4</v>
      </c>
      <c r="W48" s="2"/>
      <c r="X48" s="6">
        <f t="shared" si="34"/>
        <v>33.269999999999982</v>
      </c>
      <c r="Y48" s="2"/>
      <c r="Z48" s="7">
        <f t="shared" si="35"/>
        <v>9.5570492933471168E-2</v>
      </c>
    </row>
    <row r="49" spans="1:26" s="27" customFormat="1" outlineLevel="1" collapsed="1" x14ac:dyDescent="0.25">
      <c r="A49" s="26"/>
      <c r="B49" s="12" t="str">
        <f>CONCATENATE("     ","Rent                                              ")</f>
        <v xml:space="preserve">     Rent                                              </v>
      </c>
      <c r="C49" s="12"/>
      <c r="D49" s="1">
        <f>SUM(OSRRefD22_8x_0)</f>
        <v>800</v>
      </c>
      <c r="E49" s="1"/>
      <c r="F49" s="5">
        <f t="shared" si="28"/>
        <v>3.2032032032032032E-2</v>
      </c>
      <c r="G49" s="1"/>
      <c r="H49" s="1">
        <f>SUM(OSRRefH22_8x_0)</f>
        <v>800</v>
      </c>
      <c r="I49" s="1"/>
      <c r="J49" s="5">
        <f t="shared" si="29"/>
        <v>1.282503446728013E-2</v>
      </c>
      <c r="K49" s="1"/>
      <c r="L49" s="1">
        <f t="shared" si="30"/>
        <v>0</v>
      </c>
      <c r="M49" s="1"/>
      <c r="N49" s="5">
        <f t="shared" si="31"/>
        <v>0</v>
      </c>
      <c r="O49" s="12"/>
      <c r="P49" s="1">
        <f>SUM(OSRRefP22_8x_0)</f>
        <v>9600</v>
      </c>
      <c r="Q49" s="1"/>
      <c r="R49" s="5">
        <f t="shared" si="32"/>
        <v>1.7706917317918479E-2</v>
      </c>
      <c r="S49" s="1"/>
      <c r="T49" s="1">
        <f>SUM(OSRRefT22_8x_0)</f>
        <v>8000</v>
      </c>
      <c r="U49" s="1"/>
      <c r="V49" s="5">
        <f t="shared" si="33"/>
        <v>1.6270811384686727E-2</v>
      </c>
      <c r="W49" s="1"/>
      <c r="X49" s="1">
        <f t="shared" si="34"/>
        <v>1600</v>
      </c>
      <c r="Y49" s="1"/>
      <c r="Z49" s="5">
        <f t="shared" si="35"/>
        <v>0.2</v>
      </c>
    </row>
    <row r="50" spans="1:26" s="23" customFormat="1" hidden="1" outlineLevel="2" x14ac:dyDescent="0.25">
      <c r="A50" s="25"/>
      <c r="B50" s="10" t="str">
        <f>CONCATENATE("          ", "6273", " - ", "RENT")</f>
        <v xml:space="preserve">          6273 - RENT</v>
      </c>
      <c r="C50" s="10"/>
      <c r="D50" s="6">
        <v>800</v>
      </c>
      <c r="E50" s="2"/>
      <c r="F50" s="7">
        <f t="shared" si="28"/>
        <v>3.2032032032032032E-2</v>
      </c>
      <c r="G50" s="2"/>
      <c r="H50" s="6">
        <v>800</v>
      </c>
      <c r="I50" s="2"/>
      <c r="J50" s="7">
        <f t="shared" si="29"/>
        <v>1.282503446728013E-2</v>
      </c>
      <c r="K50" s="2"/>
      <c r="L50" s="6">
        <f t="shared" si="30"/>
        <v>0</v>
      </c>
      <c r="M50" s="2"/>
      <c r="N50" s="7">
        <f t="shared" si="31"/>
        <v>0</v>
      </c>
      <c r="O50" s="10"/>
      <c r="P50" s="6">
        <v>9600</v>
      </c>
      <c r="Q50" s="2"/>
      <c r="R50" s="7">
        <f t="shared" si="32"/>
        <v>1.7706917317918479E-2</v>
      </c>
      <c r="S50" s="2"/>
      <c r="T50" s="6">
        <v>8000</v>
      </c>
      <c r="U50" s="2"/>
      <c r="V50" s="7">
        <f t="shared" si="33"/>
        <v>1.6270811384686727E-2</v>
      </c>
      <c r="W50" s="2"/>
      <c r="X50" s="6">
        <f t="shared" si="34"/>
        <v>1600</v>
      </c>
      <c r="Y50" s="2"/>
      <c r="Z50" s="7">
        <f t="shared" si="35"/>
        <v>0.2</v>
      </c>
    </row>
    <row r="51" spans="1:26" s="27" customFormat="1" outlineLevel="1" collapsed="1" x14ac:dyDescent="0.25">
      <c r="A51" s="26"/>
      <c r="B51" s="12" t="str">
        <f>CONCATENATE("     ","Repair and Maintenance                            ")</f>
        <v xml:space="preserve">     Repair and Maintenance                            </v>
      </c>
      <c r="C51" s="12"/>
      <c r="D51" s="1">
        <f>SUM(OSRRefD22_9x_0)</f>
        <v>0</v>
      </c>
      <c r="E51" s="1"/>
      <c r="F51" s="5">
        <f t="shared" si="28"/>
        <v>0</v>
      </c>
      <c r="G51" s="1"/>
      <c r="H51" s="1">
        <f>SUM(OSRRefH22_9x_0)</f>
        <v>682.35</v>
      </c>
      <c r="I51" s="1"/>
      <c r="J51" s="5">
        <f t="shared" si="29"/>
        <v>1.0938952835935748E-2</v>
      </c>
      <c r="K51" s="1"/>
      <c r="L51" s="1">
        <f t="shared" si="30"/>
        <v>-682.35</v>
      </c>
      <c r="M51" s="1"/>
      <c r="N51" s="5">
        <f t="shared" si="31"/>
        <v>-1</v>
      </c>
      <c r="O51" s="12"/>
      <c r="P51" s="1">
        <f>SUM(OSRRefP22_9x_0)</f>
        <v>154932.13</v>
      </c>
      <c r="Q51" s="1"/>
      <c r="R51" s="5">
        <f t="shared" si="32"/>
        <v>0.28576775164572887</v>
      </c>
      <c r="S51" s="1"/>
      <c r="T51" s="1">
        <f>SUM(OSRRefT22_9x_0)</f>
        <v>119203.11</v>
      </c>
      <c r="U51" s="1"/>
      <c r="V51" s="5">
        <f t="shared" si="33"/>
        <v>0.24244141490975801</v>
      </c>
      <c r="W51" s="1"/>
      <c r="X51" s="1">
        <f t="shared" si="34"/>
        <v>35729.020000000004</v>
      </c>
      <c r="Y51" s="1"/>
      <c r="Z51" s="5">
        <f t="shared" si="35"/>
        <v>0.29973228047489703</v>
      </c>
    </row>
    <row r="52" spans="1:26" s="23" customFormat="1" hidden="1" outlineLevel="2" x14ac:dyDescent="0.25">
      <c r="A52" s="25"/>
      <c r="B52" s="10" t="str">
        <f>CONCATENATE("          ", "6371", " - ", "COMPUTER SOFTWARE MAINTENANCE")</f>
        <v xml:space="preserve">          6371 - COMPUTER SOFTWARE MAINTENANCE</v>
      </c>
      <c r="C52" s="10"/>
      <c r="D52" s="6"/>
      <c r="E52" s="2"/>
      <c r="F52" s="7">
        <f t="shared" si="28"/>
        <v>0</v>
      </c>
      <c r="G52" s="2"/>
      <c r="H52" s="6"/>
      <c r="I52" s="2"/>
      <c r="J52" s="7">
        <f t="shared" si="29"/>
        <v>0</v>
      </c>
      <c r="K52" s="2"/>
      <c r="L52" s="6">
        <f t="shared" si="30"/>
        <v>0</v>
      </c>
      <c r="M52" s="2"/>
      <c r="N52" s="7">
        <f t="shared" si="31"/>
        <v>0</v>
      </c>
      <c r="O52" s="10"/>
      <c r="P52" s="6">
        <v>5436</v>
      </c>
      <c r="Q52" s="2"/>
      <c r="R52" s="7">
        <f t="shared" si="32"/>
        <v>1.0026541931271338E-2</v>
      </c>
      <c r="S52" s="2"/>
      <c r="T52" s="6">
        <v>437.31</v>
      </c>
      <c r="U52" s="2"/>
      <c r="V52" s="7">
        <f t="shared" si="33"/>
        <v>8.8942356582966901E-4</v>
      </c>
      <c r="W52" s="2"/>
      <c r="X52" s="6">
        <f t="shared" si="34"/>
        <v>4998.6899999999996</v>
      </c>
      <c r="Y52" s="2"/>
      <c r="Z52" s="7">
        <f t="shared" si="35"/>
        <v>11.430541263634492</v>
      </c>
    </row>
    <row r="53" spans="1:26" s="23" customFormat="1" hidden="1" outlineLevel="2" x14ac:dyDescent="0.25">
      <c r="A53" s="25"/>
      <c r="B53" s="10" t="str">
        <f>CONCATENATE("          ", "6373", " - ", "MAINTENANCE CONTRACTS")</f>
        <v xml:space="preserve">          6373 - MAINTENANCE CONTRACTS</v>
      </c>
      <c r="C53" s="10"/>
      <c r="D53" s="6"/>
      <c r="E53" s="2"/>
      <c r="F53" s="7">
        <f t="shared" si="28"/>
        <v>0</v>
      </c>
      <c r="G53" s="2"/>
      <c r="H53" s="6"/>
      <c r="I53" s="2"/>
      <c r="J53" s="7">
        <f t="shared" si="29"/>
        <v>0</v>
      </c>
      <c r="K53" s="2"/>
      <c r="L53" s="6">
        <f t="shared" si="30"/>
        <v>0</v>
      </c>
      <c r="M53" s="2"/>
      <c r="N53" s="7">
        <f t="shared" si="31"/>
        <v>0</v>
      </c>
      <c r="O53" s="10"/>
      <c r="P53" s="6">
        <v>142934.13</v>
      </c>
      <c r="Q53" s="2"/>
      <c r="R53" s="7">
        <f t="shared" si="32"/>
        <v>0.26363779393943865</v>
      </c>
      <c r="S53" s="2"/>
      <c r="T53" s="6">
        <v>117094</v>
      </c>
      <c r="U53" s="2"/>
      <c r="V53" s="7">
        <f t="shared" si="33"/>
        <v>0.23815179853481344</v>
      </c>
      <c r="W53" s="2"/>
      <c r="X53" s="6">
        <f t="shared" si="34"/>
        <v>25840.130000000005</v>
      </c>
      <c r="Y53" s="2"/>
      <c r="Z53" s="7">
        <f t="shared" si="35"/>
        <v>0.22067851469759342</v>
      </c>
    </row>
    <row r="54" spans="1:26" s="23" customFormat="1" hidden="1" outlineLevel="2" x14ac:dyDescent="0.25">
      <c r="A54" s="25"/>
      <c r="B54" s="10" t="str">
        <f>CONCATENATE("          ", "6375", " - ", "OUTSIDE REPAIRS &amp; MAINTENANCE")</f>
        <v xml:space="preserve">          6375 - OUTSIDE REPAIRS &amp; MAINTENANCE</v>
      </c>
      <c r="C54" s="10"/>
      <c r="D54" s="6"/>
      <c r="E54" s="2"/>
      <c r="F54" s="7">
        <f t="shared" si="28"/>
        <v>0</v>
      </c>
      <c r="G54" s="2"/>
      <c r="H54" s="6">
        <v>682.35</v>
      </c>
      <c r="I54" s="2"/>
      <c r="J54" s="7">
        <f t="shared" si="29"/>
        <v>1.0938952835935748E-2</v>
      </c>
      <c r="K54" s="2"/>
      <c r="L54" s="6">
        <f t="shared" si="30"/>
        <v>-682.35</v>
      </c>
      <c r="M54" s="2"/>
      <c r="N54" s="7">
        <f t="shared" si="31"/>
        <v>-1</v>
      </c>
      <c r="O54" s="10"/>
      <c r="P54" s="6">
        <v>6562</v>
      </c>
      <c r="Q54" s="2"/>
      <c r="R54" s="7">
        <f t="shared" si="32"/>
        <v>1.2103415775018859E-2</v>
      </c>
      <c r="S54" s="2"/>
      <c r="T54" s="6">
        <v>1671.8</v>
      </c>
      <c r="U54" s="2"/>
      <c r="V54" s="7">
        <f t="shared" si="33"/>
        <v>3.4001928091149086E-3</v>
      </c>
      <c r="W54" s="2"/>
      <c r="X54" s="6">
        <f t="shared" si="34"/>
        <v>4890.2</v>
      </c>
      <c r="Y54" s="2"/>
      <c r="Z54" s="7">
        <f t="shared" si="35"/>
        <v>2.9251106591697571</v>
      </c>
    </row>
    <row r="55" spans="1:26" s="27" customFormat="1" outlineLevel="1" collapsed="1" x14ac:dyDescent="0.25">
      <c r="A55" s="26"/>
      <c r="B55" s="12" t="str">
        <f>CONCATENATE("     ","Subscriptions &amp; Dues                              ")</f>
        <v xml:space="preserve">     Subscriptions &amp; Dues                              </v>
      </c>
      <c r="C55" s="12"/>
      <c r="D55" s="1">
        <f>SUM(OSRRefD22_10x_0)</f>
        <v>0</v>
      </c>
      <c r="E55" s="1"/>
      <c r="F55" s="5">
        <f t="shared" ref="F55:F60" si="36">IF(D$12=0,0,D55/D$12)</f>
        <v>0</v>
      </c>
      <c r="G55" s="1"/>
      <c r="H55" s="1">
        <f>SUM(OSRRefH22_10x_0)</f>
        <v>0</v>
      </c>
      <c r="I55" s="1"/>
      <c r="J55" s="5">
        <f t="shared" ref="J55:J60" si="37">IF(H$12=0,0,H55/H$12)</f>
        <v>0</v>
      </c>
      <c r="K55" s="1"/>
      <c r="L55" s="1">
        <f t="shared" ref="L55:L60" si="38">+D55-H55</f>
        <v>0</v>
      </c>
      <c r="M55" s="1"/>
      <c r="N55" s="5">
        <f t="shared" ref="N55:N60" si="39">IF(H55=0,0,L55/H55)</f>
        <v>0</v>
      </c>
      <c r="O55" s="12"/>
      <c r="P55" s="1">
        <f>SUM(OSRRefP22_10x_0)</f>
        <v>0</v>
      </c>
      <c r="Q55" s="1"/>
      <c r="R55" s="5">
        <f t="shared" ref="R55:R60" si="40">IF(P$12=0,0,P55/P$12)</f>
        <v>0</v>
      </c>
      <c r="S55" s="1"/>
      <c r="T55" s="1">
        <f>SUM(OSRRefT22_10x_0)</f>
        <v>1740</v>
      </c>
      <c r="U55" s="1"/>
      <c r="V55" s="5">
        <f t="shared" ref="V55:V60" si="41">IF(T$12=0,0,T55/T$12)</f>
        <v>3.5389014761693627E-3</v>
      </c>
      <c r="W55" s="1"/>
      <c r="X55" s="1">
        <f t="shared" ref="X55:X60" si="42">+P55-T55</f>
        <v>-1740</v>
      </c>
      <c r="Y55" s="1"/>
      <c r="Z55" s="5">
        <f t="shared" ref="Z55:Z60" si="43">IF(T55=0,0,X55/T55)</f>
        <v>-1</v>
      </c>
    </row>
    <row r="56" spans="1:26" s="23" customFormat="1" hidden="1" outlineLevel="2" x14ac:dyDescent="0.25">
      <c r="A56" s="25"/>
      <c r="B56" s="10" t="str">
        <f>CONCATENATE("          ", "6258", " - ", "MEMBERSHIP DUES")</f>
        <v xml:space="preserve">          6258 - MEMBERSHIP DUES</v>
      </c>
      <c r="C56" s="10"/>
      <c r="D56" s="6"/>
      <c r="E56" s="2"/>
      <c r="F56" s="7">
        <f t="shared" si="36"/>
        <v>0</v>
      </c>
      <c r="G56" s="2"/>
      <c r="H56" s="6"/>
      <c r="I56" s="2"/>
      <c r="J56" s="7">
        <f t="shared" si="37"/>
        <v>0</v>
      </c>
      <c r="K56" s="2"/>
      <c r="L56" s="6">
        <f t="shared" si="38"/>
        <v>0</v>
      </c>
      <c r="M56" s="2"/>
      <c r="N56" s="7">
        <f t="shared" si="39"/>
        <v>0</v>
      </c>
      <c r="O56" s="10"/>
      <c r="P56" s="6"/>
      <c r="Q56" s="2"/>
      <c r="R56" s="7">
        <f t="shared" si="40"/>
        <v>0</v>
      </c>
      <c r="S56" s="2"/>
      <c r="T56" s="6">
        <v>1740</v>
      </c>
      <c r="U56" s="2"/>
      <c r="V56" s="7">
        <f t="shared" si="41"/>
        <v>3.5389014761693627E-3</v>
      </c>
      <c r="W56" s="2"/>
      <c r="X56" s="6">
        <f t="shared" si="42"/>
        <v>-1740</v>
      </c>
      <c r="Y56" s="2"/>
      <c r="Z56" s="7">
        <f t="shared" si="43"/>
        <v>-1</v>
      </c>
    </row>
    <row r="57" spans="1:26" s="27" customFormat="1" outlineLevel="1" collapsed="1" x14ac:dyDescent="0.25">
      <c r="A57" s="26"/>
      <c r="B57" s="12" t="str">
        <f>CONCATENATE("     ","Supplies                                          ")</f>
        <v xml:space="preserve">     Supplies                                          </v>
      </c>
      <c r="C57" s="12"/>
      <c r="D57" s="1">
        <f>SUM(OSRRefD22_11x_0)</f>
        <v>4251.9399999999996</v>
      </c>
      <c r="E57" s="1"/>
      <c r="F57" s="5">
        <f t="shared" si="36"/>
        <v>0.17024784784784783</v>
      </c>
      <c r="G57" s="1"/>
      <c r="H57" s="1">
        <f>SUM(OSRRefH22_11x_0)</f>
        <v>39762.83</v>
      </c>
      <c r="I57" s="1"/>
      <c r="J57" s="5">
        <f t="shared" si="37"/>
        <v>0.63744958158325049</v>
      </c>
      <c r="K57" s="1"/>
      <c r="L57" s="1">
        <f t="shared" si="38"/>
        <v>-35510.89</v>
      </c>
      <c r="M57" s="1"/>
      <c r="N57" s="5">
        <f t="shared" si="39"/>
        <v>-0.89306747029826594</v>
      </c>
      <c r="O57" s="12"/>
      <c r="P57" s="1">
        <f>SUM(OSRRefP22_11x_0)</f>
        <v>53091.53</v>
      </c>
      <c r="Q57" s="1"/>
      <c r="R57" s="5">
        <f t="shared" si="40"/>
        <v>9.792576374914462E-2</v>
      </c>
      <c r="S57" s="1"/>
      <c r="T57" s="1">
        <f>SUM(OSRRefT22_11x_0)</f>
        <v>64725.189999999995</v>
      </c>
      <c r="U57" s="1"/>
      <c r="V57" s="5">
        <f t="shared" si="41"/>
        <v>0.13164141979100141</v>
      </c>
      <c r="W57" s="1"/>
      <c r="X57" s="1">
        <f t="shared" si="42"/>
        <v>-11633.659999999996</v>
      </c>
      <c r="Y57" s="1"/>
      <c r="Z57" s="5">
        <f t="shared" si="43"/>
        <v>-0.179739294701182</v>
      </c>
    </row>
    <row r="58" spans="1:26" s="23" customFormat="1" hidden="1" outlineLevel="2" x14ac:dyDescent="0.25">
      <c r="A58" s="25"/>
      <c r="B58" s="10" t="str">
        <f>CONCATENATE("          ", "6234", " - ", "EXPENDABLE SUPPLIES &amp; EQUIPMEN")</f>
        <v xml:space="preserve">          6234 - EXPENDABLE SUPPLIES &amp; EQUIPMEN</v>
      </c>
      <c r="C58" s="10"/>
      <c r="D58" s="6"/>
      <c r="E58" s="2"/>
      <c r="F58" s="7">
        <f t="shared" si="36"/>
        <v>0</v>
      </c>
      <c r="G58" s="2"/>
      <c r="H58" s="6"/>
      <c r="I58" s="2"/>
      <c r="J58" s="7">
        <f t="shared" si="37"/>
        <v>0</v>
      </c>
      <c r="K58" s="2"/>
      <c r="L58" s="6">
        <f t="shared" si="38"/>
        <v>0</v>
      </c>
      <c r="M58" s="2"/>
      <c r="N58" s="7">
        <f t="shared" si="39"/>
        <v>0</v>
      </c>
      <c r="O58" s="10"/>
      <c r="P58" s="6"/>
      <c r="Q58" s="2"/>
      <c r="R58" s="7">
        <f t="shared" si="40"/>
        <v>0</v>
      </c>
      <c r="S58" s="2"/>
      <c r="T58" s="6">
        <v>413.27</v>
      </c>
      <c r="U58" s="2"/>
      <c r="V58" s="7">
        <f t="shared" si="41"/>
        <v>8.4052977761868539E-4</v>
      </c>
      <c r="W58" s="2"/>
      <c r="X58" s="6">
        <f t="shared" si="42"/>
        <v>-413.27</v>
      </c>
      <c r="Y58" s="2"/>
      <c r="Z58" s="7">
        <f t="shared" si="43"/>
        <v>-1</v>
      </c>
    </row>
    <row r="59" spans="1:26" s="23" customFormat="1" hidden="1" outlineLevel="2" x14ac:dyDescent="0.25">
      <c r="A59" s="25"/>
      <c r="B59" s="10" t="str">
        <f>CONCATENATE("          ", "6241", " - ", "OFFICE EXPENSE")</f>
        <v xml:space="preserve">          6241 - OFFICE EXPENSE</v>
      </c>
      <c r="C59" s="10"/>
      <c r="D59" s="6">
        <v>4251.9399999999996</v>
      </c>
      <c r="E59" s="2"/>
      <c r="F59" s="7">
        <f t="shared" si="36"/>
        <v>0.17024784784784783</v>
      </c>
      <c r="G59" s="2"/>
      <c r="H59" s="6">
        <v>39762.83</v>
      </c>
      <c r="I59" s="2"/>
      <c r="J59" s="7">
        <f t="shared" si="37"/>
        <v>0.63744958158325049</v>
      </c>
      <c r="K59" s="2"/>
      <c r="L59" s="6">
        <f t="shared" si="38"/>
        <v>-35510.89</v>
      </c>
      <c r="M59" s="2"/>
      <c r="N59" s="7">
        <f t="shared" si="39"/>
        <v>-0.89306747029826594</v>
      </c>
      <c r="O59" s="10"/>
      <c r="P59" s="6">
        <v>53091.53</v>
      </c>
      <c r="Q59" s="2"/>
      <c r="R59" s="7">
        <f t="shared" si="40"/>
        <v>9.792576374914462E-2</v>
      </c>
      <c r="S59" s="2"/>
      <c r="T59" s="6">
        <v>64108.4</v>
      </c>
      <c r="U59" s="2"/>
      <c r="V59" s="7">
        <f t="shared" si="41"/>
        <v>0.13038696057175631</v>
      </c>
      <c r="W59" s="2"/>
      <c r="X59" s="6">
        <f t="shared" si="42"/>
        <v>-11016.870000000003</v>
      </c>
      <c r="Y59" s="2"/>
      <c r="Z59" s="7">
        <f t="shared" si="43"/>
        <v>-0.17184752700114186</v>
      </c>
    </row>
    <row r="60" spans="1:26" s="23" customFormat="1" hidden="1" outlineLevel="2" x14ac:dyDescent="0.25">
      <c r="A60" s="25"/>
      <c r="B60" s="10" t="str">
        <f>CONCATENATE("          ", "6245", " - ", "PRINTING")</f>
        <v xml:space="preserve">          6245 - PRINTING</v>
      </c>
      <c r="C60" s="10"/>
      <c r="D60" s="6"/>
      <c r="E60" s="2"/>
      <c r="F60" s="7">
        <f t="shared" si="36"/>
        <v>0</v>
      </c>
      <c r="G60" s="2"/>
      <c r="H60" s="6"/>
      <c r="I60" s="2"/>
      <c r="J60" s="7">
        <f t="shared" si="37"/>
        <v>0</v>
      </c>
      <c r="K60" s="2"/>
      <c r="L60" s="6">
        <f t="shared" si="38"/>
        <v>0</v>
      </c>
      <c r="M60" s="2"/>
      <c r="N60" s="7">
        <f t="shared" si="39"/>
        <v>0</v>
      </c>
      <c r="O60" s="10"/>
      <c r="P60" s="6"/>
      <c r="Q60" s="2"/>
      <c r="R60" s="7">
        <f t="shared" si="40"/>
        <v>0</v>
      </c>
      <c r="S60" s="2"/>
      <c r="T60" s="6">
        <v>203.52</v>
      </c>
      <c r="U60" s="2"/>
      <c r="V60" s="7">
        <f t="shared" si="41"/>
        <v>4.139294416264303E-4</v>
      </c>
      <c r="W60" s="2"/>
      <c r="X60" s="6">
        <f t="shared" si="42"/>
        <v>-203.52</v>
      </c>
      <c r="Y60" s="2"/>
      <c r="Z60" s="7">
        <f t="shared" si="43"/>
        <v>-1</v>
      </c>
    </row>
    <row r="61" spans="1:26" s="27" customFormat="1" outlineLevel="1" collapsed="1" x14ac:dyDescent="0.25">
      <c r="A61" s="26"/>
      <c r="B61" s="12" t="str">
        <f>CONCATENATE("     ","Telephone/Data Lines                              ")</f>
        <v xml:space="preserve">     Telephone/Data Lines                              </v>
      </c>
      <c r="C61" s="12"/>
      <c r="D61" s="1">
        <f>SUM(OSRRefD22_12x_0)</f>
        <v>86.65</v>
      </c>
      <c r="E61" s="1"/>
      <c r="F61" s="5">
        <f t="shared" ref="F61:F64" si="44">IF(D$12=0,0,D61/D$12)</f>
        <v>3.4694694694694696E-3</v>
      </c>
      <c r="G61" s="1"/>
      <c r="H61" s="1">
        <f>SUM(OSRRefH22_12x_0)</f>
        <v>-16.89</v>
      </c>
      <c r="I61" s="1"/>
      <c r="J61" s="5">
        <f t="shared" ref="J61:J64" si="45">IF(H$12=0,0,H61/H$12)</f>
        <v>-2.7076854019045178E-4</v>
      </c>
      <c r="K61" s="1"/>
      <c r="L61" s="1">
        <f t="shared" ref="L61:L64" si="46">+D61-H61</f>
        <v>103.54</v>
      </c>
      <c r="M61" s="1"/>
      <c r="N61" s="5">
        <f t="shared" ref="N61:N64" si="47">IF(H61=0,0,L61/H61)</f>
        <v>-6.1302545885139139</v>
      </c>
      <c r="O61" s="12"/>
      <c r="P61" s="1">
        <f>SUM(OSRRefP22_12x_0)</f>
        <v>1973.38</v>
      </c>
      <c r="Q61" s="1"/>
      <c r="R61" s="5">
        <f t="shared" ref="R61:R64" si="48">IF(P$12=0,0,P61/P$12)</f>
        <v>3.6398413017535384E-3</v>
      </c>
      <c r="S61" s="1"/>
      <c r="T61" s="1">
        <f>SUM(OSRRefT22_12x_0)</f>
        <v>2080.66</v>
      </c>
      <c r="U61" s="1"/>
      <c r="V61" s="5">
        <f t="shared" ref="V61:V64" si="49">IF(T$12=0,0,T61/T$12)</f>
        <v>4.2317533019577847E-3</v>
      </c>
      <c r="W61" s="1"/>
      <c r="X61" s="1">
        <f t="shared" ref="X61:X64" si="50">+P61-T61</f>
        <v>-107.27999999999975</v>
      </c>
      <c r="Y61" s="1"/>
      <c r="Z61" s="5">
        <f t="shared" ref="Z61:Z64" si="51">IF(T61=0,0,X61/T61)</f>
        <v>-5.1560562513817611E-2</v>
      </c>
    </row>
    <row r="62" spans="1:26" s="23" customFormat="1" hidden="1" outlineLevel="2" x14ac:dyDescent="0.25">
      <c r="A62" s="25"/>
      <c r="B62" s="10" t="str">
        <f>CONCATENATE("          ", "6309", " - ", "TELEPHONE")</f>
        <v xml:space="preserve">          6309 - TELEPHONE</v>
      </c>
      <c r="C62" s="10"/>
      <c r="D62" s="6">
        <v>86.65</v>
      </c>
      <c r="E62" s="2"/>
      <c r="F62" s="7">
        <f t="shared" si="44"/>
        <v>3.4694694694694696E-3</v>
      </c>
      <c r="G62" s="2"/>
      <c r="H62" s="6">
        <v>-16.89</v>
      </c>
      <c r="I62" s="2"/>
      <c r="J62" s="7">
        <f t="shared" si="45"/>
        <v>-2.7076854019045178E-4</v>
      </c>
      <c r="K62" s="2"/>
      <c r="L62" s="6">
        <f t="shared" si="46"/>
        <v>103.54</v>
      </c>
      <c r="M62" s="2"/>
      <c r="N62" s="7">
        <f t="shared" si="47"/>
        <v>-6.1302545885139139</v>
      </c>
      <c r="O62" s="10"/>
      <c r="P62" s="6">
        <v>1973.38</v>
      </c>
      <c r="Q62" s="2"/>
      <c r="R62" s="7">
        <f t="shared" si="48"/>
        <v>3.6398413017535384E-3</v>
      </c>
      <c r="S62" s="2"/>
      <c r="T62" s="6">
        <v>2080.66</v>
      </c>
      <c r="U62" s="2"/>
      <c r="V62" s="7">
        <f t="shared" si="49"/>
        <v>4.2317533019577847E-3</v>
      </c>
      <c r="W62" s="2"/>
      <c r="X62" s="6">
        <f t="shared" si="50"/>
        <v>-107.27999999999975</v>
      </c>
      <c r="Y62" s="2"/>
      <c r="Z62" s="7">
        <f t="shared" si="51"/>
        <v>-5.1560562513817611E-2</v>
      </c>
    </row>
    <row r="63" spans="1:26" s="27" customFormat="1" outlineLevel="1" collapsed="1" x14ac:dyDescent="0.25">
      <c r="A63" s="26"/>
      <c r="B63" s="12" t="str">
        <f>CONCATENATE("     ","Training                                          ")</f>
        <v xml:space="preserve">     Training                                          </v>
      </c>
      <c r="C63" s="12"/>
      <c r="D63" s="1">
        <f>SUM(OSRRefD22_13x_0)</f>
        <v>0</v>
      </c>
      <c r="E63" s="1"/>
      <c r="F63" s="5">
        <f t="shared" si="44"/>
        <v>0</v>
      </c>
      <c r="G63" s="1"/>
      <c r="H63" s="1">
        <f>SUM(OSRRefH22_13x_0)</f>
        <v>0</v>
      </c>
      <c r="I63" s="1"/>
      <c r="J63" s="5">
        <f t="shared" si="45"/>
        <v>0</v>
      </c>
      <c r="K63" s="1"/>
      <c r="L63" s="1">
        <f t="shared" si="46"/>
        <v>0</v>
      </c>
      <c r="M63" s="1"/>
      <c r="N63" s="5">
        <f t="shared" si="47"/>
        <v>0</v>
      </c>
      <c r="O63" s="12"/>
      <c r="P63" s="1">
        <f>SUM(OSRRefP22_13x_0)</f>
        <v>0</v>
      </c>
      <c r="Q63" s="1"/>
      <c r="R63" s="5">
        <f t="shared" si="48"/>
        <v>0</v>
      </c>
      <c r="S63" s="1"/>
      <c r="T63" s="1">
        <f>SUM(OSRRefT22_13x_0)</f>
        <v>3186.24</v>
      </c>
      <c r="U63" s="1"/>
      <c r="V63" s="5">
        <f t="shared" si="49"/>
        <v>6.4803387582930286E-3</v>
      </c>
      <c r="W63" s="1"/>
      <c r="X63" s="1">
        <f t="shared" si="50"/>
        <v>-3186.24</v>
      </c>
      <c r="Y63" s="1"/>
      <c r="Z63" s="5">
        <f t="shared" si="51"/>
        <v>-1</v>
      </c>
    </row>
    <row r="64" spans="1:26" s="23" customFormat="1" hidden="1" outlineLevel="2" x14ac:dyDescent="0.25">
      <c r="A64" s="25"/>
      <c r="B64" s="10" t="str">
        <f>CONCATENATE("          ", "6376", " - ", "TRAINING")</f>
        <v xml:space="preserve">          6376 - TRAINING</v>
      </c>
      <c r="C64" s="10"/>
      <c r="D64" s="6"/>
      <c r="E64" s="2"/>
      <c r="F64" s="7">
        <f t="shared" si="44"/>
        <v>0</v>
      </c>
      <c r="G64" s="2"/>
      <c r="H64" s="6"/>
      <c r="I64" s="2"/>
      <c r="J64" s="7">
        <f t="shared" si="45"/>
        <v>0</v>
      </c>
      <c r="K64" s="2"/>
      <c r="L64" s="6">
        <f t="shared" si="46"/>
        <v>0</v>
      </c>
      <c r="M64" s="2"/>
      <c r="N64" s="7">
        <f t="shared" si="47"/>
        <v>0</v>
      </c>
      <c r="O64" s="10"/>
      <c r="P64" s="6"/>
      <c r="Q64" s="2"/>
      <c r="R64" s="7">
        <f t="shared" si="48"/>
        <v>0</v>
      </c>
      <c r="S64" s="2"/>
      <c r="T64" s="6">
        <v>3186.24</v>
      </c>
      <c r="U64" s="2"/>
      <c r="V64" s="7">
        <f t="shared" si="49"/>
        <v>6.4803387582930286E-3</v>
      </c>
      <c r="W64" s="2"/>
      <c r="X64" s="6">
        <f t="shared" si="50"/>
        <v>-3186.24</v>
      </c>
      <c r="Y64" s="2"/>
      <c r="Z64" s="7">
        <f t="shared" si="51"/>
        <v>-1</v>
      </c>
    </row>
    <row r="65" spans="1:26" s="52" customFormat="1" x14ac:dyDescent="0.25">
      <c r="A65" s="37"/>
      <c r="B65" s="37"/>
      <c r="C65" s="37"/>
      <c r="D65" s="1"/>
      <c r="E65" s="1"/>
      <c r="F65" s="5"/>
      <c r="G65" s="1"/>
      <c r="H65" s="1"/>
      <c r="I65" s="1"/>
      <c r="J65" s="5"/>
      <c r="K65" s="1"/>
      <c r="L65" s="1"/>
      <c r="M65" s="1"/>
      <c r="N65" s="5"/>
      <c r="O65" s="37"/>
      <c r="P65" s="1"/>
      <c r="Q65" s="1"/>
      <c r="R65" s="5"/>
      <c r="S65" s="1"/>
      <c r="T65" s="1"/>
      <c r="U65" s="1"/>
      <c r="V65" s="5"/>
      <c r="W65" s="1"/>
      <c r="X65" s="1"/>
      <c r="Y65" s="1"/>
      <c r="Z65" s="5"/>
    </row>
    <row r="66" spans="1:26" s="24" customFormat="1" collapsed="1" x14ac:dyDescent="0.25">
      <c r="A66" s="11"/>
      <c r="B66" s="29" t="s">
        <v>292</v>
      </c>
      <c r="C66" s="11"/>
      <c r="D66" s="4">
        <f>SUM(OSRRefD25x_0)</f>
        <v>2753.29</v>
      </c>
      <c r="E66" s="4"/>
      <c r="F66" s="13">
        <f t="shared" ref="F66:F67" si="52">IF(D$12=0,0,D66/D$12)</f>
        <v>0.11024184184184184</v>
      </c>
      <c r="G66" s="4"/>
      <c r="H66" s="4">
        <f>SUM(OSRRefH25x_0)</f>
        <v>0.04</v>
      </c>
      <c r="I66" s="4"/>
      <c r="J66" s="13">
        <f t="shared" ref="J66:J67" si="53">IF(H$12=0,0,H66/H$12)</f>
        <v>6.4125172336400659E-7</v>
      </c>
      <c r="K66" s="4"/>
      <c r="L66" s="4">
        <f t="shared" ref="L66:L67" si="54">+D66-H66</f>
        <v>2753.25</v>
      </c>
      <c r="M66" s="4"/>
      <c r="N66" s="13">
        <f t="shared" ref="N66:N67" si="55">IF(H66=0,0,L66/H66)</f>
        <v>68831.25</v>
      </c>
      <c r="O66" s="11"/>
      <c r="P66" s="4">
        <f>SUM(OSRRefP25x_0)</f>
        <v>5251.64</v>
      </c>
      <c r="Q66" s="4"/>
      <c r="R66" s="13">
        <f t="shared" ref="R66:R67" si="56">IF(P$12=0,0,P66/P$12)</f>
        <v>9.6864953399451465E-3</v>
      </c>
      <c r="S66" s="4"/>
      <c r="T66" s="4">
        <f>SUM(OSRRefT25x_0)</f>
        <v>20670.75</v>
      </c>
      <c r="U66" s="4"/>
      <c r="V66" s="13">
        <f t="shared" ref="V66:V67" si="57">IF(T$12=0,0,T66/T$12)</f>
        <v>4.2041234303751646E-2</v>
      </c>
      <c r="W66" s="4"/>
      <c r="X66" s="4">
        <f t="shared" ref="X66:X67" si="58">+P66-T66</f>
        <v>-15419.11</v>
      </c>
      <c r="Y66" s="4"/>
      <c r="Z66" s="13">
        <f t="shared" ref="Z66:Z67" si="59">IF(T66=0,0,X66/T66)</f>
        <v>-0.74593858471511676</v>
      </c>
    </row>
    <row r="67" spans="1:26" s="23" customFormat="1" hidden="1" outlineLevel="1" x14ac:dyDescent="0.25">
      <c r="A67" s="44"/>
      <c r="B67" s="10" t="str">
        <f>CONCATENATE("          ", "9150", " - ", "MISC. INCOME")</f>
        <v xml:space="preserve">          9150 - MISC. INCOME</v>
      </c>
      <c r="C67" s="10"/>
      <c r="D67" s="2">
        <f>--2753.29</f>
        <v>2753.29</v>
      </c>
      <c r="E67" s="2"/>
      <c r="F67" s="19">
        <f t="shared" si="52"/>
        <v>0.11024184184184184</v>
      </c>
      <c r="G67" s="2"/>
      <c r="H67" s="2">
        <f>--0.04</f>
        <v>0.04</v>
      </c>
      <c r="I67" s="2"/>
      <c r="J67" s="19">
        <f t="shared" si="53"/>
        <v>6.4125172336400659E-7</v>
      </c>
      <c r="K67" s="2"/>
      <c r="L67" s="2">
        <f t="shared" si="54"/>
        <v>2753.25</v>
      </c>
      <c r="M67" s="2"/>
      <c r="N67" s="19">
        <f t="shared" si="55"/>
        <v>68831.25</v>
      </c>
      <c r="O67" s="10"/>
      <c r="P67" s="2">
        <f>--5251.64</f>
        <v>5251.64</v>
      </c>
      <c r="Q67" s="2"/>
      <c r="R67" s="19">
        <f t="shared" si="56"/>
        <v>9.6864953399451465E-3</v>
      </c>
      <c r="S67" s="2"/>
      <c r="T67" s="2">
        <f>--20670.75</f>
        <v>20670.75</v>
      </c>
      <c r="U67" s="2"/>
      <c r="V67" s="19">
        <f t="shared" si="57"/>
        <v>4.2041234303751646E-2</v>
      </c>
      <c r="W67" s="2"/>
      <c r="X67" s="2">
        <f t="shared" si="58"/>
        <v>-15419.11</v>
      </c>
      <c r="Y67" s="2"/>
      <c r="Z67" s="19">
        <f t="shared" si="59"/>
        <v>-0.74593858471511676</v>
      </c>
    </row>
    <row r="68" spans="1:26" x14ac:dyDescent="0.25">
      <c r="A68" s="9"/>
      <c r="B68" s="11"/>
      <c r="C68" s="11"/>
      <c r="D68" s="3"/>
      <c r="E68" s="3"/>
      <c r="F68" s="8"/>
      <c r="G68" s="3"/>
      <c r="H68" s="3"/>
      <c r="I68" s="3"/>
      <c r="J68" s="8"/>
      <c r="K68" s="3"/>
      <c r="L68" s="3"/>
      <c r="M68" s="3"/>
      <c r="N68" s="8"/>
      <c r="O68" s="11"/>
      <c r="P68" s="3"/>
      <c r="Q68" s="3"/>
      <c r="R68" s="8"/>
      <c r="S68" s="3"/>
      <c r="T68" s="3"/>
      <c r="U68" s="3"/>
      <c r="V68" s="8"/>
      <c r="W68" s="3"/>
      <c r="X68" s="3"/>
      <c r="Y68" s="3"/>
      <c r="Z68" s="8"/>
    </row>
    <row r="69" spans="1:26" s="24" customFormat="1" x14ac:dyDescent="0.25">
      <c r="A69" s="11"/>
      <c r="B69" s="28" t="s">
        <v>276</v>
      </c>
      <c r="C69" s="28"/>
      <c r="D69" s="21">
        <f>+D17-D19+D66</f>
        <v>10578.43</v>
      </c>
      <c r="E69" s="14"/>
      <c r="F69" s="22">
        <f>IF(D$12=0,0,D69/D$12)</f>
        <v>0.42356076076076077</v>
      </c>
      <c r="G69" s="14"/>
      <c r="H69" s="21">
        <f>+H17-H19+H66</f>
        <v>4865.7999999999947</v>
      </c>
      <c r="I69" s="14"/>
      <c r="J69" s="22">
        <f>IF(H$12=0,0,H69/H$12)</f>
        <v>7.8005065888614486E-2</v>
      </c>
      <c r="K69" s="15"/>
      <c r="L69" s="21">
        <f>+D69-H69</f>
        <v>5712.6300000000056</v>
      </c>
      <c r="M69" s="15"/>
      <c r="N69" s="22">
        <f>IF(H69=0,0,L69/H69)</f>
        <v>1.1740371573019877</v>
      </c>
      <c r="O69" s="29"/>
      <c r="P69" s="21">
        <f>+P17-P19+P66</f>
        <v>110484.68999999993</v>
      </c>
      <c r="Q69" s="14"/>
      <c r="R69" s="22">
        <f>IF(P$12=0,0,P69/P$12)</f>
        <v>0.20378575736727639</v>
      </c>
      <c r="S69" s="14"/>
      <c r="T69" s="21">
        <f>+T17-T19+T66</f>
        <v>50838.01999999996</v>
      </c>
      <c r="U69" s="14"/>
      <c r="V69" s="22">
        <f>IF(T$12=0,0,T69/T$12)</f>
        <v>0.10339697932386635</v>
      </c>
      <c r="W69" s="15"/>
      <c r="X69" s="21">
        <f>+P69-T69</f>
        <v>59646.669999999969</v>
      </c>
      <c r="Y69" s="15"/>
      <c r="Z69" s="22">
        <f>IF(T69=0,0,X69/T69)</f>
        <v>1.1732689432043186</v>
      </c>
    </row>
    <row r="70" spans="1:26" x14ac:dyDescent="0.25">
      <c r="A70" s="9"/>
      <c r="B70" s="11"/>
      <c r="C70" s="9"/>
      <c r="D70" s="3"/>
      <c r="E70" s="3"/>
      <c r="F70" s="8"/>
      <c r="G70" s="3"/>
      <c r="H70" s="3"/>
      <c r="I70" s="3"/>
      <c r="J70" s="8"/>
      <c r="K70" s="3"/>
      <c r="L70" s="3"/>
      <c r="M70" s="3"/>
      <c r="N70" s="8"/>
      <c r="P70" s="3"/>
      <c r="Q70" s="3"/>
      <c r="R70" s="8"/>
      <c r="S70" s="3"/>
      <c r="T70" s="3"/>
      <c r="U70" s="3"/>
      <c r="V70" s="8"/>
      <c r="W70" s="3"/>
      <c r="X70" s="3"/>
      <c r="Y70" s="3"/>
      <c r="Z70" s="8"/>
    </row>
    <row r="71" spans="1:26" s="24" customFormat="1" x14ac:dyDescent="0.25">
      <c r="A71" s="51"/>
      <c r="B71" s="11" t="s">
        <v>127</v>
      </c>
      <c r="C71" s="11"/>
      <c r="D71" s="4">
        <v>39549.519999999997</v>
      </c>
      <c r="E71" s="4"/>
      <c r="F71" s="13">
        <f>IF(D$12=0,0,D71/D$12)</f>
        <v>1.5835643643643642</v>
      </c>
      <c r="G71" s="4"/>
      <c r="H71" s="4">
        <v>23613.22</v>
      </c>
      <c r="I71" s="4"/>
      <c r="J71" s="13">
        <f>IF(H$12=0,0,H71/H$12)</f>
        <v>0.37855045047933567</v>
      </c>
      <c r="K71" s="4"/>
      <c r="L71" s="4">
        <f>+D71-H71</f>
        <v>15936.299999999996</v>
      </c>
      <c r="M71" s="4"/>
      <c r="N71" s="13">
        <f>IF(H71=0,0,L71/H71)</f>
        <v>0.67488889698228338</v>
      </c>
      <c r="O71" s="11"/>
      <c r="P71" s="4">
        <v>150067.26</v>
      </c>
      <c r="Q71" s="4"/>
      <c r="R71" s="13">
        <f>IF(P$12=0,0,P71/P$12)</f>
        <v>0.27679464218193489</v>
      </c>
      <c r="S71" s="4"/>
      <c r="T71" s="4">
        <v>74451.17</v>
      </c>
      <c r="U71" s="4"/>
      <c r="V71" s="13">
        <f>IF(T$12=0,0,T71/T$12)</f>
        <v>0.15142261805490584</v>
      </c>
      <c r="W71" s="4"/>
      <c r="X71" s="4">
        <f>+P71-T71</f>
        <v>75616.090000000011</v>
      </c>
      <c r="Y71" s="4"/>
      <c r="Z71" s="13">
        <f>IF(T71=0,0,X71/T71)</f>
        <v>1.0156467655243029</v>
      </c>
    </row>
    <row r="72" spans="1:26" x14ac:dyDescent="0.25">
      <c r="A72" s="9"/>
      <c r="B72" s="11"/>
      <c r="C72" s="11"/>
      <c r="D72" s="3"/>
      <c r="E72" s="3"/>
      <c r="F72" s="8"/>
      <c r="G72" s="3"/>
      <c r="H72" s="3"/>
      <c r="I72" s="3"/>
      <c r="J72" s="8"/>
      <c r="K72" s="3"/>
      <c r="L72" s="3"/>
      <c r="M72" s="3"/>
      <c r="N72" s="8"/>
      <c r="O72" s="11"/>
      <c r="P72" s="3"/>
      <c r="Q72" s="3"/>
      <c r="R72" s="8"/>
      <c r="S72" s="3"/>
      <c r="T72" s="3"/>
      <c r="U72" s="3"/>
      <c r="V72" s="8"/>
      <c r="W72" s="3"/>
      <c r="X72" s="3"/>
      <c r="Y72" s="3"/>
      <c r="Z72" s="8"/>
    </row>
    <row r="73" spans="1:26" s="24" customFormat="1" ht="15.75" thickBot="1" x14ac:dyDescent="0.3">
      <c r="A73" s="11"/>
      <c r="B73" s="28" t="s">
        <v>125</v>
      </c>
      <c r="C73" s="28"/>
      <c r="D73" s="34">
        <f>+D69-D71</f>
        <v>-28971.089999999997</v>
      </c>
      <c r="E73" s="14"/>
      <c r="F73" s="31">
        <f>IF(D$12=0,0,D73/D$12)</f>
        <v>-1.1600036036036034</v>
      </c>
      <c r="G73" s="14"/>
      <c r="H73" s="34">
        <f>+H69-H71</f>
        <v>-18747.420000000006</v>
      </c>
      <c r="I73" s="14"/>
      <c r="J73" s="31">
        <f>IF(H$12=0,0,H73/H$12)</f>
        <v>-0.30054538459072117</v>
      </c>
      <c r="K73" s="15"/>
      <c r="L73" s="34">
        <f>D73-H73</f>
        <v>-10223.669999999991</v>
      </c>
      <c r="M73" s="15"/>
      <c r="N73" s="31">
        <f>IF(H73=0,0,L73/H73)</f>
        <v>0.54533743843152749</v>
      </c>
      <c r="O73" s="29"/>
      <c r="P73" s="34">
        <f>+P69-P71</f>
        <v>-39582.57000000008</v>
      </c>
      <c r="Q73" s="14"/>
      <c r="R73" s="31">
        <f>IF(P$12=0,0,P73/P$12)</f>
        <v>-7.3008884814658517E-2</v>
      </c>
      <c r="S73" s="14"/>
      <c r="T73" s="34">
        <f>+T69-T71</f>
        <v>-23613.150000000038</v>
      </c>
      <c r="U73" s="14"/>
      <c r="V73" s="31">
        <f>IF(T$12=0,0,T73/T$12)</f>
        <v>-4.8025638731039495E-2</v>
      </c>
      <c r="W73" s="15"/>
      <c r="X73" s="34">
        <f>P73-T73</f>
        <v>-15969.420000000042</v>
      </c>
      <c r="Y73" s="15"/>
      <c r="Z73" s="31">
        <f>IF(T73=0,0,X73/T73)</f>
        <v>0.67629350594901638</v>
      </c>
    </row>
    <row r="74" spans="1:26" ht="15.75" thickTop="1" x14ac:dyDescent="0.25">
      <c r="A74" s="9"/>
      <c r="B74" s="9"/>
      <c r="C74" s="9"/>
      <c r="D74" s="3"/>
      <c r="E74" s="3"/>
      <c r="F74" s="8"/>
      <c r="G74" s="3"/>
      <c r="H74" s="3"/>
      <c r="I74" s="3"/>
      <c r="J74" s="8"/>
      <c r="K74" s="3"/>
      <c r="L74" s="3"/>
      <c r="M74" s="3"/>
      <c r="N74" s="8"/>
      <c r="P74" s="3"/>
      <c r="Q74" s="3"/>
      <c r="R74" s="8"/>
      <c r="S74" s="3"/>
      <c r="T74" s="3"/>
      <c r="U74" s="3"/>
      <c r="V74" s="8"/>
      <c r="W74" s="3"/>
      <c r="X74" s="3"/>
      <c r="Y74" s="3"/>
      <c r="Z74" s="8"/>
    </row>
    <row r="75" spans="1:26" x14ac:dyDescent="0.25">
      <c r="A75" s="9"/>
      <c r="B75" s="9"/>
      <c r="C75" s="9"/>
      <c r="D75" s="3"/>
      <c r="E75" s="3"/>
      <c r="F75" s="8"/>
      <c r="G75" s="3"/>
      <c r="H75" s="3"/>
      <c r="I75" s="3"/>
      <c r="J75" s="8"/>
      <c r="K75" s="3"/>
      <c r="L75" s="3"/>
      <c r="M75" s="3"/>
      <c r="N75" s="8"/>
      <c r="P75" s="3"/>
      <c r="Q75" s="3"/>
      <c r="R75" s="8"/>
      <c r="S75" s="3"/>
      <c r="T75" s="3"/>
      <c r="U75" s="3"/>
      <c r="V75" s="8"/>
      <c r="W75" s="3"/>
      <c r="X75" s="3"/>
      <c r="Y75" s="3"/>
      <c r="Z75" s="8"/>
    </row>
    <row r="76" spans="1:26" s="24" customFormat="1" ht="15.75" thickBot="1" x14ac:dyDescent="0.3">
      <c r="A76" s="11"/>
      <c r="B76" s="28" t="s">
        <v>293</v>
      </c>
      <c r="C76" s="28"/>
      <c r="D76" s="33">
        <f>SUM(D73:D75)</f>
        <v>-28971.089999999997</v>
      </c>
      <c r="E76" s="14"/>
      <c r="F76" s="35">
        <f>IF(D$12=0,0,D76/D$12)</f>
        <v>-1.1600036036036034</v>
      </c>
      <c r="G76" s="14"/>
      <c r="H76" s="33">
        <f>SUM(H73:H75)</f>
        <v>-18747.420000000006</v>
      </c>
      <c r="I76" s="14"/>
      <c r="J76" s="35">
        <f>IF(H$12=0,0,H76/H$12)</f>
        <v>-0.30054538459072117</v>
      </c>
      <c r="K76" s="15"/>
      <c r="L76" s="33">
        <f>+D76-H76</f>
        <v>-10223.669999999991</v>
      </c>
      <c r="M76" s="15"/>
      <c r="N76" s="35">
        <f>IF(H76=0,0,L76/H76)</f>
        <v>0.54533743843152749</v>
      </c>
      <c r="O76" s="29"/>
      <c r="P76" s="33">
        <f>SUM(P73:P75)</f>
        <v>-39582.57000000008</v>
      </c>
      <c r="Q76" s="14"/>
      <c r="R76" s="35">
        <f>IF(P$12=0,0,P76/P$12)</f>
        <v>-7.3008884814658517E-2</v>
      </c>
      <c r="S76" s="14"/>
      <c r="T76" s="33">
        <f>SUM(T73:T75)</f>
        <v>-23613.150000000038</v>
      </c>
      <c r="U76" s="14"/>
      <c r="V76" s="35">
        <f>IF(T$12=0,0,T76/T$12)</f>
        <v>-4.8025638731039495E-2</v>
      </c>
      <c r="W76" s="15"/>
      <c r="X76" s="33">
        <f>+P76-T76</f>
        <v>-15969.420000000042</v>
      </c>
      <c r="Y76" s="15"/>
      <c r="Z76" s="35">
        <f>IF(T76=0,0,X76/T76)</f>
        <v>0.67629350594901638</v>
      </c>
    </row>
    <row r="77" spans="1:26" ht="15.75" thickTop="1" x14ac:dyDescent="0.25">
      <c r="A77" s="9"/>
      <c r="C77" s="9"/>
      <c r="D77" s="18"/>
      <c r="E77" s="18"/>
      <c r="G77" s="18"/>
      <c r="H77" s="18"/>
      <c r="I77" s="18"/>
      <c r="J77" s="43"/>
      <c r="K77" s="18"/>
      <c r="L77" s="18"/>
      <c r="M77" s="18"/>
      <c r="P77" s="18"/>
      <c r="Q77" s="18"/>
      <c r="R77" s="43"/>
      <c r="S77" s="18"/>
      <c r="T77" s="18"/>
      <c r="U77" s="18"/>
      <c r="V77" s="43"/>
      <c r="W77" s="18"/>
      <c r="X77" s="18"/>
    </row>
    <row r="78" spans="1:26" x14ac:dyDescent="0.25">
      <c r="A78" s="9"/>
      <c r="B78" s="56">
        <v>44454.698585613427</v>
      </c>
      <c r="D78" s="18"/>
      <c r="E78" s="18"/>
      <c r="G78" s="18"/>
      <c r="H78" s="18"/>
      <c r="I78" s="18"/>
      <c r="J78" s="43"/>
      <c r="K78" s="18"/>
      <c r="L78" s="18"/>
      <c r="M78" s="18"/>
      <c r="P78" s="18"/>
      <c r="Q78" s="18"/>
      <c r="R78" s="43"/>
      <c r="S78" s="18"/>
      <c r="T78" s="18"/>
      <c r="U78" s="18"/>
      <c r="V78" s="43"/>
      <c r="W78" s="18"/>
      <c r="X78" s="18"/>
    </row>
    <row r="79" spans="1:26" x14ac:dyDescent="0.25">
      <c r="A79" s="9"/>
      <c r="B79" s="55" t="s">
        <v>56</v>
      </c>
      <c r="D79" s="18"/>
      <c r="E79" s="18"/>
      <c r="G79" s="18"/>
      <c r="H79" s="18"/>
      <c r="I79" s="18"/>
      <c r="J79" s="43"/>
      <c r="K79" s="18"/>
      <c r="L79" s="18"/>
      <c r="M79" s="18"/>
      <c r="P79" s="18"/>
      <c r="Q79" s="18"/>
      <c r="R79" s="43"/>
      <c r="S79" s="18"/>
      <c r="T79" s="18"/>
      <c r="U79" s="18"/>
      <c r="V79" s="43"/>
      <c r="W79" s="18"/>
      <c r="X79" s="18"/>
    </row>
    <row r="80" spans="1:26" x14ac:dyDescent="0.25">
      <c r="A80" s="9"/>
      <c r="B80" s="60"/>
      <c r="D80" s="18"/>
      <c r="E80" s="18"/>
      <c r="G80" s="18"/>
      <c r="H80" s="18"/>
      <c r="I80" s="18"/>
      <c r="J80" s="43"/>
      <c r="K80" s="18"/>
      <c r="L80" s="18"/>
      <c r="M80" s="18"/>
      <c r="P80" s="18"/>
      <c r="Q80" s="18"/>
      <c r="R80" s="43"/>
      <c r="S80" s="18"/>
      <c r="T80" s="18"/>
      <c r="U80" s="18"/>
      <c r="V80" s="43"/>
      <c r="W80" s="18"/>
      <c r="X80" s="18"/>
    </row>
    <row r="81" spans="4:24" x14ac:dyDescent="0.25">
      <c r="D81" s="18"/>
      <c r="E81" s="18"/>
      <c r="G81" s="18"/>
      <c r="H81" s="18"/>
      <c r="I81" s="18"/>
      <c r="J81" s="43"/>
      <c r="K81" s="18"/>
      <c r="L81" s="18"/>
      <c r="M81" s="18"/>
      <c r="P81" s="18"/>
      <c r="Q81" s="18"/>
      <c r="R81" s="43"/>
      <c r="S81" s="18"/>
      <c r="T81" s="18"/>
      <c r="U81" s="18"/>
      <c r="V81" s="43"/>
      <c r="W81" s="18"/>
      <c r="X81" s="18"/>
    </row>
  </sheetData>
  <pageMargins left="0.25" right="0.25" top="0.75" bottom="0.75" header="0.3" footer="0.3"/>
  <pageSetup scale="55" fitToWidth="2" orientation="landscape"/>
  <drawing r:id="rId1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sheetPr>
    <tabColor rgb="FF92D05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62" t="s">
        <v>23</v>
      </c>
    </row>
    <row r="3" spans="1:26" x14ac:dyDescent="0.25">
      <c r="D3" s="62" t="s">
        <v>236</v>
      </c>
      <c r="E3" s="17"/>
      <c r="F3" s="46"/>
      <c r="G3" s="17"/>
      <c r="H3" s="17"/>
      <c r="I3" s="17"/>
      <c r="J3" s="38"/>
      <c r="K3" s="17"/>
      <c r="L3" s="17"/>
      <c r="M3" s="17"/>
      <c r="N3" s="46"/>
      <c r="O3" s="53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2" t="e">
        <f ca="1">CONCATENATE("Period ",RIGHT(_xll.OneStop.ReportPlayer.OSRFunctions.OSRGet("Period","PeriodId"),2),", ",_xll.OneStop.ReportPlayer.OSRFunctions.OSRGet("Period","Year"))</f>
        <v>#NAME?</v>
      </c>
      <c r="E4" s="17"/>
      <c r="F4" s="46"/>
      <c r="G4" s="17"/>
      <c r="H4" s="17"/>
      <c r="I4" s="17"/>
      <c r="J4" s="38"/>
      <c r="K4" s="17"/>
      <c r="L4" s="17"/>
      <c r="M4" s="17"/>
      <c r="N4" s="46"/>
      <c r="O4" s="53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4"/>
      <c r="D5" s="64" t="e">
        <f ca="1">_xll.OneStop.ReportPlayer.OSRFunctions.OSRGet("Period","PeriodEnd")</f>
        <v>#NAME?</v>
      </c>
      <c r="E5" s="17"/>
      <c r="F5" s="46"/>
      <c r="G5" s="17"/>
      <c r="H5" s="17"/>
      <c r="I5" s="17"/>
      <c r="J5" s="38"/>
      <c r="K5" s="17"/>
      <c r="L5" s="17"/>
      <c r="M5" s="17"/>
      <c r="N5" s="46"/>
      <c r="O5" s="53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4"/>
      <c r="B6" s="48"/>
      <c r="C6" s="48"/>
      <c r="D6" s="24" t="e">
        <f ca="1">CONCATENATE("Department ",_xll.OneStop.ReportPlayer.OSRFunctions.OSRGet("d_dim0","Code"), " - ", _xll.OneStop.ReportPlayer.OSRFunctions.OSRGet("d_dim0","Description"))</f>
        <v>#NAME?</v>
      </c>
      <c r="E6" s="17"/>
      <c r="F6" s="46"/>
      <c r="G6" s="17"/>
      <c r="H6" s="17"/>
      <c r="I6" s="17"/>
      <c r="J6" s="38"/>
      <c r="K6" s="17"/>
      <c r="L6" s="17"/>
      <c r="M6" s="17"/>
      <c r="N6" s="46"/>
      <c r="O6" s="54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9"/>
    </row>
    <row r="8" spans="1:26" x14ac:dyDescent="0.25">
      <c r="B8" s="59"/>
    </row>
    <row r="9" spans="1:26" x14ac:dyDescent="0.25">
      <c r="B9" s="9"/>
      <c r="C9" s="9"/>
      <c r="D9" s="16" t="s">
        <v>291</v>
      </c>
      <c r="E9" s="16"/>
      <c r="F9" s="39"/>
      <c r="G9" s="16"/>
      <c r="H9" s="16"/>
      <c r="I9" s="16"/>
      <c r="J9" s="49"/>
      <c r="K9" s="16"/>
      <c r="L9" s="16"/>
      <c r="M9" s="16"/>
      <c r="N9" s="39"/>
      <c r="P9" s="16" t="s">
        <v>39</v>
      </c>
      <c r="Q9" s="16"/>
      <c r="R9" s="39"/>
      <c r="S9" s="16"/>
      <c r="T9" s="16"/>
      <c r="U9" s="16"/>
      <c r="V9" s="49"/>
      <c r="W9" s="16"/>
      <c r="X9" s="16"/>
      <c r="Y9" s="16"/>
      <c r="Z9" s="39"/>
    </row>
    <row r="10" spans="1:26" x14ac:dyDescent="0.25">
      <c r="A10" s="11"/>
      <c r="B10" s="58"/>
      <c r="C10" s="11"/>
      <c r="D10" s="42" t="s">
        <v>57</v>
      </c>
      <c r="E10" s="36"/>
      <c r="F10" s="30" t="s">
        <v>40</v>
      </c>
      <c r="G10" s="36"/>
      <c r="H10" s="50" t="s">
        <v>237</v>
      </c>
      <c r="I10" s="36"/>
      <c r="J10" s="30" t="s">
        <v>40</v>
      </c>
      <c r="K10" s="11"/>
      <c r="L10" s="42" t="s">
        <v>126</v>
      </c>
      <c r="M10" s="11"/>
      <c r="N10" s="30" t="s">
        <v>257</v>
      </c>
      <c r="O10" s="11"/>
      <c r="P10" s="61" t="s">
        <v>57</v>
      </c>
      <c r="Q10" s="36"/>
      <c r="R10" s="30" t="s">
        <v>40</v>
      </c>
      <c r="S10" s="36"/>
      <c r="T10" s="50" t="s">
        <v>237</v>
      </c>
      <c r="U10" s="36"/>
      <c r="V10" s="30" t="s">
        <v>40</v>
      </c>
      <c r="W10" s="11"/>
      <c r="X10" s="42" t="s">
        <v>126</v>
      </c>
      <c r="Y10" s="11"/>
      <c r="Z10" s="30" t="s">
        <v>257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4" customFormat="1" collapsed="1" x14ac:dyDescent="0.25">
      <c r="A12" s="11"/>
      <c r="B12" s="29" t="s">
        <v>139</v>
      </c>
      <c r="C12" s="11"/>
      <c r="D12" s="4" t="e">
        <f ca="1">SUM(_xll.OneStop.ReportPlayer.OSRFunctions.OSRRef(D13))</f>
        <v>#NAME?</v>
      </c>
      <c r="E12" s="4"/>
      <c r="F12" s="13"/>
      <c r="G12" s="4"/>
      <c r="H12" s="4" t="e">
        <f ca="1">SUM(_xll.OneStop.ReportPlayer.OSRFunctions.OSRRef(H13))</f>
        <v>#NAME?</v>
      </c>
      <c r="I12" s="4"/>
      <c r="J12" s="13"/>
      <c r="K12" s="4"/>
      <c r="L12" s="4" t="e">
        <f t="shared" ref="L12:L13" ca="1" si="0">+D12-H12</f>
        <v>#NAME?</v>
      </c>
      <c r="M12" s="4"/>
      <c r="N12" s="13" t="e">
        <f t="shared" ref="N12:N13" ca="1" si="1">IF(H12=0,0,L12/H12)</f>
        <v>#NAME?</v>
      </c>
      <c r="O12" s="11"/>
      <c r="P12" s="4" t="e">
        <f ca="1">SUM(_xll.OneStop.ReportPlayer.OSRFunctions.OSRRef(P13))</f>
        <v>#NAME?</v>
      </c>
      <c r="Q12" s="4"/>
      <c r="R12" s="13"/>
      <c r="S12" s="4"/>
      <c r="T12" s="4" t="e">
        <f ca="1">SUM(_xll.OneStop.ReportPlayer.OSRFunctions.OSRRef(T13))</f>
        <v>#NAME?</v>
      </c>
      <c r="U12" s="4"/>
      <c r="V12" s="13"/>
      <c r="W12" s="4"/>
      <c r="X12" s="4" t="e">
        <f t="shared" ref="X12:X13" ca="1" si="2">+P12-T12</f>
        <v>#NAME?</v>
      </c>
      <c r="Y12" s="4"/>
      <c r="Z12" s="13" t="e">
        <f t="shared" ref="Z12:Z13" ca="1" si="3">IF(T12=0,0,X12/T12)</f>
        <v>#NAME?</v>
      </c>
    </row>
    <row r="13" spans="1:26" s="23" customFormat="1" hidden="1" outlineLevel="1" x14ac:dyDescent="0.25">
      <c r="A13" s="44"/>
      <c r="B13" s="10" t="e">
        <f ca="1">CONCATENATE("          ", _xll.OneStop.ReportPlayer.OSRFunctions.OSRGet("d_Account","Code"), " - ", _xll.OneStop.ReportPlayer.OSRFunctions.OSRGet("d_Account","Description"))</f>
        <v>#NAME?</v>
      </c>
      <c r="C13" s="10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0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1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4" customFormat="1" collapsed="1" x14ac:dyDescent="0.25">
      <c r="A15" s="11"/>
      <c r="B15" s="29" t="s">
        <v>256</v>
      </c>
      <c r="C15" s="11"/>
      <c r="D15" s="4" t="e">
        <f ca="1">SUM(_xll.OneStop.ReportPlayer.OSRFunctions.OSRRef(D16))</f>
        <v>#NAME?</v>
      </c>
      <c r="E15" s="4"/>
      <c r="F15" s="13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3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3" t="e">
        <f t="shared" ref="N15:N16" ca="1" si="7">IF(H15=0,0,L15/H15)</f>
        <v>#NAME?</v>
      </c>
      <c r="O15" s="11"/>
      <c r="P15" s="4" t="e">
        <f ca="1">SUM(_xll.OneStop.ReportPlayer.OSRFunctions.OSRRef(P16))</f>
        <v>#NAME?</v>
      </c>
      <c r="Q15" s="4"/>
      <c r="R15" s="13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3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3" t="e">
        <f t="shared" ref="Z15:Z16" ca="1" si="11">IF(T15=0,0,X15/T15)</f>
        <v>#NAME?</v>
      </c>
    </row>
    <row r="16" spans="1:26" s="23" customFormat="1" hidden="1" outlineLevel="1" x14ac:dyDescent="0.25">
      <c r="A16" s="44"/>
      <c r="B16" s="10" t="e">
        <f ca="1">CONCATENATE("          ", _xll.OneStop.ReportPlayer.OSRFunctions.OSRGet("d_Account","Code"), " - ", _xll.OneStop.ReportPlayer.OSRFunctions.OSRGet("d_Account","Description"))</f>
        <v>#NAME?</v>
      </c>
      <c r="C16" s="10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0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1"/>
      <c r="C17" s="11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1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4" customFormat="1" x14ac:dyDescent="0.25">
      <c r="A18" s="11"/>
      <c r="B18" s="28" t="s">
        <v>107</v>
      </c>
      <c r="C18" s="28"/>
      <c r="D18" s="21" t="e">
        <f ca="1">D12-D15</f>
        <v>#NAME?</v>
      </c>
      <c r="E18" s="14"/>
      <c r="F18" s="22" t="e">
        <f ca="1">IF(D$12=0,0,D18/D$12)</f>
        <v>#NAME?</v>
      </c>
      <c r="G18" s="14"/>
      <c r="H18" s="21" t="e">
        <f ca="1">H12-H15</f>
        <v>#NAME?</v>
      </c>
      <c r="I18" s="14"/>
      <c r="J18" s="22" t="e">
        <f ca="1">IF(H$12=0,0,H18/H$12)</f>
        <v>#NAME?</v>
      </c>
      <c r="K18" s="15"/>
      <c r="L18" s="21" t="e">
        <f ca="1">+D18-H18</f>
        <v>#NAME?</v>
      </c>
      <c r="M18" s="15"/>
      <c r="N18" s="22" t="e">
        <f ca="1">IF(H18=0,0,L18/H18)</f>
        <v>#NAME?</v>
      </c>
      <c r="O18" s="29"/>
      <c r="P18" s="21" t="e">
        <f ca="1">P12-P15</f>
        <v>#NAME?</v>
      </c>
      <c r="Q18" s="14"/>
      <c r="R18" s="22" t="e">
        <f ca="1">IF(P$12=0,0,P18/P$12)</f>
        <v>#NAME?</v>
      </c>
      <c r="S18" s="14"/>
      <c r="T18" s="21" t="e">
        <f ca="1">T12-T15</f>
        <v>#NAME?</v>
      </c>
      <c r="U18" s="14"/>
      <c r="V18" s="22" t="e">
        <f ca="1">IF(T$12=0,0,T18/T$12)</f>
        <v>#NAME?</v>
      </c>
      <c r="W18" s="15"/>
      <c r="X18" s="21" t="e">
        <f ca="1">+P18-T18</f>
        <v>#NAME?</v>
      </c>
      <c r="Y18" s="15"/>
      <c r="Z18" s="22" t="e">
        <f ca="1">IF(T18=0,0,X18/T18)</f>
        <v>#NAME?</v>
      </c>
    </row>
    <row r="19" spans="1:26" x14ac:dyDescent="0.25">
      <c r="A19" s="9"/>
      <c r="B19" s="11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4" customFormat="1" x14ac:dyDescent="0.25">
      <c r="A20" s="11"/>
      <c r="B20" s="29" t="s">
        <v>294</v>
      </c>
      <c r="C20" s="11"/>
      <c r="D20" s="20" t="e">
        <f ca="1">SUM(_xll.OneStop.ReportPlayer.OSRFunctions.OSRRef(D22))</f>
        <v>#NAME?</v>
      </c>
      <c r="E20" s="20"/>
      <c r="F20" s="32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2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2" t="e">
        <f t="shared" ref="N20:N22" ca="1" si="15">IF(H20=0,0,L20/H20)</f>
        <v>#NAME?</v>
      </c>
      <c r="O20" s="11"/>
      <c r="P20" s="20" t="e">
        <f ca="1">SUM(_xll.OneStop.ReportPlayer.OSRFunctions.OSRRef(P22))</f>
        <v>#NAME?</v>
      </c>
      <c r="Q20" s="20"/>
      <c r="R20" s="32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2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2" t="e">
        <f t="shared" ref="Z20:Z22" ca="1" si="19">IF(T20=0,0,X20/T20)</f>
        <v>#NAME?</v>
      </c>
    </row>
    <row r="21" spans="1:26" s="27" customFormat="1" outlineLevel="1" collapsed="1" x14ac:dyDescent="0.25">
      <c r="A21" s="26"/>
      <c r="B21" s="12" t="e">
        <f ca="1">CONCATENATE("     ",_xll.OneStop.ReportPlayer.OSRFunctions.OSRGet("d_Account","AccountCategory"))</f>
        <v>#NAME?</v>
      </c>
      <c r="C21" s="12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2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3" customFormat="1" hidden="1" outlineLevel="2" x14ac:dyDescent="0.25">
      <c r="A22" s="25"/>
      <c r="B22" s="10" t="e">
        <f ca="1">CONCATENATE("          ", _xll.OneStop.ReportPlayer.OSRFunctions.OSRGet("d_Account","Code"), " - ", _xll.OneStop.ReportPlayer.OSRFunctions.OSRGet("d_Account","Description"))</f>
        <v>#NAME?</v>
      </c>
      <c r="C22" s="10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0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2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4" customFormat="1" collapsed="1" x14ac:dyDescent="0.25">
      <c r="A24" s="11"/>
      <c r="B24" s="29" t="s">
        <v>292</v>
      </c>
      <c r="C24" s="11"/>
      <c r="D24" s="4" t="e">
        <f ca="1">SUM(_xll.OneStop.ReportPlayer.OSRFunctions.OSRRef(D25))</f>
        <v>#NAME?</v>
      </c>
      <c r="E24" s="4"/>
      <c r="F24" s="13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3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3" t="e">
        <f t="shared" ref="N24:N25" ca="1" si="23">IF(H24=0,0,L24/H24)</f>
        <v>#NAME?</v>
      </c>
      <c r="O24" s="11"/>
      <c r="P24" s="4" t="e">
        <f ca="1">SUM(_xll.OneStop.ReportPlayer.OSRFunctions.OSRRef(P25))</f>
        <v>#NAME?</v>
      </c>
      <c r="Q24" s="4"/>
      <c r="R24" s="13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3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3" t="e">
        <f t="shared" ref="Z24:Z25" ca="1" si="27">IF(T24=0,0,X24/T24)</f>
        <v>#NAME?</v>
      </c>
    </row>
    <row r="25" spans="1:26" s="23" customFormat="1" hidden="1" outlineLevel="1" x14ac:dyDescent="0.25">
      <c r="A25" s="44"/>
      <c r="B25" s="10" t="e">
        <f ca="1">CONCATENATE("          ", _xll.OneStop.ReportPlayer.OSRFunctions.OSRGet("d_Account","Code"), " - ", _xll.OneStop.ReportPlayer.OSRFunctions.OSRGet("d_Account","Description"))</f>
        <v>#NAME?</v>
      </c>
      <c r="C25" s="10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0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1"/>
      <c r="C26" s="11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1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4" customFormat="1" x14ac:dyDescent="0.25">
      <c r="A27" s="11"/>
      <c r="B27" s="28" t="s">
        <v>276</v>
      </c>
      <c r="C27" s="28"/>
      <c r="D27" s="21" t="e">
        <f ca="1">+D18-D20+D24</f>
        <v>#NAME?</v>
      </c>
      <c r="E27" s="14"/>
      <c r="F27" s="22" t="e">
        <f ca="1">IF(D$12=0,0,D27/D$12)</f>
        <v>#NAME?</v>
      </c>
      <c r="G27" s="14"/>
      <c r="H27" s="21" t="e">
        <f ca="1">+H18-H20+H24</f>
        <v>#NAME?</v>
      </c>
      <c r="I27" s="14"/>
      <c r="J27" s="22" t="e">
        <f ca="1">IF(H$12=0,0,H27/H$12)</f>
        <v>#NAME?</v>
      </c>
      <c r="K27" s="15"/>
      <c r="L27" s="21" t="e">
        <f ca="1">+D27-H27</f>
        <v>#NAME?</v>
      </c>
      <c r="M27" s="15"/>
      <c r="N27" s="22" t="e">
        <f ca="1">IF(H27=0,0,L27/H27)</f>
        <v>#NAME?</v>
      </c>
      <c r="O27" s="29"/>
      <c r="P27" s="21" t="e">
        <f ca="1">+P18-P20+P24</f>
        <v>#NAME?</v>
      </c>
      <c r="Q27" s="14"/>
      <c r="R27" s="22" t="e">
        <f ca="1">IF(P$12=0,0,P27/P$12)</f>
        <v>#NAME?</v>
      </c>
      <c r="S27" s="14"/>
      <c r="T27" s="21" t="e">
        <f ca="1">+T18-T20+T24</f>
        <v>#NAME?</v>
      </c>
      <c r="U27" s="14"/>
      <c r="V27" s="22" t="e">
        <f ca="1">IF(T$12=0,0,T27/T$12)</f>
        <v>#NAME?</v>
      </c>
      <c r="W27" s="15"/>
      <c r="X27" s="21" t="e">
        <f ca="1">+P27-T27</f>
        <v>#NAME?</v>
      </c>
      <c r="Y27" s="15"/>
      <c r="Z27" s="22" t="e">
        <f ca="1">IF(T27=0,0,X27/T27)</f>
        <v>#NAME?</v>
      </c>
    </row>
    <row r="28" spans="1:26" x14ac:dyDescent="0.25">
      <c r="A28" s="9"/>
      <c r="B28" s="11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4" customFormat="1" x14ac:dyDescent="0.25">
      <c r="A29" s="51"/>
      <c r="B29" s="11" t="s">
        <v>127</v>
      </c>
      <c r="C29" s="11"/>
      <c r="D29" s="4" t="e">
        <f ca="1">_xll.OneStop.ReportPlayer.OSRFunctions.OSRGet("GL_F_Trans","Value1")</f>
        <v>#NAME?</v>
      </c>
      <c r="E29" s="4"/>
      <c r="F29" s="13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3" t="e">
        <f ca="1">IF(H$12=0,0,H29/H$12)</f>
        <v>#NAME?</v>
      </c>
      <c r="K29" s="4"/>
      <c r="L29" s="4" t="e">
        <f ca="1">+D29-H29</f>
        <v>#NAME?</v>
      </c>
      <c r="M29" s="4"/>
      <c r="N29" s="13" t="e">
        <f ca="1">IF(H29=0,0,L29/H29)</f>
        <v>#NAME?</v>
      </c>
      <c r="O29" s="11"/>
      <c r="P29" s="4" t="e">
        <f ca="1">_xll.OneStop.ReportPlayer.OSRFunctions.OSRGet("GL_F_Trans","Value1")</f>
        <v>#NAME?</v>
      </c>
      <c r="Q29" s="4"/>
      <c r="R29" s="13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3" t="e">
        <f ca="1">IF(T$12=0,0,T29/T$12)</f>
        <v>#NAME?</v>
      </c>
      <c r="W29" s="4"/>
      <c r="X29" s="4" t="e">
        <f ca="1">+P29-T29</f>
        <v>#NAME?</v>
      </c>
      <c r="Y29" s="4"/>
      <c r="Z29" s="13" t="e">
        <f ca="1">IF(T29=0,0,X29/T29)</f>
        <v>#NAME?</v>
      </c>
    </row>
    <row r="30" spans="1:26" x14ac:dyDescent="0.25">
      <c r="A30" s="9"/>
      <c r="B30" s="11"/>
      <c r="C30" s="11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1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4" customFormat="1" ht="15.75" thickBot="1" x14ac:dyDescent="0.3">
      <c r="A31" s="11"/>
      <c r="B31" s="28" t="s">
        <v>125</v>
      </c>
      <c r="C31" s="28"/>
      <c r="D31" s="34" t="e">
        <f ca="1">+D27-D29</f>
        <v>#NAME?</v>
      </c>
      <c r="E31" s="14"/>
      <c r="F31" s="31" t="e">
        <f ca="1">IF(D$12=0,0,D31/D$12)</f>
        <v>#NAME?</v>
      </c>
      <c r="G31" s="14"/>
      <c r="H31" s="34" t="e">
        <f ca="1">+H27-H29</f>
        <v>#NAME?</v>
      </c>
      <c r="I31" s="14"/>
      <c r="J31" s="31" t="e">
        <f ca="1">IF(H$12=0,0,H31/H$12)</f>
        <v>#NAME?</v>
      </c>
      <c r="K31" s="15"/>
      <c r="L31" s="34" t="e">
        <f ca="1">D31-H31</f>
        <v>#NAME?</v>
      </c>
      <c r="M31" s="15"/>
      <c r="N31" s="31" t="e">
        <f ca="1">IF(H31=0,0,L31/H31)</f>
        <v>#NAME?</v>
      </c>
      <c r="O31" s="29"/>
      <c r="P31" s="34" t="e">
        <f ca="1">+P27-P29</f>
        <v>#NAME?</v>
      </c>
      <c r="Q31" s="14"/>
      <c r="R31" s="31" t="e">
        <f ca="1">IF(P$12=0,0,P31/P$12)</f>
        <v>#NAME?</v>
      </c>
      <c r="S31" s="14"/>
      <c r="T31" s="34" t="e">
        <f ca="1">+T27-T29</f>
        <v>#NAME?</v>
      </c>
      <c r="U31" s="14"/>
      <c r="V31" s="31" t="e">
        <f ca="1">IF(T$12=0,0,T31/T$12)</f>
        <v>#NAME?</v>
      </c>
      <c r="W31" s="15"/>
      <c r="X31" s="34" t="e">
        <f ca="1">P31-T31</f>
        <v>#NAME?</v>
      </c>
      <c r="Y31" s="15"/>
      <c r="Z31" s="31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4" customFormat="1" x14ac:dyDescent="0.25">
      <c r="A33" s="51"/>
      <c r="B33" s="11" t="s">
        <v>183</v>
      </c>
      <c r="C33" s="11"/>
      <c r="D33" s="4" t="e">
        <f ca="1">-_xll.OneStop.ReportPlayer.OSRFunctions.OSRGet("GL_F_Trans","Value1")</f>
        <v>#NAME?</v>
      </c>
      <c r="E33" s="4"/>
      <c r="F33" s="13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3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3" t="e">
        <f t="shared" ref="N33:N34" ca="1" si="31">IF(H33=0,0,L33/H33)</f>
        <v>#NAME?</v>
      </c>
      <c r="O33" s="11"/>
      <c r="P33" s="4" t="e">
        <f ca="1">-_xll.OneStop.ReportPlayer.OSRFunctions.OSRGet("GL_F_Trans","Value1")</f>
        <v>#NAME?</v>
      </c>
      <c r="Q33" s="4"/>
      <c r="R33" s="13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3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3" t="e">
        <f t="shared" ref="Z33:Z34" ca="1" si="35">IF(T33=0,0,X33/T33)</f>
        <v>#NAME?</v>
      </c>
    </row>
    <row r="34" spans="1:26" s="24" customFormat="1" x14ac:dyDescent="0.25">
      <c r="A34" s="51"/>
      <c r="B34" s="11" t="s">
        <v>81</v>
      </c>
      <c r="C34" s="11"/>
      <c r="D34" s="4" t="e">
        <f ca="1">-_xll.OneStop.ReportPlayer.OSRFunctions.OSRGet("GL_F_Trans","Value1")</f>
        <v>#NAME?</v>
      </c>
      <c r="E34" s="4"/>
      <c r="F34" s="13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3" t="e">
        <f t="shared" ca="1" si="29"/>
        <v>#NAME?</v>
      </c>
      <c r="K34" s="4"/>
      <c r="L34" s="4" t="e">
        <f t="shared" ca="1" si="30"/>
        <v>#NAME?</v>
      </c>
      <c r="M34" s="4"/>
      <c r="N34" s="13" t="e">
        <f t="shared" ca="1" si="31"/>
        <v>#NAME?</v>
      </c>
      <c r="O34" s="11"/>
      <c r="P34" s="4" t="e">
        <f ca="1">-_xll.OneStop.ReportPlayer.OSRFunctions.OSRGet("GL_F_Trans","Value1")</f>
        <v>#NAME?</v>
      </c>
      <c r="Q34" s="4"/>
      <c r="R34" s="13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3" t="e">
        <f t="shared" ca="1" si="33"/>
        <v>#NAME?</v>
      </c>
      <c r="W34" s="4"/>
      <c r="X34" s="4" t="e">
        <f t="shared" ca="1" si="34"/>
        <v>#NAME?</v>
      </c>
      <c r="Y34" s="4"/>
      <c r="Z34" s="13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4" customFormat="1" ht="15.75" thickBot="1" x14ac:dyDescent="0.3">
      <c r="A36" s="11"/>
      <c r="B36" s="28" t="s">
        <v>293</v>
      </c>
      <c r="C36" s="28"/>
      <c r="D36" s="33" t="e">
        <f ca="1">SUM(D31:D35)</f>
        <v>#NAME?</v>
      </c>
      <c r="E36" s="14"/>
      <c r="F36" s="35" t="e">
        <f ca="1">IF(D$12=0,0,D36/D$12)</f>
        <v>#NAME?</v>
      </c>
      <c r="G36" s="14"/>
      <c r="H36" s="33" t="e">
        <f ca="1">SUM(H31:H35)</f>
        <v>#NAME?</v>
      </c>
      <c r="I36" s="14"/>
      <c r="J36" s="35" t="e">
        <f ca="1">IF(H$12=0,0,H36/H$12)</f>
        <v>#NAME?</v>
      </c>
      <c r="K36" s="15"/>
      <c r="L36" s="33" t="e">
        <f ca="1">+D36-H36</f>
        <v>#NAME?</v>
      </c>
      <c r="M36" s="15"/>
      <c r="N36" s="35" t="e">
        <f ca="1">IF(H36=0,0,L36/H36)</f>
        <v>#NAME?</v>
      </c>
      <c r="O36" s="29"/>
      <c r="P36" s="33" t="e">
        <f ca="1">SUM(P31:P35)</f>
        <v>#NAME?</v>
      </c>
      <c r="Q36" s="14"/>
      <c r="R36" s="35" t="e">
        <f ca="1">IF(P$12=0,0,P36/P$12)</f>
        <v>#NAME?</v>
      </c>
      <c r="S36" s="14"/>
      <c r="T36" s="33" t="e">
        <f ca="1">SUM(T31:T35)</f>
        <v>#NAME?</v>
      </c>
      <c r="U36" s="14"/>
      <c r="V36" s="35" t="e">
        <f ca="1">IF(T$12=0,0,T36/T$12)</f>
        <v>#NAME?</v>
      </c>
      <c r="W36" s="15"/>
      <c r="X36" s="33" t="e">
        <f ca="1">+P36-T36</f>
        <v>#NAME?</v>
      </c>
      <c r="Y36" s="15"/>
      <c r="Z36" s="35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56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55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60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sheetPr>
    <tabColor rgb="FF92D05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62" t="s">
        <v>23</v>
      </c>
    </row>
    <row r="3" spans="1:26" x14ac:dyDescent="0.25">
      <c r="D3" s="62" t="s">
        <v>236</v>
      </c>
      <c r="E3" s="17"/>
      <c r="F3" s="46"/>
      <c r="G3" s="17"/>
      <c r="H3" s="17"/>
      <c r="I3" s="17"/>
      <c r="J3" s="38"/>
      <c r="K3" s="17"/>
      <c r="L3" s="17"/>
      <c r="M3" s="17"/>
      <c r="N3" s="46"/>
      <c r="O3" s="53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2" t="e">
        <f ca="1">CONCATENATE("Period ",RIGHT(_xll.OneStop.ReportPlayer.OSRFunctions.OSRGet("Period","PeriodId"),2),", ",_xll.OneStop.ReportPlayer.OSRFunctions.OSRGet("Period","Year"))</f>
        <v>#NAME?</v>
      </c>
      <c r="E4" s="17"/>
      <c r="F4" s="46"/>
      <c r="G4" s="17"/>
      <c r="H4" s="17"/>
      <c r="I4" s="17"/>
      <c r="J4" s="38"/>
      <c r="K4" s="17"/>
      <c r="L4" s="17"/>
      <c r="M4" s="17"/>
      <c r="N4" s="46"/>
      <c r="O4" s="53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4"/>
      <c r="D5" s="64" t="e">
        <f ca="1">_xll.OneStop.ReportPlayer.OSRFunctions.OSRGet("Period","PeriodEnd")</f>
        <v>#NAME?</v>
      </c>
      <c r="E5" s="17"/>
      <c r="F5" s="46"/>
      <c r="G5" s="17"/>
      <c r="H5" s="17"/>
      <c r="I5" s="17"/>
      <c r="J5" s="38"/>
      <c r="K5" s="17"/>
      <c r="L5" s="17"/>
      <c r="M5" s="17"/>
      <c r="N5" s="46"/>
      <c r="O5" s="53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4"/>
      <c r="B6" s="48"/>
      <c r="C6" s="48"/>
      <c r="D6" s="24" t="e">
        <f ca="1">CONCATENATE("Department ",_xll.OneStop.ReportPlayer.OSRFunctions.OSRGet("d_dim0","Code"), " - ", _xll.OneStop.ReportPlayer.OSRFunctions.OSRGet("d_dim0","Description"))</f>
        <v>#NAME?</v>
      </c>
      <c r="E6" s="17"/>
      <c r="F6" s="46"/>
      <c r="G6" s="17"/>
      <c r="H6" s="17"/>
      <c r="I6" s="17"/>
      <c r="J6" s="38"/>
      <c r="K6" s="17"/>
      <c r="L6" s="17"/>
      <c r="M6" s="17"/>
      <c r="N6" s="46"/>
      <c r="O6" s="54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9"/>
    </row>
    <row r="8" spans="1:26" x14ac:dyDescent="0.25">
      <c r="B8" s="59"/>
    </row>
    <row r="9" spans="1:26" x14ac:dyDescent="0.25">
      <c r="B9" s="9"/>
      <c r="C9" s="9"/>
      <c r="D9" s="16" t="s">
        <v>291</v>
      </c>
      <c r="E9" s="16"/>
      <c r="F9" s="39"/>
      <c r="G9" s="16"/>
      <c r="H9" s="16"/>
      <c r="I9" s="16"/>
      <c r="J9" s="49"/>
      <c r="K9" s="16"/>
      <c r="L9" s="16"/>
      <c r="M9" s="16"/>
      <c r="N9" s="39"/>
      <c r="P9" s="16" t="s">
        <v>39</v>
      </c>
      <c r="Q9" s="16"/>
      <c r="R9" s="39"/>
      <c r="S9" s="16"/>
      <c r="T9" s="16"/>
      <c r="U9" s="16"/>
      <c r="V9" s="49"/>
      <c r="W9" s="16"/>
      <c r="X9" s="16"/>
      <c r="Y9" s="16"/>
      <c r="Z9" s="39"/>
    </row>
    <row r="10" spans="1:26" x14ac:dyDescent="0.25">
      <c r="A10" s="11"/>
      <c r="B10" s="58"/>
      <c r="C10" s="11"/>
      <c r="D10" s="42" t="s">
        <v>57</v>
      </c>
      <c r="E10" s="36"/>
      <c r="F10" s="30" t="s">
        <v>40</v>
      </c>
      <c r="G10" s="36"/>
      <c r="H10" s="50" t="s">
        <v>237</v>
      </c>
      <c r="I10" s="36"/>
      <c r="J10" s="30" t="s">
        <v>40</v>
      </c>
      <c r="K10" s="11"/>
      <c r="L10" s="42" t="s">
        <v>126</v>
      </c>
      <c r="M10" s="11"/>
      <c r="N10" s="30" t="s">
        <v>257</v>
      </c>
      <c r="O10" s="11"/>
      <c r="P10" s="61" t="s">
        <v>57</v>
      </c>
      <c r="Q10" s="36"/>
      <c r="R10" s="30" t="s">
        <v>40</v>
      </c>
      <c r="S10" s="36"/>
      <c r="T10" s="50" t="s">
        <v>237</v>
      </c>
      <c r="U10" s="36"/>
      <c r="V10" s="30" t="s">
        <v>40</v>
      </c>
      <c r="W10" s="11"/>
      <c r="X10" s="42" t="s">
        <v>126</v>
      </c>
      <c r="Y10" s="11"/>
      <c r="Z10" s="30" t="s">
        <v>257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4" customFormat="1" collapsed="1" x14ac:dyDescent="0.25">
      <c r="A12" s="11"/>
      <c r="B12" s="29" t="s">
        <v>139</v>
      </c>
      <c r="C12" s="11"/>
      <c r="D12" s="4" t="e">
        <f ca="1">SUM(_xll.OneStop.ReportPlayer.OSRFunctions.OSRRef(D13))</f>
        <v>#NAME?</v>
      </c>
      <c r="E12" s="4"/>
      <c r="F12" s="13"/>
      <c r="G12" s="4"/>
      <c r="H12" s="4" t="e">
        <f ca="1">SUM(_xll.OneStop.ReportPlayer.OSRFunctions.OSRRef(H13))</f>
        <v>#NAME?</v>
      </c>
      <c r="I12" s="4"/>
      <c r="J12" s="13"/>
      <c r="K12" s="4"/>
      <c r="L12" s="4" t="e">
        <f t="shared" ref="L12:L13" ca="1" si="0">+D12-H12</f>
        <v>#NAME?</v>
      </c>
      <c r="M12" s="4"/>
      <c r="N12" s="13" t="e">
        <f t="shared" ref="N12:N13" ca="1" si="1">IF(H12=0,0,L12/H12)</f>
        <v>#NAME?</v>
      </c>
      <c r="O12" s="11"/>
      <c r="P12" s="4" t="e">
        <f ca="1">SUM(_xll.OneStop.ReportPlayer.OSRFunctions.OSRRef(P13))</f>
        <v>#NAME?</v>
      </c>
      <c r="Q12" s="4"/>
      <c r="R12" s="13"/>
      <c r="S12" s="4"/>
      <c r="T12" s="4" t="e">
        <f ca="1">SUM(_xll.OneStop.ReportPlayer.OSRFunctions.OSRRef(T13))</f>
        <v>#NAME?</v>
      </c>
      <c r="U12" s="4"/>
      <c r="V12" s="13"/>
      <c r="W12" s="4"/>
      <c r="X12" s="4" t="e">
        <f t="shared" ref="X12:X13" ca="1" si="2">+P12-T12</f>
        <v>#NAME?</v>
      </c>
      <c r="Y12" s="4"/>
      <c r="Z12" s="13" t="e">
        <f t="shared" ref="Z12:Z13" ca="1" si="3">IF(T12=0,0,X12/T12)</f>
        <v>#NAME?</v>
      </c>
    </row>
    <row r="13" spans="1:26" s="23" customFormat="1" hidden="1" outlineLevel="1" x14ac:dyDescent="0.25">
      <c r="A13" s="44"/>
      <c r="B13" s="10" t="e">
        <f ca="1">CONCATENATE("          ", _xll.OneStop.ReportPlayer.OSRFunctions.OSRGet("d_Account","Code"), " - ", _xll.OneStop.ReportPlayer.OSRFunctions.OSRGet("d_Account","Description"))</f>
        <v>#NAME?</v>
      </c>
      <c r="C13" s="10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0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1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4" customFormat="1" collapsed="1" x14ac:dyDescent="0.25">
      <c r="A15" s="11"/>
      <c r="B15" s="29" t="s">
        <v>256</v>
      </c>
      <c r="C15" s="11"/>
      <c r="D15" s="4" t="e">
        <f ca="1">SUM(_xll.OneStop.ReportPlayer.OSRFunctions.OSRRef(D16))</f>
        <v>#NAME?</v>
      </c>
      <c r="E15" s="4"/>
      <c r="F15" s="13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3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3" t="e">
        <f t="shared" ref="N15:N16" ca="1" si="7">IF(H15=0,0,L15/H15)</f>
        <v>#NAME?</v>
      </c>
      <c r="O15" s="11"/>
      <c r="P15" s="4" t="e">
        <f ca="1">SUM(_xll.OneStop.ReportPlayer.OSRFunctions.OSRRef(P16))</f>
        <v>#NAME?</v>
      </c>
      <c r="Q15" s="4"/>
      <c r="R15" s="13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3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3" t="e">
        <f t="shared" ref="Z15:Z16" ca="1" si="11">IF(T15=0,0,X15/T15)</f>
        <v>#NAME?</v>
      </c>
    </row>
    <row r="16" spans="1:26" s="23" customFormat="1" hidden="1" outlineLevel="1" x14ac:dyDescent="0.25">
      <c r="A16" s="44"/>
      <c r="B16" s="10" t="e">
        <f ca="1">CONCATENATE("          ", _xll.OneStop.ReportPlayer.OSRFunctions.OSRGet("d_Account","Code"), " - ", _xll.OneStop.ReportPlayer.OSRFunctions.OSRGet("d_Account","Description"))</f>
        <v>#NAME?</v>
      </c>
      <c r="C16" s="10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0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1"/>
      <c r="C17" s="11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1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4" customFormat="1" x14ac:dyDescent="0.25">
      <c r="A18" s="11"/>
      <c r="B18" s="28" t="s">
        <v>107</v>
      </c>
      <c r="C18" s="28"/>
      <c r="D18" s="21" t="e">
        <f ca="1">D12-D15</f>
        <v>#NAME?</v>
      </c>
      <c r="E18" s="14"/>
      <c r="F18" s="22" t="e">
        <f ca="1">IF(D$12=0,0,D18/D$12)</f>
        <v>#NAME?</v>
      </c>
      <c r="G18" s="14"/>
      <c r="H18" s="21" t="e">
        <f ca="1">H12-H15</f>
        <v>#NAME?</v>
      </c>
      <c r="I18" s="14"/>
      <c r="J18" s="22" t="e">
        <f ca="1">IF(H$12=0,0,H18/H$12)</f>
        <v>#NAME?</v>
      </c>
      <c r="K18" s="15"/>
      <c r="L18" s="21" t="e">
        <f ca="1">+D18-H18</f>
        <v>#NAME?</v>
      </c>
      <c r="M18" s="15"/>
      <c r="N18" s="22" t="e">
        <f ca="1">IF(H18=0,0,L18/H18)</f>
        <v>#NAME?</v>
      </c>
      <c r="O18" s="29"/>
      <c r="P18" s="21" t="e">
        <f ca="1">P12-P15</f>
        <v>#NAME?</v>
      </c>
      <c r="Q18" s="14"/>
      <c r="R18" s="22" t="e">
        <f ca="1">IF(P$12=0,0,P18/P$12)</f>
        <v>#NAME?</v>
      </c>
      <c r="S18" s="14"/>
      <c r="T18" s="21" t="e">
        <f ca="1">T12-T15</f>
        <v>#NAME?</v>
      </c>
      <c r="U18" s="14"/>
      <c r="V18" s="22" t="e">
        <f ca="1">IF(T$12=0,0,T18/T$12)</f>
        <v>#NAME?</v>
      </c>
      <c r="W18" s="15"/>
      <c r="X18" s="21" t="e">
        <f ca="1">+P18-T18</f>
        <v>#NAME?</v>
      </c>
      <c r="Y18" s="15"/>
      <c r="Z18" s="22" t="e">
        <f ca="1">IF(T18=0,0,X18/T18)</f>
        <v>#NAME?</v>
      </c>
    </row>
    <row r="19" spans="1:26" x14ac:dyDescent="0.25">
      <c r="A19" s="9"/>
      <c r="B19" s="11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4" customFormat="1" x14ac:dyDescent="0.25">
      <c r="A20" s="11"/>
      <c r="B20" s="29" t="s">
        <v>294</v>
      </c>
      <c r="C20" s="11"/>
      <c r="D20" s="20" t="e">
        <f ca="1">SUM(_xll.OneStop.ReportPlayer.OSRFunctions.OSRRef(D22))</f>
        <v>#NAME?</v>
      </c>
      <c r="E20" s="20"/>
      <c r="F20" s="32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2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2" t="e">
        <f t="shared" ref="N20:N22" ca="1" si="15">IF(H20=0,0,L20/H20)</f>
        <v>#NAME?</v>
      </c>
      <c r="O20" s="11"/>
      <c r="P20" s="20" t="e">
        <f ca="1">SUM(_xll.OneStop.ReportPlayer.OSRFunctions.OSRRef(P22))</f>
        <v>#NAME?</v>
      </c>
      <c r="Q20" s="20"/>
      <c r="R20" s="32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2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2" t="e">
        <f t="shared" ref="Z20:Z22" ca="1" si="19">IF(T20=0,0,X20/T20)</f>
        <v>#NAME?</v>
      </c>
    </row>
    <row r="21" spans="1:26" s="27" customFormat="1" outlineLevel="1" collapsed="1" x14ac:dyDescent="0.25">
      <c r="A21" s="26"/>
      <c r="B21" s="12" t="e">
        <f ca="1">CONCATENATE("     ",_xll.OneStop.ReportPlayer.OSRFunctions.OSRGet("d_Account","AccountCategory"))</f>
        <v>#NAME?</v>
      </c>
      <c r="C21" s="12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2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3" customFormat="1" hidden="1" outlineLevel="2" x14ac:dyDescent="0.25">
      <c r="A22" s="25"/>
      <c r="B22" s="10" t="e">
        <f ca="1">CONCATENATE("          ", _xll.OneStop.ReportPlayer.OSRFunctions.OSRGet("d_Account","Code"), " - ", _xll.OneStop.ReportPlayer.OSRFunctions.OSRGet("d_Account","Description"))</f>
        <v>#NAME?</v>
      </c>
      <c r="C22" s="10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0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2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4" customFormat="1" collapsed="1" x14ac:dyDescent="0.25">
      <c r="A24" s="11"/>
      <c r="B24" s="29" t="s">
        <v>292</v>
      </c>
      <c r="C24" s="11"/>
      <c r="D24" s="4" t="e">
        <f ca="1">SUM(_xll.OneStop.ReportPlayer.OSRFunctions.OSRRef(D25))</f>
        <v>#NAME?</v>
      </c>
      <c r="E24" s="4"/>
      <c r="F24" s="13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3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3" t="e">
        <f t="shared" ref="N24:N25" ca="1" si="23">IF(H24=0,0,L24/H24)</f>
        <v>#NAME?</v>
      </c>
      <c r="O24" s="11"/>
      <c r="P24" s="4" t="e">
        <f ca="1">SUM(_xll.OneStop.ReportPlayer.OSRFunctions.OSRRef(P25))</f>
        <v>#NAME?</v>
      </c>
      <c r="Q24" s="4"/>
      <c r="R24" s="13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3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3" t="e">
        <f t="shared" ref="Z24:Z25" ca="1" si="27">IF(T24=0,0,X24/T24)</f>
        <v>#NAME?</v>
      </c>
    </row>
    <row r="25" spans="1:26" s="23" customFormat="1" hidden="1" outlineLevel="1" x14ac:dyDescent="0.25">
      <c r="A25" s="44"/>
      <c r="B25" s="10" t="e">
        <f ca="1">CONCATENATE("          ", _xll.OneStop.ReportPlayer.OSRFunctions.OSRGet("d_Account","Code"), " - ", _xll.OneStop.ReportPlayer.OSRFunctions.OSRGet("d_Account","Description"))</f>
        <v>#NAME?</v>
      </c>
      <c r="C25" s="10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0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1"/>
      <c r="C26" s="11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1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4" customFormat="1" x14ac:dyDescent="0.25">
      <c r="A27" s="11"/>
      <c r="B27" s="28" t="s">
        <v>276</v>
      </c>
      <c r="C27" s="28"/>
      <c r="D27" s="21" t="e">
        <f ca="1">+D18-D20+D24</f>
        <v>#NAME?</v>
      </c>
      <c r="E27" s="14"/>
      <c r="F27" s="22" t="e">
        <f ca="1">IF(D$12=0,0,D27/D$12)</f>
        <v>#NAME?</v>
      </c>
      <c r="G27" s="14"/>
      <c r="H27" s="21" t="e">
        <f ca="1">+H18-H20+H24</f>
        <v>#NAME?</v>
      </c>
      <c r="I27" s="14"/>
      <c r="J27" s="22" t="e">
        <f ca="1">IF(H$12=0,0,H27/H$12)</f>
        <v>#NAME?</v>
      </c>
      <c r="K27" s="15"/>
      <c r="L27" s="21" t="e">
        <f ca="1">+D27-H27</f>
        <v>#NAME?</v>
      </c>
      <c r="M27" s="15"/>
      <c r="N27" s="22" t="e">
        <f ca="1">IF(H27=0,0,L27/H27)</f>
        <v>#NAME?</v>
      </c>
      <c r="O27" s="29"/>
      <c r="P27" s="21" t="e">
        <f ca="1">+P18-P20+P24</f>
        <v>#NAME?</v>
      </c>
      <c r="Q27" s="14"/>
      <c r="R27" s="22" t="e">
        <f ca="1">IF(P$12=0,0,P27/P$12)</f>
        <v>#NAME?</v>
      </c>
      <c r="S27" s="14"/>
      <c r="T27" s="21" t="e">
        <f ca="1">+T18-T20+T24</f>
        <v>#NAME?</v>
      </c>
      <c r="U27" s="14"/>
      <c r="V27" s="22" t="e">
        <f ca="1">IF(T$12=0,0,T27/T$12)</f>
        <v>#NAME?</v>
      </c>
      <c r="W27" s="15"/>
      <c r="X27" s="21" t="e">
        <f ca="1">+P27-T27</f>
        <v>#NAME?</v>
      </c>
      <c r="Y27" s="15"/>
      <c r="Z27" s="22" t="e">
        <f ca="1">IF(T27=0,0,X27/T27)</f>
        <v>#NAME?</v>
      </c>
    </row>
    <row r="28" spans="1:26" x14ac:dyDescent="0.25">
      <c r="A28" s="9"/>
      <c r="B28" s="11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4" customFormat="1" x14ac:dyDescent="0.25">
      <c r="A29" s="51"/>
      <c r="B29" s="11" t="s">
        <v>127</v>
      </c>
      <c r="C29" s="11"/>
      <c r="D29" s="4" t="e">
        <f ca="1">_xll.OneStop.ReportPlayer.OSRFunctions.OSRGet("GL_F_Trans","Value1")</f>
        <v>#NAME?</v>
      </c>
      <c r="E29" s="4"/>
      <c r="F29" s="13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3" t="e">
        <f ca="1">IF(H$12=0,0,H29/H$12)</f>
        <v>#NAME?</v>
      </c>
      <c r="K29" s="4"/>
      <c r="L29" s="4" t="e">
        <f ca="1">+D29-H29</f>
        <v>#NAME?</v>
      </c>
      <c r="M29" s="4"/>
      <c r="N29" s="13" t="e">
        <f ca="1">IF(H29=0,0,L29/H29)</f>
        <v>#NAME?</v>
      </c>
      <c r="O29" s="11"/>
      <c r="P29" s="4" t="e">
        <f ca="1">_xll.OneStop.ReportPlayer.OSRFunctions.OSRGet("GL_F_Trans","Value1")</f>
        <v>#NAME?</v>
      </c>
      <c r="Q29" s="4"/>
      <c r="R29" s="13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3" t="e">
        <f ca="1">IF(T$12=0,0,T29/T$12)</f>
        <v>#NAME?</v>
      </c>
      <c r="W29" s="4"/>
      <c r="X29" s="4" t="e">
        <f ca="1">+P29-T29</f>
        <v>#NAME?</v>
      </c>
      <c r="Y29" s="4"/>
      <c r="Z29" s="13" t="e">
        <f ca="1">IF(T29=0,0,X29/T29)</f>
        <v>#NAME?</v>
      </c>
    </row>
    <row r="30" spans="1:26" x14ac:dyDescent="0.25">
      <c r="A30" s="9"/>
      <c r="B30" s="11"/>
      <c r="C30" s="11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1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4" customFormat="1" ht="15.75" thickBot="1" x14ac:dyDescent="0.3">
      <c r="A31" s="11"/>
      <c r="B31" s="28" t="s">
        <v>125</v>
      </c>
      <c r="C31" s="28"/>
      <c r="D31" s="34" t="e">
        <f ca="1">+D27-D29</f>
        <v>#NAME?</v>
      </c>
      <c r="E31" s="14"/>
      <c r="F31" s="31" t="e">
        <f ca="1">IF(D$12=0,0,D31/D$12)</f>
        <v>#NAME?</v>
      </c>
      <c r="G31" s="14"/>
      <c r="H31" s="34" t="e">
        <f ca="1">+H27-H29</f>
        <v>#NAME?</v>
      </c>
      <c r="I31" s="14"/>
      <c r="J31" s="31" t="e">
        <f ca="1">IF(H$12=0,0,H31/H$12)</f>
        <v>#NAME?</v>
      </c>
      <c r="K31" s="15"/>
      <c r="L31" s="34" t="e">
        <f ca="1">D31-H31</f>
        <v>#NAME?</v>
      </c>
      <c r="M31" s="15"/>
      <c r="N31" s="31" t="e">
        <f ca="1">IF(H31=0,0,L31/H31)</f>
        <v>#NAME?</v>
      </c>
      <c r="O31" s="29"/>
      <c r="P31" s="34" t="e">
        <f ca="1">+P27-P29</f>
        <v>#NAME?</v>
      </c>
      <c r="Q31" s="14"/>
      <c r="R31" s="31" t="e">
        <f ca="1">IF(P$12=0,0,P31/P$12)</f>
        <v>#NAME?</v>
      </c>
      <c r="S31" s="14"/>
      <c r="T31" s="34" t="e">
        <f ca="1">+T27-T29</f>
        <v>#NAME?</v>
      </c>
      <c r="U31" s="14"/>
      <c r="V31" s="31" t="e">
        <f ca="1">IF(T$12=0,0,T31/T$12)</f>
        <v>#NAME?</v>
      </c>
      <c r="W31" s="15"/>
      <c r="X31" s="34" t="e">
        <f ca="1">P31-T31</f>
        <v>#NAME?</v>
      </c>
      <c r="Y31" s="15"/>
      <c r="Z31" s="31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4" customFormat="1" x14ac:dyDescent="0.25">
      <c r="A33" s="51"/>
      <c r="B33" s="11" t="s">
        <v>183</v>
      </c>
      <c r="C33" s="11"/>
      <c r="D33" s="4" t="e">
        <f ca="1">-_xll.OneStop.ReportPlayer.OSRFunctions.OSRGet("GL_F_Trans","Value1")</f>
        <v>#NAME?</v>
      </c>
      <c r="E33" s="4"/>
      <c r="F33" s="13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3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3" t="e">
        <f t="shared" ref="N33:N34" ca="1" si="31">IF(H33=0,0,L33/H33)</f>
        <v>#NAME?</v>
      </c>
      <c r="O33" s="11"/>
      <c r="P33" s="4" t="e">
        <f ca="1">-_xll.OneStop.ReportPlayer.OSRFunctions.OSRGet("GL_F_Trans","Value1")</f>
        <v>#NAME?</v>
      </c>
      <c r="Q33" s="4"/>
      <c r="R33" s="13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3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3" t="e">
        <f t="shared" ref="Z33:Z34" ca="1" si="35">IF(T33=0,0,X33/T33)</f>
        <v>#NAME?</v>
      </c>
    </row>
    <row r="34" spans="1:26" s="24" customFormat="1" x14ac:dyDescent="0.25">
      <c r="A34" s="51"/>
      <c r="B34" s="11" t="s">
        <v>81</v>
      </c>
      <c r="C34" s="11"/>
      <c r="D34" s="4" t="e">
        <f ca="1">-_xll.OneStop.ReportPlayer.OSRFunctions.OSRGet("GL_F_Trans","Value1")</f>
        <v>#NAME?</v>
      </c>
      <c r="E34" s="4"/>
      <c r="F34" s="13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3" t="e">
        <f t="shared" ca="1" si="29"/>
        <v>#NAME?</v>
      </c>
      <c r="K34" s="4"/>
      <c r="L34" s="4" t="e">
        <f t="shared" ca="1" si="30"/>
        <v>#NAME?</v>
      </c>
      <c r="M34" s="4"/>
      <c r="N34" s="13" t="e">
        <f t="shared" ca="1" si="31"/>
        <v>#NAME?</v>
      </c>
      <c r="O34" s="11"/>
      <c r="P34" s="4" t="e">
        <f ca="1">-_xll.OneStop.ReportPlayer.OSRFunctions.OSRGet("GL_F_Trans","Value1")</f>
        <v>#NAME?</v>
      </c>
      <c r="Q34" s="4"/>
      <c r="R34" s="13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3" t="e">
        <f t="shared" ca="1" si="33"/>
        <v>#NAME?</v>
      </c>
      <c r="W34" s="4"/>
      <c r="X34" s="4" t="e">
        <f t="shared" ca="1" si="34"/>
        <v>#NAME?</v>
      </c>
      <c r="Y34" s="4"/>
      <c r="Z34" s="13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4" customFormat="1" ht="15.75" thickBot="1" x14ac:dyDescent="0.3">
      <c r="A36" s="11"/>
      <c r="B36" s="28" t="s">
        <v>293</v>
      </c>
      <c r="C36" s="28"/>
      <c r="D36" s="33" t="e">
        <f ca="1">SUM(D31:D35)</f>
        <v>#NAME?</v>
      </c>
      <c r="E36" s="14"/>
      <c r="F36" s="35" t="e">
        <f ca="1">IF(D$12=0,0,D36/D$12)</f>
        <v>#NAME?</v>
      </c>
      <c r="G36" s="14"/>
      <c r="H36" s="33" t="e">
        <f ca="1">SUM(H31:H35)</f>
        <v>#NAME?</v>
      </c>
      <c r="I36" s="14"/>
      <c r="J36" s="35" t="e">
        <f ca="1">IF(H$12=0,0,H36/H$12)</f>
        <v>#NAME?</v>
      </c>
      <c r="K36" s="15"/>
      <c r="L36" s="33" t="e">
        <f ca="1">+D36-H36</f>
        <v>#NAME?</v>
      </c>
      <c r="M36" s="15"/>
      <c r="N36" s="35" t="e">
        <f ca="1">IF(H36=0,0,L36/H36)</f>
        <v>#NAME?</v>
      </c>
      <c r="O36" s="29"/>
      <c r="P36" s="33" t="e">
        <f ca="1">SUM(P31:P35)</f>
        <v>#NAME?</v>
      </c>
      <c r="Q36" s="14"/>
      <c r="R36" s="35" t="e">
        <f ca="1">IF(P$12=0,0,P36/P$12)</f>
        <v>#NAME?</v>
      </c>
      <c r="S36" s="14"/>
      <c r="T36" s="33" t="e">
        <f ca="1">SUM(T31:T35)</f>
        <v>#NAME?</v>
      </c>
      <c r="U36" s="14"/>
      <c r="V36" s="35" t="e">
        <f ca="1">IF(T$12=0,0,T36/T$12)</f>
        <v>#NAME?</v>
      </c>
      <c r="W36" s="15"/>
      <c r="X36" s="33" t="e">
        <f ca="1">+P36-T36</f>
        <v>#NAME?</v>
      </c>
      <c r="Y36" s="15"/>
      <c r="Z36" s="35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56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55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60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100</vt:i4>
      </vt:variant>
      <vt:variant>
        <vt:lpstr>Named Ranges</vt:lpstr>
      </vt:variant>
      <vt:variant>
        <vt:i4>4492</vt:i4>
      </vt:variant>
    </vt:vector>
  </HeadingPairs>
  <TitlesOfParts>
    <vt:vector size="4592" baseType="lpstr">
      <vt:lpstr>Interface</vt:lpstr>
      <vt:lpstr>DataSetting</vt:lpstr>
      <vt:lpstr>Summary</vt:lpstr>
      <vt:lpstr>OSR_Summary_18VAVWG</vt:lpstr>
      <vt:lpstr>OSR_Current ...69b7dd8c_1IEQKFK</vt:lpstr>
      <vt:lpstr>Div 1</vt:lpstr>
      <vt:lpstr>OSR_Div 1_7H47HR</vt:lpstr>
      <vt:lpstr>OSR_Div 3 (2)...4cb81c06_PBSMLS</vt:lpstr>
      <vt:lpstr>OSR_Div 2_1PQ800A</vt:lpstr>
      <vt:lpstr>OSR_Div 1 (2)...789fe994_2NV3KA</vt:lpstr>
      <vt:lpstr>OSR_Div 3_18723PH</vt:lpstr>
      <vt:lpstr>OSR_300 (2)_7...54cb56fc_UFX0O2</vt:lpstr>
      <vt:lpstr>OSR_300_IYZXI6</vt:lpstr>
      <vt:lpstr>OSR_Div 3 (2)...b7db256a_40ITCB</vt:lpstr>
      <vt:lpstr>OSR_300 &amp; 317_1C00ID4</vt:lpstr>
      <vt:lpstr>OSR_300 (2)_c...79cd3046_1TJM0H</vt:lpstr>
      <vt:lpstr>OSR_310_1CMTOSB</vt:lpstr>
      <vt:lpstr>OSR_300 (2)_e...5d0da5bf_6BPGAO</vt:lpstr>
      <vt:lpstr>OSR_330_10VFP5Y</vt:lpstr>
      <vt:lpstr>OSR_310 (2)_...6e684f08_1FLCNJG</vt:lpstr>
      <vt:lpstr>OSR_308_UAWDAG</vt:lpstr>
      <vt:lpstr>OSR_330 (2)_...8a14c83e_1NSH7XI</vt:lpstr>
      <vt:lpstr>OSR_331_10VKQAJ</vt:lpstr>
      <vt:lpstr>OSR_308 (2)_...47685838_1YQW4QY</vt:lpstr>
      <vt:lpstr>OSR_332_6NDVBW</vt:lpstr>
      <vt:lpstr>OSR_331 (2)_...7280af70_1P5SPLT</vt:lpstr>
      <vt:lpstr>OSR_Div 4_1740TMT</vt:lpstr>
      <vt:lpstr>OSR_310 (2)_...8cac1423_1JTU33X</vt:lpstr>
      <vt:lpstr>OSR_310 &amp; 491_1NGRCS9</vt:lpstr>
      <vt:lpstr>OSR_491 (2)_0...c51cc666_QIOT67</vt:lpstr>
      <vt:lpstr>OSR_491_9Z9JH5</vt:lpstr>
      <vt:lpstr>OSR_Div 4 (2...2533da42_174R6QX</vt:lpstr>
      <vt:lpstr>OSR_492_943FP1</vt:lpstr>
      <vt:lpstr>OSR_Div 4 (2)...1a9a4454_CQFRNE</vt:lpstr>
      <vt:lpstr>OSR_Div 5_16NAZO2</vt:lpstr>
      <vt:lpstr>OSR_492 (2)_...cd97c6a6_13HYXEV</vt:lpstr>
      <vt:lpstr>OSR_Div 6_P37YY7</vt:lpstr>
      <vt:lpstr>OSR_Div 5 (2...09141158_1BG9FGV</vt:lpstr>
      <vt:lpstr>100</vt:lpstr>
      <vt:lpstr>Div 2</vt:lpstr>
      <vt:lpstr>200</vt:lpstr>
      <vt:lpstr>201</vt:lpstr>
      <vt:lpstr>202</vt:lpstr>
      <vt:lpstr>203</vt:lpstr>
      <vt:lpstr>204</vt:lpstr>
      <vt:lpstr>205</vt:lpstr>
      <vt:lpstr>206</vt:lpstr>
      <vt:lpstr>Div 3</vt:lpstr>
      <vt:lpstr>300</vt:lpstr>
      <vt:lpstr>300 &amp; 317</vt:lpstr>
      <vt:lpstr>301</vt:lpstr>
      <vt:lpstr>306</vt:lpstr>
      <vt:lpstr>330</vt:lpstr>
      <vt:lpstr>307</vt:lpstr>
      <vt:lpstr>314</vt:lpstr>
      <vt:lpstr>308</vt:lpstr>
      <vt:lpstr>311</vt:lpstr>
      <vt:lpstr>331</vt:lpstr>
      <vt:lpstr>315</vt:lpstr>
      <vt:lpstr>332</vt:lpstr>
      <vt:lpstr>316</vt:lpstr>
      <vt:lpstr>320</vt:lpstr>
      <vt:lpstr>Div 6</vt:lpstr>
      <vt:lpstr>317</vt:lpstr>
      <vt:lpstr>310</vt:lpstr>
      <vt:lpstr>309</vt:lpstr>
      <vt:lpstr>313</vt:lpstr>
      <vt:lpstr>321</vt:lpstr>
      <vt:lpstr>322</vt:lpstr>
      <vt:lpstr>324</vt:lpstr>
      <vt:lpstr>325</vt:lpstr>
      <vt:lpstr>326</vt:lpstr>
      <vt:lpstr>327</vt:lpstr>
      <vt:lpstr>Div 4</vt:lpstr>
      <vt:lpstr>310 &amp; 491</vt:lpstr>
      <vt:lpstr>491</vt:lpstr>
      <vt:lpstr>405</vt:lpstr>
      <vt:lpstr>406</vt:lpstr>
      <vt:lpstr>411</vt:lpstr>
      <vt:lpstr>412</vt:lpstr>
      <vt:lpstr>413</vt:lpstr>
      <vt:lpstr>414</vt:lpstr>
      <vt:lpstr>415</vt:lpstr>
      <vt:lpstr>418</vt:lpstr>
      <vt:lpstr>420</vt:lpstr>
      <vt:lpstr>423</vt:lpstr>
      <vt:lpstr>424</vt:lpstr>
      <vt:lpstr>425</vt:lpstr>
      <vt:lpstr>455</vt:lpstr>
      <vt:lpstr>492</vt:lpstr>
      <vt:lpstr>430</vt:lpstr>
      <vt:lpstr>433</vt:lpstr>
      <vt:lpstr>435</vt:lpstr>
      <vt:lpstr>444</vt:lpstr>
      <vt:lpstr>450</vt:lpstr>
      <vt:lpstr>Div 5</vt:lpstr>
      <vt:lpstr>501</vt:lpstr>
      <vt:lpstr>Dept</vt:lpstr>
      <vt:lpstr>OSR_Dept_Y0WUKY</vt:lpstr>
      <vt:lpstr>OSR_Summary (...56e5d78f_5JEYZH</vt:lpstr>
      <vt:lpstr>'300'!OSRRefD13x_0</vt:lpstr>
      <vt:lpstr>'300 &amp; 317'!OSRRefD13x_0</vt:lpstr>
      <vt:lpstr>'307'!OSRRefD13x_0</vt:lpstr>
      <vt:lpstr>'308'!OSRRefD13x_0</vt:lpstr>
      <vt:lpstr>'309'!OSRRefD13x_0</vt:lpstr>
      <vt:lpstr>'310'!OSRRefD13x_0</vt:lpstr>
      <vt:lpstr>'310 &amp; 491'!OSRRefD13x_0</vt:lpstr>
      <vt:lpstr>'311'!OSRRefD13x_0</vt:lpstr>
      <vt:lpstr>'313'!OSRRefD13x_0</vt:lpstr>
      <vt:lpstr>'314'!OSRRefD13x_0</vt:lpstr>
      <vt:lpstr>'315'!OSRRefD13x_0</vt:lpstr>
      <vt:lpstr>'316'!OSRRefD13x_0</vt:lpstr>
      <vt:lpstr>'317'!OSRRefD13x_0</vt:lpstr>
      <vt:lpstr>'320'!OSRRefD13x_0</vt:lpstr>
      <vt:lpstr>'321'!OSRRefD13x_0</vt:lpstr>
      <vt:lpstr>'322'!OSRRefD13x_0</vt:lpstr>
      <vt:lpstr>'324'!OSRRefD13x_0</vt:lpstr>
      <vt:lpstr>'325'!OSRRefD13x_0</vt:lpstr>
      <vt:lpstr>'326'!OSRRefD13x_0</vt:lpstr>
      <vt:lpstr>'327'!OSRRefD13x_0</vt:lpstr>
      <vt:lpstr>'330'!OSRRefD13x_0</vt:lpstr>
      <vt:lpstr>'331'!OSRRefD13x_0</vt:lpstr>
      <vt:lpstr>'332'!OSRRefD13x_0</vt:lpstr>
      <vt:lpstr>'405'!OSRRefD13x_0</vt:lpstr>
      <vt:lpstr>'406'!OSRRefD13x_0</vt:lpstr>
      <vt:lpstr>'412'!OSRRefD13x_0</vt:lpstr>
      <vt:lpstr>'413'!OSRRefD13x_0</vt:lpstr>
      <vt:lpstr>'414'!OSRRefD13x_0</vt:lpstr>
      <vt:lpstr>'415'!OSRRefD13x_0</vt:lpstr>
      <vt:lpstr>'418'!OSRRefD13x_0</vt:lpstr>
      <vt:lpstr>'420'!OSRRefD13x_0</vt:lpstr>
      <vt:lpstr>'424'!OSRRefD13x_0</vt:lpstr>
      <vt:lpstr>'425'!OSRRefD13x_0</vt:lpstr>
      <vt:lpstr>'433'!OSRRefD13x_0</vt:lpstr>
      <vt:lpstr>'435'!OSRRefD13x_0</vt:lpstr>
      <vt:lpstr>'444'!OSRRefD13x_0</vt:lpstr>
      <vt:lpstr>'450'!OSRRefD13x_0</vt:lpstr>
      <vt:lpstr>'491'!OSRRefD13x_0</vt:lpstr>
      <vt:lpstr>'492'!OSRRefD13x_0</vt:lpstr>
      <vt:lpstr>'501'!OSRRefD13x_0</vt:lpstr>
      <vt:lpstr>'Div 3'!OSRRefD13x_0</vt:lpstr>
      <vt:lpstr>'Div 4'!OSRRefD13x_0</vt:lpstr>
      <vt:lpstr>'Div 5'!OSRRefD13x_0</vt:lpstr>
      <vt:lpstr>'Div 6'!OSRRefD13x_0</vt:lpstr>
      <vt:lpstr>Summary!OSRRefD13x_0</vt:lpstr>
      <vt:lpstr>'300'!OSRRefD16x_0</vt:lpstr>
      <vt:lpstr>'300 &amp; 317'!OSRRefD16x_0</vt:lpstr>
      <vt:lpstr>'301'!OSRRefD16x_0</vt:lpstr>
      <vt:lpstr>'307'!OSRRefD16x_0</vt:lpstr>
      <vt:lpstr>'308'!OSRRefD16x_0</vt:lpstr>
      <vt:lpstr>'309'!OSRRefD16x_0</vt:lpstr>
      <vt:lpstr>'310'!OSRRefD16x_0</vt:lpstr>
      <vt:lpstr>'310 &amp; 491'!OSRRefD16x_0</vt:lpstr>
      <vt:lpstr>'311'!OSRRefD16x_0</vt:lpstr>
      <vt:lpstr>'313'!OSRRefD16x_0</vt:lpstr>
      <vt:lpstr>'314'!OSRRefD16x_0</vt:lpstr>
      <vt:lpstr>'315'!OSRRefD16x_0</vt:lpstr>
      <vt:lpstr>'317'!OSRRefD16x_0</vt:lpstr>
      <vt:lpstr>'320'!OSRRefD16x_0</vt:lpstr>
      <vt:lpstr>'321'!OSRRefD16x_0</vt:lpstr>
      <vt:lpstr>'322'!OSRRefD16x_0</vt:lpstr>
      <vt:lpstr>'324'!OSRRefD16x_0</vt:lpstr>
      <vt:lpstr>'325'!OSRRefD16x_0</vt:lpstr>
      <vt:lpstr>'326'!OSRRefD16x_0</vt:lpstr>
      <vt:lpstr>'327'!OSRRefD16x_0</vt:lpstr>
      <vt:lpstr>'330'!OSRRefD16x_0</vt:lpstr>
      <vt:lpstr>'331'!OSRRefD16x_0</vt:lpstr>
      <vt:lpstr>'332'!OSRRefD16x_0</vt:lpstr>
      <vt:lpstr>'405'!OSRRefD16x_0</vt:lpstr>
      <vt:lpstr>'406'!OSRRefD16x_0</vt:lpstr>
      <vt:lpstr>'412'!OSRRefD16x_0</vt:lpstr>
      <vt:lpstr>'413'!OSRRefD16x_0</vt:lpstr>
      <vt:lpstr>'414'!OSRRefD16x_0</vt:lpstr>
      <vt:lpstr>'415'!OSRRefD16x_0</vt:lpstr>
      <vt:lpstr>'418'!OSRRefD16x_0</vt:lpstr>
      <vt:lpstr>'420'!OSRRefD16x_0</vt:lpstr>
      <vt:lpstr>'423'!OSRRefD16x_0</vt:lpstr>
      <vt:lpstr>'424'!OSRRefD16x_0</vt:lpstr>
      <vt:lpstr>'425'!OSRRefD16x_0</vt:lpstr>
      <vt:lpstr>'433'!OSRRefD16x_0</vt:lpstr>
      <vt:lpstr>'435'!OSRRefD16x_0</vt:lpstr>
      <vt:lpstr>'444'!OSRRefD16x_0</vt:lpstr>
      <vt:lpstr>'450'!OSRRefD16x_0</vt:lpstr>
      <vt:lpstr>'491'!OSRRefD16x_0</vt:lpstr>
      <vt:lpstr>'492'!OSRRefD16x_0</vt:lpstr>
      <vt:lpstr>'Div 3'!OSRRefD16x_0</vt:lpstr>
      <vt:lpstr>'Div 4'!OSRRefD16x_0</vt:lpstr>
      <vt:lpstr>'Div 6'!OSRRefD16x_0</vt:lpstr>
      <vt:lpstr>Summary!OSRRefD16x_0</vt:lpstr>
      <vt:lpstr>'200'!OSRRefD22_0x_0</vt:lpstr>
      <vt:lpstr>'201'!OSRRefD22_0x_0</vt:lpstr>
      <vt:lpstr>'202'!OSRRefD22_0x_0</vt:lpstr>
      <vt:lpstr>'203'!OSRRefD22_0x_0</vt:lpstr>
      <vt:lpstr>'204'!OSRRefD22_0x_0</vt:lpstr>
      <vt:lpstr>'205'!OSRRefD22_0x_0</vt:lpstr>
      <vt:lpstr>'206'!OSRRefD22_0x_0</vt:lpstr>
      <vt:lpstr>'300'!OSRRefD22_0x_0</vt:lpstr>
      <vt:lpstr>'300 &amp; 317'!OSRRefD22_0x_0</vt:lpstr>
      <vt:lpstr>'301'!OSRRefD22_0x_0</vt:lpstr>
      <vt:lpstr>'306'!OSRRefD22_0x_0</vt:lpstr>
      <vt:lpstr>'307'!OSRRefD22_0x_0</vt:lpstr>
      <vt:lpstr>'308'!OSRRefD22_0x_0</vt:lpstr>
      <vt:lpstr>'309'!OSRRefD22_0x_0</vt:lpstr>
      <vt:lpstr>'310'!OSRRefD22_0x_0</vt:lpstr>
      <vt:lpstr>'310 &amp; 491'!OSRRefD22_0x_0</vt:lpstr>
      <vt:lpstr>'311'!OSRRefD22_0x_0</vt:lpstr>
      <vt:lpstr>'313'!OSRRefD22_0x_0</vt:lpstr>
      <vt:lpstr>'314'!OSRRefD22_0x_0</vt:lpstr>
      <vt:lpstr>'315'!OSRRefD22_0x_0</vt:lpstr>
      <vt:lpstr>'316'!OSRRefD22_0x_0</vt:lpstr>
      <vt:lpstr>'317'!OSRRefD22_0x_0</vt:lpstr>
      <vt:lpstr>'320'!OSRRefD22_0x_0</vt:lpstr>
      <vt:lpstr>'321'!OSRRefD22_0x_0</vt:lpstr>
      <vt:lpstr>'322'!OSRRefD22_0x_0</vt:lpstr>
      <vt:lpstr>'325'!OSRRefD22_0x_0</vt:lpstr>
      <vt:lpstr>'326'!OSRRefD22_0x_0</vt:lpstr>
      <vt:lpstr>'327'!OSRRefD22_0x_0</vt:lpstr>
      <vt:lpstr>'330'!OSRRefD22_0x_0</vt:lpstr>
      <vt:lpstr>'331'!OSRRefD22_0x_0</vt:lpstr>
      <vt:lpstr>'332'!OSRRefD22_0x_0</vt:lpstr>
      <vt:lpstr>'405'!OSRRefD22_0x_0</vt:lpstr>
      <vt:lpstr>'406'!OSRRefD22_0x_0</vt:lpstr>
      <vt:lpstr>'411'!OSRRefD22_0x_0</vt:lpstr>
      <vt:lpstr>'412'!OSRRefD22_0x_0</vt:lpstr>
      <vt:lpstr>'413'!OSRRefD22_0x_0</vt:lpstr>
      <vt:lpstr>'414'!OSRRefD22_0x_0</vt:lpstr>
      <vt:lpstr>'415'!OSRRefD22_0x_0</vt:lpstr>
      <vt:lpstr>'418'!OSRRefD22_0x_0</vt:lpstr>
      <vt:lpstr>'420'!OSRRefD22_0x_0</vt:lpstr>
      <vt:lpstr>'423'!OSRRefD22_0x_0</vt:lpstr>
      <vt:lpstr>'424'!OSRRefD22_0x_0</vt:lpstr>
      <vt:lpstr>'425'!OSRRefD22_0x_0</vt:lpstr>
      <vt:lpstr>'430'!OSRRefD22_0x_0</vt:lpstr>
      <vt:lpstr>'433'!OSRRefD22_0x_0</vt:lpstr>
      <vt:lpstr>'435'!OSRRefD22_0x_0</vt:lpstr>
      <vt:lpstr>'444'!OSRRefD22_0x_0</vt:lpstr>
      <vt:lpstr>'450'!OSRRefD22_0x_0</vt:lpstr>
      <vt:lpstr>'455'!OSRRefD22_0x_0</vt:lpstr>
      <vt:lpstr>'491'!OSRRefD22_0x_0</vt:lpstr>
      <vt:lpstr>'492'!OSRRefD22_0x_0</vt:lpstr>
      <vt:lpstr>'501'!OSRRefD22_0x_0</vt:lpstr>
      <vt:lpstr>'Div 2'!OSRRefD22_0x_0</vt:lpstr>
      <vt:lpstr>'Div 3'!OSRRefD22_0x_0</vt:lpstr>
      <vt:lpstr>'Div 4'!OSRRefD22_0x_0</vt:lpstr>
      <vt:lpstr>'Div 5'!OSRRefD22_0x_0</vt:lpstr>
      <vt:lpstr>'Div 6'!OSRRefD22_0x_0</vt:lpstr>
      <vt:lpstr>Summary!OSRRefD22_0x_0</vt:lpstr>
      <vt:lpstr>'201'!OSRRefD22_10x_0</vt:lpstr>
      <vt:lpstr>'202'!OSRRefD22_10x_0</vt:lpstr>
      <vt:lpstr>'203'!OSRRefD22_10x_0</vt:lpstr>
      <vt:lpstr>'204'!OSRRefD22_10x_0</vt:lpstr>
      <vt:lpstr>'300'!OSRRefD22_10x_0</vt:lpstr>
      <vt:lpstr>'300 &amp; 317'!OSRRefD22_10x_0</vt:lpstr>
      <vt:lpstr>'301'!OSRRefD22_10x_0</vt:lpstr>
      <vt:lpstr>'307'!OSRRefD22_10x_0</vt:lpstr>
      <vt:lpstr>'308'!OSRRefD22_10x_0</vt:lpstr>
      <vt:lpstr>'309'!OSRRefD22_10x_0</vt:lpstr>
      <vt:lpstr>'310'!OSRRefD22_10x_0</vt:lpstr>
      <vt:lpstr>'310 &amp; 491'!OSRRefD22_10x_0</vt:lpstr>
      <vt:lpstr>'311'!OSRRefD22_10x_0</vt:lpstr>
      <vt:lpstr>'313'!OSRRefD22_10x_0</vt:lpstr>
      <vt:lpstr>'315'!OSRRefD22_10x_0</vt:lpstr>
      <vt:lpstr>'316'!OSRRefD22_10x_0</vt:lpstr>
      <vt:lpstr>'317'!OSRRefD22_10x_0</vt:lpstr>
      <vt:lpstr>'321'!OSRRefD22_10x_0</vt:lpstr>
      <vt:lpstr>'322'!OSRRefD22_10x_0</vt:lpstr>
      <vt:lpstr>'325'!OSRRefD22_10x_0</vt:lpstr>
      <vt:lpstr>'326'!OSRRefD22_10x_0</vt:lpstr>
      <vt:lpstr>'330'!OSRRefD22_10x_0</vt:lpstr>
      <vt:lpstr>'331'!OSRRefD22_10x_0</vt:lpstr>
      <vt:lpstr>'332'!OSRRefD22_10x_0</vt:lpstr>
      <vt:lpstr>'405'!OSRRefD22_10x_0</vt:lpstr>
      <vt:lpstr>'406'!OSRRefD22_10x_0</vt:lpstr>
      <vt:lpstr>'411'!OSRRefD22_10x_0</vt:lpstr>
      <vt:lpstr>'412'!OSRRefD22_10x_0</vt:lpstr>
      <vt:lpstr>'413'!OSRRefD22_10x_0</vt:lpstr>
      <vt:lpstr>'414'!OSRRefD22_10x_0</vt:lpstr>
      <vt:lpstr>'415'!OSRRefD22_10x_0</vt:lpstr>
      <vt:lpstr>'418'!OSRRefD22_10x_0</vt:lpstr>
      <vt:lpstr>'424'!OSRRefD22_10x_0</vt:lpstr>
      <vt:lpstr>'425'!OSRRefD22_10x_0</vt:lpstr>
      <vt:lpstr>'433'!OSRRefD22_10x_0</vt:lpstr>
      <vt:lpstr>'444'!OSRRefD22_10x_0</vt:lpstr>
      <vt:lpstr>'450'!OSRRefD22_10x_0</vt:lpstr>
      <vt:lpstr>'491'!OSRRefD22_10x_0</vt:lpstr>
      <vt:lpstr>'492'!OSRRefD22_10x_0</vt:lpstr>
      <vt:lpstr>'501'!OSRRefD22_10x_0</vt:lpstr>
      <vt:lpstr>'Div 2'!OSRRefD22_10x_0</vt:lpstr>
      <vt:lpstr>'Div 3'!OSRRefD22_10x_0</vt:lpstr>
      <vt:lpstr>'Div 4'!OSRRefD22_10x_0</vt:lpstr>
      <vt:lpstr>'Div 5'!OSRRefD22_10x_0</vt:lpstr>
      <vt:lpstr>'Div 6'!OSRRefD22_10x_0</vt:lpstr>
      <vt:lpstr>Summary!OSRRefD22_10x_0</vt:lpstr>
      <vt:lpstr>'201'!OSRRefD22_11x_0</vt:lpstr>
      <vt:lpstr>'202'!OSRRefD22_11x_0</vt:lpstr>
      <vt:lpstr>'203'!OSRRefD22_11x_0</vt:lpstr>
      <vt:lpstr>'300'!OSRRefD22_11x_0</vt:lpstr>
      <vt:lpstr>'300 &amp; 317'!OSRRefD22_11x_0</vt:lpstr>
      <vt:lpstr>'301'!OSRRefD22_11x_0</vt:lpstr>
      <vt:lpstr>'307'!OSRRefD22_11x_0</vt:lpstr>
      <vt:lpstr>'308'!OSRRefD22_11x_0</vt:lpstr>
      <vt:lpstr>'309'!OSRRefD22_11x_0</vt:lpstr>
      <vt:lpstr>'310'!OSRRefD22_11x_0</vt:lpstr>
      <vt:lpstr>'310 &amp; 491'!OSRRefD22_11x_0</vt:lpstr>
      <vt:lpstr>'311'!OSRRefD22_11x_0</vt:lpstr>
      <vt:lpstr>'313'!OSRRefD22_11x_0</vt:lpstr>
      <vt:lpstr>'315'!OSRRefD22_11x_0</vt:lpstr>
      <vt:lpstr>'316'!OSRRefD22_11x_0</vt:lpstr>
      <vt:lpstr>'317'!OSRRefD22_11x_0</vt:lpstr>
      <vt:lpstr>'321'!OSRRefD22_11x_0</vt:lpstr>
      <vt:lpstr>'322'!OSRRefD22_11x_0</vt:lpstr>
      <vt:lpstr>'325'!OSRRefD22_11x_0</vt:lpstr>
      <vt:lpstr>'326'!OSRRefD22_11x_0</vt:lpstr>
      <vt:lpstr>'330'!OSRRefD22_11x_0</vt:lpstr>
      <vt:lpstr>'331'!OSRRefD22_11x_0</vt:lpstr>
      <vt:lpstr>'332'!OSRRefD22_11x_0</vt:lpstr>
      <vt:lpstr>'405'!OSRRefD22_11x_0</vt:lpstr>
      <vt:lpstr>'406'!OSRRefD22_11x_0</vt:lpstr>
      <vt:lpstr>'411'!OSRRefD22_11x_0</vt:lpstr>
      <vt:lpstr>'412'!OSRRefD22_11x_0</vt:lpstr>
      <vt:lpstr>'413'!OSRRefD22_11x_0</vt:lpstr>
      <vt:lpstr>'414'!OSRRefD22_11x_0</vt:lpstr>
      <vt:lpstr>'415'!OSRRefD22_11x_0</vt:lpstr>
      <vt:lpstr>'418'!OSRRefD22_11x_0</vt:lpstr>
      <vt:lpstr>'424'!OSRRefD22_11x_0</vt:lpstr>
      <vt:lpstr>'425'!OSRRefD22_11x_0</vt:lpstr>
      <vt:lpstr>'433'!OSRRefD22_11x_0</vt:lpstr>
      <vt:lpstr>'444'!OSRRefD22_11x_0</vt:lpstr>
      <vt:lpstr>'450'!OSRRefD22_11x_0</vt:lpstr>
      <vt:lpstr>'491'!OSRRefD22_11x_0</vt:lpstr>
      <vt:lpstr>'492'!OSRRefD22_11x_0</vt:lpstr>
      <vt:lpstr>'501'!OSRRefD22_11x_0</vt:lpstr>
      <vt:lpstr>'Div 2'!OSRRefD22_11x_0</vt:lpstr>
      <vt:lpstr>'Div 3'!OSRRefD22_11x_0</vt:lpstr>
      <vt:lpstr>'Div 4'!OSRRefD22_11x_0</vt:lpstr>
      <vt:lpstr>'Div 5'!OSRRefD22_11x_0</vt:lpstr>
      <vt:lpstr>'Div 6'!OSRRefD22_11x_0</vt:lpstr>
      <vt:lpstr>Summary!OSRRefD22_11x_0</vt:lpstr>
      <vt:lpstr>'201'!OSRRefD22_12x_0</vt:lpstr>
      <vt:lpstr>'202'!OSRRefD22_12x_0</vt:lpstr>
      <vt:lpstr>'203'!OSRRefD22_12x_0</vt:lpstr>
      <vt:lpstr>'300'!OSRRefD22_12x_0</vt:lpstr>
      <vt:lpstr>'300 &amp; 317'!OSRRefD22_12x_0</vt:lpstr>
      <vt:lpstr>'301'!OSRRefD22_12x_0</vt:lpstr>
      <vt:lpstr>'307'!OSRRefD22_12x_0</vt:lpstr>
      <vt:lpstr>'308'!OSRRefD22_12x_0</vt:lpstr>
      <vt:lpstr>'309'!OSRRefD22_12x_0</vt:lpstr>
      <vt:lpstr>'310'!OSRRefD22_12x_0</vt:lpstr>
      <vt:lpstr>'310 &amp; 491'!OSRRefD22_12x_0</vt:lpstr>
      <vt:lpstr>'311'!OSRRefD22_12x_0</vt:lpstr>
      <vt:lpstr>'313'!OSRRefD22_12x_0</vt:lpstr>
      <vt:lpstr>'315'!OSRRefD22_12x_0</vt:lpstr>
      <vt:lpstr>'316'!OSRRefD22_12x_0</vt:lpstr>
      <vt:lpstr>'317'!OSRRefD22_12x_0</vt:lpstr>
      <vt:lpstr>'321'!OSRRefD22_12x_0</vt:lpstr>
      <vt:lpstr>'322'!OSRRefD22_12x_0</vt:lpstr>
      <vt:lpstr>'325'!OSRRefD22_12x_0</vt:lpstr>
      <vt:lpstr>'326'!OSRRefD22_12x_0</vt:lpstr>
      <vt:lpstr>'330'!OSRRefD22_12x_0</vt:lpstr>
      <vt:lpstr>'331'!OSRRefD22_12x_0</vt:lpstr>
      <vt:lpstr>'332'!OSRRefD22_12x_0</vt:lpstr>
      <vt:lpstr>'405'!OSRRefD22_12x_0</vt:lpstr>
      <vt:lpstr>'406'!OSRRefD22_12x_0</vt:lpstr>
      <vt:lpstr>'411'!OSRRefD22_12x_0</vt:lpstr>
      <vt:lpstr>'412'!OSRRefD22_12x_0</vt:lpstr>
      <vt:lpstr>'414'!OSRRefD22_12x_0</vt:lpstr>
      <vt:lpstr>'415'!OSRRefD22_12x_0</vt:lpstr>
      <vt:lpstr>'418'!OSRRefD22_12x_0</vt:lpstr>
      <vt:lpstr>'424'!OSRRefD22_12x_0</vt:lpstr>
      <vt:lpstr>'425'!OSRRefD22_12x_0</vt:lpstr>
      <vt:lpstr>'433'!OSRRefD22_12x_0</vt:lpstr>
      <vt:lpstr>'444'!OSRRefD22_12x_0</vt:lpstr>
      <vt:lpstr>'450'!OSRRefD22_12x_0</vt:lpstr>
      <vt:lpstr>'491'!OSRRefD22_12x_0</vt:lpstr>
      <vt:lpstr>'492'!OSRRefD22_12x_0</vt:lpstr>
      <vt:lpstr>'501'!OSRRefD22_12x_0</vt:lpstr>
      <vt:lpstr>'Div 2'!OSRRefD22_12x_0</vt:lpstr>
      <vt:lpstr>'Div 3'!OSRRefD22_12x_0</vt:lpstr>
      <vt:lpstr>'Div 4'!OSRRefD22_12x_0</vt:lpstr>
      <vt:lpstr>'Div 5'!OSRRefD22_12x_0</vt:lpstr>
      <vt:lpstr>'Div 6'!OSRRefD22_12x_0</vt:lpstr>
      <vt:lpstr>Summary!OSRRefD22_12x_0</vt:lpstr>
      <vt:lpstr>'201'!OSRRefD22_13x_0</vt:lpstr>
      <vt:lpstr>'202'!OSRRefD22_13x_0</vt:lpstr>
      <vt:lpstr>'203'!OSRRefD22_13x_0</vt:lpstr>
      <vt:lpstr>'300'!OSRRefD22_13x_0</vt:lpstr>
      <vt:lpstr>'300 &amp; 317'!OSRRefD22_13x_0</vt:lpstr>
      <vt:lpstr>'301'!OSRRefD22_13x_0</vt:lpstr>
      <vt:lpstr>'308'!OSRRefD22_13x_0</vt:lpstr>
      <vt:lpstr>'310'!OSRRefD22_13x_0</vt:lpstr>
      <vt:lpstr>'310 &amp; 491'!OSRRefD22_13x_0</vt:lpstr>
      <vt:lpstr>'311'!OSRRefD22_13x_0</vt:lpstr>
      <vt:lpstr>'315'!OSRRefD22_13x_0</vt:lpstr>
      <vt:lpstr>'316'!OSRRefD22_13x_0</vt:lpstr>
      <vt:lpstr>'317'!OSRRefD22_13x_0</vt:lpstr>
      <vt:lpstr>'322'!OSRRefD22_13x_0</vt:lpstr>
      <vt:lpstr>'325'!OSRRefD22_13x_0</vt:lpstr>
      <vt:lpstr>'326'!OSRRefD22_13x_0</vt:lpstr>
      <vt:lpstr>'330'!OSRRefD22_13x_0</vt:lpstr>
      <vt:lpstr>'331'!OSRRefD22_13x_0</vt:lpstr>
      <vt:lpstr>'332'!OSRRefD22_13x_0</vt:lpstr>
      <vt:lpstr>'405'!OSRRefD22_13x_0</vt:lpstr>
      <vt:lpstr>'406'!OSRRefD22_13x_0</vt:lpstr>
      <vt:lpstr>'411'!OSRRefD22_13x_0</vt:lpstr>
      <vt:lpstr>'412'!OSRRefD22_13x_0</vt:lpstr>
      <vt:lpstr>'414'!OSRRefD22_13x_0</vt:lpstr>
      <vt:lpstr>'415'!OSRRefD22_13x_0</vt:lpstr>
      <vt:lpstr>'418'!OSRRefD22_13x_0</vt:lpstr>
      <vt:lpstr>'425'!OSRRefD22_13x_0</vt:lpstr>
      <vt:lpstr>'433'!OSRRefD22_13x_0</vt:lpstr>
      <vt:lpstr>'444'!OSRRefD22_13x_0</vt:lpstr>
      <vt:lpstr>'450'!OSRRefD22_13x_0</vt:lpstr>
      <vt:lpstr>'491'!OSRRefD22_13x_0</vt:lpstr>
      <vt:lpstr>'492'!OSRRefD22_13x_0</vt:lpstr>
      <vt:lpstr>'501'!OSRRefD22_13x_0</vt:lpstr>
      <vt:lpstr>'Div 2'!OSRRefD22_13x_0</vt:lpstr>
      <vt:lpstr>'Div 3'!OSRRefD22_13x_0</vt:lpstr>
      <vt:lpstr>'Div 4'!OSRRefD22_13x_0</vt:lpstr>
      <vt:lpstr>'Div 5'!OSRRefD22_13x_0</vt:lpstr>
      <vt:lpstr>'Div 6'!OSRRefD22_13x_0</vt:lpstr>
      <vt:lpstr>Summary!OSRRefD22_13x_0</vt:lpstr>
      <vt:lpstr>'201'!OSRRefD22_14x_0</vt:lpstr>
      <vt:lpstr>'202'!OSRRefD22_14x_0</vt:lpstr>
      <vt:lpstr>'203'!OSRRefD22_14x_0</vt:lpstr>
      <vt:lpstr>'300'!OSRRefD22_14x_0</vt:lpstr>
      <vt:lpstr>'300 &amp; 317'!OSRRefD22_14x_0</vt:lpstr>
      <vt:lpstr>'301'!OSRRefD22_14x_0</vt:lpstr>
      <vt:lpstr>'308'!OSRRefD22_14x_0</vt:lpstr>
      <vt:lpstr>'310'!OSRRefD22_14x_0</vt:lpstr>
      <vt:lpstr>'310 &amp; 491'!OSRRefD22_14x_0</vt:lpstr>
      <vt:lpstr>'311'!OSRRefD22_14x_0</vt:lpstr>
      <vt:lpstr>'315'!OSRRefD22_14x_0</vt:lpstr>
      <vt:lpstr>'316'!OSRRefD22_14x_0</vt:lpstr>
      <vt:lpstr>'325'!OSRRefD22_14x_0</vt:lpstr>
      <vt:lpstr>'326'!OSRRefD22_14x_0</vt:lpstr>
      <vt:lpstr>'330'!OSRRefD22_14x_0</vt:lpstr>
      <vt:lpstr>'331'!OSRRefD22_14x_0</vt:lpstr>
      <vt:lpstr>'332'!OSRRefD22_14x_0</vt:lpstr>
      <vt:lpstr>'405'!OSRRefD22_14x_0</vt:lpstr>
      <vt:lpstr>'406'!OSRRefD22_14x_0</vt:lpstr>
      <vt:lpstr>'411'!OSRRefD22_14x_0</vt:lpstr>
      <vt:lpstr>'414'!OSRRefD22_14x_0</vt:lpstr>
      <vt:lpstr>'415'!OSRRefD22_14x_0</vt:lpstr>
      <vt:lpstr>'418'!OSRRefD22_14x_0</vt:lpstr>
      <vt:lpstr>'425'!OSRRefD22_14x_0</vt:lpstr>
      <vt:lpstr>'433'!OSRRefD22_14x_0</vt:lpstr>
      <vt:lpstr>'444'!OSRRefD22_14x_0</vt:lpstr>
      <vt:lpstr>'450'!OSRRefD22_14x_0</vt:lpstr>
      <vt:lpstr>'491'!OSRRefD22_14x_0</vt:lpstr>
      <vt:lpstr>'492'!OSRRefD22_14x_0</vt:lpstr>
      <vt:lpstr>'Div 2'!OSRRefD22_14x_0</vt:lpstr>
      <vt:lpstr>'Div 3'!OSRRefD22_14x_0</vt:lpstr>
      <vt:lpstr>'Div 4'!OSRRefD22_14x_0</vt:lpstr>
      <vt:lpstr>Summary!OSRRefD22_14x_0</vt:lpstr>
      <vt:lpstr>'201'!OSRRefD22_15x_0</vt:lpstr>
      <vt:lpstr>'202'!OSRRefD22_15x_0</vt:lpstr>
      <vt:lpstr>'203'!OSRRefD22_15x_0</vt:lpstr>
      <vt:lpstr>'300'!OSRRefD22_15x_0</vt:lpstr>
      <vt:lpstr>'300 &amp; 317'!OSRRefD22_15x_0</vt:lpstr>
      <vt:lpstr>'301'!OSRRefD22_15x_0</vt:lpstr>
      <vt:lpstr>'310'!OSRRefD22_15x_0</vt:lpstr>
      <vt:lpstr>'310 &amp; 491'!OSRRefD22_15x_0</vt:lpstr>
      <vt:lpstr>'325'!OSRRefD22_15x_0</vt:lpstr>
      <vt:lpstr>'326'!OSRRefD22_15x_0</vt:lpstr>
      <vt:lpstr>'330'!OSRRefD22_15x_0</vt:lpstr>
      <vt:lpstr>'331'!OSRRefD22_15x_0</vt:lpstr>
      <vt:lpstr>'332'!OSRRefD22_15x_0</vt:lpstr>
      <vt:lpstr>'405'!OSRRefD22_15x_0</vt:lpstr>
      <vt:lpstr>'411'!OSRRefD22_15x_0</vt:lpstr>
      <vt:lpstr>'414'!OSRRefD22_15x_0</vt:lpstr>
      <vt:lpstr>'415'!OSRRefD22_15x_0</vt:lpstr>
      <vt:lpstr>'418'!OSRRefD22_15x_0</vt:lpstr>
      <vt:lpstr>'433'!OSRRefD22_15x_0</vt:lpstr>
      <vt:lpstr>'444'!OSRRefD22_15x_0</vt:lpstr>
      <vt:lpstr>'450'!OSRRefD22_15x_0</vt:lpstr>
      <vt:lpstr>'491'!OSRRefD22_15x_0</vt:lpstr>
      <vt:lpstr>'492'!OSRRefD22_15x_0</vt:lpstr>
      <vt:lpstr>'Div 2'!OSRRefD22_15x_0</vt:lpstr>
      <vt:lpstr>'Div 3'!OSRRefD22_15x_0</vt:lpstr>
      <vt:lpstr>'Div 4'!OSRRefD22_15x_0</vt:lpstr>
      <vt:lpstr>Summary!OSRRefD22_15x_0</vt:lpstr>
      <vt:lpstr>'300'!OSRRefD22_16x_0</vt:lpstr>
      <vt:lpstr>'300 &amp; 317'!OSRRefD22_16x_0</vt:lpstr>
      <vt:lpstr>'301'!OSRRefD22_16x_0</vt:lpstr>
      <vt:lpstr>'310'!OSRRefD22_16x_0</vt:lpstr>
      <vt:lpstr>'310 &amp; 491'!OSRRefD22_16x_0</vt:lpstr>
      <vt:lpstr>'325'!OSRRefD22_16x_0</vt:lpstr>
      <vt:lpstr>'326'!OSRRefD22_16x_0</vt:lpstr>
      <vt:lpstr>'331'!OSRRefD22_16x_0</vt:lpstr>
      <vt:lpstr>'405'!OSRRefD22_16x_0</vt:lpstr>
      <vt:lpstr>'411'!OSRRefD22_16x_0</vt:lpstr>
      <vt:lpstr>'415'!OSRRefD22_16x_0</vt:lpstr>
      <vt:lpstr>'418'!OSRRefD22_16x_0</vt:lpstr>
      <vt:lpstr>'433'!OSRRefD22_16x_0</vt:lpstr>
      <vt:lpstr>'444'!OSRRefD22_16x_0</vt:lpstr>
      <vt:lpstr>'450'!OSRRefD22_16x_0</vt:lpstr>
      <vt:lpstr>'491'!OSRRefD22_16x_0</vt:lpstr>
      <vt:lpstr>'492'!OSRRefD22_16x_0</vt:lpstr>
      <vt:lpstr>'Div 2'!OSRRefD22_16x_0</vt:lpstr>
      <vt:lpstr>'Div 3'!OSRRefD22_16x_0</vt:lpstr>
      <vt:lpstr>'Div 4'!OSRRefD22_16x_0</vt:lpstr>
      <vt:lpstr>Summary!OSRRefD22_16x_0</vt:lpstr>
      <vt:lpstr>'300'!OSRRefD22_17x_0</vt:lpstr>
      <vt:lpstr>'300 &amp; 317'!OSRRefD22_17x_0</vt:lpstr>
      <vt:lpstr>'301'!OSRRefD22_17x_0</vt:lpstr>
      <vt:lpstr>'310'!OSRRefD22_17x_0</vt:lpstr>
      <vt:lpstr>'310 &amp; 491'!OSRRefD22_17x_0</vt:lpstr>
      <vt:lpstr>'325'!OSRRefD22_17x_0</vt:lpstr>
      <vt:lpstr>'326'!OSRRefD22_17x_0</vt:lpstr>
      <vt:lpstr>'331'!OSRRefD22_17x_0</vt:lpstr>
      <vt:lpstr>'405'!OSRRefD22_17x_0</vt:lpstr>
      <vt:lpstr>'411'!OSRRefD22_17x_0</vt:lpstr>
      <vt:lpstr>'415'!OSRRefD22_17x_0</vt:lpstr>
      <vt:lpstr>'444'!OSRRefD22_17x_0</vt:lpstr>
      <vt:lpstr>'450'!OSRRefD22_17x_0</vt:lpstr>
      <vt:lpstr>'491'!OSRRefD22_17x_0</vt:lpstr>
      <vt:lpstr>'492'!OSRRefD22_17x_0</vt:lpstr>
      <vt:lpstr>'Div 2'!OSRRefD22_17x_0</vt:lpstr>
      <vt:lpstr>'Div 3'!OSRRefD22_17x_0</vt:lpstr>
      <vt:lpstr>'Div 4'!OSRRefD22_17x_0</vt:lpstr>
      <vt:lpstr>Summary!OSRRefD22_17x_0</vt:lpstr>
      <vt:lpstr>'300'!OSRRefD22_18x_0</vt:lpstr>
      <vt:lpstr>'300 &amp; 317'!OSRRefD22_18x_0</vt:lpstr>
      <vt:lpstr>'301'!OSRRefD22_18x_0</vt:lpstr>
      <vt:lpstr>'310'!OSRRefD22_18x_0</vt:lpstr>
      <vt:lpstr>'310 &amp; 491'!OSRRefD22_18x_0</vt:lpstr>
      <vt:lpstr>'326'!OSRRefD22_18x_0</vt:lpstr>
      <vt:lpstr>'331'!OSRRefD22_18x_0</vt:lpstr>
      <vt:lpstr>'411'!OSRRefD22_18x_0</vt:lpstr>
      <vt:lpstr>'491'!OSRRefD22_18x_0</vt:lpstr>
      <vt:lpstr>'492'!OSRRefD22_18x_0</vt:lpstr>
      <vt:lpstr>'Div 2'!OSRRefD22_18x_0</vt:lpstr>
      <vt:lpstr>'Div 3'!OSRRefD22_18x_0</vt:lpstr>
      <vt:lpstr>'Div 4'!OSRRefD22_18x_0</vt:lpstr>
      <vt:lpstr>Summary!OSRRefD22_18x_0</vt:lpstr>
      <vt:lpstr>'300'!OSRRefD22_19x_0</vt:lpstr>
      <vt:lpstr>'300 &amp; 317'!OSRRefD22_19x_0</vt:lpstr>
      <vt:lpstr>'301'!OSRRefD22_19x_0</vt:lpstr>
      <vt:lpstr>'310'!OSRRefD22_19x_0</vt:lpstr>
      <vt:lpstr>'310 &amp; 491'!OSRRefD22_19x_0</vt:lpstr>
      <vt:lpstr>'326'!OSRRefD22_19x_0</vt:lpstr>
      <vt:lpstr>'331'!OSRRefD22_19x_0</vt:lpstr>
      <vt:lpstr>'411'!OSRRefD22_19x_0</vt:lpstr>
      <vt:lpstr>'491'!OSRRefD22_19x_0</vt:lpstr>
      <vt:lpstr>'Div 2'!OSRRefD22_19x_0</vt:lpstr>
      <vt:lpstr>'Div 3'!OSRRefD22_19x_0</vt:lpstr>
      <vt:lpstr>'Div 4'!OSRRefD22_19x_0</vt:lpstr>
      <vt:lpstr>Summary!OSRRefD22_19x_0</vt:lpstr>
      <vt:lpstr>'200'!OSRRefD22_1x_0</vt:lpstr>
      <vt:lpstr>'201'!OSRRefD22_1x_0</vt:lpstr>
      <vt:lpstr>'202'!OSRRefD22_1x_0</vt:lpstr>
      <vt:lpstr>'203'!OSRRefD22_1x_0</vt:lpstr>
      <vt:lpstr>'204'!OSRRefD22_1x_0</vt:lpstr>
      <vt:lpstr>'205'!OSRRefD22_1x_0</vt:lpstr>
      <vt:lpstr>'206'!OSRRefD22_1x_0</vt:lpstr>
      <vt:lpstr>'300'!OSRRefD22_1x_0</vt:lpstr>
      <vt:lpstr>'300 &amp; 317'!OSRRefD22_1x_0</vt:lpstr>
      <vt:lpstr>'301'!OSRRefD22_1x_0</vt:lpstr>
      <vt:lpstr>'306'!OSRRefD22_1x_0</vt:lpstr>
      <vt:lpstr>'307'!OSRRefD22_1x_0</vt:lpstr>
      <vt:lpstr>'308'!OSRRefD22_1x_0</vt:lpstr>
      <vt:lpstr>'309'!OSRRefD22_1x_0</vt:lpstr>
      <vt:lpstr>'310'!OSRRefD22_1x_0</vt:lpstr>
      <vt:lpstr>'310 &amp; 491'!OSRRefD22_1x_0</vt:lpstr>
      <vt:lpstr>'311'!OSRRefD22_1x_0</vt:lpstr>
      <vt:lpstr>'313'!OSRRefD22_1x_0</vt:lpstr>
      <vt:lpstr>'314'!OSRRefD22_1x_0</vt:lpstr>
      <vt:lpstr>'315'!OSRRefD22_1x_0</vt:lpstr>
      <vt:lpstr>'316'!OSRRefD22_1x_0</vt:lpstr>
      <vt:lpstr>'317'!OSRRefD22_1x_0</vt:lpstr>
      <vt:lpstr>'320'!OSRRefD22_1x_0</vt:lpstr>
      <vt:lpstr>'321'!OSRRefD22_1x_0</vt:lpstr>
      <vt:lpstr>'322'!OSRRefD22_1x_0</vt:lpstr>
      <vt:lpstr>'325'!OSRRefD22_1x_0</vt:lpstr>
      <vt:lpstr>'326'!OSRRefD22_1x_0</vt:lpstr>
      <vt:lpstr>'327'!OSRRefD22_1x_0</vt:lpstr>
      <vt:lpstr>'330'!OSRRefD22_1x_0</vt:lpstr>
      <vt:lpstr>'331'!OSRRefD22_1x_0</vt:lpstr>
      <vt:lpstr>'332'!OSRRefD22_1x_0</vt:lpstr>
      <vt:lpstr>'405'!OSRRefD22_1x_0</vt:lpstr>
      <vt:lpstr>'406'!OSRRefD22_1x_0</vt:lpstr>
      <vt:lpstr>'411'!OSRRefD22_1x_0</vt:lpstr>
      <vt:lpstr>'412'!OSRRefD22_1x_0</vt:lpstr>
      <vt:lpstr>'413'!OSRRefD22_1x_0</vt:lpstr>
      <vt:lpstr>'414'!OSRRefD22_1x_0</vt:lpstr>
      <vt:lpstr>'415'!OSRRefD22_1x_0</vt:lpstr>
      <vt:lpstr>'418'!OSRRefD22_1x_0</vt:lpstr>
      <vt:lpstr>'420'!OSRRefD22_1x_0</vt:lpstr>
      <vt:lpstr>'423'!OSRRefD22_1x_0</vt:lpstr>
      <vt:lpstr>'424'!OSRRefD22_1x_0</vt:lpstr>
      <vt:lpstr>'425'!OSRRefD22_1x_0</vt:lpstr>
      <vt:lpstr>'430'!OSRRefD22_1x_0</vt:lpstr>
      <vt:lpstr>'433'!OSRRefD22_1x_0</vt:lpstr>
      <vt:lpstr>'435'!OSRRefD22_1x_0</vt:lpstr>
      <vt:lpstr>'444'!OSRRefD22_1x_0</vt:lpstr>
      <vt:lpstr>'450'!OSRRefD22_1x_0</vt:lpstr>
      <vt:lpstr>'455'!OSRRefD22_1x_0</vt:lpstr>
      <vt:lpstr>'491'!OSRRefD22_1x_0</vt:lpstr>
      <vt:lpstr>'492'!OSRRefD22_1x_0</vt:lpstr>
      <vt:lpstr>'501'!OSRRefD22_1x_0</vt:lpstr>
      <vt:lpstr>'Div 2'!OSRRefD22_1x_0</vt:lpstr>
      <vt:lpstr>'Div 3'!OSRRefD22_1x_0</vt:lpstr>
      <vt:lpstr>'Div 4'!OSRRefD22_1x_0</vt:lpstr>
      <vt:lpstr>'Div 5'!OSRRefD22_1x_0</vt:lpstr>
      <vt:lpstr>'Div 6'!OSRRefD22_1x_0</vt:lpstr>
      <vt:lpstr>Summary!OSRRefD22_1x_0</vt:lpstr>
      <vt:lpstr>'300'!OSRRefD22_20x_0</vt:lpstr>
      <vt:lpstr>'300 &amp; 317'!OSRRefD22_20x_0</vt:lpstr>
      <vt:lpstr>'301'!OSRRefD22_20x_0</vt:lpstr>
      <vt:lpstr>'310'!OSRRefD22_20x_0</vt:lpstr>
      <vt:lpstr>'310 &amp; 491'!OSRRefD22_20x_0</vt:lpstr>
      <vt:lpstr>'331'!OSRRefD22_20x_0</vt:lpstr>
      <vt:lpstr>'491'!OSRRefD22_20x_0</vt:lpstr>
      <vt:lpstr>'Div 3'!OSRRefD22_20x_0</vt:lpstr>
      <vt:lpstr>'Div 4'!OSRRefD22_20x_0</vt:lpstr>
      <vt:lpstr>Summary!OSRRefD22_20x_0</vt:lpstr>
      <vt:lpstr>'300'!OSRRefD22_21x_0</vt:lpstr>
      <vt:lpstr>'300 &amp; 317'!OSRRefD22_21x_0</vt:lpstr>
      <vt:lpstr>'301'!OSRRefD22_21x_0</vt:lpstr>
      <vt:lpstr>'310'!OSRRefD22_21x_0</vt:lpstr>
      <vt:lpstr>'310 &amp; 491'!OSRRefD22_21x_0</vt:lpstr>
      <vt:lpstr>'331'!OSRRefD22_21x_0</vt:lpstr>
      <vt:lpstr>'491'!OSRRefD22_21x_0</vt:lpstr>
      <vt:lpstr>'Div 3'!OSRRefD22_21x_0</vt:lpstr>
      <vt:lpstr>'Div 4'!OSRRefD22_21x_0</vt:lpstr>
      <vt:lpstr>Summary!OSRRefD22_21x_0</vt:lpstr>
      <vt:lpstr>'300'!OSRRefD22_22x_0</vt:lpstr>
      <vt:lpstr>'300 &amp; 317'!OSRRefD22_22x_0</vt:lpstr>
      <vt:lpstr>'301'!OSRRefD22_22x_0</vt:lpstr>
      <vt:lpstr>'310'!OSRRefD22_22x_0</vt:lpstr>
      <vt:lpstr>'310 &amp; 491'!OSRRefD22_22x_0</vt:lpstr>
      <vt:lpstr>'491'!OSRRefD22_22x_0</vt:lpstr>
      <vt:lpstr>'Div 3'!OSRRefD22_22x_0</vt:lpstr>
      <vt:lpstr>'Div 4'!OSRRefD22_22x_0</vt:lpstr>
      <vt:lpstr>Summary!OSRRefD22_22x_0</vt:lpstr>
      <vt:lpstr>'300'!OSRRefD22_23x_0</vt:lpstr>
      <vt:lpstr>'300 &amp; 317'!OSRRefD22_23x_0</vt:lpstr>
      <vt:lpstr>'301'!OSRRefD22_23x_0</vt:lpstr>
      <vt:lpstr>'310 &amp; 491'!OSRRefD22_23x_0</vt:lpstr>
      <vt:lpstr>'491'!OSRRefD22_23x_0</vt:lpstr>
      <vt:lpstr>'Div 3'!OSRRefD22_23x_0</vt:lpstr>
      <vt:lpstr>'Div 4'!OSRRefD22_23x_0</vt:lpstr>
      <vt:lpstr>Summary!OSRRefD22_23x_0</vt:lpstr>
      <vt:lpstr>'300'!OSRRefD22_24x_0</vt:lpstr>
      <vt:lpstr>'300 &amp; 317'!OSRRefD22_24x_0</vt:lpstr>
      <vt:lpstr>'310 &amp; 491'!OSRRefD22_24x_0</vt:lpstr>
      <vt:lpstr>'491'!OSRRefD22_24x_0</vt:lpstr>
      <vt:lpstr>'Div 3'!OSRRefD22_24x_0</vt:lpstr>
      <vt:lpstr>'Div 4'!OSRRefD22_24x_0</vt:lpstr>
      <vt:lpstr>Summary!OSRRefD22_24x_0</vt:lpstr>
      <vt:lpstr>'Div 3'!OSRRefD22_25x_0</vt:lpstr>
      <vt:lpstr>'Div 4'!OSRRefD22_25x_0</vt:lpstr>
      <vt:lpstr>Summary!OSRRefD22_25x_0</vt:lpstr>
      <vt:lpstr>Summary!OSRRefD22_26x_0</vt:lpstr>
      <vt:lpstr>'200'!OSRRefD22_2x_0</vt:lpstr>
      <vt:lpstr>'201'!OSRRefD22_2x_0</vt:lpstr>
      <vt:lpstr>'202'!OSRRefD22_2x_0</vt:lpstr>
      <vt:lpstr>'203'!OSRRefD22_2x_0</vt:lpstr>
      <vt:lpstr>'204'!OSRRefD22_2x_0</vt:lpstr>
      <vt:lpstr>'205'!OSRRefD22_2x_0</vt:lpstr>
      <vt:lpstr>'206'!OSRRefD22_2x_0</vt:lpstr>
      <vt:lpstr>'300'!OSRRefD22_2x_0</vt:lpstr>
      <vt:lpstr>'300 &amp; 317'!OSRRefD22_2x_0</vt:lpstr>
      <vt:lpstr>'301'!OSRRefD22_2x_0</vt:lpstr>
      <vt:lpstr>'306'!OSRRefD22_2x_0</vt:lpstr>
      <vt:lpstr>'307'!OSRRefD22_2x_0</vt:lpstr>
      <vt:lpstr>'308'!OSRRefD22_2x_0</vt:lpstr>
      <vt:lpstr>'309'!OSRRefD22_2x_0</vt:lpstr>
      <vt:lpstr>'310'!OSRRefD22_2x_0</vt:lpstr>
      <vt:lpstr>'310 &amp; 491'!OSRRefD22_2x_0</vt:lpstr>
      <vt:lpstr>'311'!OSRRefD22_2x_0</vt:lpstr>
      <vt:lpstr>'313'!OSRRefD22_2x_0</vt:lpstr>
      <vt:lpstr>'314'!OSRRefD22_2x_0</vt:lpstr>
      <vt:lpstr>'315'!OSRRefD22_2x_0</vt:lpstr>
      <vt:lpstr>'316'!OSRRefD22_2x_0</vt:lpstr>
      <vt:lpstr>'317'!OSRRefD22_2x_0</vt:lpstr>
      <vt:lpstr>'320'!OSRRefD22_2x_0</vt:lpstr>
      <vt:lpstr>'321'!OSRRefD22_2x_0</vt:lpstr>
      <vt:lpstr>'322'!OSRRefD22_2x_0</vt:lpstr>
      <vt:lpstr>'325'!OSRRefD22_2x_0</vt:lpstr>
      <vt:lpstr>'326'!OSRRefD22_2x_0</vt:lpstr>
      <vt:lpstr>'327'!OSRRefD22_2x_0</vt:lpstr>
      <vt:lpstr>'330'!OSRRefD22_2x_0</vt:lpstr>
      <vt:lpstr>'331'!OSRRefD22_2x_0</vt:lpstr>
      <vt:lpstr>'332'!OSRRefD22_2x_0</vt:lpstr>
      <vt:lpstr>'405'!OSRRefD22_2x_0</vt:lpstr>
      <vt:lpstr>'406'!OSRRefD22_2x_0</vt:lpstr>
      <vt:lpstr>'411'!OSRRefD22_2x_0</vt:lpstr>
      <vt:lpstr>'412'!OSRRefD22_2x_0</vt:lpstr>
      <vt:lpstr>'413'!OSRRefD22_2x_0</vt:lpstr>
      <vt:lpstr>'414'!OSRRefD22_2x_0</vt:lpstr>
      <vt:lpstr>'415'!OSRRefD22_2x_0</vt:lpstr>
      <vt:lpstr>'418'!OSRRefD22_2x_0</vt:lpstr>
      <vt:lpstr>'420'!OSRRefD22_2x_0</vt:lpstr>
      <vt:lpstr>'423'!OSRRefD22_2x_0</vt:lpstr>
      <vt:lpstr>'424'!OSRRefD22_2x_0</vt:lpstr>
      <vt:lpstr>'425'!OSRRefD22_2x_0</vt:lpstr>
      <vt:lpstr>'430'!OSRRefD22_2x_0</vt:lpstr>
      <vt:lpstr>'433'!OSRRefD22_2x_0</vt:lpstr>
      <vt:lpstr>'435'!OSRRefD22_2x_0</vt:lpstr>
      <vt:lpstr>'444'!OSRRefD22_2x_0</vt:lpstr>
      <vt:lpstr>'450'!OSRRefD22_2x_0</vt:lpstr>
      <vt:lpstr>'491'!OSRRefD22_2x_0</vt:lpstr>
      <vt:lpstr>'492'!OSRRefD22_2x_0</vt:lpstr>
      <vt:lpstr>'501'!OSRRefD22_2x_0</vt:lpstr>
      <vt:lpstr>'Div 2'!OSRRefD22_2x_0</vt:lpstr>
      <vt:lpstr>'Div 3'!OSRRefD22_2x_0</vt:lpstr>
      <vt:lpstr>'Div 4'!OSRRefD22_2x_0</vt:lpstr>
      <vt:lpstr>'Div 5'!OSRRefD22_2x_0</vt:lpstr>
      <vt:lpstr>'Div 6'!OSRRefD22_2x_0</vt:lpstr>
      <vt:lpstr>Summary!OSRRefD22_2x_0</vt:lpstr>
      <vt:lpstr>'200'!OSRRefD22_3x_0</vt:lpstr>
      <vt:lpstr>'201'!OSRRefD22_3x_0</vt:lpstr>
      <vt:lpstr>'202'!OSRRefD22_3x_0</vt:lpstr>
      <vt:lpstr>'203'!OSRRefD22_3x_0</vt:lpstr>
      <vt:lpstr>'204'!OSRRefD22_3x_0</vt:lpstr>
      <vt:lpstr>'205'!OSRRefD22_3x_0</vt:lpstr>
      <vt:lpstr>'206'!OSRRefD22_3x_0</vt:lpstr>
      <vt:lpstr>'300'!OSRRefD22_3x_0</vt:lpstr>
      <vt:lpstr>'300 &amp; 317'!OSRRefD22_3x_0</vt:lpstr>
      <vt:lpstr>'301'!OSRRefD22_3x_0</vt:lpstr>
      <vt:lpstr>'306'!OSRRefD22_3x_0</vt:lpstr>
      <vt:lpstr>'307'!OSRRefD22_3x_0</vt:lpstr>
      <vt:lpstr>'308'!OSRRefD22_3x_0</vt:lpstr>
      <vt:lpstr>'309'!OSRRefD22_3x_0</vt:lpstr>
      <vt:lpstr>'310'!OSRRefD22_3x_0</vt:lpstr>
      <vt:lpstr>'310 &amp; 491'!OSRRefD22_3x_0</vt:lpstr>
      <vt:lpstr>'311'!OSRRefD22_3x_0</vt:lpstr>
      <vt:lpstr>'313'!OSRRefD22_3x_0</vt:lpstr>
      <vt:lpstr>'314'!OSRRefD22_3x_0</vt:lpstr>
      <vt:lpstr>'315'!OSRRefD22_3x_0</vt:lpstr>
      <vt:lpstr>'316'!OSRRefD22_3x_0</vt:lpstr>
      <vt:lpstr>'317'!OSRRefD22_3x_0</vt:lpstr>
      <vt:lpstr>'320'!OSRRefD22_3x_0</vt:lpstr>
      <vt:lpstr>'321'!OSRRefD22_3x_0</vt:lpstr>
      <vt:lpstr>'322'!OSRRefD22_3x_0</vt:lpstr>
      <vt:lpstr>'325'!OSRRefD22_3x_0</vt:lpstr>
      <vt:lpstr>'326'!OSRRefD22_3x_0</vt:lpstr>
      <vt:lpstr>'330'!OSRRefD22_3x_0</vt:lpstr>
      <vt:lpstr>'331'!OSRRefD22_3x_0</vt:lpstr>
      <vt:lpstr>'332'!OSRRefD22_3x_0</vt:lpstr>
      <vt:lpstr>'405'!OSRRefD22_3x_0</vt:lpstr>
      <vt:lpstr>'406'!OSRRefD22_3x_0</vt:lpstr>
      <vt:lpstr>'411'!OSRRefD22_3x_0</vt:lpstr>
      <vt:lpstr>'412'!OSRRefD22_3x_0</vt:lpstr>
      <vt:lpstr>'413'!OSRRefD22_3x_0</vt:lpstr>
      <vt:lpstr>'414'!OSRRefD22_3x_0</vt:lpstr>
      <vt:lpstr>'415'!OSRRefD22_3x_0</vt:lpstr>
      <vt:lpstr>'418'!OSRRefD22_3x_0</vt:lpstr>
      <vt:lpstr>'420'!OSRRefD22_3x_0</vt:lpstr>
      <vt:lpstr>'423'!OSRRefD22_3x_0</vt:lpstr>
      <vt:lpstr>'424'!OSRRefD22_3x_0</vt:lpstr>
      <vt:lpstr>'425'!OSRRefD22_3x_0</vt:lpstr>
      <vt:lpstr>'430'!OSRRefD22_3x_0</vt:lpstr>
      <vt:lpstr>'433'!OSRRefD22_3x_0</vt:lpstr>
      <vt:lpstr>'435'!OSRRefD22_3x_0</vt:lpstr>
      <vt:lpstr>'444'!OSRRefD22_3x_0</vt:lpstr>
      <vt:lpstr>'450'!OSRRefD22_3x_0</vt:lpstr>
      <vt:lpstr>'491'!OSRRefD22_3x_0</vt:lpstr>
      <vt:lpstr>'492'!OSRRefD22_3x_0</vt:lpstr>
      <vt:lpstr>'501'!OSRRefD22_3x_0</vt:lpstr>
      <vt:lpstr>'Div 2'!OSRRefD22_3x_0</vt:lpstr>
      <vt:lpstr>'Div 3'!OSRRefD22_3x_0</vt:lpstr>
      <vt:lpstr>'Div 4'!OSRRefD22_3x_0</vt:lpstr>
      <vt:lpstr>'Div 5'!OSRRefD22_3x_0</vt:lpstr>
      <vt:lpstr>'Div 6'!OSRRefD22_3x_0</vt:lpstr>
      <vt:lpstr>Summary!OSRRefD22_3x_0</vt:lpstr>
      <vt:lpstr>'200'!OSRRefD22_4x_0</vt:lpstr>
      <vt:lpstr>'201'!OSRRefD22_4x_0</vt:lpstr>
      <vt:lpstr>'202'!OSRRefD22_4x_0</vt:lpstr>
      <vt:lpstr>'203'!OSRRefD22_4x_0</vt:lpstr>
      <vt:lpstr>'204'!OSRRefD22_4x_0</vt:lpstr>
      <vt:lpstr>'205'!OSRRefD22_4x_0</vt:lpstr>
      <vt:lpstr>'206'!OSRRefD22_4x_0</vt:lpstr>
      <vt:lpstr>'300'!OSRRefD22_4x_0</vt:lpstr>
      <vt:lpstr>'300 &amp; 317'!OSRRefD22_4x_0</vt:lpstr>
      <vt:lpstr>'301'!OSRRefD22_4x_0</vt:lpstr>
      <vt:lpstr>'306'!OSRRefD22_4x_0</vt:lpstr>
      <vt:lpstr>'307'!OSRRefD22_4x_0</vt:lpstr>
      <vt:lpstr>'308'!OSRRefD22_4x_0</vt:lpstr>
      <vt:lpstr>'309'!OSRRefD22_4x_0</vt:lpstr>
      <vt:lpstr>'310'!OSRRefD22_4x_0</vt:lpstr>
      <vt:lpstr>'310 &amp; 491'!OSRRefD22_4x_0</vt:lpstr>
      <vt:lpstr>'311'!OSRRefD22_4x_0</vt:lpstr>
      <vt:lpstr>'313'!OSRRefD22_4x_0</vt:lpstr>
      <vt:lpstr>'314'!OSRRefD22_4x_0</vt:lpstr>
      <vt:lpstr>'315'!OSRRefD22_4x_0</vt:lpstr>
      <vt:lpstr>'316'!OSRRefD22_4x_0</vt:lpstr>
      <vt:lpstr>'317'!OSRRefD22_4x_0</vt:lpstr>
      <vt:lpstr>'320'!OSRRefD22_4x_0</vt:lpstr>
      <vt:lpstr>'321'!OSRRefD22_4x_0</vt:lpstr>
      <vt:lpstr>'322'!OSRRefD22_4x_0</vt:lpstr>
      <vt:lpstr>'325'!OSRRefD22_4x_0</vt:lpstr>
      <vt:lpstr>'326'!OSRRefD22_4x_0</vt:lpstr>
      <vt:lpstr>'330'!OSRRefD22_4x_0</vt:lpstr>
      <vt:lpstr>'331'!OSRRefD22_4x_0</vt:lpstr>
      <vt:lpstr>'332'!OSRRefD22_4x_0</vt:lpstr>
      <vt:lpstr>'405'!OSRRefD22_4x_0</vt:lpstr>
      <vt:lpstr>'406'!OSRRefD22_4x_0</vt:lpstr>
      <vt:lpstr>'411'!OSRRefD22_4x_0</vt:lpstr>
      <vt:lpstr>'412'!OSRRefD22_4x_0</vt:lpstr>
      <vt:lpstr>'413'!OSRRefD22_4x_0</vt:lpstr>
      <vt:lpstr>'414'!OSRRefD22_4x_0</vt:lpstr>
      <vt:lpstr>'415'!OSRRefD22_4x_0</vt:lpstr>
      <vt:lpstr>'418'!OSRRefD22_4x_0</vt:lpstr>
      <vt:lpstr>'420'!OSRRefD22_4x_0</vt:lpstr>
      <vt:lpstr>'423'!OSRRefD22_4x_0</vt:lpstr>
      <vt:lpstr>'424'!OSRRefD22_4x_0</vt:lpstr>
      <vt:lpstr>'425'!OSRRefD22_4x_0</vt:lpstr>
      <vt:lpstr>'430'!OSRRefD22_4x_0</vt:lpstr>
      <vt:lpstr>'433'!OSRRefD22_4x_0</vt:lpstr>
      <vt:lpstr>'435'!OSRRefD22_4x_0</vt:lpstr>
      <vt:lpstr>'444'!OSRRefD22_4x_0</vt:lpstr>
      <vt:lpstr>'450'!OSRRefD22_4x_0</vt:lpstr>
      <vt:lpstr>'491'!OSRRefD22_4x_0</vt:lpstr>
      <vt:lpstr>'492'!OSRRefD22_4x_0</vt:lpstr>
      <vt:lpstr>'501'!OSRRefD22_4x_0</vt:lpstr>
      <vt:lpstr>'Div 2'!OSRRefD22_4x_0</vt:lpstr>
      <vt:lpstr>'Div 3'!OSRRefD22_4x_0</vt:lpstr>
      <vt:lpstr>'Div 4'!OSRRefD22_4x_0</vt:lpstr>
      <vt:lpstr>'Div 5'!OSRRefD22_4x_0</vt:lpstr>
      <vt:lpstr>'Div 6'!OSRRefD22_4x_0</vt:lpstr>
      <vt:lpstr>Summary!OSRRefD22_4x_0</vt:lpstr>
      <vt:lpstr>'201'!OSRRefD22_5x_0</vt:lpstr>
      <vt:lpstr>'202'!OSRRefD22_5x_0</vt:lpstr>
      <vt:lpstr>'203'!OSRRefD22_5x_0</vt:lpstr>
      <vt:lpstr>'204'!OSRRefD22_5x_0</vt:lpstr>
      <vt:lpstr>'205'!OSRRefD22_5x_0</vt:lpstr>
      <vt:lpstr>'206'!OSRRefD22_5x_0</vt:lpstr>
      <vt:lpstr>'300'!OSRRefD22_5x_0</vt:lpstr>
      <vt:lpstr>'300 &amp; 317'!OSRRefD22_5x_0</vt:lpstr>
      <vt:lpstr>'301'!OSRRefD22_5x_0</vt:lpstr>
      <vt:lpstr>'306'!OSRRefD22_5x_0</vt:lpstr>
      <vt:lpstr>'307'!OSRRefD22_5x_0</vt:lpstr>
      <vt:lpstr>'308'!OSRRefD22_5x_0</vt:lpstr>
      <vt:lpstr>'309'!OSRRefD22_5x_0</vt:lpstr>
      <vt:lpstr>'310'!OSRRefD22_5x_0</vt:lpstr>
      <vt:lpstr>'310 &amp; 491'!OSRRefD22_5x_0</vt:lpstr>
      <vt:lpstr>'311'!OSRRefD22_5x_0</vt:lpstr>
      <vt:lpstr>'313'!OSRRefD22_5x_0</vt:lpstr>
      <vt:lpstr>'314'!OSRRefD22_5x_0</vt:lpstr>
      <vt:lpstr>'315'!OSRRefD22_5x_0</vt:lpstr>
      <vt:lpstr>'316'!OSRRefD22_5x_0</vt:lpstr>
      <vt:lpstr>'317'!OSRRefD22_5x_0</vt:lpstr>
      <vt:lpstr>'320'!OSRRefD22_5x_0</vt:lpstr>
      <vt:lpstr>'321'!OSRRefD22_5x_0</vt:lpstr>
      <vt:lpstr>'322'!OSRRefD22_5x_0</vt:lpstr>
      <vt:lpstr>'325'!OSRRefD22_5x_0</vt:lpstr>
      <vt:lpstr>'326'!OSRRefD22_5x_0</vt:lpstr>
      <vt:lpstr>'330'!OSRRefD22_5x_0</vt:lpstr>
      <vt:lpstr>'331'!OSRRefD22_5x_0</vt:lpstr>
      <vt:lpstr>'332'!OSRRefD22_5x_0</vt:lpstr>
      <vt:lpstr>'405'!OSRRefD22_5x_0</vt:lpstr>
      <vt:lpstr>'406'!OSRRefD22_5x_0</vt:lpstr>
      <vt:lpstr>'411'!OSRRefD22_5x_0</vt:lpstr>
      <vt:lpstr>'412'!OSRRefD22_5x_0</vt:lpstr>
      <vt:lpstr>'413'!OSRRefD22_5x_0</vt:lpstr>
      <vt:lpstr>'414'!OSRRefD22_5x_0</vt:lpstr>
      <vt:lpstr>'415'!OSRRefD22_5x_0</vt:lpstr>
      <vt:lpstr>'418'!OSRRefD22_5x_0</vt:lpstr>
      <vt:lpstr>'420'!OSRRefD22_5x_0</vt:lpstr>
      <vt:lpstr>'423'!OSRRefD22_5x_0</vt:lpstr>
      <vt:lpstr>'424'!OSRRefD22_5x_0</vt:lpstr>
      <vt:lpstr>'425'!OSRRefD22_5x_0</vt:lpstr>
      <vt:lpstr>'430'!OSRRefD22_5x_0</vt:lpstr>
      <vt:lpstr>'433'!OSRRefD22_5x_0</vt:lpstr>
      <vt:lpstr>'435'!OSRRefD22_5x_0</vt:lpstr>
      <vt:lpstr>'444'!OSRRefD22_5x_0</vt:lpstr>
      <vt:lpstr>'450'!OSRRefD22_5x_0</vt:lpstr>
      <vt:lpstr>'491'!OSRRefD22_5x_0</vt:lpstr>
      <vt:lpstr>'492'!OSRRefD22_5x_0</vt:lpstr>
      <vt:lpstr>'501'!OSRRefD22_5x_0</vt:lpstr>
      <vt:lpstr>'Div 2'!OSRRefD22_5x_0</vt:lpstr>
      <vt:lpstr>'Div 3'!OSRRefD22_5x_0</vt:lpstr>
      <vt:lpstr>'Div 4'!OSRRefD22_5x_0</vt:lpstr>
      <vt:lpstr>'Div 5'!OSRRefD22_5x_0</vt:lpstr>
      <vt:lpstr>'Div 6'!OSRRefD22_5x_0</vt:lpstr>
      <vt:lpstr>Summary!OSRRefD22_5x_0</vt:lpstr>
      <vt:lpstr>'201'!OSRRefD22_6x_0</vt:lpstr>
      <vt:lpstr>'202'!OSRRefD22_6x_0</vt:lpstr>
      <vt:lpstr>'203'!OSRRefD22_6x_0</vt:lpstr>
      <vt:lpstr>'204'!OSRRefD22_6x_0</vt:lpstr>
      <vt:lpstr>'205'!OSRRefD22_6x_0</vt:lpstr>
      <vt:lpstr>'206'!OSRRefD22_6x_0</vt:lpstr>
      <vt:lpstr>'300'!OSRRefD22_6x_0</vt:lpstr>
      <vt:lpstr>'300 &amp; 317'!OSRRefD22_6x_0</vt:lpstr>
      <vt:lpstr>'301'!OSRRefD22_6x_0</vt:lpstr>
      <vt:lpstr>'306'!OSRRefD22_6x_0</vt:lpstr>
      <vt:lpstr>'307'!OSRRefD22_6x_0</vt:lpstr>
      <vt:lpstr>'308'!OSRRefD22_6x_0</vt:lpstr>
      <vt:lpstr>'309'!OSRRefD22_6x_0</vt:lpstr>
      <vt:lpstr>'310'!OSRRefD22_6x_0</vt:lpstr>
      <vt:lpstr>'310 &amp; 491'!OSRRefD22_6x_0</vt:lpstr>
      <vt:lpstr>'311'!OSRRefD22_6x_0</vt:lpstr>
      <vt:lpstr>'313'!OSRRefD22_6x_0</vt:lpstr>
      <vt:lpstr>'314'!OSRRefD22_6x_0</vt:lpstr>
      <vt:lpstr>'315'!OSRRefD22_6x_0</vt:lpstr>
      <vt:lpstr>'316'!OSRRefD22_6x_0</vt:lpstr>
      <vt:lpstr>'317'!OSRRefD22_6x_0</vt:lpstr>
      <vt:lpstr>'320'!OSRRefD22_6x_0</vt:lpstr>
      <vt:lpstr>'321'!OSRRefD22_6x_0</vt:lpstr>
      <vt:lpstr>'322'!OSRRefD22_6x_0</vt:lpstr>
      <vt:lpstr>'325'!OSRRefD22_6x_0</vt:lpstr>
      <vt:lpstr>'326'!OSRRefD22_6x_0</vt:lpstr>
      <vt:lpstr>'330'!OSRRefD22_6x_0</vt:lpstr>
      <vt:lpstr>'331'!OSRRefD22_6x_0</vt:lpstr>
      <vt:lpstr>'332'!OSRRefD22_6x_0</vt:lpstr>
      <vt:lpstr>'405'!OSRRefD22_6x_0</vt:lpstr>
      <vt:lpstr>'406'!OSRRefD22_6x_0</vt:lpstr>
      <vt:lpstr>'411'!OSRRefD22_6x_0</vt:lpstr>
      <vt:lpstr>'412'!OSRRefD22_6x_0</vt:lpstr>
      <vt:lpstr>'413'!OSRRefD22_6x_0</vt:lpstr>
      <vt:lpstr>'414'!OSRRefD22_6x_0</vt:lpstr>
      <vt:lpstr>'415'!OSRRefD22_6x_0</vt:lpstr>
      <vt:lpstr>'418'!OSRRefD22_6x_0</vt:lpstr>
      <vt:lpstr>'420'!OSRRefD22_6x_0</vt:lpstr>
      <vt:lpstr>'423'!OSRRefD22_6x_0</vt:lpstr>
      <vt:lpstr>'424'!OSRRefD22_6x_0</vt:lpstr>
      <vt:lpstr>'425'!OSRRefD22_6x_0</vt:lpstr>
      <vt:lpstr>'430'!OSRRefD22_6x_0</vt:lpstr>
      <vt:lpstr>'433'!OSRRefD22_6x_0</vt:lpstr>
      <vt:lpstr>'435'!OSRRefD22_6x_0</vt:lpstr>
      <vt:lpstr>'444'!OSRRefD22_6x_0</vt:lpstr>
      <vt:lpstr>'450'!OSRRefD22_6x_0</vt:lpstr>
      <vt:lpstr>'491'!OSRRefD22_6x_0</vt:lpstr>
      <vt:lpstr>'492'!OSRRefD22_6x_0</vt:lpstr>
      <vt:lpstr>'501'!OSRRefD22_6x_0</vt:lpstr>
      <vt:lpstr>'Div 2'!OSRRefD22_6x_0</vt:lpstr>
      <vt:lpstr>'Div 3'!OSRRefD22_6x_0</vt:lpstr>
      <vt:lpstr>'Div 4'!OSRRefD22_6x_0</vt:lpstr>
      <vt:lpstr>'Div 5'!OSRRefD22_6x_0</vt:lpstr>
      <vt:lpstr>'Div 6'!OSRRefD22_6x_0</vt:lpstr>
      <vt:lpstr>Summary!OSRRefD22_6x_0</vt:lpstr>
      <vt:lpstr>'201'!OSRRefD22_7x_0</vt:lpstr>
      <vt:lpstr>'202'!OSRRefD22_7x_0</vt:lpstr>
      <vt:lpstr>'203'!OSRRefD22_7x_0</vt:lpstr>
      <vt:lpstr>'204'!OSRRefD22_7x_0</vt:lpstr>
      <vt:lpstr>'205'!OSRRefD22_7x_0</vt:lpstr>
      <vt:lpstr>'206'!OSRRefD22_7x_0</vt:lpstr>
      <vt:lpstr>'300'!OSRRefD22_7x_0</vt:lpstr>
      <vt:lpstr>'300 &amp; 317'!OSRRefD22_7x_0</vt:lpstr>
      <vt:lpstr>'301'!OSRRefD22_7x_0</vt:lpstr>
      <vt:lpstr>'306'!OSRRefD22_7x_0</vt:lpstr>
      <vt:lpstr>'307'!OSRRefD22_7x_0</vt:lpstr>
      <vt:lpstr>'308'!OSRRefD22_7x_0</vt:lpstr>
      <vt:lpstr>'309'!OSRRefD22_7x_0</vt:lpstr>
      <vt:lpstr>'310'!OSRRefD22_7x_0</vt:lpstr>
      <vt:lpstr>'310 &amp; 491'!OSRRefD22_7x_0</vt:lpstr>
      <vt:lpstr>'311'!OSRRefD22_7x_0</vt:lpstr>
      <vt:lpstr>'313'!OSRRefD22_7x_0</vt:lpstr>
      <vt:lpstr>'314'!OSRRefD22_7x_0</vt:lpstr>
      <vt:lpstr>'315'!OSRRefD22_7x_0</vt:lpstr>
      <vt:lpstr>'316'!OSRRefD22_7x_0</vt:lpstr>
      <vt:lpstr>'317'!OSRRefD22_7x_0</vt:lpstr>
      <vt:lpstr>'320'!OSRRefD22_7x_0</vt:lpstr>
      <vt:lpstr>'321'!OSRRefD22_7x_0</vt:lpstr>
      <vt:lpstr>'322'!OSRRefD22_7x_0</vt:lpstr>
      <vt:lpstr>'325'!OSRRefD22_7x_0</vt:lpstr>
      <vt:lpstr>'326'!OSRRefD22_7x_0</vt:lpstr>
      <vt:lpstr>'330'!OSRRefD22_7x_0</vt:lpstr>
      <vt:lpstr>'331'!OSRRefD22_7x_0</vt:lpstr>
      <vt:lpstr>'332'!OSRRefD22_7x_0</vt:lpstr>
      <vt:lpstr>'405'!OSRRefD22_7x_0</vt:lpstr>
      <vt:lpstr>'406'!OSRRefD22_7x_0</vt:lpstr>
      <vt:lpstr>'411'!OSRRefD22_7x_0</vt:lpstr>
      <vt:lpstr>'412'!OSRRefD22_7x_0</vt:lpstr>
      <vt:lpstr>'413'!OSRRefD22_7x_0</vt:lpstr>
      <vt:lpstr>'414'!OSRRefD22_7x_0</vt:lpstr>
      <vt:lpstr>'415'!OSRRefD22_7x_0</vt:lpstr>
      <vt:lpstr>'418'!OSRRefD22_7x_0</vt:lpstr>
      <vt:lpstr>'420'!OSRRefD22_7x_0</vt:lpstr>
      <vt:lpstr>'424'!OSRRefD22_7x_0</vt:lpstr>
      <vt:lpstr>'425'!OSRRefD22_7x_0</vt:lpstr>
      <vt:lpstr>'430'!OSRRefD22_7x_0</vt:lpstr>
      <vt:lpstr>'433'!OSRRefD22_7x_0</vt:lpstr>
      <vt:lpstr>'435'!OSRRefD22_7x_0</vt:lpstr>
      <vt:lpstr>'444'!OSRRefD22_7x_0</vt:lpstr>
      <vt:lpstr>'450'!OSRRefD22_7x_0</vt:lpstr>
      <vt:lpstr>'491'!OSRRefD22_7x_0</vt:lpstr>
      <vt:lpstr>'492'!OSRRefD22_7x_0</vt:lpstr>
      <vt:lpstr>'501'!OSRRefD22_7x_0</vt:lpstr>
      <vt:lpstr>'Div 2'!OSRRefD22_7x_0</vt:lpstr>
      <vt:lpstr>'Div 3'!OSRRefD22_7x_0</vt:lpstr>
      <vt:lpstr>'Div 4'!OSRRefD22_7x_0</vt:lpstr>
      <vt:lpstr>'Div 5'!OSRRefD22_7x_0</vt:lpstr>
      <vt:lpstr>'Div 6'!OSRRefD22_7x_0</vt:lpstr>
      <vt:lpstr>Summary!OSRRefD22_7x_0</vt:lpstr>
      <vt:lpstr>'201'!OSRRefD22_8x_0</vt:lpstr>
      <vt:lpstr>'202'!OSRRefD22_8x_0</vt:lpstr>
      <vt:lpstr>'203'!OSRRefD22_8x_0</vt:lpstr>
      <vt:lpstr>'204'!OSRRefD22_8x_0</vt:lpstr>
      <vt:lpstr>'205'!OSRRefD22_8x_0</vt:lpstr>
      <vt:lpstr>'206'!OSRRefD22_8x_0</vt:lpstr>
      <vt:lpstr>'300'!OSRRefD22_8x_0</vt:lpstr>
      <vt:lpstr>'300 &amp; 317'!OSRRefD22_8x_0</vt:lpstr>
      <vt:lpstr>'301'!OSRRefD22_8x_0</vt:lpstr>
      <vt:lpstr>'306'!OSRRefD22_8x_0</vt:lpstr>
      <vt:lpstr>'307'!OSRRefD22_8x_0</vt:lpstr>
      <vt:lpstr>'308'!OSRRefD22_8x_0</vt:lpstr>
      <vt:lpstr>'309'!OSRRefD22_8x_0</vt:lpstr>
      <vt:lpstr>'310'!OSRRefD22_8x_0</vt:lpstr>
      <vt:lpstr>'310 &amp; 491'!OSRRefD22_8x_0</vt:lpstr>
      <vt:lpstr>'311'!OSRRefD22_8x_0</vt:lpstr>
      <vt:lpstr>'313'!OSRRefD22_8x_0</vt:lpstr>
      <vt:lpstr>'314'!OSRRefD22_8x_0</vt:lpstr>
      <vt:lpstr>'315'!OSRRefD22_8x_0</vt:lpstr>
      <vt:lpstr>'316'!OSRRefD22_8x_0</vt:lpstr>
      <vt:lpstr>'317'!OSRRefD22_8x_0</vt:lpstr>
      <vt:lpstr>'320'!OSRRefD22_8x_0</vt:lpstr>
      <vt:lpstr>'321'!OSRRefD22_8x_0</vt:lpstr>
      <vt:lpstr>'322'!OSRRefD22_8x_0</vt:lpstr>
      <vt:lpstr>'325'!OSRRefD22_8x_0</vt:lpstr>
      <vt:lpstr>'326'!OSRRefD22_8x_0</vt:lpstr>
      <vt:lpstr>'330'!OSRRefD22_8x_0</vt:lpstr>
      <vt:lpstr>'331'!OSRRefD22_8x_0</vt:lpstr>
      <vt:lpstr>'332'!OSRRefD22_8x_0</vt:lpstr>
      <vt:lpstr>'405'!OSRRefD22_8x_0</vt:lpstr>
      <vt:lpstr>'406'!OSRRefD22_8x_0</vt:lpstr>
      <vt:lpstr>'411'!OSRRefD22_8x_0</vt:lpstr>
      <vt:lpstr>'412'!OSRRefD22_8x_0</vt:lpstr>
      <vt:lpstr>'413'!OSRRefD22_8x_0</vt:lpstr>
      <vt:lpstr>'414'!OSRRefD22_8x_0</vt:lpstr>
      <vt:lpstr>'415'!OSRRefD22_8x_0</vt:lpstr>
      <vt:lpstr>'418'!OSRRefD22_8x_0</vt:lpstr>
      <vt:lpstr>'424'!OSRRefD22_8x_0</vt:lpstr>
      <vt:lpstr>'425'!OSRRefD22_8x_0</vt:lpstr>
      <vt:lpstr>'433'!OSRRefD22_8x_0</vt:lpstr>
      <vt:lpstr>'435'!OSRRefD22_8x_0</vt:lpstr>
      <vt:lpstr>'444'!OSRRefD22_8x_0</vt:lpstr>
      <vt:lpstr>'450'!OSRRefD22_8x_0</vt:lpstr>
      <vt:lpstr>'491'!OSRRefD22_8x_0</vt:lpstr>
      <vt:lpstr>'492'!OSRRefD22_8x_0</vt:lpstr>
      <vt:lpstr>'501'!OSRRefD22_8x_0</vt:lpstr>
      <vt:lpstr>'Div 2'!OSRRefD22_8x_0</vt:lpstr>
      <vt:lpstr>'Div 3'!OSRRefD22_8x_0</vt:lpstr>
      <vt:lpstr>'Div 4'!OSRRefD22_8x_0</vt:lpstr>
      <vt:lpstr>'Div 5'!OSRRefD22_8x_0</vt:lpstr>
      <vt:lpstr>'Div 6'!OSRRefD22_8x_0</vt:lpstr>
      <vt:lpstr>Summary!OSRRefD22_8x_0</vt:lpstr>
      <vt:lpstr>'201'!OSRRefD22_9x_0</vt:lpstr>
      <vt:lpstr>'202'!OSRRefD22_9x_0</vt:lpstr>
      <vt:lpstr>'203'!OSRRefD22_9x_0</vt:lpstr>
      <vt:lpstr>'204'!OSRRefD22_9x_0</vt:lpstr>
      <vt:lpstr>'300'!OSRRefD22_9x_0</vt:lpstr>
      <vt:lpstr>'300 &amp; 317'!OSRRefD22_9x_0</vt:lpstr>
      <vt:lpstr>'301'!OSRRefD22_9x_0</vt:lpstr>
      <vt:lpstr>'306'!OSRRefD22_9x_0</vt:lpstr>
      <vt:lpstr>'307'!OSRRefD22_9x_0</vt:lpstr>
      <vt:lpstr>'308'!OSRRefD22_9x_0</vt:lpstr>
      <vt:lpstr>'309'!OSRRefD22_9x_0</vt:lpstr>
      <vt:lpstr>'310'!OSRRefD22_9x_0</vt:lpstr>
      <vt:lpstr>'310 &amp; 491'!OSRRefD22_9x_0</vt:lpstr>
      <vt:lpstr>'311'!OSRRefD22_9x_0</vt:lpstr>
      <vt:lpstr>'313'!OSRRefD22_9x_0</vt:lpstr>
      <vt:lpstr>'314'!OSRRefD22_9x_0</vt:lpstr>
      <vt:lpstr>'315'!OSRRefD22_9x_0</vt:lpstr>
      <vt:lpstr>'316'!OSRRefD22_9x_0</vt:lpstr>
      <vt:lpstr>'317'!OSRRefD22_9x_0</vt:lpstr>
      <vt:lpstr>'321'!OSRRefD22_9x_0</vt:lpstr>
      <vt:lpstr>'322'!OSRRefD22_9x_0</vt:lpstr>
      <vt:lpstr>'325'!OSRRefD22_9x_0</vt:lpstr>
      <vt:lpstr>'326'!OSRRefD22_9x_0</vt:lpstr>
      <vt:lpstr>'330'!OSRRefD22_9x_0</vt:lpstr>
      <vt:lpstr>'331'!OSRRefD22_9x_0</vt:lpstr>
      <vt:lpstr>'332'!OSRRefD22_9x_0</vt:lpstr>
      <vt:lpstr>'405'!OSRRefD22_9x_0</vt:lpstr>
      <vt:lpstr>'406'!OSRRefD22_9x_0</vt:lpstr>
      <vt:lpstr>'411'!OSRRefD22_9x_0</vt:lpstr>
      <vt:lpstr>'412'!OSRRefD22_9x_0</vt:lpstr>
      <vt:lpstr>'413'!OSRRefD22_9x_0</vt:lpstr>
      <vt:lpstr>'414'!OSRRefD22_9x_0</vt:lpstr>
      <vt:lpstr>'415'!OSRRefD22_9x_0</vt:lpstr>
      <vt:lpstr>'418'!OSRRefD22_9x_0</vt:lpstr>
      <vt:lpstr>'424'!OSRRefD22_9x_0</vt:lpstr>
      <vt:lpstr>'425'!OSRRefD22_9x_0</vt:lpstr>
      <vt:lpstr>'433'!OSRRefD22_9x_0</vt:lpstr>
      <vt:lpstr>'444'!OSRRefD22_9x_0</vt:lpstr>
      <vt:lpstr>'450'!OSRRefD22_9x_0</vt:lpstr>
      <vt:lpstr>'491'!OSRRefD22_9x_0</vt:lpstr>
      <vt:lpstr>'492'!OSRRefD22_9x_0</vt:lpstr>
      <vt:lpstr>'501'!OSRRefD22_9x_0</vt:lpstr>
      <vt:lpstr>'Div 2'!OSRRefD22_9x_0</vt:lpstr>
      <vt:lpstr>'Div 3'!OSRRefD22_9x_0</vt:lpstr>
      <vt:lpstr>'Div 4'!OSRRefD22_9x_0</vt:lpstr>
      <vt:lpstr>'Div 5'!OSRRefD22_9x_0</vt:lpstr>
      <vt:lpstr>'Div 6'!OSRRefD22_9x_0</vt:lpstr>
      <vt:lpstr>Summary!OSRRefD22_9x_0</vt:lpstr>
      <vt:lpstr>'200'!OSRRefD22x_0</vt:lpstr>
      <vt:lpstr>'201'!OSRRefD22x_0</vt:lpstr>
      <vt:lpstr>'202'!OSRRefD22x_0</vt:lpstr>
      <vt:lpstr>'203'!OSRRefD22x_0</vt:lpstr>
      <vt:lpstr>'204'!OSRRefD22x_0</vt:lpstr>
      <vt:lpstr>'205'!OSRRefD22x_0</vt:lpstr>
      <vt:lpstr>'206'!OSRRefD22x_0</vt:lpstr>
      <vt:lpstr>'300'!OSRRefD22x_0</vt:lpstr>
      <vt:lpstr>'300 &amp; 317'!OSRRefD22x_0</vt:lpstr>
      <vt:lpstr>'301'!OSRRefD22x_0</vt:lpstr>
      <vt:lpstr>'306'!OSRRefD22x_0</vt:lpstr>
      <vt:lpstr>'307'!OSRRefD22x_0</vt:lpstr>
      <vt:lpstr>'308'!OSRRefD22x_0</vt:lpstr>
      <vt:lpstr>'309'!OSRRefD22x_0</vt:lpstr>
      <vt:lpstr>'310'!OSRRefD22x_0</vt:lpstr>
      <vt:lpstr>'310 &amp; 491'!OSRRefD22x_0</vt:lpstr>
      <vt:lpstr>'311'!OSRRefD22x_0</vt:lpstr>
      <vt:lpstr>'313'!OSRRefD22x_0</vt:lpstr>
      <vt:lpstr>'314'!OSRRefD22x_0</vt:lpstr>
      <vt:lpstr>'315'!OSRRefD22x_0</vt:lpstr>
      <vt:lpstr>'316'!OSRRefD22x_0</vt:lpstr>
      <vt:lpstr>'317'!OSRRefD22x_0</vt:lpstr>
      <vt:lpstr>'320'!OSRRefD22x_0</vt:lpstr>
      <vt:lpstr>'321'!OSRRefD22x_0</vt:lpstr>
      <vt:lpstr>'322'!OSRRefD22x_0</vt:lpstr>
      <vt:lpstr>'325'!OSRRefD22x_0</vt:lpstr>
      <vt:lpstr>'326'!OSRRefD22x_0</vt:lpstr>
      <vt:lpstr>'327'!OSRRefD22x_0</vt:lpstr>
      <vt:lpstr>'330'!OSRRefD22x_0</vt:lpstr>
      <vt:lpstr>'331'!OSRRefD22x_0</vt:lpstr>
      <vt:lpstr>'332'!OSRRefD22x_0</vt:lpstr>
      <vt:lpstr>'405'!OSRRefD22x_0</vt:lpstr>
      <vt:lpstr>'406'!OSRRefD22x_0</vt:lpstr>
      <vt:lpstr>'411'!OSRRefD22x_0</vt:lpstr>
      <vt:lpstr>'412'!OSRRefD22x_0</vt:lpstr>
      <vt:lpstr>'413'!OSRRefD22x_0</vt:lpstr>
      <vt:lpstr>'414'!OSRRefD22x_0</vt:lpstr>
      <vt:lpstr>'415'!OSRRefD22x_0</vt:lpstr>
      <vt:lpstr>'418'!OSRRefD22x_0</vt:lpstr>
      <vt:lpstr>'420'!OSRRefD22x_0</vt:lpstr>
      <vt:lpstr>'423'!OSRRefD22x_0</vt:lpstr>
      <vt:lpstr>'424'!OSRRefD22x_0</vt:lpstr>
      <vt:lpstr>'425'!OSRRefD22x_0</vt:lpstr>
      <vt:lpstr>'430'!OSRRefD22x_0</vt:lpstr>
      <vt:lpstr>'433'!OSRRefD22x_0</vt:lpstr>
      <vt:lpstr>'435'!OSRRefD22x_0</vt:lpstr>
      <vt:lpstr>'444'!OSRRefD22x_0</vt:lpstr>
      <vt:lpstr>'450'!OSRRefD22x_0</vt:lpstr>
      <vt:lpstr>'455'!OSRRefD22x_0</vt:lpstr>
      <vt:lpstr>'491'!OSRRefD22x_0</vt:lpstr>
      <vt:lpstr>'492'!OSRRefD22x_0</vt:lpstr>
      <vt:lpstr>'501'!OSRRefD22x_0</vt:lpstr>
      <vt:lpstr>'Div 2'!OSRRefD22x_0</vt:lpstr>
      <vt:lpstr>'Div 3'!OSRRefD22x_0</vt:lpstr>
      <vt:lpstr>'Div 4'!OSRRefD22x_0</vt:lpstr>
      <vt:lpstr>'Div 5'!OSRRefD22x_0</vt:lpstr>
      <vt:lpstr>'Div 6'!OSRRefD22x_0</vt:lpstr>
      <vt:lpstr>Summary!OSRRefD22x_0</vt:lpstr>
      <vt:lpstr>'300'!OSRRefD25x_0</vt:lpstr>
      <vt:lpstr>'300 &amp; 317'!OSRRefD25x_0</vt:lpstr>
      <vt:lpstr>'301'!OSRRefD25x_0</vt:lpstr>
      <vt:lpstr>'307'!OSRRefD25x_0</vt:lpstr>
      <vt:lpstr>'308'!OSRRefD25x_0</vt:lpstr>
      <vt:lpstr>'310 &amp; 491'!OSRRefD25x_0</vt:lpstr>
      <vt:lpstr>'311'!OSRRefD25x_0</vt:lpstr>
      <vt:lpstr>'315'!OSRRefD25x_0</vt:lpstr>
      <vt:lpstr>'316'!OSRRefD25x_0</vt:lpstr>
      <vt:lpstr>'317'!OSRRefD25x_0</vt:lpstr>
      <vt:lpstr>'320'!OSRRefD25x_0</vt:lpstr>
      <vt:lpstr>'330'!OSRRefD25x_0</vt:lpstr>
      <vt:lpstr>'331'!OSRRefD25x_0</vt:lpstr>
      <vt:lpstr>'332'!OSRRefD25x_0</vt:lpstr>
      <vt:lpstr>'411'!OSRRefD25x_0</vt:lpstr>
      <vt:lpstr>'413'!OSRRefD25x_0</vt:lpstr>
      <vt:lpstr>'415'!OSRRefD25x_0</vt:lpstr>
      <vt:lpstr>'418'!OSRRefD25x_0</vt:lpstr>
      <vt:lpstr>'423'!OSRRefD25x_0</vt:lpstr>
      <vt:lpstr>'424'!OSRRefD25x_0</vt:lpstr>
      <vt:lpstr>'425'!OSRRefD25x_0</vt:lpstr>
      <vt:lpstr>'455'!OSRRefD25x_0</vt:lpstr>
      <vt:lpstr>'491'!OSRRefD25x_0</vt:lpstr>
      <vt:lpstr>'501'!OSRRefD25x_0</vt:lpstr>
      <vt:lpstr>'Div 3'!OSRRefD25x_0</vt:lpstr>
      <vt:lpstr>'Div 4'!OSRRefD25x_0</vt:lpstr>
      <vt:lpstr>'Div 5'!OSRRefD25x_0</vt:lpstr>
      <vt:lpstr>'Div 6'!OSRRefD25x_0</vt:lpstr>
      <vt:lpstr>Summary!OSRRefD25x_0</vt:lpstr>
      <vt:lpstr>'300'!OSRRefH13x_0</vt:lpstr>
      <vt:lpstr>'300 &amp; 317'!OSRRefH13x_0</vt:lpstr>
      <vt:lpstr>'307'!OSRRefH13x_0</vt:lpstr>
      <vt:lpstr>'308'!OSRRefH13x_0</vt:lpstr>
      <vt:lpstr>'309'!OSRRefH13x_0</vt:lpstr>
      <vt:lpstr>'310'!OSRRefH13x_0</vt:lpstr>
      <vt:lpstr>'310 &amp; 491'!OSRRefH13x_0</vt:lpstr>
      <vt:lpstr>'311'!OSRRefH13x_0</vt:lpstr>
      <vt:lpstr>'313'!OSRRefH13x_0</vt:lpstr>
      <vt:lpstr>'314'!OSRRefH13x_0</vt:lpstr>
      <vt:lpstr>'315'!OSRRefH13x_0</vt:lpstr>
      <vt:lpstr>'316'!OSRRefH13x_0</vt:lpstr>
      <vt:lpstr>'317'!OSRRefH13x_0</vt:lpstr>
      <vt:lpstr>'320'!OSRRefH13x_0</vt:lpstr>
      <vt:lpstr>'321'!OSRRefH13x_0</vt:lpstr>
      <vt:lpstr>'322'!OSRRefH13x_0</vt:lpstr>
      <vt:lpstr>'324'!OSRRefH13x_0</vt:lpstr>
      <vt:lpstr>'325'!OSRRefH13x_0</vt:lpstr>
      <vt:lpstr>'326'!OSRRefH13x_0</vt:lpstr>
      <vt:lpstr>'327'!OSRRefH13x_0</vt:lpstr>
      <vt:lpstr>'330'!OSRRefH13x_0</vt:lpstr>
      <vt:lpstr>'331'!OSRRefH13x_0</vt:lpstr>
      <vt:lpstr>'332'!OSRRefH13x_0</vt:lpstr>
      <vt:lpstr>'405'!OSRRefH13x_0</vt:lpstr>
      <vt:lpstr>'406'!OSRRefH13x_0</vt:lpstr>
      <vt:lpstr>'412'!OSRRefH13x_0</vt:lpstr>
      <vt:lpstr>'413'!OSRRefH13x_0</vt:lpstr>
      <vt:lpstr>'414'!OSRRefH13x_0</vt:lpstr>
      <vt:lpstr>'415'!OSRRefH13x_0</vt:lpstr>
      <vt:lpstr>'418'!OSRRefH13x_0</vt:lpstr>
      <vt:lpstr>'420'!OSRRefH13x_0</vt:lpstr>
      <vt:lpstr>'424'!OSRRefH13x_0</vt:lpstr>
      <vt:lpstr>'425'!OSRRefH13x_0</vt:lpstr>
      <vt:lpstr>'433'!OSRRefH13x_0</vt:lpstr>
      <vt:lpstr>'435'!OSRRefH13x_0</vt:lpstr>
      <vt:lpstr>'444'!OSRRefH13x_0</vt:lpstr>
      <vt:lpstr>'450'!OSRRefH13x_0</vt:lpstr>
      <vt:lpstr>'491'!OSRRefH13x_0</vt:lpstr>
      <vt:lpstr>'492'!OSRRefH13x_0</vt:lpstr>
      <vt:lpstr>'501'!OSRRefH13x_0</vt:lpstr>
      <vt:lpstr>'Div 3'!OSRRefH13x_0</vt:lpstr>
      <vt:lpstr>'Div 4'!OSRRefH13x_0</vt:lpstr>
      <vt:lpstr>'Div 5'!OSRRefH13x_0</vt:lpstr>
      <vt:lpstr>'Div 6'!OSRRefH13x_0</vt:lpstr>
      <vt:lpstr>Summary!OSRRefH13x_0</vt:lpstr>
      <vt:lpstr>'300'!OSRRefH16x_0</vt:lpstr>
      <vt:lpstr>'300 &amp; 317'!OSRRefH16x_0</vt:lpstr>
      <vt:lpstr>'301'!OSRRefH16x_0</vt:lpstr>
      <vt:lpstr>'307'!OSRRefH16x_0</vt:lpstr>
      <vt:lpstr>'308'!OSRRefH16x_0</vt:lpstr>
      <vt:lpstr>'309'!OSRRefH16x_0</vt:lpstr>
      <vt:lpstr>'310'!OSRRefH16x_0</vt:lpstr>
      <vt:lpstr>'310 &amp; 491'!OSRRefH16x_0</vt:lpstr>
      <vt:lpstr>'311'!OSRRefH16x_0</vt:lpstr>
      <vt:lpstr>'313'!OSRRefH16x_0</vt:lpstr>
      <vt:lpstr>'314'!OSRRefH16x_0</vt:lpstr>
      <vt:lpstr>'315'!OSRRefH16x_0</vt:lpstr>
      <vt:lpstr>'317'!OSRRefH16x_0</vt:lpstr>
      <vt:lpstr>'320'!OSRRefH16x_0</vt:lpstr>
      <vt:lpstr>'321'!OSRRefH16x_0</vt:lpstr>
      <vt:lpstr>'322'!OSRRefH16x_0</vt:lpstr>
      <vt:lpstr>'324'!OSRRefH16x_0</vt:lpstr>
      <vt:lpstr>'325'!OSRRefH16x_0</vt:lpstr>
      <vt:lpstr>'326'!OSRRefH16x_0</vt:lpstr>
      <vt:lpstr>'327'!OSRRefH16x_0</vt:lpstr>
      <vt:lpstr>'330'!OSRRefH16x_0</vt:lpstr>
      <vt:lpstr>'331'!OSRRefH16x_0</vt:lpstr>
      <vt:lpstr>'332'!OSRRefH16x_0</vt:lpstr>
      <vt:lpstr>'405'!OSRRefH16x_0</vt:lpstr>
      <vt:lpstr>'406'!OSRRefH16x_0</vt:lpstr>
      <vt:lpstr>'412'!OSRRefH16x_0</vt:lpstr>
      <vt:lpstr>'413'!OSRRefH16x_0</vt:lpstr>
      <vt:lpstr>'414'!OSRRefH16x_0</vt:lpstr>
      <vt:lpstr>'415'!OSRRefH16x_0</vt:lpstr>
      <vt:lpstr>'418'!OSRRefH16x_0</vt:lpstr>
      <vt:lpstr>'420'!OSRRefH16x_0</vt:lpstr>
      <vt:lpstr>'423'!OSRRefH16x_0</vt:lpstr>
      <vt:lpstr>'424'!OSRRefH16x_0</vt:lpstr>
      <vt:lpstr>'425'!OSRRefH16x_0</vt:lpstr>
      <vt:lpstr>'433'!OSRRefH16x_0</vt:lpstr>
      <vt:lpstr>'435'!OSRRefH16x_0</vt:lpstr>
      <vt:lpstr>'444'!OSRRefH16x_0</vt:lpstr>
      <vt:lpstr>'450'!OSRRefH16x_0</vt:lpstr>
      <vt:lpstr>'491'!OSRRefH16x_0</vt:lpstr>
      <vt:lpstr>'492'!OSRRefH16x_0</vt:lpstr>
      <vt:lpstr>'Div 3'!OSRRefH16x_0</vt:lpstr>
      <vt:lpstr>'Div 4'!OSRRefH16x_0</vt:lpstr>
      <vt:lpstr>'Div 6'!OSRRefH16x_0</vt:lpstr>
      <vt:lpstr>Summary!OSRRefH16x_0</vt:lpstr>
      <vt:lpstr>'200'!OSRRefH22_0x_0</vt:lpstr>
      <vt:lpstr>'201'!OSRRefH22_0x_0</vt:lpstr>
      <vt:lpstr>'202'!OSRRefH22_0x_0</vt:lpstr>
      <vt:lpstr>'203'!OSRRefH22_0x_0</vt:lpstr>
      <vt:lpstr>'204'!OSRRefH22_0x_0</vt:lpstr>
      <vt:lpstr>'205'!OSRRefH22_0x_0</vt:lpstr>
      <vt:lpstr>'206'!OSRRefH22_0x_0</vt:lpstr>
      <vt:lpstr>'300'!OSRRefH22_0x_0</vt:lpstr>
      <vt:lpstr>'300 &amp; 317'!OSRRefH22_0x_0</vt:lpstr>
      <vt:lpstr>'301'!OSRRefH22_0x_0</vt:lpstr>
      <vt:lpstr>'306'!OSRRefH22_0x_0</vt:lpstr>
      <vt:lpstr>'307'!OSRRefH22_0x_0</vt:lpstr>
      <vt:lpstr>'308'!OSRRefH22_0x_0</vt:lpstr>
      <vt:lpstr>'309'!OSRRefH22_0x_0</vt:lpstr>
      <vt:lpstr>'310'!OSRRefH22_0x_0</vt:lpstr>
      <vt:lpstr>'310 &amp; 491'!OSRRefH22_0x_0</vt:lpstr>
      <vt:lpstr>'311'!OSRRefH22_0x_0</vt:lpstr>
      <vt:lpstr>'313'!OSRRefH22_0x_0</vt:lpstr>
      <vt:lpstr>'314'!OSRRefH22_0x_0</vt:lpstr>
      <vt:lpstr>'315'!OSRRefH22_0x_0</vt:lpstr>
      <vt:lpstr>'316'!OSRRefH22_0x_0</vt:lpstr>
      <vt:lpstr>'317'!OSRRefH22_0x_0</vt:lpstr>
      <vt:lpstr>'320'!OSRRefH22_0x_0</vt:lpstr>
      <vt:lpstr>'321'!OSRRefH22_0x_0</vt:lpstr>
      <vt:lpstr>'322'!OSRRefH22_0x_0</vt:lpstr>
      <vt:lpstr>'325'!OSRRefH22_0x_0</vt:lpstr>
      <vt:lpstr>'326'!OSRRefH22_0x_0</vt:lpstr>
      <vt:lpstr>'327'!OSRRefH22_0x_0</vt:lpstr>
      <vt:lpstr>'330'!OSRRefH22_0x_0</vt:lpstr>
      <vt:lpstr>'331'!OSRRefH22_0x_0</vt:lpstr>
      <vt:lpstr>'332'!OSRRefH22_0x_0</vt:lpstr>
      <vt:lpstr>'405'!OSRRefH22_0x_0</vt:lpstr>
      <vt:lpstr>'406'!OSRRefH22_0x_0</vt:lpstr>
      <vt:lpstr>'411'!OSRRefH22_0x_0</vt:lpstr>
      <vt:lpstr>'412'!OSRRefH22_0x_0</vt:lpstr>
      <vt:lpstr>'413'!OSRRefH22_0x_0</vt:lpstr>
      <vt:lpstr>'414'!OSRRefH22_0x_0</vt:lpstr>
      <vt:lpstr>'415'!OSRRefH22_0x_0</vt:lpstr>
      <vt:lpstr>'418'!OSRRefH22_0x_0</vt:lpstr>
      <vt:lpstr>'420'!OSRRefH22_0x_0</vt:lpstr>
      <vt:lpstr>'423'!OSRRefH22_0x_0</vt:lpstr>
      <vt:lpstr>'424'!OSRRefH22_0x_0</vt:lpstr>
      <vt:lpstr>'425'!OSRRefH22_0x_0</vt:lpstr>
      <vt:lpstr>'430'!OSRRefH22_0x_0</vt:lpstr>
      <vt:lpstr>'433'!OSRRefH22_0x_0</vt:lpstr>
      <vt:lpstr>'435'!OSRRefH22_0x_0</vt:lpstr>
      <vt:lpstr>'444'!OSRRefH22_0x_0</vt:lpstr>
      <vt:lpstr>'450'!OSRRefH22_0x_0</vt:lpstr>
      <vt:lpstr>'455'!OSRRefH22_0x_0</vt:lpstr>
      <vt:lpstr>'491'!OSRRefH22_0x_0</vt:lpstr>
      <vt:lpstr>'492'!OSRRefH22_0x_0</vt:lpstr>
      <vt:lpstr>'501'!OSRRefH22_0x_0</vt:lpstr>
      <vt:lpstr>'Div 2'!OSRRefH22_0x_0</vt:lpstr>
      <vt:lpstr>'Div 3'!OSRRefH22_0x_0</vt:lpstr>
      <vt:lpstr>'Div 4'!OSRRefH22_0x_0</vt:lpstr>
      <vt:lpstr>'Div 5'!OSRRefH22_0x_0</vt:lpstr>
      <vt:lpstr>'Div 6'!OSRRefH22_0x_0</vt:lpstr>
      <vt:lpstr>Summary!OSRRefH22_0x_0</vt:lpstr>
      <vt:lpstr>'201'!OSRRefH22_10x_0</vt:lpstr>
      <vt:lpstr>'202'!OSRRefH22_10x_0</vt:lpstr>
      <vt:lpstr>'203'!OSRRefH22_10x_0</vt:lpstr>
      <vt:lpstr>'204'!OSRRefH22_10x_0</vt:lpstr>
      <vt:lpstr>'300'!OSRRefH22_10x_0</vt:lpstr>
      <vt:lpstr>'300 &amp; 317'!OSRRefH22_10x_0</vt:lpstr>
      <vt:lpstr>'301'!OSRRefH22_10x_0</vt:lpstr>
      <vt:lpstr>'307'!OSRRefH22_10x_0</vt:lpstr>
      <vt:lpstr>'308'!OSRRefH22_10x_0</vt:lpstr>
      <vt:lpstr>'309'!OSRRefH22_10x_0</vt:lpstr>
      <vt:lpstr>'310'!OSRRefH22_10x_0</vt:lpstr>
      <vt:lpstr>'310 &amp; 491'!OSRRefH22_10x_0</vt:lpstr>
      <vt:lpstr>'311'!OSRRefH22_10x_0</vt:lpstr>
      <vt:lpstr>'313'!OSRRefH22_10x_0</vt:lpstr>
      <vt:lpstr>'315'!OSRRefH22_10x_0</vt:lpstr>
      <vt:lpstr>'316'!OSRRefH22_10x_0</vt:lpstr>
      <vt:lpstr>'317'!OSRRefH22_10x_0</vt:lpstr>
      <vt:lpstr>'321'!OSRRefH22_10x_0</vt:lpstr>
      <vt:lpstr>'322'!OSRRefH22_10x_0</vt:lpstr>
      <vt:lpstr>'325'!OSRRefH22_10x_0</vt:lpstr>
      <vt:lpstr>'326'!OSRRefH22_10x_0</vt:lpstr>
      <vt:lpstr>'330'!OSRRefH22_10x_0</vt:lpstr>
      <vt:lpstr>'331'!OSRRefH22_10x_0</vt:lpstr>
      <vt:lpstr>'332'!OSRRefH22_10x_0</vt:lpstr>
      <vt:lpstr>'405'!OSRRefH22_10x_0</vt:lpstr>
      <vt:lpstr>'406'!OSRRefH22_10x_0</vt:lpstr>
      <vt:lpstr>'411'!OSRRefH22_10x_0</vt:lpstr>
      <vt:lpstr>'412'!OSRRefH22_10x_0</vt:lpstr>
      <vt:lpstr>'413'!OSRRefH22_10x_0</vt:lpstr>
      <vt:lpstr>'414'!OSRRefH22_10x_0</vt:lpstr>
      <vt:lpstr>'415'!OSRRefH22_10x_0</vt:lpstr>
      <vt:lpstr>'418'!OSRRefH22_10x_0</vt:lpstr>
      <vt:lpstr>'424'!OSRRefH22_10x_0</vt:lpstr>
      <vt:lpstr>'425'!OSRRefH22_10x_0</vt:lpstr>
      <vt:lpstr>'433'!OSRRefH22_10x_0</vt:lpstr>
      <vt:lpstr>'444'!OSRRefH22_10x_0</vt:lpstr>
      <vt:lpstr>'450'!OSRRefH22_10x_0</vt:lpstr>
      <vt:lpstr>'491'!OSRRefH22_10x_0</vt:lpstr>
      <vt:lpstr>'492'!OSRRefH22_10x_0</vt:lpstr>
      <vt:lpstr>'501'!OSRRefH22_10x_0</vt:lpstr>
      <vt:lpstr>'Div 2'!OSRRefH22_10x_0</vt:lpstr>
      <vt:lpstr>'Div 3'!OSRRefH22_10x_0</vt:lpstr>
      <vt:lpstr>'Div 4'!OSRRefH22_10x_0</vt:lpstr>
      <vt:lpstr>'Div 5'!OSRRefH22_10x_0</vt:lpstr>
      <vt:lpstr>'Div 6'!OSRRefH22_10x_0</vt:lpstr>
      <vt:lpstr>Summary!OSRRefH22_10x_0</vt:lpstr>
      <vt:lpstr>'201'!OSRRefH22_11x_0</vt:lpstr>
      <vt:lpstr>'202'!OSRRefH22_11x_0</vt:lpstr>
      <vt:lpstr>'203'!OSRRefH22_11x_0</vt:lpstr>
      <vt:lpstr>'300'!OSRRefH22_11x_0</vt:lpstr>
      <vt:lpstr>'300 &amp; 317'!OSRRefH22_11x_0</vt:lpstr>
      <vt:lpstr>'301'!OSRRefH22_11x_0</vt:lpstr>
      <vt:lpstr>'307'!OSRRefH22_11x_0</vt:lpstr>
      <vt:lpstr>'308'!OSRRefH22_11x_0</vt:lpstr>
      <vt:lpstr>'309'!OSRRefH22_11x_0</vt:lpstr>
      <vt:lpstr>'310'!OSRRefH22_11x_0</vt:lpstr>
      <vt:lpstr>'310 &amp; 491'!OSRRefH22_11x_0</vt:lpstr>
      <vt:lpstr>'311'!OSRRefH22_11x_0</vt:lpstr>
      <vt:lpstr>'313'!OSRRefH22_11x_0</vt:lpstr>
      <vt:lpstr>'315'!OSRRefH22_11x_0</vt:lpstr>
      <vt:lpstr>'316'!OSRRefH22_11x_0</vt:lpstr>
      <vt:lpstr>'317'!OSRRefH22_11x_0</vt:lpstr>
      <vt:lpstr>'321'!OSRRefH22_11x_0</vt:lpstr>
      <vt:lpstr>'322'!OSRRefH22_11x_0</vt:lpstr>
      <vt:lpstr>'325'!OSRRefH22_11x_0</vt:lpstr>
      <vt:lpstr>'326'!OSRRefH22_11x_0</vt:lpstr>
      <vt:lpstr>'330'!OSRRefH22_11x_0</vt:lpstr>
      <vt:lpstr>'331'!OSRRefH22_11x_0</vt:lpstr>
      <vt:lpstr>'332'!OSRRefH22_11x_0</vt:lpstr>
      <vt:lpstr>'405'!OSRRefH22_11x_0</vt:lpstr>
      <vt:lpstr>'406'!OSRRefH22_11x_0</vt:lpstr>
      <vt:lpstr>'411'!OSRRefH22_11x_0</vt:lpstr>
      <vt:lpstr>'412'!OSRRefH22_11x_0</vt:lpstr>
      <vt:lpstr>'413'!OSRRefH22_11x_0</vt:lpstr>
      <vt:lpstr>'414'!OSRRefH22_11x_0</vt:lpstr>
      <vt:lpstr>'415'!OSRRefH22_11x_0</vt:lpstr>
      <vt:lpstr>'418'!OSRRefH22_11x_0</vt:lpstr>
      <vt:lpstr>'424'!OSRRefH22_11x_0</vt:lpstr>
      <vt:lpstr>'425'!OSRRefH22_11x_0</vt:lpstr>
      <vt:lpstr>'433'!OSRRefH22_11x_0</vt:lpstr>
      <vt:lpstr>'444'!OSRRefH22_11x_0</vt:lpstr>
      <vt:lpstr>'450'!OSRRefH22_11x_0</vt:lpstr>
      <vt:lpstr>'491'!OSRRefH22_11x_0</vt:lpstr>
      <vt:lpstr>'492'!OSRRefH22_11x_0</vt:lpstr>
      <vt:lpstr>'501'!OSRRefH22_11x_0</vt:lpstr>
      <vt:lpstr>'Div 2'!OSRRefH22_11x_0</vt:lpstr>
      <vt:lpstr>'Div 3'!OSRRefH22_11x_0</vt:lpstr>
      <vt:lpstr>'Div 4'!OSRRefH22_11x_0</vt:lpstr>
      <vt:lpstr>'Div 5'!OSRRefH22_11x_0</vt:lpstr>
      <vt:lpstr>'Div 6'!OSRRefH22_11x_0</vt:lpstr>
      <vt:lpstr>Summary!OSRRefH22_11x_0</vt:lpstr>
      <vt:lpstr>'201'!OSRRefH22_12x_0</vt:lpstr>
      <vt:lpstr>'202'!OSRRefH22_12x_0</vt:lpstr>
      <vt:lpstr>'203'!OSRRefH22_12x_0</vt:lpstr>
      <vt:lpstr>'300'!OSRRefH22_12x_0</vt:lpstr>
      <vt:lpstr>'300 &amp; 317'!OSRRefH22_12x_0</vt:lpstr>
      <vt:lpstr>'301'!OSRRefH22_12x_0</vt:lpstr>
      <vt:lpstr>'307'!OSRRefH22_12x_0</vt:lpstr>
      <vt:lpstr>'308'!OSRRefH22_12x_0</vt:lpstr>
      <vt:lpstr>'309'!OSRRefH22_12x_0</vt:lpstr>
      <vt:lpstr>'310'!OSRRefH22_12x_0</vt:lpstr>
      <vt:lpstr>'310 &amp; 491'!OSRRefH22_12x_0</vt:lpstr>
      <vt:lpstr>'311'!OSRRefH22_12x_0</vt:lpstr>
      <vt:lpstr>'313'!OSRRefH22_12x_0</vt:lpstr>
      <vt:lpstr>'315'!OSRRefH22_12x_0</vt:lpstr>
      <vt:lpstr>'316'!OSRRefH22_12x_0</vt:lpstr>
      <vt:lpstr>'317'!OSRRefH22_12x_0</vt:lpstr>
      <vt:lpstr>'321'!OSRRefH22_12x_0</vt:lpstr>
      <vt:lpstr>'322'!OSRRefH22_12x_0</vt:lpstr>
      <vt:lpstr>'325'!OSRRefH22_12x_0</vt:lpstr>
      <vt:lpstr>'326'!OSRRefH22_12x_0</vt:lpstr>
      <vt:lpstr>'330'!OSRRefH22_12x_0</vt:lpstr>
      <vt:lpstr>'331'!OSRRefH22_12x_0</vt:lpstr>
      <vt:lpstr>'332'!OSRRefH22_12x_0</vt:lpstr>
      <vt:lpstr>'405'!OSRRefH22_12x_0</vt:lpstr>
      <vt:lpstr>'406'!OSRRefH22_12x_0</vt:lpstr>
      <vt:lpstr>'411'!OSRRefH22_12x_0</vt:lpstr>
      <vt:lpstr>'412'!OSRRefH22_12x_0</vt:lpstr>
      <vt:lpstr>'414'!OSRRefH22_12x_0</vt:lpstr>
      <vt:lpstr>'415'!OSRRefH22_12x_0</vt:lpstr>
      <vt:lpstr>'418'!OSRRefH22_12x_0</vt:lpstr>
      <vt:lpstr>'424'!OSRRefH22_12x_0</vt:lpstr>
      <vt:lpstr>'425'!OSRRefH22_12x_0</vt:lpstr>
      <vt:lpstr>'433'!OSRRefH22_12x_0</vt:lpstr>
      <vt:lpstr>'444'!OSRRefH22_12x_0</vt:lpstr>
      <vt:lpstr>'450'!OSRRefH22_12x_0</vt:lpstr>
      <vt:lpstr>'491'!OSRRefH22_12x_0</vt:lpstr>
      <vt:lpstr>'492'!OSRRefH22_12x_0</vt:lpstr>
      <vt:lpstr>'501'!OSRRefH22_12x_0</vt:lpstr>
      <vt:lpstr>'Div 2'!OSRRefH22_12x_0</vt:lpstr>
      <vt:lpstr>'Div 3'!OSRRefH22_12x_0</vt:lpstr>
      <vt:lpstr>'Div 4'!OSRRefH22_12x_0</vt:lpstr>
      <vt:lpstr>'Div 5'!OSRRefH22_12x_0</vt:lpstr>
      <vt:lpstr>'Div 6'!OSRRefH22_12x_0</vt:lpstr>
      <vt:lpstr>Summary!OSRRefH22_12x_0</vt:lpstr>
      <vt:lpstr>'201'!OSRRefH22_13x_0</vt:lpstr>
      <vt:lpstr>'202'!OSRRefH22_13x_0</vt:lpstr>
      <vt:lpstr>'203'!OSRRefH22_13x_0</vt:lpstr>
      <vt:lpstr>'300'!OSRRefH22_13x_0</vt:lpstr>
      <vt:lpstr>'300 &amp; 317'!OSRRefH22_13x_0</vt:lpstr>
      <vt:lpstr>'301'!OSRRefH22_13x_0</vt:lpstr>
      <vt:lpstr>'308'!OSRRefH22_13x_0</vt:lpstr>
      <vt:lpstr>'310'!OSRRefH22_13x_0</vt:lpstr>
      <vt:lpstr>'310 &amp; 491'!OSRRefH22_13x_0</vt:lpstr>
      <vt:lpstr>'311'!OSRRefH22_13x_0</vt:lpstr>
      <vt:lpstr>'315'!OSRRefH22_13x_0</vt:lpstr>
      <vt:lpstr>'316'!OSRRefH22_13x_0</vt:lpstr>
      <vt:lpstr>'317'!OSRRefH22_13x_0</vt:lpstr>
      <vt:lpstr>'322'!OSRRefH22_13x_0</vt:lpstr>
      <vt:lpstr>'325'!OSRRefH22_13x_0</vt:lpstr>
      <vt:lpstr>'326'!OSRRefH22_13x_0</vt:lpstr>
      <vt:lpstr>'330'!OSRRefH22_13x_0</vt:lpstr>
      <vt:lpstr>'331'!OSRRefH22_13x_0</vt:lpstr>
      <vt:lpstr>'332'!OSRRefH22_13x_0</vt:lpstr>
      <vt:lpstr>'405'!OSRRefH22_13x_0</vt:lpstr>
      <vt:lpstr>'406'!OSRRefH22_13x_0</vt:lpstr>
      <vt:lpstr>'411'!OSRRefH22_13x_0</vt:lpstr>
      <vt:lpstr>'412'!OSRRefH22_13x_0</vt:lpstr>
      <vt:lpstr>'414'!OSRRefH22_13x_0</vt:lpstr>
      <vt:lpstr>'415'!OSRRefH22_13x_0</vt:lpstr>
      <vt:lpstr>'418'!OSRRefH22_13x_0</vt:lpstr>
      <vt:lpstr>'425'!OSRRefH22_13x_0</vt:lpstr>
      <vt:lpstr>'433'!OSRRefH22_13x_0</vt:lpstr>
      <vt:lpstr>'444'!OSRRefH22_13x_0</vt:lpstr>
      <vt:lpstr>'450'!OSRRefH22_13x_0</vt:lpstr>
      <vt:lpstr>'491'!OSRRefH22_13x_0</vt:lpstr>
      <vt:lpstr>'492'!OSRRefH22_13x_0</vt:lpstr>
      <vt:lpstr>'501'!OSRRefH22_13x_0</vt:lpstr>
      <vt:lpstr>'Div 2'!OSRRefH22_13x_0</vt:lpstr>
      <vt:lpstr>'Div 3'!OSRRefH22_13x_0</vt:lpstr>
      <vt:lpstr>'Div 4'!OSRRefH22_13x_0</vt:lpstr>
      <vt:lpstr>'Div 5'!OSRRefH22_13x_0</vt:lpstr>
      <vt:lpstr>'Div 6'!OSRRefH22_13x_0</vt:lpstr>
      <vt:lpstr>Summary!OSRRefH22_13x_0</vt:lpstr>
      <vt:lpstr>'201'!OSRRefH22_14x_0</vt:lpstr>
      <vt:lpstr>'202'!OSRRefH22_14x_0</vt:lpstr>
      <vt:lpstr>'203'!OSRRefH22_14x_0</vt:lpstr>
      <vt:lpstr>'300'!OSRRefH22_14x_0</vt:lpstr>
      <vt:lpstr>'300 &amp; 317'!OSRRefH22_14x_0</vt:lpstr>
      <vt:lpstr>'301'!OSRRefH22_14x_0</vt:lpstr>
      <vt:lpstr>'308'!OSRRefH22_14x_0</vt:lpstr>
      <vt:lpstr>'310'!OSRRefH22_14x_0</vt:lpstr>
      <vt:lpstr>'310 &amp; 491'!OSRRefH22_14x_0</vt:lpstr>
      <vt:lpstr>'311'!OSRRefH22_14x_0</vt:lpstr>
      <vt:lpstr>'315'!OSRRefH22_14x_0</vt:lpstr>
      <vt:lpstr>'316'!OSRRefH22_14x_0</vt:lpstr>
      <vt:lpstr>'325'!OSRRefH22_14x_0</vt:lpstr>
      <vt:lpstr>'326'!OSRRefH22_14x_0</vt:lpstr>
      <vt:lpstr>'330'!OSRRefH22_14x_0</vt:lpstr>
      <vt:lpstr>'331'!OSRRefH22_14x_0</vt:lpstr>
      <vt:lpstr>'332'!OSRRefH22_14x_0</vt:lpstr>
      <vt:lpstr>'405'!OSRRefH22_14x_0</vt:lpstr>
      <vt:lpstr>'406'!OSRRefH22_14x_0</vt:lpstr>
      <vt:lpstr>'411'!OSRRefH22_14x_0</vt:lpstr>
      <vt:lpstr>'414'!OSRRefH22_14x_0</vt:lpstr>
      <vt:lpstr>'415'!OSRRefH22_14x_0</vt:lpstr>
      <vt:lpstr>'418'!OSRRefH22_14x_0</vt:lpstr>
      <vt:lpstr>'425'!OSRRefH22_14x_0</vt:lpstr>
      <vt:lpstr>'433'!OSRRefH22_14x_0</vt:lpstr>
      <vt:lpstr>'444'!OSRRefH22_14x_0</vt:lpstr>
      <vt:lpstr>'450'!OSRRefH22_14x_0</vt:lpstr>
      <vt:lpstr>'491'!OSRRefH22_14x_0</vt:lpstr>
      <vt:lpstr>'492'!OSRRefH22_14x_0</vt:lpstr>
      <vt:lpstr>'Div 2'!OSRRefH22_14x_0</vt:lpstr>
      <vt:lpstr>'Div 3'!OSRRefH22_14x_0</vt:lpstr>
      <vt:lpstr>'Div 4'!OSRRefH22_14x_0</vt:lpstr>
      <vt:lpstr>Summary!OSRRefH22_14x_0</vt:lpstr>
      <vt:lpstr>'201'!OSRRefH22_15x_0</vt:lpstr>
      <vt:lpstr>'202'!OSRRefH22_15x_0</vt:lpstr>
      <vt:lpstr>'203'!OSRRefH22_15x_0</vt:lpstr>
      <vt:lpstr>'300'!OSRRefH22_15x_0</vt:lpstr>
      <vt:lpstr>'300 &amp; 317'!OSRRefH22_15x_0</vt:lpstr>
      <vt:lpstr>'301'!OSRRefH22_15x_0</vt:lpstr>
      <vt:lpstr>'310'!OSRRefH22_15x_0</vt:lpstr>
      <vt:lpstr>'310 &amp; 491'!OSRRefH22_15x_0</vt:lpstr>
      <vt:lpstr>'325'!OSRRefH22_15x_0</vt:lpstr>
      <vt:lpstr>'326'!OSRRefH22_15x_0</vt:lpstr>
      <vt:lpstr>'330'!OSRRefH22_15x_0</vt:lpstr>
      <vt:lpstr>'331'!OSRRefH22_15x_0</vt:lpstr>
      <vt:lpstr>'332'!OSRRefH22_15x_0</vt:lpstr>
      <vt:lpstr>'405'!OSRRefH22_15x_0</vt:lpstr>
      <vt:lpstr>'411'!OSRRefH22_15x_0</vt:lpstr>
      <vt:lpstr>'414'!OSRRefH22_15x_0</vt:lpstr>
      <vt:lpstr>'415'!OSRRefH22_15x_0</vt:lpstr>
      <vt:lpstr>'418'!OSRRefH22_15x_0</vt:lpstr>
      <vt:lpstr>'433'!OSRRefH22_15x_0</vt:lpstr>
      <vt:lpstr>'444'!OSRRefH22_15x_0</vt:lpstr>
      <vt:lpstr>'450'!OSRRefH22_15x_0</vt:lpstr>
      <vt:lpstr>'491'!OSRRefH22_15x_0</vt:lpstr>
      <vt:lpstr>'492'!OSRRefH22_15x_0</vt:lpstr>
      <vt:lpstr>'Div 2'!OSRRefH22_15x_0</vt:lpstr>
      <vt:lpstr>'Div 3'!OSRRefH22_15x_0</vt:lpstr>
      <vt:lpstr>'Div 4'!OSRRefH22_15x_0</vt:lpstr>
      <vt:lpstr>Summary!OSRRefH22_15x_0</vt:lpstr>
      <vt:lpstr>'300'!OSRRefH22_16x_0</vt:lpstr>
      <vt:lpstr>'300 &amp; 317'!OSRRefH22_16x_0</vt:lpstr>
      <vt:lpstr>'301'!OSRRefH22_16x_0</vt:lpstr>
      <vt:lpstr>'310'!OSRRefH22_16x_0</vt:lpstr>
      <vt:lpstr>'310 &amp; 491'!OSRRefH22_16x_0</vt:lpstr>
      <vt:lpstr>'325'!OSRRefH22_16x_0</vt:lpstr>
      <vt:lpstr>'326'!OSRRefH22_16x_0</vt:lpstr>
      <vt:lpstr>'331'!OSRRefH22_16x_0</vt:lpstr>
      <vt:lpstr>'405'!OSRRefH22_16x_0</vt:lpstr>
      <vt:lpstr>'411'!OSRRefH22_16x_0</vt:lpstr>
      <vt:lpstr>'415'!OSRRefH22_16x_0</vt:lpstr>
      <vt:lpstr>'418'!OSRRefH22_16x_0</vt:lpstr>
      <vt:lpstr>'433'!OSRRefH22_16x_0</vt:lpstr>
      <vt:lpstr>'444'!OSRRefH22_16x_0</vt:lpstr>
      <vt:lpstr>'450'!OSRRefH22_16x_0</vt:lpstr>
      <vt:lpstr>'491'!OSRRefH22_16x_0</vt:lpstr>
      <vt:lpstr>'492'!OSRRefH22_16x_0</vt:lpstr>
      <vt:lpstr>'Div 2'!OSRRefH22_16x_0</vt:lpstr>
      <vt:lpstr>'Div 3'!OSRRefH22_16x_0</vt:lpstr>
      <vt:lpstr>'Div 4'!OSRRefH22_16x_0</vt:lpstr>
      <vt:lpstr>Summary!OSRRefH22_16x_0</vt:lpstr>
      <vt:lpstr>'300'!OSRRefH22_17x_0</vt:lpstr>
      <vt:lpstr>'300 &amp; 317'!OSRRefH22_17x_0</vt:lpstr>
      <vt:lpstr>'301'!OSRRefH22_17x_0</vt:lpstr>
      <vt:lpstr>'310'!OSRRefH22_17x_0</vt:lpstr>
      <vt:lpstr>'310 &amp; 491'!OSRRefH22_17x_0</vt:lpstr>
      <vt:lpstr>'325'!OSRRefH22_17x_0</vt:lpstr>
      <vt:lpstr>'326'!OSRRefH22_17x_0</vt:lpstr>
      <vt:lpstr>'331'!OSRRefH22_17x_0</vt:lpstr>
      <vt:lpstr>'405'!OSRRefH22_17x_0</vt:lpstr>
      <vt:lpstr>'411'!OSRRefH22_17x_0</vt:lpstr>
      <vt:lpstr>'415'!OSRRefH22_17x_0</vt:lpstr>
      <vt:lpstr>'444'!OSRRefH22_17x_0</vt:lpstr>
      <vt:lpstr>'450'!OSRRefH22_17x_0</vt:lpstr>
      <vt:lpstr>'491'!OSRRefH22_17x_0</vt:lpstr>
      <vt:lpstr>'492'!OSRRefH22_17x_0</vt:lpstr>
      <vt:lpstr>'Div 2'!OSRRefH22_17x_0</vt:lpstr>
      <vt:lpstr>'Div 3'!OSRRefH22_17x_0</vt:lpstr>
      <vt:lpstr>'Div 4'!OSRRefH22_17x_0</vt:lpstr>
      <vt:lpstr>Summary!OSRRefH22_17x_0</vt:lpstr>
      <vt:lpstr>'300'!OSRRefH22_18x_0</vt:lpstr>
      <vt:lpstr>'300 &amp; 317'!OSRRefH22_18x_0</vt:lpstr>
      <vt:lpstr>'301'!OSRRefH22_18x_0</vt:lpstr>
      <vt:lpstr>'310'!OSRRefH22_18x_0</vt:lpstr>
      <vt:lpstr>'310 &amp; 491'!OSRRefH22_18x_0</vt:lpstr>
      <vt:lpstr>'326'!OSRRefH22_18x_0</vt:lpstr>
      <vt:lpstr>'331'!OSRRefH22_18x_0</vt:lpstr>
      <vt:lpstr>'411'!OSRRefH22_18x_0</vt:lpstr>
      <vt:lpstr>'491'!OSRRefH22_18x_0</vt:lpstr>
      <vt:lpstr>'492'!OSRRefH22_18x_0</vt:lpstr>
      <vt:lpstr>'Div 2'!OSRRefH22_18x_0</vt:lpstr>
      <vt:lpstr>'Div 3'!OSRRefH22_18x_0</vt:lpstr>
      <vt:lpstr>'Div 4'!OSRRefH22_18x_0</vt:lpstr>
      <vt:lpstr>Summary!OSRRefH22_18x_0</vt:lpstr>
      <vt:lpstr>'300'!OSRRefH22_19x_0</vt:lpstr>
      <vt:lpstr>'300 &amp; 317'!OSRRefH22_19x_0</vt:lpstr>
      <vt:lpstr>'301'!OSRRefH22_19x_0</vt:lpstr>
      <vt:lpstr>'310'!OSRRefH22_19x_0</vt:lpstr>
      <vt:lpstr>'310 &amp; 491'!OSRRefH22_19x_0</vt:lpstr>
      <vt:lpstr>'326'!OSRRefH22_19x_0</vt:lpstr>
      <vt:lpstr>'331'!OSRRefH22_19x_0</vt:lpstr>
      <vt:lpstr>'411'!OSRRefH22_19x_0</vt:lpstr>
      <vt:lpstr>'491'!OSRRefH22_19x_0</vt:lpstr>
      <vt:lpstr>'Div 2'!OSRRefH22_19x_0</vt:lpstr>
      <vt:lpstr>'Div 3'!OSRRefH22_19x_0</vt:lpstr>
      <vt:lpstr>'Div 4'!OSRRefH22_19x_0</vt:lpstr>
      <vt:lpstr>Summary!OSRRefH22_19x_0</vt:lpstr>
      <vt:lpstr>'200'!OSRRefH22_1x_0</vt:lpstr>
      <vt:lpstr>'201'!OSRRefH22_1x_0</vt:lpstr>
      <vt:lpstr>'202'!OSRRefH22_1x_0</vt:lpstr>
      <vt:lpstr>'203'!OSRRefH22_1x_0</vt:lpstr>
      <vt:lpstr>'204'!OSRRefH22_1x_0</vt:lpstr>
      <vt:lpstr>'205'!OSRRefH22_1x_0</vt:lpstr>
      <vt:lpstr>'206'!OSRRefH22_1x_0</vt:lpstr>
      <vt:lpstr>'300'!OSRRefH22_1x_0</vt:lpstr>
      <vt:lpstr>'300 &amp; 317'!OSRRefH22_1x_0</vt:lpstr>
      <vt:lpstr>'301'!OSRRefH22_1x_0</vt:lpstr>
      <vt:lpstr>'306'!OSRRefH22_1x_0</vt:lpstr>
      <vt:lpstr>'307'!OSRRefH22_1x_0</vt:lpstr>
      <vt:lpstr>'308'!OSRRefH22_1x_0</vt:lpstr>
      <vt:lpstr>'309'!OSRRefH22_1x_0</vt:lpstr>
      <vt:lpstr>'310'!OSRRefH22_1x_0</vt:lpstr>
      <vt:lpstr>'310 &amp; 491'!OSRRefH22_1x_0</vt:lpstr>
      <vt:lpstr>'311'!OSRRefH22_1x_0</vt:lpstr>
      <vt:lpstr>'313'!OSRRefH22_1x_0</vt:lpstr>
      <vt:lpstr>'314'!OSRRefH22_1x_0</vt:lpstr>
      <vt:lpstr>'315'!OSRRefH22_1x_0</vt:lpstr>
      <vt:lpstr>'316'!OSRRefH22_1x_0</vt:lpstr>
      <vt:lpstr>'317'!OSRRefH22_1x_0</vt:lpstr>
      <vt:lpstr>'320'!OSRRefH22_1x_0</vt:lpstr>
      <vt:lpstr>'321'!OSRRefH22_1x_0</vt:lpstr>
      <vt:lpstr>'322'!OSRRefH22_1x_0</vt:lpstr>
      <vt:lpstr>'325'!OSRRefH22_1x_0</vt:lpstr>
      <vt:lpstr>'326'!OSRRefH22_1x_0</vt:lpstr>
      <vt:lpstr>'327'!OSRRefH22_1x_0</vt:lpstr>
      <vt:lpstr>'330'!OSRRefH22_1x_0</vt:lpstr>
      <vt:lpstr>'331'!OSRRefH22_1x_0</vt:lpstr>
      <vt:lpstr>'332'!OSRRefH22_1x_0</vt:lpstr>
      <vt:lpstr>'405'!OSRRefH22_1x_0</vt:lpstr>
      <vt:lpstr>'406'!OSRRefH22_1x_0</vt:lpstr>
      <vt:lpstr>'411'!OSRRefH22_1x_0</vt:lpstr>
      <vt:lpstr>'412'!OSRRefH22_1x_0</vt:lpstr>
      <vt:lpstr>'413'!OSRRefH22_1x_0</vt:lpstr>
      <vt:lpstr>'414'!OSRRefH22_1x_0</vt:lpstr>
      <vt:lpstr>'415'!OSRRefH22_1x_0</vt:lpstr>
      <vt:lpstr>'418'!OSRRefH22_1x_0</vt:lpstr>
      <vt:lpstr>'420'!OSRRefH22_1x_0</vt:lpstr>
      <vt:lpstr>'423'!OSRRefH22_1x_0</vt:lpstr>
      <vt:lpstr>'424'!OSRRefH22_1x_0</vt:lpstr>
      <vt:lpstr>'425'!OSRRefH22_1x_0</vt:lpstr>
      <vt:lpstr>'430'!OSRRefH22_1x_0</vt:lpstr>
      <vt:lpstr>'433'!OSRRefH22_1x_0</vt:lpstr>
      <vt:lpstr>'435'!OSRRefH22_1x_0</vt:lpstr>
      <vt:lpstr>'444'!OSRRefH22_1x_0</vt:lpstr>
      <vt:lpstr>'450'!OSRRefH22_1x_0</vt:lpstr>
      <vt:lpstr>'455'!OSRRefH22_1x_0</vt:lpstr>
      <vt:lpstr>'491'!OSRRefH22_1x_0</vt:lpstr>
      <vt:lpstr>'492'!OSRRefH22_1x_0</vt:lpstr>
      <vt:lpstr>'501'!OSRRefH22_1x_0</vt:lpstr>
      <vt:lpstr>'Div 2'!OSRRefH22_1x_0</vt:lpstr>
      <vt:lpstr>'Div 3'!OSRRefH22_1x_0</vt:lpstr>
      <vt:lpstr>'Div 4'!OSRRefH22_1x_0</vt:lpstr>
      <vt:lpstr>'Div 5'!OSRRefH22_1x_0</vt:lpstr>
      <vt:lpstr>'Div 6'!OSRRefH22_1x_0</vt:lpstr>
      <vt:lpstr>Summary!OSRRefH22_1x_0</vt:lpstr>
      <vt:lpstr>'300'!OSRRefH22_20x_0</vt:lpstr>
      <vt:lpstr>'300 &amp; 317'!OSRRefH22_20x_0</vt:lpstr>
      <vt:lpstr>'301'!OSRRefH22_20x_0</vt:lpstr>
      <vt:lpstr>'310'!OSRRefH22_20x_0</vt:lpstr>
      <vt:lpstr>'310 &amp; 491'!OSRRefH22_20x_0</vt:lpstr>
      <vt:lpstr>'331'!OSRRefH22_20x_0</vt:lpstr>
      <vt:lpstr>'491'!OSRRefH22_20x_0</vt:lpstr>
      <vt:lpstr>'Div 3'!OSRRefH22_20x_0</vt:lpstr>
      <vt:lpstr>'Div 4'!OSRRefH22_20x_0</vt:lpstr>
      <vt:lpstr>Summary!OSRRefH22_20x_0</vt:lpstr>
      <vt:lpstr>'300'!OSRRefH22_21x_0</vt:lpstr>
      <vt:lpstr>'300 &amp; 317'!OSRRefH22_21x_0</vt:lpstr>
      <vt:lpstr>'301'!OSRRefH22_21x_0</vt:lpstr>
      <vt:lpstr>'310'!OSRRefH22_21x_0</vt:lpstr>
      <vt:lpstr>'310 &amp; 491'!OSRRefH22_21x_0</vt:lpstr>
      <vt:lpstr>'331'!OSRRefH22_21x_0</vt:lpstr>
      <vt:lpstr>'491'!OSRRefH22_21x_0</vt:lpstr>
      <vt:lpstr>'Div 3'!OSRRefH22_21x_0</vt:lpstr>
      <vt:lpstr>'Div 4'!OSRRefH22_21x_0</vt:lpstr>
      <vt:lpstr>Summary!OSRRefH22_21x_0</vt:lpstr>
      <vt:lpstr>'300'!OSRRefH22_22x_0</vt:lpstr>
      <vt:lpstr>'300 &amp; 317'!OSRRefH22_22x_0</vt:lpstr>
      <vt:lpstr>'301'!OSRRefH22_22x_0</vt:lpstr>
      <vt:lpstr>'310'!OSRRefH22_22x_0</vt:lpstr>
      <vt:lpstr>'310 &amp; 491'!OSRRefH22_22x_0</vt:lpstr>
      <vt:lpstr>'491'!OSRRefH22_22x_0</vt:lpstr>
      <vt:lpstr>'Div 3'!OSRRefH22_22x_0</vt:lpstr>
      <vt:lpstr>'Div 4'!OSRRefH22_22x_0</vt:lpstr>
      <vt:lpstr>Summary!OSRRefH22_22x_0</vt:lpstr>
      <vt:lpstr>'300'!OSRRefH22_23x_0</vt:lpstr>
      <vt:lpstr>'300 &amp; 317'!OSRRefH22_23x_0</vt:lpstr>
      <vt:lpstr>'301'!OSRRefH22_23x_0</vt:lpstr>
      <vt:lpstr>'310 &amp; 491'!OSRRefH22_23x_0</vt:lpstr>
      <vt:lpstr>'491'!OSRRefH22_23x_0</vt:lpstr>
      <vt:lpstr>'Div 3'!OSRRefH22_23x_0</vt:lpstr>
      <vt:lpstr>'Div 4'!OSRRefH22_23x_0</vt:lpstr>
      <vt:lpstr>Summary!OSRRefH22_23x_0</vt:lpstr>
      <vt:lpstr>'300'!OSRRefH22_24x_0</vt:lpstr>
      <vt:lpstr>'300 &amp; 317'!OSRRefH22_24x_0</vt:lpstr>
      <vt:lpstr>'310 &amp; 491'!OSRRefH22_24x_0</vt:lpstr>
      <vt:lpstr>'491'!OSRRefH22_24x_0</vt:lpstr>
      <vt:lpstr>'Div 3'!OSRRefH22_24x_0</vt:lpstr>
      <vt:lpstr>'Div 4'!OSRRefH22_24x_0</vt:lpstr>
      <vt:lpstr>Summary!OSRRefH22_24x_0</vt:lpstr>
      <vt:lpstr>'Div 3'!OSRRefH22_25x_0</vt:lpstr>
      <vt:lpstr>'Div 4'!OSRRefH22_25x_0</vt:lpstr>
      <vt:lpstr>Summary!OSRRefH22_25x_0</vt:lpstr>
      <vt:lpstr>Summary!OSRRefH22_26x_0</vt:lpstr>
      <vt:lpstr>'200'!OSRRefH22_2x_0</vt:lpstr>
      <vt:lpstr>'201'!OSRRefH22_2x_0</vt:lpstr>
      <vt:lpstr>'202'!OSRRefH22_2x_0</vt:lpstr>
      <vt:lpstr>'203'!OSRRefH22_2x_0</vt:lpstr>
      <vt:lpstr>'204'!OSRRefH22_2x_0</vt:lpstr>
      <vt:lpstr>'205'!OSRRefH22_2x_0</vt:lpstr>
      <vt:lpstr>'206'!OSRRefH22_2x_0</vt:lpstr>
      <vt:lpstr>'300'!OSRRefH22_2x_0</vt:lpstr>
      <vt:lpstr>'300 &amp; 317'!OSRRefH22_2x_0</vt:lpstr>
      <vt:lpstr>'301'!OSRRefH22_2x_0</vt:lpstr>
      <vt:lpstr>'306'!OSRRefH22_2x_0</vt:lpstr>
      <vt:lpstr>'307'!OSRRefH22_2x_0</vt:lpstr>
      <vt:lpstr>'308'!OSRRefH22_2x_0</vt:lpstr>
      <vt:lpstr>'309'!OSRRefH22_2x_0</vt:lpstr>
      <vt:lpstr>'310'!OSRRefH22_2x_0</vt:lpstr>
      <vt:lpstr>'310 &amp; 491'!OSRRefH22_2x_0</vt:lpstr>
      <vt:lpstr>'311'!OSRRefH22_2x_0</vt:lpstr>
      <vt:lpstr>'313'!OSRRefH22_2x_0</vt:lpstr>
      <vt:lpstr>'314'!OSRRefH22_2x_0</vt:lpstr>
      <vt:lpstr>'315'!OSRRefH22_2x_0</vt:lpstr>
      <vt:lpstr>'316'!OSRRefH22_2x_0</vt:lpstr>
      <vt:lpstr>'317'!OSRRefH22_2x_0</vt:lpstr>
      <vt:lpstr>'320'!OSRRefH22_2x_0</vt:lpstr>
      <vt:lpstr>'321'!OSRRefH22_2x_0</vt:lpstr>
      <vt:lpstr>'322'!OSRRefH22_2x_0</vt:lpstr>
      <vt:lpstr>'325'!OSRRefH22_2x_0</vt:lpstr>
      <vt:lpstr>'326'!OSRRefH22_2x_0</vt:lpstr>
      <vt:lpstr>'327'!OSRRefH22_2x_0</vt:lpstr>
      <vt:lpstr>'330'!OSRRefH22_2x_0</vt:lpstr>
      <vt:lpstr>'331'!OSRRefH22_2x_0</vt:lpstr>
      <vt:lpstr>'332'!OSRRefH22_2x_0</vt:lpstr>
      <vt:lpstr>'405'!OSRRefH22_2x_0</vt:lpstr>
      <vt:lpstr>'406'!OSRRefH22_2x_0</vt:lpstr>
      <vt:lpstr>'411'!OSRRefH22_2x_0</vt:lpstr>
      <vt:lpstr>'412'!OSRRefH22_2x_0</vt:lpstr>
      <vt:lpstr>'413'!OSRRefH22_2x_0</vt:lpstr>
      <vt:lpstr>'414'!OSRRefH22_2x_0</vt:lpstr>
      <vt:lpstr>'415'!OSRRefH22_2x_0</vt:lpstr>
      <vt:lpstr>'418'!OSRRefH22_2x_0</vt:lpstr>
      <vt:lpstr>'420'!OSRRefH22_2x_0</vt:lpstr>
      <vt:lpstr>'423'!OSRRefH22_2x_0</vt:lpstr>
      <vt:lpstr>'424'!OSRRefH22_2x_0</vt:lpstr>
      <vt:lpstr>'425'!OSRRefH22_2x_0</vt:lpstr>
      <vt:lpstr>'430'!OSRRefH22_2x_0</vt:lpstr>
      <vt:lpstr>'433'!OSRRefH22_2x_0</vt:lpstr>
      <vt:lpstr>'435'!OSRRefH22_2x_0</vt:lpstr>
      <vt:lpstr>'444'!OSRRefH22_2x_0</vt:lpstr>
      <vt:lpstr>'450'!OSRRefH22_2x_0</vt:lpstr>
      <vt:lpstr>'491'!OSRRefH22_2x_0</vt:lpstr>
      <vt:lpstr>'492'!OSRRefH22_2x_0</vt:lpstr>
      <vt:lpstr>'501'!OSRRefH22_2x_0</vt:lpstr>
      <vt:lpstr>'Div 2'!OSRRefH22_2x_0</vt:lpstr>
      <vt:lpstr>'Div 3'!OSRRefH22_2x_0</vt:lpstr>
      <vt:lpstr>'Div 4'!OSRRefH22_2x_0</vt:lpstr>
      <vt:lpstr>'Div 5'!OSRRefH22_2x_0</vt:lpstr>
      <vt:lpstr>'Div 6'!OSRRefH22_2x_0</vt:lpstr>
      <vt:lpstr>Summary!OSRRefH22_2x_0</vt:lpstr>
      <vt:lpstr>'200'!OSRRefH22_3x_0</vt:lpstr>
      <vt:lpstr>'201'!OSRRefH22_3x_0</vt:lpstr>
      <vt:lpstr>'202'!OSRRefH22_3x_0</vt:lpstr>
      <vt:lpstr>'203'!OSRRefH22_3x_0</vt:lpstr>
      <vt:lpstr>'204'!OSRRefH22_3x_0</vt:lpstr>
      <vt:lpstr>'205'!OSRRefH22_3x_0</vt:lpstr>
      <vt:lpstr>'206'!OSRRefH22_3x_0</vt:lpstr>
      <vt:lpstr>'300'!OSRRefH22_3x_0</vt:lpstr>
      <vt:lpstr>'300 &amp; 317'!OSRRefH22_3x_0</vt:lpstr>
      <vt:lpstr>'301'!OSRRefH22_3x_0</vt:lpstr>
      <vt:lpstr>'306'!OSRRefH22_3x_0</vt:lpstr>
      <vt:lpstr>'307'!OSRRefH22_3x_0</vt:lpstr>
      <vt:lpstr>'308'!OSRRefH22_3x_0</vt:lpstr>
      <vt:lpstr>'309'!OSRRefH22_3x_0</vt:lpstr>
      <vt:lpstr>'310'!OSRRefH22_3x_0</vt:lpstr>
      <vt:lpstr>'310 &amp; 491'!OSRRefH22_3x_0</vt:lpstr>
      <vt:lpstr>'311'!OSRRefH22_3x_0</vt:lpstr>
      <vt:lpstr>'313'!OSRRefH22_3x_0</vt:lpstr>
      <vt:lpstr>'314'!OSRRefH22_3x_0</vt:lpstr>
      <vt:lpstr>'315'!OSRRefH22_3x_0</vt:lpstr>
      <vt:lpstr>'316'!OSRRefH22_3x_0</vt:lpstr>
      <vt:lpstr>'317'!OSRRefH22_3x_0</vt:lpstr>
      <vt:lpstr>'320'!OSRRefH22_3x_0</vt:lpstr>
      <vt:lpstr>'321'!OSRRefH22_3x_0</vt:lpstr>
      <vt:lpstr>'322'!OSRRefH22_3x_0</vt:lpstr>
      <vt:lpstr>'325'!OSRRefH22_3x_0</vt:lpstr>
      <vt:lpstr>'326'!OSRRefH22_3x_0</vt:lpstr>
      <vt:lpstr>'330'!OSRRefH22_3x_0</vt:lpstr>
      <vt:lpstr>'331'!OSRRefH22_3x_0</vt:lpstr>
      <vt:lpstr>'332'!OSRRefH22_3x_0</vt:lpstr>
      <vt:lpstr>'405'!OSRRefH22_3x_0</vt:lpstr>
      <vt:lpstr>'406'!OSRRefH22_3x_0</vt:lpstr>
      <vt:lpstr>'411'!OSRRefH22_3x_0</vt:lpstr>
      <vt:lpstr>'412'!OSRRefH22_3x_0</vt:lpstr>
      <vt:lpstr>'413'!OSRRefH22_3x_0</vt:lpstr>
      <vt:lpstr>'414'!OSRRefH22_3x_0</vt:lpstr>
      <vt:lpstr>'415'!OSRRefH22_3x_0</vt:lpstr>
      <vt:lpstr>'418'!OSRRefH22_3x_0</vt:lpstr>
      <vt:lpstr>'420'!OSRRefH22_3x_0</vt:lpstr>
      <vt:lpstr>'423'!OSRRefH22_3x_0</vt:lpstr>
      <vt:lpstr>'424'!OSRRefH22_3x_0</vt:lpstr>
      <vt:lpstr>'425'!OSRRefH22_3x_0</vt:lpstr>
      <vt:lpstr>'430'!OSRRefH22_3x_0</vt:lpstr>
      <vt:lpstr>'433'!OSRRefH22_3x_0</vt:lpstr>
      <vt:lpstr>'435'!OSRRefH22_3x_0</vt:lpstr>
      <vt:lpstr>'444'!OSRRefH22_3x_0</vt:lpstr>
      <vt:lpstr>'450'!OSRRefH22_3x_0</vt:lpstr>
      <vt:lpstr>'491'!OSRRefH22_3x_0</vt:lpstr>
      <vt:lpstr>'492'!OSRRefH22_3x_0</vt:lpstr>
      <vt:lpstr>'501'!OSRRefH22_3x_0</vt:lpstr>
      <vt:lpstr>'Div 2'!OSRRefH22_3x_0</vt:lpstr>
      <vt:lpstr>'Div 3'!OSRRefH22_3x_0</vt:lpstr>
      <vt:lpstr>'Div 4'!OSRRefH22_3x_0</vt:lpstr>
      <vt:lpstr>'Div 5'!OSRRefH22_3x_0</vt:lpstr>
      <vt:lpstr>'Div 6'!OSRRefH22_3x_0</vt:lpstr>
      <vt:lpstr>Summary!OSRRefH22_3x_0</vt:lpstr>
      <vt:lpstr>'200'!OSRRefH22_4x_0</vt:lpstr>
      <vt:lpstr>'201'!OSRRefH22_4x_0</vt:lpstr>
      <vt:lpstr>'202'!OSRRefH22_4x_0</vt:lpstr>
      <vt:lpstr>'203'!OSRRefH22_4x_0</vt:lpstr>
      <vt:lpstr>'204'!OSRRefH22_4x_0</vt:lpstr>
      <vt:lpstr>'205'!OSRRefH22_4x_0</vt:lpstr>
      <vt:lpstr>'206'!OSRRefH22_4x_0</vt:lpstr>
      <vt:lpstr>'300'!OSRRefH22_4x_0</vt:lpstr>
      <vt:lpstr>'300 &amp; 317'!OSRRefH22_4x_0</vt:lpstr>
      <vt:lpstr>'301'!OSRRefH22_4x_0</vt:lpstr>
      <vt:lpstr>'306'!OSRRefH22_4x_0</vt:lpstr>
      <vt:lpstr>'307'!OSRRefH22_4x_0</vt:lpstr>
      <vt:lpstr>'308'!OSRRefH22_4x_0</vt:lpstr>
      <vt:lpstr>'309'!OSRRefH22_4x_0</vt:lpstr>
      <vt:lpstr>'310'!OSRRefH22_4x_0</vt:lpstr>
      <vt:lpstr>'310 &amp; 491'!OSRRefH22_4x_0</vt:lpstr>
      <vt:lpstr>'311'!OSRRefH22_4x_0</vt:lpstr>
      <vt:lpstr>'313'!OSRRefH22_4x_0</vt:lpstr>
      <vt:lpstr>'314'!OSRRefH22_4x_0</vt:lpstr>
      <vt:lpstr>'315'!OSRRefH22_4x_0</vt:lpstr>
      <vt:lpstr>'316'!OSRRefH22_4x_0</vt:lpstr>
      <vt:lpstr>'317'!OSRRefH22_4x_0</vt:lpstr>
      <vt:lpstr>'320'!OSRRefH22_4x_0</vt:lpstr>
      <vt:lpstr>'321'!OSRRefH22_4x_0</vt:lpstr>
      <vt:lpstr>'322'!OSRRefH22_4x_0</vt:lpstr>
      <vt:lpstr>'325'!OSRRefH22_4x_0</vt:lpstr>
      <vt:lpstr>'326'!OSRRefH22_4x_0</vt:lpstr>
      <vt:lpstr>'330'!OSRRefH22_4x_0</vt:lpstr>
      <vt:lpstr>'331'!OSRRefH22_4x_0</vt:lpstr>
      <vt:lpstr>'332'!OSRRefH22_4x_0</vt:lpstr>
      <vt:lpstr>'405'!OSRRefH22_4x_0</vt:lpstr>
      <vt:lpstr>'406'!OSRRefH22_4x_0</vt:lpstr>
      <vt:lpstr>'411'!OSRRefH22_4x_0</vt:lpstr>
      <vt:lpstr>'412'!OSRRefH22_4x_0</vt:lpstr>
      <vt:lpstr>'413'!OSRRefH22_4x_0</vt:lpstr>
      <vt:lpstr>'414'!OSRRefH22_4x_0</vt:lpstr>
      <vt:lpstr>'415'!OSRRefH22_4x_0</vt:lpstr>
      <vt:lpstr>'418'!OSRRefH22_4x_0</vt:lpstr>
      <vt:lpstr>'420'!OSRRefH22_4x_0</vt:lpstr>
      <vt:lpstr>'423'!OSRRefH22_4x_0</vt:lpstr>
      <vt:lpstr>'424'!OSRRefH22_4x_0</vt:lpstr>
      <vt:lpstr>'425'!OSRRefH22_4x_0</vt:lpstr>
      <vt:lpstr>'430'!OSRRefH22_4x_0</vt:lpstr>
      <vt:lpstr>'433'!OSRRefH22_4x_0</vt:lpstr>
      <vt:lpstr>'435'!OSRRefH22_4x_0</vt:lpstr>
      <vt:lpstr>'444'!OSRRefH22_4x_0</vt:lpstr>
      <vt:lpstr>'450'!OSRRefH22_4x_0</vt:lpstr>
      <vt:lpstr>'491'!OSRRefH22_4x_0</vt:lpstr>
      <vt:lpstr>'492'!OSRRefH22_4x_0</vt:lpstr>
      <vt:lpstr>'501'!OSRRefH22_4x_0</vt:lpstr>
      <vt:lpstr>'Div 2'!OSRRefH22_4x_0</vt:lpstr>
      <vt:lpstr>'Div 3'!OSRRefH22_4x_0</vt:lpstr>
      <vt:lpstr>'Div 4'!OSRRefH22_4x_0</vt:lpstr>
      <vt:lpstr>'Div 5'!OSRRefH22_4x_0</vt:lpstr>
      <vt:lpstr>'Div 6'!OSRRefH22_4x_0</vt:lpstr>
      <vt:lpstr>Summary!OSRRefH22_4x_0</vt:lpstr>
      <vt:lpstr>'201'!OSRRefH22_5x_0</vt:lpstr>
      <vt:lpstr>'202'!OSRRefH22_5x_0</vt:lpstr>
      <vt:lpstr>'203'!OSRRefH22_5x_0</vt:lpstr>
      <vt:lpstr>'204'!OSRRefH22_5x_0</vt:lpstr>
      <vt:lpstr>'205'!OSRRefH22_5x_0</vt:lpstr>
      <vt:lpstr>'206'!OSRRefH22_5x_0</vt:lpstr>
      <vt:lpstr>'300'!OSRRefH22_5x_0</vt:lpstr>
      <vt:lpstr>'300 &amp; 317'!OSRRefH22_5x_0</vt:lpstr>
      <vt:lpstr>'301'!OSRRefH22_5x_0</vt:lpstr>
      <vt:lpstr>'306'!OSRRefH22_5x_0</vt:lpstr>
      <vt:lpstr>'307'!OSRRefH22_5x_0</vt:lpstr>
      <vt:lpstr>'308'!OSRRefH22_5x_0</vt:lpstr>
      <vt:lpstr>'309'!OSRRefH22_5x_0</vt:lpstr>
      <vt:lpstr>'310'!OSRRefH22_5x_0</vt:lpstr>
      <vt:lpstr>'310 &amp; 491'!OSRRefH22_5x_0</vt:lpstr>
      <vt:lpstr>'311'!OSRRefH22_5x_0</vt:lpstr>
      <vt:lpstr>'313'!OSRRefH22_5x_0</vt:lpstr>
      <vt:lpstr>'314'!OSRRefH22_5x_0</vt:lpstr>
      <vt:lpstr>'315'!OSRRefH22_5x_0</vt:lpstr>
      <vt:lpstr>'316'!OSRRefH22_5x_0</vt:lpstr>
      <vt:lpstr>'317'!OSRRefH22_5x_0</vt:lpstr>
      <vt:lpstr>'320'!OSRRefH22_5x_0</vt:lpstr>
      <vt:lpstr>'321'!OSRRefH22_5x_0</vt:lpstr>
      <vt:lpstr>'322'!OSRRefH22_5x_0</vt:lpstr>
      <vt:lpstr>'325'!OSRRefH22_5x_0</vt:lpstr>
      <vt:lpstr>'326'!OSRRefH22_5x_0</vt:lpstr>
      <vt:lpstr>'330'!OSRRefH22_5x_0</vt:lpstr>
      <vt:lpstr>'331'!OSRRefH22_5x_0</vt:lpstr>
      <vt:lpstr>'332'!OSRRefH22_5x_0</vt:lpstr>
      <vt:lpstr>'405'!OSRRefH22_5x_0</vt:lpstr>
      <vt:lpstr>'406'!OSRRefH22_5x_0</vt:lpstr>
      <vt:lpstr>'411'!OSRRefH22_5x_0</vt:lpstr>
      <vt:lpstr>'412'!OSRRefH22_5x_0</vt:lpstr>
      <vt:lpstr>'413'!OSRRefH22_5x_0</vt:lpstr>
      <vt:lpstr>'414'!OSRRefH22_5x_0</vt:lpstr>
      <vt:lpstr>'415'!OSRRefH22_5x_0</vt:lpstr>
      <vt:lpstr>'418'!OSRRefH22_5x_0</vt:lpstr>
      <vt:lpstr>'420'!OSRRefH22_5x_0</vt:lpstr>
      <vt:lpstr>'423'!OSRRefH22_5x_0</vt:lpstr>
      <vt:lpstr>'424'!OSRRefH22_5x_0</vt:lpstr>
      <vt:lpstr>'425'!OSRRefH22_5x_0</vt:lpstr>
      <vt:lpstr>'430'!OSRRefH22_5x_0</vt:lpstr>
      <vt:lpstr>'433'!OSRRefH22_5x_0</vt:lpstr>
      <vt:lpstr>'435'!OSRRefH22_5x_0</vt:lpstr>
      <vt:lpstr>'444'!OSRRefH22_5x_0</vt:lpstr>
      <vt:lpstr>'450'!OSRRefH22_5x_0</vt:lpstr>
      <vt:lpstr>'491'!OSRRefH22_5x_0</vt:lpstr>
      <vt:lpstr>'492'!OSRRefH22_5x_0</vt:lpstr>
      <vt:lpstr>'501'!OSRRefH22_5x_0</vt:lpstr>
      <vt:lpstr>'Div 2'!OSRRefH22_5x_0</vt:lpstr>
      <vt:lpstr>'Div 3'!OSRRefH22_5x_0</vt:lpstr>
      <vt:lpstr>'Div 4'!OSRRefH22_5x_0</vt:lpstr>
      <vt:lpstr>'Div 5'!OSRRefH22_5x_0</vt:lpstr>
      <vt:lpstr>'Div 6'!OSRRefH22_5x_0</vt:lpstr>
      <vt:lpstr>Summary!OSRRefH22_5x_0</vt:lpstr>
      <vt:lpstr>'201'!OSRRefH22_6x_0</vt:lpstr>
      <vt:lpstr>'202'!OSRRefH22_6x_0</vt:lpstr>
      <vt:lpstr>'203'!OSRRefH22_6x_0</vt:lpstr>
      <vt:lpstr>'204'!OSRRefH22_6x_0</vt:lpstr>
      <vt:lpstr>'205'!OSRRefH22_6x_0</vt:lpstr>
      <vt:lpstr>'206'!OSRRefH22_6x_0</vt:lpstr>
      <vt:lpstr>'300'!OSRRefH22_6x_0</vt:lpstr>
      <vt:lpstr>'300 &amp; 317'!OSRRefH22_6x_0</vt:lpstr>
      <vt:lpstr>'301'!OSRRefH22_6x_0</vt:lpstr>
      <vt:lpstr>'306'!OSRRefH22_6x_0</vt:lpstr>
      <vt:lpstr>'307'!OSRRefH22_6x_0</vt:lpstr>
      <vt:lpstr>'308'!OSRRefH22_6x_0</vt:lpstr>
      <vt:lpstr>'309'!OSRRefH22_6x_0</vt:lpstr>
      <vt:lpstr>'310'!OSRRefH22_6x_0</vt:lpstr>
      <vt:lpstr>'310 &amp; 491'!OSRRefH22_6x_0</vt:lpstr>
      <vt:lpstr>'311'!OSRRefH22_6x_0</vt:lpstr>
      <vt:lpstr>'313'!OSRRefH22_6x_0</vt:lpstr>
      <vt:lpstr>'314'!OSRRefH22_6x_0</vt:lpstr>
      <vt:lpstr>'315'!OSRRefH22_6x_0</vt:lpstr>
      <vt:lpstr>'316'!OSRRefH22_6x_0</vt:lpstr>
      <vt:lpstr>'317'!OSRRefH22_6x_0</vt:lpstr>
      <vt:lpstr>'320'!OSRRefH22_6x_0</vt:lpstr>
      <vt:lpstr>'321'!OSRRefH22_6x_0</vt:lpstr>
      <vt:lpstr>'322'!OSRRefH22_6x_0</vt:lpstr>
      <vt:lpstr>'325'!OSRRefH22_6x_0</vt:lpstr>
      <vt:lpstr>'326'!OSRRefH22_6x_0</vt:lpstr>
      <vt:lpstr>'330'!OSRRefH22_6x_0</vt:lpstr>
      <vt:lpstr>'331'!OSRRefH22_6x_0</vt:lpstr>
      <vt:lpstr>'332'!OSRRefH22_6x_0</vt:lpstr>
      <vt:lpstr>'405'!OSRRefH22_6x_0</vt:lpstr>
      <vt:lpstr>'406'!OSRRefH22_6x_0</vt:lpstr>
      <vt:lpstr>'411'!OSRRefH22_6x_0</vt:lpstr>
      <vt:lpstr>'412'!OSRRefH22_6x_0</vt:lpstr>
      <vt:lpstr>'413'!OSRRefH22_6x_0</vt:lpstr>
      <vt:lpstr>'414'!OSRRefH22_6x_0</vt:lpstr>
      <vt:lpstr>'415'!OSRRefH22_6x_0</vt:lpstr>
      <vt:lpstr>'418'!OSRRefH22_6x_0</vt:lpstr>
      <vt:lpstr>'420'!OSRRefH22_6x_0</vt:lpstr>
      <vt:lpstr>'423'!OSRRefH22_6x_0</vt:lpstr>
      <vt:lpstr>'424'!OSRRefH22_6x_0</vt:lpstr>
      <vt:lpstr>'425'!OSRRefH22_6x_0</vt:lpstr>
      <vt:lpstr>'430'!OSRRefH22_6x_0</vt:lpstr>
      <vt:lpstr>'433'!OSRRefH22_6x_0</vt:lpstr>
      <vt:lpstr>'435'!OSRRefH22_6x_0</vt:lpstr>
      <vt:lpstr>'444'!OSRRefH22_6x_0</vt:lpstr>
      <vt:lpstr>'450'!OSRRefH22_6x_0</vt:lpstr>
      <vt:lpstr>'491'!OSRRefH22_6x_0</vt:lpstr>
      <vt:lpstr>'492'!OSRRefH22_6x_0</vt:lpstr>
      <vt:lpstr>'501'!OSRRefH22_6x_0</vt:lpstr>
      <vt:lpstr>'Div 2'!OSRRefH22_6x_0</vt:lpstr>
      <vt:lpstr>'Div 3'!OSRRefH22_6x_0</vt:lpstr>
      <vt:lpstr>'Div 4'!OSRRefH22_6x_0</vt:lpstr>
      <vt:lpstr>'Div 5'!OSRRefH22_6x_0</vt:lpstr>
      <vt:lpstr>'Div 6'!OSRRefH22_6x_0</vt:lpstr>
      <vt:lpstr>Summary!OSRRefH22_6x_0</vt:lpstr>
      <vt:lpstr>'201'!OSRRefH22_7x_0</vt:lpstr>
      <vt:lpstr>'202'!OSRRefH22_7x_0</vt:lpstr>
      <vt:lpstr>'203'!OSRRefH22_7x_0</vt:lpstr>
      <vt:lpstr>'204'!OSRRefH22_7x_0</vt:lpstr>
      <vt:lpstr>'205'!OSRRefH22_7x_0</vt:lpstr>
      <vt:lpstr>'206'!OSRRefH22_7x_0</vt:lpstr>
      <vt:lpstr>'300'!OSRRefH22_7x_0</vt:lpstr>
      <vt:lpstr>'300 &amp; 317'!OSRRefH22_7x_0</vt:lpstr>
      <vt:lpstr>'301'!OSRRefH22_7x_0</vt:lpstr>
      <vt:lpstr>'306'!OSRRefH22_7x_0</vt:lpstr>
      <vt:lpstr>'307'!OSRRefH22_7x_0</vt:lpstr>
      <vt:lpstr>'308'!OSRRefH22_7x_0</vt:lpstr>
      <vt:lpstr>'309'!OSRRefH22_7x_0</vt:lpstr>
      <vt:lpstr>'310'!OSRRefH22_7x_0</vt:lpstr>
      <vt:lpstr>'310 &amp; 491'!OSRRefH22_7x_0</vt:lpstr>
      <vt:lpstr>'311'!OSRRefH22_7x_0</vt:lpstr>
      <vt:lpstr>'313'!OSRRefH22_7x_0</vt:lpstr>
      <vt:lpstr>'314'!OSRRefH22_7x_0</vt:lpstr>
      <vt:lpstr>'315'!OSRRefH22_7x_0</vt:lpstr>
      <vt:lpstr>'316'!OSRRefH22_7x_0</vt:lpstr>
      <vt:lpstr>'317'!OSRRefH22_7x_0</vt:lpstr>
      <vt:lpstr>'320'!OSRRefH22_7x_0</vt:lpstr>
      <vt:lpstr>'321'!OSRRefH22_7x_0</vt:lpstr>
      <vt:lpstr>'322'!OSRRefH22_7x_0</vt:lpstr>
      <vt:lpstr>'325'!OSRRefH22_7x_0</vt:lpstr>
      <vt:lpstr>'326'!OSRRefH22_7x_0</vt:lpstr>
      <vt:lpstr>'330'!OSRRefH22_7x_0</vt:lpstr>
      <vt:lpstr>'331'!OSRRefH22_7x_0</vt:lpstr>
      <vt:lpstr>'332'!OSRRefH22_7x_0</vt:lpstr>
      <vt:lpstr>'405'!OSRRefH22_7x_0</vt:lpstr>
      <vt:lpstr>'406'!OSRRefH22_7x_0</vt:lpstr>
      <vt:lpstr>'411'!OSRRefH22_7x_0</vt:lpstr>
      <vt:lpstr>'412'!OSRRefH22_7x_0</vt:lpstr>
      <vt:lpstr>'413'!OSRRefH22_7x_0</vt:lpstr>
      <vt:lpstr>'414'!OSRRefH22_7x_0</vt:lpstr>
      <vt:lpstr>'415'!OSRRefH22_7x_0</vt:lpstr>
      <vt:lpstr>'418'!OSRRefH22_7x_0</vt:lpstr>
      <vt:lpstr>'420'!OSRRefH22_7x_0</vt:lpstr>
      <vt:lpstr>'424'!OSRRefH22_7x_0</vt:lpstr>
      <vt:lpstr>'425'!OSRRefH22_7x_0</vt:lpstr>
      <vt:lpstr>'430'!OSRRefH22_7x_0</vt:lpstr>
      <vt:lpstr>'433'!OSRRefH22_7x_0</vt:lpstr>
      <vt:lpstr>'435'!OSRRefH22_7x_0</vt:lpstr>
      <vt:lpstr>'444'!OSRRefH22_7x_0</vt:lpstr>
      <vt:lpstr>'450'!OSRRefH22_7x_0</vt:lpstr>
      <vt:lpstr>'491'!OSRRefH22_7x_0</vt:lpstr>
      <vt:lpstr>'492'!OSRRefH22_7x_0</vt:lpstr>
      <vt:lpstr>'501'!OSRRefH22_7x_0</vt:lpstr>
      <vt:lpstr>'Div 2'!OSRRefH22_7x_0</vt:lpstr>
      <vt:lpstr>'Div 3'!OSRRefH22_7x_0</vt:lpstr>
      <vt:lpstr>'Div 4'!OSRRefH22_7x_0</vt:lpstr>
      <vt:lpstr>'Div 5'!OSRRefH22_7x_0</vt:lpstr>
      <vt:lpstr>'Div 6'!OSRRefH22_7x_0</vt:lpstr>
      <vt:lpstr>Summary!OSRRefH22_7x_0</vt:lpstr>
      <vt:lpstr>'201'!OSRRefH22_8x_0</vt:lpstr>
      <vt:lpstr>'202'!OSRRefH22_8x_0</vt:lpstr>
      <vt:lpstr>'203'!OSRRefH22_8x_0</vt:lpstr>
      <vt:lpstr>'204'!OSRRefH22_8x_0</vt:lpstr>
      <vt:lpstr>'205'!OSRRefH22_8x_0</vt:lpstr>
      <vt:lpstr>'206'!OSRRefH22_8x_0</vt:lpstr>
      <vt:lpstr>'300'!OSRRefH22_8x_0</vt:lpstr>
      <vt:lpstr>'300 &amp; 317'!OSRRefH22_8x_0</vt:lpstr>
      <vt:lpstr>'301'!OSRRefH22_8x_0</vt:lpstr>
      <vt:lpstr>'306'!OSRRefH22_8x_0</vt:lpstr>
      <vt:lpstr>'307'!OSRRefH22_8x_0</vt:lpstr>
      <vt:lpstr>'308'!OSRRefH22_8x_0</vt:lpstr>
      <vt:lpstr>'309'!OSRRefH22_8x_0</vt:lpstr>
      <vt:lpstr>'310'!OSRRefH22_8x_0</vt:lpstr>
      <vt:lpstr>'310 &amp; 491'!OSRRefH22_8x_0</vt:lpstr>
      <vt:lpstr>'311'!OSRRefH22_8x_0</vt:lpstr>
      <vt:lpstr>'313'!OSRRefH22_8x_0</vt:lpstr>
      <vt:lpstr>'314'!OSRRefH22_8x_0</vt:lpstr>
      <vt:lpstr>'315'!OSRRefH22_8x_0</vt:lpstr>
      <vt:lpstr>'316'!OSRRefH22_8x_0</vt:lpstr>
      <vt:lpstr>'317'!OSRRefH22_8x_0</vt:lpstr>
      <vt:lpstr>'320'!OSRRefH22_8x_0</vt:lpstr>
      <vt:lpstr>'321'!OSRRefH22_8x_0</vt:lpstr>
      <vt:lpstr>'322'!OSRRefH22_8x_0</vt:lpstr>
      <vt:lpstr>'325'!OSRRefH22_8x_0</vt:lpstr>
      <vt:lpstr>'326'!OSRRefH22_8x_0</vt:lpstr>
      <vt:lpstr>'330'!OSRRefH22_8x_0</vt:lpstr>
      <vt:lpstr>'331'!OSRRefH22_8x_0</vt:lpstr>
      <vt:lpstr>'332'!OSRRefH22_8x_0</vt:lpstr>
      <vt:lpstr>'405'!OSRRefH22_8x_0</vt:lpstr>
      <vt:lpstr>'406'!OSRRefH22_8x_0</vt:lpstr>
      <vt:lpstr>'411'!OSRRefH22_8x_0</vt:lpstr>
      <vt:lpstr>'412'!OSRRefH22_8x_0</vt:lpstr>
      <vt:lpstr>'413'!OSRRefH22_8x_0</vt:lpstr>
      <vt:lpstr>'414'!OSRRefH22_8x_0</vt:lpstr>
      <vt:lpstr>'415'!OSRRefH22_8x_0</vt:lpstr>
      <vt:lpstr>'418'!OSRRefH22_8x_0</vt:lpstr>
      <vt:lpstr>'424'!OSRRefH22_8x_0</vt:lpstr>
      <vt:lpstr>'425'!OSRRefH22_8x_0</vt:lpstr>
      <vt:lpstr>'433'!OSRRefH22_8x_0</vt:lpstr>
      <vt:lpstr>'435'!OSRRefH22_8x_0</vt:lpstr>
      <vt:lpstr>'444'!OSRRefH22_8x_0</vt:lpstr>
      <vt:lpstr>'450'!OSRRefH22_8x_0</vt:lpstr>
      <vt:lpstr>'491'!OSRRefH22_8x_0</vt:lpstr>
      <vt:lpstr>'492'!OSRRefH22_8x_0</vt:lpstr>
      <vt:lpstr>'501'!OSRRefH22_8x_0</vt:lpstr>
      <vt:lpstr>'Div 2'!OSRRefH22_8x_0</vt:lpstr>
      <vt:lpstr>'Div 3'!OSRRefH22_8x_0</vt:lpstr>
      <vt:lpstr>'Div 4'!OSRRefH22_8x_0</vt:lpstr>
      <vt:lpstr>'Div 5'!OSRRefH22_8x_0</vt:lpstr>
      <vt:lpstr>'Div 6'!OSRRefH22_8x_0</vt:lpstr>
      <vt:lpstr>Summary!OSRRefH22_8x_0</vt:lpstr>
      <vt:lpstr>'201'!OSRRefH22_9x_0</vt:lpstr>
      <vt:lpstr>'202'!OSRRefH22_9x_0</vt:lpstr>
      <vt:lpstr>'203'!OSRRefH22_9x_0</vt:lpstr>
      <vt:lpstr>'204'!OSRRefH22_9x_0</vt:lpstr>
      <vt:lpstr>'300'!OSRRefH22_9x_0</vt:lpstr>
      <vt:lpstr>'300 &amp; 317'!OSRRefH22_9x_0</vt:lpstr>
      <vt:lpstr>'301'!OSRRefH22_9x_0</vt:lpstr>
      <vt:lpstr>'306'!OSRRefH22_9x_0</vt:lpstr>
      <vt:lpstr>'307'!OSRRefH22_9x_0</vt:lpstr>
      <vt:lpstr>'308'!OSRRefH22_9x_0</vt:lpstr>
      <vt:lpstr>'309'!OSRRefH22_9x_0</vt:lpstr>
      <vt:lpstr>'310'!OSRRefH22_9x_0</vt:lpstr>
      <vt:lpstr>'310 &amp; 491'!OSRRefH22_9x_0</vt:lpstr>
      <vt:lpstr>'311'!OSRRefH22_9x_0</vt:lpstr>
      <vt:lpstr>'313'!OSRRefH22_9x_0</vt:lpstr>
      <vt:lpstr>'314'!OSRRefH22_9x_0</vt:lpstr>
      <vt:lpstr>'315'!OSRRefH22_9x_0</vt:lpstr>
      <vt:lpstr>'316'!OSRRefH22_9x_0</vt:lpstr>
      <vt:lpstr>'317'!OSRRefH22_9x_0</vt:lpstr>
      <vt:lpstr>'321'!OSRRefH22_9x_0</vt:lpstr>
      <vt:lpstr>'322'!OSRRefH22_9x_0</vt:lpstr>
      <vt:lpstr>'325'!OSRRefH22_9x_0</vt:lpstr>
      <vt:lpstr>'326'!OSRRefH22_9x_0</vt:lpstr>
      <vt:lpstr>'330'!OSRRefH22_9x_0</vt:lpstr>
      <vt:lpstr>'331'!OSRRefH22_9x_0</vt:lpstr>
      <vt:lpstr>'332'!OSRRefH22_9x_0</vt:lpstr>
      <vt:lpstr>'405'!OSRRefH22_9x_0</vt:lpstr>
      <vt:lpstr>'406'!OSRRefH22_9x_0</vt:lpstr>
      <vt:lpstr>'411'!OSRRefH22_9x_0</vt:lpstr>
      <vt:lpstr>'412'!OSRRefH22_9x_0</vt:lpstr>
      <vt:lpstr>'413'!OSRRefH22_9x_0</vt:lpstr>
      <vt:lpstr>'414'!OSRRefH22_9x_0</vt:lpstr>
      <vt:lpstr>'415'!OSRRefH22_9x_0</vt:lpstr>
      <vt:lpstr>'418'!OSRRefH22_9x_0</vt:lpstr>
      <vt:lpstr>'424'!OSRRefH22_9x_0</vt:lpstr>
      <vt:lpstr>'425'!OSRRefH22_9x_0</vt:lpstr>
      <vt:lpstr>'433'!OSRRefH22_9x_0</vt:lpstr>
      <vt:lpstr>'444'!OSRRefH22_9x_0</vt:lpstr>
      <vt:lpstr>'450'!OSRRefH22_9x_0</vt:lpstr>
      <vt:lpstr>'491'!OSRRefH22_9x_0</vt:lpstr>
      <vt:lpstr>'492'!OSRRefH22_9x_0</vt:lpstr>
      <vt:lpstr>'501'!OSRRefH22_9x_0</vt:lpstr>
      <vt:lpstr>'Div 2'!OSRRefH22_9x_0</vt:lpstr>
      <vt:lpstr>'Div 3'!OSRRefH22_9x_0</vt:lpstr>
      <vt:lpstr>'Div 4'!OSRRefH22_9x_0</vt:lpstr>
      <vt:lpstr>'Div 5'!OSRRefH22_9x_0</vt:lpstr>
      <vt:lpstr>'Div 6'!OSRRefH22_9x_0</vt:lpstr>
      <vt:lpstr>Summary!OSRRefH22_9x_0</vt:lpstr>
      <vt:lpstr>'200'!OSRRefH22x_0</vt:lpstr>
      <vt:lpstr>'201'!OSRRefH22x_0</vt:lpstr>
      <vt:lpstr>'202'!OSRRefH22x_0</vt:lpstr>
      <vt:lpstr>'203'!OSRRefH22x_0</vt:lpstr>
      <vt:lpstr>'204'!OSRRefH22x_0</vt:lpstr>
      <vt:lpstr>'205'!OSRRefH22x_0</vt:lpstr>
      <vt:lpstr>'206'!OSRRefH22x_0</vt:lpstr>
      <vt:lpstr>'300'!OSRRefH22x_0</vt:lpstr>
      <vt:lpstr>'300 &amp; 317'!OSRRefH22x_0</vt:lpstr>
      <vt:lpstr>'301'!OSRRefH22x_0</vt:lpstr>
      <vt:lpstr>'306'!OSRRefH22x_0</vt:lpstr>
      <vt:lpstr>'307'!OSRRefH22x_0</vt:lpstr>
      <vt:lpstr>'308'!OSRRefH22x_0</vt:lpstr>
      <vt:lpstr>'309'!OSRRefH22x_0</vt:lpstr>
      <vt:lpstr>'310'!OSRRefH22x_0</vt:lpstr>
      <vt:lpstr>'310 &amp; 491'!OSRRefH22x_0</vt:lpstr>
      <vt:lpstr>'311'!OSRRefH22x_0</vt:lpstr>
      <vt:lpstr>'313'!OSRRefH22x_0</vt:lpstr>
      <vt:lpstr>'314'!OSRRefH22x_0</vt:lpstr>
      <vt:lpstr>'315'!OSRRefH22x_0</vt:lpstr>
      <vt:lpstr>'316'!OSRRefH22x_0</vt:lpstr>
      <vt:lpstr>'317'!OSRRefH22x_0</vt:lpstr>
      <vt:lpstr>'320'!OSRRefH22x_0</vt:lpstr>
      <vt:lpstr>'321'!OSRRefH22x_0</vt:lpstr>
      <vt:lpstr>'322'!OSRRefH22x_0</vt:lpstr>
      <vt:lpstr>'325'!OSRRefH22x_0</vt:lpstr>
      <vt:lpstr>'326'!OSRRefH22x_0</vt:lpstr>
      <vt:lpstr>'327'!OSRRefH22x_0</vt:lpstr>
      <vt:lpstr>'330'!OSRRefH22x_0</vt:lpstr>
      <vt:lpstr>'331'!OSRRefH22x_0</vt:lpstr>
      <vt:lpstr>'332'!OSRRefH22x_0</vt:lpstr>
      <vt:lpstr>'405'!OSRRefH22x_0</vt:lpstr>
      <vt:lpstr>'406'!OSRRefH22x_0</vt:lpstr>
      <vt:lpstr>'411'!OSRRefH22x_0</vt:lpstr>
      <vt:lpstr>'412'!OSRRefH22x_0</vt:lpstr>
      <vt:lpstr>'413'!OSRRefH22x_0</vt:lpstr>
      <vt:lpstr>'414'!OSRRefH22x_0</vt:lpstr>
      <vt:lpstr>'415'!OSRRefH22x_0</vt:lpstr>
      <vt:lpstr>'418'!OSRRefH22x_0</vt:lpstr>
      <vt:lpstr>'420'!OSRRefH22x_0</vt:lpstr>
      <vt:lpstr>'423'!OSRRefH22x_0</vt:lpstr>
      <vt:lpstr>'424'!OSRRefH22x_0</vt:lpstr>
      <vt:lpstr>'425'!OSRRefH22x_0</vt:lpstr>
      <vt:lpstr>'430'!OSRRefH22x_0</vt:lpstr>
      <vt:lpstr>'433'!OSRRefH22x_0</vt:lpstr>
      <vt:lpstr>'435'!OSRRefH22x_0</vt:lpstr>
      <vt:lpstr>'444'!OSRRefH22x_0</vt:lpstr>
      <vt:lpstr>'450'!OSRRefH22x_0</vt:lpstr>
      <vt:lpstr>'455'!OSRRefH22x_0</vt:lpstr>
      <vt:lpstr>'491'!OSRRefH22x_0</vt:lpstr>
      <vt:lpstr>'492'!OSRRefH22x_0</vt:lpstr>
      <vt:lpstr>'501'!OSRRefH22x_0</vt:lpstr>
      <vt:lpstr>'Div 2'!OSRRefH22x_0</vt:lpstr>
      <vt:lpstr>'Div 3'!OSRRefH22x_0</vt:lpstr>
      <vt:lpstr>'Div 4'!OSRRefH22x_0</vt:lpstr>
      <vt:lpstr>'Div 5'!OSRRefH22x_0</vt:lpstr>
      <vt:lpstr>'Div 6'!OSRRefH22x_0</vt:lpstr>
      <vt:lpstr>Summary!OSRRefH22x_0</vt:lpstr>
      <vt:lpstr>'300'!OSRRefH25x_0</vt:lpstr>
      <vt:lpstr>'300 &amp; 317'!OSRRefH25x_0</vt:lpstr>
      <vt:lpstr>'301'!OSRRefH25x_0</vt:lpstr>
      <vt:lpstr>'307'!OSRRefH25x_0</vt:lpstr>
      <vt:lpstr>'308'!OSRRefH25x_0</vt:lpstr>
      <vt:lpstr>'310 &amp; 491'!OSRRefH25x_0</vt:lpstr>
      <vt:lpstr>'311'!OSRRefH25x_0</vt:lpstr>
      <vt:lpstr>'315'!OSRRefH25x_0</vt:lpstr>
      <vt:lpstr>'316'!OSRRefH25x_0</vt:lpstr>
      <vt:lpstr>'317'!OSRRefH25x_0</vt:lpstr>
      <vt:lpstr>'320'!OSRRefH25x_0</vt:lpstr>
      <vt:lpstr>'330'!OSRRefH25x_0</vt:lpstr>
      <vt:lpstr>'331'!OSRRefH25x_0</vt:lpstr>
      <vt:lpstr>'332'!OSRRefH25x_0</vt:lpstr>
      <vt:lpstr>'411'!OSRRefH25x_0</vt:lpstr>
      <vt:lpstr>'413'!OSRRefH25x_0</vt:lpstr>
      <vt:lpstr>'415'!OSRRefH25x_0</vt:lpstr>
      <vt:lpstr>'418'!OSRRefH25x_0</vt:lpstr>
      <vt:lpstr>'423'!OSRRefH25x_0</vt:lpstr>
      <vt:lpstr>'424'!OSRRefH25x_0</vt:lpstr>
      <vt:lpstr>'425'!OSRRefH25x_0</vt:lpstr>
      <vt:lpstr>'455'!OSRRefH25x_0</vt:lpstr>
      <vt:lpstr>'491'!OSRRefH25x_0</vt:lpstr>
      <vt:lpstr>'501'!OSRRefH25x_0</vt:lpstr>
      <vt:lpstr>'Div 3'!OSRRefH25x_0</vt:lpstr>
      <vt:lpstr>'Div 4'!OSRRefH25x_0</vt:lpstr>
      <vt:lpstr>'Div 5'!OSRRefH25x_0</vt:lpstr>
      <vt:lpstr>'Div 6'!OSRRefH25x_0</vt:lpstr>
      <vt:lpstr>Summary!OSRRefH25x_0</vt:lpstr>
      <vt:lpstr>'300'!OSRRefP13x_0</vt:lpstr>
      <vt:lpstr>'300 &amp; 317'!OSRRefP13x_0</vt:lpstr>
      <vt:lpstr>'307'!OSRRefP13x_0</vt:lpstr>
      <vt:lpstr>'308'!OSRRefP13x_0</vt:lpstr>
      <vt:lpstr>'309'!OSRRefP13x_0</vt:lpstr>
      <vt:lpstr>'310'!OSRRefP13x_0</vt:lpstr>
      <vt:lpstr>'310 &amp; 491'!OSRRefP13x_0</vt:lpstr>
      <vt:lpstr>'311'!OSRRefP13x_0</vt:lpstr>
      <vt:lpstr>'313'!OSRRefP13x_0</vt:lpstr>
      <vt:lpstr>'314'!OSRRefP13x_0</vt:lpstr>
      <vt:lpstr>'315'!OSRRefP13x_0</vt:lpstr>
      <vt:lpstr>'316'!OSRRefP13x_0</vt:lpstr>
      <vt:lpstr>'317'!OSRRefP13x_0</vt:lpstr>
      <vt:lpstr>'320'!OSRRefP13x_0</vt:lpstr>
      <vt:lpstr>'321'!OSRRefP13x_0</vt:lpstr>
      <vt:lpstr>'322'!OSRRefP13x_0</vt:lpstr>
      <vt:lpstr>'324'!OSRRefP13x_0</vt:lpstr>
      <vt:lpstr>'325'!OSRRefP13x_0</vt:lpstr>
      <vt:lpstr>'326'!OSRRefP13x_0</vt:lpstr>
      <vt:lpstr>'327'!OSRRefP13x_0</vt:lpstr>
      <vt:lpstr>'330'!OSRRefP13x_0</vt:lpstr>
      <vt:lpstr>'331'!OSRRefP13x_0</vt:lpstr>
      <vt:lpstr>'332'!OSRRefP13x_0</vt:lpstr>
      <vt:lpstr>'405'!OSRRefP13x_0</vt:lpstr>
      <vt:lpstr>'406'!OSRRefP13x_0</vt:lpstr>
      <vt:lpstr>'412'!OSRRefP13x_0</vt:lpstr>
      <vt:lpstr>'413'!OSRRefP13x_0</vt:lpstr>
      <vt:lpstr>'414'!OSRRefP13x_0</vt:lpstr>
      <vt:lpstr>'415'!OSRRefP13x_0</vt:lpstr>
      <vt:lpstr>'418'!OSRRefP13x_0</vt:lpstr>
      <vt:lpstr>'420'!OSRRefP13x_0</vt:lpstr>
      <vt:lpstr>'424'!OSRRefP13x_0</vt:lpstr>
      <vt:lpstr>'425'!OSRRefP13x_0</vt:lpstr>
      <vt:lpstr>'433'!OSRRefP13x_0</vt:lpstr>
      <vt:lpstr>'435'!OSRRefP13x_0</vt:lpstr>
      <vt:lpstr>'444'!OSRRefP13x_0</vt:lpstr>
      <vt:lpstr>'450'!OSRRefP13x_0</vt:lpstr>
      <vt:lpstr>'491'!OSRRefP13x_0</vt:lpstr>
      <vt:lpstr>'492'!OSRRefP13x_0</vt:lpstr>
      <vt:lpstr>'501'!OSRRefP13x_0</vt:lpstr>
      <vt:lpstr>'Div 3'!OSRRefP13x_0</vt:lpstr>
      <vt:lpstr>'Div 4'!OSRRefP13x_0</vt:lpstr>
      <vt:lpstr>'Div 5'!OSRRefP13x_0</vt:lpstr>
      <vt:lpstr>'Div 6'!OSRRefP13x_0</vt:lpstr>
      <vt:lpstr>Summary!OSRRefP13x_0</vt:lpstr>
      <vt:lpstr>'300'!OSRRefP16x_0</vt:lpstr>
      <vt:lpstr>'300 &amp; 317'!OSRRefP16x_0</vt:lpstr>
      <vt:lpstr>'301'!OSRRefP16x_0</vt:lpstr>
      <vt:lpstr>'307'!OSRRefP16x_0</vt:lpstr>
      <vt:lpstr>'308'!OSRRefP16x_0</vt:lpstr>
      <vt:lpstr>'309'!OSRRefP16x_0</vt:lpstr>
      <vt:lpstr>'310'!OSRRefP16x_0</vt:lpstr>
      <vt:lpstr>'310 &amp; 491'!OSRRefP16x_0</vt:lpstr>
      <vt:lpstr>'311'!OSRRefP16x_0</vt:lpstr>
      <vt:lpstr>'313'!OSRRefP16x_0</vt:lpstr>
      <vt:lpstr>'314'!OSRRefP16x_0</vt:lpstr>
      <vt:lpstr>'315'!OSRRefP16x_0</vt:lpstr>
      <vt:lpstr>'317'!OSRRefP16x_0</vt:lpstr>
      <vt:lpstr>'320'!OSRRefP16x_0</vt:lpstr>
      <vt:lpstr>'321'!OSRRefP16x_0</vt:lpstr>
      <vt:lpstr>'322'!OSRRefP16x_0</vt:lpstr>
      <vt:lpstr>'324'!OSRRefP16x_0</vt:lpstr>
      <vt:lpstr>'325'!OSRRefP16x_0</vt:lpstr>
      <vt:lpstr>'326'!OSRRefP16x_0</vt:lpstr>
      <vt:lpstr>'327'!OSRRefP16x_0</vt:lpstr>
      <vt:lpstr>'330'!OSRRefP16x_0</vt:lpstr>
      <vt:lpstr>'331'!OSRRefP16x_0</vt:lpstr>
      <vt:lpstr>'332'!OSRRefP16x_0</vt:lpstr>
      <vt:lpstr>'405'!OSRRefP16x_0</vt:lpstr>
      <vt:lpstr>'406'!OSRRefP16x_0</vt:lpstr>
      <vt:lpstr>'412'!OSRRefP16x_0</vt:lpstr>
      <vt:lpstr>'413'!OSRRefP16x_0</vt:lpstr>
      <vt:lpstr>'414'!OSRRefP16x_0</vt:lpstr>
      <vt:lpstr>'415'!OSRRefP16x_0</vt:lpstr>
      <vt:lpstr>'418'!OSRRefP16x_0</vt:lpstr>
      <vt:lpstr>'420'!OSRRefP16x_0</vt:lpstr>
      <vt:lpstr>'423'!OSRRefP16x_0</vt:lpstr>
      <vt:lpstr>'424'!OSRRefP16x_0</vt:lpstr>
      <vt:lpstr>'425'!OSRRefP16x_0</vt:lpstr>
      <vt:lpstr>'433'!OSRRefP16x_0</vt:lpstr>
      <vt:lpstr>'435'!OSRRefP16x_0</vt:lpstr>
      <vt:lpstr>'444'!OSRRefP16x_0</vt:lpstr>
      <vt:lpstr>'450'!OSRRefP16x_0</vt:lpstr>
      <vt:lpstr>'491'!OSRRefP16x_0</vt:lpstr>
      <vt:lpstr>'492'!OSRRefP16x_0</vt:lpstr>
      <vt:lpstr>'Div 3'!OSRRefP16x_0</vt:lpstr>
      <vt:lpstr>'Div 4'!OSRRefP16x_0</vt:lpstr>
      <vt:lpstr>'Div 6'!OSRRefP16x_0</vt:lpstr>
      <vt:lpstr>Summary!OSRRefP16x_0</vt:lpstr>
      <vt:lpstr>'200'!OSRRefP22_0x_0</vt:lpstr>
      <vt:lpstr>'201'!OSRRefP22_0x_0</vt:lpstr>
      <vt:lpstr>'202'!OSRRefP22_0x_0</vt:lpstr>
      <vt:lpstr>'203'!OSRRefP22_0x_0</vt:lpstr>
      <vt:lpstr>'204'!OSRRefP22_0x_0</vt:lpstr>
      <vt:lpstr>'205'!OSRRefP22_0x_0</vt:lpstr>
      <vt:lpstr>'206'!OSRRefP22_0x_0</vt:lpstr>
      <vt:lpstr>'300'!OSRRefP22_0x_0</vt:lpstr>
      <vt:lpstr>'300 &amp; 317'!OSRRefP22_0x_0</vt:lpstr>
      <vt:lpstr>'301'!OSRRefP22_0x_0</vt:lpstr>
      <vt:lpstr>'306'!OSRRefP22_0x_0</vt:lpstr>
      <vt:lpstr>'307'!OSRRefP22_0x_0</vt:lpstr>
      <vt:lpstr>'308'!OSRRefP22_0x_0</vt:lpstr>
      <vt:lpstr>'309'!OSRRefP22_0x_0</vt:lpstr>
      <vt:lpstr>'310'!OSRRefP22_0x_0</vt:lpstr>
      <vt:lpstr>'310 &amp; 491'!OSRRefP22_0x_0</vt:lpstr>
      <vt:lpstr>'311'!OSRRefP22_0x_0</vt:lpstr>
      <vt:lpstr>'313'!OSRRefP22_0x_0</vt:lpstr>
      <vt:lpstr>'314'!OSRRefP22_0x_0</vt:lpstr>
      <vt:lpstr>'315'!OSRRefP22_0x_0</vt:lpstr>
      <vt:lpstr>'316'!OSRRefP22_0x_0</vt:lpstr>
      <vt:lpstr>'317'!OSRRefP22_0x_0</vt:lpstr>
      <vt:lpstr>'320'!OSRRefP22_0x_0</vt:lpstr>
      <vt:lpstr>'321'!OSRRefP22_0x_0</vt:lpstr>
      <vt:lpstr>'322'!OSRRefP22_0x_0</vt:lpstr>
      <vt:lpstr>'325'!OSRRefP22_0x_0</vt:lpstr>
      <vt:lpstr>'326'!OSRRefP22_0x_0</vt:lpstr>
      <vt:lpstr>'327'!OSRRefP22_0x_0</vt:lpstr>
      <vt:lpstr>'330'!OSRRefP22_0x_0</vt:lpstr>
      <vt:lpstr>'331'!OSRRefP22_0x_0</vt:lpstr>
      <vt:lpstr>'332'!OSRRefP22_0x_0</vt:lpstr>
      <vt:lpstr>'405'!OSRRefP22_0x_0</vt:lpstr>
      <vt:lpstr>'406'!OSRRefP22_0x_0</vt:lpstr>
      <vt:lpstr>'411'!OSRRefP22_0x_0</vt:lpstr>
      <vt:lpstr>'412'!OSRRefP22_0x_0</vt:lpstr>
      <vt:lpstr>'413'!OSRRefP22_0x_0</vt:lpstr>
      <vt:lpstr>'414'!OSRRefP22_0x_0</vt:lpstr>
      <vt:lpstr>'415'!OSRRefP22_0x_0</vt:lpstr>
      <vt:lpstr>'418'!OSRRefP22_0x_0</vt:lpstr>
      <vt:lpstr>'420'!OSRRefP22_0x_0</vt:lpstr>
      <vt:lpstr>'423'!OSRRefP22_0x_0</vt:lpstr>
      <vt:lpstr>'424'!OSRRefP22_0x_0</vt:lpstr>
      <vt:lpstr>'425'!OSRRefP22_0x_0</vt:lpstr>
      <vt:lpstr>'430'!OSRRefP22_0x_0</vt:lpstr>
      <vt:lpstr>'433'!OSRRefP22_0x_0</vt:lpstr>
      <vt:lpstr>'435'!OSRRefP22_0x_0</vt:lpstr>
      <vt:lpstr>'444'!OSRRefP22_0x_0</vt:lpstr>
      <vt:lpstr>'450'!OSRRefP22_0x_0</vt:lpstr>
      <vt:lpstr>'455'!OSRRefP22_0x_0</vt:lpstr>
      <vt:lpstr>'491'!OSRRefP22_0x_0</vt:lpstr>
      <vt:lpstr>'492'!OSRRefP22_0x_0</vt:lpstr>
      <vt:lpstr>'501'!OSRRefP22_0x_0</vt:lpstr>
      <vt:lpstr>'Div 2'!OSRRefP22_0x_0</vt:lpstr>
      <vt:lpstr>'Div 3'!OSRRefP22_0x_0</vt:lpstr>
      <vt:lpstr>'Div 4'!OSRRefP22_0x_0</vt:lpstr>
      <vt:lpstr>'Div 5'!OSRRefP22_0x_0</vt:lpstr>
      <vt:lpstr>'Div 6'!OSRRefP22_0x_0</vt:lpstr>
      <vt:lpstr>Summary!OSRRefP22_0x_0</vt:lpstr>
      <vt:lpstr>'201'!OSRRefP22_10x_0</vt:lpstr>
      <vt:lpstr>'202'!OSRRefP22_10x_0</vt:lpstr>
      <vt:lpstr>'203'!OSRRefP22_10x_0</vt:lpstr>
      <vt:lpstr>'204'!OSRRefP22_10x_0</vt:lpstr>
      <vt:lpstr>'300'!OSRRefP22_10x_0</vt:lpstr>
      <vt:lpstr>'300 &amp; 317'!OSRRefP22_10x_0</vt:lpstr>
      <vt:lpstr>'301'!OSRRefP22_10x_0</vt:lpstr>
      <vt:lpstr>'307'!OSRRefP22_10x_0</vt:lpstr>
      <vt:lpstr>'308'!OSRRefP22_10x_0</vt:lpstr>
      <vt:lpstr>'309'!OSRRefP22_10x_0</vt:lpstr>
      <vt:lpstr>'310'!OSRRefP22_10x_0</vt:lpstr>
      <vt:lpstr>'310 &amp; 491'!OSRRefP22_10x_0</vt:lpstr>
      <vt:lpstr>'311'!OSRRefP22_10x_0</vt:lpstr>
      <vt:lpstr>'313'!OSRRefP22_10x_0</vt:lpstr>
      <vt:lpstr>'315'!OSRRefP22_10x_0</vt:lpstr>
      <vt:lpstr>'316'!OSRRefP22_10x_0</vt:lpstr>
      <vt:lpstr>'317'!OSRRefP22_10x_0</vt:lpstr>
      <vt:lpstr>'321'!OSRRefP22_10x_0</vt:lpstr>
      <vt:lpstr>'322'!OSRRefP22_10x_0</vt:lpstr>
      <vt:lpstr>'325'!OSRRefP22_10x_0</vt:lpstr>
      <vt:lpstr>'326'!OSRRefP22_10x_0</vt:lpstr>
      <vt:lpstr>'330'!OSRRefP22_10x_0</vt:lpstr>
      <vt:lpstr>'331'!OSRRefP22_10x_0</vt:lpstr>
      <vt:lpstr>'332'!OSRRefP22_10x_0</vt:lpstr>
      <vt:lpstr>'405'!OSRRefP22_10x_0</vt:lpstr>
      <vt:lpstr>'406'!OSRRefP22_10x_0</vt:lpstr>
      <vt:lpstr>'411'!OSRRefP22_10x_0</vt:lpstr>
      <vt:lpstr>'412'!OSRRefP22_10x_0</vt:lpstr>
      <vt:lpstr>'413'!OSRRefP22_10x_0</vt:lpstr>
      <vt:lpstr>'414'!OSRRefP22_10x_0</vt:lpstr>
      <vt:lpstr>'415'!OSRRefP22_10x_0</vt:lpstr>
      <vt:lpstr>'418'!OSRRefP22_10x_0</vt:lpstr>
      <vt:lpstr>'424'!OSRRefP22_10x_0</vt:lpstr>
      <vt:lpstr>'425'!OSRRefP22_10x_0</vt:lpstr>
      <vt:lpstr>'433'!OSRRefP22_10x_0</vt:lpstr>
      <vt:lpstr>'444'!OSRRefP22_10x_0</vt:lpstr>
      <vt:lpstr>'450'!OSRRefP22_10x_0</vt:lpstr>
      <vt:lpstr>'491'!OSRRefP22_10x_0</vt:lpstr>
      <vt:lpstr>'492'!OSRRefP22_10x_0</vt:lpstr>
      <vt:lpstr>'501'!OSRRefP22_10x_0</vt:lpstr>
      <vt:lpstr>'Div 2'!OSRRefP22_10x_0</vt:lpstr>
      <vt:lpstr>'Div 3'!OSRRefP22_10x_0</vt:lpstr>
      <vt:lpstr>'Div 4'!OSRRefP22_10x_0</vt:lpstr>
      <vt:lpstr>'Div 5'!OSRRefP22_10x_0</vt:lpstr>
      <vt:lpstr>'Div 6'!OSRRefP22_10x_0</vt:lpstr>
      <vt:lpstr>Summary!OSRRefP22_10x_0</vt:lpstr>
      <vt:lpstr>'201'!OSRRefP22_11x_0</vt:lpstr>
      <vt:lpstr>'202'!OSRRefP22_11x_0</vt:lpstr>
      <vt:lpstr>'203'!OSRRefP22_11x_0</vt:lpstr>
      <vt:lpstr>'300'!OSRRefP22_11x_0</vt:lpstr>
      <vt:lpstr>'300 &amp; 317'!OSRRefP22_11x_0</vt:lpstr>
      <vt:lpstr>'301'!OSRRefP22_11x_0</vt:lpstr>
      <vt:lpstr>'307'!OSRRefP22_11x_0</vt:lpstr>
      <vt:lpstr>'308'!OSRRefP22_11x_0</vt:lpstr>
      <vt:lpstr>'309'!OSRRefP22_11x_0</vt:lpstr>
      <vt:lpstr>'310'!OSRRefP22_11x_0</vt:lpstr>
      <vt:lpstr>'310 &amp; 491'!OSRRefP22_11x_0</vt:lpstr>
      <vt:lpstr>'311'!OSRRefP22_11x_0</vt:lpstr>
      <vt:lpstr>'313'!OSRRefP22_11x_0</vt:lpstr>
      <vt:lpstr>'315'!OSRRefP22_11x_0</vt:lpstr>
      <vt:lpstr>'316'!OSRRefP22_11x_0</vt:lpstr>
      <vt:lpstr>'317'!OSRRefP22_11x_0</vt:lpstr>
      <vt:lpstr>'321'!OSRRefP22_11x_0</vt:lpstr>
      <vt:lpstr>'322'!OSRRefP22_11x_0</vt:lpstr>
      <vt:lpstr>'325'!OSRRefP22_11x_0</vt:lpstr>
      <vt:lpstr>'326'!OSRRefP22_11x_0</vt:lpstr>
      <vt:lpstr>'330'!OSRRefP22_11x_0</vt:lpstr>
      <vt:lpstr>'331'!OSRRefP22_11x_0</vt:lpstr>
      <vt:lpstr>'332'!OSRRefP22_11x_0</vt:lpstr>
      <vt:lpstr>'405'!OSRRefP22_11x_0</vt:lpstr>
      <vt:lpstr>'406'!OSRRefP22_11x_0</vt:lpstr>
      <vt:lpstr>'411'!OSRRefP22_11x_0</vt:lpstr>
      <vt:lpstr>'412'!OSRRefP22_11x_0</vt:lpstr>
      <vt:lpstr>'413'!OSRRefP22_11x_0</vt:lpstr>
      <vt:lpstr>'414'!OSRRefP22_11x_0</vt:lpstr>
      <vt:lpstr>'415'!OSRRefP22_11x_0</vt:lpstr>
      <vt:lpstr>'418'!OSRRefP22_11x_0</vt:lpstr>
      <vt:lpstr>'424'!OSRRefP22_11x_0</vt:lpstr>
      <vt:lpstr>'425'!OSRRefP22_11x_0</vt:lpstr>
      <vt:lpstr>'433'!OSRRefP22_11x_0</vt:lpstr>
      <vt:lpstr>'444'!OSRRefP22_11x_0</vt:lpstr>
      <vt:lpstr>'450'!OSRRefP22_11x_0</vt:lpstr>
      <vt:lpstr>'491'!OSRRefP22_11x_0</vt:lpstr>
      <vt:lpstr>'492'!OSRRefP22_11x_0</vt:lpstr>
      <vt:lpstr>'501'!OSRRefP22_11x_0</vt:lpstr>
      <vt:lpstr>'Div 2'!OSRRefP22_11x_0</vt:lpstr>
      <vt:lpstr>'Div 3'!OSRRefP22_11x_0</vt:lpstr>
      <vt:lpstr>'Div 4'!OSRRefP22_11x_0</vt:lpstr>
      <vt:lpstr>'Div 5'!OSRRefP22_11x_0</vt:lpstr>
      <vt:lpstr>'Div 6'!OSRRefP22_11x_0</vt:lpstr>
      <vt:lpstr>Summary!OSRRefP22_11x_0</vt:lpstr>
      <vt:lpstr>'201'!OSRRefP22_12x_0</vt:lpstr>
      <vt:lpstr>'202'!OSRRefP22_12x_0</vt:lpstr>
      <vt:lpstr>'203'!OSRRefP22_12x_0</vt:lpstr>
      <vt:lpstr>'300'!OSRRefP22_12x_0</vt:lpstr>
      <vt:lpstr>'300 &amp; 317'!OSRRefP22_12x_0</vt:lpstr>
      <vt:lpstr>'301'!OSRRefP22_12x_0</vt:lpstr>
      <vt:lpstr>'307'!OSRRefP22_12x_0</vt:lpstr>
      <vt:lpstr>'308'!OSRRefP22_12x_0</vt:lpstr>
      <vt:lpstr>'309'!OSRRefP22_12x_0</vt:lpstr>
      <vt:lpstr>'310'!OSRRefP22_12x_0</vt:lpstr>
      <vt:lpstr>'310 &amp; 491'!OSRRefP22_12x_0</vt:lpstr>
      <vt:lpstr>'311'!OSRRefP22_12x_0</vt:lpstr>
      <vt:lpstr>'313'!OSRRefP22_12x_0</vt:lpstr>
      <vt:lpstr>'315'!OSRRefP22_12x_0</vt:lpstr>
      <vt:lpstr>'316'!OSRRefP22_12x_0</vt:lpstr>
      <vt:lpstr>'317'!OSRRefP22_12x_0</vt:lpstr>
      <vt:lpstr>'321'!OSRRefP22_12x_0</vt:lpstr>
      <vt:lpstr>'322'!OSRRefP22_12x_0</vt:lpstr>
      <vt:lpstr>'325'!OSRRefP22_12x_0</vt:lpstr>
      <vt:lpstr>'326'!OSRRefP22_12x_0</vt:lpstr>
      <vt:lpstr>'330'!OSRRefP22_12x_0</vt:lpstr>
      <vt:lpstr>'331'!OSRRefP22_12x_0</vt:lpstr>
      <vt:lpstr>'332'!OSRRefP22_12x_0</vt:lpstr>
      <vt:lpstr>'405'!OSRRefP22_12x_0</vt:lpstr>
      <vt:lpstr>'406'!OSRRefP22_12x_0</vt:lpstr>
      <vt:lpstr>'411'!OSRRefP22_12x_0</vt:lpstr>
      <vt:lpstr>'412'!OSRRefP22_12x_0</vt:lpstr>
      <vt:lpstr>'414'!OSRRefP22_12x_0</vt:lpstr>
      <vt:lpstr>'415'!OSRRefP22_12x_0</vt:lpstr>
      <vt:lpstr>'418'!OSRRefP22_12x_0</vt:lpstr>
      <vt:lpstr>'424'!OSRRefP22_12x_0</vt:lpstr>
      <vt:lpstr>'425'!OSRRefP22_12x_0</vt:lpstr>
      <vt:lpstr>'433'!OSRRefP22_12x_0</vt:lpstr>
      <vt:lpstr>'444'!OSRRefP22_12x_0</vt:lpstr>
      <vt:lpstr>'450'!OSRRefP22_12x_0</vt:lpstr>
      <vt:lpstr>'491'!OSRRefP22_12x_0</vt:lpstr>
      <vt:lpstr>'492'!OSRRefP22_12x_0</vt:lpstr>
      <vt:lpstr>'501'!OSRRefP22_12x_0</vt:lpstr>
      <vt:lpstr>'Div 2'!OSRRefP22_12x_0</vt:lpstr>
      <vt:lpstr>'Div 3'!OSRRefP22_12x_0</vt:lpstr>
      <vt:lpstr>'Div 4'!OSRRefP22_12x_0</vt:lpstr>
      <vt:lpstr>'Div 5'!OSRRefP22_12x_0</vt:lpstr>
      <vt:lpstr>'Div 6'!OSRRefP22_12x_0</vt:lpstr>
      <vt:lpstr>Summary!OSRRefP22_12x_0</vt:lpstr>
      <vt:lpstr>'201'!OSRRefP22_13x_0</vt:lpstr>
      <vt:lpstr>'202'!OSRRefP22_13x_0</vt:lpstr>
      <vt:lpstr>'203'!OSRRefP22_13x_0</vt:lpstr>
      <vt:lpstr>'300'!OSRRefP22_13x_0</vt:lpstr>
      <vt:lpstr>'300 &amp; 317'!OSRRefP22_13x_0</vt:lpstr>
      <vt:lpstr>'301'!OSRRefP22_13x_0</vt:lpstr>
      <vt:lpstr>'308'!OSRRefP22_13x_0</vt:lpstr>
      <vt:lpstr>'310'!OSRRefP22_13x_0</vt:lpstr>
      <vt:lpstr>'310 &amp; 491'!OSRRefP22_13x_0</vt:lpstr>
      <vt:lpstr>'311'!OSRRefP22_13x_0</vt:lpstr>
      <vt:lpstr>'315'!OSRRefP22_13x_0</vt:lpstr>
      <vt:lpstr>'316'!OSRRefP22_13x_0</vt:lpstr>
      <vt:lpstr>'317'!OSRRefP22_13x_0</vt:lpstr>
      <vt:lpstr>'322'!OSRRefP22_13x_0</vt:lpstr>
      <vt:lpstr>'325'!OSRRefP22_13x_0</vt:lpstr>
      <vt:lpstr>'326'!OSRRefP22_13x_0</vt:lpstr>
      <vt:lpstr>'330'!OSRRefP22_13x_0</vt:lpstr>
      <vt:lpstr>'331'!OSRRefP22_13x_0</vt:lpstr>
      <vt:lpstr>'332'!OSRRefP22_13x_0</vt:lpstr>
      <vt:lpstr>'405'!OSRRefP22_13x_0</vt:lpstr>
      <vt:lpstr>'406'!OSRRefP22_13x_0</vt:lpstr>
      <vt:lpstr>'411'!OSRRefP22_13x_0</vt:lpstr>
      <vt:lpstr>'412'!OSRRefP22_13x_0</vt:lpstr>
      <vt:lpstr>'414'!OSRRefP22_13x_0</vt:lpstr>
      <vt:lpstr>'415'!OSRRefP22_13x_0</vt:lpstr>
      <vt:lpstr>'418'!OSRRefP22_13x_0</vt:lpstr>
      <vt:lpstr>'425'!OSRRefP22_13x_0</vt:lpstr>
      <vt:lpstr>'433'!OSRRefP22_13x_0</vt:lpstr>
      <vt:lpstr>'444'!OSRRefP22_13x_0</vt:lpstr>
      <vt:lpstr>'450'!OSRRefP22_13x_0</vt:lpstr>
      <vt:lpstr>'491'!OSRRefP22_13x_0</vt:lpstr>
      <vt:lpstr>'492'!OSRRefP22_13x_0</vt:lpstr>
      <vt:lpstr>'501'!OSRRefP22_13x_0</vt:lpstr>
      <vt:lpstr>'Div 2'!OSRRefP22_13x_0</vt:lpstr>
      <vt:lpstr>'Div 3'!OSRRefP22_13x_0</vt:lpstr>
      <vt:lpstr>'Div 4'!OSRRefP22_13x_0</vt:lpstr>
      <vt:lpstr>'Div 5'!OSRRefP22_13x_0</vt:lpstr>
      <vt:lpstr>'Div 6'!OSRRefP22_13x_0</vt:lpstr>
      <vt:lpstr>Summary!OSRRefP22_13x_0</vt:lpstr>
      <vt:lpstr>'201'!OSRRefP22_14x_0</vt:lpstr>
      <vt:lpstr>'202'!OSRRefP22_14x_0</vt:lpstr>
      <vt:lpstr>'203'!OSRRefP22_14x_0</vt:lpstr>
      <vt:lpstr>'300'!OSRRefP22_14x_0</vt:lpstr>
      <vt:lpstr>'300 &amp; 317'!OSRRefP22_14x_0</vt:lpstr>
      <vt:lpstr>'301'!OSRRefP22_14x_0</vt:lpstr>
      <vt:lpstr>'308'!OSRRefP22_14x_0</vt:lpstr>
      <vt:lpstr>'310'!OSRRefP22_14x_0</vt:lpstr>
      <vt:lpstr>'310 &amp; 491'!OSRRefP22_14x_0</vt:lpstr>
      <vt:lpstr>'311'!OSRRefP22_14x_0</vt:lpstr>
      <vt:lpstr>'315'!OSRRefP22_14x_0</vt:lpstr>
      <vt:lpstr>'316'!OSRRefP22_14x_0</vt:lpstr>
      <vt:lpstr>'325'!OSRRefP22_14x_0</vt:lpstr>
      <vt:lpstr>'326'!OSRRefP22_14x_0</vt:lpstr>
      <vt:lpstr>'330'!OSRRefP22_14x_0</vt:lpstr>
      <vt:lpstr>'331'!OSRRefP22_14x_0</vt:lpstr>
      <vt:lpstr>'332'!OSRRefP22_14x_0</vt:lpstr>
      <vt:lpstr>'405'!OSRRefP22_14x_0</vt:lpstr>
      <vt:lpstr>'406'!OSRRefP22_14x_0</vt:lpstr>
      <vt:lpstr>'411'!OSRRefP22_14x_0</vt:lpstr>
      <vt:lpstr>'414'!OSRRefP22_14x_0</vt:lpstr>
      <vt:lpstr>'415'!OSRRefP22_14x_0</vt:lpstr>
      <vt:lpstr>'418'!OSRRefP22_14x_0</vt:lpstr>
      <vt:lpstr>'425'!OSRRefP22_14x_0</vt:lpstr>
      <vt:lpstr>'433'!OSRRefP22_14x_0</vt:lpstr>
      <vt:lpstr>'444'!OSRRefP22_14x_0</vt:lpstr>
      <vt:lpstr>'450'!OSRRefP22_14x_0</vt:lpstr>
      <vt:lpstr>'491'!OSRRefP22_14x_0</vt:lpstr>
      <vt:lpstr>'492'!OSRRefP22_14x_0</vt:lpstr>
      <vt:lpstr>'Div 2'!OSRRefP22_14x_0</vt:lpstr>
      <vt:lpstr>'Div 3'!OSRRefP22_14x_0</vt:lpstr>
      <vt:lpstr>'Div 4'!OSRRefP22_14x_0</vt:lpstr>
      <vt:lpstr>Summary!OSRRefP22_14x_0</vt:lpstr>
      <vt:lpstr>'201'!OSRRefP22_15x_0</vt:lpstr>
      <vt:lpstr>'202'!OSRRefP22_15x_0</vt:lpstr>
      <vt:lpstr>'203'!OSRRefP22_15x_0</vt:lpstr>
      <vt:lpstr>'300'!OSRRefP22_15x_0</vt:lpstr>
      <vt:lpstr>'300 &amp; 317'!OSRRefP22_15x_0</vt:lpstr>
      <vt:lpstr>'301'!OSRRefP22_15x_0</vt:lpstr>
      <vt:lpstr>'310'!OSRRefP22_15x_0</vt:lpstr>
      <vt:lpstr>'310 &amp; 491'!OSRRefP22_15x_0</vt:lpstr>
      <vt:lpstr>'325'!OSRRefP22_15x_0</vt:lpstr>
      <vt:lpstr>'326'!OSRRefP22_15x_0</vt:lpstr>
      <vt:lpstr>'330'!OSRRefP22_15x_0</vt:lpstr>
      <vt:lpstr>'331'!OSRRefP22_15x_0</vt:lpstr>
      <vt:lpstr>'332'!OSRRefP22_15x_0</vt:lpstr>
      <vt:lpstr>'405'!OSRRefP22_15x_0</vt:lpstr>
      <vt:lpstr>'411'!OSRRefP22_15x_0</vt:lpstr>
      <vt:lpstr>'414'!OSRRefP22_15x_0</vt:lpstr>
      <vt:lpstr>'415'!OSRRefP22_15x_0</vt:lpstr>
      <vt:lpstr>'418'!OSRRefP22_15x_0</vt:lpstr>
      <vt:lpstr>'433'!OSRRefP22_15x_0</vt:lpstr>
      <vt:lpstr>'444'!OSRRefP22_15x_0</vt:lpstr>
      <vt:lpstr>'450'!OSRRefP22_15x_0</vt:lpstr>
      <vt:lpstr>'491'!OSRRefP22_15x_0</vt:lpstr>
      <vt:lpstr>'492'!OSRRefP22_15x_0</vt:lpstr>
      <vt:lpstr>'Div 2'!OSRRefP22_15x_0</vt:lpstr>
      <vt:lpstr>'Div 3'!OSRRefP22_15x_0</vt:lpstr>
      <vt:lpstr>'Div 4'!OSRRefP22_15x_0</vt:lpstr>
      <vt:lpstr>Summary!OSRRefP22_15x_0</vt:lpstr>
      <vt:lpstr>'300'!OSRRefP22_16x_0</vt:lpstr>
      <vt:lpstr>'300 &amp; 317'!OSRRefP22_16x_0</vt:lpstr>
      <vt:lpstr>'301'!OSRRefP22_16x_0</vt:lpstr>
      <vt:lpstr>'310'!OSRRefP22_16x_0</vt:lpstr>
      <vt:lpstr>'310 &amp; 491'!OSRRefP22_16x_0</vt:lpstr>
      <vt:lpstr>'325'!OSRRefP22_16x_0</vt:lpstr>
      <vt:lpstr>'326'!OSRRefP22_16x_0</vt:lpstr>
      <vt:lpstr>'331'!OSRRefP22_16x_0</vt:lpstr>
      <vt:lpstr>'405'!OSRRefP22_16x_0</vt:lpstr>
      <vt:lpstr>'411'!OSRRefP22_16x_0</vt:lpstr>
      <vt:lpstr>'415'!OSRRefP22_16x_0</vt:lpstr>
      <vt:lpstr>'418'!OSRRefP22_16x_0</vt:lpstr>
      <vt:lpstr>'433'!OSRRefP22_16x_0</vt:lpstr>
      <vt:lpstr>'444'!OSRRefP22_16x_0</vt:lpstr>
      <vt:lpstr>'450'!OSRRefP22_16x_0</vt:lpstr>
      <vt:lpstr>'491'!OSRRefP22_16x_0</vt:lpstr>
      <vt:lpstr>'492'!OSRRefP22_16x_0</vt:lpstr>
      <vt:lpstr>'Div 2'!OSRRefP22_16x_0</vt:lpstr>
      <vt:lpstr>'Div 3'!OSRRefP22_16x_0</vt:lpstr>
      <vt:lpstr>'Div 4'!OSRRefP22_16x_0</vt:lpstr>
      <vt:lpstr>Summary!OSRRefP22_16x_0</vt:lpstr>
      <vt:lpstr>'300'!OSRRefP22_17x_0</vt:lpstr>
      <vt:lpstr>'300 &amp; 317'!OSRRefP22_17x_0</vt:lpstr>
      <vt:lpstr>'301'!OSRRefP22_17x_0</vt:lpstr>
      <vt:lpstr>'310'!OSRRefP22_17x_0</vt:lpstr>
      <vt:lpstr>'310 &amp; 491'!OSRRefP22_17x_0</vt:lpstr>
      <vt:lpstr>'325'!OSRRefP22_17x_0</vt:lpstr>
      <vt:lpstr>'326'!OSRRefP22_17x_0</vt:lpstr>
      <vt:lpstr>'331'!OSRRefP22_17x_0</vt:lpstr>
      <vt:lpstr>'405'!OSRRefP22_17x_0</vt:lpstr>
      <vt:lpstr>'411'!OSRRefP22_17x_0</vt:lpstr>
      <vt:lpstr>'415'!OSRRefP22_17x_0</vt:lpstr>
      <vt:lpstr>'444'!OSRRefP22_17x_0</vt:lpstr>
      <vt:lpstr>'450'!OSRRefP22_17x_0</vt:lpstr>
      <vt:lpstr>'491'!OSRRefP22_17x_0</vt:lpstr>
      <vt:lpstr>'492'!OSRRefP22_17x_0</vt:lpstr>
      <vt:lpstr>'Div 2'!OSRRefP22_17x_0</vt:lpstr>
      <vt:lpstr>'Div 3'!OSRRefP22_17x_0</vt:lpstr>
      <vt:lpstr>'Div 4'!OSRRefP22_17x_0</vt:lpstr>
      <vt:lpstr>Summary!OSRRefP22_17x_0</vt:lpstr>
      <vt:lpstr>'300'!OSRRefP22_18x_0</vt:lpstr>
      <vt:lpstr>'300 &amp; 317'!OSRRefP22_18x_0</vt:lpstr>
      <vt:lpstr>'301'!OSRRefP22_18x_0</vt:lpstr>
      <vt:lpstr>'310'!OSRRefP22_18x_0</vt:lpstr>
      <vt:lpstr>'310 &amp; 491'!OSRRefP22_18x_0</vt:lpstr>
      <vt:lpstr>'326'!OSRRefP22_18x_0</vt:lpstr>
      <vt:lpstr>'331'!OSRRefP22_18x_0</vt:lpstr>
      <vt:lpstr>'411'!OSRRefP22_18x_0</vt:lpstr>
      <vt:lpstr>'491'!OSRRefP22_18x_0</vt:lpstr>
      <vt:lpstr>'492'!OSRRefP22_18x_0</vt:lpstr>
      <vt:lpstr>'Div 2'!OSRRefP22_18x_0</vt:lpstr>
      <vt:lpstr>'Div 3'!OSRRefP22_18x_0</vt:lpstr>
      <vt:lpstr>'Div 4'!OSRRefP22_18x_0</vt:lpstr>
      <vt:lpstr>Summary!OSRRefP22_18x_0</vt:lpstr>
      <vt:lpstr>'300'!OSRRefP22_19x_0</vt:lpstr>
      <vt:lpstr>'300 &amp; 317'!OSRRefP22_19x_0</vt:lpstr>
      <vt:lpstr>'301'!OSRRefP22_19x_0</vt:lpstr>
      <vt:lpstr>'310'!OSRRefP22_19x_0</vt:lpstr>
      <vt:lpstr>'310 &amp; 491'!OSRRefP22_19x_0</vt:lpstr>
      <vt:lpstr>'326'!OSRRefP22_19x_0</vt:lpstr>
      <vt:lpstr>'331'!OSRRefP22_19x_0</vt:lpstr>
      <vt:lpstr>'411'!OSRRefP22_19x_0</vt:lpstr>
      <vt:lpstr>'491'!OSRRefP22_19x_0</vt:lpstr>
      <vt:lpstr>'Div 2'!OSRRefP22_19x_0</vt:lpstr>
      <vt:lpstr>'Div 3'!OSRRefP22_19x_0</vt:lpstr>
      <vt:lpstr>'Div 4'!OSRRefP22_19x_0</vt:lpstr>
      <vt:lpstr>Summary!OSRRefP22_19x_0</vt:lpstr>
      <vt:lpstr>'200'!OSRRefP22_1x_0</vt:lpstr>
      <vt:lpstr>'201'!OSRRefP22_1x_0</vt:lpstr>
      <vt:lpstr>'202'!OSRRefP22_1x_0</vt:lpstr>
      <vt:lpstr>'203'!OSRRefP22_1x_0</vt:lpstr>
      <vt:lpstr>'204'!OSRRefP22_1x_0</vt:lpstr>
      <vt:lpstr>'205'!OSRRefP22_1x_0</vt:lpstr>
      <vt:lpstr>'206'!OSRRefP22_1x_0</vt:lpstr>
      <vt:lpstr>'300'!OSRRefP22_1x_0</vt:lpstr>
      <vt:lpstr>'300 &amp; 317'!OSRRefP22_1x_0</vt:lpstr>
      <vt:lpstr>'301'!OSRRefP22_1x_0</vt:lpstr>
      <vt:lpstr>'306'!OSRRefP22_1x_0</vt:lpstr>
      <vt:lpstr>'307'!OSRRefP22_1x_0</vt:lpstr>
      <vt:lpstr>'308'!OSRRefP22_1x_0</vt:lpstr>
      <vt:lpstr>'309'!OSRRefP22_1x_0</vt:lpstr>
      <vt:lpstr>'310'!OSRRefP22_1x_0</vt:lpstr>
      <vt:lpstr>'310 &amp; 491'!OSRRefP22_1x_0</vt:lpstr>
      <vt:lpstr>'311'!OSRRefP22_1x_0</vt:lpstr>
      <vt:lpstr>'313'!OSRRefP22_1x_0</vt:lpstr>
      <vt:lpstr>'314'!OSRRefP22_1x_0</vt:lpstr>
      <vt:lpstr>'315'!OSRRefP22_1x_0</vt:lpstr>
      <vt:lpstr>'316'!OSRRefP22_1x_0</vt:lpstr>
      <vt:lpstr>'317'!OSRRefP22_1x_0</vt:lpstr>
      <vt:lpstr>'320'!OSRRefP22_1x_0</vt:lpstr>
      <vt:lpstr>'321'!OSRRefP22_1x_0</vt:lpstr>
      <vt:lpstr>'322'!OSRRefP22_1x_0</vt:lpstr>
      <vt:lpstr>'325'!OSRRefP22_1x_0</vt:lpstr>
      <vt:lpstr>'326'!OSRRefP22_1x_0</vt:lpstr>
      <vt:lpstr>'327'!OSRRefP22_1x_0</vt:lpstr>
      <vt:lpstr>'330'!OSRRefP22_1x_0</vt:lpstr>
      <vt:lpstr>'331'!OSRRefP22_1x_0</vt:lpstr>
      <vt:lpstr>'332'!OSRRefP22_1x_0</vt:lpstr>
      <vt:lpstr>'405'!OSRRefP22_1x_0</vt:lpstr>
      <vt:lpstr>'406'!OSRRefP22_1x_0</vt:lpstr>
      <vt:lpstr>'411'!OSRRefP22_1x_0</vt:lpstr>
      <vt:lpstr>'412'!OSRRefP22_1x_0</vt:lpstr>
      <vt:lpstr>'413'!OSRRefP22_1x_0</vt:lpstr>
      <vt:lpstr>'414'!OSRRefP22_1x_0</vt:lpstr>
      <vt:lpstr>'415'!OSRRefP22_1x_0</vt:lpstr>
      <vt:lpstr>'418'!OSRRefP22_1x_0</vt:lpstr>
      <vt:lpstr>'420'!OSRRefP22_1x_0</vt:lpstr>
      <vt:lpstr>'423'!OSRRefP22_1x_0</vt:lpstr>
      <vt:lpstr>'424'!OSRRefP22_1x_0</vt:lpstr>
      <vt:lpstr>'425'!OSRRefP22_1x_0</vt:lpstr>
      <vt:lpstr>'430'!OSRRefP22_1x_0</vt:lpstr>
      <vt:lpstr>'433'!OSRRefP22_1x_0</vt:lpstr>
      <vt:lpstr>'435'!OSRRefP22_1x_0</vt:lpstr>
      <vt:lpstr>'444'!OSRRefP22_1x_0</vt:lpstr>
      <vt:lpstr>'450'!OSRRefP22_1x_0</vt:lpstr>
      <vt:lpstr>'455'!OSRRefP22_1x_0</vt:lpstr>
      <vt:lpstr>'491'!OSRRefP22_1x_0</vt:lpstr>
      <vt:lpstr>'492'!OSRRefP22_1x_0</vt:lpstr>
      <vt:lpstr>'501'!OSRRefP22_1x_0</vt:lpstr>
      <vt:lpstr>'Div 2'!OSRRefP22_1x_0</vt:lpstr>
      <vt:lpstr>'Div 3'!OSRRefP22_1x_0</vt:lpstr>
      <vt:lpstr>'Div 4'!OSRRefP22_1x_0</vt:lpstr>
      <vt:lpstr>'Div 5'!OSRRefP22_1x_0</vt:lpstr>
      <vt:lpstr>'Div 6'!OSRRefP22_1x_0</vt:lpstr>
      <vt:lpstr>Summary!OSRRefP22_1x_0</vt:lpstr>
      <vt:lpstr>'300'!OSRRefP22_20x_0</vt:lpstr>
      <vt:lpstr>'300 &amp; 317'!OSRRefP22_20x_0</vt:lpstr>
      <vt:lpstr>'301'!OSRRefP22_20x_0</vt:lpstr>
      <vt:lpstr>'310'!OSRRefP22_20x_0</vt:lpstr>
      <vt:lpstr>'310 &amp; 491'!OSRRefP22_20x_0</vt:lpstr>
      <vt:lpstr>'331'!OSRRefP22_20x_0</vt:lpstr>
      <vt:lpstr>'491'!OSRRefP22_20x_0</vt:lpstr>
      <vt:lpstr>'Div 3'!OSRRefP22_20x_0</vt:lpstr>
      <vt:lpstr>'Div 4'!OSRRefP22_20x_0</vt:lpstr>
      <vt:lpstr>Summary!OSRRefP22_20x_0</vt:lpstr>
      <vt:lpstr>'300'!OSRRefP22_21x_0</vt:lpstr>
      <vt:lpstr>'300 &amp; 317'!OSRRefP22_21x_0</vt:lpstr>
      <vt:lpstr>'301'!OSRRefP22_21x_0</vt:lpstr>
      <vt:lpstr>'310'!OSRRefP22_21x_0</vt:lpstr>
      <vt:lpstr>'310 &amp; 491'!OSRRefP22_21x_0</vt:lpstr>
      <vt:lpstr>'331'!OSRRefP22_21x_0</vt:lpstr>
      <vt:lpstr>'491'!OSRRefP22_21x_0</vt:lpstr>
      <vt:lpstr>'Div 3'!OSRRefP22_21x_0</vt:lpstr>
      <vt:lpstr>'Div 4'!OSRRefP22_21x_0</vt:lpstr>
      <vt:lpstr>Summary!OSRRefP22_21x_0</vt:lpstr>
      <vt:lpstr>'300'!OSRRefP22_22x_0</vt:lpstr>
      <vt:lpstr>'300 &amp; 317'!OSRRefP22_22x_0</vt:lpstr>
      <vt:lpstr>'301'!OSRRefP22_22x_0</vt:lpstr>
      <vt:lpstr>'310'!OSRRefP22_22x_0</vt:lpstr>
      <vt:lpstr>'310 &amp; 491'!OSRRefP22_22x_0</vt:lpstr>
      <vt:lpstr>'491'!OSRRefP22_22x_0</vt:lpstr>
      <vt:lpstr>'Div 3'!OSRRefP22_22x_0</vt:lpstr>
      <vt:lpstr>'Div 4'!OSRRefP22_22x_0</vt:lpstr>
      <vt:lpstr>Summary!OSRRefP22_22x_0</vt:lpstr>
      <vt:lpstr>'300'!OSRRefP22_23x_0</vt:lpstr>
      <vt:lpstr>'300 &amp; 317'!OSRRefP22_23x_0</vt:lpstr>
      <vt:lpstr>'301'!OSRRefP22_23x_0</vt:lpstr>
      <vt:lpstr>'310 &amp; 491'!OSRRefP22_23x_0</vt:lpstr>
      <vt:lpstr>'491'!OSRRefP22_23x_0</vt:lpstr>
      <vt:lpstr>'Div 3'!OSRRefP22_23x_0</vt:lpstr>
      <vt:lpstr>'Div 4'!OSRRefP22_23x_0</vt:lpstr>
      <vt:lpstr>Summary!OSRRefP22_23x_0</vt:lpstr>
      <vt:lpstr>'300'!OSRRefP22_24x_0</vt:lpstr>
      <vt:lpstr>'300 &amp; 317'!OSRRefP22_24x_0</vt:lpstr>
      <vt:lpstr>'310 &amp; 491'!OSRRefP22_24x_0</vt:lpstr>
      <vt:lpstr>'491'!OSRRefP22_24x_0</vt:lpstr>
      <vt:lpstr>'Div 3'!OSRRefP22_24x_0</vt:lpstr>
      <vt:lpstr>'Div 4'!OSRRefP22_24x_0</vt:lpstr>
      <vt:lpstr>Summary!OSRRefP22_24x_0</vt:lpstr>
      <vt:lpstr>'Div 3'!OSRRefP22_25x_0</vt:lpstr>
      <vt:lpstr>'Div 4'!OSRRefP22_25x_0</vt:lpstr>
      <vt:lpstr>Summary!OSRRefP22_25x_0</vt:lpstr>
      <vt:lpstr>Summary!OSRRefP22_26x_0</vt:lpstr>
      <vt:lpstr>'200'!OSRRefP22_2x_0</vt:lpstr>
      <vt:lpstr>'201'!OSRRefP22_2x_0</vt:lpstr>
      <vt:lpstr>'202'!OSRRefP22_2x_0</vt:lpstr>
      <vt:lpstr>'203'!OSRRefP22_2x_0</vt:lpstr>
      <vt:lpstr>'204'!OSRRefP22_2x_0</vt:lpstr>
      <vt:lpstr>'205'!OSRRefP22_2x_0</vt:lpstr>
      <vt:lpstr>'206'!OSRRefP22_2x_0</vt:lpstr>
      <vt:lpstr>'300'!OSRRefP22_2x_0</vt:lpstr>
      <vt:lpstr>'300 &amp; 317'!OSRRefP22_2x_0</vt:lpstr>
      <vt:lpstr>'301'!OSRRefP22_2x_0</vt:lpstr>
      <vt:lpstr>'306'!OSRRefP22_2x_0</vt:lpstr>
      <vt:lpstr>'307'!OSRRefP22_2x_0</vt:lpstr>
      <vt:lpstr>'308'!OSRRefP22_2x_0</vt:lpstr>
      <vt:lpstr>'309'!OSRRefP22_2x_0</vt:lpstr>
      <vt:lpstr>'310'!OSRRefP22_2x_0</vt:lpstr>
      <vt:lpstr>'310 &amp; 491'!OSRRefP22_2x_0</vt:lpstr>
      <vt:lpstr>'311'!OSRRefP22_2x_0</vt:lpstr>
      <vt:lpstr>'313'!OSRRefP22_2x_0</vt:lpstr>
      <vt:lpstr>'314'!OSRRefP22_2x_0</vt:lpstr>
      <vt:lpstr>'315'!OSRRefP22_2x_0</vt:lpstr>
      <vt:lpstr>'316'!OSRRefP22_2x_0</vt:lpstr>
      <vt:lpstr>'317'!OSRRefP22_2x_0</vt:lpstr>
      <vt:lpstr>'320'!OSRRefP22_2x_0</vt:lpstr>
      <vt:lpstr>'321'!OSRRefP22_2x_0</vt:lpstr>
      <vt:lpstr>'322'!OSRRefP22_2x_0</vt:lpstr>
      <vt:lpstr>'325'!OSRRefP22_2x_0</vt:lpstr>
      <vt:lpstr>'326'!OSRRefP22_2x_0</vt:lpstr>
      <vt:lpstr>'327'!OSRRefP22_2x_0</vt:lpstr>
      <vt:lpstr>'330'!OSRRefP22_2x_0</vt:lpstr>
      <vt:lpstr>'331'!OSRRefP22_2x_0</vt:lpstr>
      <vt:lpstr>'332'!OSRRefP22_2x_0</vt:lpstr>
      <vt:lpstr>'405'!OSRRefP22_2x_0</vt:lpstr>
      <vt:lpstr>'406'!OSRRefP22_2x_0</vt:lpstr>
      <vt:lpstr>'411'!OSRRefP22_2x_0</vt:lpstr>
      <vt:lpstr>'412'!OSRRefP22_2x_0</vt:lpstr>
      <vt:lpstr>'413'!OSRRefP22_2x_0</vt:lpstr>
      <vt:lpstr>'414'!OSRRefP22_2x_0</vt:lpstr>
      <vt:lpstr>'415'!OSRRefP22_2x_0</vt:lpstr>
      <vt:lpstr>'418'!OSRRefP22_2x_0</vt:lpstr>
      <vt:lpstr>'420'!OSRRefP22_2x_0</vt:lpstr>
      <vt:lpstr>'423'!OSRRefP22_2x_0</vt:lpstr>
      <vt:lpstr>'424'!OSRRefP22_2x_0</vt:lpstr>
      <vt:lpstr>'425'!OSRRefP22_2x_0</vt:lpstr>
      <vt:lpstr>'430'!OSRRefP22_2x_0</vt:lpstr>
      <vt:lpstr>'433'!OSRRefP22_2x_0</vt:lpstr>
      <vt:lpstr>'435'!OSRRefP22_2x_0</vt:lpstr>
      <vt:lpstr>'444'!OSRRefP22_2x_0</vt:lpstr>
      <vt:lpstr>'450'!OSRRefP22_2x_0</vt:lpstr>
      <vt:lpstr>'491'!OSRRefP22_2x_0</vt:lpstr>
      <vt:lpstr>'492'!OSRRefP22_2x_0</vt:lpstr>
      <vt:lpstr>'501'!OSRRefP22_2x_0</vt:lpstr>
      <vt:lpstr>'Div 2'!OSRRefP22_2x_0</vt:lpstr>
      <vt:lpstr>'Div 3'!OSRRefP22_2x_0</vt:lpstr>
      <vt:lpstr>'Div 4'!OSRRefP22_2x_0</vt:lpstr>
      <vt:lpstr>'Div 5'!OSRRefP22_2x_0</vt:lpstr>
      <vt:lpstr>'Div 6'!OSRRefP22_2x_0</vt:lpstr>
      <vt:lpstr>Summary!OSRRefP22_2x_0</vt:lpstr>
      <vt:lpstr>'200'!OSRRefP22_3x_0</vt:lpstr>
      <vt:lpstr>'201'!OSRRefP22_3x_0</vt:lpstr>
      <vt:lpstr>'202'!OSRRefP22_3x_0</vt:lpstr>
      <vt:lpstr>'203'!OSRRefP22_3x_0</vt:lpstr>
      <vt:lpstr>'204'!OSRRefP22_3x_0</vt:lpstr>
      <vt:lpstr>'205'!OSRRefP22_3x_0</vt:lpstr>
      <vt:lpstr>'206'!OSRRefP22_3x_0</vt:lpstr>
      <vt:lpstr>'300'!OSRRefP22_3x_0</vt:lpstr>
      <vt:lpstr>'300 &amp; 317'!OSRRefP22_3x_0</vt:lpstr>
      <vt:lpstr>'301'!OSRRefP22_3x_0</vt:lpstr>
      <vt:lpstr>'306'!OSRRefP22_3x_0</vt:lpstr>
      <vt:lpstr>'307'!OSRRefP22_3x_0</vt:lpstr>
      <vt:lpstr>'308'!OSRRefP22_3x_0</vt:lpstr>
      <vt:lpstr>'309'!OSRRefP22_3x_0</vt:lpstr>
      <vt:lpstr>'310'!OSRRefP22_3x_0</vt:lpstr>
      <vt:lpstr>'310 &amp; 491'!OSRRefP22_3x_0</vt:lpstr>
      <vt:lpstr>'311'!OSRRefP22_3x_0</vt:lpstr>
      <vt:lpstr>'313'!OSRRefP22_3x_0</vt:lpstr>
      <vt:lpstr>'314'!OSRRefP22_3x_0</vt:lpstr>
      <vt:lpstr>'315'!OSRRefP22_3x_0</vt:lpstr>
      <vt:lpstr>'316'!OSRRefP22_3x_0</vt:lpstr>
      <vt:lpstr>'317'!OSRRefP22_3x_0</vt:lpstr>
      <vt:lpstr>'320'!OSRRefP22_3x_0</vt:lpstr>
      <vt:lpstr>'321'!OSRRefP22_3x_0</vt:lpstr>
      <vt:lpstr>'322'!OSRRefP22_3x_0</vt:lpstr>
      <vt:lpstr>'325'!OSRRefP22_3x_0</vt:lpstr>
      <vt:lpstr>'326'!OSRRefP22_3x_0</vt:lpstr>
      <vt:lpstr>'330'!OSRRefP22_3x_0</vt:lpstr>
      <vt:lpstr>'331'!OSRRefP22_3x_0</vt:lpstr>
      <vt:lpstr>'332'!OSRRefP22_3x_0</vt:lpstr>
      <vt:lpstr>'405'!OSRRefP22_3x_0</vt:lpstr>
      <vt:lpstr>'406'!OSRRefP22_3x_0</vt:lpstr>
      <vt:lpstr>'411'!OSRRefP22_3x_0</vt:lpstr>
      <vt:lpstr>'412'!OSRRefP22_3x_0</vt:lpstr>
      <vt:lpstr>'413'!OSRRefP22_3x_0</vt:lpstr>
      <vt:lpstr>'414'!OSRRefP22_3x_0</vt:lpstr>
      <vt:lpstr>'415'!OSRRefP22_3x_0</vt:lpstr>
      <vt:lpstr>'418'!OSRRefP22_3x_0</vt:lpstr>
      <vt:lpstr>'420'!OSRRefP22_3x_0</vt:lpstr>
      <vt:lpstr>'423'!OSRRefP22_3x_0</vt:lpstr>
      <vt:lpstr>'424'!OSRRefP22_3x_0</vt:lpstr>
      <vt:lpstr>'425'!OSRRefP22_3x_0</vt:lpstr>
      <vt:lpstr>'430'!OSRRefP22_3x_0</vt:lpstr>
      <vt:lpstr>'433'!OSRRefP22_3x_0</vt:lpstr>
      <vt:lpstr>'435'!OSRRefP22_3x_0</vt:lpstr>
      <vt:lpstr>'444'!OSRRefP22_3x_0</vt:lpstr>
      <vt:lpstr>'450'!OSRRefP22_3x_0</vt:lpstr>
      <vt:lpstr>'491'!OSRRefP22_3x_0</vt:lpstr>
      <vt:lpstr>'492'!OSRRefP22_3x_0</vt:lpstr>
      <vt:lpstr>'501'!OSRRefP22_3x_0</vt:lpstr>
      <vt:lpstr>'Div 2'!OSRRefP22_3x_0</vt:lpstr>
      <vt:lpstr>'Div 3'!OSRRefP22_3x_0</vt:lpstr>
      <vt:lpstr>'Div 4'!OSRRefP22_3x_0</vt:lpstr>
      <vt:lpstr>'Div 5'!OSRRefP22_3x_0</vt:lpstr>
      <vt:lpstr>'Div 6'!OSRRefP22_3x_0</vt:lpstr>
      <vt:lpstr>Summary!OSRRefP22_3x_0</vt:lpstr>
      <vt:lpstr>'200'!OSRRefP22_4x_0</vt:lpstr>
      <vt:lpstr>'201'!OSRRefP22_4x_0</vt:lpstr>
      <vt:lpstr>'202'!OSRRefP22_4x_0</vt:lpstr>
      <vt:lpstr>'203'!OSRRefP22_4x_0</vt:lpstr>
      <vt:lpstr>'204'!OSRRefP22_4x_0</vt:lpstr>
      <vt:lpstr>'205'!OSRRefP22_4x_0</vt:lpstr>
      <vt:lpstr>'206'!OSRRefP22_4x_0</vt:lpstr>
      <vt:lpstr>'300'!OSRRefP22_4x_0</vt:lpstr>
      <vt:lpstr>'300 &amp; 317'!OSRRefP22_4x_0</vt:lpstr>
      <vt:lpstr>'301'!OSRRefP22_4x_0</vt:lpstr>
      <vt:lpstr>'306'!OSRRefP22_4x_0</vt:lpstr>
      <vt:lpstr>'307'!OSRRefP22_4x_0</vt:lpstr>
      <vt:lpstr>'308'!OSRRefP22_4x_0</vt:lpstr>
      <vt:lpstr>'309'!OSRRefP22_4x_0</vt:lpstr>
      <vt:lpstr>'310'!OSRRefP22_4x_0</vt:lpstr>
      <vt:lpstr>'310 &amp; 491'!OSRRefP22_4x_0</vt:lpstr>
      <vt:lpstr>'311'!OSRRefP22_4x_0</vt:lpstr>
      <vt:lpstr>'313'!OSRRefP22_4x_0</vt:lpstr>
      <vt:lpstr>'314'!OSRRefP22_4x_0</vt:lpstr>
      <vt:lpstr>'315'!OSRRefP22_4x_0</vt:lpstr>
      <vt:lpstr>'316'!OSRRefP22_4x_0</vt:lpstr>
      <vt:lpstr>'317'!OSRRefP22_4x_0</vt:lpstr>
      <vt:lpstr>'320'!OSRRefP22_4x_0</vt:lpstr>
      <vt:lpstr>'321'!OSRRefP22_4x_0</vt:lpstr>
      <vt:lpstr>'322'!OSRRefP22_4x_0</vt:lpstr>
      <vt:lpstr>'325'!OSRRefP22_4x_0</vt:lpstr>
      <vt:lpstr>'326'!OSRRefP22_4x_0</vt:lpstr>
      <vt:lpstr>'330'!OSRRefP22_4x_0</vt:lpstr>
      <vt:lpstr>'331'!OSRRefP22_4x_0</vt:lpstr>
      <vt:lpstr>'332'!OSRRefP22_4x_0</vt:lpstr>
      <vt:lpstr>'405'!OSRRefP22_4x_0</vt:lpstr>
      <vt:lpstr>'406'!OSRRefP22_4x_0</vt:lpstr>
      <vt:lpstr>'411'!OSRRefP22_4x_0</vt:lpstr>
      <vt:lpstr>'412'!OSRRefP22_4x_0</vt:lpstr>
      <vt:lpstr>'413'!OSRRefP22_4x_0</vt:lpstr>
      <vt:lpstr>'414'!OSRRefP22_4x_0</vt:lpstr>
      <vt:lpstr>'415'!OSRRefP22_4x_0</vt:lpstr>
      <vt:lpstr>'418'!OSRRefP22_4x_0</vt:lpstr>
      <vt:lpstr>'420'!OSRRefP22_4x_0</vt:lpstr>
      <vt:lpstr>'423'!OSRRefP22_4x_0</vt:lpstr>
      <vt:lpstr>'424'!OSRRefP22_4x_0</vt:lpstr>
      <vt:lpstr>'425'!OSRRefP22_4x_0</vt:lpstr>
      <vt:lpstr>'430'!OSRRefP22_4x_0</vt:lpstr>
      <vt:lpstr>'433'!OSRRefP22_4x_0</vt:lpstr>
      <vt:lpstr>'435'!OSRRefP22_4x_0</vt:lpstr>
      <vt:lpstr>'444'!OSRRefP22_4x_0</vt:lpstr>
      <vt:lpstr>'450'!OSRRefP22_4x_0</vt:lpstr>
      <vt:lpstr>'491'!OSRRefP22_4x_0</vt:lpstr>
      <vt:lpstr>'492'!OSRRefP22_4x_0</vt:lpstr>
      <vt:lpstr>'501'!OSRRefP22_4x_0</vt:lpstr>
      <vt:lpstr>'Div 2'!OSRRefP22_4x_0</vt:lpstr>
      <vt:lpstr>'Div 3'!OSRRefP22_4x_0</vt:lpstr>
      <vt:lpstr>'Div 4'!OSRRefP22_4x_0</vt:lpstr>
      <vt:lpstr>'Div 5'!OSRRefP22_4x_0</vt:lpstr>
      <vt:lpstr>'Div 6'!OSRRefP22_4x_0</vt:lpstr>
      <vt:lpstr>Summary!OSRRefP22_4x_0</vt:lpstr>
      <vt:lpstr>'201'!OSRRefP22_5x_0</vt:lpstr>
      <vt:lpstr>'202'!OSRRefP22_5x_0</vt:lpstr>
      <vt:lpstr>'203'!OSRRefP22_5x_0</vt:lpstr>
      <vt:lpstr>'204'!OSRRefP22_5x_0</vt:lpstr>
      <vt:lpstr>'205'!OSRRefP22_5x_0</vt:lpstr>
      <vt:lpstr>'206'!OSRRefP22_5x_0</vt:lpstr>
      <vt:lpstr>'300'!OSRRefP22_5x_0</vt:lpstr>
      <vt:lpstr>'300 &amp; 317'!OSRRefP22_5x_0</vt:lpstr>
      <vt:lpstr>'301'!OSRRefP22_5x_0</vt:lpstr>
      <vt:lpstr>'306'!OSRRefP22_5x_0</vt:lpstr>
      <vt:lpstr>'307'!OSRRefP22_5x_0</vt:lpstr>
      <vt:lpstr>'308'!OSRRefP22_5x_0</vt:lpstr>
      <vt:lpstr>'309'!OSRRefP22_5x_0</vt:lpstr>
      <vt:lpstr>'310'!OSRRefP22_5x_0</vt:lpstr>
      <vt:lpstr>'310 &amp; 491'!OSRRefP22_5x_0</vt:lpstr>
      <vt:lpstr>'311'!OSRRefP22_5x_0</vt:lpstr>
      <vt:lpstr>'313'!OSRRefP22_5x_0</vt:lpstr>
      <vt:lpstr>'314'!OSRRefP22_5x_0</vt:lpstr>
      <vt:lpstr>'315'!OSRRefP22_5x_0</vt:lpstr>
      <vt:lpstr>'316'!OSRRefP22_5x_0</vt:lpstr>
      <vt:lpstr>'317'!OSRRefP22_5x_0</vt:lpstr>
      <vt:lpstr>'320'!OSRRefP22_5x_0</vt:lpstr>
      <vt:lpstr>'321'!OSRRefP22_5x_0</vt:lpstr>
      <vt:lpstr>'322'!OSRRefP22_5x_0</vt:lpstr>
      <vt:lpstr>'325'!OSRRefP22_5x_0</vt:lpstr>
      <vt:lpstr>'326'!OSRRefP22_5x_0</vt:lpstr>
      <vt:lpstr>'330'!OSRRefP22_5x_0</vt:lpstr>
      <vt:lpstr>'331'!OSRRefP22_5x_0</vt:lpstr>
      <vt:lpstr>'332'!OSRRefP22_5x_0</vt:lpstr>
      <vt:lpstr>'405'!OSRRefP22_5x_0</vt:lpstr>
      <vt:lpstr>'406'!OSRRefP22_5x_0</vt:lpstr>
      <vt:lpstr>'411'!OSRRefP22_5x_0</vt:lpstr>
      <vt:lpstr>'412'!OSRRefP22_5x_0</vt:lpstr>
      <vt:lpstr>'413'!OSRRefP22_5x_0</vt:lpstr>
      <vt:lpstr>'414'!OSRRefP22_5x_0</vt:lpstr>
      <vt:lpstr>'415'!OSRRefP22_5x_0</vt:lpstr>
      <vt:lpstr>'418'!OSRRefP22_5x_0</vt:lpstr>
      <vt:lpstr>'420'!OSRRefP22_5x_0</vt:lpstr>
      <vt:lpstr>'423'!OSRRefP22_5x_0</vt:lpstr>
      <vt:lpstr>'424'!OSRRefP22_5x_0</vt:lpstr>
      <vt:lpstr>'425'!OSRRefP22_5x_0</vt:lpstr>
      <vt:lpstr>'430'!OSRRefP22_5x_0</vt:lpstr>
      <vt:lpstr>'433'!OSRRefP22_5x_0</vt:lpstr>
      <vt:lpstr>'435'!OSRRefP22_5x_0</vt:lpstr>
      <vt:lpstr>'444'!OSRRefP22_5x_0</vt:lpstr>
      <vt:lpstr>'450'!OSRRefP22_5x_0</vt:lpstr>
      <vt:lpstr>'491'!OSRRefP22_5x_0</vt:lpstr>
      <vt:lpstr>'492'!OSRRefP22_5x_0</vt:lpstr>
      <vt:lpstr>'501'!OSRRefP22_5x_0</vt:lpstr>
      <vt:lpstr>'Div 2'!OSRRefP22_5x_0</vt:lpstr>
      <vt:lpstr>'Div 3'!OSRRefP22_5x_0</vt:lpstr>
      <vt:lpstr>'Div 4'!OSRRefP22_5x_0</vt:lpstr>
      <vt:lpstr>'Div 5'!OSRRefP22_5x_0</vt:lpstr>
      <vt:lpstr>'Div 6'!OSRRefP22_5x_0</vt:lpstr>
      <vt:lpstr>Summary!OSRRefP22_5x_0</vt:lpstr>
      <vt:lpstr>'201'!OSRRefP22_6x_0</vt:lpstr>
      <vt:lpstr>'202'!OSRRefP22_6x_0</vt:lpstr>
      <vt:lpstr>'203'!OSRRefP22_6x_0</vt:lpstr>
      <vt:lpstr>'204'!OSRRefP22_6x_0</vt:lpstr>
      <vt:lpstr>'205'!OSRRefP22_6x_0</vt:lpstr>
      <vt:lpstr>'206'!OSRRefP22_6x_0</vt:lpstr>
      <vt:lpstr>'300'!OSRRefP22_6x_0</vt:lpstr>
      <vt:lpstr>'300 &amp; 317'!OSRRefP22_6x_0</vt:lpstr>
      <vt:lpstr>'301'!OSRRefP22_6x_0</vt:lpstr>
      <vt:lpstr>'306'!OSRRefP22_6x_0</vt:lpstr>
      <vt:lpstr>'307'!OSRRefP22_6x_0</vt:lpstr>
      <vt:lpstr>'308'!OSRRefP22_6x_0</vt:lpstr>
      <vt:lpstr>'309'!OSRRefP22_6x_0</vt:lpstr>
      <vt:lpstr>'310'!OSRRefP22_6x_0</vt:lpstr>
      <vt:lpstr>'310 &amp; 491'!OSRRefP22_6x_0</vt:lpstr>
      <vt:lpstr>'311'!OSRRefP22_6x_0</vt:lpstr>
      <vt:lpstr>'313'!OSRRefP22_6x_0</vt:lpstr>
      <vt:lpstr>'314'!OSRRefP22_6x_0</vt:lpstr>
      <vt:lpstr>'315'!OSRRefP22_6x_0</vt:lpstr>
      <vt:lpstr>'316'!OSRRefP22_6x_0</vt:lpstr>
      <vt:lpstr>'317'!OSRRefP22_6x_0</vt:lpstr>
      <vt:lpstr>'320'!OSRRefP22_6x_0</vt:lpstr>
      <vt:lpstr>'321'!OSRRefP22_6x_0</vt:lpstr>
      <vt:lpstr>'322'!OSRRefP22_6x_0</vt:lpstr>
      <vt:lpstr>'325'!OSRRefP22_6x_0</vt:lpstr>
      <vt:lpstr>'326'!OSRRefP22_6x_0</vt:lpstr>
      <vt:lpstr>'330'!OSRRefP22_6x_0</vt:lpstr>
      <vt:lpstr>'331'!OSRRefP22_6x_0</vt:lpstr>
      <vt:lpstr>'332'!OSRRefP22_6x_0</vt:lpstr>
      <vt:lpstr>'405'!OSRRefP22_6x_0</vt:lpstr>
      <vt:lpstr>'406'!OSRRefP22_6x_0</vt:lpstr>
      <vt:lpstr>'411'!OSRRefP22_6x_0</vt:lpstr>
      <vt:lpstr>'412'!OSRRefP22_6x_0</vt:lpstr>
      <vt:lpstr>'413'!OSRRefP22_6x_0</vt:lpstr>
      <vt:lpstr>'414'!OSRRefP22_6x_0</vt:lpstr>
      <vt:lpstr>'415'!OSRRefP22_6x_0</vt:lpstr>
      <vt:lpstr>'418'!OSRRefP22_6x_0</vt:lpstr>
      <vt:lpstr>'420'!OSRRefP22_6x_0</vt:lpstr>
      <vt:lpstr>'423'!OSRRefP22_6x_0</vt:lpstr>
      <vt:lpstr>'424'!OSRRefP22_6x_0</vt:lpstr>
      <vt:lpstr>'425'!OSRRefP22_6x_0</vt:lpstr>
      <vt:lpstr>'430'!OSRRefP22_6x_0</vt:lpstr>
      <vt:lpstr>'433'!OSRRefP22_6x_0</vt:lpstr>
      <vt:lpstr>'435'!OSRRefP22_6x_0</vt:lpstr>
      <vt:lpstr>'444'!OSRRefP22_6x_0</vt:lpstr>
      <vt:lpstr>'450'!OSRRefP22_6x_0</vt:lpstr>
      <vt:lpstr>'491'!OSRRefP22_6x_0</vt:lpstr>
      <vt:lpstr>'492'!OSRRefP22_6x_0</vt:lpstr>
      <vt:lpstr>'501'!OSRRefP22_6x_0</vt:lpstr>
      <vt:lpstr>'Div 2'!OSRRefP22_6x_0</vt:lpstr>
      <vt:lpstr>'Div 3'!OSRRefP22_6x_0</vt:lpstr>
      <vt:lpstr>'Div 4'!OSRRefP22_6x_0</vt:lpstr>
      <vt:lpstr>'Div 5'!OSRRefP22_6x_0</vt:lpstr>
      <vt:lpstr>'Div 6'!OSRRefP22_6x_0</vt:lpstr>
      <vt:lpstr>Summary!OSRRefP22_6x_0</vt:lpstr>
      <vt:lpstr>'201'!OSRRefP22_7x_0</vt:lpstr>
      <vt:lpstr>'202'!OSRRefP22_7x_0</vt:lpstr>
      <vt:lpstr>'203'!OSRRefP22_7x_0</vt:lpstr>
      <vt:lpstr>'204'!OSRRefP22_7x_0</vt:lpstr>
      <vt:lpstr>'205'!OSRRefP22_7x_0</vt:lpstr>
      <vt:lpstr>'206'!OSRRefP22_7x_0</vt:lpstr>
      <vt:lpstr>'300'!OSRRefP22_7x_0</vt:lpstr>
      <vt:lpstr>'300 &amp; 317'!OSRRefP22_7x_0</vt:lpstr>
      <vt:lpstr>'301'!OSRRefP22_7x_0</vt:lpstr>
      <vt:lpstr>'306'!OSRRefP22_7x_0</vt:lpstr>
      <vt:lpstr>'307'!OSRRefP22_7x_0</vt:lpstr>
      <vt:lpstr>'308'!OSRRefP22_7x_0</vt:lpstr>
      <vt:lpstr>'309'!OSRRefP22_7x_0</vt:lpstr>
      <vt:lpstr>'310'!OSRRefP22_7x_0</vt:lpstr>
      <vt:lpstr>'310 &amp; 491'!OSRRefP22_7x_0</vt:lpstr>
      <vt:lpstr>'311'!OSRRefP22_7x_0</vt:lpstr>
      <vt:lpstr>'313'!OSRRefP22_7x_0</vt:lpstr>
      <vt:lpstr>'314'!OSRRefP22_7x_0</vt:lpstr>
      <vt:lpstr>'315'!OSRRefP22_7x_0</vt:lpstr>
      <vt:lpstr>'316'!OSRRefP22_7x_0</vt:lpstr>
      <vt:lpstr>'317'!OSRRefP22_7x_0</vt:lpstr>
      <vt:lpstr>'320'!OSRRefP22_7x_0</vt:lpstr>
      <vt:lpstr>'321'!OSRRefP22_7x_0</vt:lpstr>
      <vt:lpstr>'322'!OSRRefP22_7x_0</vt:lpstr>
      <vt:lpstr>'325'!OSRRefP22_7x_0</vt:lpstr>
      <vt:lpstr>'326'!OSRRefP22_7x_0</vt:lpstr>
      <vt:lpstr>'330'!OSRRefP22_7x_0</vt:lpstr>
      <vt:lpstr>'331'!OSRRefP22_7x_0</vt:lpstr>
      <vt:lpstr>'332'!OSRRefP22_7x_0</vt:lpstr>
      <vt:lpstr>'405'!OSRRefP22_7x_0</vt:lpstr>
      <vt:lpstr>'406'!OSRRefP22_7x_0</vt:lpstr>
      <vt:lpstr>'411'!OSRRefP22_7x_0</vt:lpstr>
      <vt:lpstr>'412'!OSRRefP22_7x_0</vt:lpstr>
      <vt:lpstr>'413'!OSRRefP22_7x_0</vt:lpstr>
      <vt:lpstr>'414'!OSRRefP22_7x_0</vt:lpstr>
      <vt:lpstr>'415'!OSRRefP22_7x_0</vt:lpstr>
      <vt:lpstr>'418'!OSRRefP22_7x_0</vt:lpstr>
      <vt:lpstr>'420'!OSRRefP22_7x_0</vt:lpstr>
      <vt:lpstr>'424'!OSRRefP22_7x_0</vt:lpstr>
      <vt:lpstr>'425'!OSRRefP22_7x_0</vt:lpstr>
      <vt:lpstr>'430'!OSRRefP22_7x_0</vt:lpstr>
      <vt:lpstr>'433'!OSRRefP22_7x_0</vt:lpstr>
      <vt:lpstr>'435'!OSRRefP22_7x_0</vt:lpstr>
      <vt:lpstr>'444'!OSRRefP22_7x_0</vt:lpstr>
      <vt:lpstr>'450'!OSRRefP22_7x_0</vt:lpstr>
      <vt:lpstr>'491'!OSRRefP22_7x_0</vt:lpstr>
      <vt:lpstr>'492'!OSRRefP22_7x_0</vt:lpstr>
      <vt:lpstr>'501'!OSRRefP22_7x_0</vt:lpstr>
      <vt:lpstr>'Div 2'!OSRRefP22_7x_0</vt:lpstr>
      <vt:lpstr>'Div 3'!OSRRefP22_7x_0</vt:lpstr>
      <vt:lpstr>'Div 4'!OSRRefP22_7x_0</vt:lpstr>
      <vt:lpstr>'Div 5'!OSRRefP22_7x_0</vt:lpstr>
      <vt:lpstr>'Div 6'!OSRRefP22_7x_0</vt:lpstr>
      <vt:lpstr>Summary!OSRRefP22_7x_0</vt:lpstr>
      <vt:lpstr>'201'!OSRRefP22_8x_0</vt:lpstr>
      <vt:lpstr>'202'!OSRRefP22_8x_0</vt:lpstr>
      <vt:lpstr>'203'!OSRRefP22_8x_0</vt:lpstr>
      <vt:lpstr>'204'!OSRRefP22_8x_0</vt:lpstr>
      <vt:lpstr>'205'!OSRRefP22_8x_0</vt:lpstr>
      <vt:lpstr>'206'!OSRRefP22_8x_0</vt:lpstr>
      <vt:lpstr>'300'!OSRRefP22_8x_0</vt:lpstr>
      <vt:lpstr>'300 &amp; 317'!OSRRefP22_8x_0</vt:lpstr>
      <vt:lpstr>'301'!OSRRefP22_8x_0</vt:lpstr>
      <vt:lpstr>'306'!OSRRefP22_8x_0</vt:lpstr>
      <vt:lpstr>'307'!OSRRefP22_8x_0</vt:lpstr>
      <vt:lpstr>'308'!OSRRefP22_8x_0</vt:lpstr>
      <vt:lpstr>'309'!OSRRefP22_8x_0</vt:lpstr>
      <vt:lpstr>'310'!OSRRefP22_8x_0</vt:lpstr>
      <vt:lpstr>'310 &amp; 491'!OSRRefP22_8x_0</vt:lpstr>
      <vt:lpstr>'311'!OSRRefP22_8x_0</vt:lpstr>
      <vt:lpstr>'313'!OSRRefP22_8x_0</vt:lpstr>
      <vt:lpstr>'314'!OSRRefP22_8x_0</vt:lpstr>
      <vt:lpstr>'315'!OSRRefP22_8x_0</vt:lpstr>
      <vt:lpstr>'316'!OSRRefP22_8x_0</vt:lpstr>
      <vt:lpstr>'317'!OSRRefP22_8x_0</vt:lpstr>
      <vt:lpstr>'320'!OSRRefP22_8x_0</vt:lpstr>
      <vt:lpstr>'321'!OSRRefP22_8x_0</vt:lpstr>
      <vt:lpstr>'322'!OSRRefP22_8x_0</vt:lpstr>
      <vt:lpstr>'325'!OSRRefP22_8x_0</vt:lpstr>
      <vt:lpstr>'326'!OSRRefP22_8x_0</vt:lpstr>
      <vt:lpstr>'330'!OSRRefP22_8x_0</vt:lpstr>
      <vt:lpstr>'331'!OSRRefP22_8x_0</vt:lpstr>
      <vt:lpstr>'332'!OSRRefP22_8x_0</vt:lpstr>
      <vt:lpstr>'405'!OSRRefP22_8x_0</vt:lpstr>
      <vt:lpstr>'406'!OSRRefP22_8x_0</vt:lpstr>
      <vt:lpstr>'411'!OSRRefP22_8x_0</vt:lpstr>
      <vt:lpstr>'412'!OSRRefP22_8x_0</vt:lpstr>
      <vt:lpstr>'413'!OSRRefP22_8x_0</vt:lpstr>
      <vt:lpstr>'414'!OSRRefP22_8x_0</vt:lpstr>
      <vt:lpstr>'415'!OSRRefP22_8x_0</vt:lpstr>
      <vt:lpstr>'418'!OSRRefP22_8x_0</vt:lpstr>
      <vt:lpstr>'424'!OSRRefP22_8x_0</vt:lpstr>
      <vt:lpstr>'425'!OSRRefP22_8x_0</vt:lpstr>
      <vt:lpstr>'433'!OSRRefP22_8x_0</vt:lpstr>
      <vt:lpstr>'435'!OSRRefP22_8x_0</vt:lpstr>
      <vt:lpstr>'444'!OSRRefP22_8x_0</vt:lpstr>
      <vt:lpstr>'450'!OSRRefP22_8x_0</vt:lpstr>
      <vt:lpstr>'491'!OSRRefP22_8x_0</vt:lpstr>
      <vt:lpstr>'492'!OSRRefP22_8x_0</vt:lpstr>
      <vt:lpstr>'501'!OSRRefP22_8x_0</vt:lpstr>
      <vt:lpstr>'Div 2'!OSRRefP22_8x_0</vt:lpstr>
      <vt:lpstr>'Div 3'!OSRRefP22_8x_0</vt:lpstr>
      <vt:lpstr>'Div 4'!OSRRefP22_8x_0</vt:lpstr>
      <vt:lpstr>'Div 5'!OSRRefP22_8x_0</vt:lpstr>
      <vt:lpstr>'Div 6'!OSRRefP22_8x_0</vt:lpstr>
      <vt:lpstr>Summary!OSRRefP22_8x_0</vt:lpstr>
      <vt:lpstr>'201'!OSRRefP22_9x_0</vt:lpstr>
      <vt:lpstr>'202'!OSRRefP22_9x_0</vt:lpstr>
      <vt:lpstr>'203'!OSRRefP22_9x_0</vt:lpstr>
      <vt:lpstr>'204'!OSRRefP22_9x_0</vt:lpstr>
      <vt:lpstr>'300'!OSRRefP22_9x_0</vt:lpstr>
      <vt:lpstr>'300 &amp; 317'!OSRRefP22_9x_0</vt:lpstr>
      <vt:lpstr>'301'!OSRRefP22_9x_0</vt:lpstr>
      <vt:lpstr>'306'!OSRRefP22_9x_0</vt:lpstr>
      <vt:lpstr>'307'!OSRRefP22_9x_0</vt:lpstr>
      <vt:lpstr>'308'!OSRRefP22_9x_0</vt:lpstr>
      <vt:lpstr>'309'!OSRRefP22_9x_0</vt:lpstr>
      <vt:lpstr>'310'!OSRRefP22_9x_0</vt:lpstr>
      <vt:lpstr>'310 &amp; 491'!OSRRefP22_9x_0</vt:lpstr>
      <vt:lpstr>'311'!OSRRefP22_9x_0</vt:lpstr>
      <vt:lpstr>'313'!OSRRefP22_9x_0</vt:lpstr>
      <vt:lpstr>'314'!OSRRefP22_9x_0</vt:lpstr>
      <vt:lpstr>'315'!OSRRefP22_9x_0</vt:lpstr>
      <vt:lpstr>'316'!OSRRefP22_9x_0</vt:lpstr>
      <vt:lpstr>'317'!OSRRefP22_9x_0</vt:lpstr>
      <vt:lpstr>'321'!OSRRefP22_9x_0</vt:lpstr>
      <vt:lpstr>'322'!OSRRefP22_9x_0</vt:lpstr>
      <vt:lpstr>'325'!OSRRefP22_9x_0</vt:lpstr>
      <vt:lpstr>'326'!OSRRefP22_9x_0</vt:lpstr>
      <vt:lpstr>'330'!OSRRefP22_9x_0</vt:lpstr>
      <vt:lpstr>'331'!OSRRefP22_9x_0</vt:lpstr>
      <vt:lpstr>'332'!OSRRefP22_9x_0</vt:lpstr>
      <vt:lpstr>'405'!OSRRefP22_9x_0</vt:lpstr>
      <vt:lpstr>'406'!OSRRefP22_9x_0</vt:lpstr>
      <vt:lpstr>'411'!OSRRefP22_9x_0</vt:lpstr>
      <vt:lpstr>'412'!OSRRefP22_9x_0</vt:lpstr>
      <vt:lpstr>'413'!OSRRefP22_9x_0</vt:lpstr>
      <vt:lpstr>'414'!OSRRefP22_9x_0</vt:lpstr>
      <vt:lpstr>'415'!OSRRefP22_9x_0</vt:lpstr>
      <vt:lpstr>'418'!OSRRefP22_9x_0</vt:lpstr>
      <vt:lpstr>'424'!OSRRefP22_9x_0</vt:lpstr>
      <vt:lpstr>'425'!OSRRefP22_9x_0</vt:lpstr>
      <vt:lpstr>'433'!OSRRefP22_9x_0</vt:lpstr>
      <vt:lpstr>'444'!OSRRefP22_9x_0</vt:lpstr>
      <vt:lpstr>'450'!OSRRefP22_9x_0</vt:lpstr>
      <vt:lpstr>'491'!OSRRefP22_9x_0</vt:lpstr>
      <vt:lpstr>'492'!OSRRefP22_9x_0</vt:lpstr>
      <vt:lpstr>'501'!OSRRefP22_9x_0</vt:lpstr>
      <vt:lpstr>'Div 2'!OSRRefP22_9x_0</vt:lpstr>
      <vt:lpstr>'Div 3'!OSRRefP22_9x_0</vt:lpstr>
      <vt:lpstr>'Div 4'!OSRRefP22_9x_0</vt:lpstr>
      <vt:lpstr>'Div 5'!OSRRefP22_9x_0</vt:lpstr>
      <vt:lpstr>'Div 6'!OSRRefP22_9x_0</vt:lpstr>
      <vt:lpstr>Summary!OSRRefP22_9x_0</vt:lpstr>
      <vt:lpstr>'200'!OSRRefP22x_0</vt:lpstr>
      <vt:lpstr>'201'!OSRRefP22x_0</vt:lpstr>
      <vt:lpstr>'202'!OSRRefP22x_0</vt:lpstr>
      <vt:lpstr>'203'!OSRRefP22x_0</vt:lpstr>
      <vt:lpstr>'204'!OSRRefP22x_0</vt:lpstr>
      <vt:lpstr>'205'!OSRRefP22x_0</vt:lpstr>
      <vt:lpstr>'206'!OSRRefP22x_0</vt:lpstr>
      <vt:lpstr>'300'!OSRRefP22x_0</vt:lpstr>
      <vt:lpstr>'300 &amp; 317'!OSRRefP22x_0</vt:lpstr>
      <vt:lpstr>'301'!OSRRefP22x_0</vt:lpstr>
      <vt:lpstr>'306'!OSRRefP22x_0</vt:lpstr>
      <vt:lpstr>'307'!OSRRefP22x_0</vt:lpstr>
      <vt:lpstr>'308'!OSRRefP22x_0</vt:lpstr>
      <vt:lpstr>'309'!OSRRefP22x_0</vt:lpstr>
      <vt:lpstr>'310'!OSRRefP22x_0</vt:lpstr>
      <vt:lpstr>'310 &amp; 491'!OSRRefP22x_0</vt:lpstr>
      <vt:lpstr>'311'!OSRRefP22x_0</vt:lpstr>
      <vt:lpstr>'313'!OSRRefP22x_0</vt:lpstr>
      <vt:lpstr>'314'!OSRRefP22x_0</vt:lpstr>
      <vt:lpstr>'315'!OSRRefP22x_0</vt:lpstr>
      <vt:lpstr>'316'!OSRRefP22x_0</vt:lpstr>
      <vt:lpstr>'317'!OSRRefP22x_0</vt:lpstr>
      <vt:lpstr>'320'!OSRRefP22x_0</vt:lpstr>
      <vt:lpstr>'321'!OSRRefP22x_0</vt:lpstr>
      <vt:lpstr>'322'!OSRRefP22x_0</vt:lpstr>
      <vt:lpstr>'325'!OSRRefP22x_0</vt:lpstr>
      <vt:lpstr>'326'!OSRRefP22x_0</vt:lpstr>
      <vt:lpstr>'327'!OSRRefP22x_0</vt:lpstr>
      <vt:lpstr>'330'!OSRRefP22x_0</vt:lpstr>
      <vt:lpstr>'331'!OSRRefP22x_0</vt:lpstr>
      <vt:lpstr>'332'!OSRRefP22x_0</vt:lpstr>
      <vt:lpstr>'405'!OSRRefP22x_0</vt:lpstr>
      <vt:lpstr>'406'!OSRRefP22x_0</vt:lpstr>
      <vt:lpstr>'411'!OSRRefP22x_0</vt:lpstr>
      <vt:lpstr>'412'!OSRRefP22x_0</vt:lpstr>
      <vt:lpstr>'413'!OSRRefP22x_0</vt:lpstr>
      <vt:lpstr>'414'!OSRRefP22x_0</vt:lpstr>
      <vt:lpstr>'415'!OSRRefP22x_0</vt:lpstr>
      <vt:lpstr>'418'!OSRRefP22x_0</vt:lpstr>
      <vt:lpstr>'420'!OSRRefP22x_0</vt:lpstr>
      <vt:lpstr>'423'!OSRRefP22x_0</vt:lpstr>
      <vt:lpstr>'424'!OSRRefP22x_0</vt:lpstr>
      <vt:lpstr>'425'!OSRRefP22x_0</vt:lpstr>
      <vt:lpstr>'430'!OSRRefP22x_0</vt:lpstr>
      <vt:lpstr>'433'!OSRRefP22x_0</vt:lpstr>
      <vt:lpstr>'435'!OSRRefP22x_0</vt:lpstr>
      <vt:lpstr>'444'!OSRRefP22x_0</vt:lpstr>
      <vt:lpstr>'450'!OSRRefP22x_0</vt:lpstr>
      <vt:lpstr>'455'!OSRRefP22x_0</vt:lpstr>
      <vt:lpstr>'491'!OSRRefP22x_0</vt:lpstr>
      <vt:lpstr>'492'!OSRRefP22x_0</vt:lpstr>
      <vt:lpstr>'501'!OSRRefP22x_0</vt:lpstr>
      <vt:lpstr>'Div 2'!OSRRefP22x_0</vt:lpstr>
      <vt:lpstr>'Div 3'!OSRRefP22x_0</vt:lpstr>
      <vt:lpstr>'Div 4'!OSRRefP22x_0</vt:lpstr>
      <vt:lpstr>'Div 5'!OSRRefP22x_0</vt:lpstr>
      <vt:lpstr>'Div 6'!OSRRefP22x_0</vt:lpstr>
      <vt:lpstr>Summary!OSRRefP22x_0</vt:lpstr>
      <vt:lpstr>'300'!OSRRefP25x_0</vt:lpstr>
      <vt:lpstr>'300 &amp; 317'!OSRRefP25x_0</vt:lpstr>
      <vt:lpstr>'301'!OSRRefP25x_0</vt:lpstr>
      <vt:lpstr>'307'!OSRRefP25x_0</vt:lpstr>
      <vt:lpstr>'308'!OSRRefP25x_0</vt:lpstr>
      <vt:lpstr>'310 &amp; 491'!OSRRefP25x_0</vt:lpstr>
      <vt:lpstr>'311'!OSRRefP25x_0</vt:lpstr>
      <vt:lpstr>'315'!OSRRefP25x_0</vt:lpstr>
      <vt:lpstr>'316'!OSRRefP25x_0</vt:lpstr>
      <vt:lpstr>'317'!OSRRefP25x_0</vt:lpstr>
      <vt:lpstr>'320'!OSRRefP25x_0</vt:lpstr>
      <vt:lpstr>'330'!OSRRefP25x_0</vt:lpstr>
      <vt:lpstr>'331'!OSRRefP25x_0</vt:lpstr>
      <vt:lpstr>'332'!OSRRefP25x_0</vt:lpstr>
      <vt:lpstr>'411'!OSRRefP25x_0</vt:lpstr>
      <vt:lpstr>'413'!OSRRefP25x_0</vt:lpstr>
      <vt:lpstr>'415'!OSRRefP25x_0</vt:lpstr>
      <vt:lpstr>'418'!OSRRefP25x_0</vt:lpstr>
      <vt:lpstr>'423'!OSRRefP25x_0</vt:lpstr>
      <vt:lpstr>'424'!OSRRefP25x_0</vt:lpstr>
      <vt:lpstr>'425'!OSRRefP25x_0</vt:lpstr>
      <vt:lpstr>'455'!OSRRefP25x_0</vt:lpstr>
      <vt:lpstr>'491'!OSRRefP25x_0</vt:lpstr>
      <vt:lpstr>'501'!OSRRefP25x_0</vt:lpstr>
      <vt:lpstr>'Div 3'!OSRRefP25x_0</vt:lpstr>
      <vt:lpstr>'Div 4'!OSRRefP25x_0</vt:lpstr>
      <vt:lpstr>'Div 5'!OSRRefP25x_0</vt:lpstr>
      <vt:lpstr>'Div 6'!OSRRefP25x_0</vt:lpstr>
      <vt:lpstr>Summary!OSRRefP25x_0</vt:lpstr>
      <vt:lpstr>'300'!OSRRefT13x_0</vt:lpstr>
      <vt:lpstr>'300 &amp; 317'!OSRRefT13x_0</vt:lpstr>
      <vt:lpstr>'307'!OSRRefT13x_0</vt:lpstr>
      <vt:lpstr>'308'!OSRRefT13x_0</vt:lpstr>
      <vt:lpstr>'309'!OSRRefT13x_0</vt:lpstr>
      <vt:lpstr>'310'!OSRRefT13x_0</vt:lpstr>
      <vt:lpstr>'310 &amp; 491'!OSRRefT13x_0</vt:lpstr>
      <vt:lpstr>'311'!OSRRefT13x_0</vt:lpstr>
      <vt:lpstr>'313'!OSRRefT13x_0</vt:lpstr>
      <vt:lpstr>'314'!OSRRefT13x_0</vt:lpstr>
      <vt:lpstr>'315'!OSRRefT13x_0</vt:lpstr>
      <vt:lpstr>'316'!OSRRefT13x_0</vt:lpstr>
      <vt:lpstr>'317'!OSRRefT13x_0</vt:lpstr>
      <vt:lpstr>'320'!OSRRefT13x_0</vt:lpstr>
      <vt:lpstr>'321'!OSRRefT13x_0</vt:lpstr>
      <vt:lpstr>'322'!OSRRefT13x_0</vt:lpstr>
      <vt:lpstr>'324'!OSRRefT13x_0</vt:lpstr>
      <vt:lpstr>'325'!OSRRefT13x_0</vt:lpstr>
      <vt:lpstr>'326'!OSRRefT13x_0</vt:lpstr>
      <vt:lpstr>'327'!OSRRefT13x_0</vt:lpstr>
      <vt:lpstr>'330'!OSRRefT13x_0</vt:lpstr>
      <vt:lpstr>'331'!OSRRefT13x_0</vt:lpstr>
      <vt:lpstr>'332'!OSRRefT13x_0</vt:lpstr>
      <vt:lpstr>'405'!OSRRefT13x_0</vt:lpstr>
      <vt:lpstr>'406'!OSRRefT13x_0</vt:lpstr>
      <vt:lpstr>'412'!OSRRefT13x_0</vt:lpstr>
      <vt:lpstr>'413'!OSRRefT13x_0</vt:lpstr>
      <vt:lpstr>'414'!OSRRefT13x_0</vt:lpstr>
      <vt:lpstr>'415'!OSRRefT13x_0</vt:lpstr>
      <vt:lpstr>'418'!OSRRefT13x_0</vt:lpstr>
      <vt:lpstr>'420'!OSRRefT13x_0</vt:lpstr>
      <vt:lpstr>'424'!OSRRefT13x_0</vt:lpstr>
      <vt:lpstr>'425'!OSRRefT13x_0</vt:lpstr>
      <vt:lpstr>'433'!OSRRefT13x_0</vt:lpstr>
      <vt:lpstr>'435'!OSRRefT13x_0</vt:lpstr>
      <vt:lpstr>'444'!OSRRefT13x_0</vt:lpstr>
      <vt:lpstr>'450'!OSRRefT13x_0</vt:lpstr>
      <vt:lpstr>'491'!OSRRefT13x_0</vt:lpstr>
      <vt:lpstr>'492'!OSRRefT13x_0</vt:lpstr>
      <vt:lpstr>'501'!OSRRefT13x_0</vt:lpstr>
      <vt:lpstr>'Div 3'!OSRRefT13x_0</vt:lpstr>
      <vt:lpstr>'Div 4'!OSRRefT13x_0</vt:lpstr>
      <vt:lpstr>'Div 5'!OSRRefT13x_0</vt:lpstr>
      <vt:lpstr>'Div 6'!OSRRefT13x_0</vt:lpstr>
      <vt:lpstr>Summary!OSRRefT13x_0</vt:lpstr>
      <vt:lpstr>'300'!OSRRefT16x_0</vt:lpstr>
      <vt:lpstr>'300 &amp; 317'!OSRRefT16x_0</vt:lpstr>
      <vt:lpstr>'301'!OSRRefT16x_0</vt:lpstr>
      <vt:lpstr>'307'!OSRRefT16x_0</vt:lpstr>
      <vt:lpstr>'308'!OSRRefT16x_0</vt:lpstr>
      <vt:lpstr>'309'!OSRRefT16x_0</vt:lpstr>
      <vt:lpstr>'310'!OSRRefT16x_0</vt:lpstr>
      <vt:lpstr>'310 &amp; 491'!OSRRefT16x_0</vt:lpstr>
      <vt:lpstr>'311'!OSRRefT16x_0</vt:lpstr>
      <vt:lpstr>'313'!OSRRefT16x_0</vt:lpstr>
      <vt:lpstr>'314'!OSRRefT16x_0</vt:lpstr>
      <vt:lpstr>'315'!OSRRefT16x_0</vt:lpstr>
      <vt:lpstr>'317'!OSRRefT16x_0</vt:lpstr>
      <vt:lpstr>'320'!OSRRefT16x_0</vt:lpstr>
      <vt:lpstr>'321'!OSRRefT16x_0</vt:lpstr>
      <vt:lpstr>'322'!OSRRefT16x_0</vt:lpstr>
      <vt:lpstr>'324'!OSRRefT16x_0</vt:lpstr>
      <vt:lpstr>'325'!OSRRefT16x_0</vt:lpstr>
      <vt:lpstr>'326'!OSRRefT16x_0</vt:lpstr>
      <vt:lpstr>'327'!OSRRefT16x_0</vt:lpstr>
      <vt:lpstr>'330'!OSRRefT16x_0</vt:lpstr>
      <vt:lpstr>'331'!OSRRefT16x_0</vt:lpstr>
      <vt:lpstr>'332'!OSRRefT16x_0</vt:lpstr>
      <vt:lpstr>'405'!OSRRefT16x_0</vt:lpstr>
      <vt:lpstr>'406'!OSRRefT16x_0</vt:lpstr>
      <vt:lpstr>'412'!OSRRefT16x_0</vt:lpstr>
      <vt:lpstr>'413'!OSRRefT16x_0</vt:lpstr>
      <vt:lpstr>'414'!OSRRefT16x_0</vt:lpstr>
      <vt:lpstr>'415'!OSRRefT16x_0</vt:lpstr>
      <vt:lpstr>'418'!OSRRefT16x_0</vt:lpstr>
      <vt:lpstr>'420'!OSRRefT16x_0</vt:lpstr>
      <vt:lpstr>'423'!OSRRefT16x_0</vt:lpstr>
      <vt:lpstr>'424'!OSRRefT16x_0</vt:lpstr>
      <vt:lpstr>'425'!OSRRefT16x_0</vt:lpstr>
      <vt:lpstr>'433'!OSRRefT16x_0</vt:lpstr>
      <vt:lpstr>'435'!OSRRefT16x_0</vt:lpstr>
      <vt:lpstr>'444'!OSRRefT16x_0</vt:lpstr>
      <vt:lpstr>'450'!OSRRefT16x_0</vt:lpstr>
      <vt:lpstr>'491'!OSRRefT16x_0</vt:lpstr>
      <vt:lpstr>'492'!OSRRefT16x_0</vt:lpstr>
      <vt:lpstr>'Div 3'!OSRRefT16x_0</vt:lpstr>
      <vt:lpstr>'Div 4'!OSRRefT16x_0</vt:lpstr>
      <vt:lpstr>'Div 6'!OSRRefT16x_0</vt:lpstr>
      <vt:lpstr>Summary!OSRRefT16x_0</vt:lpstr>
      <vt:lpstr>'200'!OSRRefT22_0x_0</vt:lpstr>
      <vt:lpstr>'201'!OSRRefT22_0x_0</vt:lpstr>
      <vt:lpstr>'202'!OSRRefT22_0x_0</vt:lpstr>
      <vt:lpstr>'203'!OSRRefT22_0x_0</vt:lpstr>
      <vt:lpstr>'204'!OSRRefT22_0x_0</vt:lpstr>
      <vt:lpstr>'205'!OSRRefT22_0x_0</vt:lpstr>
      <vt:lpstr>'206'!OSRRefT22_0x_0</vt:lpstr>
      <vt:lpstr>'300'!OSRRefT22_0x_0</vt:lpstr>
      <vt:lpstr>'300 &amp; 317'!OSRRefT22_0x_0</vt:lpstr>
      <vt:lpstr>'301'!OSRRefT22_0x_0</vt:lpstr>
      <vt:lpstr>'306'!OSRRefT22_0x_0</vt:lpstr>
      <vt:lpstr>'307'!OSRRefT22_0x_0</vt:lpstr>
      <vt:lpstr>'308'!OSRRefT22_0x_0</vt:lpstr>
      <vt:lpstr>'309'!OSRRefT22_0x_0</vt:lpstr>
      <vt:lpstr>'310'!OSRRefT22_0x_0</vt:lpstr>
      <vt:lpstr>'310 &amp; 491'!OSRRefT22_0x_0</vt:lpstr>
      <vt:lpstr>'311'!OSRRefT22_0x_0</vt:lpstr>
      <vt:lpstr>'313'!OSRRefT22_0x_0</vt:lpstr>
      <vt:lpstr>'314'!OSRRefT22_0x_0</vt:lpstr>
      <vt:lpstr>'315'!OSRRefT22_0x_0</vt:lpstr>
      <vt:lpstr>'316'!OSRRefT22_0x_0</vt:lpstr>
      <vt:lpstr>'317'!OSRRefT22_0x_0</vt:lpstr>
      <vt:lpstr>'320'!OSRRefT22_0x_0</vt:lpstr>
      <vt:lpstr>'321'!OSRRefT22_0x_0</vt:lpstr>
      <vt:lpstr>'322'!OSRRefT22_0x_0</vt:lpstr>
      <vt:lpstr>'325'!OSRRefT22_0x_0</vt:lpstr>
      <vt:lpstr>'326'!OSRRefT22_0x_0</vt:lpstr>
      <vt:lpstr>'327'!OSRRefT22_0x_0</vt:lpstr>
      <vt:lpstr>'330'!OSRRefT22_0x_0</vt:lpstr>
      <vt:lpstr>'331'!OSRRefT22_0x_0</vt:lpstr>
      <vt:lpstr>'332'!OSRRefT22_0x_0</vt:lpstr>
      <vt:lpstr>'405'!OSRRefT22_0x_0</vt:lpstr>
      <vt:lpstr>'406'!OSRRefT22_0x_0</vt:lpstr>
      <vt:lpstr>'411'!OSRRefT22_0x_0</vt:lpstr>
      <vt:lpstr>'412'!OSRRefT22_0x_0</vt:lpstr>
      <vt:lpstr>'413'!OSRRefT22_0x_0</vt:lpstr>
      <vt:lpstr>'414'!OSRRefT22_0x_0</vt:lpstr>
      <vt:lpstr>'415'!OSRRefT22_0x_0</vt:lpstr>
      <vt:lpstr>'418'!OSRRefT22_0x_0</vt:lpstr>
      <vt:lpstr>'420'!OSRRefT22_0x_0</vt:lpstr>
      <vt:lpstr>'423'!OSRRefT22_0x_0</vt:lpstr>
      <vt:lpstr>'424'!OSRRefT22_0x_0</vt:lpstr>
      <vt:lpstr>'425'!OSRRefT22_0x_0</vt:lpstr>
      <vt:lpstr>'430'!OSRRefT22_0x_0</vt:lpstr>
      <vt:lpstr>'433'!OSRRefT22_0x_0</vt:lpstr>
      <vt:lpstr>'435'!OSRRefT22_0x_0</vt:lpstr>
      <vt:lpstr>'444'!OSRRefT22_0x_0</vt:lpstr>
      <vt:lpstr>'450'!OSRRefT22_0x_0</vt:lpstr>
      <vt:lpstr>'455'!OSRRefT22_0x_0</vt:lpstr>
      <vt:lpstr>'491'!OSRRefT22_0x_0</vt:lpstr>
      <vt:lpstr>'492'!OSRRefT22_0x_0</vt:lpstr>
      <vt:lpstr>'501'!OSRRefT22_0x_0</vt:lpstr>
      <vt:lpstr>'Div 2'!OSRRefT22_0x_0</vt:lpstr>
      <vt:lpstr>'Div 3'!OSRRefT22_0x_0</vt:lpstr>
      <vt:lpstr>'Div 4'!OSRRefT22_0x_0</vt:lpstr>
      <vt:lpstr>'Div 5'!OSRRefT22_0x_0</vt:lpstr>
      <vt:lpstr>'Div 6'!OSRRefT22_0x_0</vt:lpstr>
      <vt:lpstr>Summary!OSRRefT22_0x_0</vt:lpstr>
      <vt:lpstr>'201'!OSRRefT22_10x_0</vt:lpstr>
      <vt:lpstr>'202'!OSRRefT22_10x_0</vt:lpstr>
      <vt:lpstr>'203'!OSRRefT22_10x_0</vt:lpstr>
      <vt:lpstr>'204'!OSRRefT22_10x_0</vt:lpstr>
      <vt:lpstr>'300'!OSRRefT22_10x_0</vt:lpstr>
      <vt:lpstr>'300 &amp; 317'!OSRRefT22_10x_0</vt:lpstr>
      <vt:lpstr>'301'!OSRRefT22_10x_0</vt:lpstr>
      <vt:lpstr>'307'!OSRRefT22_10x_0</vt:lpstr>
      <vt:lpstr>'308'!OSRRefT22_10x_0</vt:lpstr>
      <vt:lpstr>'309'!OSRRefT22_10x_0</vt:lpstr>
      <vt:lpstr>'310'!OSRRefT22_10x_0</vt:lpstr>
      <vt:lpstr>'310 &amp; 491'!OSRRefT22_10x_0</vt:lpstr>
      <vt:lpstr>'311'!OSRRefT22_10x_0</vt:lpstr>
      <vt:lpstr>'313'!OSRRefT22_10x_0</vt:lpstr>
      <vt:lpstr>'315'!OSRRefT22_10x_0</vt:lpstr>
      <vt:lpstr>'316'!OSRRefT22_10x_0</vt:lpstr>
      <vt:lpstr>'317'!OSRRefT22_10x_0</vt:lpstr>
      <vt:lpstr>'321'!OSRRefT22_10x_0</vt:lpstr>
      <vt:lpstr>'322'!OSRRefT22_10x_0</vt:lpstr>
      <vt:lpstr>'325'!OSRRefT22_10x_0</vt:lpstr>
      <vt:lpstr>'326'!OSRRefT22_10x_0</vt:lpstr>
      <vt:lpstr>'330'!OSRRefT22_10x_0</vt:lpstr>
      <vt:lpstr>'331'!OSRRefT22_10x_0</vt:lpstr>
      <vt:lpstr>'332'!OSRRefT22_10x_0</vt:lpstr>
      <vt:lpstr>'405'!OSRRefT22_10x_0</vt:lpstr>
      <vt:lpstr>'406'!OSRRefT22_10x_0</vt:lpstr>
      <vt:lpstr>'411'!OSRRefT22_10x_0</vt:lpstr>
      <vt:lpstr>'412'!OSRRefT22_10x_0</vt:lpstr>
      <vt:lpstr>'413'!OSRRefT22_10x_0</vt:lpstr>
      <vt:lpstr>'414'!OSRRefT22_10x_0</vt:lpstr>
      <vt:lpstr>'415'!OSRRefT22_10x_0</vt:lpstr>
      <vt:lpstr>'418'!OSRRefT22_10x_0</vt:lpstr>
      <vt:lpstr>'424'!OSRRefT22_10x_0</vt:lpstr>
      <vt:lpstr>'425'!OSRRefT22_10x_0</vt:lpstr>
      <vt:lpstr>'433'!OSRRefT22_10x_0</vt:lpstr>
      <vt:lpstr>'444'!OSRRefT22_10x_0</vt:lpstr>
      <vt:lpstr>'450'!OSRRefT22_10x_0</vt:lpstr>
      <vt:lpstr>'491'!OSRRefT22_10x_0</vt:lpstr>
      <vt:lpstr>'492'!OSRRefT22_10x_0</vt:lpstr>
      <vt:lpstr>'501'!OSRRefT22_10x_0</vt:lpstr>
      <vt:lpstr>'Div 2'!OSRRefT22_10x_0</vt:lpstr>
      <vt:lpstr>'Div 3'!OSRRefT22_10x_0</vt:lpstr>
      <vt:lpstr>'Div 4'!OSRRefT22_10x_0</vt:lpstr>
      <vt:lpstr>'Div 5'!OSRRefT22_10x_0</vt:lpstr>
      <vt:lpstr>'Div 6'!OSRRefT22_10x_0</vt:lpstr>
      <vt:lpstr>Summary!OSRRefT22_10x_0</vt:lpstr>
      <vt:lpstr>'201'!OSRRefT22_11x_0</vt:lpstr>
      <vt:lpstr>'202'!OSRRefT22_11x_0</vt:lpstr>
      <vt:lpstr>'203'!OSRRefT22_11x_0</vt:lpstr>
      <vt:lpstr>'300'!OSRRefT22_11x_0</vt:lpstr>
      <vt:lpstr>'300 &amp; 317'!OSRRefT22_11x_0</vt:lpstr>
      <vt:lpstr>'301'!OSRRefT22_11x_0</vt:lpstr>
      <vt:lpstr>'307'!OSRRefT22_11x_0</vt:lpstr>
      <vt:lpstr>'308'!OSRRefT22_11x_0</vt:lpstr>
      <vt:lpstr>'309'!OSRRefT22_11x_0</vt:lpstr>
      <vt:lpstr>'310'!OSRRefT22_11x_0</vt:lpstr>
      <vt:lpstr>'310 &amp; 491'!OSRRefT22_11x_0</vt:lpstr>
      <vt:lpstr>'311'!OSRRefT22_11x_0</vt:lpstr>
      <vt:lpstr>'313'!OSRRefT22_11x_0</vt:lpstr>
      <vt:lpstr>'315'!OSRRefT22_11x_0</vt:lpstr>
      <vt:lpstr>'316'!OSRRefT22_11x_0</vt:lpstr>
      <vt:lpstr>'317'!OSRRefT22_11x_0</vt:lpstr>
      <vt:lpstr>'321'!OSRRefT22_11x_0</vt:lpstr>
      <vt:lpstr>'322'!OSRRefT22_11x_0</vt:lpstr>
      <vt:lpstr>'325'!OSRRefT22_11x_0</vt:lpstr>
      <vt:lpstr>'326'!OSRRefT22_11x_0</vt:lpstr>
      <vt:lpstr>'330'!OSRRefT22_11x_0</vt:lpstr>
      <vt:lpstr>'331'!OSRRefT22_11x_0</vt:lpstr>
      <vt:lpstr>'332'!OSRRefT22_11x_0</vt:lpstr>
      <vt:lpstr>'405'!OSRRefT22_11x_0</vt:lpstr>
      <vt:lpstr>'406'!OSRRefT22_11x_0</vt:lpstr>
      <vt:lpstr>'411'!OSRRefT22_11x_0</vt:lpstr>
      <vt:lpstr>'412'!OSRRefT22_11x_0</vt:lpstr>
      <vt:lpstr>'413'!OSRRefT22_11x_0</vt:lpstr>
      <vt:lpstr>'414'!OSRRefT22_11x_0</vt:lpstr>
      <vt:lpstr>'415'!OSRRefT22_11x_0</vt:lpstr>
      <vt:lpstr>'418'!OSRRefT22_11x_0</vt:lpstr>
      <vt:lpstr>'424'!OSRRefT22_11x_0</vt:lpstr>
      <vt:lpstr>'425'!OSRRefT22_11x_0</vt:lpstr>
      <vt:lpstr>'433'!OSRRefT22_11x_0</vt:lpstr>
      <vt:lpstr>'444'!OSRRefT22_11x_0</vt:lpstr>
      <vt:lpstr>'450'!OSRRefT22_11x_0</vt:lpstr>
      <vt:lpstr>'491'!OSRRefT22_11x_0</vt:lpstr>
      <vt:lpstr>'492'!OSRRefT22_11x_0</vt:lpstr>
      <vt:lpstr>'501'!OSRRefT22_11x_0</vt:lpstr>
      <vt:lpstr>'Div 2'!OSRRefT22_11x_0</vt:lpstr>
      <vt:lpstr>'Div 3'!OSRRefT22_11x_0</vt:lpstr>
      <vt:lpstr>'Div 4'!OSRRefT22_11x_0</vt:lpstr>
      <vt:lpstr>'Div 5'!OSRRefT22_11x_0</vt:lpstr>
      <vt:lpstr>'Div 6'!OSRRefT22_11x_0</vt:lpstr>
      <vt:lpstr>Summary!OSRRefT22_11x_0</vt:lpstr>
      <vt:lpstr>'201'!OSRRefT22_12x_0</vt:lpstr>
      <vt:lpstr>'202'!OSRRefT22_12x_0</vt:lpstr>
      <vt:lpstr>'203'!OSRRefT22_12x_0</vt:lpstr>
      <vt:lpstr>'300'!OSRRefT22_12x_0</vt:lpstr>
      <vt:lpstr>'300 &amp; 317'!OSRRefT22_12x_0</vt:lpstr>
      <vt:lpstr>'301'!OSRRefT22_12x_0</vt:lpstr>
      <vt:lpstr>'307'!OSRRefT22_12x_0</vt:lpstr>
      <vt:lpstr>'308'!OSRRefT22_12x_0</vt:lpstr>
      <vt:lpstr>'309'!OSRRefT22_12x_0</vt:lpstr>
      <vt:lpstr>'310'!OSRRefT22_12x_0</vt:lpstr>
      <vt:lpstr>'310 &amp; 491'!OSRRefT22_12x_0</vt:lpstr>
      <vt:lpstr>'311'!OSRRefT22_12x_0</vt:lpstr>
      <vt:lpstr>'313'!OSRRefT22_12x_0</vt:lpstr>
      <vt:lpstr>'315'!OSRRefT22_12x_0</vt:lpstr>
      <vt:lpstr>'316'!OSRRefT22_12x_0</vt:lpstr>
      <vt:lpstr>'317'!OSRRefT22_12x_0</vt:lpstr>
      <vt:lpstr>'321'!OSRRefT22_12x_0</vt:lpstr>
      <vt:lpstr>'322'!OSRRefT22_12x_0</vt:lpstr>
      <vt:lpstr>'325'!OSRRefT22_12x_0</vt:lpstr>
      <vt:lpstr>'326'!OSRRefT22_12x_0</vt:lpstr>
      <vt:lpstr>'330'!OSRRefT22_12x_0</vt:lpstr>
      <vt:lpstr>'331'!OSRRefT22_12x_0</vt:lpstr>
      <vt:lpstr>'332'!OSRRefT22_12x_0</vt:lpstr>
      <vt:lpstr>'405'!OSRRefT22_12x_0</vt:lpstr>
      <vt:lpstr>'406'!OSRRefT22_12x_0</vt:lpstr>
      <vt:lpstr>'411'!OSRRefT22_12x_0</vt:lpstr>
      <vt:lpstr>'412'!OSRRefT22_12x_0</vt:lpstr>
      <vt:lpstr>'414'!OSRRefT22_12x_0</vt:lpstr>
      <vt:lpstr>'415'!OSRRefT22_12x_0</vt:lpstr>
      <vt:lpstr>'418'!OSRRefT22_12x_0</vt:lpstr>
      <vt:lpstr>'424'!OSRRefT22_12x_0</vt:lpstr>
      <vt:lpstr>'425'!OSRRefT22_12x_0</vt:lpstr>
      <vt:lpstr>'433'!OSRRefT22_12x_0</vt:lpstr>
      <vt:lpstr>'444'!OSRRefT22_12x_0</vt:lpstr>
      <vt:lpstr>'450'!OSRRefT22_12x_0</vt:lpstr>
      <vt:lpstr>'491'!OSRRefT22_12x_0</vt:lpstr>
      <vt:lpstr>'492'!OSRRefT22_12x_0</vt:lpstr>
      <vt:lpstr>'501'!OSRRefT22_12x_0</vt:lpstr>
      <vt:lpstr>'Div 2'!OSRRefT22_12x_0</vt:lpstr>
      <vt:lpstr>'Div 3'!OSRRefT22_12x_0</vt:lpstr>
      <vt:lpstr>'Div 4'!OSRRefT22_12x_0</vt:lpstr>
      <vt:lpstr>'Div 5'!OSRRefT22_12x_0</vt:lpstr>
      <vt:lpstr>'Div 6'!OSRRefT22_12x_0</vt:lpstr>
      <vt:lpstr>Summary!OSRRefT22_12x_0</vt:lpstr>
      <vt:lpstr>'201'!OSRRefT22_13x_0</vt:lpstr>
      <vt:lpstr>'202'!OSRRefT22_13x_0</vt:lpstr>
      <vt:lpstr>'203'!OSRRefT22_13x_0</vt:lpstr>
      <vt:lpstr>'300'!OSRRefT22_13x_0</vt:lpstr>
      <vt:lpstr>'300 &amp; 317'!OSRRefT22_13x_0</vt:lpstr>
      <vt:lpstr>'301'!OSRRefT22_13x_0</vt:lpstr>
      <vt:lpstr>'308'!OSRRefT22_13x_0</vt:lpstr>
      <vt:lpstr>'310'!OSRRefT22_13x_0</vt:lpstr>
      <vt:lpstr>'310 &amp; 491'!OSRRefT22_13x_0</vt:lpstr>
      <vt:lpstr>'311'!OSRRefT22_13x_0</vt:lpstr>
      <vt:lpstr>'315'!OSRRefT22_13x_0</vt:lpstr>
      <vt:lpstr>'316'!OSRRefT22_13x_0</vt:lpstr>
      <vt:lpstr>'317'!OSRRefT22_13x_0</vt:lpstr>
      <vt:lpstr>'322'!OSRRefT22_13x_0</vt:lpstr>
      <vt:lpstr>'325'!OSRRefT22_13x_0</vt:lpstr>
      <vt:lpstr>'326'!OSRRefT22_13x_0</vt:lpstr>
      <vt:lpstr>'330'!OSRRefT22_13x_0</vt:lpstr>
      <vt:lpstr>'331'!OSRRefT22_13x_0</vt:lpstr>
      <vt:lpstr>'332'!OSRRefT22_13x_0</vt:lpstr>
      <vt:lpstr>'405'!OSRRefT22_13x_0</vt:lpstr>
      <vt:lpstr>'406'!OSRRefT22_13x_0</vt:lpstr>
      <vt:lpstr>'411'!OSRRefT22_13x_0</vt:lpstr>
      <vt:lpstr>'412'!OSRRefT22_13x_0</vt:lpstr>
      <vt:lpstr>'414'!OSRRefT22_13x_0</vt:lpstr>
      <vt:lpstr>'415'!OSRRefT22_13x_0</vt:lpstr>
      <vt:lpstr>'418'!OSRRefT22_13x_0</vt:lpstr>
      <vt:lpstr>'425'!OSRRefT22_13x_0</vt:lpstr>
      <vt:lpstr>'433'!OSRRefT22_13x_0</vt:lpstr>
      <vt:lpstr>'444'!OSRRefT22_13x_0</vt:lpstr>
      <vt:lpstr>'450'!OSRRefT22_13x_0</vt:lpstr>
      <vt:lpstr>'491'!OSRRefT22_13x_0</vt:lpstr>
      <vt:lpstr>'492'!OSRRefT22_13x_0</vt:lpstr>
      <vt:lpstr>'501'!OSRRefT22_13x_0</vt:lpstr>
      <vt:lpstr>'Div 2'!OSRRefT22_13x_0</vt:lpstr>
      <vt:lpstr>'Div 3'!OSRRefT22_13x_0</vt:lpstr>
      <vt:lpstr>'Div 4'!OSRRefT22_13x_0</vt:lpstr>
      <vt:lpstr>'Div 5'!OSRRefT22_13x_0</vt:lpstr>
      <vt:lpstr>'Div 6'!OSRRefT22_13x_0</vt:lpstr>
      <vt:lpstr>Summary!OSRRefT22_13x_0</vt:lpstr>
      <vt:lpstr>'201'!OSRRefT22_14x_0</vt:lpstr>
      <vt:lpstr>'202'!OSRRefT22_14x_0</vt:lpstr>
      <vt:lpstr>'203'!OSRRefT22_14x_0</vt:lpstr>
      <vt:lpstr>'300'!OSRRefT22_14x_0</vt:lpstr>
      <vt:lpstr>'300 &amp; 317'!OSRRefT22_14x_0</vt:lpstr>
      <vt:lpstr>'301'!OSRRefT22_14x_0</vt:lpstr>
      <vt:lpstr>'308'!OSRRefT22_14x_0</vt:lpstr>
      <vt:lpstr>'310'!OSRRefT22_14x_0</vt:lpstr>
      <vt:lpstr>'310 &amp; 491'!OSRRefT22_14x_0</vt:lpstr>
      <vt:lpstr>'311'!OSRRefT22_14x_0</vt:lpstr>
      <vt:lpstr>'315'!OSRRefT22_14x_0</vt:lpstr>
      <vt:lpstr>'316'!OSRRefT22_14x_0</vt:lpstr>
      <vt:lpstr>'325'!OSRRefT22_14x_0</vt:lpstr>
      <vt:lpstr>'326'!OSRRefT22_14x_0</vt:lpstr>
      <vt:lpstr>'330'!OSRRefT22_14x_0</vt:lpstr>
      <vt:lpstr>'331'!OSRRefT22_14x_0</vt:lpstr>
      <vt:lpstr>'332'!OSRRefT22_14x_0</vt:lpstr>
      <vt:lpstr>'405'!OSRRefT22_14x_0</vt:lpstr>
      <vt:lpstr>'406'!OSRRefT22_14x_0</vt:lpstr>
      <vt:lpstr>'411'!OSRRefT22_14x_0</vt:lpstr>
      <vt:lpstr>'414'!OSRRefT22_14x_0</vt:lpstr>
      <vt:lpstr>'415'!OSRRefT22_14x_0</vt:lpstr>
      <vt:lpstr>'418'!OSRRefT22_14x_0</vt:lpstr>
      <vt:lpstr>'425'!OSRRefT22_14x_0</vt:lpstr>
      <vt:lpstr>'433'!OSRRefT22_14x_0</vt:lpstr>
      <vt:lpstr>'444'!OSRRefT22_14x_0</vt:lpstr>
      <vt:lpstr>'450'!OSRRefT22_14x_0</vt:lpstr>
      <vt:lpstr>'491'!OSRRefT22_14x_0</vt:lpstr>
      <vt:lpstr>'492'!OSRRefT22_14x_0</vt:lpstr>
      <vt:lpstr>'Div 2'!OSRRefT22_14x_0</vt:lpstr>
      <vt:lpstr>'Div 3'!OSRRefT22_14x_0</vt:lpstr>
      <vt:lpstr>'Div 4'!OSRRefT22_14x_0</vt:lpstr>
      <vt:lpstr>Summary!OSRRefT22_14x_0</vt:lpstr>
      <vt:lpstr>'201'!OSRRefT22_15x_0</vt:lpstr>
      <vt:lpstr>'202'!OSRRefT22_15x_0</vt:lpstr>
      <vt:lpstr>'203'!OSRRefT22_15x_0</vt:lpstr>
      <vt:lpstr>'300'!OSRRefT22_15x_0</vt:lpstr>
      <vt:lpstr>'300 &amp; 317'!OSRRefT22_15x_0</vt:lpstr>
      <vt:lpstr>'301'!OSRRefT22_15x_0</vt:lpstr>
      <vt:lpstr>'310'!OSRRefT22_15x_0</vt:lpstr>
      <vt:lpstr>'310 &amp; 491'!OSRRefT22_15x_0</vt:lpstr>
      <vt:lpstr>'325'!OSRRefT22_15x_0</vt:lpstr>
      <vt:lpstr>'326'!OSRRefT22_15x_0</vt:lpstr>
      <vt:lpstr>'330'!OSRRefT22_15x_0</vt:lpstr>
      <vt:lpstr>'331'!OSRRefT22_15x_0</vt:lpstr>
      <vt:lpstr>'332'!OSRRefT22_15x_0</vt:lpstr>
      <vt:lpstr>'405'!OSRRefT22_15x_0</vt:lpstr>
      <vt:lpstr>'411'!OSRRefT22_15x_0</vt:lpstr>
      <vt:lpstr>'414'!OSRRefT22_15x_0</vt:lpstr>
      <vt:lpstr>'415'!OSRRefT22_15x_0</vt:lpstr>
      <vt:lpstr>'418'!OSRRefT22_15x_0</vt:lpstr>
      <vt:lpstr>'433'!OSRRefT22_15x_0</vt:lpstr>
      <vt:lpstr>'444'!OSRRefT22_15x_0</vt:lpstr>
      <vt:lpstr>'450'!OSRRefT22_15x_0</vt:lpstr>
      <vt:lpstr>'491'!OSRRefT22_15x_0</vt:lpstr>
      <vt:lpstr>'492'!OSRRefT22_15x_0</vt:lpstr>
      <vt:lpstr>'Div 2'!OSRRefT22_15x_0</vt:lpstr>
      <vt:lpstr>'Div 3'!OSRRefT22_15x_0</vt:lpstr>
      <vt:lpstr>'Div 4'!OSRRefT22_15x_0</vt:lpstr>
      <vt:lpstr>Summary!OSRRefT22_15x_0</vt:lpstr>
      <vt:lpstr>'300'!OSRRefT22_16x_0</vt:lpstr>
      <vt:lpstr>'300 &amp; 317'!OSRRefT22_16x_0</vt:lpstr>
      <vt:lpstr>'301'!OSRRefT22_16x_0</vt:lpstr>
      <vt:lpstr>'310'!OSRRefT22_16x_0</vt:lpstr>
      <vt:lpstr>'310 &amp; 491'!OSRRefT22_16x_0</vt:lpstr>
      <vt:lpstr>'325'!OSRRefT22_16x_0</vt:lpstr>
      <vt:lpstr>'326'!OSRRefT22_16x_0</vt:lpstr>
      <vt:lpstr>'331'!OSRRefT22_16x_0</vt:lpstr>
      <vt:lpstr>'405'!OSRRefT22_16x_0</vt:lpstr>
      <vt:lpstr>'411'!OSRRefT22_16x_0</vt:lpstr>
      <vt:lpstr>'415'!OSRRefT22_16x_0</vt:lpstr>
      <vt:lpstr>'418'!OSRRefT22_16x_0</vt:lpstr>
      <vt:lpstr>'433'!OSRRefT22_16x_0</vt:lpstr>
      <vt:lpstr>'444'!OSRRefT22_16x_0</vt:lpstr>
      <vt:lpstr>'450'!OSRRefT22_16x_0</vt:lpstr>
      <vt:lpstr>'491'!OSRRefT22_16x_0</vt:lpstr>
      <vt:lpstr>'492'!OSRRefT22_16x_0</vt:lpstr>
      <vt:lpstr>'Div 2'!OSRRefT22_16x_0</vt:lpstr>
      <vt:lpstr>'Div 3'!OSRRefT22_16x_0</vt:lpstr>
      <vt:lpstr>'Div 4'!OSRRefT22_16x_0</vt:lpstr>
      <vt:lpstr>Summary!OSRRefT22_16x_0</vt:lpstr>
      <vt:lpstr>'300'!OSRRefT22_17x_0</vt:lpstr>
      <vt:lpstr>'300 &amp; 317'!OSRRefT22_17x_0</vt:lpstr>
      <vt:lpstr>'301'!OSRRefT22_17x_0</vt:lpstr>
      <vt:lpstr>'310'!OSRRefT22_17x_0</vt:lpstr>
      <vt:lpstr>'310 &amp; 491'!OSRRefT22_17x_0</vt:lpstr>
      <vt:lpstr>'325'!OSRRefT22_17x_0</vt:lpstr>
      <vt:lpstr>'326'!OSRRefT22_17x_0</vt:lpstr>
      <vt:lpstr>'331'!OSRRefT22_17x_0</vt:lpstr>
      <vt:lpstr>'405'!OSRRefT22_17x_0</vt:lpstr>
      <vt:lpstr>'411'!OSRRefT22_17x_0</vt:lpstr>
      <vt:lpstr>'415'!OSRRefT22_17x_0</vt:lpstr>
      <vt:lpstr>'444'!OSRRefT22_17x_0</vt:lpstr>
      <vt:lpstr>'450'!OSRRefT22_17x_0</vt:lpstr>
      <vt:lpstr>'491'!OSRRefT22_17x_0</vt:lpstr>
      <vt:lpstr>'492'!OSRRefT22_17x_0</vt:lpstr>
      <vt:lpstr>'Div 2'!OSRRefT22_17x_0</vt:lpstr>
      <vt:lpstr>'Div 3'!OSRRefT22_17x_0</vt:lpstr>
      <vt:lpstr>'Div 4'!OSRRefT22_17x_0</vt:lpstr>
      <vt:lpstr>Summary!OSRRefT22_17x_0</vt:lpstr>
      <vt:lpstr>'300'!OSRRefT22_18x_0</vt:lpstr>
      <vt:lpstr>'300 &amp; 317'!OSRRefT22_18x_0</vt:lpstr>
      <vt:lpstr>'301'!OSRRefT22_18x_0</vt:lpstr>
      <vt:lpstr>'310'!OSRRefT22_18x_0</vt:lpstr>
      <vt:lpstr>'310 &amp; 491'!OSRRefT22_18x_0</vt:lpstr>
      <vt:lpstr>'326'!OSRRefT22_18x_0</vt:lpstr>
      <vt:lpstr>'331'!OSRRefT22_18x_0</vt:lpstr>
      <vt:lpstr>'411'!OSRRefT22_18x_0</vt:lpstr>
      <vt:lpstr>'491'!OSRRefT22_18x_0</vt:lpstr>
      <vt:lpstr>'492'!OSRRefT22_18x_0</vt:lpstr>
      <vt:lpstr>'Div 2'!OSRRefT22_18x_0</vt:lpstr>
      <vt:lpstr>'Div 3'!OSRRefT22_18x_0</vt:lpstr>
      <vt:lpstr>'Div 4'!OSRRefT22_18x_0</vt:lpstr>
      <vt:lpstr>Summary!OSRRefT22_18x_0</vt:lpstr>
      <vt:lpstr>'300'!OSRRefT22_19x_0</vt:lpstr>
      <vt:lpstr>'300 &amp; 317'!OSRRefT22_19x_0</vt:lpstr>
      <vt:lpstr>'301'!OSRRefT22_19x_0</vt:lpstr>
      <vt:lpstr>'310'!OSRRefT22_19x_0</vt:lpstr>
      <vt:lpstr>'310 &amp; 491'!OSRRefT22_19x_0</vt:lpstr>
      <vt:lpstr>'326'!OSRRefT22_19x_0</vt:lpstr>
      <vt:lpstr>'331'!OSRRefT22_19x_0</vt:lpstr>
      <vt:lpstr>'411'!OSRRefT22_19x_0</vt:lpstr>
      <vt:lpstr>'491'!OSRRefT22_19x_0</vt:lpstr>
      <vt:lpstr>'Div 2'!OSRRefT22_19x_0</vt:lpstr>
      <vt:lpstr>'Div 3'!OSRRefT22_19x_0</vt:lpstr>
      <vt:lpstr>'Div 4'!OSRRefT22_19x_0</vt:lpstr>
      <vt:lpstr>Summary!OSRRefT22_19x_0</vt:lpstr>
      <vt:lpstr>'200'!OSRRefT22_1x_0</vt:lpstr>
      <vt:lpstr>'201'!OSRRefT22_1x_0</vt:lpstr>
      <vt:lpstr>'202'!OSRRefT22_1x_0</vt:lpstr>
      <vt:lpstr>'203'!OSRRefT22_1x_0</vt:lpstr>
      <vt:lpstr>'204'!OSRRefT22_1x_0</vt:lpstr>
      <vt:lpstr>'205'!OSRRefT22_1x_0</vt:lpstr>
      <vt:lpstr>'206'!OSRRefT22_1x_0</vt:lpstr>
      <vt:lpstr>'300'!OSRRefT22_1x_0</vt:lpstr>
      <vt:lpstr>'300 &amp; 317'!OSRRefT22_1x_0</vt:lpstr>
      <vt:lpstr>'301'!OSRRefT22_1x_0</vt:lpstr>
      <vt:lpstr>'306'!OSRRefT22_1x_0</vt:lpstr>
      <vt:lpstr>'307'!OSRRefT22_1x_0</vt:lpstr>
      <vt:lpstr>'308'!OSRRefT22_1x_0</vt:lpstr>
      <vt:lpstr>'309'!OSRRefT22_1x_0</vt:lpstr>
      <vt:lpstr>'310'!OSRRefT22_1x_0</vt:lpstr>
      <vt:lpstr>'310 &amp; 491'!OSRRefT22_1x_0</vt:lpstr>
      <vt:lpstr>'311'!OSRRefT22_1x_0</vt:lpstr>
      <vt:lpstr>'313'!OSRRefT22_1x_0</vt:lpstr>
      <vt:lpstr>'314'!OSRRefT22_1x_0</vt:lpstr>
      <vt:lpstr>'315'!OSRRefT22_1x_0</vt:lpstr>
      <vt:lpstr>'316'!OSRRefT22_1x_0</vt:lpstr>
      <vt:lpstr>'317'!OSRRefT22_1x_0</vt:lpstr>
      <vt:lpstr>'320'!OSRRefT22_1x_0</vt:lpstr>
      <vt:lpstr>'321'!OSRRefT22_1x_0</vt:lpstr>
      <vt:lpstr>'322'!OSRRefT22_1x_0</vt:lpstr>
      <vt:lpstr>'325'!OSRRefT22_1x_0</vt:lpstr>
      <vt:lpstr>'326'!OSRRefT22_1x_0</vt:lpstr>
      <vt:lpstr>'327'!OSRRefT22_1x_0</vt:lpstr>
      <vt:lpstr>'330'!OSRRefT22_1x_0</vt:lpstr>
      <vt:lpstr>'331'!OSRRefT22_1x_0</vt:lpstr>
      <vt:lpstr>'332'!OSRRefT22_1x_0</vt:lpstr>
      <vt:lpstr>'405'!OSRRefT22_1x_0</vt:lpstr>
      <vt:lpstr>'406'!OSRRefT22_1x_0</vt:lpstr>
      <vt:lpstr>'411'!OSRRefT22_1x_0</vt:lpstr>
      <vt:lpstr>'412'!OSRRefT22_1x_0</vt:lpstr>
      <vt:lpstr>'413'!OSRRefT22_1x_0</vt:lpstr>
      <vt:lpstr>'414'!OSRRefT22_1x_0</vt:lpstr>
      <vt:lpstr>'415'!OSRRefT22_1x_0</vt:lpstr>
      <vt:lpstr>'418'!OSRRefT22_1x_0</vt:lpstr>
      <vt:lpstr>'420'!OSRRefT22_1x_0</vt:lpstr>
      <vt:lpstr>'423'!OSRRefT22_1x_0</vt:lpstr>
      <vt:lpstr>'424'!OSRRefT22_1x_0</vt:lpstr>
      <vt:lpstr>'425'!OSRRefT22_1x_0</vt:lpstr>
      <vt:lpstr>'430'!OSRRefT22_1x_0</vt:lpstr>
      <vt:lpstr>'433'!OSRRefT22_1x_0</vt:lpstr>
      <vt:lpstr>'435'!OSRRefT22_1x_0</vt:lpstr>
      <vt:lpstr>'444'!OSRRefT22_1x_0</vt:lpstr>
      <vt:lpstr>'450'!OSRRefT22_1x_0</vt:lpstr>
      <vt:lpstr>'455'!OSRRefT22_1x_0</vt:lpstr>
      <vt:lpstr>'491'!OSRRefT22_1x_0</vt:lpstr>
      <vt:lpstr>'492'!OSRRefT22_1x_0</vt:lpstr>
      <vt:lpstr>'501'!OSRRefT22_1x_0</vt:lpstr>
      <vt:lpstr>'Div 2'!OSRRefT22_1x_0</vt:lpstr>
      <vt:lpstr>'Div 3'!OSRRefT22_1x_0</vt:lpstr>
      <vt:lpstr>'Div 4'!OSRRefT22_1x_0</vt:lpstr>
      <vt:lpstr>'Div 5'!OSRRefT22_1x_0</vt:lpstr>
      <vt:lpstr>'Div 6'!OSRRefT22_1x_0</vt:lpstr>
      <vt:lpstr>Summary!OSRRefT22_1x_0</vt:lpstr>
      <vt:lpstr>'300'!OSRRefT22_20x_0</vt:lpstr>
      <vt:lpstr>'300 &amp; 317'!OSRRefT22_20x_0</vt:lpstr>
      <vt:lpstr>'301'!OSRRefT22_20x_0</vt:lpstr>
      <vt:lpstr>'310'!OSRRefT22_20x_0</vt:lpstr>
      <vt:lpstr>'310 &amp; 491'!OSRRefT22_20x_0</vt:lpstr>
      <vt:lpstr>'331'!OSRRefT22_20x_0</vt:lpstr>
      <vt:lpstr>'491'!OSRRefT22_20x_0</vt:lpstr>
      <vt:lpstr>'Div 3'!OSRRefT22_20x_0</vt:lpstr>
      <vt:lpstr>'Div 4'!OSRRefT22_20x_0</vt:lpstr>
      <vt:lpstr>Summary!OSRRefT22_20x_0</vt:lpstr>
      <vt:lpstr>'300'!OSRRefT22_21x_0</vt:lpstr>
      <vt:lpstr>'300 &amp; 317'!OSRRefT22_21x_0</vt:lpstr>
      <vt:lpstr>'301'!OSRRefT22_21x_0</vt:lpstr>
      <vt:lpstr>'310'!OSRRefT22_21x_0</vt:lpstr>
      <vt:lpstr>'310 &amp; 491'!OSRRefT22_21x_0</vt:lpstr>
      <vt:lpstr>'331'!OSRRefT22_21x_0</vt:lpstr>
      <vt:lpstr>'491'!OSRRefT22_21x_0</vt:lpstr>
      <vt:lpstr>'Div 3'!OSRRefT22_21x_0</vt:lpstr>
      <vt:lpstr>'Div 4'!OSRRefT22_21x_0</vt:lpstr>
      <vt:lpstr>Summary!OSRRefT22_21x_0</vt:lpstr>
      <vt:lpstr>'300'!OSRRefT22_22x_0</vt:lpstr>
      <vt:lpstr>'300 &amp; 317'!OSRRefT22_22x_0</vt:lpstr>
      <vt:lpstr>'301'!OSRRefT22_22x_0</vt:lpstr>
      <vt:lpstr>'310'!OSRRefT22_22x_0</vt:lpstr>
      <vt:lpstr>'310 &amp; 491'!OSRRefT22_22x_0</vt:lpstr>
      <vt:lpstr>'491'!OSRRefT22_22x_0</vt:lpstr>
      <vt:lpstr>'Div 3'!OSRRefT22_22x_0</vt:lpstr>
      <vt:lpstr>'Div 4'!OSRRefT22_22x_0</vt:lpstr>
      <vt:lpstr>Summary!OSRRefT22_22x_0</vt:lpstr>
      <vt:lpstr>'300'!OSRRefT22_23x_0</vt:lpstr>
      <vt:lpstr>'300 &amp; 317'!OSRRefT22_23x_0</vt:lpstr>
      <vt:lpstr>'301'!OSRRefT22_23x_0</vt:lpstr>
      <vt:lpstr>'310 &amp; 491'!OSRRefT22_23x_0</vt:lpstr>
      <vt:lpstr>'491'!OSRRefT22_23x_0</vt:lpstr>
      <vt:lpstr>'Div 3'!OSRRefT22_23x_0</vt:lpstr>
      <vt:lpstr>'Div 4'!OSRRefT22_23x_0</vt:lpstr>
      <vt:lpstr>Summary!OSRRefT22_23x_0</vt:lpstr>
      <vt:lpstr>'300'!OSRRefT22_24x_0</vt:lpstr>
      <vt:lpstr>'300 &amp; 317'!OSRRefT22_24x_0</vt:lpstr>
      <vt:lpstr>'310 &amp; 491'!OSRRefT22_24x_0</vt:lpstr>
      <vt:lpstr>'491'!OSRRefT22_24x_0</vt:lpstr>
      <vt:lpstr>'Div 3'!OSRRefT22_24x_0</vt:lpstr>
      <vt:lpstr>'Div 4'!OSRRefT22_24x_0</vt:lpstr>
      <vt:lpstr>Summary!OSRRefT22_24x_0</vt:lpstr>
      <vt:lpstr>'Div 3'!OSRRefT22_25x_0</vt:lpstr>
      <vt:lpstr>'Div 4'!OSRRefT22_25x_0</vt:lpstr>
      <vt:lpstr>Summary!OSRRefT22_25x_0</vt:lpstr>
      <vt:lpstr>Summary!OSRRefT22_26x_0</vt:lpstr>
      <vt:lpstr>'200'!OSRRefT22_2x_0</vt:lpstr>
      <vt:lpstr>'201'!OSRRefT22_2x_0</vt:lpstr>
      <vt:lpstr>'202'!OSRRefT22_2x_0</vt:lpstr>
      <vt:lpstr>'203'!OSRRefT22_2x_0</vt:lpstr>
      <vt:lpstr>'204'!OSRRefT22_2x_0</vt:lpstr>
      <vt:lpstr>'205'!OSRRefT22_2x_0</vt:lpstr>
      <vt:lpstr>'206'!OSRRefT22_2x_0</vt:lpstr>
      <vt:lpstr>'300'!OSRRefT22_2x_0</vt:lpstr>
      <vt:lpstr>'300 &amp; 317'!OSRRefT22_2x_0</vt:lpstr>
      <vt:lpstr>'301'!OSRRefT22_2x_0</vt:lpstr>
      <vt:lpstr>'306'!OSRRefT22_2x_0</vt:lpstr>
      <vt:lpstr>'307'!OSRRefT22_2x_0</vt:lpstr>
      <vt:lpstr>'308'!OSRRefT22_2x_0</vt:lpstr>
      <vt:lpstr>'309'!OSRRefT22_2x_0</vt:lpstr>
      <vt:lpstr>'310'!OSRRefT22_2x_0</vt:lpstr>
      <vt:lpstr>'310 &amp; 491'!OSRRefT22_2x_0</vt:lpstr>
      <vt:lpstr>'311'!OSRRefT22_2x_0</vt:lpstr>
      <vt:lpstr>'313'!OSRRefT22_2x_0</vt:lpstr>
      <vt:lpstr>'314'!OSRRefT22_2x_0</vt:lpstr>
      <vt:lpstr>'315'!OSRRefT22_2x_0</vt:lpstr>
      <vt:lpstr>'316'!OSRRefT22_2x_0</vt:lpstr>
      <vt:lpstr>'317'!OSRRefT22_2x_0</vt:lpstr>
      <vt:lpstr>'320'!OSRRefT22_2x_0</vt:lpstr>
      <vt:lpstr>'321'!OSRRefT22_2x_0</vt:lpstr>
      <vt:lpstr>'322'!OSRRefT22_2x_0</vt:lpstr>
      <vt:lpstr>'325'!OSRRefT22_2x_0</vt:lpstr>
      <vt:lpstr>'326'!OSRRefT22_2x_0</vt:lpstr>
      <vt:lpstr>'327'!OSRRefT22_2x_0</vt:lpstr>
      <vt:lpstr>'330'!OSRRefT22_2x_0</vt:lpstr>
      <vt:lpstr>'331'!OSRRefT22_2x_0</vt:lpstr>
      <vt:lpstr>'332'!OSRRefT22_2x_0</vt:lpstr>
      <vt:lpstr>'405'!OSRRefT22_2x_0</vt:lpstr>
      <vt:lpstr>'406'!OSRRefT22_2x_0</vt:lpstr>
      <vt:lpstr>'411'!OSRRefT22_2x_0</vt:lpstr>
      <vt:lpstr>'412'!OSRRefT22_2x_0</vt:lpstr>
      <vt:lpstr>'413'!OSRRefT22_2x_0</vt:lpstr>
      <vt:lpstr>'414'!OSRRefT22_2x_0</vt:lpstr>
      <vt:lpstr>'415'!OSRRefT22_2x_0</vt:lpstr>
      <vt:lpstr>'418'!OSRRefT22_2x_0</vt:lpstr>
      <vt:lpstr>'420'!OSRRefT22_2x_0</vt:lpstr>
      <vt:lpstr>'423'!OSRRefT22_2x_0</vt:lpstr>
      <vt:lpstr>'424'!OSRRefT22_2x_0</vt:lpstr>
      <vt:lpstr>'425'!OSRRefT22_2x_0</vt:lpstr>
      <vt:lpstr>'430'!OSRRefT22_2x_0</vt:lpstr>
      <vt:lpstr>'433'!OSRRefT22_2x_0</vt:lpstr>
      <vt:lpstr>'435'!OSRRefT22_2x_0</vt:lpstr>
      <vt:lpstr>'444'!OSRRefT22_2x_0</vt:lpstr>
      <vt:lpstr>'450'!OSRRefT22_2x_0</vt:lpstr>
      <vt:lpstr>'491'!OSRRefT22_2x_0</vt:lpstr>
      <vt:lpstr>'492'!OSRRefT22_2x_0</vt:lpstr>
      <vt:lpstr>'501'!OSRRefT22_2x_0</vt:lpstr>
      <vt:lpstr>'Div 2'!OSRRefT22_2x_0</vt:lpstr>
      <vt:lpstr>'Div 3'!OSRRefT22_2x_0</vt:lpstr>
      <vt:lpstr>'Div 4'!OSRRefT22_2x_0</vt:lpstr>
      <vt:lpstr>'Div 5'!OSRRefT22_2x_0</vt:lpstr>
      <vt:lpstr>'Div 6'!OSRRefT22_2x_0</vt:lpstr>
      <vt:lpstr>Summary!OSRRefT22_2x_0</vt:lpstr>
      <vt:lpstr>'200'!OSRRefT22_3x_0</vt:lpstr>
      <vt:lpstr>'201'!OSRRefT22_3x_0</vt:lpstr>
      <vt:lpstr>'202'!OSRRefT22_3x_0</vt:lpstr>
      <vt:lpstr>'203'!OSRRefT22_3x_0</vt:lpstr>
      <vt:lpstr>'204'!OSRRefT22_3x_0</vt:lpstr>
      <vt:lpstr>'205'!OSRRefT22_3x_0</vt:lpstr>
      <vt:lpstr>'206'!OSRRefT22_3x_0</vt:lpstr>
      <vt:lpstr>'300'!OSRRefT22_3x_0</vt:lpstr>
      <vt:lpstr>'300 &amp; 317'!OSRRefT22_3x_0</vt:lpstr>
      <vt:lpstr>'301'!OSRRefT22_3x_0</vt:lpstr>
      <vt:lpstr>'306'!OSRRefT22_3x_0</vt:lpstr>
      <vt:lpstr>'307'!OSRRefT22_3x_0</vt:lpstr>
      <vt:lpstr>'308'!OSRRefT22_3x_0</vt:lpstr>
      <vt:lpstr>'309'!OSRRefT22_3x_0</vt:lpstr>
      <vt:lpstr>'310'!OSRRefT22_3x_0</vt:lpstr>
      <vt:lpstr>'310 &amp; 491'!OSRRefT22_3x_0</vt:lpstr>
      <vt:lpstr>'311'!OSRRefT22_3x_0</vt:lpstr>
      <vt:lpstr>'313'!OSRRefT22_3x_0</vt:lpstr>
      <vt:lpstr>'314'!OSRRefT22_3x_0</vt:lpstr>
      <vt:lpstr>'315'!OSRRefT22_3x_0</vt:lpstr>
      <vt:lpstr>'316'!OSRRefT22_3x_0</vt:lpstr>
      <vt:lpstr>'317'!OSRRefT22_3x_0</vt:lpstr>
      <vt:lpstr>'320'!OSRRefT22_3x_0</vt:lpstr>
      <vt:lpstr>'321'!OSRRefT22_3x_0</vt:lpstr>
      <vt:lpstr>'322'!OSRRefT22_3x_0</vt:lpstr>
      <vt:lpstr>'325'!OSRRefT22_3x_0</vt:lpstr>
      <vt:lpstr>'326'!OSRRefT22_3x_0</vt:lpstr>
      <vt:lpstr>'330'!OSRRefT22_3x_0</vt:lpstr>
      <vt:lpstr>'331'!OSRRefT22_3x_0</vt:lpstr>
      <vt:lpstr>'332'!OSRRefT22_3x_0</vt:lpstr>
      <vt:lpstr>'405'!OSRRefT22_3x_0</vt:lpstr>
      <vt:lpstr>'406'!OSRRefT22_3x_0</vt:lpstr>
      <vt:lpstr>'411'!OSRRefT22_3x_0</vt:lpstr>
      <vt:lpstr>'412'!OSRRefT22_3x_0</vt:lpstr>
      <vt:lpstr>'413'!OSRRefT22_3x_0</vt:lpstr>
      <vt:lpstr>'414'!OSRRefT22_3x_0</vt:lpstr>
      <vt:lpstr>'415'!OSRRefT22_3x_0</vt:lpstr>
      <vt:lpstr>'418'!OSRRefT22_3x_0</vt:lpstr>
      <vt:lpstr>'420'!OSRRefT22_3x_0</vt:lpstr>
      <vt:lpstr>'423'!OSRRefT22_3x_0</vt:lpstr>
      <vt:lpstr>'424'!OSRRefT22_3x_0</vt:lpstr>
      <vt:lpstr>'425'!OSRRefT22_3x_0</vt:lpstr>
      <vt:lpstr>'430'!OSRRefT22_3x_0</vt:lpstr>
      <vt:lpstr>'433'!OSRRefT22_3x_0</vt:lpstr>
      <vt:lpstr>'435'!OSRRefT22_3x_0</vt:lpstr>
      <vt:lpstr>'444'!OSRRefT22_3x_0</vt:lpstr>
      <vt:lpstr>'450'!OSRRefT22_3x_0</vt:lpstr>
      <vt:lpstr>'491'!OSRRefT22_3x_0</vt:lpstr>
      <vt:lpstr>'492'!OSRRefT22_3x_0</vt:lpstr>
      <vt:lpstr>'501'!OSRRefT22_3x_0</vt:lpstr>
      <vt:lpstr>'Div 2'!OSRRefT22_3x_0</vt:lpstr>
      <vt:lpstr>'Div 3'!OSRRefT22_3x_0</vt:lpstr>
      <vt:lpstr>'Div 4'!OSRRefT22_3x_0</vt:lpstr>
      <vt:lpstr>'Div 5'!OSRRefT22_3x_0</vt:lpstr>
      <vt:lpstr>'Div 6'!OSRRefT22_3x_0</vt:lpstr>
      <vt:lpstr>Summary!OSRRefT22_3x_0</vt:lpstr>
      <vt:lpstr>'200'!OSRRefT22_4x_0</vt:lpstr>
      <vt:lpstr>'201'!OSRRefT22_4x_0</vt:lpstr>
      <vt:lpstr>'202'!OSRRefT22_4x_0</vt:lpstr>
      <vt:lpstr>'203'!OSRRefT22_4x_0</vt:lpstr>
      <vt:lpstr>'204'!OSRRefT22_4x_0</vt:lpstr>
      <vt:lpstr>'205'!OSRRefT22_4x_0</vt:lpstr>
      <vt:lpstr>'206'!OSRRefT22_4x_0</vt:lpstr>
      <vt:lpstr>'300'!OSRRefT22_4x_0</vt:lpstr>
      <vt:lpstr>'300 &amp; 317'!OSRRefT22_4x_0</vt:lpstr>
      <vt:lpstr>'301'!OSRRefT22_4x_0</vt:lpstr>
      <vt:lpstr>'306'!OSRRefT22_4x_0</vt:lpstr>
      <vt:lpstr>'307'!OSRRefT22_4x_0</vt:lpstr>
      <vt:lpstr>'308'!OSRRefT22_4x_0</vt:lpstr>
      <vt:lpstr>'309'!OSRRefT22_4x_0</vt:lpstr>
      <vt:lpstr>'310'!OSRRefT22_4x_0</vt:lpstr>
      <vt:lpstr>'310 &amp; 491'!OSRRefT22_4x_0</vt:lpstr>
      <vt:lpstr>'311'!OSRRefT22_4x_0</vt:lpstr>
      <vt:lpstr>'313'!OSRRefT22_4x_0</vt:lpstr>
      <vt:lpstr>'314'!OSRRefT22_4x_0</vt:lpstr>
      <vt:lpstr>'315'!OSRRefT22_4x_0</vt:lpstr>
      <vt:lpstr>'316'!OSRRefT22_4x_0</vt:lpstr>
      <vt:lpstr>'317'!OSRRefT22_4x_0</vt:lpstr>
      <vt:lpstr>'320'!OSRRefT22_4x_0</vt:lpstr>
      <vt:lpstr>'321'!OSRRefT22_4x_0</vt:lpstr>
      <vt:lpstr>'322'!OSRRefT22_4x_0</vt:lpstr>
      <vt:lpstr>'325'!OSRRefT22_4x_0</vt:lpstr>
      <vt:lpstr>'326'!OSRRefT22_4x_0</vt:lpstr>
      <vt:lpstr>'330'!OSRRefT22_4x_0</vt:lpstr>
      <vt:lpstr>'331'!OSRRefT22_4x_0</vt:lpstr>
      <vt:lpstr>'332'!OSRRefT22_4x_0</vt:lpstr>
      <vt:lpstr>'405'!OSRRefT22_4x_0</vt:lpstr>
      <vt:lpstr>'406'!OSRRefT22_4x_0</vt:lpstr>
      <vt:lpstr>'411'!OSRRefT22_4x_0</vt:lpstr>
      <vt:lpstr>'412'!OSRRefT22_4x_0</vt:lpstr>
      <vt:lpstr>'413'!OSRRefT22_4x_0</vt:lpstr>
      <vt:lpstr>'414'!OSRRefT22_4x_0</vt:lpstr>
      <vt:lpstr>'415'!OSRRefT22_4x_0</vt:lpstr>
      <vt:lpstr>'418'!OSRRefT22_4x_0</vt:lpstr>
      <vt:lpstr>'420'!OSRRefT22_4x_0</vt:lpstr>
      <vt:lpstr>'423'!OSRRefT22_4x_0</vt:lpstr>
      <vt:lpstr>'424'!OSRRefT22_4x_0</vt:lpstr>
      <vt:lpstr>'425'!OSRRefT22_4x_0</vt:lpstr>
      <vt:lpstr>'430'!OSRRefT22_4x_0</vt:lpstr>
      <vt:lpstr>'433'!OSRRefT22_4x_0</vt:lpstr>
      <vt:lpstr>'435'!OSRRefT22_4x_0</vt:lpstr>
      <vt:lpstr>'444'!OSRRefT22_4x_0</vt:lpstr>
      <vt:lpstr>'450'!OSRRefT22_4x_0</vt:lpstr>
      <vt:lpstr>'491'!OSRRefT22_4x_0</vt:lpstr>
      <vt:lpstr>'492'!OSRRefT22_4x_0</vt:lpstr>
      <vt:lpstr>'501'!OSRRefT22_4x_0</vt:lpstr>
      <vt:lpstr>'Div 2'!OSRRefT22_4x_0</vt:lpstr>
      <vt:lpstr>'Div 3'!OSRRefT22_4x_0</vt:lpstr>
      <vt:lpstr>'Div 4'!OSRRefT22_4x_0</vt:lpstr>
      <vt:lpstr>'Div 5'!OSRRefT22_4x_0</vt:lpstr>
      <vt:lpstr>'Div 6'!OSRRefT22_4x_0</vt:lpstr>
      <vt:lpstr>Summary!OSRRefT22_4x_0</vt:lpstr>
      <vt:lpstr>'201'!OSRRefT22_5x_0</vt:lpstr>
      <vt:lpstr>'202'!OSRRefT22_5x_0</vt:lpstr>
      <vt:lpstr>'203'!OSRRefT22_5x_0</vt:lpstr>
      <vt:lpstr>'204'!OSRRefT22_5x_0</vt:lpstr>
      <vt:lpstr>'205'!OSRRefT22_5x_0</vt:lpstr>
      <vt:lpstr>'206'!OSRRefT22_5x_0</vt:lpstr>
      <vt:lpstr>'300'!OSRRefT22_5x_0</vt:lpstr>
      <vt:lpstr>'300 &amp; 317'!OSRRefT22_5x_0</vt:lpstr>
      <vt:lpstr>'301'!OSRRefT22_5x_0</vt:lpstr>
      <vt:lpstr>'306'!OSRRefT22_5x_0</vt:lpstr>
      <vt:lpstr>'307'!OSRRefT22_5x_0</vt:lpstr>
      <vt:lpstr>'308'!OSRRefT22_5x_0</vt:lpstr>
      <vt:lpstr>'309'!OSRRefT22_5x_0</vt:lpstr>
      <vt:lpstr>'310'!OSRRefT22_5x_0</vt:lpstr>
      <vt:lpstr>'310 &amp; 491'!OSRRefT22_5x_0</vt:lpstr>
      <vt:lpstr>'311'!OSRRefT22_5x_0</vt:lpstr>
      <vt:lpstr>'313'!OSRRefT22_5x_0</vt:lpstr>
      <vt:lpstr>'314'!OSRRefT22_5x_0</vt:lpstr>
      <vt:lpstr>'315'!OSRRefT22_5x_0</vt:lpstr>
      <vt:lpstr>'316'!OSRRefT22_5x_0</vt:lpstr>
      <vt:lpstr>'317'!OSRRefT22_5x_0</vt:lpstr>
      <vt:lpstr>'320'!OSRRefT22_5x_0</vt:lpstr>
      <vt:lpstr>'321'!OSRRefT22_5x_0</vt:lpstr>
      <vt:lpstr>'322'!OSRRefT22_5x_0</vt:lpstr>
      <vt:lpstr>'325'!OSRRefT22_5x_0</vt:lpstr>
      <vt:lpstr>'326'!OSRRefT22_5x_0</vt:lpstr>
      <vt:lpstr>'330'!OSRRefT22_5x_0</vt:lpstr>
      <vt:lpstr>'331'!OSRRefT22_5x_0</vt:lpstr>
      <vt:lpstr>'332'!OSRRefT22_5x_0</vt:lpstr>
      <vt:lpstr>'405'!OSRRefT22_5x_0</vt:lpstr>
      <vt:lpstr>'406'!OSRRefT22_5x_0</vt:lpstr>
      <vt:lpstr>'411'!OSRRefT22_5x_0</vt:lpstr>
      <vt:lpstr>'412'!OSRRefT22_5x_0</vt:lpstr>
      <vt:lpstr>'413'!OSRRefT22_5x_0</vt:lpstr>
      <vt:lpstr>'414'!OSRRefT22_5x_0</vt:lpstr>
      <vt:lpstr>'415'!OSRRefT22_5x_0</vt:lpstr>
      <vt:lpstr>'418'!OSRRefT22_5x_0</vt:lpstr>
      <vt:lpstr>'420'!OSRRefT22_5x_0</vt:lpstr>
      <vt:lpstr>'423'!OSRRefT22_5x_0</vt:lpstr>
      <vt:lpstr>'424'!OSRRefT22_5x_0</vt:lpstr>
      <vt:lpstr>'425'!OSRRefT22_5x_0</vt:lpstr>
      <vt:lpstr>'430'!OSRRefT22_5x_0</vt:lpstr>
      <vt:lpstr>'433'!OSRRefT22_5x_0</vt:lpstr>
      <vt:lpstr>'435'!OSRRefT22_5x_0</vt:lpstr>
      <vt:lpstr>'444'!OSRRefT22_5x_0</vt:lpstr>
      <vt:lpstr>'450'!OSRRefT22_5x_0</vt:lpstr>
      <vt:lpstr>'491'!OSRRefT22_5x_0</vt:lpstr>
      <vt:lpstr>'492'!OSRRefT22_5x_0</vt:lpstr>
      <vt:lpstr>'501'!OSRRefT22_5x_0</vt:lpstr>
      <vt:lpstr>'Div 2'!OSRRefT22_5x_0</vt:lpstr>
      <vt:lpstr>'Div 3'!OSRRefT22_5x_0</vt:lpstr>
      <vt:lpstr>'Div 4'!OSRRefT22_5x_0</vt:lpstr>
      <vt:lpstr>'Div 5'!OSRRefT22_5x_0</vt:lpstr>
      <vt:lpstr>'Div 6'!OSRRefT22_5x_0</vt:lpstr>
      <vt:lpstr>Summary!OSRRefT22_5x_0</vt:lpstr>
      <vt:lpstr>'201'!OSRRefT22_6x_0</vt:lpstr>
      <vt:lpstr>'202'!OSRRefT22_6x_0</vt:lpstr>
      <vt:lpstr>'203'!OSRRefT22_6x_0</vt:lpstr>
      <vt:lpstr>'204'!OSRRefT22_6x_0</vt:lpstr>
      <vt:lpstr>'205'!OSRRefT22_6x_0</vt:lpstr>
      <vt:lpstr>'206'!OSRRefT22_6x_0</vt:lpstr>
      <vt:lpstr>'300'!OSRRefT22_6x_0</vt:lpstr>
      <vt:lpstr>'300 &amp; 317'!OSRRefT22_6x_0</vt:lpstr>
      <vt:lpstr>'301'!OSRRefT22_6x_0</vt:lpstr>
      <vt:lpstr>'306'!OSRRefT22_6x_0</vt:lpstr>
      <vt:lpstr>'307'!OSRRefT22_6x_0</vt:lpstr>
      <vt:lpstr>'308'!OSRRefT22_6x_0</vt:lpstr>
      <vt:lpstr>'309'!OSRRefT22_6x_0</vt:lpstr>
      <vt:lpstr>'310'!OSRRefT22_6x_0</vt:lpstr>
      <vt:lpstr>'310 &amp; 491'!OSRRefT22_6x_0</vt:lpstr>
      <vt:lpstr>'311'!OSRRefT22_6x_0</vt:lpstr>
      <vt:lpstr>'313'!OSRRefT22_6x_0</vt:lpstr>
      <vt:lpstr>'314'!OSRRefT22_6x_0</vt:lpstr>
      <vt:lpstr>'315'!OSRRefT22_6x_0</vt:lpstr>
      <vt:lpstr>'316'!OSRRefT22_6x_0</vt:lpstr>
      <vt:lpstr>'317'!OSRRefT22_6x_0</vt:lpstr>
      <vt:lpstr>'320'!OSRRefT22_6x_0</vt:lpstr>
      <vt:lpstr>'321'!OSRRefT22_6x_0</vt:lpstr>
      <vt:lpstr>'322'!OSRRefT22_6x_0</vt:lpstr>
      <vt:lpstr>'325'!OSRRefT22_6x_0</vt:lpstr>
      <vt:lpstr>'326'!OSRRefT22_6x_0</vt:lpstr>
      <vt:lpstr>'330'!OSRRefT22_6x_0</vt:lpstr>
      <vt:lpstr>'331'!OSRRefT22_6x_0</vt:lpstr>
      <vt:lpstr>'332'!OSRRefT22_6x_0</vt:lpstr>
      <vt:lpstr>'405'!OSRRefT22_6x_0</vt:lpstr>
      <vt:lpstr>'406'!OSRRefT22_6x_0</vt:lpstr>
      <vt:lpstr>'411'!OSRRefT22_6x_0</vt:lpstr>
      <vt:lpstr>'412'!OSRRefT22_6x_0</vt:lpstr>
      <vt:lpstr>'413'!OSRRefT22_6x_0</vt:lpstr>
      <vt:lpstr>'414'!OSRRefT22_6x_0</vt:lpstr>
      <vt:lpstr>'415'!OSRRefT22_6x_0</vt:lpstr>
      <vt:lpstr>'418'!OSRRefT22_6x_0</vt:lpstr>
      <vt:lpstr>'420'!OSRRefT22_6x_0</vt:lpstr>
      <vt:lpstr>'423'!OSRRefT22_6x_0</vt:lpstr>
      <vt:lpstr>'424'!OSRRefT22_6x_0</vt:lpstr>
      <vt:lpstr>'425'!OSRRefT22_6x_0</vt:lpstr>
      <vt:lpstr>'430'!OSRRefT22_6x_0</vt:lpstr>
      <vt:lpstr>'433'!OSRRefT22_6x_0</vt:lpstr>
      <vt:lpstr>'435'!OSRRefT22_6x_0</vt:lpstr>
      <vt:lpstr>'444'!OSRRefT22_6x_0</vt:lpstr>
      <vt:lpstr>'450'!OSRRefT22_6x_0</vt:lpstr>
      <vt:lpstr>'491'!OSRRefT22_6x_0</vt:lpstr>
      <vt:lpstr>'492'!OSRRefT22_6x_0</vt:lpstr>
      <vt:lpstr>'501'!OSRRefT22_6x_0</vt:lpstr>
      <vt:lpstr>'Div 2'!OSRRefT22_6x_0</vt:lpstr>
      <vt:lpstr>'Div 3'!OSRRefT22_6x_0</vt:lpstr>
      <vt:lpstr>'Div 4'!OSRRefT22_6x_0</vt:lpstr>
      <vt:lpstr>'Div 5'!OSRRefT22_6x_0</vt:lpstr>
      <vt:lpstr>'Div 6'!OSRRefT22_6x_0</vt:lpstr>
      <vt:lpstr>Summary!OSRRefT22_6x_0</vt:lpstr>
      <vt:lpstr>'201'!OSRRefT22_7x_0</vt:lpstr>
      <vt:lpstr>'202'!OSRRefT22_7x_0</vt:lpstr>
      <vt:lpstr>'203'!OSRRefT22_7x_0</vt:lpstr>
      <vt:lpstr>'204'!OSRRefT22_7x_0</vt:lpstr>
      <vt:lpstr>'205'!OSRRefT22_7x_0</vt:lpstr>
      <vt:lpstr>'206'!OSRRefT22_7x_0</vt:lpstr>
      <vt:lpstr>'300'!OSRRefT22_7x_0</vt:lpstr>
      <vt:lpstr>'300 &amp; 317'!OSRRefT22_7x_0</vt:lpstr>
      <vt:lpstr>'301'!OSRRefT22_7x_0</vt:lpstr>
      <vt:lpstr>'306'!OSRRefT22_7x_0</vt:lpstr>
      <vt:lpstr>'307'!OSRRefT22_7x_0</vt:lpstr>
      <vt:lpstr>'308'!OSRRefT22_7x_0</vt:lpstr>
      <vt:lpstr>'309'!OSRRefT22_7x_0</vt:lpstr>
      <vt:lpstr>'310'!OSRRefT22_7x_0</vt:lpstr>
      <vt:lpstr>'310 &amp; 491'!OSRRefT22_7x_0</vt:lpstr>
      <vt:lpstr>'311'!OSRRefT22_7x_0</vt:lpstr>
      <vt:lpstr>'313'!OSRRefT22_7x_0</vt:lpstr>
      <vt:lpstr>'314'!OSRRefT22_7x_0</vt:lpstr>
      <vt:lpstr>'315'!OSRRefT22_7x_0</vt:lpstr>
      <vt:lpstr>'316'!OSRRefT22_7x_0</vt:lpstr>
      <vt:lpstr>'317'!OSRRefT22_7x_0</vt:lpstr>
      <vt:lpstr>'320'!OSRRefT22_7x_0</vt:lpstr>
      <vt:lpstr>'321'!OSRRefT22_7x_0</vt:lpstr>
      <vt:lpstr>'322'!OSRRefT22_7x_0</vt:lpstr>
      <vt:lpstr>'325'!OSRRefT22_7x_0</vt:lpstr>
      <vt:lpstr>'326'!OSRRefT22_7x_0</vt:lpstr>
      <vt:lpstr>'330'!OSRRefT22_7x_0</vt:lpstr>
      <vt:lpstr>'331'!OSRRefT22_7x_0</vt:lpstr>
      <vt:lpstr>'332'!OSRRefT22_7x_0</vt:lpstr>
      <vt:lpstr>'405'!OSRRefT22_7x_0</vt:lpstr>
      <vt:lpstr>'406'!OSRRefT22_7x_0</vt:lpstr>
      <vt:lpstr>'411'!OSRRefT22_7x_0</vt:lpstr>
      <vt:lpstr>'412'!OSRRefT22_7x_0</vt:lpstr>
      <vt:lpstr>'413'!OSRRefT22_7x_0</vt:lpstr>
      <vt:lpstr>'414'!OSRRefT22_7x_0</vt:lpstr>
      <vt:lpstr>'415'!OSRRefT22_7x_0</vt:lpstr>
      <vt:lpstr>'418'!OSRRefT22_7x_0</vt:lpstr>
      <vt:lpstr>'420'!OSRRefT22_7x_0</vt:lpstr>
      <vt:lpstr>'424'!OSRRefT22_7x_0</vt:lpstr>
      <vt:lpstr>'425'!OSRRefT22_7x_0</vt:lpstr>
      <vt:lpstr>'430'!OSRRefT22_7x_0</vt:lpstr>
      <vt:lpstr>'433'!OSRRefT22_7x_0</vt:lpstr>
      <vt:lpstr>'435'!OSRRefT22_7x_0</vt:lpstr>
      <vt:lpstr>'444'!OSRRefT22_7x_0</vt:lpstr>
      <vt:lpstr>'450'!OSRRefT22_7x_0</vt:lpstr>
      <vt:lpstr>'491'!OSRRefT22_7x_0</vt:lpstr>
      <vt:lpstr>'492'!OSRRefT22_7x_0</vt:lpstr>
      <vt:lpstr>'501'!OSRRefT22_7x_0</vt:lpstr>
      <vt:lpstr>'Div 2'!OSRRefT22_7x_0</vt:lpstr>
      <vt:lpstr>'Div 3'!OSRRefT22_7x_0</vt:lpstr>
      <vt:lpstr>'Div 4'!OSRRefT22_7x_0</vt:lpstr>
      <vt:lpstr>'Div 5'!OSRRefT22_7x_0</vt:lpstr>
      <vt:lpstr>'Div 6'!OSRRefT22_7x_0</vt:lpstr>
      <vt:lpstr>Summary!OSRRefT22_7x_0</vt:lpstr>
      <vt:lpstr>'201'!OSRRefT22_8x_0</vt:lpstr>
      <vt:lpstr>'202'!OSRRefT22_8x_0</vt:lpstr>
      <vt:lpstr>'203'!OSRRefT22_8x_0</vt:lpstr>
      <vt:lpstr>'204'!OSRRefT22_8x_0</vt:lpstr>
      <vt:lpstr>'205'!OSRRefT22_8x_0</vt:lpstr>
      <vt:lpstr>'206'!OSRRefT22_8x_0</vt:lpstr>
      <vt:lpstr>'300'!OSRRefT22_8x_0</vt:lpstr>
      <vt:lpstr>'300 &amp; 317'!OSRRefT22_8x_0</vt:lpstr>
      <vt:lpstr>'301'!OSRRefT22_8x_0</vt:lpstr>
      <vt:lpstr>'306'!OSRRefT22_8x_0</vt:lpstr>
      <vt:lpstr>'307'!OSRRefT22_8x_0</vt:lpstr>
      <vt:lpstr>'308'!OSRRefT22_8x_0</vt:lpstr>
      <vt:lpstr>'309'!OSRRefT22_8x_0</vt:lpstr>
      <vt:lpstr>'310'!OSRRefT22_8x_0</vt:lpstr>
      <vt:lpstr>'310 &amp; 491'!OSRRefT22_8x_0</vt:lpstr>
      <vt:lpstr>'311'!OSRRefT22_8x_0</vt:lpstr>
      <vt:lpstr>'313'!OSRRefT22_8x_0</vt:lpstr>
      <vt:lpstr>'314'!OSRRefT22_8x_0</vt:lpstr>
      <vt:lpstr>'315'!OSRRefT22_8x_0</vt:lpstr>
      <vt:lpstr>'316'!OSRRefT22_8x_0</vt:lpstr>
      <vt:lpstr>'317'!OSRRefT22_8x_0</vt:lpstr>
      <vt:lpstr>'320'!OSRRefT22_8x_0</vt:lpstr>
      <vt:lpstr>'321'!OSRRefT22_8x_0</vt:lpstr>
      <vt:lpstr>'322'!OSRRefT22_8x_0</vt:lpstr>
      <vt:lpstr>'325'!OSRRefT22_8x_0</vt:lpstr>
      <vt:lpstr>'326'!OSRRefT22_8x_0</vt:lpstr>
      <vt:lpstr>'330'!OSRRefT22_8x_0</vt:lpstr>
      <vt:lpstr>'331'!OSRRefT22_8x_0</vt:lpstr>
      <vt:lpstr>'332'!OSRRefT22_8x_0</vt:lpstr>
      <vt:lpstr>'405'!OSRRefT22_8x_0</vt:lpstr>
      <vt:lpstr>'406'!OSRRefT22_8x_0</vt:lpstr>
      <vt:lpstr>'411'!OSRRefT22_8x_0</vt:lpstr>
      <vt:lpstr>'412'!OSRRefT22_8x_0</vt:lpstr>
      <vt:lpstr>'413'!OSRRefT22_8x_0</vt:lpstr>
      <vt:lpstr>'414'!OSRRefT22_8x_0</vt:lpstr>
      <vt:lpstr>'415'!OSRRefT22_8x_0</vt:lpstr>
      <vt:lpstr>'418'!OSRRefT22_8x_0</vt:lpstr>
      <vt:lpstr>'424'!OSRRefT22_8x_0</vt:lpstr>
      <vt:lpstr>'425'!OSRRefT22_8x_0</vt:lpstr>
      <vt:lpstr>'433'!OSRRefT22_8x_0</vt:lpstr>
      <vt:lpstr>'435'!OSRRefT22_8x_0</vt:lpstr>
      <vt:lpstr>'444'!OSRRefT22_8x_0</vt:lpstr>
      <vt:lpstr>'450'!OSRRefT22_8x_0</vt:lpstr>
      <vt:lpstr>'491'!OSRRefT22_8x_0</vt:lpstr>
      <vt:lpstr>'492'!OSRRefT22_8x_0</vt:lpstr>
      <vt:lpstr>'501'!OSRRefT22_8x_0</vt:lpstr>
      <vt:lpstr>'Div 2'!OSRRefT22_8x_0</vt:lpstr>
      <vt:lpstr>'Div 3'!OSRRefT22_8x_0</vt:lpstr>
      <vt:lpstr>'Div 4'!OSRRefT22_8x_0</vt:lpstr>
      <vt:lpstr>'Div 5'!OSRRefT22_8x_0</vt:lpstr>
      <vt:lpstr>'Div 6'!OSRRefT22_8x_0</vt:lpstr>
      <vt:lpstr>Summary!OSRRefT22_8x_0</vt:lpstr>
      <vt:lpstr>'201'!OSRRefT22_9x_0</vt:lpstr>
      <vt:lpstr>'202'!OSRRefT22_9x_0</vt:lpstr>
      <vt:lpstr>'203'!OSRRefT22_9x_0</vt:lpstr>
      <vt:lpstr>'204'!OSRRefT22_9x_0</vt:lpstr>
      <vt:lpstr>'300'!OSRRefT22_9x_0</vt:lpstr>
      <vt:lpstr>'300 &amp; 317'!OSRRefT22_9x_0</vt:lpstr>
      <vt:lpstr>'301'!OSRRefT22_9x_0</vt:lpstr>
      <vt:lpstr>'306'!OSRRefT22_9x_0</vt:lpstr>
      <vt:lpstr>'307'!OSRRefT22_9x_0</vt:lpstr>
      <vt:lpstr>'308'!OSRRefT22_9x_0</vt:lpstr>
      <vt:lpstr>'309'!OSRRefT22_9x_0</vt:lpstr>
      <vt:lpstr>'310'!OSRRefT22_9x_0</vt:lpstr>
      <vt:lpstr>'310 &amp; 491'!OSRRefT22_9x_0</vt:lpstr>
      <vt:lpstr>'311'!OSRRefT22_9x_0</vt:lpstr>
      <vt:lpstr>'313'!OSRRefT22_9x_0</vt:lpstr>
      <vt:lpstr>'314'!OSRRefT22_9x_0</vt:lpstr>
      <vt:lpstr>'315'!OSRRefT22_9x_0</vt:lpstr>
      <vt:lpstr>'316'!OSRRefT22_9x_0</vt:lpstr>
      <vt:lpstr>'317'!OSRRefT22_9x_0</vt:lpstr>
      <vt:lpstr>'321'!OSRRefT22_9x_0</vt:lpstr>
      <vt:lpstr>'322'!OSRRefT22_9x_0</vt:lpstr>
      <vt:lpstr>'325'!OSRRefT22_9x_0</vt:lpstr>
      <vt:lpstr>'326'!OSRRefT22_9x_0</vt:lpstr>
      <vt:lpstr>'330'!OSRRefT22_9x_0</vt:lpstr>
      <vt:lpstr>'331'!OSRRefT22_9x_0</vt:lpstr>
      <vt:lpstr>'332'!OSRRefT22_9x_0</vt:lpstr>
      <vt:lpstr>'405'!OSRRefT22_9x_0</vt:lpstr>
      <vt:lpstr>'406'!OSRRefT22_9x_0</vt:lpstr>
      <vt:lpstr>'411'!OSRRefT22_9x_0</vt:lpstr>
      <vt:lpstr>'412'!OSRRefT22_9x_0</vt:lpstr>
      <vt:lpstr>'413'!OSRRefT22_9x_0</vt:lpstr>
      <vt:lpstr>'414'!OSRRefT22_9x_0</vt:lpstr>
      <vt:lpstr>'415'!OSRRefT22_9x_0</vt:lpstr>
      <vt:lpstr>'418'!OSRRefT22_9x_0</vt:lpstr>
      <vt:lpstr>'424'!OSRRefT22_9x_0</vt:lpstr>
      <vt:lpstr>'425'!OSRRefT22_9x_0</vt:lpstr>
      <vt:lpstr>'433'!OSRRefT22_9x_0</vt:lpstr>
      <vt:lpstr>'444'!OSRRefT22_9x_0</vt:lpstr>
      <vt:lpstr>'450'!OSRRefT22_9x_0</vt:lpstr>
      <vt:lpstr>'491'!OSRRefT22_9x_0</vt:lpstr>
      <vt:lpstr>'492'!OSRRefT22_9x_0</vt:lpstr>
      <vt:lpstr>'501'!OSRRefT22_9x_0</vt:lpstr>
      <vt:lpstr>'Div 2'!OSRRefT22_9x_0</vt:lpstr>
      <vt:lpstr>'Div 3'!OSRRefT22_9x_0</vt:lpstr>
      <vt:lpstr>'Div 4'!OSRRefT22_9x_0</vt:lpstr>
      <vt:lpstr>'Div 5'!OSRRefT22_9x_0</vt:lpstr>
      <vt:lpstr>'Div 6'!OSRRefT22_9x_0</vt:lpstr>
      <vt:lpstr>Summary!OSRRefT22_9x_0</vt:lpstr>
      <vt:lpstr>'200'!OSRRefT22x_0</vt:lpstr>
      <vt:lpstr>'201'!OSRRefT22x_0</vt:lpstr>
      <vt:lpstr>'202'!OSRRefT22x_0</vt:lpstr>
      <vt:lpstr>'203'!OSRRefT22x_0</vt:lpstr>
      <vt:lpstr>'204'!OSRRefT22x_0</vt:lpstr>
      <vt:lpstr>'205'!OSRRefT22x_0</vt:lpstr>
      <vt:lpstr>'206'!OSRRefT22x_0</vt:lpstr>
      <vt:lpstr>'300'!OSRRefT22x_0</vt:lpstr>
      <vt:lpstr>'300 &amp; 317'!OSRRefT22x_0</vt:lpstr>
      <vt:lpstr>'301'!OSRRefT22x_0</vt:lpstr>
      <vt:lpstr>'306'!OSRRefT22x_0</vt:lpstr>
      <vt:lpstr>'307'!OSRRefT22x_0</vt:lpstr>
      <vt:lpstr>'308'!OSRRefT22x_0</vt:lpstr>
      <vt:lpstr>'309'!OSRRefT22x_0</vt:lpstr>
      <vt:lpstr>'310'!OSRRefT22x_0</vt:lpstr>
      <vt:lpstr>'310 &amp; 491'!OSRRefT22x_0</vt:lpstr>
      <vt:lpstr>'311'!OSRRefT22x_0</vt:lpstr>
      <vt:lpstr>'313'!OSRRefT22x_0</vt:lpstr>
      <vt:lpstr>'314'!OSRRefT22x_0</vt:lpstr>
      <vt:lpstr>'315'!OSRRefT22x_0</vt:lpstr>
      <vt:lpstr>'316'!OSRRefT22x_0</vt:lpstr>
      <vt:lpstr>'317'!OSRRefT22x_0</vt:lpstr>
      <vt:lpstr>'320'!OSRRefT22x_0</vt:lpstr>
      <vt:lpstr>'321'!OSRRefT22x_0</vt:lpstr>
      <vt:lpstr>'322'!OSRRefT22x_0</vt:lpstr>
      <vt:lpstr>'325'!OSRRefT22x_0</vt:lpstr>
      <vt:lpstr>'326'!OSRRefT22x_0</vt:lpstr>
      <vt:lpstr>'327'!OSRRefT22x_0</vt:lpstr>
      <vt:lpstr>'330'!OSRRefT22x_0</vt:lpstr>
      <vt:lpstr>'331'!OSRRefT22x_0</vt:lpstr>
      <vt:lpstr>'332'!OSRRefT22x_0</vt:lpstr>
      <vt:lpstr>'405'!OSRRefT22x_0</vt:lpstr>
      <vt:lpstr>'406'!OSRRefT22x_0</vt:lpstr>
      <vt:lpstr>'411'!OSRRefT22x_0</vt:lpstr>
      <vt:lpstr>'412'!OSRRefT22x_0</vt:lpstr>
      <vt:lpstr>'413'!OSRRefT22x_0</vt:lpstr>
      <vt:lpstr>'414'!OSRRefT22x_0</vt:lpstr>
      <vt:lpstr>'415'!OSRRefT22x_0</vt:lpstr>
      <vt:lpstr>'418'!OSRRefT22x_0</vt:lpstr>
      <vt:lpstr>'420'!OSRRefT22x_0</vt:lpstr>
      <vt:lpstr>'423'!OSRRefT22x_0</vt:lpstr>
      <vt:lpstr>'424'!OSRRefT22x_0</vt:lpstr>
      <vt:lpstr>'425'!OSRRefT22x_0</vt:lpstr>
      <vt:lpstr>'430'!OSRRefT22x_0</vt:lpstr>
      <vt:lpstr>'433'!OSRRefT22x_0</vt:lpstr>
      <vt:lpstr>'435'!OSRRefT22x_0</vt:lpstr>
      <vt:lpstr>'444'!OSRRefT22x_0</vt:lpstr>
      <vt:lpstr>'450'!OSRRefT22x_0</vt:lpstr>
      <vt:lpstr>'455'!OSRRefT22x_0</vt:lpstr>
      <vt:lpstr>'491'!OSRRefT22x_0</vt:lpstr>
      <vt:lpstr>'492'!OSRRefT22x_0</vt:lpstr>
      <vt:lpstr>'501'!OSRRefT22x_0</vt:lpstr>
      <vt:lpstr>'Div 2'!OSRRefT22x_0</vt:lpstr>
      <vt:lpstr>'Div 3'!OSRRefT22x_0</vt:lpstr>
      <vt:lpstr>'Div 4'!OSRRefT22x_0</vt:lpstr>
      <vt:lpstr>'Div 5'!OSRRefT22x_0</vt:lpstr>
      <vt:lpstr>'Div 6'!OSRRefT22x_0</vt:lpstr>
      <vt:lpstr>Summary!OSRRefT22x_0</vt:lpstr>
      <vt:lpstr>'300'!OSRRefT25x_0</vt:lpstr>
      <vt:lpstr>'300 &amp; 317'!OSRRefT25x_0</vt:lpstr>
      <vt:lpstr>'301'!OSRRefT25x_0</vt:lpstr>
      <vt:lpstr>'307'!OSRRefT25x_0</vt:lpstr>
      <vt:lpstr>'308'!OSRRefT25x_0</vt:lpstr>
      <vt:lpstr>'310 &amp; 491'!OSRRefT25x_0</vt:lpstr>
      <vt:lpstr>'311'!OSRRefT25x_0</vt:lpstr>
      <vt:lpstr>'315'!OSRRefT25x_0</vt:lpstr>
      <vt:lpstr>'316'!OSRRefT25x_0</vt:lpstr>
      <vt:lpstr>'317'!OSRRefT25x_0</vt:lpstr>
      <vt:lpstr>'320'!OSRRefT25x_0</vt:lpstr>
      <vt:lpstr>'330'!OSRRefT25x_0</vt:lpstr>
      <vt:lpstr>'331'!OSRRefT25x_0</vt:lpstr>
      <vt:lpstr>'332'!OSRRefT25x_0</vt:lpstr>
      <vt:lpstr>'411'!OSRRefT25x_0</vt:lpstr>
      <vt:lpstr>'413'!OSRRefT25x_0</vt:lpstr>
      <vt:lpstr>'415'!OSRRefT25x_0</vt:lpstr>
      <vt:lpstr>'418'!OSRRefT25x_0</vt:lpstr>
      <vt:lpstr>'423'!OSRRefT25x_0</vt:lpstr>
      <vt:lpstr>'424'!OSRRefT25x_0</vt:lpstr>
      <vt:lpstr>'425'!OSRRefT25x_0</vt:lpstr>
      <vt:lpstr>'455'!OSRRefT25x_0</vt:lpstr>
      <vt:lpstr>'491'!OSRRefT25x_0</vt:lpstr>
      <vt:lpstr>'501'!OSRRefT25x_0</vt:lpstr>
      <vt:lpstr>'Div 3'!OSRRefT25x_0</vt:lpstr>
      <vt:lpstr>'Div 4'!OSRRefT25x_0</vt:lpstr>
      <vt:lpstr>'Div 5'!OSRRefT25x_0</vt:lpstr>
      <vt:lpstr>'Div 6'!OSRRefT25x_0</vt:lpstr>
      <vt:lpstr>Summary!OSRRefT25x_0</vt:lpstr>
      <vt:lpstr>'100'!Print_Area</vt:lpstr>
      <vt:lpstr>'200'!Print_Area</vt:lpstr>
      <vt:lpstr>'201'!Print_Area</vt:lpstr>
      <vt:lpstr>'202'!Print_Area</vt:lpstr>
      <vt:lpstr>'203'!Print_Area</vt:lpstr>
      <vt:lpstr>'204'!Print_Area</vt:lpstr>
      <vt:lpstr>'205'!Print_Area</vt:lpstr>
      <vt:lpstr>'206'!Print_Area</vt:lpstr>
      <vt:lpstr>'300'!Print_Area</vt:lpstr>
      <vt:lpstr>'300 &amp; 317'!Print_Area</vt:lpstr>
      <vt:lpstr>'301'!Print_Area</vt:lpstr>
      <vt:lpstr>'306'!Print_Area</vt:lpstr>
      <vt:lpstr>'307'!Print_Area</vt:lpstr>
      <vt:lpstr>'308'!Print_Area</vt:lpstr>
      <vt:lpstr>'309'!Print_Area</vt:lpstr>
      <vt:lpstr>'310'!Print_Area</vt:lpstr>
      <vt:lpstr>'310 &amp; 491'!Print_Area</vt:lpstr>
      <vt:lpstr>'311'!Print_Area</vt:lpstr>
      <vt:lpstr>'313'!Print_Area</vt:lpstr>
      <vt:lpstr>'314'!Print_Area</vt:lpstr>
      <vt:lpstr>'315'!Print_Area</vt:lpstr>
      <vt:lpstr>'316'!Print_Area</vt:lpstr>
      <vt:lpstr>'317'!Print_Area</vt:lpstr>
      <vt:lpstr>'320'!Print_Area</vt:lpstr>
      <vt:lpstr>'321'!Print_Area</vt:lpstr>
      <vt:lpstr>'322'!Print_Area</vt:lpstr>
      <vt:lpstr>'324'!Print_Area</vt:lpstr>
      <vt:lpstr>'325'!Print_Area</vt:lpstr>
      <vt:lpstr>'326'!Print_Area</vt:lpstr>
      <vt:lpstr>'327'!Print_Area</vt:lpstr>
      <vt:lpstr>'330'!Print_Area</vt:lpstr>
      <vt:lpstr>'331'!Print_Area</vt:lpstr>
      <vt:lpstr>'332'!Print_Area</vt:lpstr>
      <vt:lpstr>'405'!Print_Area</vt:lpstr>
      <vt:lpstr>'406'!Print_Area</vt:lpstr>
      <vt:lpstr>'411'!Print_Area</vt:lpstr>
      <vt:lpstr>'412'!Print_Area</vt:lpstr>
      <vt:lpstr>'413'!Print_Area</vt:lpstr>
      <vt:lpstr>'414'!Print_Area</vt:lpstr>
      <vt:lpstr>'415'!Print_Area</vt:lpstr>
      <vt:lpstr>'418'!Print_Area</vt:lpstr>
      <vt:lpstr>'420'!Print_Area</vt:lpstr>
      <vt:lpstr>'423'!Print_Area</vt:lpstr>
      <vt:lpstr>'424'!Print_Area</vt:lpstr>
      <vt:lpstr>'425'!Print_Area</vt:lpstr>
      <vt:lpstr>'430'!Print_Area</vt:lpstr>
      <vt:lpstr>'433'!Print_Area</vt:lpstr>
      <vt:lpstr>'435'!Print_Area</vt:lpstr>
      <vt:lpstr>'444'!Print_Area</vt:lpstr>
      <vt:lpstr>'450'!Print_Area</vt:lpstr>
      <vt:lpstr>'455'!Print_Area</vt:lpstr>
      <vt:lpstr>'491'!Print_Area</vt:lpstr>
      <vt:lpstr>'492'!Print_Area</vt:lpstr>
      <vt:lpstr>'501'!Print_Area</vt:lpstr>
      <vt:lpstr>Dept!Print_Area</vt:lpstr>
      <vt:lpstr>'Div 1'!Print_Area</vt:lpstr>
      <vt:lpstr>'Div 2'!Print_Area</vt:lpstr>
      <vt:lpstr>'Div 3'!Print_Area</vt:lpstr>
      <vt:lpstr>'Div 4'!Print_Area</vt:lpstr>
      <vt:lpstr>'Div 5'!Print_Area</vt:lpstr>
      <vt:lpstr>'Div 6'!Print_Area</vt:lpstr>
      <vt:lpstr>'OSR_300 &amp; 317_1C00ID4'!Print_Area</vt:lpstr>
      <vt:lpstr>'OSR_300 (2)_7...54cb56fc_UFX0O2'!Print_Area</vt:lpstr>
      <vt:lpstr>'OSR_300 (2)_c...79cd3046_1TJM0H'!Print_Area</vt:lpstr>
      <vt:lpstr>'OSR_300 (2)_e...5d0da5bf_6BPGAO'!Print_Area</vt:lpstr>
      <vt:lpstr>OSR_300_IYZXI6!Print_Area</vt:lpstr>
      <vt:lpstr>'OSR_308 (2)_...47685838_1YQW4QY'!Print_Area</vt:lpstr>
      <vt:lpstr>OSR_308_UAWDAG!Print_Area</vt:lpstr>
      <vt:lpstr>'OSR_310 &amp; 491_1NGRCS9'!Print_Area</vt:lpstr>
      <vt:lpstr>'OSR_310 (2)_...6e684f08_1FLCNJG'!Print_Area</vt:lpstr>
      <vt:lpstr>'OSR_310 (2)_...8cac1423_1JTU33X'!Print_Area</vt:lpstr>
      <vt:lpstr>OSR_310_1CMTOSB!Print_Area</vt:lpstr>
      <vt:lpstr>'OSR_330 (2)_...8a14c83e_1NSH7XI'!Print_Area</vt:lpstr>
      <vt:lpstr>OSR_330_10VFP5Y!Print_Area</vt:lpstr>
      <vt:lpstr>'OSR_331 (2)_...7280af70_1P5SPLT'!Print_Area</vt:lpstr>
      <vt:lpstr>OSR_331_10VKQAJ!Print_Area</vt:lpstr>
      <vt:lpstr>OSR_332_6NDVBW!Print_Area</vt:lpstr>
      <vt:lpstr>'OSR_491 (2)_0...c51cc666_QIOT67'!Print_Area</vt:lpstr>
      <vt:lpstr>OSR_491_9Z9JH5!Print_Area</vt:lpstr>
      <vt:lpstr>'OSR_492 (2)_...cd97c6a6_13HYXEV'!Print_Area</vt:lpstr>
      <vt:lpstr>OSR_492_943FP1!Print_Area</vt:lpstr>
      <vt:lpstr>'OSR_Current ...69b7dd8c_1IEQKFK'!Print_Area</vt:lpstr>
      <vt:lpstr>OSR_Dept_Y0WUKY!Print_Area</vt:lpstr>
      <vt:lpstr>'OSR_Div 1 (2)...789fe994_2NV3KA'!Print_Area</vt:lpstr>
      <vt:lpstr>'OSR_Div 1_7H47HR'!Print_Area</vt:lpstr>
      <vt:lpstr>'OSR_Div 2_1PQ800A'!Print_Area</vt:lpstr>
      <vt:lpstr>'OSR_Div 3 (2)...4cb81c06_PBSMLS'!Print_Area</vt:lpstr>
      <vt:lpstr>'OSR_Div 3 (2)...b7db256a_40ITCB'!Print_Area</vt:lpstr>
      <vt:lpstr>'OSR_Div 3_18723PH'!Print_Area</vt:lpstr>
      <vt:lpstr>'OSR_Div 4 (2)...1a9a4454_CQFRNE'!Print_Area</vt:lpstr>
      <vt:lpstr>'OSR_Div 4 (2...2533da42_174R6QX'!Print_Area</vt:lpstr>
      <vt:lpstr>'OSR_Div 4_1740TMT'!Print_Area</vt:lpstr>
      <vt:lpstr>'OSR_Div 5 (2...09141158_1BG9FGV'!Print_Area</vt:lpstr>
      <vt:lpstr>'OSR_Div 5_16NAZO2'!Print_Area</vt:lpstr>
      <vt:lpstr>'OSR_Div 6_P37YY7'!Print_Area</vt:lpstr>
      <vt:lpstr>'OSR_Summary (...56e5d78f_5JEYZH'!Print_Area</vt:lpstr>
      <vt:lpstr>OSR_Summary_18VAVWG!Print_Area</vt:lpstr>
      <vt:lpstr>Summary!Print_Area</vt:lpstr>
      <vt:lpstr>'100'!Print_Titles</vt:lpstr>
      <vt:lpstr>'200'!Print_Titles</vt:lpstr>
      <vt:lpstr>'201'!Print_Titles</vt:lpstr>
      <vt:lpstr>'202'!Print_Titles</vt:lpstr>
      <vt:lpstr>'203'!Print_Titles</vt:lpstr>
      <vt:lpstr>'204'!Print_Titles</vt:lpstr>
      <vt:lpstr>'205'!Print_Titles</vt:lpstr>
      <vt:lpstr>'206'!Print_Titles</vt:lpstr>
      <vt:lpstr>'300'!Print_Titles</vt:lpstr>
      <vt:lpstr>'300 &amp; 317'!Print_Titles</vt:lpstr>
      <vt:lpstr>'301'!Print_Titles</vt:lpstr>
      <vt:lpstr>'306'!Print_Titles</vt:lpstr>
      <vt:lpstr>'307'!Print_Titles</vt:lpstr>
      <vt:lpstr>'308'!Print_Titles</vt:lpstr>
      <vt:lpstr>'309'!Print_Titles</vt:lpstr>
      <vt:lpstr>'310'!Print_Titles</vt:lpstr>
      <vt:lpstr>'310 &amp; 491'!Print_Titles</vt:lpstr>
      <vt:lpstr>'311'!Print_Titles</vt:lpstr>
      <vt:lpstr>'313'!Print_Titles</vt:lpstr>
      <vt:lpstr>'314'!Print_Titles</vt:lpstr>
      <vt:lpstr>'315'!Print_Titles</vt:lpstr>
      <vt:lpstr>'316'!Print_Titles</vt:lpstr>
      <vt:lpstr>'317'!Print_Titles</vt:lpstr>
      <vt:lpstr>'320'!Print_Titles</vt:lpstr>
      <vt:lpstr>'321'!Print_Titles</vt:lpstr>
      <vt:lpstr>'322'!Print_Titles</vt:lpstr>
      <vt:lpstr>'324'!Print_Titles</vt:lpstr>
      <vt:lpstr>'325'!Print_Titles</vt:lpstr>
      <vt:lpstr>'326'!Print_Titles</vt:lpstr>
      <vt:lpstr>'327'!Print_Titles</vt:lpstr>
      <vt:lpstr>'330'!Print_Titles</vt:lpstr>
      <vt:lpstr>'331'!Print_Titles</vt:lpstr>
      <vt:lpstr>'332'!Print_Titles</vt:lpstr>
      <vt:lpstr>'405'!Print_Titles</vt:lpstr>
      <vt:lpstr>'406'!Print_Titles</vt:lpstr>
      <vt:lpstr>'411'!Print_Titles</vt:lpstr>
      <vt:lpstr>'412'!Print_Titles</vt:lpstr>
      <vt:lpstr>'413'!Print_Titles</vt:lpstr>
      <vt:lpstr>'414'!Print_Titles</vt:lpstr>
      <vt:lpstr>'415'!Print_Titles</vt:lpstr>
      <vt:lpstr>'418'!Print_Titles</vt:lpstr>
      <vt:lpstr>'420'!Print_Titles</vt:lpstr>
      <vt:lpstr>'423'!Print_Titles</vt:lpstr>
      <vt:lpstr>'424'!Print_Titles</vt:lpstr>
      <vt:lpstr>'425'!Print_Titles</vt:lpstr>
      <vt:lpstr>'430'!Print_Titles</vt:lpstr>
      <vt:lpstr>'433'!Print_Titles</vt:lpstr>
      <vt:lpstr>'435'!Print_Titles</vt:lpstr>
      <vt:lpstr>'444'!Print_Titles</vt:lpstr>
      <vt:lpstr>'450'!Print_Titles</vt:lpstr>
      <vt:lpstr>'455'!Print_Titles</vt:lpstr>
      <vt:lpstr>'491'!Print_Titles</vt:lpstr>
      <vt:lpstr>'492'!Print_Titles</vt:lpstr>
      <vt:lpstr>'501'!Print_Titles</vt:lpstr>
      <vt:lpstr>Dept!Print_Titles</vt:lpstr>
      <vt:lpstr>'Div 1'!Print_Titles</vt:lpstr>
      <vt:lpstr>'Div 2'!Print_Titles</vt:lpstr>
      <vt:lpstr>'Div 3'!Print_Titles</vt:lpstr>
      <vt:lpstr>'Div 4'!Print_Titles</vt:lpstr>
      <vt:lpstr>'Div 5'!Print_Titles</vt:lpstr>
      <vt:lpstr>'Div 6'!Print_Titles</vt:lpstr>
      <vt:lpstr>'OSR_300 &amp; 317_1C00ID4'!Print_Titles</vt:lpstr>
      <vt:lpstr>'OSR_300 (2)_7...54cb56fc_UFX0O2'!Print_Titles</vt:lpstr>
      <vt:lpstr>'OSR_300 (2)_c...79cd3046_1TJM0H'!Print_Titles</vt:lpstr>
      <vt:lpstr>'OSR_300 (2)_e...5d0da5bf_6BPGAO'!Print_Titles</vt:lpstr>
      <vt:lpstr>OSR_300_IYZXI6!Print_Titles</vt:lpstr>
      <vt:lpstr>'OSR_308 (2)_...47685838_1YQW4QY'!Print_Titles</vt:lpstr>
      <vt:lpstr>OSR_308_UAWDAG!Print_Titles</vt:lpstr>
      <vt:lpstr>'OSR_310 &amp; 491_1NGRCS9'!Print_Titles</vt:lpstr>
      <vt:lpstr>'OSR_310 (2)_...6e684f08_1FLCNJG'!Print_Titles</vt:lpstr>
      <vt:lpstr>'OSR_310 (2)_...8cac1423_1JTU33X'!Print_Titles</vt:lpstr>
      <vt:lpstr>OSR_310_1CMTOSB!Print_Titles</vt:lpstr>
      <vt:lpstr>'OSR_330 (2)_...8a14c83e_1NSH7XI'!Print_Titles</vt:lpstr>
      <vt:lpstr>OSR_330_10VFP5Y!Print_Titles</vt:lpstr>
      <vt:lpstr>'OSR_331 (2)_...7280af70_1P5SPLT'!Print_Titles</vt:lpstr>
      <vt:lpstr>OSR_331_10VKQAJ!Print_Titles</vt:lpstr>
      <vt:lpstr>OSR_332_6NDVBW!Print_Titles</vt:lpstr>
      <vt:lpstr>'OSR_491 (2)_0...c51cc666_QIOT67'!Print_Titles</vt:lpstr>
      <vt:lpstr>OSR_491_9Z9JH5!Print_Titles</vt:lpstr>
      <vt:lpstr>'OSR_492 (2)_...cd97c6a6_13HYXEV'!Print_Titles</vt:lpstr>
      <vt:lpstr>OSR_492_943FP1!Print_Titles</vt:lpstr>
      <vt:lpstr>'OSR_Current ...69b7dd8c_1IEQKFK'!Print_Titles</vt:lpstr>
      <vt:lpstr>OSR_Dept_Y0WUKY!Print_Titles</vt:lpstr>
      <vt:lpstr>'OSR_Div 1 (2)...789fe994_2NV3KA'!Print_Titles</vt:lpstr>
      <vt:lpstr>'OSR_Div 1_7H47HR'!Print_Titles</vt:lpstr>
      <vt:lpstr>'OSR_Div 2_1PQ800A'!Print_Titles</vt:lpstr>
      <vt:lpstr>'OSR_Div 3 (2)...4cb81c06_PBSMLS'!Print_Titles</vt:lpstr>
      <vt:lpstr>'OSR_Div 3 (2)...b7db256a_40ITCB'!Print_Titles</vt:lpstr>
      <vt:lpstr>'OSR_Div 3_18723PH'!Print_Titles</vt:lpstr>
      <vt:lpstr>'OSR_Div 4 (2)...1a9a4454_CQFRNE'!Print_Titles</vt:lpstr>
      <vt:lpstr>'OSR_Div 4 (2...2533da42_174R6QX'!Print_Titles</vt:lpstr>
      <vt:lpstr>'OSR_Div 4_1740TMT'!Print_Titles</vt:lpstr>
      <vt:lpstr>'OSR_Div 5 (2...09141158_1BG9FGV'!Print_Titles</vt:lpstr>
      <vt:lpstr>'OSR_Div 5_16NAZO2'!Print_Titles</vt:lpstr>
      <vt:lpstr>'OSR_Div 6_P37YY7'!Print_Titles</vt:lpstr>
      <vt:lpstr>'OSR_Summary (...56e5d78f_5JEYZH'!Print_Titles</vt:lpstr>
      <vt:lpstr>OSR_Summary_18VAVWG!Print_Titles</vt:lpstr>
      <vt:lpstr>Summary!Print_Titles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Tess Monzon</dc:creator>
  <cp:lastModifiedBy>Tess Monzon</cp:lastModifiedBy>
  <dcterms:created xsi:type="dcterms:W3CDTF">2021-09-15T16:47:23Z</dcterms:created>
  <dcterms:modified xsi:type="dcterms:W3CDTF">2021-09-15T16:51:39Z</dcterms:modified>
</cp:coreProperties>
</file>